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oacidn-my.sharepoint.com/personal/muhammad_furqon_inoac_co_id/Documents/Transfer file/00 Kuliah/Thesis/000 Update/Final/"/>
    </mc:Choice>
  </mc:AlternateContent>
  <xr:revisionPtr revIDLastSave="4" documentId="8_{A6119B6D-1296-4B54-A0CC-B4525FF179DD}" xr6:coauthVersionLast="47" xr6:coauthVersionMax="47" xr10:uidLastSave="{D80566CC-F43F-40BD-82DF-6782CCB581D8}"/>
  <bookViews>
    <workbookView xWindow="-108" yWindow="-108" windowWidth="23256" windowHeight="12456" xr2:uid="{F5905E47-0123-4935-984B-75892B4052CC}"/>
  </bookViews>
  <sheets>
    <sheet name="Raw Data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1Excel_BuiltIn_Print_Area_11_1">#REF!</definedName>
    <definedName name="_1Excel_BuiltIn_Print_Area_2_1_1_1_1_1_1_1_1_1">"$#REF!.$B$111:$AW$134"</definedName>
    <definedName name="_1Excel_BuiltIn_Print_Area_3_1_1_1">"$PPIC.$#REF!$#REF!:$#REF!$#REF!"</definedName>
    <definedName name="_1Excel_BuiltIn_Print_Titles_2_1">"$#REF!.$A$2:$IV$4"</definedName>
    <definedName name="_2Excel_BuiltIn_Print_Area_3_1_1_1">"$PPIC.$#REF!$#REF!:$#REF!$#REF!"</definedName>
    <definedName name="_2Excel_BuiltIn_Print_Area_6_1_1_1">"$#REF!.$B$1:$M$145"</definedName>
    <definedName name="_2Excel_BuiltIn_Print_Titles_2_1_1">"$#REF!.$A$2:$IV$4"</definedName>
    <definedName name="_3Excel_BuiltIn_Print_Area_6_1_1_1">"$#REF!.$B$1:$M$145"</definedName>
    <definedName name="_3Excel_BuiltIn_Print_Titles_2_1_1_1">"$#REF!.$#REF!$#REF!"</definedName>
    <definedName name="_4Excel_BuiltIn_Print_Area_5_1_1_1_1_1_1_1_1_1_1_1">#REF!</definedName>
    <definedName name="_4Excel_BuiltIn_Print_Titles_2_1_1_1_1">"$#REF!.$B$7:$BE$9"</definedName>
    <definedName name="_5Excel_BuiltIn_Print_Titles_3_1">"$#REF!.$A$2:$IV$4"</definedName>
    <definedName name="_6Excel_BuiltIn_Print_Titles_3_1_1_1_1">"$#REF!.$#REF!$#REF!"</definedName>
    <definedName name="_7Excel_BuiltIn_Print_Titles_7_1">#REF!</definedName>
    <definedName name="_8Excel_BuiltIn_Print_Titles_7_1_1">"$#REF!.$A$2:$IV$4"</definedName>
    <definedName name="_C5SABTU">"$#REF!.$#REF!$5"</definedName>
    <definedName name="_xlnm._FilterDatabase" localSheetId="0" hidden="1">'Raw Data'!$A$2:$BP$4972</definedName>
    <definedName name="alan">#REF!</definedName>
    <definedName name="b">[1]PPIC!#REF!</definedName>
    <definedName name="BANK">#REF!</definedName>
    <definedName name="BANK_3">#REF!</definedName>
    <definedName name="BANK_7">#REF!</definedName>
    <definedName name="BANK_9">#REF!</definedName>
    <definedName name="baru">#REF!</definedName>
    <definedName name="bg_engdie">[2]PROD!#REF!</definedName>
    <definedName name="bg_mandie">[2]PROD!#REF!</definedName>
    <definedName name="bg_mp">[2]PROD!#REF!</definedName>
    <definedName name="BLOCK">#REF!</definedName>
    <definedName name="BUDGET">[2]PROD!#REF!</definedName>
    <definedName name="CalendarYear">'[3]Jan-feb'!$L$2</definedName>
    <definedName name="cuprut">[1]PPIC!#REF!</definedName>
    <definedName name="data1">#REF!</definedName>
    <definedName name="data2">[4]Density!$A$5:$F$199</definedName>
    <definedName name="_xlnm.Database">#REF!</definedName>
    <definedName name="DataFormulasi">'[5]2020data'!$A$3:$CK$113</definedName>
    <definedName name="date1">#REF!</definedName>
    <definedName name="Excel_BuiltIn__FilterDatabase_10">#REF!</definedName>
    <definedName name="Excel_BuiltIn__FilterDatabase_10_1">#REF!</definedName>
    <definedName name="Excel_BuiltIn__FilterDatabase_10_1_1">#REF!</definedName>
    <definedName name="Excel_BuiltIn__FilterDatabase_10_1_1_1">#REF!</definedName>
    <definedName name="Excel_BuiltIn__FilterDatabase_10_2">#REF!</definedName>
    <definedName name="Excel_BuiltIn__FilterDatabase_11">#REF!</definedName>
    <definedName name="Excel_BuiltIn__FilterDatabase_11_1">#REF!</definedName>
    <definedName name="Excel_BuiltIn__FilterDatabase_11_1_1">#REF!</definedName>
    <definedName name="Excel_BuiltIn__FilterDatabase_11_1_1_1">#REF!</definedName>
    <definedName name="Excel_BuiltIn__FilterDatabase_12">#REF!</definedName>
    <definedName name="Excel_BuiltIn__FilterDatabase_13">#REF!</definedName>
    <definedName name="Excel_BuiltIn__FilterDatabase_14">#REF!</definedName>
    <definedName name="Excel_BuiltIn__FilterDatabase_2">#REF!</definedName>
    <definedName name="Excel_BuiltIn__FilterDatabase_3">"$#REF!.$A$4:$IV$4"</definedName>
    <definedName name="Excel_BuiltIn__FilterDatabase_4">#REF!</definedName>
    <definedName name="Excel_BuiltIn__FilterDatabase_4_10">#REF!</definedName>
    <definedName name="Excel_BuiltIn__FilterDatabase_4_17">#REF!</definedName>
    <definedName name="Excel_BuiltIn__FilterDatabase_4_3">#REF!</definedName>
    <definedName name="Excel_BuiltIn__FilterDatabase_4_5">#REF!</definedName>
    <definedName name="Excel_BuiltIn__FilterDatabase_4_8">#REF!</definedName>
    <definedName name="Excel_BuiltIn__FilterDatabase_5">"'file:///C:/Documents and Settings/hanung/My Documents/ADK REKAP OT NOVEMBER 2008.xls'#$'Supp Cost Dept'.$#REF!$#REF!:$#REF!$#REF!"</definedName>
    <definedName name="Excel_BuiltIn__FilterDatabase_5_7">"'file:///home/bambang/Bambang/2009/OVER TIME/FEBRUARI/Bambang/Lembur/REKAP OKTOBER/ADK REKAP OT NOVEMBER 20081.xls'#$'Supp Cost Dept'.$#REF!$#REF!:$#REF!$#REF!"</definedName>
    <definedName name="Excel_BuiltIn__FilterDatabase_5_8">"'file:///home/bambang/Bambang/2009/OVER TIME/FEBRUARI/Bambang/Lembur/REKAP OKTOBER/ADK REKAP OT NOVEMBER 20081.xls'#$'Supp Cost Dept'.$#REF!$#REF!:$#REF!$#REF!"</definedName>
    <definedName name="Excel_BuiltIn__FilterDatabase_6">"'file:///C:/Documents and Settings/hanung/My Documents/ADK REKAP OT NOVEMBER 2008.xls'#$'Supp Cost Plant_'.$#REF!$#REF!:$#REF!$#REF!"</definedName>
    <definedName name="Excel_BuiltIn__FilterDatabase_6_7">"'file:///home/bambang/Bambang/2009/OVER TIME/FEBRUARI/Bambang/Lembur/REKAP OKTOBER/ADK REKAP OT NOVEMBER 20081.xls'#$'Supp Cost Plant_'.$#REF!$#REF!:$#REF!$#REF!"</definedName>
    <definedName name="Excel_BuiltIn__FilterDatabase_6_8">"'file:///home/bambang/Bambang/2009/OVER TIME/FEBRUARI/Bambang/Lembur/REKAP OKTOBER/ADK REKAP OT NOVEMBER 20081.xls'#$'Supp Cost Plant_'.$#REF!$#REF!:$#REF!$#REF!"</definedName>
    <definedName name="Excel_BuiltIn__FilterDatabase_9">#REF!</definedName>
    <definedName name="Excel_BuiltIn_Database">#REF!</definedName>
    <definedName name="Excel_BuiltIn_Database_1">"$#REF!.$A$4:$G$89"</definedName>
    <definedName name="Excel_BuiltIn_Database_13">#REF!</definedName>
    <definedName name="Excel_BuiltIn_Database_13_3">#REF!</definedName>
    <definedName name="Excel_BuiltIn_Database_13_7">#REF!</definedName>
    <definedName name="Excel_BuiltIn_Database_13_9">#REF!</definedName>
    <definedName name="Excel_BuiltIn_Database_3">#REF!</definedName>
    <definedName name="Excel_BuiltIn_Database_7">#REF!</definedName>
    <definedName name="Excel_BuiltIn_Database_9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_1_1_1_1_1_1">#REF!</definedName>
    <definedName name="Excel_BuiltIn_Print_Area_1_1_1_1_1_1_1_1">#REF!</definedName>
    <definedName name="Excel_BuiltIn_Print_Area_1_1_7">"$#REF!.$#REF!$#REF!:$#REF!$#REF!"</definedName>
    <definedName name="Excel_BuiltIn_Print_Area_1_1_8">"$#REF!.$#REF!$#REF!:$#REF!$#REF!"</definedName>
    <definedName name="Excel_BuiltIn_Print_Area_1_1_9">#REF!</definedName>
    <definedName name="Excel_BuiltIn_Print_Area_1_7">"$#REF!.$B$2:$L$343"</definedName>
    <definedName name="Excel_BuiltIn_Print_Area_1_9">#REF!</definedName>
    <definedName name="Excel_BuiltIn_Print_Area_10">#REF!</definedName>
    <definedName name="Excel_BuiltIn_Print_Area_10_1">NA()</definedName>
    <definedName name="Excel_BuiltIn_Print_Area_10_1_1">#REF!</definedName>
    <definedName name="Excel_BuiltIn_Print_Area_10_1_1_1">"$#REF!.$B$1:$M$18"</definedName>
    <definedName name="Excel_BuiltIn_Print_Area_10_2">#REF!</definedName>
    <definedName name="Excel_BuiltIn_Print_Area_10_3">#REF!</definedName>
    <definedName name="Excel_BuiltIn_Print_Area_10_4">#REF!</definedName>
    <definedName name="Excel_BuiltIn_Print_Area_10_5">#REF!</definedName>
    <definedName name="Excel_BuiltIn_Print_Area_10_7">"$#REF!.$#REF!$#REF!:$#REF!$#REF!"</definedName>
    <definedName name="Excel_BuiltIn_Print_Area_10_8">"$#REF!.$#REF!$#REF!:$#REF!$#REF!"</definedName>
    <definedName name="Excel_BuiltIn_Print_Area_10_9">#REF!</definedName>
    <definedName name="Excel_BuiltIn_Print_Area_11">#REF!</definedName>
    <definedName name="Excel_BuiltIn_Print_Area_11_1">NA()</definedName>
    <definedName name="Excel_BuiltIn_Print_Area_11_2">#REF!</definedName>
    <definedName name="Excel_BuiltIn_Print_Area_11_2_3">#REF!</definedName>
    <definedName name="Excel_BuiltIn_Print_Area_11_2_4">#REF!</definedName>
    <definedName name="Excel_BuiltIn_Print_Area_11_2_5">#REF!</definedName>
    <definedName name="Excel_BuiltIn_Print_Area_12">#REF!</definedName>
    <definedName name="Excel_BuiltIn_Print_Area_12_1">NA()</definedName>
    <definedName name="Excel_BuiltIn_Print_Area_12_9">#REF!</definedName>
    <definedName name="Excel_BuiltIn_Print_Area_13">#REF!</definedName>
    <definedName name="Excel_BuiltIn_Print_Area_13_1">(#REF!,#REF!)</definedName>
    <definedName name="Excel_BuiltIn_Print_Area_14">#REF!</definedName>
    <definedName name="Excel_BuiltIn_Print_Area_14_1">#REF!</definedName>
    <definedName name="Excel_BuiltIn_Print_Area_14_1_1">"$#REF!.$A$80:$O$156"</definedName>
    <definedName name="Excel_BuiltIn_Print_Area_15">"$#REF!.$B$4:$D$23"</definedName>
    <definedName name="Excel_BuiltIn_Print_Area_15_1">#REF!</definedName>
    <definedName name="Excel_BuiltIn_Print_Area_15_1_1">[6]DENOMINASI!$M$31:$S$45,[6]DENOMINASI!$T$3:$W$30</definedName>
    <definedName name="Excel_BuiltIn_Print_Area_15_1_1_1">"$#REF!.$A$2:$O$73"</definedName>
    <definedName name="Excel_BuiltIn_Print_Area_16">(#REF!,#REF!)</definedName>
    <definedName name="Excel_BuiltIn_Print_Area_16_1_1">"$#REF!.$A$2:$O$106"</definedName>
    <definedName name="Excel_BuiltIn_Print_Area_17">'[7]TOOL MAKING'!#REF!</definedName>
    <definedName name="Excel_BuiltIn_Print_Area_17_1">"$#REF!.$A$2:$O$105"</definedName>
    <definedName name="Excel_BuiltIn_Print_Area_18_1_1_1">"$#REF!.$A$2:$O$71"</definedName>
    <definedName name="Excel_BuiltIn_Print_Area_19">#REF!</definedName>
    <definedName name="Excel_BuiltIn_Print_Area_19_1_1">[6]DENOMINASI!$M$31:$S$44,[6]DENOMINASI!$T$3:$W$30</definedName>
    <definedName name="Excel_BuiltIn_Print_Area_2_1">NA()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#REF!</definedName>
    <definedName name="Excel_BuiltIn_Print_Area_2_1_1_1_1_1_1_1">#REF!</definedName>
    <definedName name="Excel_BuiltIn_Print_Area_2_1_1_1_1_1_1_1_1">"$#REF!.$B$968:$AW$996"</definedName>
    <definedName name="Excel_BuiltIn_Print_Area_2_1_1_1_1_1_1_1_1_1">"$#REF!.$#REF!$#REF!:$#REF!$#REF!"</definedName>
    <definedName name="Excel_BuiltIn_Print_Area_2_1_3">#REF!</definedName>
    <definedName name="Excel_BuiltIn_Print_Area_2_1_4">#REF!</definedName>
    <definedName name="Excel_BuiltIn_Print_Area_2_1_5">#REF!</definedName>
    <definedName name="Excel_BuiltIn_Print_Area_2_1_9">#REF!</definedName>
    <definedName name="Excel_BuiltIn_Print_Area_2_12">"$PROD.$#REF!$#REF!:$#REF!$#REF!"</definedName>
    <definedName name="Excel_BuiltIn_Print_Area_20">#REF!</definedName>
    <definedName name="Excel_BuiltIn_Print_Area_20_1">#REF!</definedName>
    <definedName name="Excel_BuiltIn_Print_Area_20_1_1">#REF!</definedName>
    <definedName name="Excel_BuiltIn_Print_Area_20_1_1_1">#REF!</definedName>
    <definedName name="Excel_BuiltIn_Print_Area_20_1_1_1_1_1">[6]DENOMINASI!$M$31:$S$45,[6]DENOMINASI!$W$3:$Z$25</definedName>
    <definedName name="Excel_BuiltIn_Print_Area_21">#REF!</definedName>
    <definedName name="Excel_BuiltIn_Print_Area_21_1">#REF!</definedName>
    <definedName name="Excel_BuiltIn_Print_Area_21_1_1">#REF!</definedName>
    <definedName name="Excel_BuiltIn_Print_Area_21_1_1_1_1">[6]DENOMINASI!$M$31:$S$45,[6]DENOMINASI!$M$31:$S$45,[6]DENOMINASI!$A$3:$J$25</definedName>
    <definedName name="Excel_BuiltIn_Print_Area_22_1_1">[6]DENOMINASI!$A$49:$J$91,[6]DENOMINASI!$A$49:$J$91,[6]DENOMINASI!$M$49:$P$57,[6]DENOMINASI!$M$49:$P$59</definedName>
    <definedName name="Excel_BuiltIn_Print_Area_23">"$#REF!.$A$75:$N$155"</definedName>
    <definedName name="Excel_BuiltIn_Print_Area_23_1">[6]DENOMINASI!$M$31:$S$44,[6]DENOMINASI!$A$3:$J$27,[6]DENOMINASI!$A$3:$J$27,[6]DENOMINASI!$A$3:$J$27</definedName>
    <definedName name="Excel_BuiltIn_Print_Area_24_1">"$#REF!.$A$1:$O$41;$#REF!.$A$42:$O$137;$#REF!.$A$42:$O$137"</definedName>
    <definedName name="Excel_BuiltIn_Print_Area_24_1_1">[6]DENOMINASI!$M$31:$S$45,[6]DENOMINASI!$A$3:$J$26</definedName>
    <definedName name="Excel_BuiltIn_Print_Area_25">#REF!</definedName>
    <definedName name="Excel_BuiltIn_Print_Area_25_1">#REF!</definedName>
    <definedName name="Excel_BuiltIn_Print_Area_25_1_1">[6]DENOMINASI!$M$31:$T$44,[6]DENOMINASI!$T$3:$W$25</definedName>
    <definedName name="Excel_BuiltIn_Print_Area_25_1_1_1_1">[7]R_PGA!$A$11:$P$12,[7]R_PGA!$A$11:$P$12</definedName>
    <definedName name="Excel_BuiltIn_Print_Area_25_1_4">#REF!</definedName>
    <definedName name="Excel_BuiltIn_Print_Area_25_2">#REF!</definedName>
    <definedName name="Excel_BuiltIn_Print_Area_25_4">#REF!</definedName>
    <definedName name="Excel_BuiltIn_Print_Area_26">[6]DENOMINASI!$M$31:$S$44,[6]DENOMINASI!$M$31:$S$44,[6]DENOMINASI!$T$1:$W$25</definedName>
    <definedName name="Excel_BuiltIn_Print_Area_26_1">[7]R_QC!$A$7:$P$7,[7]R_QC!$A$10:$N$10</definedName>
    <definedName name="Excel_BuiltIn_Print_Area_29">"$#REF!.$A$214:$N$227"</definedName>
    <definedName name="Excel_BuiltIn_Print_Area_3">#REF!</definedName>
    <definedName name="Excel_BuiltIn_Print_Area_3_1">NA()</definedName>
    <definedName name="Excel_BuiltIn_Print_Area_3_1_1">#REF!</definedName>
    <definedName name="Excel_BuiltIn_Print_Area_3_1_1_1">"$PPIC.$#REF!$#REF!:$#REF!$#REF!"</definedName>
    <definedName name="Excel_BuiltIn_Print_Area_3_1_1_1_1">#REF!</definedName>
    <definedName name="Excel_BuiltIn_Print_Area_3_1_1_1_1_1">"$#REF!.$#REF!$#REF!:$#REF!$#REF!"</definedName>
    <definedName name="Excel_BuiltIn_Print_Area_3_1_9">#REF!</definedName>
    <definedName name="Excel_BuiltIn_Print_Area_3_9">#REF!</definedName>
    <definedName name="Excel_BuiltIn_Print_Area_4">NA()</definedName>
    <definedName name="Excel_BuiltIn_Print_Area_4_1">#REF!</definedName>
    <definedName name="Excel_BuiltIn_Print_Area_4_1_1">#REF!</definedName>
    <definedName name="Excel_BuiltIn_Print_Area_4_1_1_1">#REF!</definedName>
    <definedName name="Excel_BuiltIn_Print_Area_4_1_1_1_1">#REF!</definedName>
    <definedName name="Excel_BuiltIn_Print_Area_4_1_1_1_1_1">#REF!</definedName>
    <definedName name="Excel_BuiltIn_Print_Area_4_1_1_1_1_1_1">(#REF!,#REF!)</definedName>
    <definedName name="Excel_BuiltIn_Print_Area_4_1_1_1_1_1_1_1">#REF!</definedName>
    <definedName name="Excel_BuiltIn_Print_Area_4_1_1_1_1_1_1_1_1">#REF!</definedName>
    <definedName name="Excel_BuiltIn_Print_Area_4_1_1_1_1_1_1_1_1_1">#REF!</definedName>
    <definedName name="Excel_BuiltIn_Print_Area_4_1_1_1_1_1_1_1_1_1_1">(#REF!,#REF!)</definedName>
    <definedName name="Excel_BuiltIn_Print_Area_4_1_1_1_1_1_1_1_1_1_1_1">#REF!</definedName>
    <definedName name="Excel_BuiltIn_Print_Area_4_1_7">"$#REF!.$B$1:$M$342"</definedName>
    <definedName name="Excel_BuiltIn_Print_Area_4_1_9">#REF!</definedName>
    <definedName name="Excel_BuiltIn_Print_Area_4_10">#REF!</definedName>
    <definedName name="Excel_BuiltIn_Print_Area_4_12">"$QC.$#REF!$#REF!:$#REF!$#REF!"</definedName>
    <definedName name="Excel_BuiltIn_Print_Area_4_17">#REF!</definedName>
    <definedName name="Excel_BuiltIn_Print_Area_4_3">#REF!</definedName>
    <definedName name="Excel_BuiltIn_Print_Area_4_5">#REF!</definedName>
    <definedName name="Excel_BuiltIn_Print_Area_4_8">#REF!</definedName>
    <definedName name="Excel_BuiltIn_Print_Area_5">#REF!</definedName>
    <definedName name="Excel_BuiltIn_Print_Area_5_1">NA()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"$#REF!.$A$1:$AW$1218"</definedName>
    <definedName name="Excel_BuiltIn_Print_Area_5_1_1_1_1_1_1_1">"$#REF!.$#REF!$#REF!:$#REF!$#REF!"</definedName>
    <definedName name="Excel_BuiltIn_Print_Area_5_1_1_1_1_1_1_1_1">(#REF!,#REF!,#REF!)</definedName>
    <definedName name="Excel_BuiltIn_Print_Area_5_1_1_1_1_1_1_1_1_1">(#REF!,#REF!,#REF!,#REF!)</definedName>
    <definedName name="Excel_BuiltIn_Print_Area_5_1_1_1_1_1_1_1_1_1_1">(#REF!,#REF!,#REF!)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_1">#REF!</definedName>
    <definedName name="Excel_BuiltIn_Print_Area_6_1_1_1_1_1">"$#REF!.$B$1:$M$145"</definedName>
    <definedName name="Excel_BuiltIn_Print_Area_6_1_1_1_1_1_1">"$#REF!.$B$1:$AW$29"</definedName>
    <definedName name="Excel_BuiltIn_Print_Area_6_9">#REF!</definedName>
    <definedName name="Excel_BuiltIn_Print_Area_7_1">NA()</definedName>
    <definedName name="Excel_BuiltIn_Print_Area_7_1_1">#REF!</definedName>
    <definedName name="Excel_BuiltIn_Print_Area_7_1_1_1">"$#REF!.$B$60:$CA$110"</definedName>
    <definedName name="Excel_BuiltIn_Print_Area_7_9">#REF!</definedName>
    <definedName name="Excel_BuiltIn_Print_Area_8_1">NA()</definedName>
    <definedName name="Excel_BuiltIn_Print_Area_8_1_1">NA()</definedName>
    <definedName name="Excel_BuiltIn_Print_Area_8_1_1_1">NA()</definedName>
    <definedName name="Excel_BuiltIn_Print_Area_8_9">#REF!</definedName>
    <definedName name="Excel_BuiltIn_Print_Area_9">#REF!</definedName>
    <definedName name="Excel_BuiltIn_Print_Area_9_1">NA()</definedName>
    <definedName name="Excel_BuiltIn_Print_Area_9_1_1">#REF!</definedName>
    <definedName name="Excel_BuiltIn_Print_Area_9_10">#REF!</definedName>
    <definedName name="Excel_BuiltIn_Print_Area_9_10_1">#REF!</definedName>
    <definedName name="Excel_BuiltIn_Print_Area_9_10_2">#REF!</definedName>
    <definedName name="Excel_BuiltIn_Print_Area_9_10_3">#REF!</definedName>
    <definedName name="Excel_BuiltIn_Print_Area_9_10_4">#REF!</definedName>
    <definedName name="Excel_BuiltIn_Print_Area_9_10_5">#REF!</definedName>
    <definedName name="Excel_BuiltIn_Print_Area_9_11">"$#REF!.$A$2:$O$107"</definedName>
    <definedName name="Excel_BuiltIn_Print_Area_9_12">"$#REF!.$A$2:$O$107"</definedName>
    <definedName name="Excel_BuiltIn_Print_Area_9_13">"$#REF!.$A$2:$O$76"</definedName>
    <definedName name="Excel_BuiltIn_Print_Area_9_14">"$#REF!.$A$2:$O$77"</definedName>
    <definedName name="Excel_BuiltIn_Print_Area_9_15">"$#REF!.$A$2:$O$71"</definedName>
    <definedName name="Excel_BuiltIn_Print_Area_9_16">"$#REF!.$A$2:$O$104"</definedName>
    <definedName name="Excel_BuiltIn_Print_Area_9_17">"$#REF!.$A$2:$O$103"</definedName>
    <definedName name="Excel_BuiltIn_Print_Area_9_18">"$#REF!.$A$2:$O$69"</definedName>
    <definedName name="Excel_BuiltIn_Print_Area_9_9">#REF!</definedName>
    <definedName name="Excel_BuiltIn_Print_Titles_1">#REF!</definedName>
    <definedName name="Excel_BuiltIn_Print_Titles_1_1">#REF!</definedName>
    <definedName name="Excel_BuiltIn_Print_Titles_11">'[8]INPUT CONTROL'!$A$1:$C$65536,'[8]INPUT CONTROL'!$A$3:$IV$37</definedName>
    <definedName name="Excel_BuiltIn_Print_Titles_2">"$#REF!.$A$2:$IV$4"</definedName>
    <definedName name="Excel_BuiltIn_Print_Titles_2_1">#REF!</definedName>
    <definedName name="Excel_BuiltIn_Print_Titles_2_1_1_1">"$#REF!.$A$2:$IV$4"</definedName>
    <definedName name="Excel_BuiltIn_Print_Titles_2_1_1_1_1">"$#REF!.$A$2:$IV$4"</definedName>
    <definedName name="Excel_BuiltIn_Print_Titles_2_1_1_1_1_1">"$#REF!.$B$7:$BY$9"</definedName>
    <definedName name="Excel_BuiltIn_Print_Titles_3">"$#REF!.$A$2:$IV$4"</definedName>
    <definedName name="Excel_BuiltIn_Print_Titles_3_1">"$#REF!.$A$2:$IV$4"</definedName>
    <definedName name="Excel_BuiltIn_Print_Titles_3_1_1">"$#REF!.$A$2:$IV$4"</definedName>
    <definedName name="Excel_BuiltIn_Print_Titles_3_1_1_1">"$#REF!.$B$7:$CJ$9"</definedName>
    <definedName name="Excel_BuiltIn_Print_Titles_3_1_1_1_1">"$#REF!.$#REF!$#REF!"</definedName>
    <definedName name="Excel_BuiltIn_Print_Titles_3_1_1_1_1_1">"$#REF!.$#REF!$#REF!"</definedName>
    <definedName name="Excel_BuiltIn_Print_Titles_4">"$#REF!.$A$2:$IV$4"</definedName>
    <definedName name="Excel_BuiltIn_Print_Titles_4_1">"$#REF!.$#REF!$#REF!"</definedName>
    <definedName name="Excel_BuiltIn_Print_Titles_4_5">"$#REF!.$A$2:$IV$4"</definedName>
    <definedName name="Excel_BuiltIn_Print_Titles_5">#REF!</definedName>
    <definedName name="Excel_BuiltIn_Print_Titles_5_1">"$#REF!.$B$2:$ES$4"</definedName>
    <definedName name="Excel_BuiltIn_Print_Titles_5_1_1">#REF!</definedName>
    <definedName name="Excel_BuiltIn_Print_Titles_5_1_1_1">#REF!</definedName>
    <definedName name="Excel_BuiltIn_Print_Titles_5_1_1_1_1">"$#REF!.$B$2:$ES$4"</definedName>
    <definedName name="Excel_BuiltIn_Print_Titles_5_1_1_1_1_1">"$#REF!.$A$2:$IV$4"</definedName>
    <definedName name="Excel_BuiltIn_Print_Titles_7">#REF!</definedName>
    <definedName name="Excel_BuiltIn_Print_Titles_7_1">#REF!</definedName>
    <definedName name="Excel_BuiltIn_Print_Titles_8">#REF!</definedName>
    <definedName name="Excel_BuiltIn_Print_Titles_8_1">NA()</definedName>
    <definedName name="Excel_BuiltIn_Print_Titles_8_1_1">NA()</definedName>
    <definedName name="Excel_BuiltIn_Print_Titles_8_1_1_1">NA()</definedName>
    <definedName name="Excel_BuiltIn_Print_Titles_9">"$#REF!.$A$3:$IV$5"</definedName>
    <definedName name="FOAM">#REF!</definedName>
    <definedName name="FOAM_TYPE">'[9]Mattrass Daily Report '!$AD$9:$AD$67</definedName>
    <definedName name="gs_die">[2]PROD!#REF!</definedName>
    <definedName name="gs_engdie">[2]PROD!#REF!</definedName>
    <definedName name="gs_mp">[2]PROD!#REF!</definedName>
    <definedName name="GSMP">#REF!</definedName>
    <definedName name="H">#REF!</definedName>
    <definedName name="Header">'[5]2020data'!$A$3:$CK$3</definedName>
    <definedName name="heading1">#REF!</definedName>
    <definedName name="heading2">[4]Density!$A$5:$F$5</definedName>
    <definedName name="hhhh">#REF!</definedName>
    <definedName name="insentifshift">[10]PROD!#REF!</definedName>
    <definedName name="juju">#REF!</definedName>
    <definedName name="LENGHT">#REF!</definedName>
    <definedName name="LIST">"$#REF!.$E$12:$FF$71"</definedName>
    <definedName name="LIST1">"$'CUTTING GNR'.$#REF!$#REF!:$#REF!$#REF!"</definedName>
    <definedName name="makan">[10]PROD!#REF!</definedName>
    <definedName name="maret.ok">[11]ARSIP!$A$3:$AD$3</definedName>
    <definedName name="NOCV">#REF!</definedName>
    <definedName name="NOCV_3">#REF!</definedName>
    <definedName name="NOCV_7">#REF!</definedName>
    <definedName name="NOCV_9">#REF!</definedName>
    <definedName name="NOTOV_10">#REF!</definedName>
    <definedName name="OLE_LINK6_3">"'file:///C:/Documents and Settings/hanung/My Documents/ADK REKAP OT NOVEMBER 2008.xls'#$Mould.$#REF!$#REF!"</definedName>
    <definedName name="OLE_LINK6_3_7">"'file:///home/bambang/Bambang/2009/OVER TIME/FEBRUARI/Bambang/Lembur/REKAP OKTOBER/ADK REKAP OT NOVEMBER 20081.xls'#$Mould.$#REF!$#REF!"</definedName>
    <definedName name="OLE_LINK6_3_8">"'file:///home/bambang/Bambang/2009/OVER TIME/FEBRUARI/Bambang/Lembur/REKAP OKTOBER/ADK REKAP OT NOVEMBER 20081.xls'#$Mould.$#REF!$#REF!"</definedName>
    <definedName name="PCS">#REF!</definedName>
    <definedName name="PCS_13">#REF!</definedName>
    <definedName name="PCS_13_3">#REF!</definedName>
    <definedName name="PCS_13_7">#REF!</definedName>
    <definedName name="PCS_13_9">#REF!</definedName>
    <definedName name="PCS_3">#REF!</definedName>
    <definedName name="PCS_7">#REF!</definedName>
    <definedName name="PCS_9">#REF!</definedName>
    <definedName name="PONA">[12]Sheet1!#REF!</definedName>
    <definedName name="pro_engdie">[2]PROD!#REF!</definedName>
    <definedName name="pro_mandie">[2]PROD!#REF!</definedName>
    <definedName name="pro_mp">[2]PROD!#REF!</definedName>
    <definedName name="Productivity_Data">OFFSET('[13]Input OEE LAMINATING rev'!$A$5,0,0,COUNTA('[13]Input OEE LAMINATING rev'!$A$5:$A$30),COUNTA('[13]Input OEE LAMINATING rev'!$A$5:$AS$5))</definedName>
    <definedName name="rekap">#REF!</definedName>
    <definedName name="revisi">#REF!</definedName>
    <definedName name="SHARED_FORMULA_4_122_4_122_0">NA()</definedName>
    <definedName name="SHARED_FORMULA_4_127_4_127_0">NA()</definedName>
    <definedName name="SHARED_FORMULA_4_143_4_143_0">NA()</definedName>
    <definedName name="SHARED_FORMULA_4_144_4_144_0">NA()</definedName>
    <definedName name="SHARED_FORMULA_4_160_4_160_0">NA()</definedName>
    <definedName name="SHARED_FORMULA_4_161_4_161_0">NA()</definedName>
    <definedName name="SHARED_FORMULA_4_34_4_34_0">NA()</definedName>
    <definedName name="SHARED_FORMULA_4_57_4_57_0">NA()</definedName>
    <definedName name="SHARED_FORMULA_4_69_4_69_0">NA()</definedName>
    <definedName name="SHARED_FORMULA_4_86_4_86_0">NA()</definedName>
    <definedName name="SHARED_FORMULA_4_87_4_87_0">NA()</definedName>
    <definedName name="tagh">#REF!</definedName>
    <definedName name="tg_engdie">[2]PROD!#REF!</definedName>
    <definedName name="tg_mandie">[2]PROD!#REF!</definedName>
    <definedName name="tg_mp">[2]PROD!#REF!</definedName>
    <definedName name="THICKNES">#REF!</definedName>
    <definedName name="TODAY">[2]PROD!#REF!</definedName>
    <definedName name="Transport">#REF!</definedName>
    <definedName name="ts_kyw">[2]PROD!#REF!</definedName>
    <definedName name="type">#REF!</definedName>
    <definedName name="WIDTH">#REF!</definedName>
    <definedName name="XCZX">#REF!</definedName>
    <definedName name="y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4972" i="1" l="1"/>
  <c r="BO4972" i="1"/>
  <c r="BN4972" i="1"/>
  <c r="BM4972" i="1"/>
  <c r="BL4972" i="1"/>
  <c r="BK4972" i="1"/>
  <c r="BJ4972" i="1"/>
  <c r="BI4972" i="1"/>
  <c r="BH4972" i="1"/>
  <c r="BP4971" i="1"/>
  <c r="BO4971" i="1"/>
  <c r="BN4971" i="1"/>
  <c r="BM4971" i="1"/>
  <c r="BL4971" i="1"/>
  <c r="BK4971" i="1"/>
  <c r="BJ4971" i="1"/>
  <c r="BI4971" i="1"/>
  <c r="BH4971" i="1"/>
  <c r="BP4970" i="1"/>
  <c r="BO4970" i="1"/>
  <c r="BN4970" i="1"/>
  <c r="BM4970" i="1"/>
  <c r="BL4970" i="1"/>
  <c r="BK4970" i="1"/>
  <c r="BJ4970" i="1"/>
  <c r="BI4970" i="1"/>
  <c r="BH4970" i="1"/>
  <c r="AQ4970" i="1"/>
  <c r="BP4969" i="1"/>
  <c r="BO4969" i="1"/>
  <c r="BN4969" i="1"/>
  <c r="BM4969" i="1"/>
  <c r="BL4969" i="1"/>
  <c r="BK4969" i="1"/>
  <c r="BJ4969" i="1"/>
  <c r="BI4969" i="1"/>
  <c r="BH4969" i="1"/>
  <c r="AB4969" i="1"/>
  <c r="BP4968" i="1"/>
  <c r="BO4968" i="1"/>
  <c r="BN4968" i="1"/>
  <c r="BL4968" i="1"/>
  <c r="BK4968" i="1"/>
  <c r="BJ4968" i="1"/>
  <c r="BI4968" i="1"/>
  <c r="BH4968" i="1"/>
  <c r="AS4968" i="1"/>
  <c r="BM4968" i="1" s="1"/>
  <c r="AN4968" i="1"/>
  <c r="BP4967" i="1"/>
  <c r="BO4967" i="1"/>
  <c r="BN4967" i="1"/>
  <c r="BL4967" i="1"/>
  <c r="BK4967" i="1"/>
  <c r="BJ4967" i="1"/>
  <c r="BI4967" i="1"/>
  <c r="BH4967" i="1"/>
  <c r="AS4967" i="1"/>
  <c r="AN4967" i="1"/>
  <c r="BM4967" i="1" s="1"/>
  <c r="BP4966" i="1"/>
  <c r="BO4966" i="1"/>
  <c r="BN4966" i="1"/>
  <c r="BL4966" i="1"/>
  <c r="BK4966" i="1"/>
  <c r="BJ4966" i="1"/>
  <c r="BI4966" i="1"/>
  <c r="BH4966" i="1"/>
  <c r="AS4966" i="1"/>
  <c r="AN4966" i="1"/>
  <c r="BM4966" i="1" s="1"/>
  <c r="BP4965" i="1"/>
  <c r="BM4965" i="1"/>
  <c r="BL4965" i="1"/>
  <c r="BJ4965" i="1"/>
  <c r="BI4965" i="1"/>
  <c r="BH4965" i="1"/>
  <c r="BG4965" i="1"/>
  <c r="BF4965" i="1"/>
  <c r="BA4965" i="1"/>
  <c r="BO4965" i="1" s="1"/>
  <c r="AT4965" i="1"/>
  <c r="BN4965" i="1" s="1"/>
  <c r="X4965" i="1"/>
  <c r="BK4965" i="1" s="1"/>
  <c r="S4965" i="1"/>
  <c r="M4965" i="1"/>
  <c r="C4965" i="1"/>
  <c r="BP4964" i="1"/>
  <c r="BO4964" i="1"/>
  <c r="BN4964" i="1"/>
  <c r="BM4964" i="1"/>
  <c r="BL4964" i="1"/>
  <c r="BK4964" i="1"/>
  <c r="BJ4964" i="1"/>
  <c r="BI4964" i="1"/>
  <c r="BH4964" i="1"/>
  <c r="V4964" i="1"/>
  <c r="BP4963" i="1"/>
  <c r="BO4963" i="1"/>
  <c r="BN4963" i="1"/>
  <c r="BM4963" i="1"/>
  <c r="BL4963" i="1"/>
  <c r="BK4963" i="1"/>
  <c r="BJ4963" i="1"/>
  <c r="BI4963" i="1"/>
  <c r="BH4963" i="1"/>
  <c r="BP4962" i="1"/>
  <c r="BO4962" i="1"/>
  <c r="BN4962" i="1"/>
  <c r="BL4962" i="1"/>
  <c r="BK4962" i="1"/>
  <c r="BJ4962" i="1"/>
  <c r="BI4962" i="1"/>
  <c r="BH4962" i="1"/>
  <c r="AQ4962" i="1"/>
  <c r="AB4962" i="1"/>
  <c r="BM4962" i="1" s="1"/>
  <c r="BP4961" i="1"/>
  <c r="BO4961" i="1"/>
  <c r="BN4961" i="1"/>
  <c r="BL4961" i="1"/>
  <c r="BK4961" i="1"/>
  <c r="BJ4961" i="1"/>
  <c r="BI4961" i="1"/>
  <c r="BH4961" i="1"/>
  <c r="AQ4961" i="1"/>
  <c r="BM4961" i="1" s="1"/>
  <c r="BP4960" i="1"/>
  <c r="BO4960" i="1"/>
  <c r="BN4960" i="1"/>
  <c r="BM4960" i="1"/>
  <c r="BL4960" i="1"/>
  <c r="BK4960" i="1"/>
  <c r="BJ4960" i="1"/>
  <c r="BI4960" i="1"/>
  <c r="BH4960" i="1"/>
  <c r="AS4960" i="1"/>
  <c r="AN4960" i="1"/>
  <c r="BP4959" i="1"/>
  <c r="BO4959" i="1"/>
  <c r="BN4959" i="1"/>
  <c r="BL4959" i="1"/>
  <c r="BK4959" i="1"/>
  <c r="BJ4959" i="1"/>
  <c r="BI4959" i="1"/>
  <c r="BH4959" i="1"/>
  <c r="AR4959" i="1"/>
  <c r="BM4959" i="1" s="1"/>
  <c r="AN4959" i="1"/>
  <c r="BP4958" i="1"/>
  <c r="BO4958" i="1"/>
  <c r="BN4958" i="1"/>
  <c r="BL4958" i="1"/>
  <c r="BK4958" i="1"/>
  <c r="BJ4958" i="1"/>
  <c r="BI4958" i="1"/>
  <c r="BH4958" i="1"/>
  <c r="AR4958" i="1"/>
  <c r="AN4958" i="1"/>
  <c r="BM4958" i="1" s="1"/>
  <c r="AI4958" i="1"/>
  <c r="BP4957" i="1"/>
  <c r="BO4957" i="1"/>
  <c r="BN4957" i="1"/>
  <c r="BL4957" i="1"/>
  <c r="BK4957" i="1"/>
  <c r="BJ4957" i="1"/>
  <c r="BH4957" i="1"/>
  <c r="AR4957" i="1"/>
  <c r="AQ4957" i="1"/>
  <c r="BM4957" i="1" s="1"/>
  <c r="P4957" i="1"/>
  <c r="BI4957" i="1" s="1"/>
  <c r="BP4956" i="1"/>
  <c r="BO4956" i="1"/>
  <c r="BN4956" i="1"/>
  <c r="BL4956" i="1"/>
  <c r="BK4956" i="1"/>
  <c r="BJ4956" i="1"/>
  <c r="BI4956" i="1"/>
  <c r="BH4956" i="1"/>
  <c r="AR4956" i="1"/>
  <c r="AN4956" i="1"/>
  <c r="BM4956" i="1" s="1"/>
  <c r="BP4955" i="1"/>
  <c r="BO4955" i="1"/>
  <c r="BN4955" i="1"/>
  <c r="BM4955" i="1"/>
  <c r="BL4955" i="1"/>
  <c r="BK4955" i="1"/>
  <c r="BJ4955" i="1"/>
  <c r="BI4955" i="1"/>
  <c r="BH4955" i="1"/>
  <c r="BP4954" i="1"/>
  <c r="BO4954" i="1"/>
  <c r="BN4954" i="1"/>
  <c r="BM4954" i="1"/>
  <c r="BL4954" i="1"/>
  <c r="BK4954" i="1"/>
  <c r="BJ4954" i="1"/>
  <c r="BI4954" i="1"/>
  <c r="BH4954" i="1"/>
  <c r="AB4954" i="1"/>
  <c r="BP4953" i="1"/>
  <c r="BO4953" i="1"/>
  <c r="BN4953" i="1"/>
  <c r="BL4953" i="1"/>
  <c r="BK4953" i="1"/>
  <c r="BJ4953" i="1"/>
  <c r="BI4953" i="1"/>
  <c r="BH4953" i="1"/>
  <c r="AQ4953" i="1"/>
  <c r="BM4953" i="1" s="1"/>
  <c r="BP4952" i="1"/>
  <c r="BO4952" i="1"/>
  <c r="BN4952" i="1"/>
  <c r="BL4952" i="1"/>
  <c r="BK4952" i="1"/>
  <c r="BJ4952" i="1"/>
  <c r="BI4952" i="1"/>
  <c r="BH4952" i="1"/>
  <c r="AR4952" i="1"/>
  <c r="AN4952" i="1"/>
  <c r="BP4951" i="1"/>
  <c r="BO4951" i="1"/>
  <c r="BN4951" i="1"/>
  <c r="BL4951" i="1"/>
  <c r="BK4951" i="1"/>
  <c r="BJ4951" i="1"/>
  <c r="BI4951" i="1"/>
  <c r="BH4951" i="1"/>
  <c r="AR4951" i="1"/>
  <c r="AN4951" i="1"/>
  <c r="BP4950" i="1"/>
  <c r="BO4950" i="1"/>
  <c r="BN4950" i="1"/>
  <c r="BM4950" i="1"/>
  <c r="BL4950" i="1"/>
  <c r="BK4950" i="1"/>
  <c r="BJ4950" i="1"/>
  <c r="BI4950" i="1"/>
  <c r="BH4950" i="1"/>
  <c r="BP4949" i="1"/>
  <c r="BO4949" i="1"/>
  <c r="BN4949" i="1"/>
  <c r="BM4949" i="1"/>
  <c r="BL4949" i="1"/>
  <c r="BK4949" i="1"/>
  <c r="BJ4949" i="1"/>
  <c r="BI4949" i="1"/>
  <c r="BH4949" i="1"/>
  <c r="AP4949" i="1"/>
  <c r="BP4948" i="1"/>
  <c r="BO4948" i="1"/>
  <c r="BN4948" i="1"/>
  <c r="BM4948" i="1"/>
  <c r="BL4948" i="1"/>
  <c r="BK4948" i="1"/>
  <c r="BJ4948" i="1"/>
  <c r="BI4948" i="1"/>
  <c r="BH4948" i="1"/>
  <c r="AQ4948" i="1"/>
  <c r="BP4947" i="1"/>
  <c r="BO4947" i="1"/>
  <c r="BN4947" i="1"/>
  <c r="BM4947" i="1"/>
  <c r="BL4947" i="1"/>
  <c r="BK4947" i="1"/>
  <c r="BJ4947" i="1"/>
  <c r="BI4947" i="1"/>
  <c r="BH4947" i="1"/>
  <c r="AQ4947" i="1"/>
  <c r="AB4947" i="1"/>
  <c r="BP4946" i="1"/>
  <c r="BO4946" i="1"/>
  <c r="BN4946" i="1"/>
  <c r="BL4946" i="1"/>
  <c r="BK4946" i="1"/>
  <c r="BJ4946" i="1"/>
  <c r="BI4946" i="1"/>
  <c r="BH4946" i="1"/>
  <c r="AS4946" i="1"/>
  <c r="AN4946" i="1"/>
  <c r="BM4946" i="1" s="1"/>
  <c r="BP4945" i="1"/>
  <c r="BO4945" i="1"/>
  <c r="BN4945" i="1"/>
  <c r="BL4945" i="1"/>
  <c r="BK4945" i="1"/>
  <c r="BJ4945" i="1"/>
  <c r="BI4945" i="1"/>
  <c r="BH4945" i="1"/>
  <c r="AS4945" i="1"/>
  <c r="BM4945" i="1" s="1"/>
  <c r="BP4944" i="1"/>
  <c r="BO4944" i="1"/>
  <c r="BN4944" i="1"/>
  <c r="BM4944" i="1"/>
  <c r="BL4944" i="1"/>
  <c r="BK4944" i="1"/>
  <c r="BJ4944" i="1"/>
  <c r="BI4944" i="1"/>
  <c r="BH4944" i="1"/>
  <c r="BP4943" i="1"/>
  <c r="BO4943" i="1"/>
  <c r="BN4943" i="1"/>
  <c r="BM4943" i="1"/>
  <c r="BL4943" i="1"/>
  <c r="BK4943" i="1"/>
  <c r="BJ4943" i="1"/>
  <c r="BI4943" i="1"/>
  <c r="BH4943" i="1"/>
  <c r="BP4942" i="1"/>
  <c r="BO4942" i="1"/>
  <c r="BN4942" i="1"/>
  <c r="BM4942" i="1"/>
  <c r="BL4942" i="1"/>
  <c r="BK4942" i="1"/>
  <c r="BJ4942" i="1"/>
  <c r="BI4942" i="1"/>
  <c r="BH4942" i="1"/>
  <c r="AJ4942" i="1"/>
  <c r="N4942" i="1"/>
  <c r="J4942" i="1"/>
  <c r="BP4941" i="1"/>
  <c r="BO4941" i="1"/>
  <c r="BN4941" i="1"/>
  <c r="BM4941" i="1"/>
  <c r="BL4941" i="1"/>
  <c r="BK4941" i="1"/>
  <c r="BJ4941" i="1"/>
  <c r="BI4941" i="1"/>
  <c r="BH4941" i="1"/>
  <c r="BP4940" i="1"/>
  <c r="BO4940" i="1"/>
  <c r="BN4940" i="1"/>
  <c r="BM4940" i="1"/>
  <c r="BL4940" i="1"/>
  <c r="BK4940" i="1"/>
  <c r="BJ4940" i="1"/>
  <c r="BI4940" i="1"/>
  <c r="BH4940" i="1"/>
  <c r="BP4939" i="1"/>
  <c r="BO4939" i="1"/>
  <c r="BN4939" i="1"/>
  <c r="BM4939" i="1"/>
  <c r="BL4939" i="1"/>
  <c r="BK4939" i="1"/>
  <c r="BJ4939" i="1"/>
  <c r="BI4939" i="1"/>
  <c r="BH4939" i="1"/>
  <c r="BP4938" i="1"/>
  <c r="BO4938" i="1"/>
  <c r="BN4938" i="1"/>
  <c r="BM4938" i="1"/>
  <c r="BL4938" i="1"/>
  <c r="BK4938" i="1"/>
  <c r="BJ4938" i="1"/>
  <c r="BI4938" i="1"/>
  <c r="BH4938" i="1"/>
  <c r="AB4938" i="1"/>
  <c r="BP4937" i="1"/>
  <c r="BO4937" i="1"/>
  <c r="BN4937" i="1"/>
  <c r="BM4937" i="1"/>
  <c r="BL4937" i="1"/>
  <c r="BK4937" i="1"/>
  <c r="BJ4937" i="1"/>
  <c r="BH4937" i="1"/>
  <c r="BE4937" i="1"/>
  <c r="X4937" i="1"/>
  <c r="S4937" i="1"/>
  <c r="R4937" i="1"/>
  <c r="BI4937" i="1" s="1"/>
  <c r="BP4936" i="1"/>
  <c r="BO4936" i="1"/>
  <c r="BN4936" i="1"/>
  <c r="BM4936" i="1"/>
  <c r="BL4936" i="1"/>
  <c r="BK4936" i="1"/>
  <c r="BJ4936" i="1"/>
  <c r="BI4936" i="1"/>
  <c r="BH4936" i="1"/>
  <c r="BO4935" i="1"/>
  <c r="BN4935" i="1"/>
  <c r="BM4935" i="1"/>
  <c r="BL4935" i="1"/>
  <c r="BK4935" i="1"/>
  <c r="BJ4935" i="1"/>
  <c r="BI4935" i="1"/>
  <c r="BH4935" i="1"/>
  <c r="BG4935" i="1"/>
  <c r="BF4935" i="1"/>
  <c r="BP4935" i="1" s="1"/>
  <c r="AT4935" i="1"/>
  <c r="AQ4935" i="1"/>
  <c r="AC4935" i="1"/>
  <c r="U4935" i="1"/>
  <c r="S4935" i="1"/>
  <c r="M4935" i="1"/>
  <c r="C4935" i="1"/>
  <c r="BP4934" i="1"/>
  <c r="BO4934" i="1"/>
  <c r="BN4934" i="1"/>
  <c r="BM4934" i="1"/>
  <c r="BL4934" i="1"/>
  <c r="BK4934" i="1"/>
  <c r="BJ4934" i="1"/>
  <c r="BI4934" i="1"/>
  <c r="BH4934" i="1"/>
  <c r="BP4933" i="1"/>
  <c r="BO4933" i="1"/>
  <c r="BN4933" i="1"/>
  <c r="BM4933" i="1"/>
  <c r="BL4933" i="1"/>
  <c r="BK4933" i="1"/>
  <c r="BJ4933" i="1"/>
  <c r="BI4933" i="1"/>
  <c r="BH4933" i="1"/>
  <c r="AA4933" i="1"/>
  <c r="BP4932" i="1"/>
  <c r="BO4932" i="1"/>
  <c r="BN4932" i="1"/>
  <c r="BM4932" i="1"/>
  <c r="BL4932" i="1"/>
  <c r="BK4932" i="1"/>
  <c r="BJ4932" i="1"/>
  <c r="BI4932" i="1"/>
  <c r="BH4932" i="1"/>
  <c r="V4932" i="1"/>
  <c r="BP4931" i="1"/>
  <c r="BO4931" i="1"/>
  <c r="BN4931" i="1"/>
  <c r="BL4931" i="1"/>
  <c r="BK4931" i="1"/>
  <c r="BJ4931" i="1"/>
  <c r="BI4931" i="1"/>
  <c r="BH4931" i="1"/>
  <c r="AR4931" i="1"/>
  <c r="BM4931" i="1" s="1"/>
  <c r="AN4931" i="1"/>
  <c r="BP4930" i="1"/>
  <c r="BO4930" i="1"/>
  <c r="BN4930" i="1"/>
  <c r="BL4930" i="1"/>
  <c r="BK4930" i="1"/>
  <c r="BJ4930" i="1"/>
  <c r="BI4930" i="1"/>
  <c r="BH4930" i="1"/>
  <c r="AS4930" i="1"/>
  <c r="AN4930" i="1"/>
  <c r="BM4930" i="1" s="1"/>
  <c r="BP4929" i="1"/>
  <c r="BO4929" i="1"/>
  <c r="BN4929" i="1"/>
  <c r="BL4929" i="1"/>
  <c r="BK4929" i="1"/>
  <c r="BJ4929" i="1"/>
  <c r="BI4929" i="1"/>
  <c r="BH4929" i="1"/>
  <c r="AS4929" i="1"/>
  <c r="AN4929" i="1"/>
  <c r="BP4928" i="1"/>
  <c r="BO4928" i="1"/>
  <c r="BN4928" i="1"/>
  <c r="BL4928" i="1"/>
  <c r="BK4928" i="1"/>
  <c r="BJ4928" i="1"/>
  <c r="BI4928" i="1"/>
  <c r="BH4928" i="1"/>
  <c r="AS4928" i="1"/>
  <c r="BM4928" i="1" s="1"/>
  <c r="BP4927" i="1"/>
  <c r="BO4927" i="1"/>
  <c r="BN4927" i="1"/>
  <c r="BM4927" i="1"/>
  <c r="BL4927" i="1"/>
  <c r="BK4927" i="1"/>
  <c r="BJ4927" i="1"/>
  <c r="BI4927" i="1"/>
  <c r="BH4927" i="1"/>
  <c r="AB4927" i="1"/>
  <c r="BP4926" i="1"/>
  <c r="BO4926" i="1"/>
  <c r="BN4926" i="1"/>
  <c r="BM4926" i="1"/>
  <c r="BL4926" i="1"/>
  <c r="BK4926" i="1"/>
  <c r="BJ4926" i="1"/>
  <c r="BI4926" i="1"/>
  <c r="BH4926" i="1"/>
  <c r="AQ4926" i="1"/>
  <c r="BP4925" i="1"/>
  <c r="BO4925" i="1"/>
  <c r="BN4925" i="1"/>
  <c r="BM4925" i="1"/>
  <c r="BL4925" i="1"/>
  <c r="BK4925" i="1"/>
  <c r="BJ4925" i="1"/>
  <c r="BI4925" i="1"/>
  <c r="BH4925" i="1"/>
  <c r="AR4925" i="1"/>
  <c r="AN4925" i="1"/>
  <c r="BP4924" i="1"/>
  <c r="BO4924" i="1"/>
  <c r="BN4924" i="1"/>
  <c r="BM4924" i="1"/>
  <c r="BL4924" i="1"/>
  <c r="BK4924" i="1"/>
  <c r="BJ4924" i="1"/>
  <c r="BI4924" i="1"/>
  <c r="BH4924" i="1"/>
  <c r="BP4923" i="1"/>
  <c r="BO4923" i="1"/>
  <c r="BN4923" i="1"/>
  <c r="BM4923" i="1"/>
  <c r="BL4923" i="1"/>
  <c r="BK4923" i="1"/>
  <c r="BJ4923" i="1"/>
  <c r="BI4923" i="1"/>
  <c r="BH4923" i="1"/>
  <c r="BP4922" i="1"/>
  <c r="BO4922" i="1"/>
  <c r="BN4922" i="1"/>
  <c r="BM4922" i="1"/>
  <c r="BL4922" i="1"/>
  <c r="BK4922" i="1"/>
  <c r="BJ4922" i="1"/>
  <c r="BI4922" i="1"/>
  <c r="BH4922" i="1"/>
  <c r="AR4922" i="1"/>
  <c r="AN4922" i="1"/>
  <c r="AI4922" i="1"/>
  <c r="BP4921" i="1"/>
  <c r="BO4921" i="1"/>
  <c r="BN4921" i="1"/>
  <c r="BM4921" i="1"/>
  <c r="BL4921" i="1"/>
  <c r="BJ4921" i="1"/>
  <c r="BI4921" i="1"/>
  <c r="BH4921" i="1"/>
  <c r="V4921" i="1"/>
  <c r="BK4921" i="1" s="1"/>
  <c r="BP4920" i="1"/>
  <c r="BO4920" i="1"/>
  <c r="BN4920" i="1"/>
  <c r="BM4920" i="1"/>
  <c r="BL4920" i="1"/>
  <c r="BK4920" i="1"/>
  <c r="BJ4920" i="1"/>
  <c r="BI4920" i="1"/>
  <c r="BH4920" i="1"/>
  <c r="BP4919" i="1"/>
  <c r="BO4919" i="1"/>
  <c r="BN4919" i="1"/>
  <c r="BM4919" i="1"/>
  <c r="BL4919" i="1"/>
  <c r="BK4919" i="1"/>
  <c r="BJ4919" i="1"/>
  <c r="BI4919" i="1"/>
  <c r="BH4919" i="1"/>
  <c r="BP4918" i="1"/>
  <c r="BO4918" i="1"/>
  <c r="BN4918" i="1"/>
  <c r="BM4918" i="1"/>
  <c r="BL4918" i="1"/>
  <c r="BK4918" i="1"/>
  <c r="BJ4918" i="1"/>
  <c r="BI4918" i="1"/>
  <c r="BH4918" i="1"/>
  <c r="BP4917" i="1"/>
  <c r="BO4917" i="1"/>
  <c r="BN4917" i="1"/>
  <c r="BL4917" i="1"/>
  <c r="BK4917" i="1"/>
  <c r="BJ4917" i="1"/>
  <c r="BI4917" i="1"/>
  <c r="BH4917" i="1"/>
  <c r="AB4917" i="1"/>
  <c r="BM4917" i="1" s="1"/>
  <c r="BP4916" i="1"/>
  <c r="BO4916" i="1"/>
  <c r="BN4916" i="1"/>
  <c r="BM4916" i="1"/>
  <c r="BL4916" i="1"/>
  <c r="BK4916" i="1"/>
  <c r="BJ4916" i="1"/>
  <c r="BI4916" i="1"/>
  <c r="BH4916" i="1"/>
  <c r="BP4915" i="1"/>
  <c r="BO4915" i="1"/>
  <c r="BN4915" i="1"/>
  <c r="BM4915" i="1"/>
  <c r="BL4915" i="1"/>
  <c r="BK4915" i="1"/>
  <c r="BJ4915" i="1"/>
  <c r="BI4915" i="1"/>
  <c r="BH4915" i="1"/>
  <c r="AR4915" i="1"/>
  <c r="AN4915" i="1"/>
  <c r="BP4914" i="1"/>
  <c r="BO4914" i="1"/>
  <c r="BN4914" i="1"/>
  <c r="BM4914" i="1"/>
  <c r="BL4914" i="1"/>
  <c r="BK4914" i="1"/>
  <c r="BJ4914" i="1"/>
  <c r="BI4914" i="1"/>
  <c r="BH4914" i="1"/>
  <c r="BP4913" i="1"/>
  <c r="BO4913" i="1"/>
  <c r="BN4913" i="1"/>
  <c r="BM4913" i="1"/>
  <c r="BL4913" i="1"/>
  <c r="BK4913" i="1"/>
  <c r="BJ4913" i="1"/>
  <c r="BI4913" i="1"/>
  <c r="BH4913" i="1"/>
  <c r="BP4912" i="1"/>
  <c r="BO4912" i="1"/>
  <c r="BN4912" i="1"/>
  <c r="BM4912" i="1"/>
  <c r="BL4912" i="1"/>
  <c r="BK4912" i="1"/>
  <c r="BJ4912" i="1"/>
  <c r="BI4912" i="1"/>
  <c r="BH4912" i="1"/>
  <c r="BP4911" i="1"/>
  <c r="BO4911" i="1"/>
  <c r="BN4911" i="1"/>
  <c r="BM4911" i="1"/>
  <c r="BL4911" i="1"/>
  <c r="BK4911" i="1"/>
  <c r="BJ4911" i="1"/>
  <c r="BI4911" i="1"/>
  <c r="BH4911" i="1"/>
  <c r="BP4910" i="1"/>
  <c r="BO4910" i="1"/>
  <c r="BN4910" i="1"/>
  <c r="BM4910" i="1"/>
  <c r="BL4910" i="1"/>
  <c r="BK4910" i="1"/>
  <c r="BJ4910" i="1"/>
  <c r="BI4910" i="1"/>
  <c r="BH4910" i="1"/>
  <c r="BP4909" i="1"/>
  <c r="BO4909" i="1"/>
  <c r="BN4909" i="1"/>
  <c r="BM4909" i="1"/>
  <c r="BL4909" i="1"/>
  <c r="BK4909" i="1"/>
  <c r="BJ4909" i="1"/>
  <c r="BI4909" i="1"/>
  <c r="BH4909" i="1"/>
  <c r="BP4908" i="1"/>
  <c r="BO4908" i="1"/>
  <c r="BN4908" i="1"/>
  <c r="BL4908" i="1"/>
  <c r="BK4908" i="1"/>
  <c r="BJ4908" i="1"/>
  <c r="BI4908" i="1"/>
  <c r="BH4908" i="1"/>
  <c r="AQ4908" i="1"/>
  <c r="BM4908" i="1" s="1"/>
  <c r="BP4907" i="1"/>
  <c r="BO4907" i="1"/>
  <c r="BN4907" i="1"/>
  <c r="BM4907" i="1"/>
  <c r="BL4907" i="1"/>
  <c r="BK4907" i="1"/>
  <c r="BJ4907" i="1"/>
  <c r="BI4907" i="1"/>
  <c r="BH4907" i="1"/>
  <c r="AS4907" i="1"/>
  <c r="AN4907" i="1"/>
  <c r="BP4906" i="1"/>
  <c r="BO4906" i="1"/>
  <c r="BN4906" i="1"/>
  <c r="BL4906" i="1"/>
  <c r="BK4906" i="1"/>
  <c r="BJ4906" i="1"/>
  <c r="BI4906" i="1"/>
  <c r="BH4906" i="1"/>
  <c r="AS4906" i="1"/>
  <c r="BM4906" i="1" s="1"/>
  <c r="AN4906" i="1"/>
  <c r="BP4905" i="1"/>
  <c r="BO4905" i="1"/>
  <c r="BN4905" i="1"/>
  <c r="BM4905" i="1"/>
  <c r="BL4905" i="1"/>
  <c r="BK4905" i="1"/>
  <c r="BJ4905" i="1"/>
  <c r="BI4905" i="1"/>
  <c r="BH4905" i="1"/>
  <c r="AS4905" i="1"/>
  <c r="BP4904" i="1"/>
  <c r="BO4904" i="1"/>
  <c r="BN4904" i="1"/>
  <c r="BM4904" i="1"/>
  <c r="BL4904" i="1"/>
  <c r="BK4904" i="1"/>
  <c r="BJ4904" i="1"/>
  <c r="BI4904" i="1"/>
  <c r="BH4904" i="1"/>
  <c r="AR4904" i="1"/>
  <c r="BP4903" i="1"/>
  <c r="BO4903" i="1"/>
  <c r="BN4903" i="1"/>
  <c r="BL4903" i="1"/>
  <c r="BK4903" i="1"/>
  <c r="BJ4903" i="1"/>
  <c r="BI4903" i="1"/>
  <c r="BH4903" i="1"/>
  <c r="AR4903" i="1"/>
  <c r="AN4903" i="1"/>
  <c r="BM4903" i="1" s="1"/>
  <c r="AI4903" i="1"/>
  <c r="BP4902" i="1"/>
  <c r="BO4902" i="1"/>
  <c r="BN4902" i="1"/>
  <c r="BL4902" i="1"/>
  <c r="BK4902" i="1"/>
  <c r="BJ4902" i="1"/>
  <c r="BI4902" i="1"/>
  <c r="BH4902" i="1"/>
  <c r="AR4902" i="1"/>
  <c r="AN4902" i="1"/>
  <c r="BM4902" i="1" s="1"/>
  <c r="BP4901" i="1"/>
  <c r="BO4901" i="1"/>
  <c r="BN4901" i="1"/>
  <c r="BM4901" i="1"/>
  <c r="BL4901" i="1"/>
  <c r="BK4901" i="1"/>
  <c r="BJ4901" i="1"/>
  <c r="BI4901" i="1"/>
  <c r="BH4901" i="1"/>
  <c r="AR4901" i="1"/>
  <c r="AN4901" i="1"/>
  <c r="BP4900" i="1"/>
  <c r="BO4900" i="1"/>
  <c r="BN4900" i="1"/>
  <c r="BL4900" i="1"/>
  <c r="BK4900" i="1"/>
  <c r="BJ4900" i="1"/>
  <c r="BI4900" i="1"/>
  <c r="BH4900" i="1"/>
  <c r="AR4900" i="1"/>
  <c r="AN4900" i="1"/>
  <c r="BP4899" i="1"/>
  <c r="BO4899" i="1"/>
  <c r="BN4899" i="1"/>
  <c r="BL4899" i="1"/>
  <c r="BK4899" i="1"/>
  <c r="BJ4899" i="1"/>
  <c r="BH4899" i="1"/>
  <c r="AR4899" i="1"/>
  <c r="AQ4899" i="1"/>
  <c r="BM4899" i="1" s="1"/>
  <c r="P4899" i="1"/>
  <c r="BI4899" i="1" s="1"/>
  <c r="BP4898" i="1"/>
  <c r="BO4898" i="1"/>
  <c r="BN4898" i="1"/>
  <c r="BM4898" i="1"/>
  <c r="BL4898" i="1"/>
  <c r="BK4898" i="1"/>
  <c r="BJ4898" i="1"/>
  <c r="BI4898" i="1"/>
  <c r="BH4898" i="1"/>
  <c r="BP4897" i="1"/>
  <c r="BO4897" i="1"/>
  <c r="BN4897" i="1"/>
  <c r="BM4897" i="1"/>
  <c r="BL4897" i="1"/>
  <c r="BK4897" i="1"/>
  <c r="BJ4897" i="1"/>
  <c r="BI4897" i="1"/>
  <c r="BH4897" i="1"/>
  <c r="BP4896" i="1"/>
  <c r="BO4896" i="1"/>
  <c r="BN4896" i="1"/>
  <c r="BM4896" i="1"/>
  <c r="BL4896" i="1"/>
  <c r="BK4896" i="1"/>
  <c r="BJ4896" i="1"/>
  <c r="BI4896" i="1"/>
  <c r="BH4896" i="1"/>
  <c r="BP4895" i="1"/>
  <c r="BO4895" i="1"/>
  <c r="BN4895" i="1"/>
  <c r="BM4895" i="1"/>
  <c r="BL4895" i="1"/>
  <c r="BK4895" i="1"/>
  <c r="BJ4895" i="1"/>
  <c r="BI4895" i="1"/>
  <c r="BH4895" i="1"/>
  <c r="BP4894" i="1"/>
  <c r="BO4894" i="1"/>
  <c r="BN4894" i="1"/>
  <c r="BM4894" i="1"/>
  <c r="BL4894" i="1"/>
  <c r="BK4894" i="1"/>
  <c r="BJ4894" i="1"/>
  <c r="BI4894" i="1"/>
  <c r="BH4894" i="1"/>
  <c r="BP4893" i="1"/>
  <c r="BO4893" i="1"/>
  <c r="BN4893" i="1"/>
  <c r="BM4893" i="1"/>
  <c r="BL4893" i="1"/>
  <c r="BJ4893" i="1"/>
  <c r="BI4893" i="1"/>
  <c r="BH4893" i="1"/>
  <c r="V4893" i="1"/>
  <c r="BK4893" i="1" s="1"/>
  <c r="BP4892" i="1"/>
  <c r="BO4892" i="1"/>
  <c r="BN4892" i="1"/>
  <c r="BM4892" i="1"/>
  <c r="BL4892" i="1"/>
  <c r="BK4892" i="1"/>
  <c r="BJ4892" i="1"/>
  <c r="BI4892" i="1"/>
  <c r="BH4892" i="1"/>
  <c r="BP4891" i="1"/>
  <c r="BO4891" i="1"/>
  <c r="BN4891" i="1"/>
  <c r="BM4891" i="1"/>
  <c r="BL4891" i="1"/>
  <c r="BK4891" i="1"/>
  <c r="BJ4891" i="1"/>
  <c r="BI4891" i="1"/>
  <c r="BH4891" i="1"/>
  <c r="AA4891" i="1"/>
  <c r="BP4890" i="1"/>
  <c r="BO4890" i="1"/>
  <c r="BN4890" i="1"/>
  <c r="BM4890" i="1"/>
  <c r="BL4890" i="1"/>
  <c r="BK4890" i="1"/>
  <c r="BJ4890" i="1"/>
  <c r="BI4890" i="1"/>
  <c r="BH4890" i="1"/>
  <c r="BP4889" i="1"/>
  <c r="BO4889" i="1"/>
  <c r="BN4889" i="1"/>
  <c r="BL4889" i="1"/>
  <c r="BK4889" i="1"/>
  <c r="BJ4889" i="1"/>
  <c r="BI4889" i="1"/>
  <c r="BH4889" i="1"/>
  <c r="AS4889" i="1"/>
  <c r="AN4889" i="1"/>
  <c r="BP4888" i="1"/>
  <c r="BO4888" i="1"/>
  <c r="BN4888" i="1"/>
  <c r="BM4888" i="1"/>
  <c r="BL4888" i="1"/>
  <c r="BK4888" i="1"/>
  <c r="BJ4888" i="1"/>
  <c r="BI4888" i="1"/>
  <c r="BH4888" i="1"/>
  <c r="AS4888" i="1"/>
  <c r="AN4888" i="1"/>
  <c r="BP4887" i="1"/>
  <c r="BO4887" i="1"/>
  <c r="BN4887" i="1"/>
  <c r="BL4887" i="1"/>
  <c r="BK4887" i="1"/>
  <c r="BJ4887" i="1"/>
  <c r="BI4887" i="1"/>
  <c r="BH4887" i="1"/>
  <c r="AS4887" i="1"/>
  <c r="AN4887" i="1"/>
  <c r="BM4887" i="1" s="1"/>
  <c r="BP4886" i="1"/>
  <c r="BO4886" i="1"/>
  <c r="BN4886" i="1"/>
  <c r="BL4886" i="1"/>
  <c r="BK4886" i="1"/>
  <c r="BJ4886" i="1"/>
  <c r="BI4886" i="1"/>
  <c r="BH4886" i="1"/>
  <c r="AR4886" i="1"/>
  <c r="AN4886" i="1"/>
  <c r="BM4886" i="1" s="1"/>
  <c r="BP4885" i="1"/>
  <c r="BO4885" i="1"/>
  <c r="BN4885" i="1"/>
  <c r="BM4885" i="1"/>
  <c r="BL4885" i="1"/>
  <c r="BK4885" i="1"/>
  <c r="BJ4885" i="1"/>
  <c r="BI4885" i="1"/>
  <c r="BH4885" i="1"/>
  <c r="BP4884" i="1"/>
  <c r="BO4884" i="1"/>
  <c r="BN4884" i="1"/>
  <c r="BL4884" i="1"/>
  <c r="BK4884" i="1"/>
  <c r="BJ4884" i="1"/>
  <c r="BI4884" i="1"/>
  <c r="BH4884" i="1"/>
  <c r="AB4884" i="1"/>
  <c r="BM4884" i="1" s="1"/>
  <c r="BP4883" i="1"/>
  <c r="BO4883" i="1"/>
  <c r="BN4883" i="1"/>
  <c r="BM4883" i="1"/>
  <c r="BL4883" i="1"/>
  <c r="BK4883" i="1"/>
  <c r="BJ4883" i="1"/>
  <c r="BI4883" i="1"/>
  <c r="BH4883" i="1"/>
  <c r="BP4882" i="1"/>
  <c r="BO4882" i="1"/>
  <c r="BN4882" i="1"/>
  <c r="BM4882" i="1"/>
  <c r="BL4882" i="1"/>
  <c r="BK4882" i="1"/>
  <c r="BJ4882" i="1"/>
  <c r="BI4882" i="1"/>
  <c r="BH4882" i="1"/>
  <c r="BP4881" i="1"/>
  <c r="BO4881" i="1"/>
  <c r="BN4881" i="1"/>
  <c r="BM4881" i="1"/>
  <c r="BL4881" i="1"/>
  <c r="BK4881" i="1"/>
  <c r="BJ4881" i="1"/>
  <c r="BI4881" i="1"/>
  <c r="BH4881" i="1"/>
  <c r="BP4880" i="1"/>
  <c r="BO4880" i="1"/>
  <c r="BN4880" i="1"/>
  <c r="BM4880" i="1"/>
  <c r="BL4880" i="1"/>
  <c r="BK4880" i="1"/>
  <c r="BJ4880" i="1"/>
  <c r="BI4880" i="1"/>
  <c r="BH4880" i="1"/>
  <c r="BP4879" i="1"/>
  <c r="BO4879" i="1"/>
  <c r="BN4879" i="1"/>
  <c r="BM4879" i="1"/>
  <c r="BL4879" i="1"/>
  <c r="BK4879" i="1"/>
  <c r="BJ4879" i="1"/>
  <c r="BI4879" i="1"/>
  <c r="AJ4879" i="1"/>
  <c r="N4879" i="1"/>
  <c r="J4879" i="1"/>
  <c r="BH4879" i="1" s="1"/>
  <c r="BP4878" i="1"/>
  <c r="BO4878" i="1"/>
  <c r="BN4878" i="1"/>
  <c r="BM4878" i="1"/>
  <c r="BL4878" i="1"/>
  <c r="BK4878" i="1"/>
  <c r="BJ4878" i="1"/>
  <c r="BI4878" i="1"/>
  <c r="BH4878" i="1"/>
  <c r="AB4878" i="1"/>
  <c r="BP4877" i="1"/>
  <c r="BO4877" i="1"/>
  <c r="BN4877" i="1"/>
  <c r="BL4877" i="1"/>
  <c r="BK4877" i="1"/>
  <c r="BJ4877" i="1"/>
  <c r="BI4877" i="1"/>
  <c r="BH4877" i="1"/>
  <c r="AR4877" i="1"/>
  <c r="AN4877" i="1"/>
  <c r="BM4877" i="1" s="1"/>
  <c r="BP4876" i="1"/>
  <c r="BO4876" i="1"/>
  <c r="BN4876" i="1"/>
  <c r="BL4876" i="1"/>
  <c r="BK4876" i="1"/>
  <c r="BJ4876" i="1"/>
  <c r="BI4876" i="1"/>
  <c r="BH4876" i="1"/>
  <c r="AR4876" i="1"/>
  <c r="AN4876" i="1"/>
  <c r="AI4876" i="1"/>
  <c r="BM4876" i="1" s="1"/>
  <c r="BP4875" i="1"/>
  <c r="BO4875" i="1"/>
  <c r="BN4875" i="1"/>
  <c r="BL4875" i="1"/>
  <c r="BK4875" i="1"/>
  <c r="BJ4875" i="1"/>
  <c r="BI4875" i="1"/>
  <c r="BH4875" i="1"/>
  <c r="AS4875" i="1"/>
  <c r="AN4875" i="1"/>
  <c r="BM4875" i="1" s="1"/>
  <c r="BP4874" i="1"/>
  <c r="BO4874" i="1"/>
  <c r="BN4874" i="1"/>
  <c r="BL4874" i="1"/>
  <c r="BK4874" i="1"/>
  <c r="BJ4874" i="1"/>
  <c r="BI4874" i="1"/>
  <c r="BH4874" i="1"/>
  <c r="AS4874" i="1"/>
  <c r="BM4874" i="1" s="1"/>
  <c r="BP4873" i="1"/>
  <c r="BO4873" i="1"/>
  <c r="BN4873" i="1"/>
  <c r="BL4873" i="1"/>
  <c r="BK4873" i="1"/>
  <c r="BJ4873" i="1"/>
  <c r="BI4873" i="1"/>
  <c r="BH4873" i="1"/>
  <c r="AQ4873" i="1"/>
  <c r="BM4873" i="1" s="1"/>
  <c r="BP4872" i="1"/>
  <c r="BO4872" i="1"/>
  <c r="BN4872" i="1"/>
  <c r="BM4872" i="1"/>
  <c r="BL4872" i="1"/>
  <c r="BK4872" i="1"/>
  <c r="BJ4872" i="1"/>
  <c r="BI4872" i="1"/>
  <c r="BH4872" i="1"/>
  <c r="AQ4872" i="1"/>
  <c r="BP4871" i="1"/>
  <c r="BO4871" i="1"/>
  <c r="BN4871" i="1"/>
  <c r="BM4871" i="1"/>
  <c r="BL4871" i="1"/>
  <c r="BK4871" i="1"/>
  <c r="BJ4871" i="1"/>
  <c r="BI4871" i="1"/>
  <c r="BH4871" i="1"/>
  <c r="AB4871" i="1"/>
  <c r="BP4870" i="1"/>
  <c r="BO4870" i="1"/>
  <c r="BN4870" i="1"/>
  <c r="BM4870" i="1"/>
  <c r="BL4870" i="1"/>
  <c r="BK4870" i="1"/>
  <c r="BJ4870" i="1"/>
  <c r="BI4870" i="1"/>
  <c r="BH4870" i="1"/>
  <c r="BP4869" i="1"/>
  <c r="BO4869" i="1"/>
  <c r="BN4869" i="1"/>
  <c r="BM4869" i="1"/>
  <c r="BL4869" i="1"/>
  <c r="BK4869" i="1"/>
  <c r="BJ4869" i="1"/>
  <c r="BI4869" i="1"/>
  <c r="BH4869" i="1"/>
  <c r="BP4868" i="1"/>
  <c r="BO4868" i="1"/>
  <c r="BN4868" i="1"/>
  <c r="BM4868" i="1"/>
  <c r="BL4868" i="1"/>
  <c r="BK4868" i="1"/>
  <c r="BJ4868" i="1"/>
  <c r="BI4868" i="1"/>
  <c r="BH4868" i="1"/>
  <c r="BP4867" i="1"/>
  <c r="BO4867" i="1"/>
  <c r="BN4867" i="1"/>
  <c r="BM4867" i="1"/>
  <c r="BL4867" i="1"/>
  <c r="BK4867" i="1"/>
  <c r="BJ4867" i="1"/>
  <c r="BI4867" i="1"/>
  <c r="BH4867" i="1"/>
  <c r="AB4867" i="1"/>
  <c r="BP4866" i="1"/>
  <c r="BO4866" i="1"/>
  <c r="BN4866" i="1"/>
  <c r="BM4866" i="1"/>
  <c r="BL4866" i="1"/>
  <c r="BK4866" i="1"/>
  <c r="BJ4866" i="1"/>
  <c r="BI4866" i="1"/>
  <c r="BH4866" i="1"/>
  <c r="AA4866" i="1"/>
  <c r="BP4865" i="1"/>
  <c r="BO4865" i="1"/>
  <c r="BN4865" i="1"/>
  <c r="BL4865" i="1"/>
  <c r="BK4865" i="1"/>
  <c r="BJ4865" i="1"/>
  <c r="BI4865" i="1"/>
  <c r="BH4865" i="1"/>
  <c r="AQ4865" i="1"/>
  <c r="AB4865" i="1"/>
  <c r="BM4865" i="1" s="1"/>
  <c r="BP4864" i="1"/>
  <c r="BO4864" i="1"/>
  <c r="BN4864" i="1"/>
  <c r="BM4864" i="1"/>
  <c r="BL4864" i="1"/>
  <c r="BK4864" i="1"/>
  <c r="BJ4864" i="1"/>
  <c r="BI4864" i="1"/>
  <c r="BH4864" i="1"/>
  <c r="BP4863" i="1"/>
  <c r="BO4863" i="1"/>
  <c r="BN4863" i="1"/>
  <c r="BM4863" i="1"/>
  <c r="BL4863" i="1"/>
  <c r="BK4863" i="1"/>
  <c r="BJ4863" i="1"/>
  <c r="BI4863" i="1"/>
  <c r="BH4863" i="1"/>
  <c r="BP4862" i="1"/>
  <c r="BO4862" i="1"/>
  <c r="BN4862" i="1"/>
  <c r="BM4862" i="1"/>
  <c r="BL4862" i="1"/>
  <c r="BK4862" i="1"/>
  <c r="BJ4862" i="1"/>
  <c r="BI4862" i="1"/>
  <c r="BH4862" i="1"/>
  <c r="AB4862" i="1"/>
  <c r="BP4861" i="1"/>
  <c r="BO4861" i="1"/>
  <c r="BN4861" i="1"/>
  <c r="BM4861" i="1"/>
  <c r="BL4861" i="1"/>
  <c r="BK4861" i="1"/>
  <c r="BJ4861" i="1"/>
  <c r="BI4861" i="1"/>
  <c r="BH4861" i="1"/>
  <c r="V4861" i="1"/>
  <c r="BP4860" i="1"/>
  <c r="BO4860" i="1"/>
  <c r="BN4860" i="1"/>
  <c r="BM4860" i="1"/>
  <c r="BL4860" i="1"/>
  <c r="BK4860" i="1"/>
  <c r="BJ4860" i="1"/>
  <c r="BI4860" i="1"/>
  <c r="BH4860" i="1"/>
  <c r="BP4859" i="1"/>
  <c r="BO4859" i="1"/>
  <c r="BN4859" i="1"/>
  <c r="BL4859" i="1"/>
  <c r="BK4859" i="1"/>
  <c r="BJ4859" i="1"/>
  <c r="BI4859" i="1"/>
  <c r="BH4859" i="1"/>
  <c r="AS4859" i="1"/>
  <c r="AN4859" i="1"/>
  <c r="BM4859" i="1" s="1"/>
  <c r="BP4858" i="1"/>
  <c r="BO4858" i="1"/>
  <c r="BN4858" i="1"/>
  <c r="BL4858" i="1"/>
  <c r="BK4858" i="1"/>
  <c r="BJ4858" i="1"/>
  <c r="BI4858" i="1"/>
  <c r="BH4858" i="1"/>
  <c r="AS4858" i="1"/>
  <c r="AN4858" i="1"/>
  <c r="BM4858" i="1" s="1"/>
  <c r="BP4857" i="1"/>
  <c r="BO4857" i="1"/>
  <c r="BN4857" i="1"/>
  <c r="BL4857" i="1"/>
  <c r="BK4857" i="1"/>
  <c r="BJ4857" i="1"/>
  <c r="BI4857" i="1"/>
  <c r="BH4857" i="1"/>
  <c r="AR4857" i="1"/>
  <c r="AN4857" i="1"/>
  <c r="BP4856" i="1"/>
  <c r="BO4856" i="1"/>
  <c r="BN4856" i="1"/>
  <c r="BL4856" i="1"/>
  <c r="BK4856" i="1"/>
  <c r="BJ4856" i="1"/>
  <c r="BI4856" i="1"/>
  <c r="BH4856" i="1"/>
  <c r="AR4856" i="1"/>
  <c r="AN4856" i="1"/>
  <c r="BM4856" i="1" s="1"/>
  <c r="BP4855" i="1"/>
  <c r="BO4855" i="1"/>
  <c r="BN4855" i="1"/>
  <c r="BM4855" i="1"/>
  <c r="BL4855" i="1"/>
  <c r="BK4855" i="1"/>
  <c r="BJ4855" i="1"/>
  <c r="BI4855" i="1"/>
  <c r="BH4855" i="1"/>
  <c r="BP4854" i="1"/>
  <c r="BO4854" i="1"/>
  <c r="BN4854" i="1"/>
  <c r="BM4854" i="1"/>
  <c r="BL4854" i="1"/>
  <c r="BK4854" i="1"/>
  <c r="BJ4854" i="1"/>
  <c r="BI4854" i="1"/>
  <c r="BH4854" i="1"/>
  <c r="BP4853" i="1"/>
  <c r="BO4853" i="1"/>
  <c r="BN4853" i="1"/>
  <c r="BM4853" i="1"/>
  <c r="BL4853" i="1"/>
  <c r="BK4853" i="1"/>
  <c r="BJ4853" i="1"/>
  <c r="BI4853" i="1"/>
  <c r="BH4853" i="1"/>
  <c r="BP4852" i="1"/>
  <c r="BO4852" i="1"/>
  <c r="BN4852" i="1"/>
  <c r="BL4852" i="1"/>
  <c r="BK4852" i="1"/>
  <c r="BJ4852" i="1"/>
  <c r="BI4852" i="1"/>
  <c r="BH4852" i="1"/>
  <c r="AB4852" i="1"/>
  <c r="BM4852" i="1" s="1"/>
  <c r="BP4851" i="1"/>
  <c r="BO4851" i="1"/>
  <c r="BN4851" i="1"/>
  <c r="BM4851" i="1"/>
  <c r="BL4851" i="1"/>
  <c r="BK4851" i="1"/>
  <c r="BJ4851" i="1"/>
  <c r="BI4851" i="1"/>
  <c r="BH4851" i="1"/>
  <c r="AB4851" i="1"/>
  <c r="BP4850" i="1"/>
  <c r="BO4850" i="1"/>
  <c r="BN4850" i="1"/>
  <c r="BL4850" i="1"/>
  <c r="BG4850" i="1"/>
  <c r="AT4850" i="1"/>
  <c r="AR4850" i="1"/>
  <c r="AN4850" i="1"/>
  <c r="AM4850" i="1"/>
  <c r="BM4850" i="1" s="1"/>
  <c r="W4850" i="1"/>
  <c r="BK4850" i="1" s="1"/>
  <c r="S4850" i="1"/>
  <c r="BJ4850" i="1" s="1"/>
  <c r="N4850" i="1"/>
  <c r="BI4850" i="1" s="1"/>
  <c r="I4850" i="1"/>
  <c r="D4850" i="1"/>
  <c r="BP4849" i="1"/>
  <c r="BO4849" i="1"/>
  <c r="BN4849" i="1"/>
  <c r="BM4849" i="1"/>
  <c r="BL4849" i="1"/>
  <c r="BJ4849" i="1"/>
  <c r="BI4849" i="1"/>
  <c r="BH4849" i="1"/>
  <c r="V4849" i="1"/>
  <c r="BK4849" i="1" s="1"/>
  <c r="BP4848" i="1"/>
  <c r="BO4848" i="1"/>
  <c r="BN4848" i="1"/>
  <c r="BM4848" i="1"/>
  <c r="BL4848" i="1"/>
  <c r="BK4848" i="1"/>
  <c r="BJ4848" i="1"/>
  <c r="BI4848" i="1"/>
  <c r="BH4848" i="1"/>
  <c r="BP4847" i="1"/>
  <c r="BO4847" i="1"/>
  <c r="BN4847" i="1"/>
  <c r="BM4847" i="1"/>
  <c r="BL4847" i="1"/>
  <c r="BK4847" i="1"/>
  <c r="BJ4847" i="1"/>
  <c r="BI4847" i="1"/>
  <c r="BH4847" i="1"/>
  <c r="BP4846" i="1"/>
  <c r="BO4846" i="1"/>
  <c r="BN4846" i="1"/>
  <c r="BM4846" i="1"/>
  <c r="BL4846" i="1"/>
  <c r="BK4846" i="1"/>
  <c r="BJ4846" i="1"/>
  <c r="BI4846" i="1"/>
  <c r="BH4846" i="1"/>
  <c r="BP4845" i="1"/>
  <c r="BO4845" i="1"/>
  <c r="BN4845" i="1"/>
  <c r="BL4845" i="1"/>
  <c r="BK4845" i="1"/>
  <c r="BJ4845" i="1"/>
  <c r="BI4845" i="1"/>
  <c r="BH4845" i="1"/>
  <c r="AB4845" i="1"/>
  <c r="BM4845" i="1" s="1"/>
  <c r="BP4844" i="1"/>
  <c r="BO4844" i="1"/>
  <c r="BN4844" i="1"/>
  <c r="BL4844" i="1"/>
  <c r="BK4844" i="1"/>
  <c r="BJ4844" i="1"/>
  <c r="BI4844" i="1"/>
  <c r="BH4844" i="1"/>
  <c r="AB4844" i="1"/>
  <c r="BM4844" i="1" s="1"/>
  <c r="BP4843" i="1"/>
  <c r="BO4843" i="1"/>
  <c r="BN4843" i="1"/>
  <c r="BL4843" i="1"/>
  <c r="BK4843" i="1"/>
  <c r="BJ4843" i="1"/>
  <c r="BI4843" i="1"/>
  <c r="BH4843" i="1"/>
  <c r="AS4843" i="1"/>
  <c r="AN4843" i="1"/>
  <c r="BM4843" i="1" s="1"/>
  <c r="BP4842" i="1"/>
  <c r="BO4842" i="1"/>
  <c r="BN4842" i="1"/>
  <c r="BM4842" i="1"/>
  <c r="BL4842" i="1"/>
  <c r="BK4842" i="1"/>
  <c r="BJ4842" i="1"/>
  <c r="BI4842" i="1"/>
  <c r="BH4842" i="1"/>
  <c r="AS4842" i="1"/>
  <c r="BP4841" i="1"/>
  <c r="BO4841" i="1"/>
  <c r="BN4841" i="1"/>
  <c r="BM4841" i="1"/>
  <c r="BL4841" i="1"/>
  <c r="BK4841" i="1"/>
  <c r="BJ4841" i="1"/>
  <c r="BI4841" i="1"/>
  <c r="BH4841" i="1"/>
  <c r="AS4841" i="1"/>
  <c r="Y4841" i="1"/>
  <c r="X4841" i="1"/>
  <c r="BP4840" i="1"/>
  <c r="BO4840" i="1"/>
  <c r="BN4840" i="1"/>
  <c r="BM4840" i="1"/>
  <c r="BL4840" i="1"/>
  <c r="BK4840" i="1"/>
  <c r="BJ4840" i="1"/>
  <c r="BI4840" i="1"/>
  <c r="BH4840" i="1"/>
  <c r="BE4840" i="1"/>
  <c r="BP4839" i="1"/>
  <c r="BO4839" i="1"/>
  <c r="BN4839" i="1"/>
  <c r="BM4839" i="1"/>
  <c r="BL4839" i="1"/>
  <c r="BK4839" i="1"/>
  <c r="BJ4839" i="1"/>
  <c r="BI4839" i="1"/>
  <c r="BH4839" i="1"/>
  <c r="BP4838" i="1"/>
  <c r="BO4838" i="1"/>
  <c r="BN4838" i="1"/>
  <c r="BM4838" i="1"/>
  <c r="BK4838" i="1"/>
  <c r="BJ4838" i="1"/>
  <c r="BI4838" i="1"/>
  <c r="BH4838" i="1"/>
  <c r="AA4838" i="1"/>
  <c r="BL4838" i="1" s="1"/>
  <c r="BP4837" i="1"/>
  <c r="BO4837" i="1"/>
  <c r="BN4837" i="1"/>
  <c r="BL4837" i="1"/>
  <c r="BK4837" i="1"/>
  <c r="BJ4837" i="1"/>
  <c r="BI4837" i="1"/>
  <c r="BH4837" i="1"/>
  <c r="AB4837" i="1"/>
  <c r="BM4837" i="1" s="1"/>
  <c r="BP4836" i="1"/>
  <c r="BO4836" i="1"/>
  <c r="BN4836" i="1"/>
  <c r="BM4836" i="1"/>
  <c r="BL4836" i="1"/>
  <c r="BK4836" i="1"/>
  <c r="BJ4836" i="1"/>
  <c r="BI4836" i="1"/>
  <c r="BH4836" i="1"/>
  <c r="AR4836" i="1"/>
  <c r="AN4836" i="1"/>
  <c r="BP4835" i="1"/>
  <c r="BO4835" i="1"/>
  <c r="BN4835" i="1"/>
  <c r="BM4835" i="1"/>
  <c r="BL4835" i="1"/>
  <c r="BK4835" i="1"/>
  <c r="BJ4835" i="1"/>
  <c r="BI4835" i="1"/>
  <c r="BH4835" i="1"/>
  <c r="BP4834" i="1"/>
  <c r="BO4834" i="1"/>
  <c r="BN4834" i="1"/>
  <c r="BM4834" i="1"/>
  <c r="BL4834" i="1"/>
  <c r="BK4834" i="1"/>
  <c r="BJ4834" i="1"/>
  <c r="BI4834" i="1"/>
  <c r="BH4834" i="1"/>
  <c r="V4834" i="1"/>
  <c r="BP4833" i="1"/>
  <c r="BO4833" i="1"/>
  <c r="BN4833" i="1"/>
  <c r="BL4833" i="1"/>
  <c r="BK4833" i="1"/>
  <c r="BJ4833" i="1"/>
  <c r="BI4833" i="1"/>
  <c r="BH4833" i="1"/>
  <c r="AJ4833" i="1"/>
  <c r="BM4833" i="1" s="1"/>
  <c r="X4833" i="1"/>
  <c r="D4833" i="1"/>
  <c r="BP4832" i="1"/>
  <c r="BO4832" i="1"/>
  <c r="BN4832" i="1"/>
  <c r="BM4832" i="1"/>
  <c r="BL4832" i="1"/>
  <c r="BK4832" i="1"/>
  <c r="BJ4832" i="1"/>
  <c r="BI4832" i="1"/>
  <c r="BH4832" i="1"/>
  <c r="BP4831" i="1"/>
  <c r="BO4831" i="1"/>
  <c r="BN4831" i="1"/>
  <c r="BM4831" i="1"/>
  <c r="BL4831" i="1"/>
  <c r="BK4831" i="1"/>
  <c r="BJ4831" i="1"/>
  <c r="BI4831" i="1"/>
  <c r="BH4831" i="1"/>
  <c r="BP4830" i="1"/>
  <c r="BO4830" i="1"/>
  <c r="BN4830" i="1"/>
  <c r="BM4830" i="1"/>
  <c r="BL4830" i="1"/>
  <c r="BK4830" i="1"/>
  <c r="BJ4830" i="1"/>
  <c r="BI4830" i="1"/>
  <c r="BH4830" i="1"/>
  <c r="BP4829" i="1"/>
  <c r="BO4829" i="1"/>
  <c r="BN4829" i="1"/>
  <c r="BM4829" i="1"/>
  <c r="BL4829" i="1"/>
  <c r="BK4829" i="1"/>
  <c r="BJ4829" i="1"/>
  <c r="BI4829" i="1"/>
  <c r="BH4829" i="1"/>
  <c r="BP4828" i="1"/>
  <c r="BO4828" i="1"/>
  <c r="BN4828" i="1"/>
  <c r="BL4828" i="1"/>
  <c r="BK4828" i="1"/>
  <c r="BJ4828" i="1"/>
  <c r="BI4828" i="1"/>
  <c r="BH4828" i="1"/>
  <c r="BG4828" i="1"/>
  <c r="BF4828" i="1"/>
  <c r="BA4828" i="1"/>
  <c r="AT4828" i="1"/>
  <c r="AC4828" i="1"/>
  <c r="BM4828" i="1" s="1"/>
  <c r="U4828" i="1"/>
  <c r="S4828" i="1"/>
  <c r="M4828" i="1"/>
  <c r="H4828" i="1"/>
  <c r="C4828" i="1"/>
  <c r="BP4827" i="1"/>
  <c r="BO4827" i="1"/>
  <c r="BN4827" i="1"/>
  <c r="BM4827" i="1"/>
  <c r="BL4827" i="1"/>
  <c r="BK4827" i="1"/>
  <c r="BJ4827" i="1"/>
  <c r="BI4827" i="1"/>
  <c r="BH4827" i="1"/>
  <c r="BP4826" i="1"/>
  <c r="BO4826" i="1"/>
  <c r="BM4826" i="1"/>
  <c r="BL4826" i="1"/>
  <c r="BK4826" i="1"/>
  <c r="BG4826" i="1"/>
  <c r="AT4826" i="1"/>
  <c r="BN4826" i="1" s="1"/>
  <c r="AR4826" i="1"/>
  <c r="AN4826" i="1"/>
  <c r="AM4826" i="1"/>
  <c r="W4826" i="1"/>
  <c r="S4826" i="1"/>
  <c r="BJ4826" i="1" s="1"/>
  <c r="N4826" i="1"/>
  <c r="BI4826" i="1" s="1"/>
  <c r="I4826" i="1"/>
  <c r="BH4826" i="1" s="1"/>
  <c r="F4826" i="1"/>
  <c r="BP4825" i="1"/>
  <c r="BO4825" i="1"/>
  <c r="BN4825" i="1"/>
  <c r="BM4825" i="1"/>
  <c r="BL4825" i="1"/>
  <c r="BK4825" i="1"/>
  <c r="BJ4825" i="1"/>
  <c r="BI4825" i="1"/>
  <c r="BH4825" i="1"/>
  <c r="BP4824" i="1"/>
  <c r="BO4824" i="1"/>
  <c r="BN4824" i="1"/>
  <c r="BM4824" i="1"/>
  <c r="BL4824" i="1"/>
  <c r="BK4824" i="1"/>
  <c r="BJ4824" i="1"/>
  <c r="BI4824" i="1"/>
  <c r="BH4824" i="1"/>
  <c r="BP4823" i="1"/>
  <c r="BO4823" i="1"/>
  <c r="BN4823" i="1"/>
  <c r="BM4823" i="1"/>
  <c r="BL4823" i="1"/>
  <c r="BK4823" i="1"/>
  <c r="BJ4823" i="1"/>
  <c r="BI4823" i="1"/>
  <c r="BH4823" i="1"/>
  <c r="BP4822" i="1"/>
  <c r="BO4822" i="1"/>
  <c r="BN4822" i="1"/>
  <c r="BM4822" i="1"/>
  <c r="BL4822" i="1"/>
  <c r="BK4822" i="1"/>
  <c r="BJ4822" i="1"/>
  <c r="BI4822" i="1"/>
  <c r="BH4822" i="1"/>
  <c r="BO4821" i="1"/>
  <c r="BN4821" i="1"/>
  <c r="BM4821" i="1"/>
  <c r="BL4821" i="1"/>
  <c r="BG4821" i="1"/>
  <c r="BF4821" i="1"/>
  <c r="BP4821" i="1" s="1"/>
  <c r="AW4821" i="1"/>
  <c r="AT4821" i="1"/>
  <c r="AB4821" i="1"/>
  <c r="Z4821" i="1"/>
  <c r="U4821" i="1"/>
  <c r="BK4821" i="1" s="1"/>
  <c r="S4821" i="1"/>
  <c r="BJ4821" i="1" s="1"/>
  <c r="O4821" i="1"/>
  <c r="BI4821" i="1" s="1"/>
  <c r="C4821" i="1"/>
  <c r="BH4821" i="1" s="1"/>
  <c r="BP4820" i="1"/>
  <c r="BO4820" i="1"/>
  <c r="BN4820" i="1"/>
  <c r="BL4820" i="1"/>
  <c r="BK4820" i="1"/>
  <c r="BJ4820" i="1"/>
  <c r="BI4820" i="1"/>
  <c r="AQ4820" i="1"/>
  <c r="BM4820" i="1" s="1"/>
  <c r="O4820" i="1"/>
  <c r="C4820" i="1"/>
  <c r="BH4820" i="1" s="1"/>
  <c r="BP4819" i="1"/>
  <c r="BO4819" i="1"/>
  <c r="BN4819" i="1"/>
  <c r="BM4819" i="1"/>
  <c r="BK4819" i="1"/>
  <c r="BJ4819" i="1"/>
  <c r="BI4819" i="1"/>
  <c r="BH4819" i="1"/>
  <c r="AA4819" i="1"/>
  <c r="BL4819" i="1" s="1"/>
  <c r="BP4818" i="1"/>
  <c r="BO4818" i="1"/>
  <c r="BN4818" i="1"/>
  <c r="BL4818" i="1"/>
  <c r="BK4818" i="1"/>
  <c r="BJ4818" i="1"/>
  <c r="BI4818" i="1"/>
  <c r="BH4818" i="1"/>
  <c r="AS4818" i="1"/>
  <c r="AN4818" i="1"/>
  <c r="BM4818" i="1" s="1"/>
  <c r="BP4817" i="1"/>
  <c r="BO4817" i="1"/>
  <c r="BN4817" i="1"/>
  <c r="BM4817" i="1"/>
  <c r="BL4817" i="1"/>
  <c r="BK4817" i="1"/>
  <c r="BJ4817" i="1"/>
  <c r="BI4817" i="1"/>
  <c r="BH4817" i="1"/>
  <c r="AS4817" i="1"/>
  <c r="AN4817" i="1"/>
  <c r="BP4816" i="1"/>
  <c r="BO4816" i="1"/>
  <c r="BN4816" i="1"/>
  <c r="BM4816" i="1"/>
  <c r="BL4816" i="1"/>
  <c r="BK4816" i="1"/>
  <c r="BJ4816" i="1"/>
  <c r="BI4816" i="1"/>
  <c r="BH4816" i="1"/>
  <c r="AR4816" i="1"/>
  <c r="AN4816" i="1"/>
  <c r="BP4815" i="1"/>
  <c r="BO4815" i="1"/>
  <c r="BN4815" i="1"/>
  <c r="BM4815" i="1"/>
  <c r="BL4815" i="1"/>
  <c r="BK4815" i="1"/>
  <c r="BJ4815" i="1"/>
  <c r="BI4815" i="1"/>
  <c r="BH4815" i="1"/>
  <c r="X4815" i="1"/>
  <c r="BP4814" i="1"/>
  <c r="BO4814" i="1"/>
  <c r="BN4814" i="1"/>
  <c r="BM4814" i="1"/>
  <c r="BL4814" i="1"/>
  <c r="BK4814" i="1"/>
  <c r="BJ4814" i="1"/>
  <c r="BI4814" i="1"/>
  <c r="BH4814" i="1"/>
  <c r="AQ4814" i="1"/>
  <c r="AA4814" i="1"/>
  <c r="L4814" i="1"/>
  <c r="BP4813" i="1"/>
  <c r="BO4813" i="1"/>
  <c r="BN4813" i="1"/>
  <c r="BM4813" i="1"/>
  <c r="BL4813" i="1"/>
  <c r="BK4813" i="1"/>
  <c r="BJ4813" i="1"/>
  <c r="BI4813" i="1"/>
  <c r="BH4813" i="1"/>
  <c r="V4813" i="1"/>
  <c r="BP4812" i="1"/>
  <c r="BO4812" i="1"/>
  <c r="BN4812" i="1"/>
  <c r="BM4812" i="1"/>
  <c r="BL4812" i="1"/>
  <c r="BK4812" i="1"/>
  <c r="BJ4812" i="1"/>
  <c r="BI4812" i="1"/>
  <c r="BH4812" i="1"/>
  <c r="BP4811" i="1"/>
  <c r="BO4811" i="1"/>
  <c r="BN4811" i="1"/>
  <c r="BL4811" i="1"/>
  <c r="BK4811" i="1"/>
  <c r="BJ4811" i="1"/>
  <c r="AQ4811" i="1"/>
  <c r="BM4811" i="1" s="1"/>
  <c r="O4811" i="1"/>
  <c r="BI4811" i="1" s="1"/>
  <c r="C4811" i="1"/>
  <c r="BH4811" i="1" s="1"/>
  <c r="BP4810" i="1"/>
  <c r="BI4810" i="1"/>
  <c r="BH4810" i="1"/>
  <c r="BG4810" i="1"/>
  <c r="BF4810" i="1"/>
  <c r="AW4810" i="1"/>
  <c r="BO4810" i="1" s="1"/>
  <c r="AT4810" i="1"/>
  <c r="BN4810" i="1" s="1"/>
  <c r="AQ4810" i="1"/>
  <c r="AF4810" i="1"/>
  <c r="BM4810" i="1" s="1"/>
  <c r="Z4810" i="1"/>
  <c r="BL4810" i="1" s="1"/>
  <c r="U4810" i="1"/>
  <c r="BK4810" i="1" s="1"/>
  <c r="S4810" i="1"/>
  <c r="BJ4810" i="1" s="1"/>
  <c r="O4810" i="1"/>
  <c r="C4810" i="1"/>
  <c r="BP4809" i="1"/>
  <c r="BO4809" i="1"/>
  <c r="BN4809" i="1"/>
  <c r="BM4809" i="1"/>
  <c r="BL4809" i="1"/>
  <c r="BK4809" i="1"/>
  <c r="BJ4809" i="1"/>
  <c r="BI4809" i="1"/>
  <c r="BH4809" i="1"/>
  <c r="BP4808" i="1"/>
  <c r="BO4808" i="1"/>
  <c r="BN4808" i="1"/>
  <c r="BM4808" i="1"/>
  <c r="BL4808" i="1"/>
  <c r="BK4808" i="1"/>
  <c r="BJ4808" i="1"/>
  <c r="BI4808" i="1"/>
  <c r="BH4808" i="1"/>
  <c r="BP4807" i="1"/>
  <c r="BN4807" i="1"/>
  <c r="BM4807" i="1"/>
  <c r="BL4807" i="1"/>
  <c r="BK4807" i="1"/>
  <c r="BJ4807" i="1"/>
  <c r="BI4807" i="1"/>
  <c r="BH4807" i="1"/>
  <c r="BE4807" i="1"/>
  <c r="BO4807" i="1" s="1"/>
  <c r="BP4806" i="1"/>
  <c r="BO4806" i="1"/>
  <c r="BN4806" i="1"/>
  <c r="BL4806" i="1"/>
  <c r="BK4806" i="1"/>
  <c r="BJ4806" i="1"/>
  <c r="BH4806" i="1"/>
  <c r="AR4806" i="1"/>
  <c r="AQ4806" i="1"/>
  <c r="BM4806" i="1" s="1"/>
  <c r="P4806" i="1"/>
  <c r="BI4806" i="1" s="1"/>
  <c r="BP4805" i="1"/>
  <c r="BO4805" i="1"/>
  <c r="BN4805" i="1"/>
  <c r="BL4805" i="1"/>
  <c r="BK4805" i="1"/>
  <c r="BJ4805" i="1"/>
  <c r="BI4805" i="1"/>
  <c r="BH4805" i="1"/>
  <c r="AR4805" i="1"/>
  <c r="AN4805" i="1"/>
  <c r="BM4805" i="1" s="1"/>
  <c r="BP4804" i="1"/>
  <c r="BO4804" i="1"/>
  <c r="BN4804" i="1"/>
  <c r="BL4804" i="1"/>
  <c r="BK4804" i="1"/>
  <c r="BJ4804" i="1"/>
  <c r="BI4804" i="1"/>
  <c r="BH4804" i="1"/>
  <c r="AR4804" i="1"/>
  <c r="AN4804" i="1"/>
  <c r="BM4804" i="1" s="1"/>
  <c r="BP4803" i="1"/>
  <c r="BO4803" i="1"/>
  <c r="BN4803" i="1"/>
  <c r="BL4803" i="1"/>
  <c r="BG4803" i="1"/>
  <c r="AT4803" i="1"/>
  <c r="AR4803" i="1"/>
  <c r="AQ4803" i="1"/>
  <c r="AI4803" i="1"/>
  <c r="W4803" i="1"/>
  <c r="BK4803" i="1" s="1"/>
  <c r="S4803" i="1"/>
  <c r="BJ4803" i="1" s="1"/>
  <c r="P4803" i="1"/>
  <c r="N4803" i="1"/>
  <c r="I4803" i="1"/>
  <c r="F4803" i="1"/>
  <c r="BH4803" i="1" s="1"/>
  <c r="BP4802" i="1"/>
  <c r="BO4802" i="1"/>
  <c r="BN4802" i="1"/>
  <c r="BM4802" i="1"/>
  <c r="BL4802" i="1"/>
  <c r="BK4802" i="1"/>
  <c r="BJ4802" i="1"/>
  <c r="BI4802" i="1"/>
  <c r="BH4802" i="1"/>
  <c r="BP4801" i="1"/>
  <c r="BO4801" i="1"/>
  <c r="BN4801" i="1"/>
  <c r="BM4801" i="1"/>
  <c r="BL4801" i="1"/>
  <c r="BK4801" i="1"/>
  <c r="BJ4801" i="1"/>
  <c r="BI4801" i="1"/>
  <c r="BH4801" i="1"/>
  <c r="BP4800" i="1"/>
  <c r="BO4800" i="1"/>
  <c r="BN4800" i="1"/>
  <c r="BM4800" i="1"/>
  <c r="BL4800" i="1"/>
  <c r="BK4800" i="1"/>
  <c r="BJ4800" i="1"/>
  <c r="BI4800" i="1"/>
  <c r="BH4800" i="1"/>
  <c r="BP4799" i="1"/>
  <c r="BO4799" i="1"/>
  <c r="BN4799" i="1"/>
  <c r="BM4799" i="1"/>
  <c r="BL4799" i="1"/>
  <c r="BK4799" i="1"/>
  <c r="BJ4799" i="1"/>
  <c r="BI4799" i="1"/>
  <c r="BH4799" i="1"/>
  <c r="BP4798" i="1"/>
  <c r="BO4798" i="1"/>
  <c r="BN4798" i="1"/>
  <c r="BM4798" i="1"/>
  <c r="BL4798" i="1"/>
  <c r="BK4798" i="1"/>
  <c r="BJ4798" i="1"/>
  <c r="BI4798" i="1"/>
  <c r="BH4798" i="1"/>
  <c r="BP4797" i="1"/>
  <c r="BO4797" i="1"/>
  <c r="BN4797" i="1"/>
  <c r="BM4797" i="1"/>
  <c r="BL4797" i="1"/>
  <c r="BK4797" i="1"/>
  <c r="BJ4797" i="1"/>
  <c r="BI4797" i="1"/>
  <c r="BH4797" i="1"/>
  <c r="BP4796" i="1"/>
  <c r="BO4796" i="1"/>
  <c r="BN4796" i="1"/>
  <c r="BM4796" i="1"/>
  <c r="BL4796" i="1"/>
  <c r="BK4796" i="1"/>
  <c r="BJ4796" i="1"/>
  <c r="BI4796" i="1"/>
  <c r="BH4796" i="1"/>
  <c r="BP4795" i="1"/>
  <c r="BO4795" i="1"/>
  <c r="BN4795" i="1"/>
  <c r="BM4795" i="1"/>
  <c r="BL4795" i="1"/>
  <c r="BK4795" i="1"/>
  <c r="BJ4795" i="1"/>
  <c r="BI4795" i="1"/>
  <c r="BH4795" i="1"/>
  <c r="AR4795" i="1"/>
  <c r="AN4795" i="1"/>
  <c r="BP4794" i="1"/>
  <c r="BO4794" i="1"/>
  <c r="BN4794" i="1"/>
  <c r="BM4794" i="1"/>
  <c r="BL4794" i="1"/>
  <c r="BK4794" i="1"/>
  <c r="BJ4794" i="1"/>
  <c r="BG4794" i="1"/>
  <c r="AU4794" i="1"/>
  <c r="AJ4794" i="1"/>
  <c r="AG4794" i="1"/>
  <c r="U4794" i="1"/>
  <c r="S4794" i="1"/>
  <c r="N4794" i="1"/>
  <c r="BI4794" i="1" s="1"/>
  <c r="J4794" i="1"/>
  <c r="I4794" i="1"/>
  <c r="BP4793" i="1"/>
  <c r="BO4793" i="1"/>
  <c r="BN4793" i="1"/>
  <c r="BM4793" i="1"/>
  <c r="BL4793" i="1"/>
  <c r="BK4793" i="1"/>
  <c r="BJ4793" i="1"/>
  <c r="BI4793" i="1"/>
  <c r="BH4793" i="1"/>
  <c r="BP4792" i="1"/>
  <c r="BO4792" i="1"/>
  <c r="BN4792" i="1"/>
  <c r="BM4792" i="1"/>
  <c r="BH4792" i="1"/>
  <c r="BG4792" i="1"/>
  <c r="BF4792" i="1"/>
  <c r="AW4792" i="1"/>
  <c r="AT4792" i="1"/>
  <c r="AQ4792" i="1"/>
  <c r="AF4792" i="1"/>
  <c r="Z4792" i="1"/>
  <c r="BL4792" i="1" s="1"/>
  <c r="U4792" i="1"/>
  <c r="BK4792" i="1" s="1"/>
  <c r="S4792" i="1"/>
  <c r="BJ4792" i="1" s="1"/>
  <c r="O4792" i="1"/>
  <c r="BI4792" i="1" s="1"/>
  <c r="C4792" i="1"/>
  <c r="BP4791" i="1"/>
  <c r="BO4791" i="1"/>
  <c r="BN4791" i="1"/>
  <c r="BM4791" i="1"/>
  <c r="BL4791" i="1"/>
  <c r="BK4791" i="1"/>
  <c r="BJ4791" i="1"/>
  <c r="BI4791" i="1"/>
  <c r="BH4791" i="1"/>
  <c r="AR4791" i="1"/>
  <c r="AN4791" i="1"/>
  <c r="BP4790" i="1"/>
  <c r="BO4790" i="1"/>
  <c r="BN4790" i="1"/>
  <c r="BM4790" i="1"/>
  <c r="BL4790" i="1"/>
  <c r="BJ4790" i="1"/>
  <c r="BI4790" i="1"/>
  <c r="BH4790" i="1"/>
  <c r="V4790" i="1"/>
  <c r="BK4790" i="1" s="1"/>
  <c r="BP4789" i="1"/>
  <c r="BO4789" i="1"/>
  <c r="BN4789" i="1"/>
  <c r="BM4789" i="1"/>
  <c r="BL4789" i="1"/>
  <c r="BK4789" i="1"/>
  <c r="BJ4789" i="1"/>
  <c r="BI4789" i="1"/>
  <c r="BH4789" i="1"/>
  <c r="BP4788" i="1"/>
  <c r="BO4788" i="1"/>
  <c r="BN4788" i="1"/>
  <c r="BM4788" i="1"/>
  <c r="BL4788" i="1"/>
  <c r="BK4788" i="1"/>
  <c r="BJ4788" i="1"/>
  <c r="BI4788" i="1"/>
  <c r="BH4788" i="1"/>
  <c r="BP4787" i="1"/>
  <c r="BO4787" i="1"/>
  <c r="BN4787" i="1"/>
  <c r="BM4787" i="1"/>
  <c r="BL4787" i="1"/>
  <c r="BK4787" i="1"/>
  <c r="BJ4787" i="1"/>
  <c r="BI4787" i="1"/>
  <c r="BH4787" i="1"/>
  <c r="BP4786" i="1"/>
  <c r="BO4786" i="1"/>
  <c r="BN4786" i="1"/>
  <c r="BM4786" i="1"/>
  <c r="BL4786" i="1"/>
  <c r="BK4786" i="1"/>
  <c r="BJ4786" i="1"/>
  <c r="BI4786" i="1"/>
  <c r="BH4786" i="1"/>
  <c r="BP4785" i="1"/>
  <c r="BO4785" i="1"/>
  <c r="BN4785" i="1"/>
  <c r="BM4785" i="1"/>
  <c r="BL4785" i="1"/>
  <c r="BK4785" i="1"/>
  <c r="BJ4785" i="1"/>
  <c r="BH4785" i="1"/>
  <c r="AR4785" i="1"/>
  <c r="AQ4785" i="1"/>
  <c r="P4785" i="1"/>
  <c r="BI4785" i="1" s="1"/>
  <c r="BM4784" i="1"/>
  <c r="BL4784" i="1"/>
  <c r="BK4784" i="1"/>
  <c r="BG4784" i="1"/>
  <c r="BF4784" i="1"/>
  <c r="BP4784" i="1" s="1"/>
  <c r="AV4784" i="1"/>
  <c r="BO4784" i="1" s="1"/>
  <c r="AT4784" i="1"/>
  <c r="BN4784" i="1" s="1"/>
  <c r="Z4784" i="1"/>
  <c r="U4784" i="1"/>
  <c r="S4784" i="1"/>
  <c r="BJ4784" i="1" s="1"/>
  <c r="M4784" i="1"/>
  <c r="BI4784" i="1" s="1"/>
  <c r="C4784" i="1"/>
  <c r="BH4784" i="1" s="1"/>
  <c r="BP4783" i="1"/>
  <c r="BO4783" i="1"/>
  <c r="BN4783" i="1"/>
  <c r="BM4783" i="1"/>
  <c r="BL4783" i="1"/>
  <c r="BK4783" i="1"/>
  <c r="BJ4783" i="1"/>
  <c r="BI4783" i="1"/>
  <c r="BH4783" i="1"/>
  <c r="BP4782" i="1"/>
  <c r="BO4782" i="1"/>
  <c r="BN4782" i="1"/>
  <c r="BM4782" i="1"/>
  <c r="BL4782" i="1"/>
  <c r="BK4782" i="1"/>
  <c r="BJ4782" i="1"/>
  <c r="BI4782" i="1"/>
  <c r="BH4782" i="1"/>
  <c r="BP4781" i="1"/>
  <c r="BO4781" i="1"/>
  <c r="BN4781" i="1"/>
  <c r="BM4781" i="1"/>
  <c r="BL4781" i="1"/>
  <c r="BK4781" i="1"/>
  <c r="BJ4781" i="1"/>
  <c r="BI4781" i="1"/>
  <c r="BH4781" i="1"/>
  <c r="BP4780" i="1"/>
  <c r="BO4780" i="1"/>
  <c r="BN4780" i="1"/>
  <c r="BL4780" i="1"/>
  <c r="BK4780" i="1"/>
  <c r="BJ4780" i="1"/>
  <c r="BI4780" i="1"/>
  <c r="BH4780" i="1"/>
  <c r="AR4780" i="1"/>
  <c r="AN4780" i="1"/>
  <c r="BM4780" i="1" s="1"/>
  <c r="BP4779" i="1"/>
  <c r="BO4779" i="1"/>
  <c r="BN4779" i="1"/>
  <c r="BL4779" i="1"/>
  <c r="BK4779" i="1"/>
  <c r="BJ4779" i="1"/>
  <c r="BI4779" i="1"/>
  <c r="BH4779" i="1"/>
  <c r="AR4779" i="1"/>
  <c r="AN4779" i="1"/>
  <c r="BP4778" i="1"/>
  <c r="BO4778" i="1"/>
  <c r="BN4778" i="1"/>
  <c r="BL4778" i="1"/>
  <c r="BK4778" i="1"/>
  <c r="BJ4778" i="1"/>
  <c r="BI4778" i="1"/>
  <c r="BH4778" i="1"/>
  <c r="AR4778" i="1"/>
  <c r="AN4778" i="1"/>
  <c r="BM4778" i="1" s="1"/>
  <c r="BP4777" i="1"/>
  <c r="BO4777" i="1"/>
  <c r="BN4777" i="1"/>
  <c r="BM4777" i="1"/>
  <c r="BL4777" i="1"/>
  <c r="BJ4777" i="1"/>
  <c r="BI4777" i="1"/>
  <c r="BH4777" i="1"/>
  <c r="AQ4777" i="1"/>
  <c r="X4777" i="1"/>
  <c r="BK4777" i="1" s="1"/>
  <c r="BP4776" i="1"/>
  <c r="BO4776" i="1"/>
  <c r="BN4776" i="1"/>
  <c r="BM4776" i="1"/>
  <c r="BL4776" i="1"/>
  <c r="BK4776" i="1"/>
  <c r="BJ4776" i="1"/>
  <c r="BI4776" i="1"/>
  <c r="BH4776" i="1"/>
  <c r="V4776" i="1"/>
  <c r="BP4775" i="1"/>
  <c r="BO4775" i="1"/>
  <c r="BN4775" i="1"/>
  <c r="BM4775" i="1"/>
  <c r="BL4775" i="1"/>
  <c r="BK4775" i="1"/>
  <c r="BJ4775" i="1"/>
  <c r="BI4775" i="1"/>
  <c r="BH4775" i="1"/>
  <c r="BP4774" i="1"/>
  <c r="BO4774" i="1"/>
  <c r="BN4774" i="1"/>
  <c r="BM4774" i="1"/>
  <c r="BL4774" i="1"/>
  <c r="BK4774" i="1"/>
  <c r="BJ4774" i="1"/>
  <c r="BI4774" i="1"/>
  <c r="BH4774" i="1"/>
  <c r="BP4773" i="1"/>
  <c r="BO4773" i="1"/>
  <c r="BN4773" i="1"/>
  <c r="BL4773" i="1"/>
  <c r="BK4773" i="1"/>
  <c r="BJ4773" i="1"/>
  <c r="BI4773" i="1"/>
  <c r="BH4773" i="1"/>
  <c r="AS4773" i="1"/>
  <c r="BM4773" i="1" s="1"/>
  <c r="BP4772" i="1"/>
  <c r="BO4772" i="1"/>
  <c r="BN4772" i="1"/>
  <c r="BM4772" i="1"/>
  <c r="BL4772" i="1"/>
  <c r="BK4772" i="1"/>
  <c r="BJ4772" i="1"/>
  <c r="BI4772" i="1"/>
  <c r="BH4772" i="1"/>
  <c r="AS4772" i="1"/>
  <c r="AN4772" i="1"/>
  <c r="BP4771" i="1"/>
  <c r="BO4771" i="1"/>
  <c r="BN4771" i="1"/>
  <c r="BL4771" i="1"/>
  <c r="BK4771" i="1"/>
  <c r="BJ4771" i="1"/>
  <c r="BI4771" i="1"/>
  <c r="BH4771" i="1"/>
  <c r="AR4771" i="1"/>
  <c r="AN4771" i="1"/>
  <c r="BM4771" i="1" s="1"/>
  <c r="BP4770" i="1"/>
  <c r="BO4770" i="1"/>
  <c r="BN4770" i="1"/>
  <c r="BM4770" i="1"/>
  <c r="BL4770" i="1"/>
  <c r="BK4770" i="1"/>
  <c r="BJ4770" i="1"/>
  <c r="BI4770" i="1"/>
  <c r="BH4770" i="1"/>
  <c r="BP4769" i="1"/>
  <c r="BO4769" i="1"/>
  <c r="BN4769" i="1"/>
  <c r="BM4769" i="1"/>
  <c r="BL4769" i="1"/>
  <c r="BK4769" i="1"/>
  <c r="BJ4769" i="1"/>
  <c r="BI4769" i="1"/>
  <c r="BH4769" i="1"/>
  <c r="BP4768" i="1"/>
  <c r="BO4768" i="1"/>
  <c r="BN4768" i="1"/>
  <c r="BM4768" i="1"/>
  <c r="BL4768" i="1"/>
  <c r="BK4768" i="1"/>
  <c r="BJ4768" i="1"/>
  <c r="BI4768" i="1"/>
  <c r="BH4768" i="1"/>
  <c r="BP4767" i="1"/>
  <c r="BO4767" i="1"/>
  <c r="BN4767" i="1"/>
  <c r="BM4767" i="1"/>
  <c r="BL4767" i="1"/>
  <c r="BK4767" i="1"/>
  <c r="BJ4767" i="1"/>
  <c r="BI4767" i="1"/>
  <c r="BH4767" i="1"/>
  <c r="BP4766" i="1"/>
  <c r="BO4766" i="1"/>
  <c r="BN4766" i="1"/>
  <c r="BM4766" i="1"/>
  <c r="BL4766" i="1"/>
  <c r="BK4766" i="1"/>
  <c r="BJ4766" i="1"/>
  <c r="BI4766" i="1"/>
  <c r="BH4766" i="1"/>
  <c r="BP4765" i="1"/>
  <c r="BO4765" i="1"/>
  <c r="BN4765" i="1"/>
  <c r="BM4765" i="1"/>
  <c r="BL4765" i="1"/>
  <c r="BK4765" i="1"/>
  <c r="BJ4765" i="1"/>
  <c r="BI4765" i="1"/>
  <c r="BH4765" i="1"/>
  <c r="BP4764" i="1"/>
  <c r="BL4764" i="1"/>
  <c r="BK4764" i="1"/>
  <c r="BJ4764" i="1"/>
  <c r="BI4764" i="1"/>
  <c r="BH4764" i="1"/>
  <c r="BG4764" i="1"/>
  <c r="AW4764" i="1"/>
  <c r="BO4764" i="1" s="1"/>
  <c r="AT4764" i="1"/>
  <c r="BN4764" i="1" s="1"/>
  <c r="AB4764" i="1"/>
  <c r="BM4764" i="1" s="1"/>
  <c r="Z4764" i="1"/>
  <c r="U4764" i="1"/>
  <c r="S4764" i="1"/>
  <c r="O4764" i="1"/>
  <c r="E4764" i="1"/>
  <c r="D4764" i="1"/>
  <c r="BP4763" i="1"/>
  <c r="BO4763" i="1"/>
  <c r="BN4763" i="1"/>
  <c r="BM4763" i="1"/>
  <c r="BL4763" i="1"/>
  <c r="BK4763" i="1"/>
  <c r="BJ4763" i="1"/>
  <c r="BI4763" i="1"/>
  <c r="BH4763" i="1"/>
  <c r="BP4762" i="1"/>
  <c r="BO4762" i="1"/>
  <c r="BN4762" i="1"/>
  <c r="BM4762" i="1"/>
  <c r="BL4762" i="1"/>
  <c r="BK4762" i="1"/>
  <c r="BJ4762" i="1"/>
  <c r="BI4762" i="1"/>
  <c r="BH4762" i="1"/>
  <c r="BP4761" i="1"/>
  <c r="BO4761" i="1"/>
  <c r="BN4761" i="1"/>
  <c r="BL4761" i="1"/>
  <c r="BK4761" i="1"/>
  <c r="BJ4761" i="1"/>
  <c r="BI4761" i="1"/>
  <c r="BH4761" i="1"/>
  <c r="AQ4761" i="1"/>
  <c r="AB4761" i="1"/>
  <c r="BM4761" i="1" s="1"/>
  <c r="BP4760" i="1"/>
  <c r="BO4760" i="1"/>
  <c r="BN4760" i="1"/>
  <c r="BL4760" i="1"/>
  <c r="BK4760" i="1"/>
  <c r="BJ4760" i="1"/>
  <c r="BH4760" i="1"/>
  <c r="AR4760" i="1"/>
  <c r="AQ4760" i="1"/>
  <c r="BM4760" i="1" s="1"/>
  <c r="P4760" i="1"/>
  <c r="BI4760" i="1" s="1"/>
  <c r="BP4759" i="1"/>
  <c r="BO4759" i="1"/>
  <c r="BN4759" i="1"/>
  <c r="BL4759" i="1"/>
  <c r="BK4759" i="1"/>
  <c r="BJ4759" i="1"/>
  <c r="BI4759" i="1"/>
  <c r="BH4759" i="1"/>
  <c r="AR4759" i="1"/>
  <c r="AN4759" i="1"/>
  <c r="BM4759" i="1" s="1"/>
  <c r="BP4758" i="1"/>
  <c r="BO4758" i="1"/>
  <c r="BN4758" i="1"/>
  <c r="BL4758" i="1"/>
  <c r="BK4758" i="1"/>
  <c r="BJ4758" i="1"/>
  <c r="BI4758" i="1"/>
  <c r="BH4758" i="1"/>
  <c r="AW4758" i="1"/>
  <c r="AQ4758" i="1"/>
  <c r="BM4758" i="1" s="1"/>
  <c r="U4758" i="1"/>
  <c r="BP4757" i="1"/>
  <c r="BO4757" i="1"/>
  <c r="BN4757" i="1"/>
  <c r="BM4757" i="1"/>
  <c r="BL4757" i="1"/>
  <c r="BK4757" i="1"/>
  <c r="BJ4757" i="1"/>
  <c r="BI4757" i="1"/>
  <c r="BH4757" i="1"/>
  <c r="BP4756" i="1"/>
  <c r="BO4756" i="1"/>
  <c r="BN4756" i="1"/>
  <c r="BM4756" i="1"/>
  <c r="BL4756" i="1"/>
  <c r="BK4756" i="1"/>
  <c r="BJ4756" i="1"/>
  <c r="BI4756" i="1"/>
  <c r="BH4756" i="1"/>
  <c r="BP4755" i="1"/>
  <c r="BO4755" i="1"/>
  <c r="BN4755" i="1"/>
  <c r="BM4755" i="1"/>
  <c r="BL4755" i="1"/>
  <c r="BK4755" i="1"/>
  <c r="BJ4755" i="1"/>
  <c r="BI4755" i="1"/>
  <c r="BH4755" i="1"/>
  <c r="BP4754" i="1"/>
  <c r="BN4754" i="1"/>
  <c r="BM4754" i="1"/>
  <c r="BL4754" i="1"/>
  <c r="BK4754" i="1"/>
  <c r="BJ4754" i="1"/>
  <c r="BI4754" i="1"/>
  <c r="BH4754" i="1"/>
  <c r="AW4754" i="1"/>
  <c r="BO4754" i="1" s="1"/>
  <c r="AQ4754" i="1"/>
  <c r="U4754" i="1"/>
  <c r="BP4753" i="1"/>
  <c r="BO4753" i="1"/>
  <c r="BN4753" i="1"/>
  <c r="BM4753" i="1"/>
  <c r="BL4753" i="1"/>
  <c r="BK4753" i="1"/>
  <c r="BJ4753" i="1"/>
  <c r="BI4753" i="1"/>
  <c r="BH4753" i="1"/>
  <c r="AR4753" i="1"/>
  <c r="AN4753" i="1"/>
  <c r="BP4752" i="1"/>
  <c r="BO4752" i="1"/>
  <c r="BN4752" i="1"/>
  <c r="BM4752" i="1"/>
  <c r="BL4752" i="1"/>
  <c r="BK4752" i="1"/>
  <c r="BJ4752" i="1"/>
  <c r="BI4752" i="1"/>
  <c r="BH4752" i="1"/>
  <c r="BP4751" i="1"/>
  <c r="BO4751" i="1"/>
  <c r="BN4751" i="1"/>
  <c r="BM4751" i="1"/>
  <c r="BL4751" i="1"/>
  <c r="BK4751" i="1"/>
  <c r="BJ4751" i="1"/>
  <c r="BI4751" i="1"/>
  <c r="BH4751" i="1"/>
  <c r="BP4750" i="1"/>
  <c r="BO4750" i="1"/>
  <c r="BN4750" i="1"/>
  <c r="BM4750" i="1"/>
  <c r="BL4750" i="1"/>
  <c r="BK4750" i="1"/>
  <c r="BJ4750" i="1"/>
  <c r="BI4750" i="1"/>
  <c r="BH4750" i="1"/>
  <c r="BP4749" i="1"/>
  <c r="BO4749" i="1"/>
  <c r="BN4749" i="1"/>
  <c r="BM4749" i="1"/>
  <c r="BL4749" i="1"/>
  <c r="BK4749" i="1"/>
  <c r="BJ4749" i="1"/>
  <c r="BI4749" i="1"/>
  <c r="BH4749" i="1"/>
  <c r="BE4749" i="1"/>
  <c r="BP4748" i="1"/>
  <c r="BO4748" i="1"/>
  <c r="BN4748" i="1"/>
  <c r="BM4748" i="1"/>
  <c r="BL4748" i="1"/>
  <c r="BK4748" i="1"/>
  <c r="BJ4748" i="1"/>
  <c r="BI4748" i="1"/>
  <c r="BH4748" i="1"/>
  <c r="BP4747" i="1"/>
  <c r="BO4747" i="1"/>
  <c r="BN4747" i="1"/>
  <c r="BM4747" i="1"/>
  <c r="BL4747" i="1"/>
  <c r="BK4747" i="1"/>
  <c r="BJ4747" i="1"/>
  <c r="BI4747" i="1"/>
  <c r="BH4747" i="1"/>
  <c r="V4747" i="1"/>
  <c r="BP4746" i="1"/>
  <c r="BO4746" i="1"/>
  <c r="BN4746" i="1"/>
  <c r="BM4746" i="1"/>
  <c r="BL4746" i="1"/>
  <c r="BK4746" i="1"/>
  <c r="BJ4746" i="1"/>
  <c r="BI4746" i="1"/>
  <c r="BH4746" i="1"/>
  <c r="BP4745" i="1"/>
  <c r="BO4745" i="1"/>
  <c r="BN4745" i="1"/>
  <c r="BM4745" i="1"/>
  <c r="BL4745" i="1"/>
  <c r="BK4745" i="1"/>
  <c r="BJ4745" i="1"/>
  <c r="BI4745" i="1"/>
  <c r="BH4745" i="1"/>
  <c r="BP4744" i="1"/>
  <c r="BO4744" i="1"/>
  <c r="BN4744" i="1"/>
  <c r="BM4744" i="1"/>
  <c r="BL4744" i="1"/>
  <c r="BK4744" i="1"/>
  <c r="BJ4744" i="1"/>
  <c r="BI4744" i="1"/>
  <c r="BH4744" i="1"/>
  <c r="BP4743" i="1"/>
  <c r="BO4743" i="1"/>
  <c r="BN4743" i="1"/>
  <c r="BL4743" i="1"/>
  <c r="BK4743" i="1"/>
  <c r="BJ4743" i="1"/>
  <c r="BI4743" i="1"/>
  <c r="BH4743" i="1"/>
  <c r="AS4743" i="1"/>
  <c r="AN4743" i="1"/>
  <c r="BM4743" i="1" s="1"/>
  <c r="BP4742" i="1"/>
  <c r="BO4742" i="1"/>
  <c r="BN4742" i="1"/>
  <c r="BL4742" i="1"/>
  <c r="BK4742" i="1"/>
  <c r="BJ4742" i="1"/>
  <c r="BI4742" i="1"/>
  <c r="BH4742" i="1"/>
  <c r="AS4742" i="1"/>
  <c r="BM4742" i="1" s="1"/>
  <c r="BP4741" i="1"/>
  <c r="BO4741" i="1"/>
  <c r="BN4741" i="1"/>
  <c r="BL4741" i="1"/>
  <c r="BK4741" i="1"/>
  <c r="BJ4741" i="1"/>
  <c r="BI4741" i="1"/>
  <c r="BH4741" i="1"/>
  <c r="AS4741" i="1"/>
  <c r="AN4741" i="1"/>
  <c r="BM4741" i="1" s="1"/>
  <c r="BP4740" i="1"/>
  <c r="BO4740" i="1"/>
  <c r="BN4740" i="1"/>
  <c r="BL4740" i="1"/>
  <c r="BK4740" i="1"/>
  <c r="BJ4740" i="1"/>
  <c r="BI4740" i="1"/>
  <c r="BH4740" i="1"/>
  <c r="AR4740" i="1"/>
  <c r="AN4740" i="1"/>
  <c r="BP4739" i="1"/>
  <c r="BO4739" i="1"/>
  <c r="BN4739" i="1"/>
  <c r="BM4739" i="1"/>
  <c r="BL4739" i="1"/>
  <c r="BK4739" i="1"/>
  <c r="BJ4739" i="1"/>
  <c r="BI4739" i="1"/>
  <c r="BH4739" i="1"/>
  <c r="BP4738" i="1"/>
  <c r="BO4738" i="1"/>
  <c r="BN4738" i="1"/>
  <c r="BM4738" i="1"/>
  <c r="BL4738" i="1"/>
  <c r="BK4738" i="1"/>
  <c r="BJ4738" i="1"/>
  <c r="BI4738" i="1"/>
  <c r="BH4738" i="1"/>
  <c r="AW4738" i="1"/>
  <c r="AQ4738" i="1"/>
  <c r="U4738" i="1"/>
  <c r="BP4737" i="1"/>
  <c r="BO4737" i="1"/>
  <c r="BN4737" i="1"/>
  <c r="BL4737" i="1"/>
  <c r="BK4737" i="1"/>
  <c r="BG4737" i="1"/>
  <c r="AT4737" i="1"/>
  <c r="AR4737" i="1"/>
  <c r="AN4737" i="1"/>
  <c r="BM4737" i="1" s="1"/>
  <c r="AM4737" i="1"/>
  <c r="W4737" i="1"/>
  <c r="S4737" i="1"/>
  <c r="BJ4737" i="1" s="1"/>
  <c r="N4737" i="1"/>
  <c r="BI4737" i="1" s="1"/>
  <c r="I4737" i="1"/>
  <c r="BH4737" i="1" s="1"/>
  <c r="D4737" i="1"/>
  <c r="BP4736" i="1"/>
  <c r="BO4736" i="1"/>
  <c r="BN4736" i="1"/>
  <c r="BL4736" i="1"/>
  <c r="BK4736" i="1"/>
  <c r="BJ4736" i="1"/>
  <c r="BI4736" i="1"/>
  <c r="BH4736" i="1"/>
  <c r="AS4736" i="1"/>
  <c r="AN4736" i="1"/>
  <c r="BM4736" i="1" s="1"/>
  <c r="BP4735" i="1"/>
  <c r="BO4735" i="1"/>
  <c r="BN4735" i="1"/>
  <c r="BL4735" i="1"/>
  <c r="BK4735" i="1"/>
  <c r="BJ4735" i="1"/>
  <c r="BI4735" i="1"/>
  <c r="BH4735" i="1"/>
  <c r="AS4735" i="1"/>
  <c r="BM4735" i="1" s="1"/>
  <c r="BP4734" i="1"/>
  <c r="BO4734" i="1"/>
  <c r="BN4734" i="1"/>
  <c r="BM4734" i="1"/>
  <c r="BL4734" i="1"/>
  <c r="BK4734" i="1"/>
  <c r="BJ4734" i="1"/>
  <c r="BI4734" i="1"/>
  <c r="BH4734" i="1"/>
  <c r="AS4734" i="1"/>
  <c r="BP4733" i="1"/>
  <c r="BO4733" i="1"/>
  <c r="BN4733" i="1"/>
  <c r="BM4733" i="1"/>
  <c r="BL4733" i="1"/>
  <c r="BK4733" i="1"/>
  <c r="BJ4733" i="1"/>
  <c r="BI4733" i="1"/>
  <c r="BH4733" i="1"/>
  <c r="AQ4733" i="1"/>
  <c r="BP4732" i="1"/>
  <c r="BO4732" i="1"/>
  <c r="BN4732" i="1"/>
  <c r="BM4732" i="1"/>
  <c r="BL4732" i="1"/>
  <c r="BK4732" i="1"/>
  <c r="BJ4732" i="1"/>
  <c r="BI4732" i="1"/>
  <c r="BH4732" i="1"/>
  <c r="AW4732" i="1"/>
  <c r="AQ4732" i="1"/>
  <c r="U4732" i="1"/>
  <c r="BP4731" i="1"/>
  <c r="BO4731" i="1"/>
  <c r="BN4731" i="1"/>
  <c r="BM4731" i="1"/>
  <c r="BL4731" i="1"/>
  <c r="BK4731" i="1"/>
  <c r="BJ4731" i="1"/>
  <c r="BI4731" i="1"/>
  <c r="BH4731" i="1"/>
  <c r="AA4731" i="1"/>
  <c r="BP4730" i="1"/>
  <c r="BO4730" i="1"/>
  <c r="BN4730" i="1"/>
  <c r="BM4730" i="1"/>
  <c r="BL4730" i="1"/>
  <c r="BK4730" i="1"/>
  <c r="BJ4730" i="1"/>
  <c r="BI4730" i="1"/>
  <c r="BH4730" i="1"/>
  <c r="BP4729" i="1"/>
  <c r="BO4729" i="1"/>
  <c r="BN4729" i="1"/>
  <c r="BM4729" i="1"/>
  <c r="BL4729" i="1"/>
  <c r="BK4729" i="1"/>
  <c r="BJ4729" i="1"/>
  <c r="BI4729" i="1"/>
  <c r="BH4729" i="1"/>
  <c r="BP4728" i="1"/>
  <c r="BO4728" i="1"/>
  <c r="BN4728" i="1"/>
  <c r="BM4728" i="1"/>
  <c r="BL4728" i="1"/>
  <c r="BK4728" i="1"/>
  <c r="BJ4728" i="1"/>
  <c r="BI4728" i="1"/>
  <c r="BH4728" i="1"/>
  <c r="BP4727" i="1"/>
  <c r="BO4727" i="1"/>
  <c r="BN4727" i="1"/>
  <c r="BM4727" i="1"/>
  <c r="BL4727" i="1"/>
  <c r="BK4727" i="1"/>
  <c r="BJ4727" i="1"/>
  <c r="BI4727" i="1"/>
  <c r="AJ4727" i="1"/>
  <c r="N4727" i="1"/>
  <c r="J4727" i="1"/>
  <c r="BH4727" i="1" s="1"/>
  <c r="BP4726" i="1"/>
  <c r="BO4726" i="1"/>
  <c r="BN4726" i="1"/>
  <c r="BM4726" i="1"/>
  <c r="BL4726" i="1"/>
  <c r="BK4726" i="1"/>
  <c r="BJ4726" i="1"/>
  <c r="BI4726" i="1"/>
  <c r="BH4726" i="1"/>
  <c r="AS4726" i="1"/>
  <c r="AN4726" i="1"/>
  <c r="BP4725" i="1"/>
  <c r="BO4725" i="1"/>
  <c r="BN4725" i="1"/>
  <c r="BM4725" i="1"/>
  <c r="BL4725" i="1"/>
  <c r="BK4725" i="1"/>
  <c r="BJ4725" i="1"/>
  <c r="BI4725" i="1"/>
  <c r="BH4725" i="1"/>
  <c r="AS4725" i="1"/>
  <c r="AN4725" i="1"/>
  <c r="BP4724" i="1"/>
  <c r="BO4724" i="1"/>
  <c r="BN4724" i="1"/>
  <c r="BL4724" i="1"/>
  <c r="BK4724" i="1"/>
  <c r="BJ4724" i="1"/>
  <c r="BI4724" i="1"/>
  <c r="BH4724" i="1"/>
  <c r="AS4724" i="1"/>
  <c r="BM4724" i="1" s="1"/>
  <c r="BP4723" i="1"/>
  <c r="BO4723" i="1"/>
  <c r="BN4723" i="1"/>
  <c r="BM4723" i="1"/>
  <c r="BL4723" i="1"/>
  <c r="BK4723" i="1"/>
  <c r="BJ4723" i="1"/>
  <c r="BI4723" i="1"/>
  <c r="BH4723" i="1"/>
  <c r="AR4723" i="1"/>
  <c r="AN4723" i="1"/>
  <c r="BP4722" i="1"/>
  <c r="BO4722" i="1"/>
  <c r="BN4722" i="1"/>
  <c r="BM4722" i="1"/>
  <c r="BL4722" i="1"/>
  <c r="BK4722" i="1"/>
  <c r="BJ4722" i="1"/>
  <c r="BI4722" i="1"/>
  <c r="BH4722" i="1"/>
  <c r="BP4721" i="1"/>
  <c r="BO4721" i="1"/>
  <c r="BN4721" i="1"/>
  <c r="BM4721" i="1"/>
  <c r="BL4721" i="1"/>
  <c r="BK4721" i="1"/>
  <c r="BJ4721" i="1"/>
  <c r="BI4721" i="1"/>
  <c r="BH4721" i="1"/>
  <c r="BP4720" i="1"/>
  <c r="BO4720" i="1"/>
  <c r="BN4720" i="1"/>
  <c r="BM4720" i="1"/>
  <c r="BL4720" i="1"/>
  <c r="BK4720" i="1"/>
  <c r="BJ4720" i="1"/>
  <c r="BI4720" i="1"/>
  <c r="BH4720" i="1"/>
  <c r="AA4720" i="1"/>
  <c r="BP4719" i="1"/>
  <c r="BO4719" i="1"/>
  <c r="BN4719" i="1"/>
  <c r="BM4719" i="1"/>
  <c r="BL4719" i="1"/>
  <c r="BK4719" i="1"/>
  <c r="BJ4719" i="1"/>
  <c r="BI4719" i="1"/>
  <c r="BH4719" i="1"/>
  <c r="AQ4719" i="1"/>
  <c r="U4719" i="1"/>
  <c r="BP4718" i="1"/>
  <c r="BO4718" i="1"/>
  <c r="BN4718" i="1"/>
  <c r="BL4718" i="1"/>
  <c r="BK4718" i="1"/>
  <c r="BJ4718" i="1"/>
  <c r="BI4718" i="1"/>
  <c r="BH4718" i="1"/>
  <c r="AR4718" i="1"/>
  <c r="BM4718" i="1" s="1"/>
  <c r="AN4718" i="1"/>
  <c r="BP4717" i="1"/>
  <c r="BO4717" i="1"/>
  <c r="BN4717" i="1"/>
  <c r="BM4717" i="1"/>
  <c r="BL4717" i="1"/>
  <c r="BK4717" i="1"/>
  <c r="BJ4717" i="1"/>
  <c r="BI4717" i="1"/>
  <c r="BH4717" i="1"/>
  <c r="AB4717" i="1"/>
  <c r="BP4716" i="1"/>
  <c r="BO4716" i="1"/>
  <c r="BN4716" i="1"/>
  <c r="BM4716" i="1"/>
  <c r="BL4716" i="1"/>
  <c r="BK4716" i="1"/>
  <c r="BJ4716" i="1"/>
  <c r="BI4716" i="1"/>
  <c r="BH4716" i="1"/>
  <c r="BP4715" i="1"/>
  <c r="BO4715" i="1"/>
  <c r="BN4715" i="1"/>
  <c r="BM4715" i="1"/>
  <c r="BL4715" i="1"/>
  <c r="BJ4715" i="1"/>
  <c r="BI4715" i="1"/>
  <c r="BH4715" i="1"/>
  <c r="V4715" i="1"/>
  <c r="BK4715" i="1" s="1"/>
  <c r="BP4714" i="1"/>
  <c r="BO4714" i="1"/>
  <c r="BN4714" i="1"/>
  <c r="BM4714" i="1"/>
  <c r="BL4714" i="1"/>
  <c r="BK4714" i="1"/>
  <c r="BJ4714" i="1"/>
  <c r="BI4714" i="1"/>
  <c r="BH4714" i="1"/>
  <c r="BP4713" i="1"/>
  <c r="BO4713" i="1"/>
  <c r="BN4713" i="1"/>
  <c r="BM4713" i="1"/>
  <c r="BL4713" i="1"/>
  <c r="BK4713" i="1"/>
  <c r="BJ4713" i="1"/>
  <c r="BI4713" i="1"/>
  <c r="BH4713" i="1"/>
  <c r="BP4712" i="1"/>
  <c r="BO4712" i="1"/>
  <c r="BN4712" i="1"/>
  <c r="BM4712" i="1"/>
  <c r="BL4712" i="1"/>
  <c r="BK4712" i="1"/>
  <c r="BJ4712" i="1"/>
  <c r="BI4712" i="1"/>
  <c r="BH4712" i="1"/>
  <c r="BP4711" i="1"/>
  <c r="BO4711" i="1"/>
  <c r="BN4711" i="1"/>
  <c r="BM4711" i="1"/>
  <c r="BL4711" i="1"/>
  <c r="BJ4711" i="1"/>
  <c r="BI4711" i="1"/>
  <c r="BH4711" i="1"/>
  <c r="V4711" i="1"/>
  <c r="BK4711" i="1" s="1"/>
  <c r="BP4710" i="1"/>
  <c r="BO4710" i="1"/>
  <c r="BN4710" i="1"/>
  <c r="BM4710" i="1"/>
  <c r="BL4710" i="1"/>
  <c r="BJ4710" i="1"/>
  <c r="BI4710" i="1"/>
  <c r="BH4710" i="1"/>
  <c r="AW4710" i="1"/>
  <c r="AQ4710" i="1"/>
  <c r="U4710" i="1"/>
  <c r="BK4710" i="1" s="1"/>
  <c r="BP4709" i="1"/>
  <c r="BO4709" i="1"/>
  <c r="BN4709" i="1"/>
  <c r="BM4709" i="1"/>
  <c r="BL4709" i="1"/>
  <c r="BK4709" i="1"/>
  <c r="BJ4709" i="1"/>
  <c r="BI4709" i="1"/>
  <c r="BH4709" i="1"/>
  <c r="BP4708" i="1"/>
  <c r="BO4708" i="1"/>
  <c r="BN4708" i="1"/>
  <c r="BM4708" i="1"/>
  <c r="BL4708" i="1"/>
  <c r="BK4708" i="1"/>
  <c r="BJ4708" i="1"/>
  <c r="BI4708" i="1"/>
  <c r="BH4708" i="1"/>
  <c r="AS4708" i="1"/>
  <c r="AN4708" i="1"/>
  <c r="BP4707" i="1"/>
  <c r="BO4707" i="1"/>
  <c r="BN4707" i="1"/>
  <c r="BM4707" i="1"/>
  <c r="BL4707" i="1"/>
  <c r="BK4707" i="1"/>
  <c r="BJ4707" i="1"/>
  <c r="BI4707" i="1"/>
  <c r="BH4707" i="1"/>
  <c r="AS4707" i="1"/>
  <c r="AN4707" i="1"/>
  <c r="BP4706" i="1"/>
  <c r="BO4706" i="1"/>
  <c r="BN4706" i="1"/>
  <c r="BL4706" i="1"/>
  <c r="BK4706" i="1"/>
  <c r="BJ4706" i="1"/>
  <c r="BI4706" i="1"/>
  <c r="BH4706" i="1"/>
  <c r="AR4706" i="1"/>
  <c r="BM4706" i="1" s="1"/>
  <c r="AN4706" i="1"/>
  <c r="BP4705" i="1"/>
  <c r="BO4705" i="1"/>
  <c r="BN4705" i="1"/>
  <c r="BM4705" i="1"/>
  <c r="BL4705" i="1"/>
  <c r="BK4705" i="1"/>
  <c r="BJ4705" i="1"/>
  <c r="BI4705" i="1"/>
  <c r="BH4705" i="1"/>
  <c r="BP4704" i="1"/>
  <c r="BO4704" i="1"/>
  <c r="BN4704" i="1"/>
  <c r="BM4704" i="1"/>
  <c r="BL4704" i="1"/>
  <c r="BK4704" i="1"/>
  <c r="BJ4704" i="1"/>
  <c r="BI4704" i="1"/>
  <c r="BH4704" i="1"/>
  <c r="BP4703" i="1"/>
  <c r="BO4703" i="1"/>
  <c r="BN4703" i="1"/>
  <c r="BM4703" i="1"/>
  <c r="BL4703" i="1"/>
  <c r="BK4703" i="1"/>
  <c r="BJ4703" i="1"/>
  <c r="BI4703" i="1"/>
  <c r="AQ4703" i="1"/>
  <c r="AA4703" i="1"/>
  <c r="L4703" i="1"/>
  <c r="BH4703" i="1" s="1"/>
  <c r="BP4702" i="1"/>
  <c r="BO4702" i="1"/>
  <c r="BN4702" i="1"/>
  <c r="BM4702" i="1"/>
  <c r="BL4702" i="1"/>
  <c r="BK4702" i="1"/>
  <c r="BJ4702" i="1"/>
  <c r="BI4702" i="1"/>
  <c r="BH4702" i="1"/>
  <c r="AR4702" i="1"/>
  <c r="AN4702" i="1"/>
  <c r="BP4701" i="1"/>
  <c r="BO4701" i="1"/>
  <c r="BN4701" i="1"/>
  <c r="BM4701" i="1"/>
  <c r="BL4701" i="1"/>
  <c r="BK4701" i="1"/>
  <c r="BG4701" i="1"/>
  <c r="BF4701" i="1"/>
  <c r="AW4701" i="1"/>
  <c r="AT4701" i="1"/>
  <c r="V4701" i="1"/>
  <c r="U4701" i="1"/>
  <c r="S4701" i="1"/>
  <c r="BJ4701" i="1" s="1"/>
  <c r="M4701" i="1"/>
  <c r="BI4701" i="1" s="1"/>
  <c r="G4701" i="1"/>
  <c r="C4701" i="1"/>
  <c r="BH4701" i="1" s="1"/>
  <c r="BP4700" i="1"/>
  <c r="BO4700" i="1"/>
  <c r="BN4700" i="1"/>
  <c r="BM4700" i="1"/>
  <c r="BL4700" i="1"/>
  <c r="BK4700" i="1"/>
  <c r="BJ4700" i="1"/>
  <c r="BI4700" i="1"/>
  <c r="BH4700" i="1"/>
  <c r="BP4699" i="1"/>
  <c r="BO4699" i="1"/>
  <c r="BN4699" i="1"/>
  <c r="BM4699" i="1"/>
  <c r="BL4699" i="1"/>
  <c r="BK4699" i="1"/>
  <c r="BJ4699" i="1"/>
  <c r="BI4699" i="1"/>
  <c r="BH4699" i="1"/>
  <c r="BP4698" i="1"/>
  <c r="BO4698" i="1"/>
  <c r="BN4698" i="1"/>
  <c r="BM4698" i="1"/>
  <c r="BL4698" i="1"/>
  <c r="BK4698" i="1"/>
  <c r="BJ4698" i="1"/>
  <c r="BI4698" i="1"/>
  <c r="BH4698" i="1"/>
  <c r="AR4698" i="1"/>
  <c r="AN4698" i="1"/>
  <c r="BP4697" i="1"/>
  <c r="BO4697" i="1"/>
  <c r="BN4697" i="1"/>
  <c r="BM4697" i="1"/>
  <c r="BL4697" i="1"/>
  <c r="BK4697" i="1"/>
  <c r="BJ4697" i="1"/>
  <c r="BI4697" i="1"/>
  <c r="BH4697" i="1"/>
  <c r="BP4696" i="1"/>
  <c r="BO4696" i="1"/>
  <c r="BN4696" i="1"/>
  <c r="BM4696" i="1"/>
  <c r="BL4696" i="1"/>
  <c r="BK4696" i="1"/>
  <c r="BJ4696" i="1"/>
  <c r="BI4696" i="1"/>
  <c r="BH4696" i="1"/>
  <c r="AB4696" i="1"/>
  <c r="BP4695" i="1"/>
  <c r="BO4695" i="1"/>
  <c r="BN4695" i="1"/>
  <c r="BL4695" i="1"/>
  <c r="BK4695" i="1"/>
  <c r="BJ4695" i="1"/>
  <c r="BI4695" i="1"/>
  <c r="BH4695" i="1"/>
  <c r="AQ4695" i="1"/>
  <c r="AB4695" i="1"/>
  <c r="BM4695" i="1" s="1"/>
  <c r="BP4694" i="1"/>
  <c r="BO4694" i="1"/>
  <c r="BN4694" i="1"/>
  <c r="BL4694" i="1"/>
  <c r="BK4694" i="1"/>
  <c r="BJ4694" i="1"/>
  <c r="BI4694" i="1"/>
  <c r="BH4694" i="1"/>
  <c r="AQ4694" i="1"/>
  <c r="BM4694" i="1" s="1"/>
  <c r="BP4693" i="1"/>
  <c r="BO4693" i="1"/>
  <c r="BN4693" i="1"/>
  <c r="BM4693" i="1"/>
  <c r="BK4693" i="1"/>
  <c r="BJ4693" i="1"/>
  <c r="BI4693" i="1"/>
  <c r="BH4693" i="1"/>
  <c r="AA4693" i="1"/>
  <c r="BL4693" i="1" s="1"/>
  <c r="BP4692" i="1"/>
  <c r="BO4692" i="1"/>
  <c r="BN4692" i="1"/>
  <c r="BM4692" i="1"/>
  <c r="BL4692" i="1"/>
  <c r="BK4692" i="1"/>
  <c r="BJ4692" i="1"/>
  <c r="BI4692" i="1"/>
  <c r="BH4692" i="1"/>
  <c r="AR4692" i="1"/>
  <c r="AN4692" i="1"/>
  <c r="BP4691" i="1"/>
  <c r="BO4691" i="1"/>
  <c r="BN4691" i="1"/>
  <c r="BM4691" i="1"/>
  <c r="BL4691" i="1"/>
  <c r="BK4691" i="1"/>
  <c r="BJ4691" i="1"/>
  <c r="BI4691" i="1"/>
  <c r="BH4691" i="1"/>
  <c r="BP4690" i="1"/>
  <c r="BO4690" i="1"/>
  <c r="BN4690" i="1"/>
  <c r="BM4690" i="1"/>
  <c r="BL4690" i="1"/>
  <c r="BK4690" i="1"/>
  <c r="BJ4690" i="1"/>
  <c r="BI4690" i="1"/>
  <c r="BH4690" i="1"/>
  <c r="BP4689" i="1"/>
  <c r="BO4689" i="1"/>
  <c r="BN4689" i="1"/>
  <c r="BM4689" i="1"/>
  <c r="BL4689" i="1"/>
  <c r="BK4689" i="1"/>
  <c r="BJ4689" i="1"/>
  <c r="BI4689" i="1"/>
  <c r="BH4689" i="1"/>
  <c r="BP4688" i="1"/>
  <c r="BO4688" i="1"/>
  <c r="BM4688" i="1"/>
  <c r="BL4688" i="1"/>
  <c r="BK4688" i="1"/>
  <c r="BJ4688" i="1"/>
  <c r="BI4688" i="1"/>
  <c r="BG4688" i="1"/>
  <c r="BF4688" i="1"/>
  <c r="AW4688" i="1"/>
  <c r="AT4688" i="1"/>
  <c r="BN4688" i="1" s="1"/>
  <c r="V4688" i="1"/>
  <c r="U4688" i="1"/>
  <c r="S4688" i="1"/>
  <c r="M4688" i="1"/>
  <c r="G4688" i="1"/>
  <c r="C4688" i="1"/>
  <c r="BH4688" i="1" s="1"/>
  <c r="BP4687" i="1"/>
  <c r="BO4687" i="1"/>
  <c r="BN4687" i="1"/>
  <c r="BM4687" i="1"/>
  <c r="BL4687" i="1"/>
  <c r="BK4687" i="1"/>
  <c r="BJ4687" i="1"/>
  <c r="BI4687" i="1"/>
  <c r="BH4687" i="1"/>
  <c r="AQ4687" i="1"/>
  <c r="BP4686" i="1"/>
  <c r="BO4686" i="1"/>
  <c r="BN4686" i="1"/>
  <c r="BM4686" i="1"/>
  <c r="BL4686" i="1"/>
  <c r="BK4686" i="1"/>
  <c r="BJ4686" i="1"/>
  <c r="BI4686" i="1"/>
  <c r="BH4686" i="1"/>
  <c r="AS4686" i="1"/>
  <c r="AN4686" i="1"/>
  <c r="BP4685" i="1"/>
  <c r="BO4685" i="1"/>
  <c r="BN4685" i="1"/>
  <c r="BL4685" i="1"/>
  <c r="BK4685" i="1"/>
  <c r="BJ4685" i="1"/>
  <c r="BI4685" i="1"/>
  <c r="BH4685" i="1"/>
  <c r="AS4685" i="1"/>
  <c r="BM4685" i="1" s="1"/>
  <c r="BP4684" i="1"/>
  <c r="BO4684" i="1"/>
  <c r="BN4684" i="1"/>
  <c r="BM4684" i="1"/>
  <c r="BL4684" i="1"/>
  <c r="BK4684" i="1"/>
  <c r="BJ4684" i="1"/>
  <c r="BI4684" i="1"/>
  <c r="BH4684" i="1"/>
  <c r="BP4683" i="1"/>
  <c r="BN4683" i="1"/>
  <c r="BM4683" i="1"/>
  <c r="BL4683" i="1"/>
  <c r="BK4683" i="1"/>
  <c r="BJ4683" i="1"/>
  <c r="BI4683" i="1"/>
  <c r="BH4683" i="1"/>
  <c r="BE4683" i="1"/>
  <c r="BO4683" i="1" s="1"/>
  <c r="BP4682" i="1"/>
  <c r="BO4682" i="1"/>
  <c r="BN4682" i="1"/>
  <c r="BL4682" i="1"/>
  <c r="BK4682" i="1"/>
  <c r="BJ4682" i="1"/>
  <c r="BI4682" i="1"/>
  <c r="BH4682" i="1"/>
  <c r="AQ4682" i="1"/>
  <c r="BM4682" i="1" s="1"/>
  <c r="BP4681" i="1"/>
  <c r="BO4681" i="1"/>
  <c r="BN4681" i="1"/>
  <c r="BM4681" i="1"/>
  <c r="BL4681" i="1"/>
  <c r="BK4681" i="1"/>
  <c r="BJ4681" i="1"/>
  <c r="BI4681" i="1"/>
  <c r="BH4681" i="1"/>
  <c r="BP4680" i="1"/>
  <c r="BO4680" i="1"/>
  <c r="BN4680" i="1"/>
  <c r="BM4680" i="1"/>
  <c r="BL4680" i="1"/>
  <c r="BK4680" i="1"/>
  <c r="BJ4680" i="1"/>
  <c r="BI4680" i="1"/>
  <c r="BH4680" i="1"/>
  <c r="BP4679" i="1"/>
  <c r="BO4679" i="1"/>
  <c r="BN4679" i="1"/>
  <c r="BL4679" i="1"/>
  <c r="BK4679" i="1"/>
  <c r="BJ4679" i="1"/>
  <c r="BI4679" i="1"/>
  <c r="BH4679" i="1"/>
  <c r="AQ4679" i="1"/>
  <c r="BM4679" i="1" s="1"/>
  <c r="BP4678" i="1"/>
  <c r="BO4678" i="1"/>
  <c r="BN4678" i="1"/>
  <c r="BL4678" i="1"/>
  <c r="BK4678" i="1"/>
  <c r="BJ4678" i="1"/>
  <c r="BI4678" i="1"/>
  <c r="BH4678" i="1"/>
  <c r="AB4678" i="1"/>
  <c r="BM4678" i="1" s="1"/>
  <c r="BP4677" i="1"/>
  <c r="BO4677" i="1"/>
  <c r="BN4677" i="1"/>
  <c r="BM4677" i="1"/>
  <c r="BL4677" i="1"/>
  <c r="BK4677" i="1"/>
  <c r="BJ4677" i="1"/>
  <c r="BI4677" i="1"/>
  <c r="BH4677" i="1"/>
  <c r="BP4676" i="1"/>
  <c r="BO4676" i="1"/>
  <c r="BN4676" i="1"/>
  <c r="BM4676" i="1"/>
  <c r="BL4676" i="1"/>
  <c r="BK4676" i="1"/>
  <c r="BJ4676" i="1"/>
  <c r="BI4676" i="1"/>
  <c r="BH4676" i="1"/>
  <c r="BP4675" i="1"/>
  <c r="BO4675" i="1"/>
  <c r="BN4675" i="1"/>
  <c r="BM4675" i="1"/>
  <c r="BL4675" i="1"/>
  <c r="BK4675" i="1"/>
  <c r="BJ4675" i="1"/>
  <c r="BI4675" i="1"/>
  <c r="BH4675" i="1"/>
  <c r="BP4674" i="1"/>
  <c r="BO4674" i="1"/>
  <c r="BN4674" i="1"/>
  <c r="BL4674" i="1"/>
  <c r="BK4674" i="1"/>
  <c r="BJ4674" i="1"/>
  <c r="BI4674" i="1"/>
  <c r="BH4674" i="1"/>
  <c r="AR4674" i="1"/>
  <c r="AN4674" i="1"/>
  <c r="BM4674" i="1" s="1"/>
  <c r="BP4673" i="1"/>
  <c r="BO4673" i="1"/>
  <c r="BN4673" i="1"/>
  <c r="BL4673" i="1"/>
  <c r="BK4673" i="1"/>
  <c r="BJ4673" i="1"/>
  <c r="BI4673" i="1"/>
  <c r="BH4673" i="1"/>
  <c r="AR4673" i="1"/>
  <c r="AN4673" i="1"/>
  <c r="BM4673" i="1" s="1"/>
  <c r="BP4672" i="1"/>
  <c r="BO4672" i="1"/>
  <c r="BN4672" i="1"/>
  <c r="BL4672" i="1"/>
  <c r="BK4672" i="1"/>
  <c r="BJ4672" i="1"/>
  <c r="BI4672" i="1"/>
  <c r="BH4672" i="1"/>
  <c r="AR4672" i="1"/>
  <c r="AN4672" i="1"/>
  <c r="BP4671" i="1"/>
  <c r="BO4671" i="1"/>
  <c r="BN4671" i="1"/>
  <c r="BL4671" i="1"/>
  <c r="BK4671" i="1"/>
  <c r="BJ4671" i="1"/>
  <c r="BI4671" i="1"/>
  <c r="BH4671" i="1"/>
  <c r="AP4671" i="1"/>
  <c r="BM4671" i="1" s="1"/>
  <c r="BP4670" i="1"/>
  <c r="BO4670" i="1"/>
  <c r="BN4670" i="1"/>
  <c r="BM4670" i="1"/>
  <c r="BL4670" i="1"/>
  <c r="BK4670" i="1"/>
  <c r="BJ4670" i="1"/>
  <c r="BI4670" i="1"/>
  <c r="BH4670" i="1"/>
  <c r="BP4669" i="1"/>
  <c r="BO4669" i="1"/>
  <c r="BN4669" i="1"/>
  <c r="BM4669" i="1"/>
  <c r="BL4669" i="1"/>
  <c r="BK4669" i="1"/>
  <c r="BJ4669" i="1"/>
  <c r="BI4669" i="1"/>
  <c r="BH4669" i="1"/>
  <c r="AR4669" i="1"/>
  <c r="AN4669" i="1"/>
  <c r="BP4668" i="1"/>
  <c r="BO4668" i="1"/>
  <c r="BN4668" i="1"/>
  <c r="BM4668" i="1"/>
  <c r="BL4668" i="1"/>
  <c r="BK4668" i="1"/>
  <c r="BJ4668" i="1"/>
  <c r="BI4668" i="1"/>
  <c r="BH4668" i="1"/>
  <c r="AS4668" i="1"/>
  <c r="AN4668" i="1"/>
  <c r="BP4667" i="1"/>
  <c r="BO4667" i="1"/>
  <c r="BN4667" i="1"/>
  <c r="BM4667" i="1"/>
  <c r="BL4667" i="1"/>
  <c r="BK4667" i="1"/>
  <c r="BJ4667" i="1"/>
  <c r="BI4667" i="1"/>
  <c r="BH4667" i="1"/>
  <c r="AS4667" i="1"/>
  <c r="AN4667" i="1"/>
  <c r="BP4666" i="1"/>
  <c r="BO4666" i="1"/>
  <c r="BL4666" i="1"/>
  <c r="BK4666" i="1"/>
  <c r="BJ4666" i="1"/>
  <c r="BI4666" i="1"/>
  <c r="BH4666" i="1"/>
  <c r="BG4666" i="1"/>
  <c r="AT4666" i="1"/>
  <c r="BN4666" i="1" s="1"/>
  <c r="AS4666" i="1"/>
  <c r="AM4666" i="1"/>
  <c r="W4666" i="1"/>
  <c r="S4666" i="1"/>
  <c r="N4666" i="1"/>
  <c r="I4666" i="1"/>
  <c r="D4666" i="1"/>
  <c r="BP4665" i="1"/>
  <c r="BO4665" i="1"/>
  <c r="BN4665" i="1"/>
  <c r="BM4665" i="1"/>
  <c r="BL4665" i="1"/>
  <c r="BK4665" i="1"/>
  <c r="BJ4665" i="1"/>
  <c r="BI4665" i="1"/>
  <c r="BH4665" i="1"/>
  <c r="BP4664" i="1"/>
  <c r="BO4664" i="1"/>
  <c r="BN4664" i="1"/>
  <c r="BM4664" i="1"/>
  <c r="BL4664" i="1"/>
  <c r="BK4664" i="1"/>
  <c r="BJ4664" i="1"/>
  <c r="BI4664" i="1"/>
  <c r="BH4664" i="1"/>
  <c r="BP4663" i="1"/>
  <c r="BO4663" i="1"/>
  <c r="BN4663" i="1"/>
  <c r="BM4663" i="1"/>
  <c r="BL4663" i="1"/>
  <c r="BK4663" i="1"/>
  <c r="BJ4663" i="1"/>
  <c r="BI4663" i="1"/>
  <c r="BH4663" i="1"/>
  <c r="BP4662" i="1"/>
  <c r="BO4662" i="1"/>
  <c r="BN4662" i="1"/>
  <c r="BM4662" i="1"/>
  <c r="BL4662" i="1"/>
  <c r="BK4662" i="1"/>
  <c r="BJ4662" i="1"/>
  <c r="BI4662" i="1"/>
  <c r="BH4662" i="1"/>
  <c r="BP4661" i="1"/>
  <c r="BO4661" i="1"/>
  <c r="BN4661" i="1"/>
  <c r="BM4661" i="1"/>
  <c r="BL4661" i="1"/>
  <c r="BK4661" i="1"/>
  <c r="BJ4661" i="1"/>
  <c r="BI4661" i="1"/>
  <c r="BH4661" i="1"/>
  <c r="AA4661" i="1"/>
  <c r="BP4660" i="1"/>
  <c r="BO4660" i="1"/>
  <c r="BN4660" i="1"/>
  <c r="BM4660" i="1"/>
  <c r="BL4660" i="1"/>
  <c r="BK4660" i="1"/>
  <c r="BJ4660" i="1"/>
  <c r="BI4660" i="1"/>
  <c r="BH4660" i="1"/>
  <c r="AR4660" i="1"/>
  <c r="AN4660" i="1"/>
  <c r="BP4659" i="1"/>
  <c r="BO4659" i="1"/>
  <c r="BN4659" i="1"/>
  <c r="BM4659" i="1"/>
  <c r="BL4659" i="1"/>
  <c r="BK4659" i="1"/>
  <c r="BJ4659" i="1"/>
  <c r="BI4659" i="1"/>
  <c r="BH4659" i="1"/>
  <c r="BP4658" i="1"/>
  <c r="BO4658" i="1"/>
  <c r="BN4658" i="1"/>
  <c r="BM4658" i="1"/>
  <c r="BL4658" i="1"/>
  <c r="BK4658" i="1"/>
  <c r="BJ4658" i="1"/>
  <c r="BI4658" i="1"/>
  <c r="BH4658" i="1"/>
  <c r="BP4657" i="1"/>
  <c r="BO4657" i="1"/>
  <c r="BN4657" i="1"/>
  <c r="BM4657" i="1"/>
  <c r="BL4657" i="1"/>
  <c r="BK4657" i="1"/>
  <c r="BJ4657" i="1"/>
  <c r="BI4657" i="1"/>
  <c r="BH4657" i="1"/>
  <c r="BP4656" i="1"/>
  <c r="BO4656" i="1"/>
  <c r="BN4656" i="1"/>
  <c r="BM4656" i="1"/>
  <c r="BL4656" i="1"/>
  <c r="BK4656" i="1"/>
  <c r="BJ4656" i="1"/>
  <c r="BI4656" i="1"/>
  <c r="BH4656" i="1"/>
  <c r="BE4656" i="1"/>
  <c r="BP4655" i="1"/>
  <c r="BO4655" i="1"/>
  <c r="BN4655" i="1"/>
  <c r="BM4655" i="1"/>
  <c r="BL4655" i="1"/>
  <c r="BK4655" i="1"/>
  <c r="BJ4655" i="1"/>
  <c r="BI4655" i="1"/>
  <c r="BH4655" i="1"/>
  <c r="BE4655" i="1"/>
  <c r="X4655" i="1"/>
  <c r="S4655" i="1"/>
  <c r="R4655" i="1"/>
  <c r="BP4654" i="1"/>
  <c r="BO4654" i="1"/>
  <c r="BN4654" i="1"/>
  <c r="BM4654" i="1"/>
  <c r="BL4654" i="1"/>
  <c r="BK4654" i="1"/>
  <c r="BJ4654" i="1"/>
  <c r="BI4654" i="1"/>
  <c r="BH4654" i="1"/>
  <c r="AQ4654" i="1"/>
  <c r="BP4653" i="1"/>
  <c r="BO4653" i="1"/>
  <c r="BN4653" i="1"/>
  <c r="BM4653" i="1"/>
  <c r="BL4653" i="1"/>
  <c r="BK4653" i="1"/>
  <c r="BJ4653" i="1"/>
  <c r="BI4653" i="1"/>
  <c r="BH4653" i="1"/>
  <c r="BP4652" i="1"/>
  <c r="BO4652" i="1"/>
  <c r="BN4652" i="1"/>
  <c r="BL4652" i="1"/>
  <c r="BK4652" i="1"/>
  <c r="BJ4652" i="1"/>
  <c r="BH4652" i="1"/>
  <c r="AJ4652" i="1"/>
  <c r="BM4652" i="1" s="1"/>
  <c r="N4652" i="1"/>
  <c r="BI4652" i="1" s="1"/>
  <c r="J4652" i="1"/>
  <c r="BP4651" i="1"/>
  <c r="BO4651" i="1"/>
  <c r="BN4651" i="1"/>
  <c r="BM4651" i="1"/>
  <c r="BL4651" i="1"/>
  <c r="BK4651" i="1"/>
  <c r="BJ4651" i="1"/>
  <c r="BI4651" i="1"/>
  <c r="BH4651" i="1"/>
  <c r="BP4650" i="1"/>
  <c r="BO4650" i="1"/>
  <c r="BN4650" i="1"/>
  <c r="BM4650" i="1"/>
  <c r="BL4650" i="1"/>
  <c r="BK4650" i="1"/>
  <c r="BJ4650" i="1"/>
  <c r="BI4650" i="1"/>
  <c r="BH4650" i="1"/>
  <c r="BP4649" i="1"/>
  <c r="BO4649" i="1"/>
  <c r="BN4649" i="1"/>
  <c r="BM4649" i="1"/>
  <c r="BL4649" i="1"/>
  <c r="BK4649" i="1"/>
  <c r="BJ4649" i="1"/>
  <c r="BI4649" i="1"/>
  <c r="BH4649" i="1"/>
  <c r="AR4649" i="1"/>
  <c r="BP4648" i="1"/>
  <c r="BO4648" i="1"/>
  <c r="BN4648" i="1"/>
  <c r="BM4648" i="1"/>
  <c r="BL4648" i="1"/>
  <c r="BK4648" i="1"/>
  <c r="BJ4648" i="1"/>
  <c r="BI4648" i="1"/>
  <c r="BH4648" i="1"/>
  <c r="V4648" i="1"/>
  <c r="BP4647" i="1"/>
  <c r="BO4647" i="1"/>
  <c r="BN4647" i="1"/>
  <c r="BM4647" i="1"/>
  <c r="BL4647" i="1"/>
  <c r="BK4647" i="1"/>
  <c r="BJ4647" i="1"/>
  <c r="BI4647" i="1"/>
  <c r="BH4647" i="1"/>
  <c r="BP4646" i="1"/>
  <c r="BO4646" i="1"/>
  <c r="BN4646" i="1"/>
  <c r="BM4646" i="1"/>
  <c r="BL4646" i="1"/>
  <c r="BK4646" i="1"/>
  <c r="BJ4646" i="1"/>
  <c r="BI4646" i="1"/>
  <c r="BH4646" i="1"/>
  <c r="BP4645" i="1"/>
  <c r="BO4645" i="1"/>
  <c r="BN4645" i="1"/>
  <c r="BM4645" i="1"/>
  <c r="BL4645" i="1"/>
  <c r="BK4645" i="1"/>
  <c r="BJ4645" i="1"/>
  <c r="BI4645" i="1"/>
  <c r="BH4645" i="1"/>
  <c r="AR4645" i="1"/>
  <c r="AN4645" i="1"/>
  <c r="BP4644" i="1"/>
  <c r="BO4644" i="1"/>
  <c r="BN4644" i="1"/>
  <c r="BM4644" i="1"/>
  <c r="BL4644" i="1"/>
  <c r="BK4644" i="1"/>
  <c r="BJ4644" i="1"/>
  <c r="BI4644" i="1"/>
  <c r="BH4644" i="1"/>
  <c r="AR4644" i="1"/>
  <c r="AN4644" i="1"/>
  <c r="BP4643" i="1"/>
  <c r="BO4643" i="1"/>
  <c r="BN4643" i="1"/>
  <c r="BM4643" i="1"/>
  <c r="BL4643" i="1"/>
  <c r="BK4643" i="1"/>
  <c r="BJ4643" i="1"/>
  <c r="BI4643" i="1"/>
  <c r="BH4643" i="1"/>
  <c r="BP4642" i="1"/>
  <c r="BO4642" i="1"/>
  <c r="BN4642" i="1"/>
  <c r="BM4642" i="1"/>
  <c r="BL4642" i="1"/>
  <c r="BK4642" i="1"/>
  <c r="BJ4642" i="1"/>
  <c r="BI4642" i="1"/>
  <c r="BH4642" i="1"/>
  <c r="BP4641" i="1"/>
  <c r="BO4641" i="1"/>
  <c r="BN4641" i="1"/>
  <c r="BM4641" i="1"/>
  <c r="BL4641" i="1"/>
  <c r="BK4641" i="1"/>
  <c r="BJ4641" i="1"/>
  <c r="BI4641" i="1"/>
  <c r="BH4641" i="1"/>
  <c r="BP4640" i="1"/>
  <c r="BO4640" i="1"/>
  <c r="BN4640" i="1"/>
  <c r="BL4640" i="1"/>
  <c r="BK4640" i="1"/>
  <c r="BJ4640" i="1"/>
  <c r="BI4640" i="1"/>
  <c r="BH4640" i="1"/>
  <c r="AS4640" i="1"/>
  <c r="AN4640" i="1"/>
  <c r="BM4640" i="1" s="1"/>
  <c r="BP4639" i="1"/>
  <c r="BO4639" i="1"/>
  <c r="BN4639" i="1"/>
  <c r="BM4639" i="1"/>
  <c r="BL4639" i="1"/>
  <c r="BK4639" i="1"/>
  <c r="BJ4639" i="1"/>
  <c r="BI4639" i="1"/>
  <c r="BH4639" i="1"/>
  <c r="AS4639" i="1"/>
  <c r="AN4639" i="1"/>
  <c r="BP4638" i="1"/>
  <c r="BO4638" i="1"/>
  <c r="BN4638" i="1"/>
  <c r="BM4638" i="1"/>
  <c r="BL4638" i="1"/>
  <c r="BK4638" i="1"/>
  <c r="BJ4638" i="1"/>
  <c r="BI4638" i="1"/>
  <c r="BH4638" i="1"/>
  <c r="BP4637" i="1"/>
  <c r="BO4637" i="1"/>
  <c r="BN4637" i="1"/>
  <c r="BM4637" i="1"/>
  <c r="BL4637" i="1"/>
  <c r="BK4637" i="1"/>
  <c r="BJ4637" i="1"/>
  <c r="BI4637" i="1"/>
  <c r="BH4637" i="1"/>
  <c r="V4637" i="1"/>
  <c r="BP4636" i="1"/>
  <c r="BO4636" i="1"/>
  <c r="BN4636" i="1"/>
  <c r="BM4636" i="1"/>
  <c r="BL4636" i="1"/>
  <c r="BK4636" i="1"/>
  <c r="BJ4636" i="1"/>
  <c r="BI4636" i="1"/>
  <c r="BH4636" i="1"/>
  <c r="BP4635" i="1"/>
  <c r="BO4635" i="1"/>
  <c r="BN4635" i="1"/>
  <c r="BM4635" i="1"/>
  <c r="BL4635" i="1"/>
  <c r="BJ4635" i="1"/>
  <c r="BI4635" i="1"/>
  <c r="BH4635" i="1"/>
  <c r="X4635" i="1"/>
  <c r="BK4635" i="1" s="1"/>
  <c r="BP4634" i="1"/>
  <c r="BO4634" i="1"/>
  <c r="BN4634" i="1"/>
  <c r="BM4634" i="1"/>
  <c r="BL4634" i="1"/>
  <c r="BK4634" i="1"/>
  <c r="BJ4634" i="1"/>
  <c r="BI4634" i="1"/>
  <c r="BH4634" i="1"/>
  <c r="BP4633" i="1"/>
  <c r="BO4633" i="1"/>
  <c r="BN4633" i="1"/>
  <c r="BM4633" i="1"/>
  <c r="BL4633" i="1"/>
  <c r="BK4633" i="1"/>
  <c r="BJ4633" i="1"/>
  <c r="BI4633" i="1"/>
  <c r="AQ4633" i="1"/>
  <c r="AA4633" i="1"/>
  <c r="L4633" i="1"/>
  <c r="BH4633" i="1" s="1"/>
  <c r="BP4632" i="1"/>
  <c r="BO4632" i="1"/>
  <c r="BN4632" i="1"/>
  <c r="BM4632" i="1"/>
  <c r="BL4632" i="1"/>
  <c r="BK4632" i="1"/>
  <c r="BJ4632" i="1"/>
  <c r="BI4632" i="1"/>
  <c r="AS4632" i="1"/>
  <c r="AA4632" i="1"/>
  <c r="L4632" i="1"/>
  <c r="BH4632" i="1" s="1"/>
  <c r="BP4631" i="1"/>
  <c r="BO4631" i="1"/>
  <c r="BN4631" i="1"/>
  <c r="BM4631" i="1"/>
  <c r="BL4631" i="1"/>
  <c r="BK4631" i="1"/>
  <c r="BJ4631" i="1"/>
  <c r="BI4631" i="1"/>
  <c r="BH4631" i="1"/>
  <c r="AR4631" i="1"/>
  <c r="AN4631" i="1"/>
  <c r="BP4630" i="1"/>
  <c r="BO4630" i="1"/>
  <c r="BN4630" i="1"/>
  <c r="BM4630" i="1"/>
  <c r="BL4630" i="1"/>
  <c r="BK4630" i="1"/>
  <c r="BJ4630" i="1"/>
  <c r="BI4630" i="1"/>
  <c r="BH4630" i="1"/>
  <c r="AR4630" i="1"/>
  <c r="AN4630" i="1"/>
  <c r="BP4629" i="1"/>
  <c r="BO4629" i="1"/>
  <c r="BN4629" i="1"/>
  <c r="BM4629" i="1"/>
  <c r="BL4629" i="1"/>
  <c r="BK4629" i="1"/>
  <c r="BJ4629" i="1"/>
  <c r="BI4629" i="1"/>
  <c r="BH4629" i="1"/>
  <c r="AS4629" i="1"/>
  <c r="AN4629" i="1"/>
  <c r="BP4628" i="1"/>
  <c r="BO4628" i="1"/>
  <c r="BN4628" i="1"/>
  <c r="BL4628" i="1"/>
  <c r="BK4628" i="1"/>
  <c r="BJ4628" i="1"/>
  <c r="BI4628" i="1"/>
  <c r="BH4628" i="1"/>
  <c r="AS4628" i="1"/>
  <c r="BM4628" i="1" s="1"/>
  <c r="AN4628" i="1"/>
  <c r="BP4627" i="1"/>
  <c r="BO4627" i="1"/>
  <c r="BN4627" i="1"/>
  <c r="BM4627" i="1"/>
  <c r="BL4627" i="1"/>
  <c r="BJ4627" i="1"/>
  <c r="BI4627" i="1"/>
  <c r="BH4627" i="1"/>
  <c r="X4627" i="1"/>
  <c r="BK4627" i="1" s="1"/>
  <c r="BP4626" i="1"/>
  <c r="BO4626" i="1"/>
  <c r="BN4626" i="1"/>
  <c r="BL4626" i="1"/>
  <c r="BK4626" i="1"/>
  <c r="BJ4626" i="1"/>
  <c r="BI4626" i="1"/>
  <c r="BH4626" i="1"/>
  <c r="AB4626" i="1"/>
  <c r="BM4626" i="1" s="1"/>
  <c r="BP4625" i="1"/>
  <c r="BO4625" i="1"/>
  <c r="BN4625" i="1"/>
  <c r="BL4625" i="1"/>
  <c r="BK4625" i="1"/>
  <c r="BJ4625" i="1"/>
  <c r="BI4625" i="1"/>
  <c r="BH4625" i="1"/>
  <c r="AQ4625" i="1"/>
  <c r="BM4625" i="1" s="1"/>
  <c r="BP4624" i="1"/>
  <c r="BO4624" i="1"/>
  <c r="BN4624" i="1"/>
  <c r="BL4624" i="1"/>
  <c r="BK4624" i="1"/>
  <c r="BJ4624" i="1"/>
  <c r="BI4624" i="1"/>
  <c r="BH4624" i="1"/>
  <c r="AQ4624" i="1"/>
  <c r="AB4624" i="1"/>
  <c r="BM4624" i="1" s="1"/>
  <c r="BP4623" i="1"/>
  <c r="BO4623" i="1"/>
  <c r="BN4623" i="1"/>
  <c r="BM4623" i="1"/>
  <c r="BL4623" i="1"/>
  <c r="BJ4623" i="1"/>
  <c r="BI4623" i="1"/>
  <c r="BH4623" i="1"/>
  <c r="X4623" i="1"/>
  <c r="BK4623" i="1" s="1"/>
  <c r="BP4622" i="1"/>
  <c r="BO4622" i="1"/>
  <c r="BN4622" i="1"/>
  <c r="BM4622" i="1"/>
  <c r="BL4622" i="1"/>
  <c r="BK4622" i="1"/>
  <c r="BJ4622" i="1"/>
  <c r="BI4622" i="1"/>
  <c r="BH4622" i="1"/>
  <c r="BP4621" i="1"/>
  <c r="BO4621" i="1"/>
  <c r="BN4621" i="1"/>
  <c r="BM4621" i="1"/>
  <c r="BL4621" i="1"/>
  <c r="BK4621" i="1"/>
  <c r="BJ4621" i="1"/>
  <c r="BI4621" i="1"/>
  <c r="BH4621" i="1"/>
  <c r="BP4620" i="1"/>
  <c r="BO4620" i="1"/>
  <c r="BN4620" i="1"/>
  <c r="BM4620" i="1"/>
  <c r="BL4620" i="1"/>
  <c r="BK4620" i="1"/>
  <c r="BJ4620" i="1"/>
  <c r="BI4620" i="1"/>
  <c r="BH4620" i="1"/>
  <c r="BP4619" i="1"/>
  <c r="BO4619" i="1"/>
  <c r="BN4619" i="1"/>
  <c r="BM4619" i="1"/>
  <c r="BL4619" i="1"/>
  <c r="BK4619" i="1"/>
  <c r="BJ4619" i="1"/>
  <c r="BI4619" i="1"/>
  <c r="BH4619" i="1"/>
  <c r="BP4618" i="1"/>
  <c r="BO4618" i="1"/>
  <c r="BN4618" i="1"/>
  <c r="BM4618" i="1"/>
  <c r="BL4618" i="1"/>
  <c r="BK4618" i="1"/>
  <c r="BJ4618" i="1"/>
  <c r="BI4618" i="1"/>
  <c r="BH4618" i="1"/>
  <c r="BP4617" i="1"/>
  <c r="BN4617" i="1"/>
  <c r="BM4617" i="1"/>
  <c r="BL4617" i="1"/>
  <c r="BK4617" i="1"/>
  <c r="BJ4617" i="1"/>
  <c r="BI4617" i="1"/>
  <c r="BH4617" i="1"/>
  <c r="BE4617" i="1"/>
  <c r="BO4617" i="1" s="1"/>
  <c r="BP4616" i="1"/>
  <c r="BO4616" i="1"/>
  <c r="BN4616" i="1"/>
  <c r="BM4616" i="1"/>
  <c r="BL4616" i="1"/>
  <c r="BK4616" i="1"/>
  <c r="BJ4616" i="1"/>
  <c r="BI4616" i="1"/>
  <c r="BH4616" i="1"/>
  <c r="V4616" i="1"/>
  <c r="BP4615" i="1"/>
  <c r="BO4615" i="1"/>
  <c r="BN4615" i="1"/>
  <c r="BM4615" i="1"/>
  <c r="BL4615" i="1"/>
  <c r="BK4615" i="1"/>
  <c r="BJ4615" i="1"/>
  <c r="BI4615" i="1"/>
  <c r="BH4615" i="1"/>
  <c r="BP4614" i="1"/>
  <c r="BO4614" i="1"/>
  <c r="BN4614" i="1"/>
  <c r="BM4614" i="1"/>
  <c r="BL4614" i="1"/>
  <c r="BK4614" i="1"/>
  <c r="BJ4614" i="1"/>
  <c r="BI4614" i="1"/>
  <c r="BH4614" i="1"/>
  <c r="BP4613" i="1"/>
  <c r="BO4613" i="1"/>
  <c r="BN4613" i="1"/>
  <c r="BM4613" i="1"/>
  <c r="BL4613" i="1"/>
  <c r="BG4613" i="1"/>
  <c r="AU4613" i="1"/>
  <c r="AJ4613" i="1"/>
  <c r="AG4613" i="1"/>
  <c r="U4613" i="1"/>
  <c r="BK4613" i="1" s="1"/>
  <c r="S4613" i="1"/>
  <c r="BJ4613" i="1" s="1"/>
  <c r="N4613" i="1"/>
  <c r="BI4613" i="1" s="1"/>
  <c r="J4613" i="1"/>
  <c r="BH4613" i="1" s="1"/>
  <c r="I4613" i="1"/>
  <c r="BP4612" i="1"/>
  <c r="BO4612" i="1"/>
  <c r="BN4612" i="1"/>
  <c r="BM4612" i="1"/>
  <c r="BL4612" i="1"/>
  <c r="BJ4612" i="1"/>
  <c r="BI4612" i="1"/>
  <c r="BH4612" i="1"/>
  <c r="X4612" i="1"/>
  <c r="BK4612" i="1" s="1"/>
  <c r="BP4611" i="1"/>
  <c r="BO4611" i="1"/>
  <c r="BN4611" i="1"/>
  <c r="BM4611" i="1"/>
  <c r="BK4611" i="1"/>
  <c r="BJ4611" i="1"/>
  <c r="BI4611" i="1"/>
  <c r="BH4611" i="1"/>
  <c r="AA4611" i="1"/>
  <c r="BL4611" i="1" s="1"/>
  <c r="BP4610" i="1"/>
  <c r="BO4610" i="1"/>
  <c r="BN4610" i="1"/>
  <c r="BM4610" i="1"/>
  <c r="BL4610" i="1"/>
  <c r="BK4610" i="1"/>
  <c r="BJ4610" i="1"/>
  <c r="BI4610" i="1"/>
  <c r="BH4610" i="1"/>
  <c r="AS4610" i="1"/>
  <c r="BP4609" i="1"/>
  <c r="BO4609" i="1"/>
  <c r="BN4609" i="1"/>
  <c r="BM4609" i="1"/>
  <c r="BL4609" i="1"/>
  <c r="BK4609" i="1"/>
  <c r="BJ4609" i="1"/>
  <c r="BI4609" i="1"/>
  <c r="BH4609" i="1"/>
  <c r="AS4609" i="1"/>
  <c r="BP4608" i="1"/>
  <c r="BO4608" i="1"/>
  <c r="BN4608" i="1"/>
  <c r="BM4608" i="1"/>
  <c r="BL4608" i="1"/>
  <c r="BK4608" i="1"/>
  <c r="BJ4608" i="1"/>
  <c r="BI4608" i="1"/>
  <c r="BH4608" i="1"/>
  <c r="BP4607" i="1"/>
  <c r="BO4607" i="1"/>
  <c r="BN4607" i="1"/>
  <c r="BM4607" i="1"/>
  <c r="BL4607" i="1"/>
  <c r="BK4607" i="1"/>
  <c r="BJ4607" i="1"/>
  <c r="BI4607" i="1"/>
  <c r="BH4607" i="1"/>
  <c r="BP4606" i="1"/>
  <c r="BO4606" i="1"/>
  <c r="BN4606" i="1"/>
  <c r="BL4606" i="1"/>
  <c r="BK4606" i="1"/>
  <c r="BJ4606" i="1"/>
  <c r="BI4606" i="1"/>
  <c r="BH4606" i="1"/>
  <c r="AQ4606" i="1"/>
  <c r="BM4606" i="1" s="1"/>
  <c r="BP4605" i="1"/>
  <c r="BO4605" i="1"/>
  <c r="BN4605" i="1"/>
  <c r="BM4605" i="1"/>
  <c r="BL4605" i="1"/>
  <c r="BK4605" i="1"/>
  <c r="BJ4605" i="1"/>
  <c r="BI4605" i="1"/>
  <c r="BH4605" i="1"/>
  <c r="BP4604" i="1"/>
  <c r="BO4604" i="1"/>
  <c r="BN4604" i="1"/>
  <c r="BM4604" i="1"/>
  <c r="BL4604" i="1"/>
  <c r="BK4604" i="1"/>
  <c r="BJ4604" i="1"/>
  <c r="BI4604" i="1"/>
  <c r="BH4604" i="1"/>
  <c r="AP4604" i="1"/>
  <c r="BP4603" i="1"/>
  <c r="BO4603" i="1"/>
  <c r="BN4603" i="1"/>
  <c r="BM4603" i="1"/>
  <c r="BL4603" i="1"/>
  <c r="BK4603" i="1"/>
  <c r="BJ4603" i="1"/>
  <c r="BI4603" i="1"/>
  <c r="BH4603" i="1"/>
  <c r="AR4603" i="1"/>
  <c r="AN4603" i="1"/>
  <c r="BP4602" i="1"/>
  <c r="BO4602" i="1"/>
  <c r="BN4602" i="1"/>
  <c r="BL4602" i="1"/>
  <c r="BK4602" i="1"/>
  <c r="BJ4602" i="1"/>
  <c r="BI4602" i="1"/>
  <c r="BH4602" i="1"/>
  <c r="AR4602" i="1"/>
  <c r="AN4602" i="1"/>
  <c r="BP4601" i="1"/>
  <c r="BO4601" i="1"/>
  <c r="BN4601" i="1"/>
  <c r="BM4601" i="1"/>
  <c r="BL4601" i="1"/>
  <c r="BK4601" i="1"/>
  <c r="BJ4601" i="1"/>
  <c r="BI4601" i="1"/>
  <c r="BH4601" i="1"/>
  <c r="BP4600" i="1"/>
  <c r="BO4600" i="1"/>
  <c r="BN4600" i="1"/>
  <c r="BL4600" i="1"/>
  <c r="BK4600" i="1"/>
  <c r="BJ4600" i="1"/>
  <c r="BI4600" i="1"/>
  <c r="BH4600" i="1"/>
  <c r="AQ4600" i="1"/>
  <c r="AB4600" i="1"/>
  <c r="BM4600" i="1" s="1"/>
  <c r="BP4599" i="1"/>
  <c r="BO4599" i="1"/>
  <c r="BN4599" i="1"/>
  <c r="BM4599" i="1"/>
  <c r="BL4599" i="1"/>
  <c r="BK4599" i="1"/>
  <c r="BJ4599" i="1"/>
  <c r="BI4599" i="1"/>
  <c r="BH4599" i="1"/>
  <c r="AP4599" i="1"/>
  <c r="BP4598" i="1"/>
  <c r="BO4598" i="1"/>
  <c r="BN4598" i="1"/>
  <c r="BM4598" i="1"/>
  <c r="BL4598" i="1"/>
  <c r="BK4598" i="1"/>
  <c r="BJ4598" i="1"/>
  <c r="BI4598" i="1"/>
  <c r="BH4598" i="1"/>
  <c r="V4598" i="1"/>
  <c r="BP4597" i="1"/>
  <c r="BO4597" i="1"/>
  <c r="BN4597" i="1"/>
  <c r="BM4597" i="1"/>
  <c r="BL4597" i="1"/>
  <c r="BK4597" i="1"/>
  <c r="BJ4597" i="1"/>
  <c r="BI4597" i="1"/>
  <c r="BH4597" i="1"/>
  <c r="BP4596" i="1"/>
  <c r="BO4596" i="1"/>
  <c r="BN4596" i="1"/>
  <c r="BL4596" i="1"/>
  <c r="BK4596" i="1"/>
  <c r="BJ4596" i="1"/>
  <c r="BI4596" i="1"/>
  <c r="BH4596" i="1"/>
  <c r="AS4596" i="1"/>
  <c r="AN4596" i="1"/>
  <c r="BM4596" i="1" s="1"/>
  <c r="BP4595" i="1"/>
  <c r="BO4595" i="1"/>
  <c r="BN4595" i="1"/>
  <c r="BL4595" i="1"/>
  <c r="BK4595" i="1"/>
  <c r="BJ4595" i="1"/>
  <c r="BI4595" i="1"/>
  <c r="BH4595" i="1"/>
  <c r="AS4595" i="1"/>
  <c r="BM4595" i="1" s="1"/>
  <c r="BP4594" i="1"/>
  <c r="BO4594" i="1"/>
  <c r="BN4594" i="1"/>
  <c r="BM4594" i="1"/>
  <c r="BL4594" i="1"/>
  <c r="BK4594" i="1"/>
  <c r="BJ4594" i="1"/>
  <c r="BI4594" i="1"/>
  <c r="BH4594" i="1"/>
  <c r="BP4593" i="1"/>
  <c r="BO4593" i="1"/>
  <c r="BN4593" i="1"/>
  <c r="BM4593" i="1"/>
  <c r="BL4593" i="1"/>
  <c r="BK4593" i="1"/>
  <c r="BJ4593" i="1"/>
  <c r="BI4593" i="1"/>
  <c r="BH4593" i="1"/>
  <c r="AQ4593" i="1"/>
  <c r="BP4592" i="1"/>
  <c r="BO4592" i="1"/>
  <c r="BN4592" i="1"/>
  <c r="BM4592" i="1"/>
  <c r="BL4592" i="1"/>
  <c r="BK4592" i="1"/>
  <c r="BJ4592" i="1"/>
  <c r="BI4592" i="1"/>
  <c r="BH4592" i="1"/>
  <c r="X4592" i="1"/>
  <c r="BP4591" i="1"/>
  <c r="BO4591" i="1"/>
  <c r="BN4591" i="1"/>
  <c r="BM4591" i="1"/>
  <c r="BL4591" i="1"/>
  <c r="BK4591" i="1"/>
  <c r="BJ4591" i="1"/>
  <c r="BI4591" i="1"/>
  <c r="BH4591" i="1"/>
  <c r="BP4590" i="1"/>
  <c r="BO4590" i="1"/>
  <c r="BN4590" i="1"/>
  <c r="BM4590" i="1"/>
  <c r="BL4590" i="1"/>
  <c r="BK4590" i="1"/>
  <c r="BJ4590" i="1"/>
  <c r="BI4590" i="1"/>
  <c r="BH4590" i="1"/>
  <c r="BP4589" i="1"/>
  <c r="BN4589" i="1"/>
  <c r="BM4589" i="1"/>
  <c r="BL4589" i="1"/>
  <c r="BK4589" i="1"/>
  <c r="BJ4589" i="1"/>
  <c r="BI4589" i="1"/>
  <c r="BH4589" i="1"/>
  <c r="BE4589" i="1"/>
  <c r="BO4589" i="1" s="1"/>
  <c r="BP4588" i="1"/>
  <c r="BO4588" i="1"/>
  <c r="BN4588" i="1"/>
  <c r="BM4588" i="1"/>
  <c r="BL4588" i="1"/>
  <c r="BK4588" i="1"/>
  <c r="BJ4588" i="1"/>
  <c r="BI4588" i="1"/>
  <c r="BH4588" i="1"/>
  <c r="AA4588" i="1"/>
  <c r="BP4587" i="1"/>
  <c r="BO4587" i="1"/>
  <c r="BN4587" i="1"/>
  <c r="BM4587" i="1"/>
  <c r="BL4587" i="1"/>
  <c r="BK4587" i="1"/>
  <c r="BJ4587" i="1"/>
  <c r="BI4587" i="1"/>
  <c r="BH4587" i="1"/>
  <c r="AB4587" i="1"/>
  <c r="BP4586" i="1"/>
  <c r="BO4586" i="1"/>
  <c r="BN4586" i="1"/>
  <c r="BM4586" i="1"/>
  <c r="BL4586" i="1"/>
  <c r="BK4586" i="1"/>
  <c r="BJ4586" i="1"/>
  <c r="BI4586" i="1"/>
  <c r="BH4586" i="1"/>
  <c r="BP4585" i="1"/>
  <c r="BO4585" i="1"/>
  <c r="BN4585" i="1"/>
  <c r="BL4585" i="1"/>
  <c r="BK4585" i="1"/>
  <c r="BJ4585" i="1"/>
  <c r="BI4585" i="1"/>
  <c r="BH4585" i="1"/>
  <c r="AQ4585" i="1"/>
  <c r="BM4585" i="1" s="1"/>
  <c r="BP4584" i="1"/>
  <c r="BO4584" i="1"/>
  <c r="BN4584" i="1"/>
  <c r="BM4584" i="1"/>
  <c r="BL4584" i="1"/>
  <c r="BK4584" i="1"/>
  <c r="BJ4584" i="1"/>
  <c r="BI4584" i="1"/>
  <c r="BH4584" i="1"/>
  <c r="BP4583" i="1"/>
  <c r="BO4583" i="1"/>
  <c r="BN4583" i="1"/>
  <c r="BM4583" i="1"/>
  <c r="BL4583" i="1"/>
  <c r="BK4583" i="1"/>
  <c r="BJ4583" i="1"/>
  <c r="BI4583" i="1"/>
  <c r="BH4583" i="1"/>
  <c r="AS4583" i="1"/>
  <c r="AN4583" i="1"/>
  <c r="BP4582" i="1"/>
  <c r="BO4582" i="1"/>
  <c r="BN4582" i="1"/>
  <c r="BM4582" i="1"/>
  <c r="BL4582" i="1"/>
  <c r="BK4582" i="1"/>
  <c r="BJ4582" i="1"/>
  <c r="BI4582" i="1"/>
  <c r="BH4582" i="1"/>
  <c r="AS4582" i="1"/>
  <c r="AN4582" i="1"/>
  <c r="BP4581" i="1"/>
  <c r="BO4581" i="1"/>
  <c r="BN4581" i="1"/>
  <c r="BM4581" i="1"/>
  <c r="BL4581" i="1"/>
  <c r="BK4581" i="1"/>
  <c r="BJ4581" i="1"/>
  <c r="BI4581" i="1"/>
  <c r="BH4581" i="1"/>
  <c r="AR4581" i="1"/>
  <c r="AN4581" i="1"/>
  <c r="BP4580" i="1"/>
  <c r="BO4580" i="1"/>
  <c r="BN4580" i="1"/>
  <c r="BM4580" i="1"/>
  <c r="BL4580" i="1"/>
  <c r="BK4580" i="1"/>
  <c r="BJ4580" i="1"/>
  <c r="BI4580" i="1"/>
  <c r="BH4580" i="1"/>
  <c r="AR4580" i="1"/>
  <c r="AN4580" i="1"/>
  <c r="BP4579" i="1"/>
  <c r="BO4579" i="1"/>
  <c r="BN4579" i="1"/>
  <c r="BM4579" i="1"/>
  <c r="BL4579" i="1"/>
  <c r="BK4579" i="1"/>
  <c r="BJ4579" i="1"/>
  <c r="BI4579" i="1"/>
  <c r="BH4579" i="1"/>
  <c r="BP4578" i="1"/>
  <c r="BO4578" i="1"/>
  <c r="BN4578" i="1"/>
  <c r="BM4578" i="1"/>
  <c r="BL4578" i="1"/>
  <c r="BJ4578" i="1"/>
  <c r="BI4578" i="1"/>
  <c r="BH4578" i="1"/>
  <c r="V4578" i="1"/>
  <c r="BK4578" i="1" s="1"/>
  <c r="BP4577" i="1"/>
  <c r="BO4577" i="1"/>
  <c r="BN4577" i="1"/>
  <c r="BL4577" i="1"/>
  <c r="BK4577" i="1"/>
  <c r="BJ4577" i="1"/>
  <c r="BI4577" i="1"/>
  <c r="BH4577" i="1"/>
  <c r="AP4577" i="1"/>
  <c r="BM4577" i="1" s="1"/>
  <c r="BP4576" i="1"/>
  <c r="BO4576" i="1"/>
  <c r="BN4576" i="1"/>
  <c r="BM4576" i="1"/>
  <c r="BL4576" i="1"/>
  <c r="BK4576" i="1"/>
  <c r="BJ4576" i="1"/>
  <c r="BI4576" i="1"/>
  <c r="BH4576" i="1"/>
  <c r="BP4575" i="1"/>
  <c r="BO4575" i="1"/>
  <c r="BN4575" i="1"/>
  <c r="BM4575" i="1"/>
  <c r="BL4575" i="1"/>
  <c r="BK4575" i="1"/>
  <c r="BJ4575" i="1"/>
  <c r="BI4575" i="1"/>
  <c r="BH4575" i="1"/>
  <c r="AB4575" i="1"/>
  <c r="BP4574" i="1"/>
  <c r="BO4574" i="1"/>
  <c r="BN4574" i="1"/>
  <c r="BM4574" i="1"/>
  <c r="BL4574" i="1"/>
  <c r="BK4574" i="1"/>
  <c r="BJ4574" i="1"/>
  <c r="BI4574" i="1"/>
  <c r="BH4574" i="1"/>
  <c r="BP4573" i="1"/>
  <c r="BO4573" i="1"/>
  <c r="BN4573" i="1"/>
  <c r="BL4573" i="1"/>
  <c r="BK4573" i="1"/>
  <c r="BJ4573" i="1"/>
  <c r="BH4573" i="1"/>
  <c r="AR4573" i="1"/>
  <c r="AQ4573" i="1"/>
  <c r="BM4573" i="1" s="1"/>
  <c r="P4573" i="1"/>
  <c r="BI4573" i="1" s="1"/>
  <c r="BP4572" i="1"/>
  <c r="BO4572" i="1"/>
  <c r="BN4572" i="1"/>
  <c r="BL4572" i="1"/>
  <c r="BK4572" i="1"/>
  <c r="BJ4572" i="1"/>
  <c r="BI4572" i="1"/>
  <c r="BH4572" i="1"/>
  <c r="AS4572" i="1"/>
  <c r="AN4572" i="1"/>
  <c r="BP4571" i="1"/>
  <c r="BO4571" i="1"/>
  <c r="BN4571" i="1"/>
  <c r="BL4571" i="1"/>
  <c r="BK4571" i="1"/>
  <c r="BJ4571" i="1"/>
  <c r="BI4571" i="1"/>
  <c r="BH4571" i="1"/>
  <c r="AS4571" i="1"/>
  <c r="BM4571" i="1" s="1"/>
  <c r="BP4570" i="1"/>
  <c r="BO4570" i="1"/>
  <c r="BN4570" i="1"/>
  <c r="BM4570" i="1"/>
  <c r="BL4570" i="1"/>
  <c r="BK4570" i="1"/>
  <c r="BJ4570" i="1"/>
  <c r="BI4570" i="1"/>
  <c r="BH4570" i="1"/>
  <c r="AQ4570" i="1"/>
  <c r="BP4569" i="1"/>
  <c r="BO4569" i="1"/>
  <c r="BN4569" i="1"/>
  <c r="BM4569" i="1"/>
  <c r="BL4569" i="1"/>
  <c r="BK4569" i="1"/>
  <c r="BJ4569" i="1"/>
  <c r="BI4569" i="1"/>
  <c r="BH4569" i="1"/>
  <c r="AQ4569" i="1"/>
  <c r="BP4568" i="1"/>
  <c r="BO4568" i="1"/>
  <c r="BN4568" i="1"/>
  <c r="BM4568" i="1"/>
  <c r="BL4568" i="1"/>
  <c r="BK4568" i="1"/>
  <c r="BJ4568" i="1"/>
  <c r="BI4568" i="1"/>
  <c r="BH4568" i="1"/>
  <c r="BP4567" i="1"/>
  <c r="BO4567" i="1"/>
  <c r="BN4567" i="1"/>
  <c r="BM4567" i="1"/>
  <c r="BL4567" i="1"/>
  <c r="BK4567" i="1"/>
  <c r="BJ4567" i="1"/>
  <c r="BI4567" i="1"/>
  <c r="BH4567" i="1"/>
  <c r="BP4566" i="1"/>
  <c r="BO4566" i="1"/>
  <c r="BN4566" i="1"/>
  <c r="BM4566" i="1"/>
  <c r="BL4566" i="1"/>
  <c r="BK4566" i="1"/>
  <c r="BJ4566" i="1"/>
  <c r="BI4566" i="1"/>
  <c r="BH4566" i="1"/>
  <c r="BE4566" i="1"/>
  <c r="BP4565" i="1"/>
  <c r="BO4565" i="1"/>
  <c r="BN4565" i="1"/>
  <c r="BM4565" i="1"/>
  <c r="BL4565" i="1"/>
  <c r="BK4565" i="1"/>
  <c r="BJ4565" i="1"/>
  <c r="BI4565" i="1"/>
  <c r="BH4565" i="1"/>
  <c r="AQ4565" i="1"/>
  <c r="BP4564" i="1"/>
  <c r="BO4564" i="1"/>
  <c r="BN4564" i="1"/>
  <c r="BM4564" i="1"/>
  <c r="BL4564" i="1"/>
  <c r="BK4564" i="1"/>
  <c r="BJ4564" i="1"/>
  <c r="BI4564" i="1"/>
  <c r="BH4564" i="1"/>
  <c r="BP4563" i="1"/>
  <c r="BO4563" i="1"/>
  <c r="BN4563" i="1"/>
  <c r="BM4563" i="1"/>
  <c r="BL4563" i="1"/>
  <c r="BK4563" i="1"/>
  <c r="BJ4563" i="1"/>
  <c r="BI4563" i="1"/>
  <c r="BH4563" i="1"/>
  <c r="BP4562" i="1"/>
  <c r="BO4562" i="1"/>
  <c r="BN4562" i="1"/>
  <c r="BM4562" i="1"/>
  <c r="BL4562" i="1"/>
  <c r="BJ4562" i="1"/>
  <c r="BI4562" i="1"/>
  <c r="BH4562" i="1"/>
  <c r="V4562" i="1"/>
  <c r="BK4562" i="1" s="1"/>
  <c r="BP4561" i="1"/>
  <c r="BO4561" i="1"/>
  <c r="BN4561" i="1"/>
  <c r="BM4561" i="1"/>
  <c r="BL4561" i="1"/>
  <c r="BK4561" i="1"/>
  <c r="BJ4561" i="1"/>
  <c r="BI4561" i="1"/>
  <c r="BH4561" i="1"/>
  <c r="BP4560" i="1"/>
  <c r="BO4560" i="1"/>
  <c r="BN4560" i="1"/>
  <c r="BM4560" i="1"/>
  <c r="BL4560" i="1"/>
  <c r="BK4560" i="1"/>
  <c r="BJ4560" i="1"/>
  <c r="BI4560" i="1"/>
  <c r="BH4560" i="1"/>
  <c r="BP4559" i="1"/>
  <c r="BO4559" i="1"/>
  <c r="BN4559" i="1"/>
  <c r="BM4559" i="1"/>
  <c r="BL4559" i="1"/>
  <c r="BK4559" i="1"/>
  <c r="BJ4559" i="1"/>
  <c r="BI4559" i="1"/>
  <c r="BH4559" i="1"/>
  <c r="AS4559" i="1"/>
  <c r="AN4559" i="1"/>
  <c r="BP4558" i="1"/>
  <c r="BO4558" i="1"/>
  <c r="BN4558" i="1"/>
  <c r="BL4558" i="1"/>
  <c r="BK4558" i="1"/>
  <c r="BJ4558" i="1"/>
  <c r="BI4558" i="1"/>
  <c r="BH4558" i="1"/>
  <c r="AS4558" i="1"/>
  <c r="BM4558" i="1" s="1"/>
  <c r="BP4557" i="1"/>
  <c r="BO4557" i="1"/>
  <c r="BN4557" i="1"/>
  <c r="BL4557" i="1"/>
  <c r="BK4557" i="1"/>
  <c r="BJ4557" i="1"/>
  <c r="BI4557" i="1"/>
  <c r="BH4557" i="1"/>
  <c r="AS4557" i="1"/>
  <c r="BM4557" i="1" s="1"/>
  <c r="BP4556" i="1"/>
  <c r="BO4556" i="1"/>
  <c r="BN4556" i="1"/>
  <c r="BL4556" i="1"/>
  <c r="BK4556" i="1"/>
  <c r="BJ4556" i="1"/>
  <c r="BI4556" i="1"/>
  <c r="BH4556" i="1"/>
  <c r="AR4556" i="1"/>
  <c r="AN4556" i="1"/>
  <c r="BM4556" i="1" s="1"/>
  <c r="BP4555" i="1"/>
  <c r="BO4555" i="1"/>
  <c r="BN4555" i="1"/>
  <c r="BM4555" i="1"/>
  <c r="BL4555" i="1"/>
  <c r="BK4555" i="1"/>
  <c r="BJ4555" i="1"/>
  <c r="BI4555" i="1"/>
  <c r="BH4555" i="1"/>
  <c r="BP4554" i="1"/>
  <c r="BO4554" i="1"/>
  <c r="BN4554" i="1"/>
  <c r="BM4554" i="1"/>
  <c r="BL4554" i="1"/>
  <c r="BK4554" i="1"/>
  <c r="BJ4554" i="1"/>
  <c r="BI4554" i="1"/>
  <c r="BH4554" i="1"/>
  <c r="BP4553" i="1"/>
  <c r="BO4553" i="1"/>
  <c r="BN4553" i="1"/>
  <c r="BM4553" i="1"/>
  <c r="BL4553" i="1"/>
  <c r="BK4553" i="1"/>
  <c r="BJ4553" i="1"/>
  <c r="BI4553" i="1"/>
  <c r="BH4553" i="1"/>
  <c r="BP4552" i="1"/>
  <c r="BO4552" i="1"/>
  <c r="BN4552" i="1"/>
  <c r="BM4552" i="1"/>
  <c r="BL4552" i="1"/>
  <c r="BK4552" i="1"/>
  <c r="BJ4552" i="1"/>
  <c r="BI4552" i="1"/>
  <c r="BH4552" i="1"/>
  <c r="BP4551" i="1"/>
  <c r="BO4551" i="1"/>
  <c r="BN4551" i="1"/>
  <c r="BM4551" i="1"/>
  <c r="BL4551" i="1"/>
  <c r="BK4551" i="1"/>
  <c r="BJ4551" i="1"/>
  <c r="BI4551" i="1"/>
  <c r="BH4551" i="1"/>
  <c r="BP4550" i="1"/>
  <c r="BO4550" i="1"/>
  <c r="BN4550" i="1"/>
  <c r="BL4550" i="1"/>
  <c r="BK4550" i="1"/>
  <c r="BJ4550" i="1"/>
  <c r="BI4550" i="1"/>
  <c r="BH4550" i="1"/>
  <c r="AS4550" i="1"/>
  <c r="BM4550" i="1" s="1"/>
  <c r="AN4550" i="1"/>
  <c r="BP4549" i="1"/>
  <c r="BO4549" i="1"/>
  <c r="BN4549" i="1"/>
  <c r="BL4549" i="1"/>
  <c r="BK4549" i="1"/>
  <c r="BJ4549" i="1"/>
  <c r="BI4549" i="1"/>
  <c r="BH4549" i="1"/>
  <c r="AS4549" i="1"/>
  <c r="AN4549" i="1"/>
  <c r="BM4549" i="1" s="1"/>
  <c r="BP4548" i="1"/>
  <c r="BO4548" i="1"/>
  <c r="BN4548" i="1"/>
  <c r="BM4548" i="1"/>
  <c r="BL4548" i="1"/>
  <c r="BK4548" i="1"/>
  <c r="BJ4548" i="1"/>
  <c r="BI4548" i="1"/>
  <c r="BH4548" i="1"/>
  <c r="AS4548" i="1"/>
  <c r="AN4548" i="1"/>
  <c r="BP4547" i="1"/>
  <c r="BO4547" i="1"/>
  <c r="BN4547" i="1"/>
  <c r="BM4547" i="1"/>
  <c r="BL4547" i="1"/>
  <c r="BK4547" i="1"/>
  <c r="BJ4547" i="1"/>
  <c r="BI4547" i="1"/>
  <c r="BH4547" i="1"/>
  <c r="BP4546" i="1"/>
  <c r="BO4546" i="1"/>
  <c r="BN4546" i="1"/>
  <c r="BM4546" i="1"/>
  <c r="BL4546" i="1"/>
  <c r="BK4546" i="1"/>
  <c r="BJ4546" i="1"/>
  <c r="BI4546" i="1"/>
  <c r="BH4546" i="1"/>
  <c r="BP4545" i="1"/>
  <c r="BO4545" i="1"/>
  <c r="BN4545" i="1"/>
  <c r="BM4545" i="1"/>
  <c r="BL4545" i="1"/>
  <c r="BJ4545" i="1"/>
  <c r="BI4545" i="1"/>
  <c r="BH4545" i="1"/>
  <c r="BG4545" i="1"/>
  <c r="BC4545" i="1"/>
  <c r="AU4545" i="1"/>
  <c r="AT4545" i="1"/>
  <c r="U4545" i="1"/>
  <c r="BK4545" i="1" s="1"/>
  <c r="S4545" i="1"/>
  <c r="M4545" i="1"/>
  <c r="D4545" i="1"/>
  <c r="BP4544" i="1"/>
  <c r="BO4544" i="1"/>
  <c r="BN4544" i="1"/>
  <c r="BM4544" i="1"/>
  <c r="BL4544" i="1"/>
  <c r="BJ4544" i="1"/>
  <c r="BI4544" i="1"/>
  <c r="BH4544" i="1"/>
  <c r="V4544" i="1"/>
  <c r="BK4544" i="1" s="1"/>
  <c r="BP4543" i="1"/>
  <c r="BO4543" i="1"/>
  <c r="BN4543" i="1"/>
  <c r="BM4543" i="1"/>
  <c r="BL4543" i="1"/>
  <c r="BK4543" i="1"/>
  <c r="BJ4543" i="1"/>
  <c r="BI4543" i="1"/>
  <c r="BH4543" i="1"/>
  <c r="AR4543" i="1"/>
  <c r="AN4543" i="1"/>
  <c r="BP4542" i="1"/>
  <c r="BO4542" i="1"/>
  <c r="BN4542" i="1"/>
  <c r="BM4542" i="1"/>
  <c r="BL4542" i="1"/>
  <c r="BK4542" i="1"/>
  <c r="BJ4542" i="1"/>
  <c r="BI4542" i="1"/>
  <c r="BH4542" i="1"/>
  <c r="BP4541" i="1"/>
  <c r="BO4541" i="1"/>
  <c r="BN4541" i="1"/>
  <c r="BM4541" i="1"/>
  <c r="BL4541" i="1"/>
  <c r="BK4541" i="1"/>
  <c r="BJ4541" i="1"/>
  <c r="BI4541" i="1"/>
  <c r="BH4541" i="1"/>
  <c r="BP4540" i="1"/>
  <c r="BO4540" i="1"/>
  <c r="BN4540" i="1"/>
  <c r="BM4540" i="1"/>
  <c r="BL4540" i="1"/>
  <c r="BK4540" i="1"/>
  <c r="BJ4540" i="1"/>
  <c r="BI4540" i="1"/>
  <c r="BH4540" i="1"/>
  <c r="BP4539" i="1"/>
  <c r="BO4539" i="1"/>
  <c r="BN4539" i="1"/>
  <c r="BM4539" i="1"/>
  <c r="BL4539" i="1"/>
  <c r="BK4539" i="1"/>
  <c r="BJ4539" i="1"/>
  <c r="BI4539" i="1"/>
  <c r="BH4539" i="1"/>
  <c r="AQ4539" i="1"/>
  <c r="BP4538" i="1"/>
  <c r="BO4538" i="1"/>
  <c r="BN4538" i="1"/>
  <c r="BM4538" i="1"/>
  <c r="BL4538" i="1"/>
  <c r="BK4538" i="1"/>
  <c r="BJ4538" i="1"/>
  <c r="BI4538" i="1"/>
  <c r="BH4538" i="1"/>
  <c r="AA4538" i="1"/>
  <c r="BP4537" i="1"/>
  <c r="BO4537" i="1"/>
  <c r="BN4537" i="1"/>
  <c r="BM4537" i="1"/>
  <c r="BL4537" i="1"/>
  <c r="BK4537" i="1"/>
  <c r="BJ4537" i="1"/>
  <c r="BI4537" i="1"/>
  <c r="BH4537" i="1"/>
  <c r="BP4536" i="1"/>
  <c r="BO4536" i="1"/>
  <c r="BN4536" i="1"/>
  <c r="BM4536" i="1"/>
  <c r="BL4536" i="1"/>
  <c r="BK4536" i="1"/>
  <c r="BJ4536" i="1"/>
  <c r="BI4536" i="1"/>
  <c r="BH4536" i="1"/>
  <c r="BP4535" i="1"/>
  <c r="BO4535" i="1"/>
  <c r="BN4535" i="1"/>
  <c r="BM4535" i="1"/>
  <c r="BL4535" i="1"/>
  <c r="BK4535" i="1"/>
  <c r="BJ4535" i="1"/>
  <c r="BI4535" i="1"/>
  <c r="BH4535" i="1"/>
  <c r="BP4534" i="1"/>
  <c r="BO4534" i="1"/>
  <c r="BN4534" i="1"/>
  <c r="BM4534" i="1"/>
  <c r="BL4534" i="1"/>
  <c r="BK4534" i="1"/>
  <c r="BJ4534" i="1"/>
  <c r="BI4534" i="1"/>
  <c r="BH4534" i="1"/>
  <c r="BP4533" i="1"/>
  <c r="BO4533" i="1"/>
  <c r="BN4533" i="1"/>
  <c r="BM4533" i="1"/>
  <c r="BL4533" i="1"/>
  <c r="BK4533" i="1"/>
  <c r="BJ4533" i="1"/>
  <c r="BI4533" i="1"/>
  <c r="BH4533" i="1"/>
  <c r="BP4532" i="1"/>
  <c r="BO4532" i="1"/>
  <c r="BN4532" i="1"/>
  <c r="BM4532" i="1"/>
  <c r="BL4532" i="1"/>
  <c r="BJ4532" i="1"/>
  <c r="BI4532" i="1"/>
  <c r="BH4532" i="1"/>
  <c r="Y4532" i="1"/>
  <c r="BK4532" i="1" s="1"/>
  <c r="BP4531" i="1"/>
  <c r="BO4531" i="1"/>
  <c r="BN4531" i="1"/>
  <c r="BM4531" i="1"/>
  <c r="BL4531" i="1"/>
  <c r="BK4531" i="1"/>
  <c r="BJ4531" i="1"/>
  <c r="BI4531" i="1"/>
  <c r="BH4531" i="1"/>
  <c r="BP4530" i="1"/>
  <c r="BO4530" i="1"/>
  <c r="BN4530" i="1"/>
  <c r="BM4530" i="1"/>
  <c r="BL4530" i="1"/>
  <c r="BK4530" i="1"/>
  <c r="BJ4530" i="1"/>
  <c r="BI4530" i="1"/>
  <c r="BH4530" i="1"/>
  <c r="BP4529" i="1"/>
  <c r="BO4529" i="1"/>
  <c r="BN4529" i="1"/>
  <c r="BM4529" i="1"/>
  <c r="BL4529" i="1"/>
  <c r="BK4529" i="1"/>
  <c r="BJ4529" i="1"/>
  <c r="BI4529" i="1"/>
  <c r="BH4529" i="1"/>
  <c r="BP4528" i="1"/>
  <c r="BO4528" i="1"/>
  <c r="BN4528" i="1"/>
  <c r="BM4528" i="1"/>
  <c r="BL4528" i="1"/>
  <c r="BK4528" i="1"/>
  <c r="BJ4528" i="1"/>
  <c r="BI4528" i="1"/>
  <c r="BH4528" i="1"/>
  <c r="BP4527" i="1"/>
  <c r="BO4527" i="1"/>
  <c r="BN4527" i="1"/>
  <c r="BM4527" i="1"/>
  <c r="BL4527" i="1"/>
  <c r="BK4527" i="1"/>
  <c r="BJ4527" i="1"/>
  <c r="BI4527" i="1"/>
  <c r="BH4527" i="1"/>
  <c r="BP4526" i="1"/>
  <c r="BO4526" i="1"/>
  <c r="BN4526" i="1"/>
  <c r="BM4526" i="1"/>
  <c r="BL4526" i="1"/>
  <c r="BK4526" i="1"/>
  <c r="BJ4526" i="1"/>
  <c r="BI4526" i="1"/>
  <c r="BH4526" i="1"/>
  <c r="BP4525" i="1"/>
  <c r="BO4525" i="1"/>
  <c r="BN4525" i="1"/>
  <c r="BM4525" i="1"/>
  <c r="BL4525" i="1"/>
  <c r="BK4525" i="1"/>
  <c r="BJ4525" i="1"/>
  <c r="BI4525" i="1"/>
  <c r="BH4525" i="1"/>
  <c r="BP4524" i="1"/>
  <c r="BO4524" i="1"/>
  <c r="BN4524" i="1"/>
  <c r="BM4524" i="1"/>
  <c r="BL4524" i="1"/>
  <c r="BK4524" i="1"/>
  <c r="BJ4524" i="1"/>
  <c r="BI4524" i="1"/>
  <c r="BH4524" i="1"/>
  <c r="BP4523" i="1"/>
  <c r="BO4523" i="1"/>
  <c r="BN4523" i="1"/>
  <c r="BM4523" i="1"/>
  <c r="BL4523" i="1"/>
  <c r="BK4523" i="1"/>
  <c r="BJ4523" i="1"/>
  <c r="BI4523" i="1"/>
  <c r="BH4523" i="1"/>
  <c r="BP4522" i="1"/>
  <c r="BO4522" i="1"/>
  <c r="BN4522" i="1"/>
  <c r="BM4522" i="1"/>
  <c r="BL4522" i="1"/>
  <c r="BK4522" i="1"/>
  <c r="BJ4522" i="1"/>
  <c r="BI4522" i="1"/>
  <c r="BH4522" i="1"/>
  <c r="BP4521" i="1"/>
  <c r="BO4521" i="1"/>
  <c r="BN4521" i="1"/>
  <c r="BL4521" i="1"/>
  <c r="BK4521" i="1"/>
  <c r="BJ4521" i="1"/>
  <c r="BI4521" i="1"/>
  <c r="BH4521" i="1"/>
  <c r="AS4521" i="1"/>
  <c r="AR4521" i="1"/>
  <c r="X4521" i="1"/>
  <c r="BP4520" i="1"/>
  <c r="BO4520" i="1"/>
  <c r="BN4520" i="1"/>
  <c r="BL4520" i="1"/>
  <c r="BK4520" i="1"/>
  <c r="BJ4520" i="1"/>
  <c r="BI4520" i="1"/>
  <c r="BH4520" i="1"/>
  <c r="AS4520" i="1"/>
  <c r="AN4520" i="1"/>
  <c r="BP4519" i="1"/>
  <c r="BO4519" i="1"/>
  <c r="BN4519" i="1"/>
  <c r="BL4519" i="1"/>
  <c r="BK4519" i="1"/>
  <c r="BJ4519" i="1"/>
  <c r="BI4519" i="1"/>
  <c r="BH4519" i="1"/>
  <c r="AS4519" i="1"/>
  <c r="AN4519" i="1"/>
  <c r="BM4519" i="1" s="1"/>
  <c r="BP4518" i="1"/>
  <c r="BO4518" i="1"/>
  <c r="BN4518" i="1"/>
  <c r="BL4518" i="1"/>
  <c r="BK4518" i="1"/>
  <c r="BJ4518" i="1"/>
  <c r="BI4518" i="1"/>
  <c r="BH4518" i="1"/>
  <c r="AR4518" i="1"/>
  <c r="AN4518" i="1"/>
  <c r="BM4518" i="1" s="1"/>
  <c r="BP4517" i="1"/>
  <c r="BO4517" i="1"/>
  <c r="BN4517" i="1"/>
  <c r="BL4517" i="1"/>
  <c r="BK4517" i="1"/>
  <c r="BJ4517" i="1"/>
  <c r="BI4517" i="1"/>
  <c r="BH4517" i="1"/>
  <c r="AR4517" i="1"/>
  <c r="AN4517" i="1"/>
  <c r="BM4517" i="1" s="1"/>
  <c r="BP4516" i="1"/>
  <c r="BO4516" i="1"/>
  <c r="BN4516" i="1"/>
  <c r="BM4516" i="1"/>
  <c r="BL4516" i="1"/>
  <c r="BK4516" i="1"/>
  <c r="BJ4516" i="1"/>
  <c r="BI4516" i="1"/>
  <c r="BH4516" i="1"/>
  <c r="BP4515" i="1"/>
  <c r="BO4515" i="1"/>
  <c r="BN4515" i="1"/>
  <c r="BM4515" i="1"/>
  <c r="BL4515" i="1"/>
  <c r="BK4515" i="1"/>
  <c r="BJ4515" i="1"/>
  <c r="BI4515" i="1"/>
  <c r="BH4515" i="1"/>
  <c r="AQ4515" i="1"/>
  <c r="BP4514" i="1"/>
  <c r="BO4514" i="1"/>
  <c r="BN4514" i="1"/>
  <c r="BM4514" i="1"/>
  <c r="BL4514" i="1"/>
  <c r="BK4514" i="1"/>
  <c r="BJ4514" i="1"/>
  <c r="BI4514" i="1"/>
  <c r="BH4514" i="1"/>
  <c r="AS4514" i="1"/>
  <c r="AN4514" i="1"/>
  <c r="BP4513" i="1"/>
  <c r="BO4513" i="1"/>
  <c r="BN4513" i="1"/>
  <c r="BL4513" i="1"/>
  <c r="BK4513" i="1"/>
  <c r="BJ4513" i="1"/>
  <c r="BI4513" i="1"/>
  <c r="BH4513" i="1"/>
  <c r="AS4513" i="1"/>
  <c r="BM4513" i="1" s="1"/>
  <c r="BP4512" i="1"/>
  <c r="BO4512" i="1"/>
  <c r="BN4512" i="1"/>
  <c r="BL4512" i="1"/>
  <c r="BK4512" i="1"/>
  <c r="BJ4512" i="1"/>
  <c r="BI4512" i="1"/>
  <c r="BH4512" i="1"/>
  <c r="AQ4512" i="1"/>
  <c r="BM4512" i="1" s="1"/>
  <c r="BP4511" i="1"/>
  <c r="BO4511" i="1"/>
  <c r="BN4511" i="1"/>
  <c r="BM4511" i="1"/>
  <c r="BL4511" i="1"/>
  <c r="BK4511" i="1"/>
  <c r="BJ4511" i="1"/>
  <c r="BI4511" i="1"/>
  <c r="BH4511" i="1"/>
  <c r="BP4510" i="1"/>
  <c r="BO4510" i="1"/>
  <c r="BN4510" i="1"/>
  <c r="BM4510" i="1"/>
  <c r="BL4510" i="1"/>
  <c r="BK4510" i="1"/>
  <c r="BJ4510" i="1"/>
  <c r="BI4510" i="1"/>
  <c r="BH4510" i="1"/>
  <c r="BE4510" i="1"/>
  <c r="BP4509" i="1"/>
  <c r="BO4509" i="1"/>
  <c r="BN4509" i="1"/>
  <c r="BM4509" i="1"/>
  <c r="BL4509" i="1"/>
  <c r="BK4509" i="1"/>
  <c r="BJ4509" i="1"/>
  <c r="BI4509" i="1"/>
  <c r="BH4509" i="1"/>
  <c r="AP4509" i="1"/>
  <c r="BP4508" i="1"/>
  <c r="BO4508" i="1"/>
  <c r="BN4508" i="1"/>
  <c r="BL4508" i="1"/>
  <c r="BK4508" i="1"/>
  <c r="BJ4508" i="1"/>
  <c r="BI4508" i="1"/>
  <c r="BH4508" i="1"/>
  <c r="AJ4508" i="1"/>
  <c r="BM4508" i="1" s="1"/>
  <c r="J4508" i="1"/>
  <c r="BP4507" i="1"/>
  <c r="BO4507" i="1"/>
  <c r="BN4507" i="1"/>
  <c r="BM4507" i="1"/>
  <c r="BL4507" i="1"/>
  <c r="BJ4507" i="1"/>
  <c r="BI4507" i="1"/>
  <c r="BH4507" i="1"/>
  <c r="V4507" i="1"/>
  <c r="BK4507" i="1" s="1"/>
  <c r="BP4506" i="1"/>
  <c r="BO4506" i="1"/>
  <c r="BN4506" i="1"/>
  <c r="BM4506" i="1"/>
  <c r="BL4506" i="1"/>
  <c r="BK4506" i="1"/>
  <c r="BJ4506" i="1"/>
  <c r="BI4506" i="1"/>
  <c r="BH4506" i="1"/>
  <c r="BP4505" i="1"/>
  <c r="BO4505" i="1"/>
  <c r="BN4505" i="1"/>
  <c r="BM4505" i="1"/>
  <c r="BL4505" i="1"/>
  <c r="BK4505" i="1"/>
  <c r="BJ4505" i="1"/>
  <c r="BI4505" i="1"/>
  <c r="BH4505" i="1"/>
  <c r="BP4504" i="1"/>
  <c r="BO4504" i="1"/>
  <c r="BN4504" i="1"/>
  <c r="BM4504" i="1"/>
  <c r="BL4504" i="1"/>
  <c r="BK4504" i="1"/>
  <c r="BJ4504" i="1"/>
  <c r="BI4504" i="1"/>
  <c r="BH4504" i="1"/>
  <c r="BP4503" i="1"/>
  <c r="BO4503" i="1"/>
  <c r="BN4503" i="1"/>
  <c r="BM4503" i="1"/>
  <c r="BL4503" i="1"/>
  <c r="BK4503" i="1"/>
  <c r="BJ4503" i="1"/>
  <c r="BI4503" i="1"/>
  <c r="BH4503" i="1"/>
  <c r="BP4502" i="1"/>
  <c r="BO4502" i="1"/>
  <c r="BN4502" i="1"/>
  <c r="BL4502" i="1"/>
  <c r="BK4502" i="1"/>
  <c r="BJ4502" i="1"/>
  <c r="BI4502" i="1"/>
  <c r="BH4502" i="1"/>
  <c r="AR4502" i="1"/>
  <c r="AN4502" i="1"/>
  <c r="BM4502" i="1" s="1"/>
  <c r="BP4501" i="1"/>
  <c r="BO4501" i="1"/>
  <c r="BN4501" i="1"/>
  <c r="BL4501" i="1"/>
  <c r="BK4501" i="1"/>
  <c r="BJ4501" i="1"/>
  <c r="BI4501" i="1"/>
  <c r="BH4501" i="1"/>
  <c r="AR4501" i="1"/>
  <c r="AN4501" i="1"/>
  <c r="BM4501" i="1" s="1"/>
  <c r="BP4500" i="1"/>
  <c r="BO4500" i="1"/>
  <c r="BN4500" i="1"/>
  <c r="BL4500" i="1"/>
  <c r="BK4500" i="1"/>
  <c r="BJ4500" i="1"/>
  <c r="BI4500" i="1"/>
  <c r="BH4500" i="1"/>
  <c r="AS4500" i="1"/>
  <c r="AN4500" i="1"/>
  <c r="BM4500" i="1" s="1"/>
  <c r="BP4499" i="1"/>
  <c r="BO4499" i="1"/>
  <c r="BN4499" i="1"/>
  <c r="BM4499" i="1"/>
  <c r="BL4499" i="1"/>
  <c r="BK4499" i="1"/>
  <c r="BJ4499" i="1"/>
  <c r="BI4499" i="1"/>
  <c r="BH4499" i="1"/>
  <c r="AS4499" i="1"/>
  <c r="BP4498" i="1"/>
  <c r="BO4498" i="1"/>
  <c r="BN4498" i="1"/>
  <c r="BM4498" i="1"/>
  <c r="BL4498" i="1"/>
  <c r="BK4498" i="1"/>
  <c r="BJ4498" i="1"/>
  <c r="BI4498" i="1"/>
  <c r="BH4498" i="1"/>
  <c r="AS4498" i="1"/>
  <c r="BP4497" i="1"/>
  <c r="BO4497" i="1"/>
  <c r="BN4497" i="1"/>
  <c r="BM4497" i="1"/>
  <c r="BL4497" i="1"/>
  <c r="BK4497" i="1"/>
  <c r="BJ4497" i="1"/>
  <c r="BI4497" i="1"/>
  <c r="BH4497" i="1"/>
  <c r="AQ4497" i="1"/>
  <c r="BP4496" i="1"/>
  <c r="BO4496" i="1"/>
  <c r="BN4496" i="1"/>
  <c r="BL4496" i="1"/>
  <c r="BK4496" i="1"/>
  <c r="BJ4496" i="1"/>
  <c r="BI4496" i="1"/>
  <c r="BH4496" i="1"/>
  <c r="AQ4496" i="1"/>
  <c r="BM4496" i="1" s="1"/>
  <c r="BP4495" i="1"/>
  <c r="BO4495" i="1"/>
  <c r="BN4495" i="1"/>
  <c r="BM4495" i="1"/>
  <c r="BK4495" i="1"/>
  <c r="BJ4495" i="1"/>
  <c r="BI4495" i="1"/>
  <c r="BH4495" i="1"/>
  <c r="AA4495" i="1"/>
  <c r="BL4495" i="1" s="1"/>
  <c r="BP4494" i="1"/>
  <c r="BO4494" i="1"/>
  <c r="BN4494" i="1"/>
  <c r="BL4494" i="1"/>
  <c r="BK4494" i="1"/>
  <c r="BJ4494" i="1"/>
  <c r="BI4494" i="1"/>
  <c r="BH4494" i="1"/>
  <c r="AR4494" i="1"/>
  <c r="AN4494" i="1"/>
  <c r="BM4494" i="1" s="1"/>
  <c r="BP4493" i="1"/>
  <c r="BO4493" i="1"/>
  <c r="BN4493" i="1"/>
  <c r="BM4493" i="1"/>
  <c r="BL4493" i="1"/>
  <c r="BK4493" i="1"/>
  <c r="BJ4493" i="1"/>
  <c r="BI4493" i="1"/>
  <c r="BH4493" i="1"/>
  <c r="BP4492" i="1"/>
  <c r="BO4492" i="1"/>
  <c r="BN4492" i="1"/>
  <c r="BM4492" i="1"/>
  <c r="BL4492" i="1"/>
  <c r="BK4492" i="1"/>
  <c r="BJ4492" i="1"/>
  <c r="BI4492" i="1"/>
  <c r="BH4492" i="1"/>
  <c r="BP4491" i="1"/>
  <c r="BO4491" i="1"/>
  <c r="BM4491" i="1"/>
  <c r="BL4491" i="1"/>
  <c r="BK4491" i="1"/>
  <c r="BJ4491" i="1"/>
  <c r="BH4491" i="1"/>
  <c r="BG4491" i="1"/>
  <c r="BF4491" i="1"/>
  <c r="AW4491" i="1"/>
  <c r="AT4491" i="1"/>
  <c r="BN4491" i="1" s="1"/>
  <c r="V4491" i="1"/>
  <c r="U4491" i="1"/>
  <c r="S4491" i="1"/>
  <c r="M4491" i="1"/>
  <c r="BI4491" i="1" s="1"/>
  <c r="G4491" i="1"/>
  <c r="C4491" i="1"/>
  <c r="BP4490" i="1"/>
  <c r="BO4490" i="1"/>
  <c r="BN4490" i="1"/>
  <c r="BM4490" i="1"/>
  <c r="BL4490" i="1"/>
  <c r="BK4490" i="1"/>
  <c r="BJ4490" i="1"/>
  <c r="BI4490" i="1"/>
  <c r="BH4490" i="1"/>
  <c r="BP4489" i="1"/>
  <c r="BO4489" i="1"/>
  <c r="BN4489" i="1"/>
  <c r="BM4489" i="1"/>
  <c r="BL4489" i="1"/>
  <c r="BK4489" i="1"/>
  <c r="BJ4489" i="1"/>
  <c r="BI4489" i="1"/>
  <c r="BH4489" i="1"/>
  <c r="BP4488" i="1"/>
  <c r="BO4488" i="1"/>
  <c r="BN4488" i="1"/>
  <c r="BM4488" i="1"/>
  <c r="BL4488" i="1"/>
  <c r="BK4488" i="1"/>
  <c r="BJ4488" i="1"/>
  <c r="BI4488" i="1"/>
  <c r="BH4488" i="1"/>
  <c r="BP4487" i="1"/>
  <c r="BO4487" i="1"/>
  <c r="BN4487" i="1"/>
  <c r="BL4487" i="1"/>
  <c r="BK4487" i="1"/>
  <c r="BJ4487" i="1"/>
  <c r="BI4487" i="1"/>
  <c r="BH4487" i="1"/>
  <c r="AB4487" i="1"/>
  <c r="BM4487" i="1" s="1"/>
  <c r="BP4486" i="1"/>
  <c r="BO4486" i="1"/>
  <c r="BN4486" i="1"/>
  <c r="BM4486" i="1"/>
  <c r="BL4486" i="1"/>
  <c r="BK4486" i="1"/>
  <c r="BJ4486" i="1"/>
  <c r="BI4486" i="1"/>
  <c r="BH4486" i="1"/>
  <c r="BP4485" i="1"/>
  <c r="BO4485" i="1"/>
  <c r="BN4485" i="1"/>
  <c r="BM4485" i="1"/>
  <c r="BL4485" i="1"/>
  <c r="BK4485" i="1"/>
  <c r="BJ4485" i="1"/>
  <c r="BI4485" i="1"/>
  <c r="BH4485" i="1"/>
  <c r="AS4485" i="1"/>
  <c r="AN4485" i="1"/>
  <c r="BP4484" i="1"/>
  <c r="BO4484" i="1"/>
  <c r="BN4484" i="1"/>
  <c r="BM4484" i="1"/>
  <c r="BL4484" i="1"/>
  <c r="BK4484" i="1"/>
  <c r="BJ4484" i="1"/>
  <c r="BI4484" i="1"/>
  <c r="BH4484" i="1"/>
  <c r="BP4483" i="1"/>
  <c r="BO4483" i="1"/>
  <c r="BN4483" i="1"/>
  <c r="BM4483" i="1"/>
  <c r="BL4483" i="1"/>
  <c r="BK4483" i="1"/>
  <c r="BJ4483" i="1"/>
  <c r="BI4483" i="1"/>
  <c r="BH4483" i="1"/>
  <c r="BP4482" i="1"/>
  <c r="BO4482" i="1"/>
  <c r="BN4482" i="1"/>
  <c r="BM4482" i="1"/>
  <c r="BL4482" i="1"/>
  <c r="BK4482" i="1"/>
  <c r="BJ4482" i="1"/>
  <c r="BI4482" i="1"/>
  <c r="BH4482" i="1"/>
  <c r="BP4481" i="1"/>
  <c r="BO4481" i="1"/>
  <c r="BN4481" i="1"/>
  <c r="BM4481" i="1"/>
  <c r="BL4481" i="1"/>
  <c r="BK4481" i="1"/>
  <c r="BJ4481" i="1"/>
  <c r="BI4481" i="1"/>
  <c r="BH4481" i="1"/>
  <c r="BP4480" i="1"/>
  <c r="BO4480" i="1"/>
  <c r="BN4480" i="1"/>
  <c r="BM4480" i="1"/>
  <c r="BL4480" i="1"/>
  <c r="BK4480" i="1"/>
  <c r="BJ4480" i="1"/>
  <c r="BI4480" i="1"/>
  <c r="BH4480" i="1"/>
  <c r="BP4479" i="1"/>
  <c r="BO4479" i="1"/>
  <c r="BN4479" i="1"/>
  <c r="BM4479" i="1"/>
  <c r="BL4479" i="1"/>
  <c r="BK4479" i="1"/>
  <c r="BJ4479" i="1"/>
  <c r="BI4479" i="1"/>
  <c r="BH4479" i="1"/>
  <c r="BE4479" i="1"/>
  <c r="BP4478" i="1"/>
  <c r="BO4478" i="1"/>
  <c r="BN4478" i="1"/>
  <c r="BL4478" i="1"/>
  <c r="BK4478" i="1"/>
  <c r="BJ4478" i="1"/>
  <c r="BI4478" i="1"/>
  <c r="BH4478" i="1"/>
  <c r="AR4478" i="1"/>
  <c r="BM4478" i="1" s="1"/>
  <c r="AN4478" i="1"/>
  <c r="BP4477" i="1"/>
  <c r="BO4477" i="1"/>
  <c r="BN4477" i="1"/>
  <c r="BM4477" i="1"/>
  <c r="BL4477" i="1"/>
  <c r="BK4477" i="1"/>
  <c r="BJ4477" i="1"/>
  <c r="BI4477" i="1"/>
  <c r="BH4477" i="1"/>
  <c r="BP4476" i="1"/>
  <c r="BO4476" i="1"/>
  <c r="BN4476" i="1"/>
  <c r="BM4476" i="1"/>
  <c r="BL4476" i="1"/>
  <c r="BK4476" i="1"/>
  <c r="BJ4476" i="1"/>
  <c r="BI4476" i="1"/>
  <c r="BH4476" i="1"/>
  <c r="BP4475" i="1"/>
  <c r="BO4475" i="1"/>
  <c r="BN4475" i="1"/>
  <c r="BM4475" i="1"/>
  <c r="BL4475" i="1"/>
  <c r="BK4475" i="1"/>
  <c r="BJ4475" i="1"/>
  <c r="BI4475" i="1"/>
  <c r="BH4475" i="1"/>
  <c r="BP4474" i="1"/>
  <c r="BO4474" i="1"/>
  <c r="BN4474" i="1"/>
  <c r="BM4474" i="1"/>
  <c r="BL4474" i="1"/>
  <c r="BK4474" i="1"/>
  <c r="BJ4474" i="1"/>
  <c r="BI4474" i="1"/>
  <c r="BH4474" i="1"/>
  <c r="V4474" i="1"/>
  <c r="BP4473" i="1"/>
  <c r="BO4473" i="1"/>
  <c r="BN4473" i="1"/>
  <c r="BM4473" i="1"/>
  <c r="BL4473" i="1"/>
  <c r="BK4473" i="1"/>
  <c r="BJ4473" i="1"/>
  <c r="BI4473" i="1"/>
  <c r="BH4473" i="1"/>
  <c r="BP4472" i="1"/>
  <c r="BO4472" i="1"/>
  <c r="BN4472" i="1"/>
  <c r="BL4472" i="1"/>
  <c r="BK4472" i="1"/>
  <c r="BJ4472" i="1"/>
  <c r="BH4472" i="1"/>
  <c r="AR4472" i="1"/>
  <c r="AQ4472" i="1"/>
  <c r="AI4472" i="1"/>
  <c r="P4472" i="1"/>
  <c r="BI4472" i="1" s="1"/>
  <c r="BP4471" i="1"/>
  <c r="BO4471" i="1"/>
  <c r="BN4471" i="1"/>
  <c r="BL4471" i="1"/>
  <c r="BK4471" i="1"/>
  <c r="BJ4471" i="1"/>
  <c r="BI4471" i="1"/>
  <c r="BH4471" i="1"/>
  <c r="AR4471" i="1"/>
  <c r="AN4471" i="1"/>
  <c r="BM4471" i="1" s="1"/>
  <c r="BP4470" i="1"/>
  <c r="BO4470" i="1"/>
  <c r="BN4470" i="1"/>
  <c r="BL4470" i="1"/>
  <c r="BK4470" i="1"/>
  <c r="BJ4470" i="1"/>
  <c r="BI4470" i="1"/>
  <c r="BH4470" i="1"/>
  <c r="AS4470" i="1"/>
  <c r="AN4470" i="1"/>
  <c r="BM4470" i="1" s="1"/>
  <c r="BP4469" i="1"/>
  <c r="BO4469" i="1"/>
  <c r="BN4469" i="1"/>
  <c r="BL4469" i="1"/>
  <c r="BK4469" i="1"/>
  <c r="BJ4469" i="1"/>
  <c r="BI4469" i="1"/>
  <c r="BH4469" i="1"/>
  <c r="AS4469" i="1"/>
  <c r="BM4469" i="1" s="1"/>
  <c r="BP4468" i="1"/>
  <c r="BO4468" i="1"/>
  <c r="BN4468" i="1"/>
  <c r="BM4468" i="1"/>
  <c r="BL4468" i="1"/>
  <c r="BK4468" i="1"/>
  <c r="BJ4468" i="1"/>
  <c r="BI4468" i="1"/>
  <c r="BH4468" i="1"/>
  <c r="AQ4468" i="1"/>
  <c r="BP4467" i="1"/>
  <c r="BO4467" i="1"/>
  <c r="BN4467" i="1"/>
  <c r="BM4467" i="1"/>
  <c r="BL4467" i="1"/>
  <c r="BK4467" i="1"/>
  <c r="BJ4467" i="1"/>
  <c r="BI4467" i="1"/>
  <c r="BH4467" i="1"/>
  <c r="V4467" i="1"/>
  <c r="BP4466" i="1"/>
  <c r="BO4466" i="1"/>
  <c r="BN4466" i="1"/>
  <c r="BM4466" i="1"/>
  <c r="BL4466" i="1"/>
  <c r="BK4466" i="1"/>
  <c r="BJ4466" i="1"/>
  <c r="BI4466" i="1"/>
  <c r="BH4466" i="1"/>
  <c r="BP4465" i="1"/>
  <c r="BO4465" i="1"/>
  <c r="BN4465" i="1"/>
  <c r="BM4465" i="1"/>
  <c r="BL4465" i="1"/>
  <c r="BK4465" i="1"/>
  <c r="BJ4465" i="1"/>
  <c r="BI4465" i="1"/>
  <c r="BH4465" i="1"/>
  <c r="BP4464" i="1"/>
  <c r="BO4464" i="1"/>
  <c r="BN4464" i="1"/>
  <c r="BL4464" i="1"/>
  <c r="BK4464" i="1"/>
  <c r="BJ4464" i="1"/>
  <c r="BI4464" i="1"/>
  <c r="BH4464" i="1"/>
  <c r="AQ4464" i="1"/>
  <c r="BM4464" i="1" s="1"/>
  <c r="BP4463" i="1"/>
  <c r="BO4463" i="1"/>
  <c r="BN4463" i="1"/>
  <c r="BM4463" i="1"/>
  <c r="BL4463" i="1"/>
  <c r="BK4463" i="1"/>
  <c r="BJ4463" i="1"/>
  <c r="BI4463" i="1"/>
  <c r="BH4463" i="1"/>
  <c r="BP4462" i="1"/>
  <c r="BO4462" i="1"/>
  <c r="BN4462" i="1"/>
  <c r="BL4462" i="1"/>
  <c r="BK4462" i="1"/>
  <c r="BJ4462" i="1"/>
  <c r="BI4462" i="1"/>
  <c r="BH4462" i="1"/>
  <c r="AR4462" i="1"/>
  <c r="AN4462" i="1"/>
  <c r="BM4462" i="1" s="1"/>
  <c r="BP4461" i="1"/>
  <c r="BO4461" i="1"/>
  <c r="BN4461" i="1"/>
  <c r="BM4461" i="1"/>
  <c r="BL4461" i="1"/>
  <c r="BK4461" i="1"/>
  <c r="BJ4461" i="1"/>
  <c r="BI4461" i="1"/>
  <c r="BH4461" i="1"/>
  <c r="AR4461" i="1"/>
  <c r="AN4461" i="1"/>
  <c r="BP4460" i="1"/>
  <c r="BO4460" i="1"/>
  <c r="BN4460" i="1"/>
  <c r="BM4460" i="1"/>
  <c r="BL4460" i="1"/>
  <c r="BK4460" i="1"/>
  <c r="BJ4460" i="1"/>
  <c r="BI4460" i="1"/>
  <c r="BH4460" i="1"/>
  <c r="BP4459" i="1"/>
  <c r="BO4459" i="1"/>
  <c r="BN4459" i="1"/>
  <c r="BM4459" i="1"/>
  <c r="BL4459" i="1"/>
  <c r="BK4459" i="1"/>
  <c r="BJ4459" i="1"/>
  <c r="BI4459" i="1"/>
  <c r="BH4459" i="1"/>
  <c r="BP4458" i="1"/>
  <c r="BN4458" i="1"/>
  <c r="BM4458" i="1"/>
  <c r="BL4458" i="1"/>
  <c r="BK4458" i="1"/>
  <c r="BJ4458" i="1"/>
  <c r="BI4458" i="1"/>
  <c r="BH4458" i="1"/>
  <c r="BE4458" i="1"/>
  <c r="BO4458" i="1" s="1"/>
  <c r="BP4457" i="1"/>
  <c r="BO4457" i="1"/>
  <c r="BN4457" i="1"/>
  <c r="BM4457" i="1"/>
  <c r="BK4457" i="1"/>
  <c r="BJ4457" i="1"/>
  <c r="BI4457" i="1"/>
  <c r="BH4457" i="1"/>
  <c r="AA4457" i="1"/>
  <c r="BL4457" i="1" s="1"/>
  <c r="BP4456" i="1"/>
  <c r="BO4456" i="1"/>
  <c r="BN4456" i="1"/>
  <c r="BM4456" i="1"/>
  <c r="BL4456" i="1"/>
  <c r="BK4456" i="1"/>
  <c r="BJ4456" i="1"/>
  <c r="BI4456" i="1"/>
  <c r="BH4456" i="1"/>
  <c r="BP4455" i="1"/>
  <c r="BO4455" i="1"/>
  <c r="BN4455" i="1"/>
  <c r="BM4455" i="1"/>
  <c r="BL4455" i="1"/>
  <c r="BK4455" i="1"/>
  <c r="BJ4455" i="1"/>
  <c r="BI4455" i="1"/>
  <c r="BH4455" i="1"/>
  <c r="BP4454" i="1"/>
  <c r="BO4454" i="1"/>
  <c r="BN4454" i="1"/>
  <c r="BM4454" i="1"/>
  <c r="BL4454" i="1"/>
  <c r="BK4454" i="1"/>
  <c r="BJ4454" i="1"/>
  <c r="BI4454" i="1"/>
  <c r="BH4454" i="1"/>
  <c r="BP4453" i="1"/>
  <c r="BO4453" i="1"/>
  <c r="BN4453" i="1"/>
  <c r="BM4453" i="1"/>
  <c r="BL4453" i="1"/>
  <c r="BJ4453" i="1"/>
  <c r="BI4453" i="1"/>
  <c r="BH4453" i="1"/>
  <c r="V4453" i="1"/>
  <c r="BK4453" i="1" s="1"/>
  <c r="BP4452" i="1"/>
  <c r="BO4452" i="1"/>
  <c r="BN4452" i="1"/>
  <c r="BM4452" i="1"/>
  <c r="BL4452" i="1"/>
  <c r="BK4452" i="1"/>
  <c r="BJ4452" i="1"/>
  <c r="BI4452" i="1"/>
  <c r="BH4452" i="1"/>
  <c r="BP4451" i="1"/>
  <c r="BO4451" i="1"/>
  <c r="BN4451" i="1"/>
  <c r="BM4451" i="1"/>
  <c r="BL4451" i="1"/>
  <c r="BK4451" i="1"/>
  <c r="BJ4451" i="1"/>
  <c r="BI4451" i="1"/>
  <c r="BH4451" i="1"/>
  <c r="BP4450" i="1"/>
  <c r="BO4450" i="1"/>
  <c r="BN4450" i="1"/>
  <c r="BM4450" i="1"/>
  <c r="BL4450" i="1"/>
  <c r="BK4450" i="1"/>
  <c r="BJ4450" i="1"/>
  <c r="BI4450" i="1"/>
  <c r="BH4450" i="1"/>
  <c r="BP4449" i="1"/>
  <c r="BO4449" i="1"/>
  <c r="BN4449" i="1"/>
  <c r="BM4449" i="1"/>
  <c r="BL4449" i="1"/>
  <c r="BK4449" i="1"/>
  <c r="BJ4449" i="1"/>
  <c r="BI4449" i="1"/>
  <c r="BH4449" i="1"/>
  <c r="BP4448" i="1"/>
  <c r="BO4448" i="1"/>
  <c r="BN4448" i="1"/>
  <c r="BL4448" i="1"/>
  <c r="BK4448" i="1"/>
  <c r="BJ4448" i="1"/>
  <c r="BI4448" i="1"/>
  <c r="BH4448" i="1"/>
  <c r="AS4448" i="1"/>
  <c r="AN4448" i="1"/>
  <c r="BM4448" i="1" s="1"/>
  <c r="BP4447" i="1"/>
  <c r="BO4447" i="1"/>
  <c r="BN4447" i="1"/>
  <c r="BL4447" i="1"/>
  <c r="BK4447" i="1"/>
  <c r="BJ4447" i="1"/>
  <c r="BI4447" i="1"/>
  <c r="BH4447" i="1"/>
  <c r="AR4447" i="1"/>
  <c r="AN4447" i="1"/>
  <c r="BM4447" i="1" s="1"/>
  <c r="BP4446" i="1"/>
  <c r="BO4446" i="1"/>
  <c r="BN4446" i="1"/>
  <c r="BM4446" i="1"/>
  <c r="BL4446" i="1"/>
  <c r="BK4446" i="1"/>
  <c r="BJ4446" i="1"/>
  <c r="BI4446" i="1"/>
  <c r="BH4446" i="1"/>
  <c r="AR4446" i="1"/>
  <c r="AN4446" i="1"/>
  <c r="BP4445" i="1"/>
  <c r="BO4445" i="1"/>
  <c r="BN4445" i="1"/>
  <c r="BM4445" i="1"/>
  <c r="BL4445" i="1"/>
  <c r="BK4445" i="1"/>
  <c r="BJ4445" i="1"/>
  <c r="BI4445" i="1"/>
  <c r="BH4445" i="1"/>
  <c r="AR4445" i="1"/>
  <c r="AN4445" i="1"/>
  <c r="BP4444" i="1"/>
  <c r="BO4444" i="1"/>
  <c r="BN4444" i="1"/>
  <c r="BM4444" i="1"/>
  <c r="BL4444" i="1"/>
  <c r="BK4444" i="1"/>
  <c r="BJ4444" i="1"/>
  <c r="BI4444" i="1"/>
  <c r="BH4444" i="1"/>
  <c r="BP4443" i="1"/>
  <c r="BO4443" i="1"/>
  <c r="BN4443" i="1"/>
  <c r="BM4443" i="1"/>
  <c r="BL4443" i="1"/>
  <c r="BK4443" i="1"/>
  <c r="BJ4443" i="1"/>
  <c r="BI4443" i="1"/>
  <c r="BH4443" i="1"/>
  <c r="BP4442" i="1"/>
  <c r="BO4442" i="1"/>
  <c r="BN4442" i="1"/>
  <c r="BM4442" i="1"/>
  <c r="BL4442" i="1"/>
  <c r="BK4442" i="1"/>
  <c r="BJ4442" i="1"/>
  <c r="BI4442" i="1"/>
  <c r="BH4442" i="1"/>
  <c r="BP4441" i="1"/>
  <c r="BO4441" i="1"/>
  <c r="BN4441" i="1"/>
  <c r="BM4441" i="1"/>
  <c r="BL4441" i="1"/>
  <c r="BK4441" i="1"/>
  <c r="BJ4441" i="1"/>
  <c r="BI4441" i="1"/>
  <c r="BH4441" i="1"/>
  <c r="BE4441" i="1"/>
  <c r="BP4440" i="1"/>
  <c r="BO4440" i="1"/>
  <c r="BN4440" i="1"/>
  <c r="BM4440" i="1"/>
  <c r="BL4440" i="1"/>
  <c r="BK4440" i="1"/>
  <c r="BJ4440" i="1"/>
  <c r="BI4440" i="1"/>
  <c r="BH4440" i="1"/>
  <c r="BP4439" i="1"/>
  <c r="BO4439" i="1"/>
  <c r="BN4439" i="1"/>
  <c r="BM4439" i="1"/>
  <c r="BL4439" i="1"/>
  <c r="BK4439" i="1"/>
  <c r="BJ4439" i="1"/>
  <c r="BI4439" i="1"/>
  <c r="BH4439" i="1"/>
  <c r="AA4439" i="1"/>
  <c r="BP4438" i="1"/>
  <c r="BO4438" i="1"/>
  <c r="BN4438" i="1"/>
  <c r="BL4438" i="1"/>
  <c r="BK4438" i="1"/>
  <c r="BJ4438" i="1"/>
  <c r="BI4438" i="1"/>
  <c r="BH4438" i="1"/>
  <c r="AS4438" i="1"/>
  <c r="BM4438" i="1" s="1"/>
  <c r="BP4437" i="1"/>
  <c r="BO4437" i="1"/>
  <c r="BN4437" i="1"/>
  <c r="BL4437" i="1"/>
  <c r="BK4437" i="1"/>
  <c r="BJ4437" i="1"/>
  <c r="BI4437" i="1"/>
  <c r="BH4437" i="1"/>
  <c r="AS4437" i="1"/>
  <c r="BM4437" i="1" s="1"/>
  <c r="BP4436" i="1"/>
  <c r="BO4436" i="1"/>
  <c r="BN4436" i="1"/>
  <c r="BL4436" i="1"/>
  <c r="BK4436" i="1"/>
  <c r="BJ4436" i="1"/>
  <c r="BI4436" i="1"/>
  <c r="BH4436" i="1"/>
  <c r="AR4436" i="1"/>
  <c r="AN4436" i="1"/>
  <c r="BM4436" i="1" s="1"/>
  <c r="BP4435" i="1"/>
  <c r="BO4435" i="1"/>
  <c r="BN4435" i="1"/>
  <c r="BM4435" i="1"/>
  <c r="BL4435" i="1"/>
  <c r="BK4435" i="1"/>
  <c r="BJ4435" i="1"/>
  <c r="BI4435" i="1"/>
  <c r="BH4435" i="1"/>
  <c r="AR4435" i="1"/>
  <c r="AN4435" i="1"/>
  <c r="BP4434" i="1"/>
  <c r="BO4434" i="1"/>
  <c r="BN4434" i="1"/>
  <c r="BM4434" i="1"/>
  <c r="BL4434" i="1"/>
  <c r="BK4434" i="1"/>
  <c r="BJ4434" i="1"/>
  <c r="BI4434" i="1"/>
  <c r="BH4434" i="1"/>
  <c r="BP4433" i="1"/>
  <c r="BO4433" i="1"/>
  <c r="BN4433" i="1"/>
  <c r="BM4433" i="1"/>
  <c r="BL4433" i="1"/>
  <c r="BK4433" i="1"/>
  <c r="BJ4433" i="1"/>
  <c r="BI4433" i="1"/>
  <c r="BH4433" i="1"/>
  <c r="AQ4433" i="1"/>
  <c r="BP4432" i="1"/>
  <c r="BO4432" i="1"/>
  <c r="BN4432" i="1"/>
  <c r="BM4432" i="1"/>
  <c r="BL4432" i="1"/>
  <c r="BK4432" i="1"/>
  <c r="BJ4432" i="1"/>
  <c r="BI4432" i="1"/>
  <c r="BH4432" i="1"/>
  <c r="BP4431" i="1"/>
  <c r="BO4431" i="1"/>
  <c r="BN4431" i="1"/>
  <c r="BM4431" i="1"/>
  <c r="BL4431" i="1"/>
  <c r="BK4431" i="1"/>
  <c r="BJ4431" i="1"/>
  <c r="BI4431" i="1"/>
  <c r="BH4431" i="1"/>
  <c r="BP4430" i="1"/>
  <c r="BO4430" i="1"/>
  <c r="BN4430" i="1"/>
  <c r="BM4430" i="1"/>
  <c r="BL4430" i="1"/>
  <c r="BK4430" i="1"/>
  <c r="BJ4430" i="1"/>
  <c r="BI4430" i="1"/>
  <c r="BH4430" i="1"/>
  <c r="BP4429" i="1"/>
  <c r="BO4429" i="1"/>
  <c r="BN4429" i="1"/>
  <c r="BM4429" i="1"/>
  <c r="BL4429" i="1"/>
  <c r="BK4429" i="1"/>
  <c r="BJ4429" i="1"/>
  <c r="BI4429" i="1"/>
  <c r="BH4429" i="1"/>
  <c r="AR4429" i="1"/>
  <c r="AQ4429" i="1"/>
  <c r="P4429" i="1"/>
  <c r="BP4428" i="1"/>
  <c r="BO4428" i="1"/>
  <c r="BN4428" i="1"/>
  <c r="BM4428" i="1"/>
  <c r="BL4428" i="1"/>
  <c r="BK4428" i="1"/>
  <c r="BJ4428" i="1"/>
  <c r="BI4428" i="1"/>
  <c r="BH4428" i="1"/>
  <c r="AR4428" i="1"/>
  <c r="AN4428" i="1"/>
  <c r="BP4427" i="1"/>
  <c r="BO4427" i="1"/>
  <c r="BN4427" i="1"/>
  <c r="BM4427" i="1"/>
  <c r="BL4427" i="1"/>
  <c r="BK4427" i="1"/>
  <c r="BJ4427" i="1"/>
  <c r="BI4427" i="1"/>
  <c r="BH4427" i="1"/>
  <c r="BP4426" i="1"/>
  <c r="BO4426" i="1"/>
  <c r="BN4426" i="1"/>
  <c r="BM4426" i="1"/>
  <c r="BL4426" i="1"/>
  <c r="BK4426" i="1"/>
  <c r="BJ4426" i="1"/>
  <c r="BI4426" i="1"/>
  <c r="BH4426" i="1"/>
  <c r="BP4425" i="1"/>
  <c r="BO4425" i="1"/>
  <c r="BN4425" i="1"/>
  <c r="BM4425" i="1"/>
  <c r="BL4425" i="1"/>
  <c r="BK4425" i="1"/>
  <c r="BJ4425" i="1"/>
  <c r="BI4425" i="1"/>
  <c r="BH4425" i="1"/>
  <c r="BE4425" i="1"/>
  <c r="BP4424" i="1"/>
  <c r="BO4424" i="1"/>
  <c r="BN4424" i="1"/>
  <c r="BM4424" i="1"/>
  <c r="BL4424" i="1"/>
  <c r="BK4424" i="1"/>
  <c r="BJ4424" i="1"/>
  <c r="BI4424" i="1"/>
  <c r="BH4424" i="1"/>
  <c r="AQ4424" i="1"/>
  <c r="BP4423" i="1"/>
  <c r="BO4423" i="1"/>
  <c r="BN4423" i="1"/>
  <c r="BM4423" i="1"/>
  <c r="BL4423" i="1"/>
  <c r="BK4423" i="1"/>
  <c r="BJ4423" i="1"/>
  <c r="BI4423" i="1"/>
  <c r="BH4423" i="1"/>
  <c r="BP4422" i="1"/>
  <c r="BO4422" i="1"/>
  <c r="BN4422" i="1"/>
  <c r="BM4422" i="1"/>
  <c r="BL4422" i="1"/>
  <c r="BK4422" i="1"/>
  <c r="BJ4422" i="1"/>
  <c r="BI4422" i="1"/>
  <c r="BH4422" i="1"/>
  <c r="V4422" i="1"/>
  <c r="BP4421" i="1"/>
  <c r="BO4421" i="1"/>
  <c r="BN4421" i="1"/>
  <c r="BM4421" i="1"/>
  <c r="BL4421" i="1"/>
  <c r="BK4421" i="1"/>
  <c r="BJ4421" i="1"/>
  <c r="BI4421" i="1"/>
  <c r="BH4421" i="1"/>
  <c r="BP4420" i="1"/>
  <c r="BO4420" i="1"/>
  <c r="BN4420" i="1"/>
  <c r="BM4420" i="1"/>
  <c r="BL4420" i="1"/>
  <c r="BK4420" i="1"/>
  <c r="BJ4420" i="1"/>
  <c r="BI4420" i="1"/>
  <c r="BH4420" i="1"/>
  <c r="BP4419" i="1"/>
  <c r="BO4419" i="1"/>
  <c r="BN4419" i="1"/>
  <c r="BM4419" i="1"/>
  <c r="BL4419" i="1"/>
  <c r="BK4419" i="1"/>
  <c r="BJ4419" i="1"/>
  <c r="BI4419" i="1"/>
  <c r="BH4419" i="1"/>
  <c r="AS4419" i="1"/>
  <c r="AN4419" i="1"/>
  <c r="BP4418" i="1"/>
  <c r="BO4418" i="1"/>
  <c r="BN4418" i="1"/>
  <c r="BM4418" i="1"/>
  <c r="BL4418" i="1"/>
  <c r="BK4418" i="1"/>
  <c r="BJ4418" i="1"/>
  <c r="BI4418" i="1"/>
  <c r="BH4418" i="1"/>
  <c r="AS4418" i="1"/>
  <c r="BP4417" i="1"/>
  <c r="BO4417" i="1"/>
  <c r="BN4417" i="1"/>
  <c r="BM4417" i="1"/>
  <c r="BL4417" i="1"/>
  <c r="BK4417" i="1"/>
  <c r="BJ4417" i="1"/>
  <c r="BI4417" i="1"/>
  <c r="BH4417" i="1"/>
  <c r="AR4417" i="1"/>
  <c r="AN4417" i="1"/>
  <c r="BP4416" i="1"/>
  <c r="BO4416" i="1"/>
  <c r="BN4416" i="1"/>
  <c r="BM4416" i="1"/>
  <c r="BL4416" i="1"/>
  <c r="BK4416" i="1"/>
  <c r="BJ4416" i="1"/>
  <c r="BI4416" i="1"/>
  <c r="BH4416" i="1"/>
  <c r="BP4415" i="1"/>
  <c r="BO4415" i="1"/>
  <c r="BN4415" i="1"/>
  <c r="BM4415" i="1"/>
  <c r="BL4415" i="1"/>
  <c r="BK4415" i="1"/>
  <c r="BJ4415" i="1"/>
  <c r="BI4415" i="1"/>
  <c r="BH4415" i="1"/>
  <c r="BP4414" i="1"/>
  <c r="BO4414" i="1"/>
  <c r="BN4414" i="1"/>
  <c r="BM4414" i="1"/>
  <c r="BL4414" i="1"/>
  <c r="BK4414" i="1"/>
  <c r="BJ4414" i="1"/>
  <c r="BI4414" i="1"/>
  <c r="BH4414" i="1"/>
  <c r="BP4413" i="1"/>
  <c r="BO4413" i="1"/>
  <c r="BN4413" i="1"/>
  <c r="BM4413" i="1"/>
  <c r="BL4413" i="1"/>
  <c r="BK4413" i="1"/>
  <c r="BJ4413" i="1"/>
  <c r="BI4413" i="1"/>
  <c r="BH4413" i="1"/>
  <c r="AR4413" i="1"/>
  <c r="AN4413" i="1"/>
  <c r="BP4412" i="1"/>
  <c r="BO4412" i="1"/>
  <c r="BN4412" i="1"/>
  <c r="BM4412" i="1"/>
  <c r="BL4412" i="1"/>
  <c r="BK4412" i="1"/>
  <c r="BJ4412" i="1"/>
  <c r="BI4412" i="1"/>
  <c r="BH4412" i="1"/>
  <c r="AR4412" i="1"/>
  <c r="AN4412" i="1"/>
  <c r="BP4411" i="1"/>
  <c r="BO4411" i="1"/>
  <c r="BN4411" i="1"/>
  <c r="BM4411" i="1"/>
  <c r="BL4411" i="1"/>
  <c r="BK4411" i="1"/>
  <c r="BJ4411" i="1"/>
  <c r="BI4411" i="1"/>
  <c r="BH4411" i="1"/>
  <c r="AR4411" i="1"/>
  <c r="AN4411" i="1"/>
  <c r="BP4410" i="1"/>
  <c r="BO4410" i="1"/>
  <c r="BN4410" i="1"/>
  <c r="BM4410" i="1"/>
  <c r="BL4410" i="1"/>
  <c r="BK4410" i="1"/>
  <c r="BJ4410" i="1"/>
  <c r="BI4410" i="1"/>
  <c r="BH4410" i="1"/>
  <c r="BP4409" i="1"/>
  <c r="BO4409" i="1"/>
  <c r="BN4409" i="1"/>
  <c r="BL4409" i="1"/>
  <c r="BK4409" i="1"/>
  <c r="BJ4409" i="1"/>
  <c r="BI4409" i="1"/>
  <c r="BH4409" i="1"/>
  <c r="AB4409" i="1"/>
  <c r="BM4409" i="1" s="1"/>
  <c r="BP4408" i="1"/>
  <c r="BO4408" i="1"/>
  <c r="BN4408" i="1"/>
  <c r="BM4408" i="1"/>
  <c r="BL4408" i="1"/>
  <c r="BK4408" i="1"/>
  <c r="BJ4408" i="1"/>
  <c r="BI4408" i="1"/>
  <c r="BH4408" i="1"/>
  <c r="BP4407" i="1"/>
  <c r="BO4407" i="1"/>
  <c r="BN4407" i="1"/>
  <c r="BM4407" i="1"/>
  <c r="BL4407" i="1"/>
  <c r="BK4407" i="1"/>
  <c r="BJ4407" i="1"/>
  <c r="BI4407" i="1"/>
  <c r="BH4407" i="1"/>
  <c r="AS4407" i="1"/>
  <c r="AN4407" i="1"/>
  <c r="BP4406" i="1"/>
  <c r="BO4406" i="1"/>
  <c r="BN4406" i="1"/>
  <c r="BM4406" i="1"/>
  <c r="BL4406" i="1"/>
  <c r="BK4406" i="1"/>
  <c r="BJ4406" i="1"/>
  <c r="BI4406" i="1"/>
  <c r="BH4406" i="1"/>
  <c r="AS4406" i="1"/>
  <c r="AN4406" i="1"/>
  <c r="BP4405" i="1"/>
  <c r="BO4405" i="1"/>
  <c r="BN4405" i="1"/>
  <c r="BM4405" i="1"/>
  <c r="BL4405" i="1"/>
  <c r="BK4405" i="1"/>
  <c r="BJ4405" i="1"/>
  <c r="BI4405" i="1"/>
  <c r="BH4405" i="1"/>
  <c r="AS4405" i="1"/>
  <c r="AN4405" i="1"/>
  <c r="BP4404" i="1"/>
  <c r="BO4404" i="1"/>
  <c r="BN4404" i="1"/>
  <c r="BM4404" i="1"/>
  <c r="BL4404" i="1"/>
  <c r="BK4404" i="1"/>
  <c r="BJ4404" i="1"/>
  <c r="BI4404" i="1"/>
  <c r="BH4404" i="1"/>
  <c r="AS4404" i="1"/>
  <c r="BP4403" i="1"/>
  <c r="BO4403" i="1"/>
  <c r="BN4403" i="1"/>
  <c r="BL4403" i="1"/>
  <c r="BK4403" i="1"/>
  <c r="BJ4403" i="1"/>
  <c r="BI4403" i="1"/>
  <c r="BH4403" i="1"/>
  <c r="AQ4403" i="1"/>
  <c r="BM4403" i="1" s="1"/>
  <c r="BP4402" i="1"/>
  <c r="BL4402" i="1"/>
  <c r="BI4402" i="1"/>
  <c r="BH4402" i="1"/>
  <c r="BG4402" i="1"/>
  <c r="AX4402" i="1"/>
  <c r="BO4402" i="1" s="1"/>
  <c r="AT4402" i="1"/>
  <c r="BN4402" i="1" s="1"/>
  <c r="AC4402" i="1"/>
  <c r="BM4402" i="1" s="1"/>
  <c r="U4402" i="1"/>
  <c r="BK4402" i="1" s="1"/>
  <c r="S4402" i="1"/>
  <c r="BJ4402" i="1" s="1"/>
  <c r="M4402" i="1"/>
  <c r="C4402" i="1"/>
  <c r="BP4401" i="1"/>
  <c r="BO4401" i="1"/>
  <c r="BN4401" i="1"/>
  <c r="BM4401" i="1"/>
  <c r="BL4401" i="1"/>
  <c r="BK4401" i="1"/>
  <c r="BJ4401" i="1"/>
  <c r="BI4401" i="1"/>
  <c r="BH4401" i="1"/>
  <c r="BP4400" i="1"/>
  <c r="BO4400" i="1"/>
  <c r="BN4400" i="1"/>
  <c r="BM4400" i="1"/>
  <c r="BL4400" i="1"/>
  <c r="BK4400" i="1"/>
  <c r="BJ4400" i="1"/>
  <c r="BI4400" i="1"/>
  <c r="BH4400" i="1"/>
  <c r="BP4399" i="1"/>
  <c r="BO4399" i="1"/>
  <c r="BN4399" i="1"/>
  <c r="BM4399" i="1"/>
  <c r="BL4399" i="1"/>
  <c r="BK4399" i="1"/>
  <c r="BJ4399" i="1"/>
  <c r="BI4399" i="1"/>
  <c r="BH4399" i="1"/>
  <c r="BP4398" i="1"/>
  <c r="BO4398" i="1"/>
  <c r="BN4398" i="1"/>
  <c r="BM4398" i="1"/>
  <c r="BL4398" i="1"/>
  <c r="BK4398" i="1"/>
  <c r="BJ4398" i="1"/>
  <c r="BI4398" i="1"/>
  <c r="BH4398" i="1"/>
  <c r="AQ4398" i="1"/>
  <c r="AB4398" i="1"/>
  <c r="BP4397" i="1"/>
  <c r="BO4397" i="1"/>
  <c r="BN4397" i="1"/>
  <c r="BM4397" i="1"/>
  <c r="BL4397" i="1"/>
  <c r="BK4397" i="1"/>
  <c r="BJ4397" i="1"/>
  <c r="BI4397" i="1"/>
  <c r="BH4397" i="1"/>
  <c r="AR4397" i="1"/>
  <c r="AQ4397" i="1"/>
  <c r="P4397" i="1"/>
  <c r="BP4396" i="1"/>
  <c r="BO4396" i="1"/>
  <c r="BN4396" i="1"/>
  <c r="BM4396" i="1"/>
  <c r="BL4396" i="1"/>
  <c r="BK4396" i="1"/>
  <c r="BJ4396" i="1"/>
  <c r="BI4396" i="1"/>
  <c r="BH4396" i="1"/>
  <c r="AS4396" i="1"/>
  <c r="AN4396" i="1"/>
  <c r="BP4395" i="1"/>
  <c r="BO4395" i="1"/>
  <c r="BN4395" i="1"/>
  <c r="BM4395" i="1"/>
  <c r="BL4395" i="1"/>
  <c r="BK4395" i="1"/>
  <c r="BJ4395" i="1"/>
  <c r="BI4395" i="1"/>
  <c r="BH4395" i="1"/>
  <c r="BP4394" i="1"/>
  <c r="BO4394" i="1"/>
  <c r="BN4394" i="1"/>
  <c r="BM4394" i="1"/>
  <c r="BL4394" i="1"/>
  <c r="BK4394" i="1"/>
  <c r="BJ4394" i="1"/>
  <c r="BI4394" i="1"/>
  <c r="BH4394" i="1"/>
  <c r="V4394" i="1"/>
  <c r="BP4393" i="1"/>
  <c r="BO4393" i="1"/>
  <c r="BN4393" i="1"/>
  <c r="BM4393" i="1"/>
  <c r="BL4393" i="1"/>
  <c r="BK4393" i="1"/>
  <c r="BJ4393" i="1"/>
  <c r="BI4393" i="1"/>
  <c r="BH4393" i="1"/>
  <c r="BP4392" i="1"/>
  <c r="BO4392" i="1"/>
  <c r="BN4392" i="1"/>
  <c r="BL4392" i="1"/>
  <c r="BK4392" i="1"/>
  <c r="BJ4392" i="1"/>
  <c r="BI4392" i="1"/>
  <c r="BH4392" i="1"/>
  <c r="AQ4392" i="1"/>
  <c r="AB4392" i="1"/>
  <c r="BM4392" i="1" s="1"/>
  <c r="BP4391" i="1"/>
  <c r="BO4391" i="1"/>
  <c r="BN4391" i="1"/>
  <c r="BM4391" i="1"/>
  <c r="BL4391" i="1"/>
  <c r="BK4391" i="1"/>
  <c r="BJ4391" i="1"/>
  <c r="BI4391" i="1"/>
  <c r="BH4391" i="1"/>
  <c r="AS4391" i="1"/>
  <c r="BP4390" i="1"/>
  <c r="BO4390" i="1"/>
  <c r="BN4390" i="1"/>
  <c r="BM4390" i="1"/>
  <c r="BL4390" i="1"/>
  <c r="BK4390" i="1"/>
  <c r="BJ4390" i="1"/>
  <c r="BI4390" i="1"/>
  <c r="BH4390" i="1"/>
  <c r="AS4390" i="1"/>
  <c r="BP4389" i="1"/>
  <c r="BO4389" i="1"/>
  <c r="BN4389" i="1"/>
  <c r="BM4389" i="1"/>
  <c r="BL4389" i="1"/>
  <c r="BK4389" i="1"/>
  <c r="BJ4389" i="1"/>
  <c r="BI4389" i="1"/>
  <c r="BH4389" i="1"/>
  <c r="AR4389" i="1"/>
  <c r="AN4389" i="1"/>
  <c r="BP4388" i="1"/>
  <c r="BO4388" i="1"/>
  <c r="BN4388" i="1"/>
  <c r="BL4388" i="1"/>
  <c r="BK4388" i="1"/>
  <c r="BJ4388" i="1"/>
  <c r="BI4388" i="1"/>
  <c r="BH4388" i="1"/>
  <c r="AR4388" i="1"/>
  <c r="AN4388" i="1"/>
  <c r="BP4387" i="1"/>
  <c r="BO4387" i="1"/>
  <c r="BN4387" i="1"/>
  <c r="BM4387" i="1"/>
  <c r="BL4387" i="1"/>
  <c r="BK4387" i="1"/>
  <c r="BJ4387" i="1"/>
  <c r="BI4387" i="1"/>
  <c r="BH4387" i="1"/>
  <c r="BP4386" i="1"/>
  <c r="BO4386" i="1"/>
  <c r="BN4386" i="1"/>
  <c r="BM4386" i="1"/>
  <c r="BL4386" i="1"/>
  <c r="BK4386" i="1"/>
  <c r="BJ4386" i="1"/>
  <c r="BI4386" i="1"/>
  <c r="BH4386" i="1"/>
  <c r="BP4385" i="1"/>
  <c r="BO4385" i="1"/>
  <c r="BN4385" i="1"/>
  <c r="BM4385" i="1"/>
  <c r="BL4385" i="1"/>
  <c r="BK4385" i="1"/>
  <c r="BJ4385" i="1"/>
  <c r="BI4385" i="1"/>
  <c r="BH4385" i="1"/>
  <c r="AR4385" i="1"/>
  <c r="AN4385" i="1"/>
  <c r="BP4384" i="1"/>
  <c r="BO4384" i="1"/>
  <c r="BN4384" i="1"/>
  <c r="BM4384" i="1"/>
  <c r="BL4384" i="1"/>
  <c r="BK4384" i="1"/>
  <c r="BJ4384" i="1"/>
  <c r="BI4384" i="1"/>
  <c r="BH4384" i="1"/>
  <c r="AP4384" i="1"/>
  <c r="BP4383" i="1"/>
  <c r="BO4383" i="1"/>
  <c r="BN4383" i="1"/>
  <c r="BM4383" i="1"/>
  <c r="BL4383" i="1"/>
  <c r="BK4383" i="1"/>
  <c r="BJ4383" i="1"/>
  <c r="BI4383" i="1"/>
  <c r="BH4383" i="1"/>
  <c r="BP4382" i="1"/>
  <c r="BO4382" i="1"/>
  <c r="BN4382" i="1"/>
  <c r="BM4382" i="1"/>
  <c r="BL4382" i="1"/>
  <c r="BK4382" i="1"/>
  <c r="BJ4382" i="1"/>
  <c r="BI4382" i="1"/>
  <c r="BH4382" i="1"/>
  <c r="BP4381" i="1"/>
  <c r="BO4381" i="1"/>
  <c r="BN4381" i="1"/>
  <c r="BL4381" i="1"/>
  <c r="BK4381" i="1"/>
  <c r="BJ4381" i="1"/>
  <c r="BI4381" i="1"/>
  <c r="BH4381" i="1"/>
  <c r="AQ4381" i="1"/>
  <c r="BM4381" i="1" s="1"/>
  <c r="BP4380" i="1"/>
  <c r="BO4380" i="1"/>
  <c r="BN4380" i="1"/>
  <c r="BM4380" i="1"/>
  <c r="BL4380" i="1"/>
  <c r="BK4380" i="1"/>
  <c r="BJ4380" i="1"/>
  <c r="BI4380" i="1"/>
  <c r="BH4380" i="1"/>
  <c r="BP4379" i="1"/>
  <c r="BO4379" i="1"/>
  <c r="BN4379" i="1"/>
  <c r="BM4379" i="1"/>
  <c r="BL4379" i="1"/>
  <c r="BK4379" i="1"/>
  <c r="BJ4379" i="1"/>
  <c r="BI4379" i="1"/>
  <c r="BH4379" i="1"/>
  <c r="V4379" i="1"/>
  <c r="BP4378" i="1"/>
  <c r="BO4378" i="1"/>
  <c r="BN4378" i="1"/>
  <c r="BM4378" i="1"/>
  <c r="BL4378" i="1"/>
  <c r="BK4378" i="1"/>
  <c r="BJ4378" i="1"/>
  <c r="BI4378" i="1"/>
  <c r="BH4378" i="1"/>
  <c r="BP4377" i="1"/>
  <c r="BO4377" i="1"/>
  <c r="BN4377" i="1"/>
  <c r="BL4377" i="1"/>
  <c r="BK4377" i="1"/>
  <c r="BJ4377" i="1"/>
  <c r="BI4377" i="1"/>
  <c r="BH4377" i="1"/>
  <c r="AR4377" i="1"/>
  <c r="AN4377" i="1"/>
  <c r="BM4377" i="1" s="1"/>
  <c r="BP4376" i="1"/>
  <c r="BO4376" i="1"/>
  <c r="BN4376" i="1"/>
  <c r="BL4376" i="1"/>
  <c r="BK4376" i="1"/>
  <c r="BJ4376" i="1"/>
  <c r="BI4376" i="1"/>
  <c r="BH4376" i="1"/>
  <c r="AR4376" i="1"/>
  <c r="AN4376" i="1"/>
  <c r="BM4376" i="1" s="1"/>
  <c r="BP4375" i="1"/>
  <c r="BO4375" i="1"/>
  <c r="BN4375" i="1"/>
  <c r="BL4375" i="1"/>
  <c r="BK4375" i="1"/>
  <c r="BJ4375" i="1"/>
  <c r="BI4375" i="1"/>
  <c r="BH4375" i="1"/>
  <c r="AR4375" i="1"/>
  <c r="AN4375" i="1"/>
  <c r="BM4375" i="1" s="1"/>
  <c r="BP4374" i="1"/>
  <c r="BO4374" i="1"/>
  <c r="BN4374" i="1"/>
  <c r="BM4374" i="1"/>
  <c r="BL4374" i="1"/>
  <c r="BK4374" i="1"/>
  <c r="BJ4374" i="1"/>
  <c r="BI4374" i="1"/>
  <c r="BH4374" i="1"/>
  <c r="BP4373" i="1"/>
  <c r="BO4373" i="1"/>
  <c r="BN4373" i="1"/>
  <c r="BM4373" i="1"/>
  <c r="BL4373" i="1"/>
  <c r="BK4373" i="1"/>
  <c r="BJ4373" i="1"/>
  <c r="BI4373" i="1"/>
  <c r="BH4373" i="1"/>
  <c r="AB4373" i="1"/>
  <c r="BP4372" i="1"/>
  <c r="BO4372" i="1"/>
  <c r="BN4372" i="1"/>
  <c r="BL4372" i="1"/>
  <c r="BJ4372" i="1"/>
  <c r="BI4372" i="1"/>
  <c r="BG4372" i="1"/>
  <c r="AT4372" i="1"/>
  <c r="AR4372" i="1"/>
  <c r="AN4372" i="1"/>
  <c r="AM4372" i="1"/>
  <c r="BM4372" i="1" s="1"/>
  <c r="W4372" i="1"/>
  <c r="BK4372" i="1" s="1"/>
  <c r="S4372" i="1"/>
  <c r="N4372" i="1"/>
  <c r="I4372" i="1"/>
  <c r="D4372" i="1"/>
  <c r="BH4372" i="1" s="1"/>
  <c r="BP4371" i="1"/>
  <c r="BO4371" i="1"/>
  <c r="BL4371" i="1"/>
  <c r="BK4371" i="1"/>
  <c r="BJ4371" i="1"/>
  <c r="BI4371" i="1"/>
  <c r="BH4371" i="1"/>
  <c r="BG4371" i="1"/>
  <c r="AX4371" i="1"/>
  <c r="AT4371" i="1"/>
  <c r="BN4371" i="1" s="1"/>
  <c r="AC4371" i="1"/>
  <c r="BM4371" i="1" s="1"/>
  <c r="U4371" i="1"/>
  <c r="S4371" i="1"/>
  <c r="M4371" i="1"/>
  <c r="C4371" i="1"/>
  <c r="BP4370" i="1"/>
  <c r="BO4370" i="1"/>
  <c r="BN4370" i="1"/>
  <c r="BM4370" i="1"/>
  <c r="BL4370" i="1"/>
  <c r="BK4370" i="1"/>
  <c r="BJ4370" i="1"/>
  <c r="BI4370" i="1"/>
  <c r="BH4370" i="1"/>
  <c r="BP4369" i="1"/>
  <c r="BO4369" i="1"/>
  <c r="BN4369" i="1"/>
  <c r="BM4369" i="1"/>
  <c r="BL4369" i="1"/>
  <c r="BK4369" i="1"/>
  <c r="BJ4369" i="1"/>
  <c r="BI4369" i="1"/>
  <c r="BH4369" i="1"/>
  <c r="BP4368" i="1"/>
  <c r="BO4368" i="1"/>
  <c r="BN4368" i="1"/>
  <c r="BL4368" i="1"/>
  <c r="BK4368" i="1"/>
  <c r="BJ4368" i="1"/>
  <c r="BI4368" i="1"/>
  <c r="BH4368" i="1"/>
  <c r="AR4368" i="1"/>
  <c r="AN4368" i="1"/>
  <c r="BM4368" i="1" s="1"/>
  <c r="BP4367" i="1"/>
  <c r="BO4367" i="1"/>
  <c r="BN4367" i="1"/>
  <c r="BL4367" i="1"/>
  <c r="BK4367" i="1"/>
  <c r="BJ4367" i="1"/>
  <c r="BI4367" i="1"/>
  <c r="BH4367" i="1"/>
  <c r="AS4367" i="1"/>
  <c r="AN4367" i="1"/>
  <c r="BM4367" i="1" s="1"/>
  <c r="BP4366" i="1"/>
  <c r="BO4366" i="1"/>
  <c r="BN4366" i="1"/>
  <c r="BL4366" i="1"/>
  <c r="BK4366" i="1"/>
  <c r="BJ4366" i="1"/>
  <c r="BI4366" i="1"/>
  <c r="BH4366" i="1"/>
  <c r="AS4366" i="1"/>
  <c r="BM4366" i="1" s="1"/>
  <c r="BP4365" i="1"/>
  <c r="BO4365" i="1"/>
  <c r="BN4365" i="1"/>
  <c r="BM4365" i="1"/>
  <c r="BL4365" i="1"/>
  <c r="BK4365" i="1"/>
  <c r="BJ4365" i="1"/>
  <c r="BI4365" i="1"/>
  <c r="BH4365" i="1"/>
  <c r="AA4365" i="1"/>
  <c r="BP4364" i="1"/>
  <c r="BO4364" i="1"/>
  <c r="BN4364" i="1"/>
  <c r="BM4364" i="1"/>
  <c r="BL4364" i="1"/>
  <c r="BK4364" i="1"/>
  <c r="BJ4364" i="1"/>
  <c r="BI4364" i="1"/>
  <c r="BH4364" i="1"/>
  <c r="AP4364" i="1"/>
  <c r="BP4363" i="1"/>
  <c r="BO4363" i="1"/>
  <c r="BN4363" i="1"/>
  <c r="BM4363" i="1"/>
  <c r="BL4363" i="1"/>
  <c r="BK4363" i="1"/>
  <c r="BJ4363" i="1"/>
  <c r="BI4363" i="1"/>
  <c r="BH4363" i="1"/>
  <c r="BP4362" i="1"/>
  <c r="BO4362" i="1"/>
  <c r="BN4362" i="1"/>
  <c r="BM4362" i="1"/>
  <c r="BL4362" i="1"/>
  <c r="BK4362" i="1"/>
  <c r="BJ4362" i="1"/>
  <c r="BI4362" i="1"/>
  <c r="BH4362" i="1"/>
  <c r="BP4361" i="1"/>
  <c r="BO4361" i="1"/>
  <c r="BN4361" i="1"/>
  <c r="BM4361" i="1"/>
  <c r="BL4361" i="1"/>
  <c r="BK4361" i="1"/>
  <c r="BJ4361" i="1"/>
  <c r="BI4361" i="1"/>
  <c r="BH4361" i="1"/>
  <c r="BE4361" i="1"/>
  <c r="BP4360" i="1"/>
  <c r="BO4360" i="1"/>
  <c r="BN4360" i="1"/>
  <c r="BM4360" i="1"/>
  <c r="BL4360" i="1"/>
  <c r="BK4360" i="1"/>
  <c r="BJ4360" i="1"/>
  <c r="BI4360" i="1"/>
  <c r="BH4360" i="1"/>
  <c r="BP4359" i="1"/>
  <c r="BO4359" i="1"/>
  <c r="BN4359" i="1"/>
  <c r="BM4359" i="1"/>
  <c r="BL4359" i="1"/>
  <c r="BK4359" i="1"/>
  <c r="BJ4359" i="1"/>
  <c r="BI4359" i="1"/>
  <c r="BH4359" i="1"/>
  <c r="BP4358" i="1"/>
  <c r="BO4358" i="1"/>
  <c r="BN4358" i="1"/>
  <c r="BL4358" i="1"/>
  <c r="BK4358" i="1"/>
  <c r="BJ4358" i="1"/>
  <c r="BI4358" i="1"/>
  <c r="BH4358" i="1"/>
  <c r="AR4358" i="1"/>
  <c r="AQ4358" i="1"/>
  <c r="BM4358" i="1" s="1"/>
  <c r="P4358" i="1"/>
  <c r="BP4357" i="1"/>
  <c r="BO4357" i="1"/>
  <c r="BN4357" i="1"/>
  <c r="BL4357" i="1"/>
  <c r="BK4357" i="1"/>
  <c r="BJ4357" i="1"/>
  <c r="BI4357" i="1"/>
  <c r="BH4357" i="1"/>
  <c r="AR4357" i="1"/>
  <c r="AN4357" i="1"/>
  <c r="BM4357" i="1" s="1"/>
  <c r="BP4356" i="1"/>
  <c r="BO4356" i="1"/>
  <c r="BN4356" i="1"/>
  <c r="BL4356" i="1"/>
  <c r="BK4356" i="1"/>
  <c r="BJ4356" i="1"/>
  <c r="BI4356" i="1"/>
  <c r="BH4356" i="1"/>
  <c r="AQ4356" i="1"/>
  <c r="BM4356" i="1" s="1"/>
  <c r="BP4355" i="1"/>
  <c r="BO4355" i="1"/>
  <c r="BN4355" i="1"/>
  <c r="BM4355" i="1"/>
  <c r="BL4355" i="1"/>
  <c r="BK4355" i="1"/>
  <c r="BJ4355" i="1"/>
  <c r="BI4355" i="1"/>
  <c r="BH4355" i="1"/>
  <c r="AQ4355" i="1"/>
  <c r="AB4355" i="1"/>
  <c r="BP4354" i="1"/>
  <c r="BO4354" i="1"/>
  <c r="BN4354" i="1"/>
  <c r="BM4354" i="1"/>
  <c r="BL4354" i="1"/>
  <c r="BJ4354" i="1"/>
  <c r="BI4354" i="1"/>
  <c r="BH4354" i="1"/>
  <c r="V4354" i="1"/>
  <c r="BK4354" i="1" s="1"/>
  <c r="BP4353" i="1"/>
  <c r="BO4353" i="1"/>
  <c r="BN4353" i="1"/>
  <c r="BM4353" i="1"/>
  <c r="BL4353" i="1"/>
  <c r="BK4353" i="1"/>
  <c r="BJ4353" i="1"/>
  <c r="BI4353" i="1"/>
  <c r="BH4353" i="1"/>
  <c r="BP4352" i="1"/>
  <c r="BO4352" i="1"/>
  <c r="BN4352" i="1"/>
  <c r="BM4352" i="1"/>
  <c r="BL4352" i="1"/>
  <c r="BK4352" i="1"/>
  <c r="BJ4352" i="1"/>
  <c r="BI4352" i="1"/>
  <c r="BH4352" i="1"/>
  <c r="BP4351" i="1"/>
  <c r="BO4351" i="1"/>
  <c r="BN4351" i="1"/>
  <c r="BM4351" i="1"/>
  <c r="BL4351" i="1"/>
  <c r="BK4351" i="1"/>
  <c r="BJ4351" i="1"/>
  <c r="BI4351" i="1"/>
  <c r="BH4351" i="1"/>
  <c r="BP4350" i="1"/>
  <c r="BO4350" i="1"/>
  <c r="BN4350" i="1"/>
  <c r="BM4350" i="1"/>
  <c r="BL4350" i="1"/>
  <c r="BK4350" i="1"/>
  <c r="BJ4350" i="1"/>
  <c r="BI4350" i="1"/>
  <c r="BH4350" i="1"/>
  <c r="BP4349" i="1"/>
  <c r="BO4349" i="1"/>
  <c r="BN4349" i="1"/>
  <c r="BM4349" i="1"/>
  <c r="BL4349" i="1"/>
  <c r="BK4349" i="1"/>
  <c r="BJ4349" i="1"/>
  <c r="BI4349" i="1"/>
  <c r="BH4349" i="1"/>
  <c r="AS4349" i="1"/>
  <c r="AN4349" i="1"/>
  <c r="BP4348" i="1"/>
  <c r="BO4348" i="1"/>
  <c r="BN4348" i="1"/>
  <c r="BM4348" i="1"/>
  <c r="BL4348" i="1"/>
  <c r="BK4348" i="1"/>
  <c r="BJ4348" i="1"/>
  <c r="BI4348" i="1"/>
  <c r="BH4348" i="1"/>
  <c r="AS4348" i="1"/>
  <c r="BP4347" i="1"/>
  <c r="BO4347" i="1"/>
  <c r="BN4347" i="1"/>
  <c r="BL4347" i="1"/>
  <c r="BK4347" i="1"/>
  <c r="BJ4347" i="1"/>
  <c r="BI4347" i="1"/>
  <c r="BH4347" i="1"/>
  <c r="AQ4347" i="1"/>
  <c r="BM4347" i="1" s="1"/>
  <c r="BP4346" i="1"/>
  <c r="BO4346" i="1"/>
  <c r="BN4346" i="1"/>
  <c r="BM4346" i="1"/>
  <c r="BL4346" i="1"/>
  <c r="BK4346" i="1"/>
  <c r="BJ4346" i="1"/>
  <c r="BI4346" i="1"/>
  <c r="BH4346" i="1"/>
  <c r="BP4345" i="1"/>
  <c r="BO4345" i="1"/>
  <c r="BN4345" i="1"/>
  <c r="BM4345" i="1"/>
  <c r="BL4345" i="1"/>
  <c r="BK4345" i="1"/>
  <c r="BJ4345" i="1"/>
  <c r="BI4345" i="1"/>
  <c r="BH4345" i="1"/>
  <c r="BP4344" i="1"/>
  <c r="BO4344" i="1"/>
  <c r="BN4344" i="1"/>
  <c r="BM4344" i="1"/>
  <c r="BL4344" i="1"/>
  <c r="BK4344" i="1"/>
  <c r="BJ4344" i="1"/>
  <c r="BI4344" i="1"/>
  <c r="BH4344" i="1"/>
  <c r="AB4344" i="1"/>
  <c r="BP4343" i="1"/>
  <c r="BO4343" i="1"/>
  <c r="BN4343" i="1"/>
  <c r="BM4343" i="1"/>
  <c r="BL4343" i="1"/>
  <c r="BK4343" i="1"/>
  <c r="BJ4343" i="1"/>
  <c r="BI4343" i="1"/>
  <c r="BH4343" i="1"/>
  <c r="BP4342" i="1"/>
  <c r="BN4342" i="1"/>
  <c r="BM4342" i="1"/>
  <c r="BL4342" i="1"/>
  <c r="BK4342" i="1"/>
  <c r="BJ4342" i="1"/>
  <c r="BI4342" i="1"/>
  <c r="BG4342" i="1"/>
  <c r="AX4342" i="1"/>
  <c r="BO4342" i="1" s="1"/>
  <c r="AT4342" i="1"/>
  <c r="AC4342" i="1"/>
  <c r="U4342" i="1"/>
  <c r="S4342" i="1"/>
  <c r="M4342" i="1"/>
  <c r="C4342" i="1"/>
  <c r="BH4342" i="1" s="1"/>
  <c r="BP4341" i="1"/>
  <c r="BO4341" i="1"/>
  <c r="BN4341" i="1"/>
  <c r="BM4341" i="1"/>
  <c r="BL4341" i="1"/>
  <c r="BK4341" i="1"/>
  <c r="BJ4341" i="1"/>
  <c r="BI4341" i="1"/>
  <c r="BH4341" i="1"/>
  <c r="AR4341" i="1"/>
  <c r="AN4341" i="1"/>
  <c r="BP4340" i="1"/>
  <c r="BO4340" i="1"/>
  <c r="BN4340" i="1"/>
  <c r="BM4340" i="1"/>
  <c r="BL4340" i="1"/>
  <c r="BK4340" i="1"/>
  <c r="BJ4340" i="1"/>
  <c r="BI4340" i="1"/>
  <c r="BH4340" i="1"/>
  <c r="AR4340" i="1"/>
  <c r="AN4340" i="1"/>
  <c r="BP4339" i="1"/>
  <c r="BO4339" i="1"/>
  <c r="BN4339" i="1"/>
  <c r="BM4339" i="1"/>
  <c r="BL4339" i="1"/>
  <c r="BK4339" i="1"/>
  <c r="BJ4339" i="1"/>
  <c r="BI4339" i="1"/>
  <c r="BH4339" i="1"/>
  <c r="AR4339" i="1"/>
  <c r="AN4339" i="1"/>
  <c r="BP4338" i="1"/>
  <c r="BO4338" i="1"/>
  <c r="BN4338" i="1"/>
  <c r="BM4338" i="1"/>
  <c r="BL4338" i="1"/>
  <c r="BK4338" i="1"/>
  <c r="BJ4338" i="1"/>
  <c r="BI4338" i="1"/>
  <c r="BH4338" i="1"/>
  <c r="AR4338" i="1"/>
  <c r="AN4338" i="1"/>
  <c r="BP4337" i="1"/>
  <c r="BO4337" i="1"/>
  <c r="BN4337" i="1"/>
  <c r="BL4337" i="1"/>
  <c r="BK4337" i="1"/>
  <c r="BJ4337" i="1"/>
  <c r="BI4337" i="1"/>
  <c r="BH4337" i="1"/>
  <c r="AJ4337" i="1"/>
  <c r="BM4337" i="1" s="1"/>
  <c r="J4337" i="1"/>
  <c r="BP4336" i="1"/>
  <c r="BO4336" i="1"/>
  <c r="BN4336" i="1"/>
  <c r="BM4336" i="1"/>
  <c r="BL4336" i="1"/>
  <c r="BK4336" i="1"/>
  <c r="BJ4336" i="1"/>
  <c r="BI4336" i="1"/>
  <c r="BH4336" i="1"/>
  <c r="BP4335" i="1"/>
  <c r="BO4335" i="1"/>
  <c r="BN4335" i="1"/>
  <c r="BM4335" i="1"/>
  <c r="BL4335" i="1"/>
  <c r="BK4335" i="1"/>
  <c r="BJ4335" i="1"/>
  <c r="BI4335" i="1"/>
  <c r="BH4335" i="1"/>
  <c r="BP4334" i="1"/>
  <c r="BO4334" i="1"/>
  <c r="BN4334" i="1"/>
  <c r="BM4334" i="1"/>
  <c r="BL4334" i="1"/>
  <c r="BK4334" i="1"/>
  <c r="BJ4334" i="1"/>
  <c r="BI4334" i="1"/>
  <c r="BH4334" i="1"/>
  <c r="AB4334" i="1"/>
  <c r="BP4333" i="1"/>
  <c r="BO4333" i="1"/>
  <c r="BN4333" i="1"/>
  <c r="BM4333" i="1"/>
  <c r="BL4333" i="1"/>
  <c r="BK4333" i="1"/>
  <c r="BJ4333" i="1"/>
  <c r="BI4333" i="1"/>
  <c r="BH4333" i="1"/>
  <c r="AR4333" i="1"/>
  <c r="AN4333" i="1"/>
  <c r="BP4332" i="1"/>
  <c r="BO4332" i="1"/>
  <c r="BN4332" i="1"/>
  <c r="BM4332" i="1"/>
  <c r="BL4332" i="1"/>
  <c r="BK4332" i="1"/>
  <c r="BJ4332" i="1"/>
  <c r="BI4332" i="1"/>
  <c r="BH4332" i="1"/>
  <c r="BP4331" i="1"/>
  <c r="BO4331" i="1"/>
  <c r="BN4331" i="1"/>
  <c r="BM4331" i="1"/>
  <c r="BL4331" i="1"/>
  <c r="BK4331" i="1"/>
  <c r="BJ4331" i="1"/>
  <c r="BI4331" i="1"/>
  <c r="BH4331" i="1"/>
  <c r="BP4330" i="1"/>
  <c r="BO4330" i="1"/>
  <c r="BN4330" i="1"/>
  <c r="BM4330" i="1"/>
  <c r="BL4330" i="1"/>
  <c r="BK4330" i="1"/>
  <c r="BJ4330" i="1"/>
  <c r="BI4330" i="1"/>
  <c r="BH4330" i="1"/>
  <c r="BP4329" i="1"/>
  <c r="BO4329" i="1"/>
  <c r="BN4329" i="1"/>
  <c r="BM4329" i="1"/>
  <c r="BL4329" i="1"/>
  <c r="BK4329" i="1"/>
  <c r="BJ4329" i="1"/>
  <c r="BI4329" i="1"/>
  <c r="BH4329" i="1"/>
  <c r="AQ4329" i="1"/>
  <c r="BP4328" i="1"/>
  <c r="BO4328" i="1"/>
  <c r="BN4328" i="1"/>
  <c r="BM4328" i="1"/>
  <c r="BL4328" i="1"/>
  <c r="BK4328" i="1"/>
  <c r="BJ4328" i="1"/>
  <c r="BI4328" i="1"/>
  <c r="BH4328" i="1"/>
  <c r="BP4327" i="1"/>
  <c r="BO4327" i="1"/>
  <c r="BN4327" i="1"/>
  <c r="BM4327" i="1"/>
  <c r="BL4327" i="1"/>
  <c r="BK4327" i="1"/>
  <c r="BJ4327" i="1"/>
  <c r="BI4327" i="1"/>
  <c r="BH4327" i="1"/>
  <c r="BP4326" i="1"/>
  <c r="BO4326" i="1"/>
  <c r="BN4326" i="1"/>
  <c r="BM4326" i="1"/>
  <c r="BL4326" i="1"/>
  <c r="BK4326" i="1"/>
  <c r="BJ4326" i="1"/>
  <c r="BI4326" i="1"/>
  <c r="BH4326" i="1"/>
  <c r="BP4325" i="1"/>
  <c r="BN4325" i="1"/>
  <c r="BM4325" i="1"/>
  <c r="BL4325" i="1"/>
  <c r="BK4325" i="1"/>
  <c r="BJ4325" i="1"/>
  <c r="BI4325" i="1"/>
  <c r="BH4325" i="1"/>
  <c r="BE4325" i="1"/>
  <c r="BO4325" i="1" s="1"/>
  <c r="BP4324" i="1"/>
  <c r="BO4324" i="1"/>
  <c r="BN4324" i="1"/>
  <c r="BM4324" i="1"/>
  <c r="BL4324" i="1"/>
  <c r="BK4324" i="1"/>
  <c r="BJ4324" i="1"/>
  <c r="BI4324" i="1"/>
  <c r="BH4324" i="1"/>
  <c r="BP4323" i="1"/>
  <c r="BO4323" i="1"/>
  <c r="BN4323" i="1"/>
  <c r="BM4323" i="1"/>
  <c r="BL4323" i="1"/>
  <c r="BK4323" i="1"/>
  <c r="BJ4323" i="1"/>
  <c r="BI4323" i="1"/>
  <c r="BH4323" i="1"/>
  <c r="BP4322" i="1"/>
  <c r="BO4322" i="1"/>
  <c r="BN4322" i="1"/>
  <c r="BM4322" i="1"/>
  <c r="BL4322" i="1"/>
  <c r="BK4322" i="1"/>
  <c r="BJ4322" i="1"/>
  <c r="BI4322" i="1"/>
  <c r="BH4322" i="1"/>
  <c r="V4322" i="1"/>
  <c r="BP4321" i="1"/>
  <c r="BO4321" i="1"/>
  <c r="BN4321" i="1"/>
  <c r="BM4321" i="1"/>
  <c r="BL4321" i="1"/>
  <c r="BK4321" i="1"/>
  <c r="BJ4321" i="1"/>
  <c r="BI4321" i="1"/>
  <c r="BH4321" i="1"/>
  <c r="BP4320" i="1"/>
  <c r="BO4320" i="1"/>
  <c r="BN4320" i="1"/>
  <c r="BM4320" i="1"/>
  <c r="BL4320" i="1"/>
  <c r="BK4320" i="1"/>
  <c r="BJ4320" i="1"/>
  <c r="BI4320" i="1"/>
  <c r="BH4320" i="1"/>
  <c r="AS4320" i="1"/>
  <c r="AN4320" i="1"/>
  <c r="BP4319" i="1"/>
  <c r="BO4319" i="1"/>
  <c r="BN4319" i="1"/>
  <c r="BM4319" i="1"/>
  <c r="BL4319" i="1"/>
  <c r="BK4319" i="1"/>
  <c r="BJ4319" i="1"/>
  <c r="BI4319" i="1"/>
  <c r="BH4319" i="1"/>
  <c r="AS4319" i="1"/>
  <c r="BP4318" i="1"/>
  <c r="BO4318" i="1"/>
  <c r="BN4318" i="1"/>
  <c r="BM4318" i="1"/>
  <c r="BL4318" i="1"/>
  <c r="BK4318" i="1"/>
  <c r="BJ4318" i="1"/>
  <c r="BI4318" i="1"/>
  <c r="BH4318" i="1"/>
  <c r="BP4317" i="1"/>
  <c r="BO4317" i="1"/>
  <c r="BN4317" i="1"/>
  <c r="BM4317" i="1"/>
  <c r="BL4317" i="1"/>
  <c r="BK4317" i="1"/>
  <c r="BJ4317" i="1"/>
  <c r="BI4317" i="1"/>
  <c r="BH4317" i="1"/>
  <c r="BP4316" i="1"/>
  <c r="BO4316" i="1"/>
  <c r="BN4316" i="1"/>
  <c r="BM4316" i="1"/>
  <c r="BL4316" i="1"/>
  <c r="BK4316" i="1"/>
  <c r="BJ4316" i="1"/>
  <c r="BI4316" i="1"/>
  <c r="BH4316" i="1"/>
  <c r="BP4315" i="1"/>
  <c r="BO4315" i="1"/>
  <c r="BN4315" i="1"/>
  <c r="BM4315" i="1"/>
  <c r="BL4315" i="1"/>
  <c r="BK4315" i="1"/>
  <c r="BJ4315" i="1"/>
  <c r="BI4315" i="1"/>
  <c r="BH4315" i="1"/>
  <c r="BP4314" i="1"/>
  <c r="BO4314" i="1"/>
  <c r="BN4314" i="1"/>
  <c r="BM4314" i="1"/>
  <c r="BL4314" i="1"/>
  <c r="BK4314" i="1"/>
  <c r="BJ4314" i="1"/>
  <c r="BI4314" i="1"/>
  <c r="BH4314" i="1"/>
  <c r="BP4313" i="1"/>
  <c r="BO4313" i="1"/>
  <c r="BN4313" i="1"/>
  <c r="BM4313" i="1"/>
  <c r="BL4313" i="1"/>
  <c r="BK4313" i="1"/>
  <c r="BJ4313" i="1"/>
  <c r="BI4313" i="1"/>
  <c r="BH4313" i="1"/>
  <c r="BP4312" i="1"/>
  <c r="BO4312" i="1"/>
  <c r="BN4312" i="1"/>
  <c r="BL4312" i="1"/>
  <c r="BK4312" i="1"/>
  <c r="BJ4312" i="1"/>
  <c r="BI4312" i="1"/>
  <c r="BH4312" i="1"/>
  <c r="AJ4312" i="1"/>
  <c r="BM4312" i="1" s="1"/>
  <c r="J4312" i="1"/>
  <c r="BP4311" i="1"/>
  <c r="BO4311" i="1"/>
  <c r="BN4311" i="1"/>
  <c r="BM4311" i="1"/>
  <c r="BK4311" i="1"/>
  <c r="BJ4311" i="1"/>
  <c r="BI4311" i="1"/>
  <c r="BH4311" i="1"/>
  <c r="AA4311" i="1"/>
  <c r="BL4311" i="1" s="1"/>
  <c r="BP4310" i="1"/>
  <c r="BO4310" i="1"/>
  <c r="BN4310" i="1"/>
  <c r="BM4310" i="1"/>
  <c r="BL4310" i="1"/>
  <c r="BK4310" i="1"/>
  <c r="BJ4310" i="1"/>
  <c r="BI4310" i="1"/>
  <c r="BH4310" i="1"/>
  <c r="AR4310" i="1"/>
  <c r="AN4310" i="1"/>
  <c r="BP4309" i="1"/>
  <c r="BO4309" i="1"/>
  <c r="BN4309" i="1"/>
  <c r="BL4309" i="1"/>
  <c r="BK4309" i="1"/>
  <c r="BJ4309" i="1"/>
  <c r="BI4309" i="1"/>
  <c r="BH4309" i="1"/>
  <c r="AR4309" i="1"/>
  <c r="BM4309" i="1" s="1"/>
  <c r="AN4309" i="1"/>
  <c r="BP4308" i="1"/>
  <c r="BO4308" i="1"/>
  <c r="BN4308" i="1"/>
  <c r="BL4308" i="1"/>
  <c r="BK4308" i="1"/>
  <c r="BJ4308" i="1"/>
  <c r="BI4308" i="1"/>
  <c r="BH4308" i="1"/>
  <c r="AR4308" i="1"/>
  <c r="AN4308" i="1"/>
  <c r="BM4308" i="1" s="1"/>
  <c r="BP4307" i="1"/>
  <c r="BO4307" i="1"/>
  <c r="BN4307" i="1"/>
  <c r="BM4307" i="1"/>
  <c r="BL4307" i="1"/>
  <c r="BK4307" i="1"/>
  <c r="BJ4307" i="1"/>
  <c r="BI4307" i="1"/>
  <c r="BH4307" i="1"/>
  <c r="AQ4307" i="1"/>
  <c r="BP4306" i="1"/>
  <c r="BO4306" i="1"/>
  <c r="BN4306" i="1"/>
  <c r="BM4306" i="1"/>
  <c r="BL4306" i="1"/>
  <c r="BK4306" i="1"/>
  <c r="BJ4306" i="1"/>
  <c r="BI4306" i="1"/>
  <c r="BH4306" i="1"/>
  <c r="BP4305" i="1"/>
  <c r="BN4305" i="1"/>
  <c r="BM4305" i="1"/>
  <c r="BL4305" i="1"/>
  <c r="BK4305" i="1"/>
  <c r="BJ4305" i="1"/>
  <c r="BI4305" i="1"/>
  <c r="BH4305" i="1"/>
  <c r="BE4305" i="1"/>
  <c r="BO4305" i="1" s="1"/>
  <c r="BP4304" i="1"/>
  <c r="BO4304" i="1"/>
  <c r="BN4304" i="1"/>
  <c r="BL4304" i="1"/>
  <c r="BK4304" i="1"/>
  <c r="BJ4304" i="1"/>
  <c r="BI4304" i="1"/>
  <c r="BH4304" i="1"/>
  <c r="AQ4304" i="1"/>
  <c r="BM4304" i="1" s="1"/>
  <c r="BP4303" i="1"/>
  <c r="BO4303" i="1"/>
  <c r="BN4303" i="1"/>
  <c r="BM4303" i="1"/>
  <c r="BL4303" i="1"/>
  <c r="BK4303" i="1"/>
  <c r="BJ4303" i="1"/>
  <c r="BI4303" i="1"/>
  <c r="BH4303" i="1"/>
  <c r="BP4302" i="1"/>
  <c r="BO4302" i="1"/>
  <c r="BN4302" i="1"/>
  <c r="BM4302" i="1"/>
  <c r="BL4302" i="1"/>
  <c r="BK4302" i="1"/>
  <c r="BJ4302" i="1"/>
  <c r="BI4302" i="1"/>
  <c r="BH4302" i="1"/>
  <c r="AJ4302" i="1"/>
  <c r="J4302" i="1"/>
  <c r="BP4301" i="1"/>
  <c r="BO4301" i="1"/>
  <c r="BN4301" i="1"/>
  <c r="BM4301" i="1"/>
  <c r="BL4301" i="1"/>
  <c r="BK4301" i="1"/>
  <c r="BJ4301" i="1"/>
  <c r="BI4301" i="1"/>
  <c r="BH4301" i="1"/>
  <c r="BP4300" i="1"/>
  <c r="BO4300" i="1"/>
  <c r="BN4300" i="1"/>
  <c r="BM4300" i="1"/>
  <c r="BL4300" i="1"/>
  <c r="BK4300" i="1"/>
  <c r="BJ4300" i="1"/>
  <c r="BI4300" i="1"/>
  <c r="BH4300" i="1"/>
  <c r="BP4299" i="1"/>
  <c r="BO4299" i="1"/>
  <c r="BN4299" i="1"/>
  <c r="BL4299" i="1"/>
  <c r="BK4299" i="1"/>
  <c r="BJ4299" i="1"/>
  <c r="BI4299" i="1"/>
  <c r="BH4299" i="1"/>
  <c r="AS4299" i="1"/>
  <c r="AN4299" i="1"/>
  <c r="BP4298" i="1"/>
  <c r="BO4298" i="1"/>
  <c r="BN4298" i="1"/>
  <c r="BL4298" i="1"/>
  <c r="BK4298" i="1"/>
  <c r="BJ4298" i="1"/>
  <c r="BI4298" i="1"/>
  <c r="BH4298" i="1"/>
  <c r="AS4298" i="1"/>
  <c r="AN4298" i="1"/>
  <c r="BM4298" i="1" s="1"/>
  <c r="BP4297" i="1"/>
  <c r="BO4297" i="1"/>
  <c r="BN4297" i="1"/>
  <c r="BL4297" i="1"/>
  <c r="BK4297" i="1"/>
  <c r="BJ4297" i="1"/>
  <c r="BI4297" i="1"/>
  <c r="BH4297" i="1"/>
  <c r="AS4297" i="1"/>
  <c r="BM4297" i="1" s="1"/>
  <c r="BP4296" i="1"/>
  <c r="BO4296" i="1"/>
  <c r="BN4296" i="1"/>
  <c r="BM4296" i="1"/>
  <c r="BL4296" i="1"/>
  <c r="BK4296" i="1"/>
  <c r="BJ4296" i="1"/>
  <c r="BI4296" i="1"/>
  <c r="BH4296" i="1"/>
  <c r="BP4295" i="1"/>
  <c r="BO4295" i="1"/>
  <c r="BN4295" i="1"/>
  <c r="BM4295" i="1"/>
  <c r="BL4295" i="1"/>
  <c r="BK4295" i="1"/>
  <c r="BJ4295" i="1"/>
  <c r="BI4295" i="1"/>
  <c r="BH4295" i="1"/>
  <c r="AQ4295" i="1"/>
  <c r="BP4294" i="1"/>
  <c r="BO4294" i="1"/>
  <c r="BN4294" i="1"/>
  <c r="BL4294" i="1"/>
  <c r="BK4294" i="1"/>
  <c r="BJ4294" i="1"/>
  <c r="BI4294" i="1"/>
  <c r="BH4294" i="1"/>
  <c r="AR4294" i="1"/>
  <c r="AN4294" i="1"/>
  <c r="BM4294" i="1" s="1"/>
  <c r="BP4293" i="1"/>
  <c r="BO4293" i="1"/>
  <c r="BN4293" i="1"/>
  <c r="BM4293" i="1"/>
  <c r="BL4293" i="1"/>
  <c r="BK4293" i="1"/>
  <c r="BJ4293" i="1"/>
  <c r="BI4293" i="1"/>
  <c r="BH4293" i="1"/>
  <c r="BP4292" i="1"/>
  <c r="BO4292" i="1"/>
  <c r="BN4292" i="1"/>
  <c r="BK4292" i="1"/>
  <c r="BJ4292" i="1"/>
  <c r="BI4292" i="1"/>
  <c r="BH4292" i="1"/>
  <c r="AQ4292" i="1"/>
  <c r="BM4292" i="1" s="1"/>
  <c r="AA4292" i="1"/>
  <c r="BL4292" i="1" s="1"/>
  <c r="L4292" i="1"/>
  <c r="BP4291" i="1"/>
  <c r="BO4291" i="1"/>
  <c r="BN4291" i="1"/>
  <c r="BM4291" i="1"/>
  <c r="BL4291" i="1"/>
  <c r="BJ4291" i="1"/>
  <c r="BI4291" i="1"/>
  <c r="BH4291" i="1"/>
  <c r="V4291" i="1"/>
  <c r="BK4291" i="1" s="1"/>
  <c r="BP4290" i="1"/>
  <c r="BO4290" i="1"/>
  <c r="BN4290" i="1"/>
  <c r="BL4290" i="1"/>
  <c r="BK4290" i="1"/>
  <c r="BJ4290" i="1"/>
  <c r="BH4290" i="1"/>
  <c r="AR4290" i="1"/>
  <c r="AQ4290" i="1"/>
  <c r="AI4290" i="1"/>
  <c r="P4290" i="1"/>
  <c r="BI4290" i="1" s="1"/>
  <c r="BP4289" i="1"/>
  <c r="BO4289" i="1"/>
  <c r="BN4289" i="1"/>
  <c r="BL4289" i="1"/>
  <c r="BK4289" i="1"/>
  <c r="BJ4289" i="1"/>
  <c r="BI4289" i="1"/>
  <c r="BH4289" i="1"/>
  <c r="AR4289" i="1"/>
  <c r="AN4289" i="1"/>
  <c r="BP4288" i="1"/>
  <c r="BO4288" i="1"/>
  <c r="BN4288" i="1"/>
  <c r="BL4288" i="1"/>
  <c r="BK4288" i="1"/>
  <c r="BJ4288" i="1"/>
  <c r="BI4288" i="1"/>
  <c r="BH4288" i="1"/>
  <c r="AS4288" i="1"/>
  <c r="BM4288" i="1" s="1"/>
  <c r="AN4288" i="1"/>
  <c r="BP4287" i="1"/>
  <c r="BO4287" i="1"/>
  <c r="BN4287" i="1"/>
  <c r="BM4287" i="1"/>
  <c r="BL4287" i="1"/>
  <c r="BK4287" i="1"/>
  <c r="BJ4287" i="1"/>
  <c r="BI4287" i="1"/>
  <c r="BH4287" i="1"/>
  <c r="AR4287" i="1"/>
  <c r="AN4287" i="1"/>
  <c r="BP4286" i="1"/>
  <c r="BO4286" i="1"/>
  <c r="BN4286" i="1"/>
  <c r="BM4286" i="1"/>
  <c r="BL4286" i="1"/>
  <c r="BK4286" i="1"/>
  <c r="BJ4286" i="1"/>
  <c r="BI4286" i="1"/>
  <c r="BH4286" i="1"/>
  <c r="AQ4286" i="1"/>
  <c r="BP4285" i="1"/>
  <c r="BO4285" i="1"/>
  <c r="BN4285" i="1"/>
  <c r="BM4285" i="1"/>
  <c r="BL4285" i="1"/>
  <c r="BK4285" i="1"/>
  <c r="BJ4285" i="1"/>
  <c r="BI4285" i="1"/>
  <c r="BH4285" i="1"/>
  <c r="BE4285" i="1"/>
  <c r="BP4284" i="1"/>
  <c r="BO4284" i="1"/>
  <c r="BN4284" i="1"/>
  <c r="BM4284" i="1"/>
  <c r="BL4284" i="1"/>
  <c r="BK4284" i="1"/>
  <c r="BJ4284" i="1"/>
  <c r="BI4284" i="1"/>
  <c r="BH4284" i="1"/>
  <c r="BP4283" i="1"/>
  <c r="BO4283" i="1"/>
  <c r="BN4283" i="1"/>
  <c r="BM4283" i="1"/>
  <c r="BL4283" i="1"/>
  <c r="BK4283" i="1"/>
  <c r="BJ4283" i="1"/>
  <c r="BI4283" i="1"/>
  <c r="BH4283" i="1"/>
  <c r="BP4282" i="1"/>
  <c r="BO4282" i="1"/>
  <c r="BN4282" i="1"/>
  <c r="BM4282" i="1"/>
  <c r="BL4282" i="1"/>
  <c r="BK4282" i="1"/>
  <c r="BJ4282" i="1"/>
  <c r="BI4282" i="1"/>
  <c r="BH4282" i="1"/>
  <c r="BP4281" i="1"/>
  <c r="BO4281" i="1"/>
  <c r="BN4281" i="1"/>
  <c r="BM4281" i="1"/>
  <c r="BL4281" i="1"/>
  <c r="BK4281" i="1"/>
  <c r="BJ4281" i="1"/>
  <c r="BI4281" i="1"/>
  <c r="BH4281" i="1"/>
  <c r="AS4281" i="1"/>
  <c r="BP4280" i="1"/>
  <c r="BO4280" i="1"/>
  <c r="BN4280" i="1"/>
  <c r="BM4280" i="1"/>
  <c r="BL4280" i="1"/>
  <c r="BK4280" i="1"/>
  <c r="BJ4280" i="1"/>
  <c r="BI4280" i="1"/>
  <c r="BH4280" i="1"/>
  <c r="AS4280" i="1"/>
  <c r="BP4279" i="1"/>
  <c r="BO4279" i="1"/>
  <c r="BN4279" i="1"/>
  <c r="BL4279" i="1"/>
  <c r="BK4279" i="1"/>
  <c r="BJ4279" i="1"/>
  <c r="BI4279" i="1"/>
  <c r="BH4279" i="1"/>
  <c r="AR4279" i="1"/>
  <c r="AN4279" i="1"/>
  <c r="BM4279" i="1" s="1"/>
  <c r="BP4278" i="1"/>
  <c r="BO4278" i="1"/>
  <c r="BN4278" i="1"/>
  <c r="BL4278" i="1"/>
  <c r="BK4278" i="1"/>
  <c r="BJ4278" i="1"/>
  <c r="BI4278" i="1"/>
  <c r="BH4278" i="1"/>
  <c r="AR4278" i="1"/>
  <c r="AN4278" i="1"/>
  <c r="BM4278" i="1" s="1"/>
  <c r="BP4277" i="1"/>
  <c r="BO4277" i="1"/>
  <c r="BN4277" i="1"/>
  <c r="BL4277" i="1"/>
  <c r="BK4277" i="1"/>
  <c r="BJ4277" i="1"/>
  <c r="BI4277" i="1"/>
  <c r="BH4277" i="1"/>
  <c r="AR4277" i="1"/>
  <c r="AN4277" i="1"/>
  <c r="BP4276" i="1"/>
  <c r="BO4276" i="1"/>
  <c r="BN4276" i="1"/>
  <c r="BM4276" i="1"/>
  <c r="BL4276" i="1"/>
  <c r="BK4276" i="1"/>
  <c r="BJ4276" i="1"/>
  <c r="BI4276" i="1"/>
  <c r="BH4276" i="1"/>
  <c r="AQ4276" i="1"/>
  <c r="BP4275" i="1"/>
  <c r="BO4275" i="1"/>
  <c r="BN4275" i="1"/>
  <c r="BM4275" i="1"/>
  <c r="BL4275" i="1"/>
  <c r="BK4275" i="1"/>
  <c r="BJ4275" i="1"/>
  <c r="BI4275" i="1"/>
  <c r="BH4275" i="1"/>
  <c r="BP4274" i="1"/>
  <c r="BO4274" i="1"/>
  <c r="BN4274" i="1"/>
  <c r="BM4274" i="1"/>
  <c r="BL4274" i="1"/>
  <c r="BK4274" i="1"/>
  <c r="BJ4274" i="1"/>
  <c r="BI4274" i="1"/>
  <c r="BH4274" i="1"/>
  <c r="V4274" i="1"/>
  <c r="BP4273" i="1"/>
  <c r="BO4273" i="1"/>
  <c r="BN4273" i="1"/>
  <c r="BM4273" i="1"/>
  <c r="BL4273" i="1"/>
  <c r="BK4273" i="1"/>
  <c r="BJ4273" i="1"/>
  <c r="BI4273" i="1"/>
  <c r="BH4273" i="1"/>
  <c r="BP4272" i="1"/>
  <c r="BO4272" i="1"/>
  <c r="BN4272" i="1"/>
  <c r="BM4272" i="1"/>
  <c r="BL4272" i="1"/>
  <c r="BK4272" i="1"/>
  <c r="BJ4272" i="1"/>
  <c r="BI4272" i="1"/>
  <c r="BH4272" i="1"/>
  <c r="BP4271" i="1"/>
  <c r="BO4271" i="1"/>
  <c r="BN4271" i="1"/>
  <c r="BM4271" i="1"/>
  <c r="BL4271" i="1"/>
  <c r="BK4271" i="1"/>
  <c r="BJ4271" i="1"/>
  <c r="BI4271" i="1"/>
  <c r="BH4271" i="1"/>
  <c r="BP4270" i="1"/>
  <c r="BO4270" i="1"/>
  <c r="BN4270" i="1"/>
  <c r="BM4270" i="1"/>
  <c r="BL4270" i="1"/>
  <c r="BK4270" i="1"/>
  <c r="BJ4270" i="1"/>
  <c r="BI4270" i="1"/>
  <c r="BH4270" i="1"/>
  <c r="BP4269" i="1"/>
  <c r="BO4269" i="1"/>
  <c r="BN4269" i="1"/>
  <c r="BM4269" i="1"/>
  <c r="BL4269" i="1"/>
  <c r="BK4269" i="1"/>
  <c r="BJ4269" i="1"/>
  <c r="BI4269" i="1"/>
  <c r="BH4269" i="1"/>
  <c r="AP4269" i="1"/>
  <c r="BP4268" i="1"/>
  <c r="BO4268" i="1"/>
  <c r="BN4268" i="1"/>
  <c r="BM4268" i="1"/>
  <c r="BL4268" i="1"/>
  <c r="BK4268" i="1"/>
  <c r="BJ4268" i="1"/>
  <c r="BI4268" i="1"/>
  <c r="BH4268" i="1"/>
  <c r="BP4267" i="1"/>
  <c r="BO4267" i="1"/>
  <c r="BN4267" i="1"/>
  <c r="BM4267" i="1"/>
  <c r="BL4267" i="1"/>
  <c r="BK4267" i="1"/>
  <c r="BJ4267" i="1"/>
  <c r="BI4267" i="1"/>
  <c r="BH4267" i="1"/>
  <c r="BP4266" i="1"/>
  <c r="BO4266" i="1"/>
  <c r="BN4266" i="1"/>
  <c r="BM4266" i="1"/>
  <c r="BL4266" i="1"/>
  <c r="BK4266" i="1"/>
  <c r="BJ4266" i="1"/>
  <c r="BI4266" i="1"/>
  <c r="BH4266" i="1"/>
  <c r="AQ4266" i="1"/>
  <c r="BP4265" i="1"/>
  <c r="BO4265" i="1"/>
  <c r="BN4265" i="1"/>
  <c r="BM4265" i="1"/>
  <c r="BL4265" i="1"/>
  <c r="BK4265" i="1"/>
  <c r="BJ4265" i="1"/>
  <c r="BI4265" i="1"/>
  <c r="BH4265" i="1"/>
  <c r="AR4265" i="1"/>
  <c r="AN4265" i="1"/>
  <c r="AI4265" i="1"/>
  <c r="BP4264" i="1"/>
  <c r="BO4264" i="1"/>
  <c r="BN4264" i="1"/>
  <c r="BM4264" i="1"/>
  <c r="BL4264" i="1"/>
  <c r="BK4264" i="1"/>
  <c r="BJ4264" i="1"/>
  <c r="BI4264" i="1"/>
  <c r="BH4264" i="1"/>
  <c r="AR4264" i="1"/>
  <c r="AN4264" i="1"/>
  <c r="BP4263" i="1"/>
  <c r="BO4263" i="1"/>
  <c r="BN4263" i="1"/>
  <c r="BM4263" i="1"/>
  <c r="BL4263" i="1"/>
  <c r="BK4263" i="1"/>
  <c r="BJ4263" i="1"/>
  <c r="BI4263" i="1"/>
  <c r="BH4263" i="1"/>
  <c r="BP4262" i="1"/>
  <c r="BO4262" i="1"/>
  <c r="BN4262" i="1"/>
  <c r="BM4262" i="1"/>
  <c r="BL4262" i="1"/>
  <c r="BK4262" i="1"/>
  <c r="BJ4262" i="1"/>
  <c r="BI4262" i="1"/>
  <c r="BH4262" i="1"/>
  <c r="BP4261" i="1"/>
  <c r="BO4261" i="1"/>
  <c r="BN4261" i="1"/>
  <c r="BM4261" i="1"/>
  <c r="BL4261" i="1"/>
  <c r="BJ4261" i="1"/>
  <c r="BI4261" i="1"/>
  <c r="BH4261" i="1"/>
  <c r="X4261" i="1"/>
  <c r="BK4261" i="1" s="1"/>
  <c r="BP4260" i="1"/>
  <c r="BO4260" i="1"/>
  <c r="BN4260" i="1"/>
  <c r="BM4260" i="1"/>
  <c r="BL4260" i="1"/>
  <c r="BK4260" i="1"/>
  <c r="BJ4260" i="1"/>
  <c r="BI4260" i="1"/>
  <c r="BH4260" i="1"/>
  <c r="AS4260" i="1"/>
  <c r="BP4259" i="1"/>
  <c r="BO4259" i="1"/>
  <c r="BN4259" i="1"/>
  <c r="BM4259" i="1"/>
  <c r="BL4259" i="1"/>
  <c r="BK4259" i="1"/>
  <c r="BJ4259" i="1"/>
  <c r="BI4259" i="1"/>
  <c r="BH4259" i="1"/>
  <c r="AS4259" i="1"/>
  <c r="AN4259" i="1"/>
  <c r="BP4258" i="1"/>
  <c r="BO4258" i="1"/>
  <c r="BN4258" i="1"/>
  <c r="BM4258" i="1"/>
  <c r="BL4258" i="1"/>
  <c r="BK4258" i="1"/>
  <c r="BJ4258" i="1"/>
  <c r="BI4258" i="1"/>
  <c r="BH4258" i="1"/>
  <c r="AR4258" i="1"/>
  <c r="AN4258" i="1"/>
  <c r="BP4257" i="1"/>
  <c r="BO4257" i="1"/>
  <c r="BN4257" i="1"/>
  <c r="BM4257" i="1"/>
  <c r="BL4257" i="1"/>
  <c r="BK4257" i="1"/>
  <c r="BJ4257" i="1"/>
  <c r="BI4257" i="1"/>
  <c r="BH4257" i="1"/>
  <c r="BP4256" i="1"/>
  <c r="BO4256" i="1"/>
  <c r="BN4256" i="1"/>
  <c r="BM4256" i="1"/>
  <c r="BL4256" i="1"/>
  <c r="BK4256" i="1"/>
  <c r="BJ4256" i="1"/>
  <c r="BI4256" i="1"/>
  <c r="BH4256" i="1"/>
  <c r="BP4255" i="1"/>
  <c r="BN4255" i="1"/>
  <c r="BM4255" i="1"/>
  <c r="BL4255" i="1"/>
  <c r="BK4255" i="1"/>
  <c r="BJ4255" i="1"/>
  <c r="BI4255" i="1"/>
  <c r="BH4255" i="1"/>
  <c r="BE4255" i="1"/>
  <c r="BO4255" i="1" s="1"/>
  <c r="BP4254" i="1"/>
  <c r="BO4254" i="1"/>
  <c r="BN4254" i="1"/>
  <c r="BM4254" i="1"/>
  <c r="BL4254" i="1"/>
  <c r="BK4254" i="1"/>
  <c r="BJ4254" i="1"/>
  <c r="BI4254" i="1"/>
  <c r="BH4254" i="1"/>
  <c r="AQ4254" i="1"/>
  <c r="BP4253" i="1"/>
  <c r="BO4253" i="1"/>
  <c r="BN4253" i="1"/>
  <c r="BM4253" i="1"/>
  <c r="BL4253" i="1"/>
  <c r="BK4253" i="1"/>
  <c r="BJ4253" i="1"/>
  <c r="BI4253" i="1"/>
  <c r="BH4253" i="1"/>
  <c r="AB4253" i="1"/>
  <c r="BP4252" i="1"/>
  <c r="BO4252" i="1"/>
  <c r="BN4252" i="1"/>
  <c r="BM4252" i="1"/>
  <c r="BL4252" i="1"/>
  <c r="BK4252" i="1"/>
  <c r="BJ4252" i="1"/>
  <c r="BI4252" i="1"/>
  <c r="BH4252" i="1"/>
  <c r="AA4252" i="1"/>
  <c r="BP4251" i="1"/>
  <c r="BO4251" i="1"/>
  <c r="BN4251" i="1"/>
  <c r="BL4251" i="1"/>
  <c r="BK4251" i="1"/>
  <c r="BJ4251" i="1"/>
  <c r="BI4251" i="1"/>
  <c r="BH4251" i="1"/>
  <c r="AR4251" i="1"/>
  <c r="AN4251" i="1"/>
  <c r="BP4250" i="1"/>
  <c r="BO4250" i="1"/>
  <c r="BN4250" i="1"/>
  <c r="BM4250" i="1"/>
  <c r="BL4250" i="1"/>
  <c r="BK4250" i="1"/>
  <c r="BJ4250" i="1"/>
  <c r="BI4250" i="1"/>
  <c r="BH4250" i="1"/>
  <c r="BP4249" i="1"/>
  <c r="BO4249" i="1"/>
  <c r="BN4249" i="1"/>
  <c r="BM4249" i="1"/>
  <c r="BL4249" i="1"/>
  <c r="BK4249" i="1"/>
  <c r="BJ4249" i="1"/>
  <c r="BI4249" i="1"/>
  <c r="BH4249" i="1"/>
  <c r="BP4248" i="1"/>
  <c r="BO4248" i="1"/>
  <c r="BN4248" i="1"/>
  <c r="BM4248" i="1"/>
  <c r="BL4248" i="1"/>
  <c r="BK4248" i="1"/>
  <c r="BJ4248" i="1"/>
  <c r="BI4248" i="1"/>
  <c r="BH4248" i="1"/>
  <c r="V4248" i="1"/>
  <c r="BP4247" i="1"/>
  <c r="BO4247" i="1"/>
  <c r="BN4247" i="1"/>
  <c r="BM4247" i="1"/>
  <c r="BL4247" i="1"/>
  <c r="BK4247" i="1"/>
  <c r="BJ4247" i="1"/>
  <c r="BI4247" i="1"/>
  <c r="BH4247" i="1"/>
  <c r="BP4246" i="1"/>
  <c r="BM4246" i="1"/>
  <c r="BL4246" i="1"/>
  <c r="BK4246" i="1"/>
  <c r="BJ4246" i="1"/>
  <c r="BI4246" i="1"/>
  <c r="BH4246" i="1"/>
  <c r="BG4246" i="1"/>
  <c r="BC4246" i="1"/>
  <c r="BO4246" i="1" s="1"/>
  <c r="AU4246" i="1"/>
  <c r="AT4246" i="1"/>
  <c r="U4246" i="1"/>
  <c r="S4246" i="1"/>
  <c r="M4246" i="1"/>
  <c r="D4246" i="1"/>
  <c r="BP4245" i="1"/>
  <c r="BO4245" i="1"/>
  <c r="BN4245" i="1"/>
  <c r="BL4245" i="1"/>
  <c r="BK4245" i="1"/>
  <c r="BJ4245" i="1"/>
  <c r="BI4245" i="1"/>
  <c r="BH4245" i="1"/>
  <c r="AS4245" i="1"/>
  <c r="AN4245" i="1"/>
  <c r="BM4245" i="1" s="1"/>
  <c r="BP4244" i="1"/>
  <c r="BO4244" i="1"/>
  <c r="BN4244" i="1"/>
  <c r="BM4244" i="1"/>
  <c r="BL4244" i="1"/>
  <c r="BK4244" i="1"/>
  <c r="BJ4244" i="1"/>
  <c r="BI4244" i="1"/>
  <c r="BH4244" i="1"/>
  <c r="AS4244" i="1"/>
  <c r="AN4244" i="1"/>
  <c r="BP4243" i="1"/>
  <c r="BO4243" i="1"/>
  <c r="BN4243" i="1"/>
  <c r="BM4243" i="1"/>
  <c r="BL4243" i="1"/>
  <c r="BK4243" i="1"/>
  <c r="BJ4243" i="1"/>
  <c r="BI4243" i="1"/>
  <c r="BH4243" i="1"/>
  <c r="BP4242" i="1"/>
  <c r="BO4242" i="1"/>
  <c r="BN4242" i="1"/>
  <c r="BM4242" i="1"/>
  <c r="BL4242" i="1"/>
  <c r="BK4242" i="1"/>
  <c r="BJ4242" i="1"/>
  <c r="BI4242" i="1"/>
  <c r="BH4242" i="1"/>
  <c r="AQ4242" i="1"/>
  <c r="BP4241" i="1"/>
  <c r="BO4241" i="1"/>
  <c r="BN4241" i="1"/>
  <c r="BM4241" i="1"/>
  <c r="BL4241" i="1"/>
  <c r="BK4241" i="1"/>
  <c r="BJ4241" i="1"/>
  <c r="BI4241" i="1"/>
  <c r="BH4241" i="1"/>
  <c r="BP4240" i="1"/>
  <c r="BO4240" i="1"/>
  <c r="BN4240" i="1"/>
  <c r="BM4240" i="1"/>
  <c r="BL4240" i="1"/>
  <c r="BK4240" i="1"/>
  <c r="BJ4240" i="1"/>
  <c r="BI4240" i="1"/>
  <c r="BH4240" i="1"/>
  <c r="BP4239" i="1"/>
  <c r="BO4239" i="1"/>
  <c r="BN4239" i="1"/>
  <c r="BM4239" i="1"/>
  <c r="BL4239" i="1"/>
  <c r="BK4239" i="1"/>
  <c r="BJ4239" i="1"/>
  <c r="BI4239" i="1"/>
  <c r="BH4239" i="1"/>
  <c r="AR4239" i="1"/>
  <c r="AN4239" i="1"/>
  <c r="BP4238" i="1"/>
  <c r="BO4238" i="1"/>
  <c r="BN4238" i="1"/>
  <c r="BM4238" i="1"/>
  <c r="BL4238" i="1"/>
  <c r="BK4238" i="1"/>
  <c r="BJ4238" i="1"/>
  <c r="BI4238" i="1"/>
  <c r="BH4238" i="1"/>
  <c r="AR4238" i="1"/>
  <c r="AN4238" i="1"/>
  <c r="BP4237" i="1"/>
  <c r="BO4237" i="1"/>
  <c r="BN4237" i="1"/>
  <c r="BL4237" i="1"/>
  <c r="BK4237" i="1"/>
  <c r="BJ4237" i="1"/>
  <c r="BI4237" i="1"/>
  <c r="BH4237" i="1"/>
  <c r="AS4237" i="1"/>
  <c r="BM4237" i="1" s="1"/>
  <c r="AN4237" i="1"/>
  <c r="BP4236" i="1"/>
  <c r="BO4236" i="1"/>
  <c r="BN4236" i="1"/>
  <c r="BL4236" i="1"/>
  <c r="BK4236" i="1"/>
  <c r="BJ4236" i="1"/>
  <c r="BI4236" i="1"/>
  <c r="BH4236" i="1"/>
  <c r="AS4236" i="1"/>
  <c r="BM4236" i="1" s="1"/>
  <c r="BP4235" i="1"/>
  <c r="BO4235" i="1"/>
  <c r="BN4235" i="1"/>
  <c r="BL4235" i="1"/>
  <c r="BK4235" i="1"/>
  <c r="BJ4235" i="1"/>
  <c r="BI4235" i="1"/>
  <c r="BH4235" i="1"/>
  <c r="AS4235" i="1"/>
  <c r="BM4235" i="1" s="1"/>
  <c r="BP4234" i="1"/>
  <c r="BO4234" i="1"/>
  <c r="BN4234" i="1"/>
  <c r="BL4234" i="1"/>
  <c r="BK4234" i="1"/>
  <c r="BJ4234" i="1"/>
  <c r="BI4234" i="1"/>
  <c r="BH4234" i="1"/>
  <c r="AB4234" i="1"/>
  <c r="BM4234" i="1" s="1"/>
  <c r="BP4233" i="1"/>
  <c r="BO4233" i="1"/>
  <c r="BN4233" i="1"/>
  <c r="BM4233" i="1"/>
  <c r="BL4233" i="1"/>
  <c r="BK4233" i="1"/>
  <c r="BJ4233" i="1"/>
  <c r="BI4233" i="1"/>
  <c r="BH4233" i="1"/>
  <c r="AB4233" i="1"/>
  <c r="BP4232" i="1"/>
  <c r="BO4232" i="1"/>
  <c r="BN4232" i="1"/>
  <c r="BM4232" i="1"/>
  <c r="BL4232" i="1"/>
  <c r="BK4232" i="1"/>
  <c r="BJ4232" i="1"/>
  <c r="BI4232" i="1"/>
  <c r="BH4232" i="1"/>
  <c r="BP4231" i="1"/>
  <c r="BO4231" i="1"/>
  <c r="BN4231" i="1"/>
  <c r="BM4231" i="1"/>
  <c r="BL4231" i="1"/>
  <c r="BK4231" i="1"/>
  <c r="BJ4231" i="1"/>
  <c r="BI4231" i="1"/>
  <c r="BH4231" i="1"/>
  <c r="BP4230" i="1"/>
  <c r="BO4230" i="1"/>
  <c r="BN4230" i="1"/>
  <c r="BL4230" i="1"/>
  <c r="BK4230" i="1"/>
  <c r="BJ4230" i="1"/>
  <c r="BI4230" i="1"/>
  <c r="BH4230" i="1"/>
  <c r="AR4230" i="1"/>
  <c r="AN4230" i="1"/>
  <c r="BM4230" i="1" s="1"/>
  <c r="BP4229" i="1"/>
  <c r="BO4229" i="1"/>
  <c r="BN4229" i="1"/>
  <c r="BL4229" i="1"/>
  <c r="BK4229" i="1"/>
  <c r="BJ4229" i="1"/>
  <c r="BI4229" i="1"/>
  <c r="BH4229" i="1"/>
  <c r="AQ4229" i="1"/>
  <c r="BM4229" i="1" s="1"/>
  <c r="BP4228" i="1"/>
  <c r="BO4228" i="1"/>
  <c r="BN4228" i="1"/>
  <c r="BM4228" i="1"/>
  <c r="BL4228" i="1"/>
  <c r="BJ4228" i="1"/>
  <c r="BI4228" i="1"/>
  <c r="BH4228" i="1"/>
  <c r="X4228" i="1"/>
  <c r="BK4228" i="1" s="1"/>
  <c r="BP4227" i="1"/>
  <c r="BO4227" i="1"/>
  <c r="BN4227" i="1"/>
  <c r="BM4227" i="1"/>
  <c r="BL4227" i="1"/>
  <c r="BK4227" i="1"/>
  <c r="BJ4227" i="1"/>
  <c r="BI4227" i="1"/>
  <c r="BH4227" i="1"/>
  <c r="BP4226" i="1"/>
  <c r="BO4226" i="1"/>
  <c r="BN4226" i="1"/>
  <c r="BM4226" i="1"/>
  <c r="BL4226" i="1"/>
  <c r="BK4226" i="1"/>
  <c r="BJ4226" i="1"/>
  <c r="BI4226" i="1"/>
  <c r="BH4226" i="1"/>
  <c r="BP4225" i="1"/>
  <c r="BO4225" i="1"/>
  <c r="BN4225" i="1"/>
  <c r="BM4225" i="1"/>
  <c r="BL4225" i="1"/>
  <c r="BK4225" i="1"/>
  <c r="BJ4225" i="1"/>
  <c r="BI4225" i="1"/>
  <c r="BH4225" i="1"/>
  <c r="BP4224" i="1"/>
  <c r="BO4224" i="1"/>
  <c r="BN4224" i="1"/>
  <c r="BM4224" i="1"/>
  <c r="BL4224" i="1"/>
  <c r="BK4224" i="1"/>
  <c r="BJ4224" i="1"/>
  <c r="BI4224" i="1"/>
  <c r="BH4224" i="1"/>
  <c r="BP4223" i="1"/>
  <c r="BO4223" i="1"/>
  <c r="BN4223" i="1"/>
  <c r="BM4223" i="1"/>
  <c r="BL4223" i="1"/>
  <c r="BK4223" i="1"/>
  <c r="BJ4223" i="1"/>
  <c r="BI4223" i="1"/>
  <c r="BH4223" i="1"/>
  <c r="BP4222" i="1"/>
  <c r="BO4222" i="1"/>
  <c r="BN4222" i="1"/>
  <c r="BM4222" i="1"/>
  <c r="BL4222" i="1"/>
  <c r="BK4222" i="1"/>
  <c r="BJ4222" i="1"/>
  <c r="BI4222" i="1"/>
  <c r="BH4222" i="1"/>
  <c r="BP4221" i="1"/>
  <c r="BO4221" i="1"/>
  <c r="BN4221" i="1"/>
  <c r="BM4221" i="1"/>
  <c r="BL4221" i="1"/>
  <c r="BK4221" i="1"/>
  <c r="BJ4221" i="1"/>
  <c r="BI4221" i="1"/>
  <c r="BH4221" i="1"/>
  <c r="BP4220" i="1"/>
  <c r="BO4220" i="1"/>
  <c r="BN4220" i="1"/>
  <c r="BM4220" i="1"/>
  <c r="BL4220" i="1"/>
  <c r="BK4220" i="1"/>
  <c r="BJ4220" i="1"/>
  <c r="BI4220" i="1"/>
  <c r="BH4220" i="1"/>
  <c r="BP4219" i="1"/>
  <c r="BL4219" i="1"/>
  <c r="BG4219" i="1"/>
  <c r="AX4219" i="1"/>
  <c r="BO4219" i="1" s="1"/>
  <c r="AT4219" i="1"/>
  <c r="BN4219" i="1" s="1"/>
  <c r="AC4219" i="1"/>
  <c r="BM4219" i="1" s="1"/>
  <c r="U4219" i="1"/>
  <c r="BK4219" i="1" s="1"/>
  <c r="S4219" i="1"/>
  <c r="BJ4219" i="1" s="1"/>
  <c r="M4219" i="1"/>
  <c r="BI4219" i="1" s="1"/>
  <c r="C4219" i="1"/>
  <c r="BH4219" i="1" s="1"/>
  <c r="BP4218" i="1"/>
  <c r="BN4218" i="1"/>
  <c r="BM4218" i="1"/>
  <c r="BL4218" i="1"/>
  <c r="BK4218" i="1"/>
  <c r="BJ4218" i="1"/>
  <c r="BI4218" i="1"/>
  <c r="BH4218" i="1"/>
  <c r="BE4218" i="1"/>
  <c r="BO4218" i="1" s="1"/>
  <c r="BP4217" i="1"/>
  <c r="BO4217" i="1"/>
  <c r="BN4217" i="1"/>
  <c r="BM4217" i="1"/>
  <c r="BL4217" i="1"/>
  <c r="BK4217" i="1"/>
  <c r="BJ4217" i="1"/>
  <c r="BI4217" i="1"/>
  <c r="BH4217" i="1"/>
  <c r="BP4216" i="1"/>
  <c r="BO4216" i="1"/>
  <c r="BN4216" i="1"/>
  <c r="BM4216" i="1"/>
  <c r="BL4216" i="1"/>
  <c r="BK4216" i="1"/>
  <c r="BJ4216" i="1"/>
  <c r="BI4216" i="1"/>
  <c r="BH4216" i="1"/>
  <c r="BP4215" i="1"/>
  <c r="BO4215" i="1"/>
  <c r="BN4215" i="1"/>
  <c r="BM4215" i="1"/>
  <c r="BL4215" i="1"/>
  <c r="BK4215" i="1"/>
  <c r="BJ4215" i="1"/>
  <c r="BI4215" i="1"/>
  <c r="BH4215" i="1"/>
  <c r="BP4214" i="1"/>
  <c r="BO4214" i="1"/>
  <c r="BN4214" i="1"/>
  <c r="BM4214" i="1"/>
  <c r="BL4214" i="1"/>
  <c r="BJ4214" i="1"/>
  <c r="BI4214" i="1"/>
  <c r="BH4214" i="1"/>
  <c r="V4214" i="1"/>
  <c r="BK4214" i="1" s="1"/>
  <c r="BP4213" i="1"/>
  <c r="BO4213" i="1"/>
  <c r="BN4213" i="1"/>
  <c r="BM4213" i="1"/>
  <c r="BL4213" i="1"/>
  <c r="BK4213" i="1"/>
  <c r="BJ4213" i="1"/>
  <c r="BI4213" i="1"/>
  <c r="BH4213" i="1"/>
  <c r="BP4212" i="1"/>
  <c r="BO4212" i="1"/>
  <c r="BN4212" i="1"/>
  <c r="BM4212" i="1"/>
  <c r="BL4212" i="1"/>
  <c r="BK4212" i="1"/>
  <c r="BJ4212" i="1"/>
  <c r="BI4212" i="1"/>
  <c r="BH4212" i="1"/>
  <c r="AA4212" i="1"/>
  <c r="BP4211" i="1"/>
  <c r="BO4211" i="1"/>
  <c r="BN4211" i="1"/>
  <c r="BM4211" i="1"/>
  <c r="BL4211" i="1"/>
  <c r="BK4211" i="1"/>
  <c r="BJ4211" i="1"/>
  <c r="BI4211" i="1"/>
  <c r="BH4211" i="1"/>
  <c r="AS4211" i="1"/>
  <c r="AN4211" i="1"/>
  <c r="BP4210" i="1"/>
  <c r="BO4210" i="1"/>
  <c r="BN4210" i="1"/>
  <c r="BM4210" i="1"/>
  <c r="BL4210" i="1"/>
  <c r="BK4210" i="1"/>
  <c r="BJ4210" i="1"/>
  <c r="BI4210" i="1"/>
  <c r="BH4210" i="1"/>
  <c r="AS4210" i="1"/>
  <c r="AN4210" i="1"/>
  <c r="BP4209" i="1"/>
  <c r="BO4209" i="1"/>
  <c r="BN4209" i="1"/>
  <c r="BM4209" i="1"/>
  <c r="BL4209" i="1"/>
  <c r="BK4209" i="1"/>
  <c r="BJ4209" i="1"/>
  <c r="BI4209" i="1"/>
  <c r="BH4209" i="1"/>
  <c r="AN4209" i="1"/>
  <c r="BP4208" i="1"/>
  <c r="BO4208" i="1"/>
  <c r="BN4208" i="1"/>
  <c r="BM4208" i="1"/>
  <c r="BL4208" i="1"/>
  <c r="BK4208" i="1"/>
  <c r="BJ4208" i="1"/>
  <c r="BI4208" i="1"/>
  <c r="BH4208" i="1"/>
  <c r="BP4207" i="1"/>
  <c r="BO4207" i="1"/>
  <c r="BN4207" i="1"/>
  <c r="BM4207" i="1"/>
  <c r="BL4207" i="1"/>
  <c r="BK4207" i="1"/>
  <c r="BJ4207" i="1"/>
  <c r="BI4207" i="1"/>
  <c r="BH4207" i="1"/>
  <c r="BP4206" i="1"/>
  <c r="BO4206" i="1"/>
  <c r="BN4206" i="1"/>
  <c r="BM4206" i="1"/>
  <c r="BL4206" i="1"/>
  <c r="BK4206" i="1"/>
  <c r="BJ4206" i="1"/>
  <c r="BI4206" i="1"/>
  <c r="BH4206" i="1"/>
  <c r="BP4205" i="1"/>
  <c r="BO4205" i="1"/>
  <c r="BN4205" i="1"/>
  <c r="BM4205" i="1"/>
  <c r="BL4205" i="1"/>
  <c r="BK4205" i="1"/>
  <c r="BJ4205" i="1"/>
  <c r="BI4205" i="1"/>
  <c r="BH4205" i="1"/>
  <c r="AR4205" i="1"/>
  <c r="AQ4205" i="1"/>
  <c r="P4205" i="1"/>
  <c r="BP4204" i="1"/>
  <c r="BO4204" i="1"/>
  <c r="BN4204" i="1"/>
  <c r="BM4204" i="1"/>
  <c r="BL4204" i="1"/>
  <c r="BK4204" i="1"/>
  <c r="BJ4204" i="1"/>
  <c r="BI4204" i="1"/>
  <c r="BH4204" i="1"/>
  <c r="AR4204" i="1"/>
  <c r="AN4204" i="1"/>
  <c r="BP4203" i="1"/>
  <c r="BO4203" i="1"/>
  <c r="BN4203" i="1"/>
  <c r="BM4203" i="1"/>
  <c r="BL4203" i="1"/>
  <c r="BK4203" i="1"/>
  <c r="BJ4203" i="1"/>
  <c r="BI4203" i="1"/>
  <c r="BH4203" i="1"/>
  <c r="AQ4203" i="1"/>
  <c r="BP4202" i="1"/>
  <c r="BO4202" i="1"/>
  <c r="BN4202" i="1"/>
  <c r="BM4202" i="1"/>
  <c r="BL4202" i="1"/>
  <c r="BK4202" i="1"/>
  <c r="BJ4202" i="1"/>
  <c r="BI4202" i="1"/>
  <c r="BH4202" i="1"/>
  <c r="BP4201" i="1"/>
  <c r="BO4201" i="1"/>
  <c r="BN4201" i="1"/>
  <c r="BM4201" i="1"/>
  <c r="BL4201" i="1"/>
  <c r="BK4201" i="1"/>
  <c r="BJ4201" i="1"/>
  <c r="BI4201" i="1"/>
  <c r="BH4201" i="1"/>
  <c r="BP4200" i="1"/>
  <c r="BO4200" i="1"/>
  <c r="BN4200" i="1"/>
  <c r="BM4200" i="1"/>
  <c r="BL4200" i="1"/>
  <c r="BK4200" i="1"/>
  <c r="BJ4200" i="1"/>
  <c r="BI4200" i="1"/>
  <c r="BH4200" i="1"/>
  <c r="BP4199" i="1"/>
  <c r="BO4199" i="1"/>
  <c r="BN4199" i="1"/>
  <c r="BM4199" i="1"/>
  <c r="BL4199" i="1"/>
  <c r="BK4199" i="1"/>
  <c r="BJ4199" i="1"/>
  <c r="BI4199" i="1"/>
  <c r="BH4199" i="1"/>
  <c r="AQ4199" i="1"/>
  <c r="BP4198" i="1"/>
  <c r="BO4198" i="1"/>
  <c r="BN4198" i="1"/>
  <c r="BM4198" i="1"/>
  <c r="BL4198" i="1"/>
  <c r="BK4198" i="1"/>
  <c r="BJ4198" i="1"/>
  <c r="BI4198" i="1"/>
  <c r="BH4198" i="1"/>
  <c r="BP4197" i="1"/>
  <c r="BO4197" i="1"/>
  <c r="BN4197" i="1"/>
  <c r="BM4197" i="1"/>
  <c r="BL4197" i="1"/>
  <c r="BK4197" i="1"/>
  <c r="BJ4197" i="1"/>
  <c r="BI4197" i="1"/>
  <c r="BH4197" i="1"/>
  <c r="BP4196" i="1"/>
  <c r="BO4196" i="1"/>
  <c r="BN4196" i="1"/>
  <c r="BM4196" i="1"/>
  <c r="BL4196" i="1"/>
  <c r="BK4196" i="1"/>
  <c r="BJ4196" i="1"/>
  <c r="BI4196" i="1"/>
  <c r="BH4196" i="1"/>
  <c r="BP4195" i="1"/>
  <c r="BO4195" i="1"/>
  <c r="BN4195" i="1"/>
  <c r="BM4195" i="1"/>
  <c r="BL4195" i="1"/>
  <c r="BK4195" i="1"/>
  <c r="BJ4195" i="1"/>
  <c r="BI4195" i="1"/>
  <c r="BH4195" i="1"/>
  <c r="BP4194" i="1"/>
  <c r="BO4194" i="1"/>
  <c r="BN4194" i="1"/>
  <c r="BL4194" i="1"/>
  <c r="BK4194" i="1"/>
  <c r="BJ4194" i="1"/>
  <c r="BI4194" i="1"/>
  <c r="BH4194" i="1"/>
  <c r="AR4194" i="1"/>
  <c r="BM4194" i="1" s="1"/>
  <c r="AN4194" i="1"/>
  <c r="BP4193" i="1"/>
  <c r="BO4193" i="1"/>
  <c r="BN4193" i="1"/>
  <c r="BM4193" i="1"/>
  <c r="BK4193" i="1"/>
  <c r="BJ4193" i="1"/>
  <c r="BI4193" i="1"/>
  <c r="BH4193" i="1"/>
  <c r="AA4193" i="1"/>
  <c r="BL4193" i="1" s="1"/>
  <c r="BP4192" i="1"/>
  <c r="BO4192" i="1"/>
  <c r="BN4192" i="1"/>
  <c r="BL4192" i="1"/>
  <c r="BK4192" i="1"/>
  <c r="BJ4192" i="1"/>
  <c r="BI4192" i="1"/>
  <c r="BH4192" i="1"/>
  <c r="AB4192" i="1"/>
  <c r="BM4192" i="1" s="1"/>
  <c r="BP4191" i="1"/>
  <c r="BO4191" i="1"/>
  <c r="BN4191" i="1"/>
  <c r="BM4191" i="1"/>
  <c r="BL4191" i="1"/>
  <c r="BK4191" i="1"/>
  <c r="BJ4191" i="1"/>
  <c r="BI4191" i="1"/>
  <c r="BH4191" i="1"/>
  <c r="BP4190" i="1"/>
  <c r="BO4190" i="1"/>
  <c r="BN4190" i="1"/>
  <c r="BM4190" i="1"/>
  <c r="BL4190" i="1"/>
  <c r="BK4190" i="1"/>
  <c r="BJ4190" i="1"/>
  <c r="BI4190" i="1"/>
  <c r="BH4190" i="1"/>
  <c r="BP4189" i="1"/>
  <c r="BO4189" i="1"/>
  <c r="BN4189" i="1"/>
  <c r="BM4189" i="1"/>
  <c r="BL4189" i="1"/>
  <c r="BK4189" i="1"/>
  <c r="BJ4189" i="1"/>
  <c r="BI4189" i="1"/>
  <c r="BH4189" i="1"/>
  <c r="BP4188" i="1"/>
  <c r="BO4188" i="1"/>
  <c r="BN4188" i="1"/>
  <c r="BM4188" i="1"/>
  <c r="BL4188" i="1"/>
  <c r="BK4188" i="1"/>
  <c r="BJ4188" i="1"/>
  <c r="BI4188" i="1"/>
  <c r="BH4188" i="1"/>
  <c r="BP4187" i="1"/>
  <c r="BO4187" i="1"/>
  <c r="BN4187" i="1"/>
  <c r="BM4187" i="1"/>
  <c r="BL4187" i="1"/>
  <c r="BJ4187" i="1"/>
  <c r="BI4187" i="1"/>
  <c r="BH4187" i="1"/>
  <c r="V4187" i="1"/>
  <c r="BK4187" i="1" s="1"/>
  <c r="BP4186" i="1"/>
  <c r="BO4186" i="1"/>
  <c r="BN4186" i="1"/>
  <c r="BM4186" i="1"/>
  <c r="BL4186" i="1"/>
  <c r="BK4186" i="1"/>
  <c r="BJ4186" i="1"/>
  <c r="BI4186" i="1"/>
  <c r="BH4186" i="1"/>
  <c r="AS4186" i="1"/>
  <c r="AN4186" i="1"/>
  <c r="BP4185" i="1"/>
  <c r="BO4185" i="1"/>
  <c r="BN4185" i="1"/>
  <c r="BM4185" i="1"/>
  <c r="BL4185" i="1"/>
  <c r="BK4185" i="1"/>
  <c r="BJ4185" i="1"/>
  <c r="BI4185" i="1"/>
  <c r="BH4185" i="1"/>
  <c r="AS4185" i="1"/>
  <c r="AN4185" i="1"/>
  <c r="BP4184" i="1"/>
  <c r="BO4184" i="1"/>
  <c r="BN4184" i="1"/>
  <c r="BM4184" i="1"/>
  <c r="BL4184" i="1"/>
  <c r="BK4184" i="1"/>
  <c r="BJ4184" i="1"/>
  <c r="BI4184" i="1"/>
  <c r="BH4184" i="1"/>
  <c r="AR4184" i="1"/>
  <c r="AN4184" i="1"/>
  <c r="BP4183" i="1"/>
  <c r="BO4183" i="1"/>
  <c r="BN4183" i="1"/>
  <c r="BM4183" i="1"/>
  <c r="BL4183" i="1"/>
  <c r="BK4183" i="1"/>
  <c r="BJ4183" i="1"/>
  <c r="BI4183" i="1"/>
  <c r="BH4183" i="1"/>
  <c r="BP4182" i="1"/>
  <c r="BO4182" i="1"/>
  <c r="BN4182" i="1"/>
  <c r="BL4182" i="1"/>
  <c r="BK4182" i="1"/>
  <c r="BJ4182" i="1"/>
  <c r="BI4182" i="1"/>
  <c r="BH4182" i="1"/>
  <c r="AQ4182" i="1"/>
  <c r="BM4182" i="1" s="1"/>
  <c r="BP4181" i="1"/>
  <c r="BO4181" i="1"/>
  <c r="BN4181" i="1"/>
  <c r="BL4181" i="1"/>
  <c r="BK4181" i="1"/>
  <c r="BJ4181" i="1"/>
  <c r="BI4181" i="1"/>
  <c r="BH4181" i="1"/>
  <c r="AQ4181" i="1"/>
  <c r="AB4181" i="1"/>
  <c r="BM4181" i="1" s="1"/>
  <c r="BP4180" i="1"/>
  <c r="BO4180" i="1"/>
  <c r="BN4180" i="1"/>
  <c r="BM4180" i="1"/>
  <c r="BL4180" i="1"/>
  <c r="BK4180" i="1"/>
  <c r="BJ4180" i="1"/>
  <c r="BI4180" i="1"/>
  <c r="BH4180" i="1"/>
  <c r="BP4179" i="1"/>
  <c r="BO4179" i="1"/>
  <c r="BN4179" i="1"/>
  <c r="BM4179" i="1"/>
  <c r="BL4179" i="1"/>
  <c r="BK4179" i="1"/>
  <c r="BJ4179" i="1"/>
  <c r="BI4179" i="1"/>
  <c r="BH4179" i="1"/>
  <c r="AR4179" i="1"/>
  <c r="AN4179" i="1"/>
  <c r="BP4178" i="1"/>
  <c r="BO4178" i="1"/>
  <c r="BN4178" i="1"/>
  <c r="BM4178" i="1"/>
  <c r="BL4178" i="1"/>
  <c r="BK4178" i="1"/>
  <c r="BJ4178" i="1"/>
  <c r="BI4178" i="1"/>
  <c r="BH4178" i="1"/>
  <c r="BP4177" i="1"/>
  <c r="BO4177" i="1"/>
  <c r="BN4177" i="1"/>
  <c r="BM4177" i="1"/>
  <c r="BL4177" i="1"/>
  <c r="BK4177" i="1"/>
  <c r="BJ4177" i="1"/>
  <c r="BI4177" i="1"/>
  <c r="BH4177" i="1"/>
  <c r="BP4176" i="1"/>
  <c r="BO4176" i="1"/>
  <c r="BN4176" i="1"/>
  <c r="BM4176" i="1"/>
  <c r="BL4176" i="1"/>
  <c r="BK4176" i="1"/>
  <c r="BJ4176" i="1"/>
  <c r="BI4176" i="1"/>
  <c r="BH4176" i="1"/>
  <c r="BP4175" i="1"/>
  <c r="BO4175" i="1"/>
  <c r="BN4175" i="1"/>
  <c r="BM4175" i="1"/>
  <c r="BL4175" i="1"/>
  <c r="BK4175" i="1"/>
  <c r="BJ4175" i="1"/>
  <c r="BI4175" i="1"/>
  <c r="BH4175" i="1"/>
  <c r="BP4174" i="1"/>
  <c r="BO4174" i="1"/>
  <c r="BL4174" i="1"/>
  <c r="BK4174" i="1"/>
  <c r="BG4174" i="1"/>
  <c r="AU4174" i="1"/>
  <c r="BN4174" i="1" s="1"/>
  <c r="AJ4174" i="1"/>
  <c r="AG4174" i="1"/>
  <c r="BM4174" i="1" s="1"/>
  <c r="U4174" i="1"/>
  <c r="S4174" i="1"/>
  <c r="BJ4174" i="1" s="1"/>
  <c r="N4174" i="1"/>
  <c r="BI4174" i="1" s="1"/>
  <c r="J4174" i="1"/>
  <c r="C4174" i="1"/>
  <c r="BH4174" i="1" s="1"/>
  <c r="BP4173" i="1"/>
  <c r="BO4173" i="1"/>
  <c r="BN4173" i="1"/>
  <c r="BM4173" i="1"/>
  <c r="BL4173" i="1"/>
  <c r="BK4173" i="1"/>
  <c r="BJ4173" i="1"/>
  <c r="BI4173" i="1"/>
  <c r="BH4173" i="1"/>
  <c r="BP4172" i="1"/>
  <c r="BO4172" i="1"/>
  <c r="BN4172" i="1"/>
  <c r="BM4172" i="1"/>
  <c r="BL4172" i="1"/>
  <c r="BK4172" i="1"/>
  <c r="BJ4172" i="1"/>
  <c r="BI4172" i="1"/>
  <c r="BH4172" i="1"/>
  <c r="BP4171" i="1"/>
  <c r="BO4171" i="1"/>
  <c r="BN4171" i="1"/>
  <c r="BL4171" i="1"/>
  <c r="BK4171" i="1"/>
  <c r="BJ4171" i="1"/>
  <c r="BI4171" i="1"/>
  <c r="BH4171" i="1"/>
  <c r="AB4171" i="1"/>
  <c r="BM4171" i="1" s="1"/>
  <c r="BP4170" i="1"/>
  <c r="BO4170" i="1"/>
  <c r="BN4170" i="1"/>
  <c r="BM4170" i="1"/>
  <c r="BL4170" i="1"/>
  <c r="BK4170" i="1"/>
  <c r="BJ4170" i="1"/>
  <c r="BI4170" i="1"/>
  <c r="BH4170" i="1"/>
  <c r="AQ4170" i="1"/>
  <c r="BP4169" i="1"/>
  <c r="BO4169" i="1"/>
  <c r="BN4169" i="1"/>
  <c r="BM4169" i="1"/>
  <c r="BL4169" i="1"/>
  <c r="BK4169" i="1"/>
  <c r="BJ4169" i="1"/>
  <c r="BI4169" i="1"/>
  <c r="BH4169" i="1"/>
  <c r="AS4169" i="1"/>
  <c r="AN4169" i="1"/>
  <c r="BP4168" i="1"/>
  <c r="BO4168" i="1"/>
  <c r="BN4168" i="1"/>
  <c r="BM4168" i="1"/>
  <c r="BL4168" i="1"/>
  <c r="BK4168" i="1"/>
  <c r="BJ4168" i="1"/>
  <c r="BI4168" i="1"/>
  <c r="BH4168" i="1"/>
  <c r="AS4168" i="1"/>
  <c r="AN4168" i="1"/>
  <c r="BP4167" i="1"/>
  <c r="BO4167" i="1"/>
  <c r="BN4167" i="1"/>
  <c r="BM4167" i="1"/>
  <c r="BL4167" i="1"/>
  <c r="BK4167" i="1"/>
  <c r="BJ4167" i="1"/>
  <c r="BI4167" i="1"/>
  <c r="BH4167" i="1"/>
  <c r="AS4167" i="1"/>
  <c r="BP4166" i="1"/>
  <c r="BO4166" i="1"/>
  <c r="BN4166" i="1"/>
  <c r="BL4166" i="1"/>
  <c r="BK4166" i="1"/>
  <c r="BJ4166" i="1"/>
  <c r="BI4166" i="1"/>
  <c r="BH4166" i="1"/>
  <c r="AS4166" i="1"/>
  <c r="BM4166" i="1" s="1"/>
  <c r="BP4165" i="1"/>
  <c r="BO4165" i="1"/>
  <c r="BN4165" i="1"/>
  <c r="BL4165" i="1"/>
  <c r="BK4165" i="1"/>
  <c r="BJ4165" i="1"/>
  <c r="BI4165" i="1"/>
  <c r="BH4165" i="1"/>
  <c r="AR4165" i="1"/>
  <c r="AN4165" i="1"/>
  <c r="AI4165" i="1"/>
  <c r="BM4165" i="1" s="1"/>
  <c r="BP4164" i="1"/>
  <c r="BO4164" i="1"/>
  <c r="BN4164" i="1"/>
  <c r="BL4164" i="1"/>
  <c r="BK4164" i="1"/>
  <c r="BJ4164" i="1"/>
  <c r="BI4164" i="1"/>
  <c r="BH4164" i="1"/>
  <c r="AR4164" i="1"/>
  <c r="AN4164" i="1"/>
  <c r="BM4164" i="1" s="1"/>
  <c r="BP4163" i="1"/>
  <c r="BO4163" i="1"/>
  <c r="BN4163" i="1"/>
  <c r="BM4163" i="1"/>
  <c r="BL4163" i="1"/>
  <c r="BK4163" i="1"/>
  <c r="BJ4163" i="1"/>
  <c r="BI4163" i="1"/>
  <c r="BH4163" i="1"/>
  <c r="BP4162" i="1"/>
  <c r="BO4162" i="1"/>
  <c r="BN4162" i="1"/>
  <c r="BM4162" i="1"/>
  <c r="BL4162" i="1"/>
  <c r="BK4162" i="1"/>
  <c r="BJ4162" i="1"/>
  <c r="BI4162" i="1"/>
  <c r="BH4162" i="1"/>
  <c r="BP4161" i="1"/>
  <c r="BO4161" i="1"/>
  <c r="BN4161" i="1"/>
  <c r="BM4161" i="1"/>
  <c r="BL4161" i="1"/>
  <c r="BK4161" i="1"/>
  <c r="BJ4161" i="1"/>
  <c r="BI4161" i="1"/>
  <c r="BH4161" i="1"/>
  <c r="BP4160" i="1"/>
  <c r="BN4160" i="1"/>
  <c r="BM4160" i="1"/>
  <c r="BL4160" i="1"/>
  <c r="BK4160" i="1"/>
  <c r="BJ4160" i="1"/>
  <c r="BI4160" i="1"/>
  <c r="BH4160" i="1"/>
  <c r="BE4160" i="1"/>
  <c r="BO4160" i="1" s="1"/>
  <c r="BP4159" i="1"/>
  <c r="BO4159" i="1"/>
  <c r="BN4159" i="1"/>
  <c r="BL4159" i="1"/>
  <c r="BK4159" i="1"/>
  <c r="BJ4159" i="1"/>
  <c r="BI4159" i="1"/>
  <c r="BH4159" i="1"/>
  <c r="AR4159" i="1"/>
  <c r="AN4159" i="1"/>
  <c r="BM4159" i="1" s="1"/>
  <c r="BP4158" i="1"/>
  <c r="BO4158" i="1"/>
  <c r="BN4158" i="1"/>
  <c r="BL4158" i="1"/>
  <c r="BK4158" i="1"/>
  <c r="BJ4158" i="1"/>
  <c r="BI4158" i="1"/>
  <c r="BH4158" i="1"/>
  <c r="AR4158" i="1"/>
  <c r="AN4158" i="1"/>
  <c r="BP4157" i="1"/>
  <c r="BO4157" i="1"/>
  <c r="BN4157" i="1"/>
  <c r="BL4157" i="1"/>
  <c r="BK4157" i="1"/>
  <c r="BJ4157" i="1"/>
  <c r="BI4157" i="1"/>
  <c r="BH4157" i="1"/>
  <c r="AR4157" i="1"/>
  <c r="AN4157" i="1"/>
  <c r="BP4156" i="1"/>
  <c r="BO4156" i="1"/>
  <c r="BN4156" i="1"/>
  <c r="BM4156" i="1"/>
  <c r="BL4156" i="1"/>
  <c r="BK4156" i="1"/>
  <c r="BJ4156" i="1"/>
  <c r="BI4156" i="1"/>
  <c r="BH4156" i="1"/>
  <c r="AA4156" i="1"/>
  <c r="BP4155" i="1"/>
  <c r="BO4155" i="1"/>
  <c r="BN4155" i="1"/>
  <c r="BM4155" i="1"/>
  <c r="BL4155" i="1"/>
  <c r="BK4155" i="1"/>
  <c r="BJ4155" i="1"/>
  <c r="BI4155" i="1"/>
  <c r="BH4155" i="1"/>
  <c r="V4155" i="1"/>
  <c r="BP4154" i="1"/>
  <c r="BO4154" i="1"/>
  <c r="BN4154" i="1"/>
  <c r="BM4154" i="1"/>
  <c r="BL4154" i="1"/>
  <c r="BK4154" i="1"/>
  <c r="BJ4154" i="1"/>
  <c r="BI4154" i="1"/>
  <c r="BH4154" i="1"/>
  <c r="BP4153" i="1"/>
  <c r="BO4153" i="1"/>
  <c r="BN4153" i="1"/>
  <c r="BM4153" i="1"/>
  <c r="BL4153" i="1"/>
  <c r="BK4153" i="1"/>
  <c r="BJ4153" i="1"/>
  <c r="BI4153" i="1"/>
  <c r="BH4153" i="1"/>
  <c r="BP4152" i="1"/>
  <c r="BO4152" i="1"/>
  <c r="BN4152" i="1"/>
  <c r="BM4152" i="1"/>
  <c r="BL4152" i="1"/>
  <c r="BK4152" i="1"/>
  <c r="BJ4152" i="1"/>
  <c r="BI4152" i="1"/>
  <c r="BH4152" i="1"/>
  <c r="BP4151" i="1"/>
  <c r="BO4151" i="1"/>
  <c r="BN4151" i="1"/>
  <c r="BM4151" i="1"/>
  <c r="BL4151" i="1"/>
  <c r="BK4151" i="1"/>
  <c r="BJ4151" i="1"/>
  <c r="BI4151" i="1"/>
  <c r="BH4151" i="1"/>
  <c r="AR4151" i="1"/>
  <c r="AN4151" i="1"/>
  <c r="BP4150" i="1"/>
  <c r="BO4150" i="1"/>
  <c r="BN4150" i="1"/>
  <c r="BM4150" i="1"/>
  <c r="BL4150" i="1"/>
  <c r="BK4150" i="1"/>
  <c r="BJ4150" i="1"/>
  <c r="BI4150" i="1"/>
  <c r="BH4150" i="1"/>
  <c r="AR4150" i="1"/>
  <c r="AN4150" i="1"/>
  <c r="BP4149" i="1"/>
  <c r="BO4149" i="1"/>
  <c r="BN4149" i="1"/>
  <c r="BM4149" i="1"/>
  <c r="BL4149" i="1"/>
  <c r="BK4149" i="1"/>
  <c r="BJ4149" i="1"/>
  <c r="BI4149" i="1"/>
  <c r="BH4149" i="1"/>
  <c r="AQ4149" i="1"/>
  <c r="BP4148" i="1"/>
  <c r="BO4148" i="1"/>
  <c r="BN4148" i="1"/>
  <c r="BM4148" i="1"/>
  <c r="BL4148" i="1"/>
  <c r="BK4148" i="1"/>
  <c r="BJ4148" i="1"/>
  <c r="BI4148" i="1"/>
  <c r="BH4148" i="1"/>
  <c r="BP4147" i="1"/>
  <c r="BO4147" i="1"/>
  <c r="BN4147" i="1"/>
  <c r="BL4147" i="1"/>
  <c r="BK4147" i="1"/>
  <c r="BJ4147" i="1"/>
  <c r="BI4147" i="1"/>
  <c r="BH4147" i="1"/>
  <c r="AR4147" i="1"/>
  <c r="AN4147" i="1"/>
  <c r="BP4146" i="1"/>
  <c r="BO4146" i="1"/>
  <c r="BN4146" i="1"/>
  <c r="BL4146" i="1"/>
  <c r="BK4146" i="1"/>
  <c r="BJ4146" i="1"/>
  <c r="BI4146" i="1"/>
  <c r="BH4146" i="1"/>
  <c r="AR4146" i="1"/>
  <c r="AN4146" i="1"/>
  <c r="BP4145" i="1"/>
  <c r="BO4145" i="1"/>
  <c r="BN4145" i="1"/>
  <c r="BL4145" i="1"/>
  <c r="BK4145" i="1"/>
  <c r="BJ4145" i="1"/>
  <c r="BI4145" i="1"/>
  <c r="BH4145" i="1"/>
  <c r="AS4145" i="1"/>
  <c r="AN4145" i="1"/>
  <c r="BP4144" i="1"/>
  <c r="BO4144" i="1"/>
  <c r="BN4144" i="1"/>
  <c r="BL4144" i="1"/>
  <c r="BK4144" i="1"/>
  <c r="BJ4144" i="1"/>
  <c r="BI4144" i="1"/>
  <c r="BH4144" i="1"/>
  <c r="AS4144" i="1"/>
  <c r="AN4144" i="1"/>
  <c r="BP4143" i="1"/>
  <c r="BO4143" i="1"/>
  <c r="BN4143" i="1"/>
  <c r="BM4143" i="1"/>
  <c r="BL4143" i="1"/>
  <c r="BK4143" i="1"/>
  <c r="BJ4143" i="1"/>
  <c r="BI4143" i="1"/>
  <c r="BH4143" i="1"/>
  <c r="AS4143" i="1"/>
  <c r="BP4142" i="1"/>
  <c r="BO4142" i="1"/>
  <c r="BN4142" i="1"/>
  <c r="BM4142" i="1"/>
  <c r="BL4142" i="1"/>
  <c r="BK4142" i="1"/>
  <c r="BJ4142" i="1"/>
  <c r="BI4142" i="1"/>
  <c r="BH4142" i="1"/>
  <c r="BP4141" i="1"/>
  <c r="BO4141" i="1"/>
  <c r="BN4141" i="1"/>
  <c r="BM4141" i="1"/>
  <c r="BL4141" i="1"/>
  <c r="BK4141" i="1"/>
  <c r="BJ4141" i="1"/>
  <c r="BI4141" i="1"/>
  <c r="BH4141" i="1"/>
  <c r="BP4140" i="1"/>
  <c r="BO4140" i="1"/>
  <c r="BN4140" i="1"/>
  <c r="BM4140" i="1"/>
  <c r="BL4140" i="1"/>
  <c r="BK4140" i="1"/>
  <c r="BJ4140" i="1"/>
  <c r="BI4140" i="1"/>
  <c r="BH4140" i="1"/>
  <c r="BP4139" i="1"/>
  <c r="BO4139" i="1"/>
  <c r="BN4139" i="1"/>
  <c r="BM4139" i="1"/>
  <c r="BL4139" i="1"/>
  <c r="BK4139" i="1"/>
  <c r="BJ4139" i="1"/>
  <c r="BI4139" i="1"/>
  <c r="BH4139" i="1"/>
  <c r="BP4138" i="1"/>
  <c r="BO4138" i="1"/>
  <c r="BN4138" i="1"/>
  <c r="BM4138" i="1"/>
  <c r="BL4138" i="1"/>
  <c r="BK4138" i="1"/>
  <c r="BJ4138" i="1"/>
  <c r="BI4138" i="1"/>
  <c r="BH4138" i="1"/>
  <c r="BP4137" i="1"/>
  <c r="BO4137" i="1"/>
  <c r="BN4137" i="1"/>
  <c r="BM4137" i="1"/>
  <c r="BL4137" i="1"/>
  <c r="BK4137" i="1"/>
  <c r="BJ4137" i="1"/>
  <c r="BI4137" i="1"/>
  <c r="BH4137" i="1"/>
  <c r="BP4136" i="1"/>
  <c r="BO4136" i="1"/>
  <c r="BN4136" i="1"/>
  <c r="BM4136" i="1"/>
  <c r="BL4136" i="1"/>
  <c r="BK4136" i="1"/>
  <c r="BJ4136" i="1"/>
  <c r="BI4136" i="1"/>
  <c r="BH4136" i="1"/>
  <c r="BP4135" i="1"/>
  <c r="BO4135" i="1"/>
  <c r="BN4135" i="1"/>
  <c r="BM4135" i="1"/>
  <c r="BL4135" i="1"/>
  <c r="BK4135" i="1"/>
  <c r="BJ4135" i="1"/>
  <c r="BI4135" i="1"/>
  <c r="BH4135" i="1"/>
  <c r="BP4134" i="1"/>
  <c r="BO4134" i="1"/>
  <c r="BN4134" i="1"/>
  <c r="BM4134" i="1"/>
  <c r="BL4134" i="1"/>
  <c r="BK4134" i="1"/>
  <c r="BJ4134" i="1"/>
  <c r="BI4134" i="1"/>
  <c r="BH4134" i="1"/>
  <c r="BP4133" i="1"/>
  <c r="BO4133" i="1"/>
  <c r="BN4133" i="1"/>
  <c r="BM4133" i="1"/>
  <c r="BL4133" i="1"/>
  <c r="BK4133" i="1"/>
  <c r="BJ4133" i="1"/>
  <c r="BI4133" i="1"/>
  <c r="BH4133" i="1"/>
  <c r="BP4132" i="1"/>
  <c r="BO4132" i="1"/>
  <c r="BN4132" i="1"/>
  <c r="BM4132" i="1"/>
  <c r="BL4132" i="1"/>
  <c r="BK4132" i="1"/>
  <c r="BJ4132" i="1"/>
  <c r="BI4132" i="1"/>
  <c r="BH4132" i="1"/>
  <c r="BP4131" i="1"/>
  <c r="BO4131" i="1"/>
  <c r="BN4131" i="1"/>
  <c r="BM4131" i="1"/>
  <c r="BL4131" i="1"/>
  <c r="BK4131" i="1"/>
  <c r="BJ4131" i="1"/>
  <c r="BI4131" i="1"/>
  <c r="BH4131" i="1"/>
  <c r="BP4130" i="1"/>
  <c r="BO4130" i="1"/>
  <c r="BN4130" i="1"/>
  <c r="BM4130" i="1"/>
  <c r="BL4130" i="1"/>
  <c r="BK4130" i="1"/>
  <c r="BJ4130" i="1"/>
  <c r="BI4130" i="1"/>
  <c r="BH4130" i="1"/>
  <c r="BP4129" i="1"/>
  <c r="BO4129" i="1"/>
  <c r="BN4129" i="1"/>
  <c r="BM4129" i="1"/>
  <c r="BL4129" i="1"/>
  <c r="BK4129" i="1"/>
  <c r="BJ4129" i="1"/>
  <c r="BI4129" i="1"/>
  <c r="BH4129" i="1"/>
  <c r="BP4128" i="1"/>
  <c r="BO4128" i="1"/>
  <c r="BN4128" i="1"/>
  <c r="BM4128" i="1"/>
  <c r="BL4128" i="1"/>
  <c r="BK4128" i="1"/>
  <c r="BJ4128" i="1"/>
  <c r="BI4128" i="1"/>
  <c r="BH4128" i="1"/>
  <c r="BP4127" i="1"/>
  <c r="BO4127" i="1"/>
  <c r="BN4127" i="1"/>
  <c r="BM4127" i="1"/>
  <c r="BL4127" i="1"/>
  <c r="BK4127" i="1"/>
  <c r="BJ4127" i="1"/>
  <c r="BI4127" i="1"/>
  <c r="BH4127" i="1"/>
  <c r="BP4126" i="1"/>
  <c r="BO4126" i="1"/>
  <c r="BN4126" i="1"/>
  <c r="BM4126" i="1"/>
  <c r="BL4126" i="1"/>
  <c r="BK4126" i="1"/>
  <c r="BJ4126" i="1"/>
  <c r="BI4126" i="1"/>
  <c r="BH4126" i="1"/>
  <c r="BP4125" i="1"/>
  <c r="BO4125" i="1"/>
  <c r="BN4125" i="1"/>
  <c r="BM4125" i="1"/>
  <c r="BL4125" i="1"/>
  <c r="BK4125" i="1"/>
  <c r="BJ4125" i="1"/>
  <c r="BI4125" i="1"/>
  <c r="BH4125" i="1"/>
  <c r="BP4124" i="1"/>
  <c r="BO4124" i="1"/>
  <c r="BN4124" i="1"/>
  <c r="BM4124" i="1"/>
  <c r="BL4124" i="1"/>
  <c r="BK4124" i="1"/>
  <c r="BJ4124" i="1"/>
  <c r="BI4124" i="1"/>
  <c r="BH4124" i="1"/>
  <c r="BP4123" i="1"/>
  <c r="BO4123" i="1"/>
  <c r="BN4123" i="1"/>
  <c r="BM4123" i="1"/>
  <c r="BL4123" i="1"/>
  <c r="BK4123" i="1"/>
  <c r="BJ4123" i="1"/>
  <c r="BI4123" i="1"/>
  <c r="BH4123" i="1"/>
  <c r="BP4122" i="1"/>
  <c r="BO4122" i="1"/>
  <c r="BN4122" i="1"/>
  <c r="BM4122" i="1"/>
  <c r="BL4122" i="1"/>
  <c r="BK4122" i="1"/>
  <c r="BJ4122" i="1"/>
  <c r="BI4122" i="1"/>
  <c r="BH4122" i="1"/>
  <c r="BP4121" i="1"/>
  <c r="BO4121" i="1"/>
  <c r="BN4121" i="1"/>
  <c r="BM4121" i="1"/>
  <c r="BL4121" i="1"/>
  <c r="BK4121" i="1"/>
  <c r="BJ4121" i="1"/>
  <c r="BI4121" i="1"/>
  <c r="BH4121" i="1"/>
  <c r="AR4121" i="1"/>
  <c r="AN4121" i="1"/>
  <c r="BP4120" i="1"/>
  <c r="BO4120" i="1"/>
  <c r="BN4120" i="1"/>
  <c r="BL4120" i="1"/>
  <c r="BK4120" i="1"/>
  <c r="BJ4120" i="1"/>
  <c r="BI4120" i="1"/>
  <c r="BH4120" i="1"/>
  <c r="AR4120" i="1"/>
  <c r="AN4120" i="1"/>
  <c r="BP4119" i="1"/>
  <c r="BO4119" i="1"/>
  <c r="BN4119" i="1"/>
  <c r="BL4119" i="1"/>
  <c r="BK4119" i="1"/>
  <c r="BJ4119" i="1"/>
  <c r="BI4119" i="1"/>
  <c r="BH4119" i="1"/>
  <c r="AS4119" i="1"/>
  <c r="BM4119" i="1" s="1"/>
  <c r="BP4118" i="1"/>
  <c r="BO4118" i="1"/>
  <c r="BN4118" i="1"/>
  <c r="BL4118" i="1"/>
  <c r="BK4118" i="1"/>
  <c r="BJ4118" i="1"/>
  <c r="BI4118" i="1"/>
  <c r="BH4118" i="1"/>
  <c r="AS4118" i="1"/>
  <c r="BM4118" i="1" s="1"/>
  <c r="BP4117" i="1"/>
  <c r="BO4117" i="1"/>
  <c r="BN4117" i="1"/>
  <c r="BM4117" i="1"/>
  <c r="BL4117" i="1"/>
  <c r="BK4117" i="1"/>
  <c r="BJ4117" i="1"/>
  <c r="BI4117" i="1"/>
  <c r="BH4117" i="1"/>
  <c r="BP4116" i="1"/>
  <c r="BO4116" i="1"/>
  <c r="BN4116" i="1"/>
  <c r="BM4116" i="1"/>
  <c r="BL4116" i="1"/>
  <c r="BK4116" i="1"/>
  <c r="BJ4116" i="1"/>
  <c r="BI4116" i="1"/>
  <c r="BH4116" i="1"/>
  <c r="AQ4116" i="1"/>
  <c r="BP4115" i="1"/>
  <c r="BO4115" i="1"/>
  <c r="BN4115" i="1"/>
  <c r="BM4115" i="1"/>
  <c r="BL4115" i="1"/>
  <c r="BK4115" i="1"/>
  <c r="BJ4115" i="1"/>
  <c r="BI4115" i="1"/>
  <c r="BH4115" i="1"/>
  <c r="BP4114" i="1"/>
  <c r="BO4114" i="1"/>
  <c r="BN4114" i="1"/>
  <c r="BL4114" i="1"/>
  <c r="BK4114" i="1"/>
  <c r="BJ4114" i="1"/>
  <c r="BI4114" i="1"/>
  <c r="BH4114" i="1"/>
  <c r="AR4114" i="1"/>
  <c r="AN4114" i="1"/>
  <c r="BP4113" i="1"/>
  <c r="BO4113" i="1"/>
  <c r="BN4113" i="1"/>
  <c r="BL4113" i="1"/>
  <c r="BK4113" i="1"/>
  <c r="BJ4113" i="1"/>
  <c r="BI4113" i="1"/>
  <c r="BH4113" i="1"/>
  <c r="AR4113" i="1"/>
  <c r="AN4113" i="1"/>
  <c r="BM4113" i="1" s="1"/>
  <c r="BP4112" i="1"/>
  <c r="BO4112" i="1"/>
  <c r="BN4112" i="1"/>
  <c r="BL4112" i="1"/>
  <c r="BK4112" i="1"/>
  <c r="BJ4112" i="1"/>
  <c r="BI4112" i="1"/>
  <c r="BH4112" i="1"/>
  <c r="AQ4112" i="1"/>
  <c r="BM4112" i="1" s="1"/>
  <c r="BP4111" i="1"/>
  <c r="BO4111" i="1"/>
  <c r="BN4111" i="1"/>
  <c r="BM4111" i="1"/>
  <c r="BL4111" i="1"/>
  <c r="BK4111" i="1"/>
  <c r="BJ4111" i="1"/>
  <c r="BI4111" i="1"/>
  <c r="BH4111" i="1"/>
  <c r="V4111" i="1"/>
  <c r="BP4110" i="1"/>
  <c r="BO4110" i="1"/>
  <c r="BN4110" i="1"/>
  <c r="BM4110" i="1"/>
  <c r="BL4110" i="1"/>
  <c r="BK4110" i="1"/>
  <c r="BJ4110" i="1"/>
  <c r="BI4110" i="1"/>
  <c r="BH4110" i="1"/>
  <c r="BP4109" i="1"/>
  <c r="BO4109" i="1"/>
  <c r="BN4109" i="1"/>
  <c r="BM4109" i="1"/>
  <c r="BL4109" i="1"/>
  <c r="BK4109" i="1"/>
  <c r="BJ4109" i="1"/>
  <c r="BI4109" i="1"/>
  <c r="BH4109" i="1"/>
  <c r="BP4108" i="1"/>
  <c r="BO4108" i="1"/>
  <c r="BN4108" i="1"/>
  <c r="BM4108" i="1"/>
  <c r="BL4108" i="1"/>
  <c r="BK4108" i="1"/>
  <c r="BJ4108" i="1"/>
  <c r="BI4108" i="1"/>
  <c r="BH4108" i="1"/>
  <c r="BP4107" i="1"/>
  <c r="BO4107" i="1"/>
  <c r="BN4107" i="1"/>
  <c r="BL4107" i="1"/>
  <c r="BK4107" i="1"/>
  <c r="BJ4107" i="1"/>
  <c r="BI4107" i="1"/>
  <c r="BH4107" i="1"/>
  <c r="AR4107" i="1"/>
  <c r="AN4107" i="1"/>
  <c r="AI4107" i="1"/>
  <c r="BP4106" i="1"/>
  <c r="BO4106" i="1"/>
  <c r="BN4106" i="1"/>
  <c r="BL4106" i="1"/>
  <c r="BK4106" i="1"/>
  <c r="BJ4106" i="1"/>
  <c r="BI4106" i="1"/>
  <c r="BH4106" i="1"/>
  <c r="AS4106" i="1"/>
  <c r="BM4106" i="1" s="1"/>
  <c r="BP4105" i="1"/>
  <c r="BO4105" i="1"/>
  <c r="BN4105" i="1"/>
  <c r="BM4105" i="1"/>
  <c r="BL4105" i="1"/>
  <c r="BK4105" i="1"/>
  <c r="BJ4105" i="1"/>
  <c r="BI4105" i="1"/>
  <c r="BH4105" i="1"/>
  <c r="AS4105" i="1"/>
  <c r="BP4104" i="1"/>
  <c r="BO4104" i="1"/>
  <c r="BN4104" i="1"/>
  <c r="BM4104" i="1"/>
  <c r="BL4104" i="1"/>
  <c r="BK4104" i="1"/>
  <c r="BJ4104" i="1"/>
  <c r="BI4104" i="1"/>
  <c r="BH4104" i="1"/>
  <c r="BP4103" i="1"/>
  <c r="BO4103" i="1"/>
  <c r="BN4103" i="1"/>
  <c r="BL4103" i="1"/>
  <c r="BK4103" i="1"/>
  <c r="BJ4103" i="1"/>
  <c r="BI4103" i="1"/>
  <c r="BH4103" i="1"/>
  <c r="AQ4103" i="1"/>
  <c r="BM4103" i="1" s="1"/>
  <c r="BP4102" i="1"/>
  <c r="BO4102" i="1"/>
  <c r="BN4102" i="1"/>
  <c r="BL4102" i="1"/>
  <c r="BK4102" i="1"/>
  <c r="BJ4102" i="1"/>
  <c r="BI4102" i="1"/>
  <c r="BH4102" i="1"/>
  <c r="AQ4102" i="1"/>
  <c r="AB4102" i="1"/>
  <c r="BP4101" i="1"/>
  <c r="BO4101" i="1"/>
  <c r="BN4101" i="1"/>
  <c r="BL4101" i="1"/>
  <c r="BK4101" i="1"/>
  <c r="BJ4101" i="1"/>
  <c r="BI4101" i="1"/>
  <c r="BH4101" i="1"/>
  <c r="AR4101" i="1"/>
  <c r="AN4101" i="1"/>
  <c r="BP4100" i="1"/>
  <c r="BO4100" i="1"/>
  <c r="BN4100" i="1"/>
  <c r="BM4100" i="1"/>
  <c r="BL4100" i="1"/>
  <c r="BK4100" i="1"/>
  <c r="BJ4100" i="1"/>
  <c r="BI4100" i="1"/>
  <c r="BH4100" i="1"/>
  <c r="BP4099" i="1"/>
  <c r="BO4099" i="1"/>
  <c r="BN4099" i="1"/>
  <c r="BM4099" i="1"/>
  <c r="BL4099" i="1"/>
  <c r="BK4099" i="1"/>
  <c r="BJ4099" i="1"/>
  <c r="BI4099" i="1"/>
  <c r="BH4099" i="1"/>
  <c r="BP4098" i="1"/>
  <c r="BO4098" i="1"/>
  <c r="BN4098" i="1"/>
  <c r="BM4098" i="1"/>
  <c r="BL4098" i="1"/>
  <c r="BK4098" i="1"/>
  <c r="BJ4098" i="1"/>
  <c r="BI4098" i="1"/>
  <c r="BH4098" i="1"/>
  <c r="BP4097" i="1"/>
  <c r="BN4097" i="1"/>
  <c r="BM4097" i="1"/>
  <c r="BL4097" i="1"/>
  <c r="BK4097" i="1"/>
  <c r="BJ4097" i="1"/>
  <c r="BI4097" i="1"/>
  <c r="BH4097" i="1"/>
  <c r="BE4097" i="1"/>
  <c r="BO4097" i="1" s="1"/>
  <c r="BP4096" i="1"/>
  <c r="BO4096" i="1"/>
  <c r="BN4096" i="1"/>
  <c r="BM4096" i="1"/>
  <c r="BL4096" i="1"/>
  <c r="BK4096" i="1"/>
  <c r="BJ4096" i="1"/>
  <c r="BI4096" i="1"/>
  <c r="BH4096" i="1"/>
  <c r="BP4095" i="1"/>
  <c r="BO4095" i="1"/>
  <c r="BN4095" i="1"/>
  <c r="BM4095" i="1"/>
  <c r="BL4095" i="1"/>
  <c r="BK4095" i="1"/>
  <c r="BJ4095" i="1"/>
  <c r="BI4095" i="1"/>
  <c r="BH4095" i="1"/>
  <c r="BP4094" i="1"/>
  <c r="BO4094" i="1"/>
  <c r="BN4094" i="1"/>
  <c r="BM4094" i="1"/>
  <c r="BL4094" i="1"/>
  <c r="BK4094" i="1"/>
  <c r="BJ4094" i="1"/>
  <c r="BI4094" i="1"/>
  <c r="BH4094" i="1"/>
  <c r="V4094" i="1"/>
  <c r="BP4093" i="1"/>
  <c r="BO4093" i="1"/>
  <c r="BN4093" i="1"/>
  <c r="BM4093" i="1"/>
  <c r="BL4093" i="1"/>
  <c r="BK4093" i="1"/>
  <c r="BJ4093" i="1"/>
  <c r="BI4093" i="1"/>
  <c r="BH4093" i="1"/>
  <c r="BP4092" i="1"/>
  <c r="BO4092" i="1"/>
  <c r="BN4092" i="1"/>
  <c r="BL4092" i="1"/>
  <c r="BK4092" i="1"/>
  <c r="BJ4092" i="1"/>
  <c r="BI4092" i="1"/>
  <c r="BH4092" i="1"/>
  <c r="AR4092" i="1"/>
  <c r="AN4092" i="1"/>
  <c r="BM4092" i="1" s="1"/>
  <c r="BP4091" i="1"/>
  <c r="BO4091" i="1"/>
  <c r="BN4091" i="1"/>
  <c r="BL4091" i="1"/>
  <c r="BK4091" i="1"/>
  <c r="BJ4091" i="1"/>
  <c r="BI4091" i="1"/>
  <c r="BH4091" i="1"/>
  <c r="AR4091" i="1"/>
  <c r="AN4091" i="1"/>
  <c r="BP4090" i="1"/>
  <c r="BO4090" i="1"/>
  <c r="BN4090" i="1"/>
  <c r="BM4090" i="1"/>
  <c r="BL4090" i="1"/>
  <c r="BK4090" i="1"/>
  <c r="BJ4090" i="1"/>
  <c r="BI4090" i="1"/>
  <c r="BH4090" i="1"/>
  <c r="AR4090" i="1"/>
  <c r="AN4090" i="1"/>
  <c r="BP4089" i="1"/>
  <c r="BO4089" i="1"/>
  <c r="BN4089" i="1"/>
  <c r="BM4089" i="1"/>
  <c r="BL4089" i="1"/>
  <c r="BK4089" i="1"/>
  <c r="BJ4089" i="1"/>
  <c r="BI4089" i="1"/>
  <c r="BH4089" i="1"/>
  <c r="BP4088" i="1"/>
  <c r="BO4088" i="1"/>
  <c r="BN4088" i="1"/>
  <c r="BM4088" i="1"/>
  <c r="BL4088" i="1"/>
  <c r="BK4088" i="1"/>
  <c r="BJ4088" i="1"/>
  <c r="BI4088" i="1"/>
  <c r="BH4088" i="1"/>
  <c r="BP4087" i="1"/>
  <c r="BO4087" i="1"/>
  <c r="BN4087" i="1"/>
  <c r="BM4087" i="1"/>
  <c r="BL4087" i="1"/>
  <c r="BK4087" i="1"/>
  <c r="BJ4087" i="1"/>
  <c r="BI4087" i="1"/>
  <c r="BH4087" i="1"/>
  <c r="BP4086" i="1"/>
  <c r="BO4086" i="1"/>
  <c r="BN4086" i="1"/>
  <c r="BL4086" i="1"/>
  <c r="BK4086" i="1"/>
  <c r="BJ4086" i="1"/>
  <c r="BI4086" i="1"/>
  <c r="BH4086" i="1"/>
  <c r="AS4086" i="1"/>
  <c r="AN4086" i="1"/>
  <c r="BP4085" i="1"/>
  <c r="BO4085" i="1"/>
  <c r="BN4085" i="1"/>
  <c r="BL4085" i="1"/>
  <c r="BK4085" i="1"/>
  <c r="BJ4085" i="1"/>
  <c r="BI4085" i="1"/>
  <c r="BH4085" i="1"/>
  <c r="AS4085" i="1"/>
  <c r="AN4085" i="1"/>
  <c r="BM4085" i="1" s="1"/>
  <c r="BP4084" i="1"/>
  <c r="BO4084" i="1"/>
  <c r="BN4084" i="1"/>
  <c r="BM4084" i="1"/>
  <c r="BL4084" i="1"/>
  <c r="BK4084" i="1"/>
  <c r="BJ4084" i="1"/>
  <c r="BI4084" i="1"/>
  <c r="BH4084" i="1"/>
  <c r="AS4084" i="1"/>
  <c r="AN4084" i="1"/>
  <c r="BP4083" i="1"/>
  <c r="BO4083" i="1"/>
  <c r="BN4083" i="1"/>
  <c r="BL4083" i="1"/>
  <c r="BK4083" i="1"/>
  <c r="BJ4083" i="1"/>
  <c r="BI4083" i="1"/>
  <c r="BH4083" i="1"/>
  <c r="AS4083" i="1"/>
  <c r="AN4083" i="1"/>
  <c r="BM4083" i="1" s="1"/>
  <c r="BP4082" i="1"/>
  <c r="BO4082" i="1"/>
  <c r="BN4082" i="1"/>
  <c r="BL4082" i="1"/>
  <c r="BK4082" i="1"/>
  <c r="BJ4082" i="1"/>
  <c r="BI4082" i="1"/>
  <c r="BH4082" i="1"/>
  <c r="AS4082" i="1"/>
  <c r="BM4082" i="1" s="1"/>
  <c r="BP4081" i="1"/>
  <c r="BO4081" i="1"/>
  <c r="BN4081" i="1"/>
  <c r="BM4081" i="1"/>
  <c r="BL4081" i="1"/>
  <c r="BK4081" i="1"/>
  <c r="BJ4081" i="1"/>
  <c r="BI4081" i="1"/>
  <c r="BH4081" i="1"/>
  <c r="AA4081" i="1"/>
  <c r="BP4080" i="1"/>
  <c r="BO4080" i="1"/>
  <c r="BN4080" i="1"/>
  <c r="BL4080" i="1"/>
  <c r="BK4080" i="1"/>
  <c r="BJ4080" i="1"/>
  <c r="BI4080" i="1"/>
  <c r="BH4080" i="1"/>
  <c r="AQ4080" i="1"/>
  <c r="BM4080" i="1" s="1"/>
  <c r="BP4079" i="1"/>
  <c r="BO4079" i="1"/>
  <c r="BN4079" i="1"/>
  <c r="BM4079" i="1"/>
  <c r="BL4079" i="1"/>
  <c r="BK4079" i="1"/>
  <c r="BJ4079" i="1"/>
  <c r="BI4079" i="1"/>
  <c r="BH4079" i="1"/>
  <c r="BP4078" i="1"/>
  <c r="BO4078" i="1"/>
  <c r="BN4078" i="1"/>
  <c r="BM4078" i="1"/>
  <c r="BL4078" i="1"/>
  <c r="BK4078" i="1"/>
  <c r="BJ4078" i="1"/>
  <c r="BI4078" i="1"/>
  <c r="BH4078" i="1"/>
  <c r="BP4077" i="1"/>
  <c r="BN4077" i="1"/>
  <c r="BM4077" i="1"/>
  <c r="BL4077" i="1"/>
  <c r="BK4077" i="1"/>
  <c r="BJ4077" i="1"/>
  <c r="BI4077" i="1"/>
  <c r="BH4077" i="1"/>
  <c r="BE4077" i="1"/>
  <c r="BO4077" i="1" s="1"/>
  <c r="BP4076" i="1"/>
  <c r="BO4076" i="1"/>
  <c r="BN4076" i="1"/>
  <c r="BM4076" i="1"/>
  <c r="BL4076" i="1"/>
  <c r="BK4076" i="1"/>
  <c r="BH4076" i="1"/>
  <c r="BE4076" i="1"/>
  <c r="X4076" i="1"/>
  <c r="S4076" i="1"/>
  <c r="BJ4076" i="1" s="1"/>
  <c r="R4076" i="1"/>
  <c r="BI4076" i="1" s="1"/>
  <c r="BP4075" i="1"/>
  <c r="BO4075" i="1"/>
  <c r="BN4075" i="1"/>
  <c r="BM4075" i="1"/>
  <c r="BL4075" i="1"/>
  <c r="BK4075" i="1"/>
  <c r="BJ4075" i="1"/>
  <c r="BI4075" i="1"/>
  <c r="BH4075" i="1"/>
  <c r="BP4074" i="1"/>
  <c r="BO4074" i="1"/>
  <c r="BN4074" i="1"/>
  <c r="BM4074" i="1"/>
  <c r="BL4074" i="1"/>
  <c r="BJ4074" i="1"/>
  <c r="BI4074" i="1"/>
  <c r="BH4074" i="1"/>
  <c r="V4074" i="1"/>
  <c r="BK4074" i="1" s="1"/>
  <c r="BP4073" i="1"/>
  <c r="BO4073" i="1"/>
  <c r="BN4073" i="1"/>
  <c r="BM4073" i="1"/>
  <c r="BL4073" i="1"/>
  <c r="BK4073" i="1"/>
  <c r="BJ4073" i="1"/>
  <c r="BI4073" i="1"/>
  <c r="BH4073" i="1"/>
  <c r="X4073" i="1"/>
  <c r="BP4072" i="1"/>
  <c r="BO4072" i="1"/>
  <c r="BN4072" i="1"/>
  <c r="BL4072" i="1"/>
  <c r="BK4072" i="1"/>
  <c r="BJ4072" i="1"/>
  <c r="BI4072" i="1"/>
  <c r="BH4072" i="1"/>
  <c r="AB4072" i="1"/>
  <c r="BM4072" i="1" s="1"/>
  <c r="BP4071" i="1"/>
  <c r="BO4071" i="1"/>
  <c r="BN4071" i="1"/>
  <c r="BL4071" i="1"/>
  <c r="BK4071" i="1"/>
  <c r="BJ4071" i="1"/>
  <c r="BI4071" i="1"/>
  <c r="BH4071" i="1"/>
  <c r="AR4071" i="1"/>
  <c r="AN4071" i="1"/>
  <c r="AI4071" i="1"/>
  <c r="BM4071" i="1" s="1"/>
  <c r="BP4070" i="1"/>
  <c r="BO4070" i="1"/>
  <c r="BN4070" i="1"/>
  <c r="BL4070" i="1"/>
  <c r="BK4070" i="1"/>
  <c r="BJ4070" i="1"/>
  <c r="BI4070" i="1"/>
  <c r="BH4070" i="1"/>
  <c r="AR4070" i="1"/>
  <c r="AN4070" i="1"/>
  <c r="BM4070" i="1" s="1"/>
  <c r="BP4069" i="1"/>
  <c r="BO4069" i="1"/>
  <c r="BN4069" i="1"/>
  <c r="BL4069" i="1"/>
  <c r="BK4069" i="1"/>
  <c r="BJ4069" i="1"/>
  <c r="BI4069" i="1"/>
  <c r="BH4069" i="1"/>
  <c r="AR4069" i="1"/>
  <c r="AN4069" i="1"/>
  <c r="BP4068" i="1"/>
  <c r="BO4068" i="1"/>
  <c r="BN4068" i="1"/>
  <c r="BL4068" i="1"/>
  <c r="BK4068" i="1"/>
  <c r="BJ4068" i="1"/>
  <c r="BI4068" i="1"/>
  <c r="BH4068" i="1"/>
  <c r="AS4068" i="1"/>
  <c r="AN4068" i="1"/>
  <c r="BM4068" i="1" s="1"/>
  <c r="BP4067" i="1"/>
  <c r="BO4067" i="1"/>
  <c r="BN4067" i="1"/>
  <c r="BM4067" i="1"/>
  <c r="BL4067" i="1"/>
  <c r="BK4067" i="1"/>
  <c r="BJ4067" i="1"/>
  <c r="BI4067" i="1"/>
  <c r="BH4067" i="1"/>
  <c r="AS4067" i="1"/>
  <c r="AN4067" i="1"/>
  <c r="BP4066" i="1"/>
  <c r="BO4066" i="1"/>
  <c r="BN4066" i="1"/>
  <c r="BM4066" i="1"/>
  <c r="BL4066" i="1"/>
  <c r="BK4066" i="1"/>
  <c r="BJ4066" i="1"/>
  <c r="BI4066" i="1"/>
  <c r="BH4066" i="1"/>
  <c r="AB4066" i="1"/>
  <c r="BP4065" i="1"/>
  <c r="BO4065" i="1"/>
  <c r="BN4065" i="1"/>
  <c r="BM4065" i="1"/>
  <c r="BL4065" i="1"/>
  <c r="BK4065" i="1"/>
  <c r="BJ4065" i="1"/>
  <c r="BI4065" i="1"/>
  <c r="BH4065" i="1"/>
  <c r="AB4065" i="1"/>
  <c r="BP4064" i="1"/>
  <c r="BO4064" i="1"/>
  <c r="BN4064" i="1"/>
  <c r="BM4064" i="1"/>
  <c r="BL4064" i="1"/>
  <c r="BK4064" i="1"/>
  <c r="BJ4064" i="1"/>
  <c r="BI4064" i="1"/>
  <c r="BH4064" i="1"/>
  <c r="X4064" i="1"/>
  <c r="BP4063" i="1"/>
  <c r="BO4063" i="1"/>
  <c r="BN4063" i="1"/>
  <c r="BL4063" i="1"/>
  <c r="BK4063" i="1"/>
  <c r="BJ4063" i="1"/>
  <c r="BI4063" i="1"/>
  <c r="BH4063" i="1"/>
  <c r="AS4063" i="1"/>
  <c r="BM4063" i="1" s="1"/>
  <c r="BP4062" i="1"/>
  <c r="BO4062" i="1"/>
  <c r="BN4062" i="1"/>
  <c r="BL4062" i="1"/>
  <c r="BK4062" i="1"/>
  <c r="BJ4062" i="1"/>
  <c r="BI4062" i="1"/>
  <c r="BH4062" i="1"/>
  <c r="AR4062" i="1"/>
  <c r="AN4062" i="1"/>
  <c r="BM4062" i="1" s="1"/>
  <c r="BP4061" i="1"/>
  <c r="BO4061" i="1"/>
  <c r="BN4061" i="1"/>
  <c r="BL4061" i="1"/>
  <c r="BK4061" i="1"/>
  <c r="BJ4061" i="1"/>
  <c r="BI4061" i="1"/>
  <c r="BH4061" i="1"/>
  <c r="AR4061" i="1"/>
  <c r="AN4061" i="1"/>
  <c r="BM4061" i="1" s="1"/>
  <c r="BP4060" i="1"/>
  <c r="BO4060" i="1"/>
  <c r="BN4060" i="1"/>
  <c r="BM4060" i="1"/>
  <c r="BL4060" i="1"/>
  <c r="BK4060" i="1"/>
  <c r="BJ4060" i="1"/>
  <c r="BI4060" i="1"/>
  <c r="BH4060" i="1"/>
  <c r="AR4060" i="1"/>
  <c r="AN4060" i="1"/>
  <c r="BP4059" i="1"/>
  <c r="BO4059" i="1"/>
  <c r="BN4059" i="1"/>
  <c r="BM4059" i="1"/>
  <c r="BL4059" i="1"/>
  <c r="BK4059" i="1"/>
  <c r="BJ4059" i="1"/>
  <c r="BI4059" i="1"/>
  <c r="BH4059" i="1"/>
  <c r="BP4058" i="1"/>
  <c r="BO4058" i="1"/>
  <c r="BN4058" i="1"/>
  <c r="BM4058" i="1"/>
  <c r="BL4058" i="1"/>
  <c r="BK4058" i="1"/>
  <c r="BJ4058" i="1"/>
  <c r="BI4058" i="1"/>
  <c r="BH4058" i="1"/>
  <c r="BP4057" i="1"/>
  <c r="BO4057" i="1"/>
  <c r="BN4057" i="1"/>
  <c r="BM4057" i="1"/>
  <c r="BL4057" i="1"/>
  <c r="BK4057" i="1"/>
  <c r="BJ4057" i="1"/>
  <c r="BI4057" i="1"/>
  <c r="BH4057" i="1"/>
  <c r="BP4056" i="1"/>
  <c r="BO4056" i="1"/>
  <c r="BN4056" i="1"/>
  <c r="BM4056" i="1"/>
  <c r="BL4056" i="1"/>
  <c r="BK4056" i="1"/>
  <c r="BJ4056" i="1"/>
  <c r="BI4056" i="1"/>
  <c r="BH4056" i="1"/>
  <c r="BP4055" i="1"/>
  <c r="BO4055" i="1"/>
  <c r="BN4055" i="1"/>
  <c r="BM4055" i="1"/>
  <c r="BL4055" i="1"/>
  <c r="BK4055" i="1"/>
  <c r="BJ4055" i="1"/>
  <c r="BI4055" i="1"/>
  <c r="BH4055" i="1"/>
  <c r="BP4054" i="1"/>
  <c r="BO4054" i="1"/>
  <c r="BN4054" i="1"/>
  <c r="BM4054" i="1"/>
  <c r="BL4054" i="1"/>
  <c r="BK4054" i="1"/>
  <c r="BJ4054" i="1"/>
  <c r="BI4054" i="1"/>
  <c r="BH4054" i="1"/>
  <c r="BP4053" i="1"/>
  <c r="BO4053" i="1"/>
  <c r="BN4053" i="1"/>
  <c r="BM4053" i="1"/>
  <c r="BL4053" i="1"/>
  <c r="BK4053" i="1"/>
  <c r="BJ4053" i="1"/>
  <c r="BI4053" i="1"/>
  <c r="BH4053" i="1"/>
  <c r="BP4052" i="1"/>
  <c r="BO4052" i="1"/>
  <c r="BN4052" i="1"/>
  <c r="BM4052" i="1"/>
  <c r="BL4052" i="1"/>
  <c r="BK4052" i="1"/>
  <c r="BJ4052" i="1"/>
  <c r="BI4052" i="1"/>
  <c r="BH4052" i="1"/>
  <c r="BP4051" i="1"/>
  <c r="BO4051" i="1"/>
  <c r="BN4051" i="1"/>
  <c r="BM4051" i="1"/>
  <c r="BL4051" i="1"/>
  <c r="BK4051" i="1"/>
  <c r="BJ4051" i="1"/>
  <c r="BI4051" i="1"/>
  <c r="BH4051" i="1"/>
  <c r="AA4051" i="1"/>
  <c r="BP4050" i="1"/>
  <c r="BO4050" i="1"/>
  <c r="BN4050" i="1"/>
  <c r="BM4050" i="1"/>
  <c r="BL4050" i="1"/>
  <c r="BK4050" i="1"/>
  <c r="BJ4050" i="1"/>
  <c r="BI4050" i="1"/>
  <c r="BH4050" i="1"/>
  <c r="AQ4050" i="1"/>
  <c r="AB4050" i="1"/>
  <c r="BP4049" i="1"/>
  <c r="BO4049" i="1"/>
  <c r="BN4049" i="1"/>
  <c r="BM4049" i="1"/>
  <c r="BL4049" i="1"/>
  <c r="BK4049" i="1"/>
  <c r="BJ4049" i="1"/>
  <c r="BI4049" i="1"/>
  <c r="BH4049" i="1"/>
  <c r="AP4049" i="1"/>
  <c r="BP4048" i="1"/>
  <c r="BO4048" i="1"/>
  <c r="BN4048" i="1"/>
  <c r="BL4048" i="1"/>
  <c r="BK4048" i="1"/>
  <c r="BJ4048" i="1"/>
  <c r="BI4048" i="1"/>
  <c r="BH4048" i="1"/>
  <c r="AQ4048" i="1"/>
  <c r="BM4048" i="1" s="1"/>
  <c r="BP4047" i="1"/>
  <c r="BO4047" i="1"/>
  <c r="BN4047" i="1"/>
  <c r="BM4047" i="1"/>
  <c r="BL4047" i="1"/>
  <c r="BK4047" i="1"/>
  <c r="BJ4047" i="1"/>
  <c r="BI4047" i="1"/>
  <c r="BH4047" i="1"/>
  <c r="BP4046" i="1"/>
  <c r="BO4046" i="1"/>
  <c r="BN4046" i="1"/>
  <c r="BL4046" i="1"/>
  <c r="BK4046" i="1"/>
  <c r="BJ4046" i="1"/>
  <c r="BI4046" i="1"/>
  <c r="BH4046" i="1"/>
  <c r="AS4046" i="1"/>
  <c r="AN4046" i="1"/>
  <c r="BP4045" i="1"/>
  <c r="BO4045" i="1"/>
  <c r="BN4045" i="1"/>
  <c r="BM4045" i="1"/>
  <c r="BL4045" i="1"/>
  <c r="BK4045" i="1"/>
  <c r="BJ4045" i="1"/>
  <c r="BI4045" i="1"/>
  <c r="BH4045" i="1"/>
  <c r="AS4045" i="1"/>
  <c r="AN4045" i="1"/>
  <c r="BP4044" i="1"/>
  <c r="BO4044" i="1"/>
  <c r="BN4044" i="1"/>
  <c r="BM4044" i="1"/>
  <c r="BL4044" i="1"/>
  <c r="BK4044" i="1"/>
  <c r="BJ4044" i="1"/>
  <c r="BI4044" i="1"/>
  <c r="BH4044" i="1"/>
  <c r="BP4043" i="1"/>
  <c r="BO4043" i="1"/>
  <c r="BN4043" i="1"/>
  <c r="BM4043" i="1"/>
  <c r="BL4043" i="1"/>
  <c r="BK4043" i="1"/>
  <c r="BJ4043" i="1"/>
  <c r="BI4043" i="1"/>
  <c r="BH4043" i="1"/>
  <c r="BP4042" i="1"/>
  <c r="BO4042" i="1"/>
  <c r="BN4042" i="1"/>
  <c r="BM4042" i="1"/>
  <c r="BL4042" i="1"/>
  <c r="BK4042" i="1"/>
  <c r="BJ4042" i="1"/>
  <c r="BI4042" i="1"/>
  <c r="BH4042" i="1"/>
  <c r="BP4041" i="1"/>
  <c r="BO4041" i="1"/>
  <c r="BN4041" i="1"/>
  <c r="BM4041" i="1"/>
  <c r="BL4041" i="1"/>
  <c r="BK4041" i="1"/>
  <c r="BJ4041" i="1"/>
  <c r="BI4041" i="1"/>
  <c r="BH4041" i="1"/>
  <c r="BP4040" i="1"/>
  <c r="BO4040" i="1"/>
  <c r="BN4040" i="1"/>
  <c r="BM4040" i="1"/>
  <c r="BL4040" i="1"/>
  <c r="BK4040" i="1"/>
  <c r="BJ4040" i="1"/>
  <c r="BI4040" i="1"/>
  <c r="BH4040" i="1"/>
  <c r="BP4039" i="1"/>
  <c r="BO4039" i="1"/>
  <c r="BN4039" i="1"/>
  <c r="BM4039" i="1"/>
  <c r="BL4039" i="1"/>
  <c r="BK4039" i="1"/>
  <c r="BJ4039" i="1"/>
  <c r="BI4039" i="1"/>
  <c r="BH4039" i="1"/>
  <c r="BP4038" i="1"/>
  <c r="BO4038" i="1"/>
  <c r="BN4038" i="1"/>
  <c r="BM4038" i="1"/>
  <c r="BL4038" i="1"/>
  <c r="BK4038" i="1"/>
  <c r="BJ4038" i="1"/>
  <c r="BI4038" i="1"/>
  <c r="BH4038" i="1"/>
  <c r="BP4037" i="1"/>
  <c r="BO4037" i="1"/>
  <c r="BN4037" i="1"/>
  <c r="BL4037" i="1"/>
  <c r="BK4037" i="1"/>
  <c r="BJ4037" i="1"/>
  <c r="BI4037" i="1"/>
  <c r="BH4037" i="1"/>
  <c r="AS4037" i="1"/>
  <c r="BM4037" i="1" s="1"/>
  <c r="BP4036" i="1"/>
  <c r="BO4036" i="1"/>
  <c r="BN4036" i="1"/>
  <c r="BL4036" i="1"/>
  <c r="BK4036" i="1"/>
  <c r="BJ4036" i="1"/>
  <c r="BI4036" i="1"/>
  <c r="BH4036" i="1"/>
  <c r="AS4036" i="1"/>
  <c r="BM4036" i="1" s="1"/>
  <c r="BP4035" i="1"/>
  <c r="BO4035" i="1"/>
  <c r="BN4035" i="1"/>
  <c r="BM4035" i="1"/>
  <c r="BL4035" i="1"/>
  <c r="BK4035" i="1"/>
  <c r="BJ4035" i="1"/>
  <c r="BI4035" i="1"/>
  <c r="BH4035" i="1"/>
  <c r="AR4035" i="1"/>
  <c r="AN4035" i="1"/>
  <c r="BP4034" i="1"/>
  <c r="BO4034" i="1"/>
  <c r="BN4034" i="1"/>
  <c r="BM4034" i="1"/>
  <c r="BL4034" i="1"/>
  <c r="BK4034" i="1"/>
  <c r="BJ4034" i="1"/>
  <c r="BI4034" i="1"/>
  <c r="BH4034" i="1"/>
  <c r="AR4034" i="1"/>
  <c r="AN4034" i="1"/>
  <c r="BP4033" i="1"/>
  <c r="BO4033" i="1"/>
  <c r="BN4033" i="1"/>
  <c r="BM4033" i="1"/>
  <c r="BL4033" i="1"/>
  <c r="BK4033" i="1"/>
  <c r="BJ4033" i="1"/>
  <c r="BI4033" i="1"/>
  <c r="BH4033" i="1"/>
  <c r="BP4032" i="1"/>
  <c r="BO4032" i="1"/>
  <c r="BN4032" i="1"/>
  <c r="BM4032" i="1"/>
  <c r="BL4032" i="1"/>
  <c r="BK4032" i="1"/>
  <c r="BJ4032" i="1"/>
  <c r="BI4032" i="1"/>
  <c r="BH4032" i="1"/>
  <c r="BP4031" i="1"/>
  <c r="BO4031" i="1"/>
  <c r="BN4031" i="1"/>
  <c r="BM4031" i="1"/>
  <c r="BL4031" i="1"/>
  <c r="BK4031" i="1"/>
  <c r="BJ4031" i="1"/>
  <c r="BI4031" i="1"/>
  <c r="BH4031" i="1"/>
  <c r="BE4031" i="1"/>
  <c r="BP4030" i="1"/>
  <c r="BO4030" i="1"/>
  <c r="BN4030" i="1"/>
  <c r="BM4030" i="1"/>
  <c r="BL4030" i="1"/>
  <c r="BK4030" i="1"/>
  <c r="BJ4030" i="1"/>
  <c r="BI4030" i="1"/>
  <c r="BH4030" i="1"/>
  <c r="BP4029" i="1"/>
  <c r="BO4029" i="1"/>
  <c r="BN4029" i="1"/>
  <c r="BM4029" i="1"/>
  <c r="BL4029" i="1"/>
  <c r="BK4029" i="1"/>
  <c r="BJ4029" i="1"/>
  <c r="BI4029" i="1"/>
  <c r="BH4029" i="1"/>
  <c r="AR4029" i="1"/>
  <c r="BP4028" i="1"/>
  <c r="BO4028" i="1"/>
  <c r="BN4028" i="1"/>
  <c r="BM4028" i="1"/>
  <c r="BL4028" i="1"/>
  <c r="BK4028" i="1"/>
  <c r="BJ4028" i="1"/>
  <c r="BI4028" i="1"/>
  <c r="BH4028" i="1"/>
  <c r="AR4028" i="1"/>
  <c r="AQ4028" i="1"/>
  <c r="P4028" i="1"/>
  <c r="BP4027" i="1"/>
  <c r="BO4027" i="1"/>
  <c r="BN4027" i="1"/>
  <c r="BM4027" i="1"/>
  <c r="BL4027" i="1"/>
  <c r="BK4027" i="1"/>
  <c r="BJ4027" i="1"/>
  <c r="BI4027" i="1"/>
  <c r="BH4027" i="1"/>
  <c r="BP4026" i="1"/>
  <c r="BO4026" i="1"/>
  <c r="BN4026" i="1"/>
  <c r="BL4026" i="1"/>
  <c r="BK4026" i="1"/>
  <c r="BJ4026" i="1"/>
  <c r="BI4026" i="1"/>
  <c r="BH4026" i="1"/>
  <c r="AQ4026" i="1"/>
  <c r="BM4026" i="1" s="1"/>
  <c r="BP4025" i="1"/>
  <c r="BO4025" i="1"/>
  <c r="BN4025" i="1"/>
  <c r="BM4025" i="1"/>
  <c r="BL4025" i="1"/>
  <c r="BJ4025" i="1"/>
  <c r="BI4025" i="1"/>
  <c r="BH4025" i="1"/>
  <c r="V4025" i="1"/>
  <c r="BK4025" i="1" s="1"/>
  <c r="BP4024" i="1"/>
  <c r="BO4024" i="1"/>
  <c r="BN4024" i="1"/>
  <c r="BM4024" i="1"/>
  <c r="BL4024" i="1"/>
  <c r="BK4024" i="1"/>
  <c r="BJ4024" i="1"/>
  <c r="BI4024" i="1"/>
  <c r="BH4024" i="1"/>
  <c r="BP4023" i="1"/>
  <c r="BO4023" i="1"/>
  <c r="BN4023" i="1"/>
  <c r="BM4023" i="1"/>
  <c r="BL4023" i="1"/>
  <c r="BK4023" i="1"/>
  <c r="BJ4023" i="1"/>
  <c r="BI4023" i="1"/>
  <c r="BH4023" i="1"/>
  <c r="BP4022" i="1"/>
  <c r="BO4022" i="1"/>
  <c r="BN4022" i="1"/>
  <c r="BM4022" i="1"/>
  <c r="BL4022" i="1"/>
  <c r="BK4022" i="1"/>
  <c r="BJ4022" i="1"/>
  <c r="BI4022" i="1"/>
  <c r="BH4022" i="1"/>
  <c r="BP4021" i="1"/>
  <c r="BO4021" i="1"/>
  <c r="BN4021" i="1"/>
  <c r="BL4021" i="1"/>
  <c r="BK4021" i="1"/>
  <c r="BJ4021" i="1"/>
  <c r="BI4021" i="1"/>
  <c r="BH4021" i="1"/>
  <c r="AS4021" i="1"/>
  <c r="AN4021" i="1"/>
  <c r="BP4020" i="1"/>
  <c r="BO4020" i="1"/>
  <c r="BN4020" i="1"/>
  <c r="BL4020" i="1"/>
  <c r="BK4020" i="1"/>
  <c r="BJ4020" i="1"/>
  <c r="BI4020" i="1"/>
  <c r="BH4020" i="1"/>
  <c r="AS4020" i="1"/>
  <c r="BM4020" i="1" s="1"/>
  <c r="BP4019" i="1"/>
  <c r="BO4019" i="1"/>
  <c r="BN4019" i="1"/>
  <c r="BM4019" i="1"/>
  <c r="BL4019" i="1"/>
  <c r="BK4019" i="1"/>
  <c r="BJ4019" i="1"/>
  <c r="BI4019" i="1"/>
  <c r="BH4019" i="1"/>
  <c r="AS4019" i="1"/>
  <c r="BP4018" i="1"/>
  <c r="BO4018" i="1"/>
  <c r="BN4018" i="1"/>
  <c r="BM4018" i="1"/>
  <c r="BL4018" i="1"/>
  <c r="BK4018" i="1"/>
  <c r="BJ4018" i="1"/>
  <c r="BI4018" i="1"/>
  <c r="BH4018" i="1"/>
  <c r="BP4017" i="1"/>
  <c r="BO4017" i="1"/>
  <c r="BN4017" i="1"/>
  <c r="BM4017" i="1"/>
  <c r="BL4017" i="1"/>
  <c r="BK4017" i="1"/>
  <c r="BJ4017" i="1"/>
  <c r="BI4017" i="1"/>
  <c r="BH4017" i="1"/>
  <c r="BP4016" i="1"/>
  <c r="BO4016" i="1"/>
  <c r="BN4016" i="1"/>
  <c r="BM4016" i="1"/>
  <c r="BL4016" i="1"/>
  <c r="BK4016" i="1"/>
  <c r="BJ4016" i="1"/>
  <c r="BI4016" i="1"/>
  <c r="BH4016" i="1"/>
  <c r="BP4015" i="1"/>
  <c r="BO4015" i="1"/>
  <c r="BN4015" i="1"/>
  <c r="BL4015" i="1"/>
  <c r="BK4015" i="1"/>
  <c r="BJ4015" i="1"/>
  <c r="BI4015" i="1"/>
  <c r="BH4015" i="1"/>
  <c r="AQ4015" i="1"/>
  <c r="BM4015" i="1" s="1"/>
  <c r="BP4014" i="1"/>
  <c r="BO4014" i="1"/>
  <c r="BN4014" i="1"/>
  <c r="BM4014" i="1"/>
  <c r="BL4014" i="1"/>
  <c r="BK4014" i="1"/>
  <c r="BJ4014" i="1"/>
  <c r="BI4014" i="1"/>
  <c r="BH4014" i="1"/>
  <c r="AB4014" i="1"/>
  <c r="BP4013" i="1"/>
  <c r="BO4013" i="1"/>
  <c r="BN4013" i="1"/>
  <c r="BM4013" i="1"/>
  <c r="BL4013" i="1"/>
  <c r="BK4013" i="1"/>
  <c r="BJ4013" i="1"/>
  <c r="BI4013" i="1"/>
  <c r="BH4013" i="1"/>
  <c r="AS4013" i="1"/>
  <c r="AN4013" i="1"/>
  <c r="BP4012" i="1"/>
  <c r="BO4012" i="1"/>
  <c r="BN4012" i="1"/>
  <c r="BM4012" i="1"/>
  <c r="BL4012" i="1"/>
  <c r="BK4012" i="1"/>
  <c r="BJ4012" i="1"/>
  <c r="BI4012" i="1"/>
  <c r="BH4012" i="1"/>
  <c r="AS4012" i="1"/>
  <c r="AN4012" i="1"/>
  <c r="BP4011" i="1"/>
  <c r="BO4011" i="1"/>
  <c r="BN4011" i="1"/>
  <c r="BM4011" i="1"/>
  <c r="BL4011" i="1"/>
  <c r="BK4011" i="1"/>
  <c r="BJ4011" i="1"/>
  <c r="BI4011" i="1"/>
  <c r="BH4011" i="1"/>
  <c r="AR4011" i="1"/>
  <c r="AN4011" i="1"/>
  <c r="BP4010" i="1"/>
  <c r="BO4010" i="1"/>
  <c r="BN4010" i="1"/>
  <c r="BM4010" i="1"/>
  <c r="BL4010" i="1"/>
  <c r="BK4010" i="1"/>
  <c r="BJ4010" i="1"/>
  <c r="BI4010" i="1"/>
  <c r="BH4010" i="1"/>
  <c r="BP4009" i="1"/>
  <c r="BO4009" i="1"/>
  <c r="BN4009" i="1"/>
  <c r="BM4009" i="1"/>
  <c r="BL4009" i="1"/>
  <c r="BJ4009" i="1"/>
  <c r="BI4009" i="1"/>
  <c r="BH4009" i="1"/>
  <c r="V4009" i="1"/>
  <c r="BK4009" i="1" s="1"/>
  <c r="BP4008" i="1"/>
  <c r="BO4008" i="1"/>
  <c r="BN4008" i="1"/>
  <c r="BM4008" i="1"/>
  <c r="BL4008" i="1"/>
  <c r="BK4008" i="1"/>
  <c r="BJ4008" i="1"/>
  <c r="BI4008" i="1"/>
  <c r="BH4008" i="1"/>
  <c r="BP4007" i="1"/>
  <c r="BO4007" i="1"/>
  <c r="BN4007" i="1"/>
  <c r="BM4007" i="1"/>
  <c r="BL4007" i="1"/>
  <c r="BK4007" i="1"/>
  <c r="BJ4007" i="1"/>
  <c r="BI4007" i="1"/>
  <c r="BH4007" i="1"/>
  <c r="BP4006" i="1"/>
  <c r="BO4006" i="1"/>
  <c r="BN4006" i="1"/>
  <c r="BM4006" i="1"/>
  <c r="BL4006" i="1"/>
  <c r="BK4006" i="1"/>
  <c r="BJ4006" i="1"/>
  <c r="BI4006" i="1"/>
  <c r="BH4006" i="1"/>
  <c r="BP4005" i="1"/>
  <c r="BO4005" i="1"/>
  <c r="BN4005" i="1"/>
  <c r="BL4005" i="1"/>
  <c r="BK4005" i="1"/>
  <c r="BJ4005" i="1"/>
  <c r="BI4005" i="1"/>
  <c r="BH4005" i="1"/>
  <c r="AB4005" i="1"/>
  <c r="BM4005" i="1" s="1"/>
  <c r="BP4004" i="1"/>
  <c r="BO4004" i="1"/>
  <c r="BN4004" i="1"/>
  <c r="BL4004" i="1"/>
  <c r="BK4004" i="1"/>
  <c r="BJ4004" i="1"/>
  <c r="BI4004" i="1"/>
  <c r="BH4004" i="1"/>
  <c r="AS4004" i="1"/>
  <c r="AN4004" i="1"/>
  <c r="BM4004" i="1" s="1"/>
  <c r="BP4003" i="1"/>
  <c r="BO4003" i="1"/>
  <c r="BN4003" i="1"/>
  <c r="BM4003" i="1"/>
  <c r="BL4003" i="1"/>
  <c r="BK4003" i="1"/>
  <c r="BJ4003" i="1"/>
  <c r="BI4003" i="1"/>
  <c r="BH4003" i="1"/>
  <c r="AS4003" i="1"/>
  <c r="BP4002" i="1"/>
  <c r="BO4002" i="1"/>
  <c r="BN4002" i="1"/>
  <c r="BM4002" i="1"/>
  <c r="BL4002" i="1"/>
  <c r="BK4002" i="1"/>
  <c r="BJ4002" i="1"/>
  <c r="BI4002" i="1"/>
  <c r="BH4002" i="1"/>
  <c r="AR4002" i="1"/>
  <c r="AN4002" i="1"/>
  <c r="BP4001" i="1"/>
  <c r="BO4001" i="1"/>
  <c r="BN4001" i="1"/>
  <c r="BM4001" i="1"/>
  <c r="BL4001" i="1"/>
  <c r="BK4001" i="1"/>
  <c r="BJ4001" i="1"/>
  <c r="BI4001" i="1"/>
  <c r="BH4001" i="1"/>
  <c r="AR4001" i="1"/>
  <c r="AN4001" i="1"/>
  <c r="BP4000" i="1"/>
  <c r="BO4000" i="1"/>
  <c r="BN4000" i="1"/>
  <c r="BM4000" i="1"/>
  <c r="BL4000" i="1"/>
  <c r="BK4000" i="1"/>
  <c r="BJ4000" i="1"/>
  <c r="BI4000" i="1"/>
  <c r="BH4000" i="1"/>
  <c r="BP3999" i="1"/>
  <c r="BO3999" i="1"/>
  <c r="BN3999" i="1"/>
  <c r="BM3999" i="1"/>
  <c r="BL3999" i="1"/>
  <c r="BK3999" i="1"/>
  <c r="BJ3999" i="1"/>
  <c r="BI3999" i="1"/>
  <c r="BH3999" i="1"/>
  <c r="BP3998" i="1"/>
  <c r="BO3998" i="1"/>
  <c r="BN3998" i="1"/>
  <c r="BM3998" i="1"/>
  <c r="BL3998" i="1"/>
  <c r="BK3998" i="1"/>
  <c r="BJ3998" i="1"/>
  <c r="BI3998" i="1"/>
  <c r="BH3998" i="1"/>
  <c r="BP3997" i="1"/>
  <c r="BO3997" i="1"/>
  <c r="BN3997" i="1"/>
  <c r="BM3997" i="1"/>
  <c r="BL3997" i="1"/>
  <c r="BK3997" i="1"/>
  <c r="BJ3997" i="1"/>
  <c r="BI3997" i="1"/>
  <c r="BH3997" i="1"/>
  <c r="BE3997" i="1"/>
  <c r="BP3996" i="1"/>
  <c r="BO3996" i="1"/>
  <c r="BN3996" i="1"/>
  <c r="BM3996" i="1"/>
  <c r="BL3996" i="1"/>
  <c r="BK3996" i="1"/>
  <c r="BJ3996" i="1"/>
  <c r="BG3996" i="1"/>
  <c r="BC3996" i="1"/>
  <c r="AU3996" i="1"/>
  <c r="AT3996" i="1"/>
  <c r="AA3996" i="1"/>
  <c r="Z3996" i="1"/>
  <c r="U3996" i="1"/>
  <c r="S3996" i="1"/>
  <c r="O3996" i="1"/>
  <c r="BI3996" i="1" s="1"/>
  <c r="E3996" i="1"/>
  <c r="C3996" i="1"/>
  <c r="BH3996" i="1" s="1"/>
  <c r="BP3995" i="1"/>
  <c r="BO3995" i="1"/>
  <c r="BN3995" i="1"/>
  <c r="BM3995" i="1"/>
  <c r="BL3995" i="1"/>
  <c r="BK3995" i="1"/>
  <c r="BJ3995" i="1"/>
  <c r="BI3995" i="1"/>
  <c r="BH3995" i="1"/>
  <c r="BP3994" i="1"/>
  <c r="BO3994" i="1"/>
  <c r="BN3994" i="1"/>
  <c r="BL3994" i="1"/>
  <c r="BK3994" i="1"/>
  <c r="BJ3994" i="1"/>
  <c r="BI3994" i="1"/>
  <c r="BH3994" i="1"/>
  <c r="AS3994" i="1"/>
  <c r="BM3994" i="1" s="1"/>
  <c r="BP3993" i="1"/>
  <c r="BO3993" i="1"/>
  <c r="BN3993" i="1"/>
  <c r="BM3993" i="1"/>
  <c r="BL3993" i="1"/>
  <c r="BK3993" i="1"/>
  <c r="BJ3993" i="1"/>
  <c r="BI3993" i="1"/>
  <c r="BH3993" i="1"/>
  <c r="AS3993" i="1"/>
  <c r="AN3993" i="1"/>
  <c r="BP3992" i="1"/>
  <c r="BO3992" i="1"/>
  <c r="BN3992" i="1"/>
  <c r="BM3992" i="1"/>
  <c r="BL3992" i="1"/>
  <c r="BK3992" i="1"/>
  <c r="BJ3992" i="1"/>
  <c r="BI3992" i="1"/>
  <c r="BH3992" i="1"/>
  <c r="BP3991" i="1"/>
  <c r="BO3991" i="1"/>
  <c r="BN3991" i="1"/>
  <c r="BM3991" i="1"/>
  <c r="BL3991" i="1"/>
  <c r="BK3991" i="1"/>
  <c r="BJ3991" i="1"/>
  <c r="BI3991" i="1"/>
  <c r="BH3991" i="1"/>
  <c r="BP3990" i="1"/>
  <c r="BO3990" i="1"/>
  <c r="BN3990" i="1"/>
  <c r="BM3990" i="1"/>
  <c r="BL3990" i="1"/>
  <c r="BJ3990" i="1"/>
  <c r="BI3990" i="1"/>
  <c r="BH3990" i="1"/>
  <c r="V3990" i="1"/>
  <c r="BK3990" i="1" s="1"/>
  <c r="BP3989" i="1"/>
  <c r="BO3989" i="1"/>
  <c r="BN3989" i="1"/>
  <c r="BL3989" i="1"/>
  <c r="BK3989" i="1"/>
  <c r="BJ3989" i="1"/>
  <c r="BI3989" i="1"/>
  <c r="BH3989" i="1"/>
  <c r="AS3989" i="1"/>
  <c r="BM3989" i="1" s="1"/>
  <c r="BP3988" i="1"/>
  <c r="BO3988" i="1"/>
  <c r="BN3988" i="1"/>
  <c r="BM3988" i="1"/>
  <c r="BL3988" i="1"/>
  <c r="BK3988" i="1"/>
  <c r="BJ3988" i="1"/>
  <c r="BI3988" i="1"/>
  <c r="BH3988" i="1"/>
  <c r="AS3988" i="1"/>
  <c r="AN3988" i="1"/>
  <c r="BP3987" i="1"/>
  <c r="BO3987" i="1"/>
  <c r="BN3987" i="1"/>
  <c r="BM3987" i="1"/>
  <c r="BL3987" i="1"/>
  <c r="BK3987" i="1"/>
  <c r="BJ3987" i="1"/>
  <c r="BI3987" i="1"/>
  <c r="BH3987" i="1"/>
  <c r="AR3987" i="1"/>
  <c r="AN3987" i="1"/>
  <c r="BP3986" i="1"/>
  <c r="BO3986" i="1"/>
  <c r="BN3986" i="1"/>
  <c r="BM3986" i="1"/>
  <c r="BL3986" i="1"/>
  <c r="BK3986" i="1"/>
  <c r="BJ3986" i="1"/>
  <c r="BI3986" i="1"/>
  <c r="BH3986" i="1"/>
  <c r="AR3986" i="1"/>
  <c r="AN3986" i="1"/>
  <c r="BP3985" i="1"/>
  <c r="BO3985" i="1"/>
  <c r="BN3985" i="1"/>
  <c r="BL3985" i="1"/>
  <c r="BK3985" i="1"/>
  <c r="BJ3985" i="1"/>
  <c r="BI3985" i="1"/>
  <c r="BH3985" i="1"/>
  <c r="AR3985" i="1"/>
  <c r="AN3985" i="1"/>
  <c r="BM3985" i="1" s="1"/>
  <c r="BP3984" i="1"/>
  <c r="BO3984" i="1"/>
  <c r="BN3984" i="1"/>
  <c r="BM3984" i="1"/>
  <c r="BL3984" i="1"/>
  <c r="BK3984" i="1"/>
  <c r="BJ3984" i="1"/>
  <c r="BI3984" i="1"/>
  <c r="BH3984" i="1"/>
  <c r="BP3983" i="1"/>
  <c r="BO3983" i="1"/>
  <c r="BN3983" i="1"/>
  <c r="BL3983" i="1"/>
  <c r="BK3983" i="1"/>
  <c r="BJ3983" i="1"/>
  <c r="BI3983" i="1"/>
  <c r="BH3983" i="1"/>
  <c r="AQ3983" i="1"/>
  <c r="BM3983" i="1" s="1"/>
  <c r="BP3982" i="1"/>
  <c r="BO3982" i="1"/>
  <c r="BN3982" i="1"/>
  <c r="BM3982" i="1"/>
  <c r="BL3982" i="1"/>
  <c r="BK3982" i="1"/>
  <c r="BJ3982" i="1"/>
  <c r="BI3982" i="1"/>
  <c r="BH3982" i="1"/>
  <c r="BP3981" i="1"/>
  <c r="BO3981" i="1"/>
  <c r="BN3981" i="1"/>
  <c r="BM3981" i="1"/>
  <c r="BL3981" i="1"/>
  <c r="BK3981" i="1"/>
  <c r="BJ3981" i="1"/>
  <c r="BI3981" i="1"/>
  <c r="BH3981" i="1"/>
  <c r="AR3981" i="1"/>
  <c r="AN3981" i="1"/>
  <c r="BP3980" i="1"/>
  <c r="BO3980" i="1"/>
  <c r="BN3980" i="1"/>
  <c r="BM3980" i="1"/>
  <c r="BL3980" i="1"/>
  <c r="BK3980" i="1"/>
  <c r="BJ3980" i="1"/>
  <c r="BI3980" i="1"/>
  <c r="BH3980" i="1"/>
  <c r="BP3979" i="1"/>
  <c r="BO3979" i="1"/>
  <c r="BN3979" i="1"/>
  <c r="BM3979" i="1"/>
  <c r="BL3979" i="1"/>
  <c r="BK3979" i="1"/>
  <c r="BJ3979" i="1"/>
  <c r="BI3979" i="1"/>
  <c r="BH3979" i="1"/>
  <c r="AP3979" i="1"/>
  <c r="BP3978" i="1"/>
  <c r="BO3978" i="1"/>
  <c r="BN3978" i="1"/>
  <c r="BM3978" i="1"/>
  <c r="BL3978" i="1"/>
  <c r="BK3978" i="1"/>
  <c r="BJ3978" i="1"/>
  <c r="BI3978" i="1"/>
  <c r="BH3978" i="1"/>
  <c r="BP3977" i="1"/>
  <c r="BO3977" i="1"/>
  <c r="BN3977" i="1"/>
  <c r="BL3977" i="1"/>
  <c r="BK3977" i="1"/>
  <c r="BJ3977" i="1"/>
  <c r="BI3977" i="1"/>
  <c r="BH3977" i="1"/>
  <c r="AQ3977" i="1"/>
  <c r="BM3977" i="1" s="1"/>
  <c r="BP3976" i="1"/>
  <c r="BO3976" i="1"/>
  <c r="BN3976" i="1"/>
  <c r="BM3976" i="1"/>
  <c r="BL3976" i="1"/>
  <c r="BK3976" i="1"/>
  <c r="BJ3976" i="1"/>
  <c r="BI3976" i="1"/>
  <c r="BH3976" i="1"/>
  <c r="BP3975" i="1"/>
  <c r="BO3975" i="1"/>
  <c r="BN3975" i="1"/>
  <c r="BM3975" i="1"/>
  <c r="BL3975" i="1"/>
  <c r="BK3975" i="1"/>
  <c r="BJ3975" i="1"/>
  <c r="BI3975" i="1"/>
  <c r="BH3975" i="1"/>
  <c r="BP3974" i="1"/>
  <c r="BO3974" i="1"/>
  <c r="BN3974" i="1"/>
  <c r="BM3974" i="1"/>
  <c r="BL3974" i="1"/>
  <c r="BK3974" i="1"/>
  <c r="BJ3974" i="1"/>
  <c r="BI3974" i="1"/>
  <c r="BH3974" i="1"/>
  <c r="V3974" i="1"/>
  <c r="BP3973" i="1"/>
  <c r="BO3973" i="1"/>
  <c r="BN3973" i="1"/>
  <c r="BM3973" i="1"/>
  <c r="BL3973" i="1"/>
  <c r="BK3973" i="1"/>
  <c r="BJ3973" i="1"/>
  <c r="BI3973" i="1"/>
  <c r="BH3973" i="1"/>
  <c r="BP3972" i="1"/>
  <c r="BO3972" i="1"/>
  <c r="BN3972" i="1"/>
  <c r="BM3972" i="1"/>
  <c r="BL3972" i="1"/>
  <c r="BK3972" i="1"/>
  <c r="BJ3972" i="1"/>
  <c r="BI3972" i="1"/>
  <c r="BH3972" i="1"/>
  <c r="BP3971" i="1"/>
  <c r="BO3971" i="1"/>
  <c r="BN3971" i="1"/>
  <c r="BM3971" i="1"/>
  <c r="BL3971" i="1"/>
  <c r="BK3971" i="1"/>
  <c r="BJ3971" i="1"/>
  <c r="BI3971" i="1"/>
  <c r="BH3971" i="1"/>
  <c r="AR3971" i="1"/>
  <c r="AN3971" i="1"/>
  <c r="BP3970" i="1"/>
  <c r="BO3970" i="1"/>
  <c r="BN3970" i="1"/>
  <c r="BL3970" i="1"/>
  <c r="BK3970" i="1"/>
  <c r="BJ3970" i="1"/>
  <c r="BI3970" i="1"/>
  <c r="BH3970" i="1"/>
  <c r="AR3970" i="1"/>
  <c r="AN3970" i="1"/>
  <c r="BM3970" i="1" s="1"/>
  <c r="BP3969" i="1"/>
  <c r="BO3969" i="1"/>
  <c r="BN3969" i="1"/>
  <c r="BL3969" i="1"/>
  <c r="BK3969" i="1"/>
  <c r="BJ3969" i="1"/>
  <c r="BI3969" i="1"/>
  <c r="BH3969" i="1"/>
  <c r="AS3969" i="1"/>
  <c r="AN3969" i="1"/>
  <c r="BM3969" i="1" s="1"/>
  <c r="BP3968" i="1"/>
  <c r="BO3968" i="1"/>
  <c r="BN3968" i="1"/>
  <c r="BM3968" i="1"/>
  <c r="BL3968" i="1"/>
  <c r="BK3968" i="1"/>
  <c r="BJ3968" i="1"/>
  <c r="BI3968" i="1"/>
  <c r="BH3968" i="1"/>
  <c r="AS3968" i="1"/>
  <c r="AN3968" i="1"/>
  <c r="BP3967" i="1"/>
  <c r="BO3967" i="1"/>
  <c r="BN3967" i="1"/>
  <c r="BM3967" i="1"/>
  <c r="BL3967" i="1"/>
  <c r="BK3967" i="1"/>
  <c r="BJ3967" i="1"/>
  <c r="BI3967" i="1"/>
  <c r="BH3967" i="1"/>
  <c r="AQ3967" i="1"/>
  <c r="BP3966" i="1"/>
  <c r="BO3966" i="1"/>
  <c r="BN3966" i="1"/>
  <c r="BM3966" i="1"/>
  <c r="BL3966" i="1"/>
  <c r="BK3966" i="1"/>
  <c r="BJ3966" i="1"/>
  <c r="BI3966" i="1"/>
  <c r="BH3966" i="1"/>
  <c r="AS3966" i="1"/>
  <c r="BP3965" i="1"/>
  <c r="BO3965" i="1"/>
  <c r="BN3965" i="1"/>
  <c r="BL3965" i="1"/>
  <c r="BK3965" i="1"/>
  <c r="BJ3965" i="1"/>
  <c r="BI3965" i="1"/>
  <c r="BH3965" i="1"/>
  <c r="AS3965" i="1"/>
  <c r="BM3965" i="1" s="1"/>
  <c r="BP3964" i="1"/>
  <c r="BO3964" i="1"/>
  <c r="BN3964" i="1"/>
  <c r="BM3964" i="1"/>
  <c r="BL3964" i="1"/>
  <c r="BK3964" i="1"/>
  <c r="BJ3964" i="1"/>
  <c r="BI3964" i="1"/>
  <c r="BH3964" i="1"/>
  <c r="BP3963" i="1"/>
  <c r="BO3963" i="1"/>
  <c r="BN3963" i="1"/>
  <c r="BM3963" i="1"/>
  <c r="BL3963" i="1"/>
  <c r="BK3963" i="1"/>
  <c r="BJ3963" i="1"/>
  <c r="BI3963" i="1"/>
  <c r="BH3963" i="1"/>
  <c r="BP3962" i="1"/>
  <c r="BO3962" i="1"/>
  <c r="BN3962" i="1"/>
  <c r="BM3962" i="1"/>
  <c r="BL3962" i="1"/>
  <c r="BK3962" i="1"/>
  <c r="BJ3962" i="1"/>
  <c r="BI3962" i="1"/>
  <c r="BH3962" i="1"/>
  <c r="BP3961" i="1"/>
  <c r="BN3961" i="1"/>
  <c r="BM3961" i="1"/>
  <c r="BL3961" i="1"/>
  <c r="BK3961" i="1"/>
  <c r="BJ3961" i="1"/>
  <c r="BI3961" i="1"/>
  <c r="BH3961" i="1"/>
  <c r="BE3961" i="1"/>
  <c r="BO3961" i="1" s="1"/>
  <c r="BP3960" i="1"/>
  <c r="BO3960" i="1"/>
  <c r="BN3960" i="1"/>
  <c r="BM3960" i="1"/>
  <c r="BL3960" i="1"/>
  <c r="BK3960" i="1"/>
  <c r="BJ3960" i="1"/>
  <c r="BI3960" i="1"/>
  <c r="BH3960" i="1"/>
  <c r="BP3959" i="1"/>
  <c r="BO3959" i="1"/>
  <c r="BN3959" i="1"/>
  <c r="BM3959" i="1"/>
  <c r="BL3959" i="1"/>
  <c r="BK3959" i="1"/>
  <c r="BJ3959" i="1"/>
  <c r="BI3959" i="1"/>
  <c r="BH3959" i="1"/>
  <c r="BP3958" i="1"/>
  <c r="BO3958" i="1"/>
  <c r="BN3958" i="1"/>
  <c r="BM3958" i="1"/>
  <c r="BL3958" i="1"/>
  <c r="BK3958" i="1"/>
  <c r="BJ3958" i="1"/>
  <c r="BI3958" i="1"/>
  <c r="BH3958" i="1"/>
  <c r="BP3957" i="1"/>
  <c r="BO3957" i="1"/>
  <c r="BN3957" i="1"/>
  <c r="BM3957" i="1"/>
  <c r="BL3957" i="1"/>
  <c r="BK3957" i="1"/>
  <c r="BJ3957" i="1"/>
  <c r="BI3957" i="1"/>
  <c r="AJ3957" i="1"/>
  <c r="J3957" i="1"/>
  <c r="BH3957" i="1" s="1"/>
  <c r="BP3956" i="1"/>
  <c r="BO3956" i="1"/>
  <c r="BN3956" i="1"/>
  <c r="BM3956" i="1"/>
  <c r="BL3956" i="1"/>
  <c r="BK3956" i="1"/>
  <c r="BJ3956" i="1"/>
  <c r="BI3956" i="1"/>
  <c r="BH3956" i="1"/>
  <c r="AR3956" i="1"/>
  <c r="AN3956" i="1"/>
  <c r="BP3955" i="1"/>
  <c r="BO3955" i="1"/>
  <c r="BN3955" i="1"/>
  <c r="BL3955" i="1"/>
  <c r="BK3955" i="1"/>
  <c r="BJ3955" i="1"/>
  <c r="BI3955" i="1"/>
  <c r="BH3955" i="1"/>
  <c r="AR3955" i="1"/>
  <c r="AN3955" i="1"/>
  <c r="BM3955" i="1" s="1"/>
  <c r="BP3954" i="1"/>
  <c r="BO3954" i="1"/>
  <c r="BN3954" i="1"/>
  <c r="BL3954" i="1"/>
  <c r="BK3954" i="1"/>
  <c r="BJ3954" i="1"/>
  <c r="BI3954" i="1"/>
  <c r="BH3954" i="1"/>
  <c r="AQ3954" i="1"/>
  <c r="AB3954" i="1"/>
  <c r="BP3953" i="1"/>
  <c r="BO3953" i="1"/>
  <c r="BN3953" i="1"/>
  <c r="BL3953" i="1"/>
  <c r="BK3953" i="1"/>
  <c r="BJ3953" i="1"/>
  <c r="BI3953" i="1"/>
  <c r="BH3953" i="1"/>
  <c r="AS3953" i="1"/>
  <c r="BM3953" i="1" s="1"/>
  <c r="BP3952" i="1"/>
  <c r="BO3952" i="1"/>
  <c r="BN3952" i="1"/>
  <c r="BM3952" i="1"/>
  <c r="BL3952" i="1"/>
  <c r="BK3952" i="1"/>
  <c r="BJ3952" i="1"/>
  <c r="BI3952" i="1"/>
  <c r="BH3952" i="1"/>
  <c r="AS3952" i="1"/>
  <c r="BP3951" i="1"/>
  <c r="BO3951" i="1"/>
  <c r="BN3951" i="1"/>
  <c r="BM3951" i="1"/>
  <c r="BL3951" i="1"/>
  <c r="BK3951" i="1"/>
  <c r="BJ3951" i="1"/>
  <c r="BI3951" i="1"/>
  <c r="BH3951" i="1"/>
  <c r="BP3950" i="1"/>
  <c r="BO3950" i="1"/>
  <c r="BN3950" i="1"/>
  <c r="BM3950" i="1"/>
  <c r="BL3950" i="1"/>
  <c r="BK3950" i="1"/>
  <c r="BJ3950" i="1"/>
  <c r="BI3950" i="1"/>
  <c r="BH3950" i="1"/>
  <c r="BP3949" i="1"/>
  <c r="BO3949" i="1"/>
  <c r="BN3949" i="1"/>
  <c r="BM3949" i="1"/>
  <c r="BL3949" i="1"/>
  <c r="BK3949" i="1"/>
  <c r="BJ3949" i="1"/>
  <c r="BI3949" i="1"/>
  <c r="BH3949" i="1"/>
  <c r="BP3948" i="1"/>
  <c r="BO3948" i="1"/>
  <c r="BN3948" i="1"/>
  <c r="BM3948" i="1"/>
  <c r="BL3948" i="1"/>
  <c r="BK3948" i="1"/>
  <c r="BJ3948" i="1"/>
  <c r="BI3948" i="1"/>
  <c r="BH3948" i="1"/>
  <c r="BE3948" i="1"/>
  <c r="BP3947" i="1"/>
  <c r="BO3947" i="1"/>
  <c r="BN3947" i="1"/>
  <c r="BM3947" i="1"/>
  <c r="BL3947" i="1"/>
  <c r="BK3947" i="1"/>
  <c r="BJ3947" i="1"/>
  <c r="BI3947" i="1"/>
  <c r="BH3947" i="1"/>
  <c r="AQ3947" i="1"/>
  <c r="BP3946" i="1"/>
  <c r="BO3946" i="1"/>
  <c r="BN3946" i="1"/>
  <c r="BM3946" i="1"/>
  <c r="BL3946" i="1"/>
  <c r="BK3946" i="1"/>
  <c r="BJ3946" i="1"/>
  <c r="BI3946" i="1"/>
  <c r="BH3946" i="1"/>
  <c r="AB3946" i="1"/>
  <c r="BP3945" i="1"/>
  <c r="BO3945" i="1"/>
  <c r="BN3945" i="1"/>
  <c r="BM3945" i="1"/>
  <c r="BL3945" i="1"/>
  <c r="BK3945" i="1"/>
  <c r="BJ3945" i="1"/>
  <c r="BI3945" i="1"/>
  <c r="BH3945" i="1"/>
  <c r="V3945" i="1"/>
  <c r="BP3944" i="1"/>
  <c r="BO3944" i="1"/>
  <c r="BN3944" i="1"/>
  <c r="BL3944" i="1"/>
  <c r="BK3944" i="1"/>
  <c r="BJ3944" i="1"/>
  <c r="BI3944" i="1"/>
  <c r="BH3944" i="1"/>
  <c r="AR3944" i="1"/>
  <c r="AN3944" i="1"/>
  <c r="AI3944" i="1"/>
  <c r="BP3943" i="1"/>
  <c r="BO3943" i="1"/>
  <c r="BN3943" i="1"/>
  <c r="BL3943" i="1"/>
  <c r="BK3943" i="1"/>
  <c r="BJ3943" i="1"/>
  <c r="BI3943" i="1"/>
  <c r="BH3943" i="1"/>
  <c r="AQ3943" i="1"/>
  <c r="BM3943" i="1" s="1"/>
  <c r="BP3942" i="1"/>
  <c r="BO3942" i="1"/>
  <c r="BN3942" i="1"/>
  <c r="BL3942" i="1"/>
  <c r="BK3942" i="1"/>
  <c r="BJ3942" i="1"/>
  <c r="BI3942" i="1"/>
  <c r="BH3942" i="1"/>
  <c r="AR3942" i="1"/>
  <c r="AN3942" i="1"/>
  <c r="BM3942" i="1" s="1"/>
  <c r="BP3941" i="1"/>
  <c r="BO3941" i="1"/>
  <c r="BN3941" i="1"/>
  <c r="BL3941" i="1"/>
  <c r="BK3941" i="1"/>
  <c r="BJ3941" i="1"/>
  <c r="BI3941" i="1"/>
  <c r="BH3941" i="1"/>
  <c r="AS3941" i="1"/>
  <c r="AN3941" i="1"/>
  <c r="BM3941" i="1" s="1"/>
  <c r="BP3940" i="1"/>
  <c r="BO3940" i="1"/>
  <c r="BN3940" i="1"/>
  <c r="BL3940" i="1"/>
  <c r="BK3940" i="1"/>
  <c r="BJ3940" i="1"/>
  <c r="BI3940" i="1"/>
  <c r="BH3940" i="1"/>
  <c r="AS3940" i="1"/>
  <c r="AN3940" i="1"/>
  <c r="BM3940" i="1" s="1"/>
  <c r="BP3939" i="1"/>
  <c r="BO3939" i="1"/>
  <c r="BN3939" i="1"/>
  <c r="BM3939" i="1"/>
  <c r="BL3939" i="1"/>
  <c r="BK3939" i="1"/>
  <c r="BJ3939" i="1"/>
  <c r="BI3939" i="1"/>
  <c r="BH3939" i="1"/>
  <c r="AS3939" i="1"/>
  <c r="BP3938" i="1"/>
  <c r="BO3938" i="1"/>
  <c r="BN3938" i="1"/>
  <c r="BM3938" i="1"/>
  <c r="BL3938" i="1"/>
  <c r="BK3938" i="1"/>
  <c r="BJ3938" i="1"/>
  <c r="BI3938" i="1"/>
  <c r="BH3938" i="1"/>
  <c r="AQ3938" i="1"/>
  <c r="BP3937" i="1"/>
  <c r="BO3937" i="1"/>
  <c r="BN3937" i="1"/>
  <c r="BM3937" i="1"/>
  <c r="BL3937" i="1"/>
  <c r="BK3937" i="1"/>
  <c r="BJ3937" i="1"/>
  <c r="BI3937" i="1"/>
  <c r="BH3937" i="1"/>
  <c r="AR3937" i="1"/>
  <c r="AQ3937" i="1"/>
  <c r="P3937" i="1"/>
  <c r="BP3936" i="1"/>
  <c r="BO3936" i="1"/>
  <c r="BN3936" i="1"/>
  <c r="BM3936" i="1"/>
  <c r="BL3936" i="1"/>
  <c r="BK3936" i="1"/>
  <c r="BJ3936" i="1"/>
  <c r="BI3936" i="1"/>
  <c r="BH3936" i="1"/>
  <c r="AR3936" i="1"/>
  <c r="AN3936" i="1"/>
  <c r="BP3935" i="1"/>
  <c r="BO3935" i="1"/>
  <c r="BN3935" i="1"/>
  <c r="BL3935" i="1"/>
  <c r="BK3935" i="1"/>
  <c r="BJ3935" i="1"/>
  <c r="BI3935" i="1"/>
  <c r="BH3935" i="1"/>
  <c r="AQ3935" i="1"/>
  <c r="BM3935" i="1" s="1"/>
  <c r="BP3934" i="1"/>
  <c r="BO3934" i="1"/>
  <c r="BN3934" i="1"/>
  <c r="BM3934" i="1"/>
  <c r="BL3934" i="1"/>
  <c r="BK3934" i="1"/>
  <c r="BJ3934" i="1"/>
  <c r="BI3934" i="1"/>
  <c r="BH3934" i="1"/>
  <c r="BP3933" i="1"/>
  <c r="BO3933" i="1"/>
  <c r="BN3933" i="1"/>
  <c r="BM3933" i="1"/>
  <c r="BL3933" i="1"/>
  <c r="BK3933" i="1"/>
  <c r="BJ3933" i="1"/>
  <c r="BI3933" i="1"/>
  <c r="BH3933" i="1"/>
  <c r="BP3932" i="1"/>
  <c r="BO3932" i="1"/>
  <c r="BN3932" i="1"/>
  <c r="BM3932" i="1"/>
  <c r="BL3932" i="1"/>
  <c r="BK3932" i="1"/>
  <c r="BJ3932" i="1"/>
  <c r="BI3932" i="1"/>
  <c r="BH3932" i="1"/>
  <c r="BP3931" i="1"/>
  <c r="BO3931" i="1"/>
  <c r="BN3931" i="1"/>
  <c r="BM3931" i="1"/>
  <c r="BL3931" i="1"/>
  <c r="BK3931" i="1"/>
  <c r="BJ3931" i="1"/>
  <c r="BI3931" i="1"/>
  <c r="BH3931" i="1"/>
  <c r="AA3931" i="1"/>
  <c r="BP3930" i="1"/>
  <c r="BO3930" i="1"/>
  <c r="BN3930" i="1"/>
  <c r="BL3930" i="1"/>
  <c r="BK3930" i="1"/>
  <c r="BJ3930" i="1"/>
  <c r="BI3930" i="1"/>
  <c r="BH3930" i="1"/>
  <c r="AR3930" i="1"/>
  <c r="AN3930" i="1"/>
  <c r="BM3930" i="1" s="1"/>
  <c r="BP3929" i="1"/>
  <c r="BO3929" i="1"/>
  <c r="BN3929" i="1"/>
  <c r="BL3929" i="1"/>
  <c r="BK3929" i="1"/>
  <c r="BJ3929" i="1"/>
  <c r="BI3929" i="1"/>
  <c r="BH3929" i="1"/>
  <c r="AS3929" i="1"/>
  <c r="AN3929" i="1"/>
  <c r="BM3929" i="1" s="1"/>
  <c r="BP3928" i="1"/>
  <c r="BO3928" i="1"/>
  <c r="BN3928" i="1"/>
  <c r="BL3928" i="1"/>
  <c r="BK3928" i="1"/>
  <c r="BJ3928" i="1"/>
  <c r="BI3928" i="1"/>
  <c r="BH3928" i="1"/>
  <c r="AS3928" i="1"/>
  <c r="AN3928" i="1"/>
  <c r="BM3928" i="1" s="1"/>
  <c r="BP3927" i="1"/>
  <c r="BO3927" i="1"/>
  <c r="BN3927" i="1"/>
  <c r="BL3927" i="1"/>
  <c r="BK3927" i="1"/>
  <c r="BJ3927" i="1"/>
  <c r="BI3927" i="1"/>
  <c r="BH3927" i="1"/>
  <c r="AS3927" i="1"/>
  <c r="BM3927" i="1" s="1"/>
  <c r="BP3926" i="1"/>
  <c r="BO3926" i="1"/>
  <c r="BN3926" i="1"/>
  <c r="BM3926" i="1"/>
  <c r="BL3926" i="1"/>
  <c r="BK3926" i="1"/>
  <c r="BJ3926" i="1"/>
  <c r="BI3926" i="1"/>
  <c r="BH3926" i="1"/>
  <c r="BP3925" i="1"/>
  <c r="BO3925" i="1"/>
  <c r="BN3925" i="1"/>
  <c r="BM3925" i="1"/>
  <c r="BL3925" i="1"/>
  <c r="BK3925" i="1"/>
  <c r="BJ3925" i="1"/>
  <c r="BI3925" i="1"/>
  <c r="BH3925" i="1"/>
  <c r="BP3924" i="1"/>
  <c r="BO3924" i="1"/>
  <c r="BN3924" i="1"/>
  <c r="BM3924" i="1"/>
  <c r="BL3924" i="1"/>
  <c r="BJ3924" i="1"/>
  <c r="BI3924" i="1"/>
  <c r="BH3924" i="1"/>
  <c r="V3924" i="1"/>
  <c r="BK3924" i="1" s="1"/>
  <c r="BP3923" i="1"/>
  <c r="BO3923" i="1"/>
  <c r="BN3923" i="1"/>
  <c r="BL3923" i="1"/>
  <c r="BK3923" i="1"/>
  <c r="BJ3923" i="1"/>
  <c r="BI3923" i="1"/>
  <c r="BH3923" i="1"/>
  <c r="AR3923" i="1"/>
  <c r="AQ3923" i="1"/>
  <c r="AI3923" i="1"/>
  <c r="P3923" i="1"/>
  <c r="BP3922" i="1"/>
  <c r="BO3922" i="1"/>
  <c r="BN3922" i="1"/>
  <c r="BM3922" i="1"/>
  <c r="BL3922" i="1"/>
  <c r="BK3922" i="1"/>
  <c r="BJ3922" i="1"/>
  <c r="BI3922" i="1"/>
  <c r="BH3922" i="1"/>
  <c r="BP3921" i="1"/>
  <c r="BO3921" i="1"/>
  <c r="BN3921" i="1"/>
  <c r="BM3921" i="1"/>
  <c r="BL3921" i="1"/>
  <c r="BK3921" i="1"/>
  <c r="BJ3921" i="1"/>
  <c r="BI3921" i="1"/>
  <c r="BH3921" i="1"/>
  <c r="BP3920" i="1"/>
  <c r="BO3920" i="1"/>
  <c r="BN3920" i="1"/>
  <c r="BM3920" i="1"/>
  <c r="BL3920" i="1"/>
  <c r="BK3920" i="1"/>
  <c r="BJ3920" i="1"/>
  <c r="BI3920" i="1"/>
  <c r="BH3920" i="1"/>
  <c r="AS3920" i="1"/>
  <c r="AN3920" i="1"/>
  <c r="BP3919" i="1"/>
  <c r="BO3919" i="1"/>
  <c r="BN3919" i="1"/>
  <c r="BL3919" i="1"/>
  <c r="BK3919" i="1"/>
  <c r="BJ3919" i="1"/>
  <c r="BI3919" i="1"/>
  <c r="BH3919" i="1"/>
  <c r="AS3919" i="1"/>
  <c r="BM3919" i="1" s="1"/>
  <c r="AN3919" i="1"/>
  <c r="BP3918" i="1"/>
  <c r="BO3918" i="1"/>
  <c r="BN3918" i="1"/>
  <c r="BM3918" i="1"/>
  <c r="BL3918" i="1"/>
  <c r="BK3918" i="1"/>
  <c r="BJ3918" i="1"/>
  <c r="BI3918" i="1"/>
  <c r="BH3918" i="1"/>
  <c r="AS3918" i="1"/>
  <c r="BP3917" i="1"/>
  <c r="BO3917" i="1"/>
  <c r="BN3917" i="1"/>
  <c r="BM3917" i="1"/>
  <c r="BL3917" i="1"/>
  <c r="BK3917" i="1"/>
  <c r="BJ3917" i="1"/>
  <c r="BI3917" i="1"/>
  <c r="BH3917" i="1"/>
  <c r="BP3916" i="1"/>
  <c r="BO3916" i="1"/>
  <c r="BN3916" i="1"/>
  <c r="BM3916" i="1"/>
  <c r="BL3916" i="1"/>
  <c r="BK3916" i="1"/>
  <c r="BJ3916" i="1"/>
  <c r="BI3916" i="1"/>
  <c r="BH3916" i="1"/>
  <c r="BP3915" i="1"/>
  <c r="BO3915" i="1"/>
  <c r="BN3915" i="1"/>
  <c r="BL3915" i="1"/>
  <c r="BK3915" i="1"/>
  <c r="BJ3915" i="1"/>
  <c r="BI3915" i="1"/>
  <c r="BH3915" i="1"/>
  <c r="AQ3915" i="1"/>
  <c r="BM3915" i="1" s="1"/>
  <c r="BP3914" i="1"/>
  <c r="BO3914" i="1"/>
  <c r="BN3914" i="1"/>
  <c r="BM3914" i="1"/>
  <c r="BL3914" i="1"/>
  <c r="BK3914" i="1"/>
  <c r="BJ3914" i="1"/>
  <c r="BI3914" i="1"/>
  <c r="BH3914" i="1"/>
  <c r="AA3914" i="1"/>
  <c r="BP3913" i="1"/>
  <c r="BO3913" i="1"/>
  <c r="BN3913" i="1"/>
  <c r="BL3913" i="1"/>
  <c r="BK3913" i="1"/>
  <c r="BJ3913" i="1"/>
  <c r="BI3913" i="1"/>
  <c r="BH3913" i="1"/>
  <c r="AR3913" i="1"/>
  <c r="AN3913" i="1"/>
  <c r="BM3913" i="1" s="1"/>
  <c r="BP3912" i="1"/>
  <c r="BO3912" i="1"/>
  <c r="BN3912" i="1"/>
  <c r="BL3912" i="1"/>
  <c r="BK3912" i="1"/>
  <c r="BJ3912" i="1"/>
  <c r="BI3912" i="1"/>
  <c r="BH3912" i="1"/>
  <c r="AR3912" i="1"/>
  <c r="AN3912" i="1"/>
  <c r="AI3912" i="1"/>
  <c r="BM3912" i="1" s="1"/>
  <c r="BP3911" i="1"/>
  <c r="BO3911" i="1"/>
  <c r="BN3911" i="1"/>
  <c r="BM3911" i="1"/>
  <c r="BL3911" i="1"/>
  <c r="BK3911" i="1"/>
  <c r="BJ3911" i="1"/>
  <c r="BI3911" i="1"/>
  <c r="BH3911" i="1"/>
  <c r="BP3910" i="1"/>
  <c r="BO3910" i="1"/>
  <c r="BN3910" i="1"/>
  <c r="BM3910" i="1"/>
  <c r="BL3910" i="1"/>
  <c r="BK3910" i="1"/>
  <c r="BJ3910" i="1"/>
  <c r="BI3910" i="1"/>
  <c r="BH3910" i="1"/>
  <c r="AB3910" i="1"/>
  <c r="BP3909" i="1"/>
  <c r="BO3909" i="1"/>
  <c r="BN3909" i="1"/>
  <c r="BM3909" i="1"/>
  <c r="BL3909" i="1"/>
  <c r="BK3909" i="1"/>
  <c r="BJ3909" i="1"/>
  <c r="BI3909" i="1"/>
  <c r="BH3909" i="1"/>
  <c r="BP3908" i="1"/>
  <c r="BO3908" i="1"/>
  <c r="BN3908" i="1"/>
  <c r="BK3908" i="1"/>
  <c r="BJ3908" i="1"/>
  <c r="BI3908" i="1"/>
  <c r="BH3908" i="1"/>
  <c r="AS3908" i="1"/>
  <c r="BM3908" i="1" s="1"/>
  <c r="AA3908" i="1"/>
  <c r="BL3908" i="1" s="1"/>
  <c r="L3908" i="1"/>
  <c r="BP3907" i="1"/>
  <c r="BO3907" i="1"/>
  <c r="BN3907" i="1"/>
  <c r="BK3907" i="1"/>
  <c r="BJ3907" i="1"/>
  <c r="BI3907" i="1"/>
  <c r="BH3907" i="1"/>
  <c r="AQ3907" i="1"/>
  <c r="BM3907" i="1" s="1"/>
  <c r="AA3907" i="1"/>
  <c r="BL3907" i="1" s="1"/>
  <c r="L3907" i="1"/>
  <c r="BP3906" i="1"/>
  <c r="BO3906" i="1"/>
  <c r="BN3906" i="1"/>
  <c r="BM3906" i="1"/>
  <c r="BL3906" i="1"/>
  <c r="BK3906" i="1"/>
  <c r="BJ3906" i="1"/>
  <c r="BI3906" i="1"/>
  <c r="BH3906" i="1"/>
  <c r="BP3905" i="1"/>
  <c r="BO3905" i="1"/>
  <c r="BN3905" i="1"/>
  <c r="BM3905" i="1"/>
  <c r="BL3905" i="1"/>
  <c r="BK3905" i="1"/>
  <c r="BJ3905" i="1"/>
  <c r="BI3905" i="1"/>
  <c r="BH3905" i="1"/>
  <c r="BP3904" i="1"/>
  <c r="BO3904" i="1"/>
  <c r="BN3904" i="1"/>
  <c r="BM3904" i="1"/>
  <c r="BL3904" i="1"/>
  <c r="BK3904" i="1"/>
  <c r="BJ3904" i="1"/>
  <c r="BI3904" i="1"/>
  <c r="BH3904" i="1"/>
  <c r="BP3903" i="1"/>
  <c r="BO3903" i="1"/>
  <c r="BN3903" i="1"/>
  <c r="BM3903" i="1"/>
  <c r="BL3903" i="1"/>
  <c r="BK3903" i="1"/>
  <c r="BJ3903" i="1"/>
  <c r="BI3903" i="1"/>
  <c r="BH3903" i="1"/>
  <c r="BP3902" i="1"/>
  <c r="BO3902" i="1"/>
  <c r="BN3902" i="1"/>
  <c r="BM3902" i="1"/>
  <c r="BL3902" i="1"/>
  <c r="BK3902" i="1"/>
  <c r="BJ3902" i="1"/>
  <c r="BI3902" i="1"/>
  <c r="BH3902" i="1"/>
  <c r="BP3901" i="1"/>
  <c r="BO3901" i="1"/>
  <c r="BN3901" i="1"/>
  <c r="BM3901" i="1"/>
  <c r="BL3901" i="1"/>
  <c r="BK3901" i="1"/>
  <c r="BJ3901" i="1"/>
  <c r="BI3901" i="1"/>
  <c r="BH3901" i="1"/>
  <c r="BE3901" i="1"/>
  <c r="BP3900" i="1"/>
  <c r="BO3900" i="1"/>
  <c r="BN3900" i="1"/>
  <c r="BM3900" i="1"/>
  <c r="BL3900" i="1"/>
  <c r="BK3900" i="1"/>
  <c r="BJ3900" i="1"/>
  <c r="BI3900" i="1"/>
  <c r="BH3900" i="1"/>
  <c r="AQ3900" i="1"/>
  <c r="BP3899" i="1"/>
  <c r="BO3899" i="1"/>
  <c r="BN3899" i="1"/>
  <c r="BM3899" i="1"/>
  <c r="BL3899" i="1"/>
  <c r="BK3899" i="1"/>
  <c r="BJ3899" i="1"/>
  <c r="BI3899" i="1"/>
  <c r="BH3899" i="1"/>
  <c r="BP3898" i="1"/>
  <c r="BO3898" i="1"/>
  <c r="BN3898" i="1"/>
  <c r="BM3898" i="1"/>
  <c r="BL3898" i="1"/>
  <c r="BK3898" i="1"/>
  <c r="BJ3898" i="1"/>
  <c r="BI3898" i="1"/>
  <c r="BH3898" i="1"/>
  <c r="BP3897" i="1"/>
  <c r="BO3897" i="1"/>
  <c r="BN3897" i="1"/>
  <c r="BL3897" i="1"/>
  <c r="BK3897" i="1"/>
  <c r="BJ3897" i="1"/>
  <c r="BI3897" i="1"/>
  <c r="BH3897" i="1"/>
  <c r="AJ3897" i="1"/>
  <c r="BM3897" i="1" s="1"/>
  <c r="J3897" i="1"/>
  <c r="BP3896" i="1"/>
  <c r="BO3896" i="1"/>
  <c r="BN3896" i="1"/>
  <c r="BL3896" i="1"/>
  <c r="BK3896" i="1"/>
  <c r="BJ3896" i="1"/>
  <c r="BI3896" i="1"/>
  <c r="BH3896" i="1"/>
  <c r="AB3896" i="1"/>
  <c r="BM3896" i="1" s="1"/>
  <c r="BP3895" i="1"/>
  <c r="BO3895" i="1"/>
  <c r="BN3895" i="1"/>
  <c r="BM3895" i="1"/>
  <c r="BL3895" i="1"/>
  <c r="BK3895" i="1"/>
  <c r="BJ3895" i="1"/>
  <c r="BI3895" i="1"/>
  <c r="BH3895" i="1"/>
  <c r="AS3895" i="1"/>
  <c r="AN3895" i="1"/>
  <c r="BP3894" i="1"/>
  <c r="BO3894" i="1"/>
  <c r="BN3894" i="1"/>
  <c r="BM3894" i="1"/>
  <c r="BL3894" i="1"/>
  <c r="BK3894" i="1"/>
  <c r="BJ3894" i="1"/>
  <c r="BI3894" i="1"/>
  <c r="BH3894" i="1"/>
  <c r="AS3894" i="1"/>
  <c r="BP3893" i="1"/>
  <c r="BO3893" i="1"/>
  <c r="BN3893" i="1"/>
  <c r="BM3893" i="1"/>
  <c r="BL3893" i="1"/>
  <c r="BK3893" i="1"/>
  <c r="BJ3893" i="1"/>
  <c r="BI3893" i="1"/>
  <c r="BH3893" i="1"/>
  <c r="AR3893" i="1"/>
  <c r="AN3893" i="1"/>
  <c r="BP3892" i="1"/>
  <c r="BO3892" i="1"/>
  <c r="BN3892" i="1"/>
  <c r="BL3892" i="1"/>
  <c r="BK3892" i="1"/>
  <c r="BJ3892" i="1"/>
  <c r="BI3892" i="1"/>
  <c r="BH3892" i="1"/>
  <c r="AR3892" i="1"/>
  <c r="AN3892" i="1"/>
  <c r="BM3892" i="1" s="1"/>
  <c r="BP3891" i="1"/>
  <c r="BO3891" i="1"/>
  <c r="BN3891" i="1"/>
  <c r="BM3891" i="1"/>
  <c r="BL3891" i="1"/>
  <c r="BK3891" i="1"/>
  <c r="BJ3891" i="1"/>
  <c r="BI3891" i="1"/>
  <c r="BH3891" i="1"/>
  <c r="BP3890" i="1"/>
  <c r="BO3890" i="1"/>
  <c r="BN3890" i="1"/>
  <c r="BM3890" i="1"/>
  <c r="BL3890" i="1"/>
  <c r="BK3890" i="1"/>
  <c r="BJ3890" i="1"/>
  <c r="BI3890" i="1"/>
  <c r="BH3890" i="1"/>
  <c r="BP3889" i="1"/>
  <c r="BO3889" i="1"/>
  <c r="BN3889" i="1"/>
  <c r="BM3889" i="1"/>
  <c r="BL3889" i="1"/>
  <c r="BK3889" i="1"/>
  <c r="BJ3889" i="1"/>
  <c r="BI3889" i="1"/>
  <c r="BH3889" i="1"/>
  <c r="AQ3889" i="1"/>
  <c r="BP3888" i="1"/>
  <c r="BO3888" i="1"/>
  <c r="BN3888" i="1"/>
  <c r="BM3888" i="1"/>
  <c r="BL3888" i="1"/>
  <c r="BK3888" i="1"/>
  <c r="BJ3888" i="1"/>
  <c r="BI3888" i="1"/>
  <c r="BH3888" i="1"/>
  <c r="V3888" i="1"/>
  <c r="BP3887" i="1"/>
  <c r="BO3887" i="1"/>
  <c r="BN3887" i="1"/>
  <c r="BM3887" i="1"/>
  <c r="BL3887" i="1"/>
  <c r="BK3887" i="1"/>
  <c r="BJ3887" i="1"/>
  <c r="BI3887" i="1"/>
  <c r="BH3887" i="1"/>
  <c r="BP3886" i="1"/>
  <c r="BO3886" i="1"/>
  <c r="BN3886" i="1"/>
  <c r="BM3886" i="1"/>
  <c r="BL3886" i="1"/>
  <c r="BK3886" i="1"/>
  <c r="BJ3886" i="1"/>
  <c r="BI3886" i="1"/>
  <c r="BH3886" i="1"/>
  <c r="BP3885" i="1"/>
  <c r="BO3885" i="1"/>
  <c r="BN3885" i="1"/>
  <c r="BM3885" i="1"/>
  <c r="BL3885" i="1"/>
  <c r="BK3885" i="1"/>
  <c r="BJ3885" i="1"/>
  <c r="BI3885" i="1"/>
  <c r="BH3885" i="1"/>
  <c r="BP3884" i="1"/>
  <c r="BO3884" i="1"/>
  <c r="BN3884" i="1"/>
  <c r="BM3884" i="1"/>
  <c r="BL3884" i="1"/>
  <c r="BK3884" i="1"/>
  <c r="BJ3884" i="1"/>
  <c r="BI3884" i="1"/>
  <c r="BH3884" i="1"/>
  <c r="BP3883" i="1"/>
  <c r="BO3883" i="1"/>
  <c r="BN3883" i="1"/>
  <c r="BM3883" i="1"/>
  <c r="BL3883" i="1"/>
  <c r="BK3883" i="1"/>
  <c r="BJ3883" i="1"/>
  <c r="BI3883" i="1"/>
  <c r="BH3883" i="1"/>
  <c r="BP3882" i="1"/>
  <c r="BO3882" i="1"/>
  <c r="BN3882" i="1"/>
  <c r="BL3882" i="1"/>
  <c r="BK3882" i="1"/>
  <c r="BJ3882" i="1"/>
  <c r="BI3882" i="1"/>
  <c r="BH3882" i="1"/>
  <c r="AS3882" i="1"/>
  <c r="AN3882" i="1"/>
  <c r="BP3881" i="1"/>
  <c r="BO3881" i="1"/>
  <c r="BN3881" i="1"/>
  <c r="BL3881" i="1"/>
  <c r="BK3881" i="1"/>
  <c r="BJ3881" i="1"/>
  <c r="BI3881" i="1"/>
  <c r="BH3881" i="1"/>
  <c r="AS3881" i="1"/>
  <c r="BM3881" i="1" s="1"/>
  <c r="BP3880" i="1"/>
  <c r="BO3880" i="1"/>
  <c r="BN3880" i="1"/>
  <c r="BM3880" i="1"/>
  <c r="BL3880" i="1"/>
  <c r="BK3880" i="1"/>
  <c r="BJ3880" i="1"/>
  <c r="BI3880" i="1"/>
  <c r="BH3880" i="1"/>
  <c r="BP3879" i="1"/>
  <c r="BO3879" i="1"/>
  <c r="BN3879" i="1"/>
  <c r="BM3879" i="1"/>
  <c r="BL3879" i="1"/>
  <c r="BK3879" i="1"/>
  <c r="BJ3879" i="1"/>
  <c r="BI3879" i="1"/>
  <c r="BH3879" i="1"/>
  <c r="BP3878" i="1"/>
  <c r="BO3878" i="1"/>
  <c r="BN3878" i="1"/>
  <c r="BM3878" i="1"/>
  <c r="BL3878" i="1"/>
  <c r="BK3878" i="1"/>
  <c r="BJ3878" i="1"/>
  <c r="BI3878" i="1"/>
  <c r="BH3878" i="1"/>
  <c r="BP3877" i="1"/>
  <c r="BO3877" i="1"/>
  <c r="BN3877" i="1"/>
  <c r="BL3877" i="1"/>
  <c r="BK3877" i="1"/>
  <c r="BJ3877" i="1"/>
  <c r="BI3877" i="1"/>
  <c r="BH3877" i="1"/>
  <c r="AQ3877" i="1"/>
  <c r="BM3877" i="1" s="1"/>
  <c r="BP3876" i="1"/>
  <c r="BO3876" i="1"/>
  <c r="BN3876" i="1"/>
  <c r="BL3876" i="1"/>
  <c r="BK3876" i="1"/>
  <c r="BJ3876" i="1"/>
  <c r="BI3876" i="1"/>
  <c r="BH3876" i="1"/>
  <c r="AR3876" i="1"/>
  <c r="AN3876" i="1"/>
  <c r="BM3876" i="1" s="1"/>
  <c r="BP3875" i="1"/>
  <c r="BO3875" i="1"/>
  <c r="BN3875" i="1"/>
  <c r="BL3875" i="1"/>
  <c r="BK3875" i="1"/>
  <c r="BJ3875" i="1"/>
  <c r="BI3875" i="1"/>
  <c r="BH3875" i="1"/>
  <c r="AR3875" i="1"/>
  <c r="AN3875" i="1"/>
  <c r="AI3875" i="1"/>
  <c r="BP3874" i="1"/>
  <c r="BO3874" i="1"/>
  <c r="BN3874" i="1"/>
  <c r="BM3874" i="1"/>
  <c r="BL3874" i="1"/>
  <c r="BK3874" i="1"/>
  <c r="BJ3874" i="1"/>
  <c r="BI3874" i="1"/>
  <c r="BH3874" i="1"/>
  <c r="BP3873" i="1"/>
  <c r="BO3873" i="1"/>
  <c r="BN3873" i="1"/>
  <c r="BM3873" i="1"/>
  <c r="BL3873" i="1"/>
  <c r="BK3873" i="1"/>
  <c r="BJ3873" i="1"/>
  <c r="BI3873" i="1"/>
  <c r="BH3873" i="1"/>
  <c r="BP3872" i="1"/>
  <c r="BO3872" i="1"/>
  <c r="BN3872" i="1"/>
  <c r="BM3872" i="1"/>
  <c r="BL3872" i="1"/>
  <c r="BK3872" i="1"/>
  <c r="BJ3872" i="1"/>
  <c r="BI3872" i="1"/>
  <c r="BH3872" i="1"/>
  <c r="BP3871" i="1"/>
  <c r="BO3871" i="1"/>
  <c r="BN3871" i="1"/>
  <c r="BL3871" i="1"/>
  <c r="BK3871" i="1"/>
  <c r="BJ3871" i="1"/>
  <c r="BI3871" i="1"/>
  <c r="BH3871" i="1"/>
  <c r="AB3871" i="1"/>
  <c r="BM3871" i="1" s="1"/>
  <c r="BP3870" i="1"/>
  <c r="BO3870" i="1"/>
  <c r="BN3870" i="1"/>
  <c r="BM3870" i="1"/>
  <c r="BL3870" i="1"/>
  <c r="BK3870" i="1"/>
  <c r="BJ3870" i="1"/>
  <c r="BI3870" i="1"/>
  <c r="BH3870" i="1"/>
  <c r="BP3869" i="1"/>
  <c r="BO3869" i="1"/>
  <c r="BN3869" i="1"/>
  <c r="BM3869" i="1"/>
  <c r="BL3869" i="1"/>
  <c r="BK3869" i="1"/>
  <c r="BJ3869" i="1"/>
  <c r="BI3869" i="1"/>
  <c r="BH3869" i="1"/>
  <c r="V3869" i="1"/>
  <c r="BP3868" i="1"/>
  <c r="BO3868" i="1"/>
  <c r="BN3868" i="1"/>
  <c r="BM3868" i="1"/>
  <c r="BL3868" i="1"/>
  <c r="BK3868" i="1"/>
  <c r="BJ3868" i="1"/>
  <c r="BI3868" i="1"/>
  <c r="BH3868" i="1"/>
  <c r="AS3868" i="1"/>
  <c r="BP3867" i="1"/>
  <c r="BO3867" i="1"/>
  <c r="BN3867" i="1"/>
  <c r="BL3867" i="1"/>
  <c r="BK3867" i="1"/>
  <c r="BJ3867" i="1"/>
  <c r="BI3867" i="1"/>
  <c r="BH3867" i="1"/>
  <c r="AS3867" i="1"/>
  <c r="BM3867" i="1" s="1"/>
  <c r="BP3866" i="1"/>
  <c r="BO3866" i="1"/>
  <c r="BN3866" i="1"/>
  <c r="BM3866" i="1"/>
  <c r="BL3866" i="1"/>
  <c r="BK3866" i="1"/>
  <c r="BJ3866" i="1"/>
  <c r="BI3866" i="1"/>
  <c r="BH3866" i="1"/>
  <c r="BP3865" i="1"/>
  <c r="BO3865" i="1"/>
  <c r="BN3865" i="1"/>
  <c r="BL3865" i="1"/>
  <c r="BH3865" i="1"/>
  <c r="BG3865" i="1"/>
  <c r="AV3865" i="1"/>
  <c r="AT3865" i="1"/>
  <c r="AC3865" i="1"/>
  <c r="BM3865" i="1" s="1"/>
  <c r="U3865" i="1"/>
  <c r="BK3865" i="1" s="1"/>
  <c r="S3865" i="1"/>
  <c r="BJ3865" i="1" s="1"/>
  <c r="M3865" i="1"/>
  <c r="BI3865" i="1" s="1"/>
  <c r="H3865" i="1"/>
  <c r="C3865" i="1"/>
  <c r="BP3864" i="1"/>
  <c r="BO3864" i="1"/>
  <c r="BN3864" i="1"/>
  <c r="BM3864" i="1"/>
  <c r="BL3864" i="1"/>
  <c r="BK3864" i="1"/>
  <c r="BJ3864" i="1"/>
  <c r="BI3864" i="1"/>
  <c r="BH3864" i="1"/>
  <c r="BP3863" i="1"/>
  <c r="BO3863" i="1"/>
  <c r="BN3863" i="1"/>
  <c r="BL3863" i="1"/>
  <c r="BK3863" i="1"/>
  <c r="BJ3863" i="1"/>
  <c r="BI3863" i="1"/>
  <c r="BH3863" i="1"/>
  <c r="AB3863" i="1"/>
  <c r="BM3863" i="1" s="1"/>
  <c r="BP3862" i="1"/>
  <c r="BO3862" i="1"/>
  <c r="BL3862" i="1"/>
  <c r="BJ3862" i="1"/>
  <c r="BI3862" i="1"/>
  <c r="BG3862" i="1"/>
  <c r="AT3862" i="1"/>
  <c r="BN3862" i="1" s="1"/>
  <c r="AS3862" i="1"/>
  <c r="AN3862" i="1"/>
  <c r="AM3862" i="1"/>
  <c r="W3862" i="1"/>
  <c r="BK3862" i="1" s="1"/>
  <c r="S3862" i="1"/>
  <c r="N3862" i="1"/>
  <c r="I3862" i="1"/>
  <c r="D3862" i="1"/>
  <c r="BH3862" i="1" s="1"/>
  <c r="BP3861" i="1"/>
  <c r="BO3861" i="1"/>
  <c r="BN3861" i="1"/>
  <c r="BM3861" i="1"/>
  <c r="BL3861" i="1"/>
  <c r="BK3861" i="1"/>
  <c r="BJ3861" i="1"/>
  <c r="BI3861" i="1"/>
  <c r="BH3861" i="1"/>
  <c r="AS3861" i="1"/>
  <c r="AN3861" i="1"/>
  <c r="BP3860" i="1"/>
  <c r="BO3860" i="1"/>
  <c r="BN3860" i="1"/>
  <c r="BM3860" i="1"/>
  <c r="BL3860" i="1"/>
  <c r="BK3860" i="1"/>
  <c r="BJ3860" i="1"/>
  <c r="BI3860" i="1"/>
  <c r="BH3860" i="1"/>
  <c r="AR3860" i="1"/>
  <c r="AN3860" i="1"/>
  <c r="BP3859" i="1"/>
  <c r="BO3859" i="1"/>
  <c r="BN3859" i="1"/>
  <c r="BM3859" i="1"/>
  <c r="BL3859" i="1"/>
  <c r="BK3859" i="1"/>
  <c r="BJ3859" i="1"/>
  <c r="BI3859" i="1"/>
  <c r="BH3859" i="1"/>
  <c r="BP3858" i="1"/>
  <c r="BO3858" i="1"/>
  <c r="BN3858" i="1"/>
  <c r="BM3858" i="1"/>
  <c r="BL3858" i="1"/>
  <c r="BK3858" i="1"/>
  <c r="BJ3858" i="1"/>
  <c r="BI3858" i="1"/>
  <c r="BH3858" i="1"/>
  <c r="BP3857" i="1"/>
  <c r="BO3857" i="1"/>
  <c r="BN3857" i="1"/>
  <c r="BM3857" i="1"/>
  <c r="BL3857" i="1"/>
  <c r="BK3857" i="1"/>
  <c r="BJ3857" i="1"/>
  <c r="BI3857" i="1"/>
  <c r="BH3857" i="1"/>
  <c r="BP3856" i="1"/>
  <c r="BO3856" i="1"/>
  <c r="BN3856" i="1"/>
  <c r="BM3856" i="1"/>
  <c r="BL3856" i="1"/>
  <c r="BK3856" i="1"/>
  <c r="BJ3856" i="1"/>
  <c r="BI3856" i="1"/>
  <c r="BH3856" i="1"/>
  <c r="AQ3856" i="1"/>
  <c r="BP3855" i="1"/>
  <c r="BO3855" i="1"/>
  <c r="BN3855" i="1"/>
  <c r="BM3855" i="1"/>
  <c r="BL3855" i="1"/>
  <c r="BK3855" i="1"/>
  <c r="BJ3855" i="1"/>
  <c r="BI3855" i="1"/>
  <c r="BH3855" i="1"/>
  <c r="BP3854" i="1"/>
  <c r="BO3854" i="1"/>
  <c r="BN3854" i="1"/>
  <c r="BM3854" i="1"/>
  <c r="BL3854" i="1"/>
  <c r="BJ3854" i="1"/>
  <c r="BI3854" i="1"/>
  <c r="BH3854" i="1"/>
  <c r="V3854" i="1"/>
  <c r="BK3854" i="1" s="1"/>
  <c r="BP3853" i="1"/>
  <c r="BO3853" i="1"/>
  <c r="BN3853" i="1"/>
  <c r="BM3853" i="1"/>
  <c r="BL3853" i="1"/>
  <c r="BK3853" i="1"/>
  <c r="BJ3853" i="1"/>
  <c r="BI3853" i="1"/>
  <c r="BH3853" i="1"/>
  <c r="BP3852" i="1"/>
  <c r="BO3852" i="1"/>
  <c r="BN3852" i="1"/>
  <c r="BM3852" i="1"/>
  <c r="BL3852" i="1"/>
  <c r="BK3852" i="1"/>
  <c r="BJ3852" i="1"/>
  <c r="BI3852" i="1"/>
  <c r="BH3852" i="1"/>
  <c r="BP3851" i="1"/>
  <c r="BO3851" i="1"/>
  <c r="BN3851" i="1"/>
  <c r="BM3851" i="1"/>
  <c r="BL3851" i="1"/>
  <c r="BK3851" i="1"/>
  <c r="BJ3851" i="1"/>
  <c r="BI3851" i="1"/>
  <c r="BH3851" i="1"/>
  <c r="BP3850" i="1"/>
  <c r="BO3850" i="1"/>
  <c r="BN3850" i="1"/>
  <c r="BL3850" i="1"/>
  <c r="BK3850" i="1"/>
  <c r="BJ3850" i="1"/>
  <c r="BI3850" i="1"/>
  <c r="BH3850" i="1"/>
  <c r="AR3850" i="1"/>
  <c r="AN3850" i="1"/>
  <c r="BP3849" i="1"/>
  <c r="BO3849" i="1"/>
  <c r="BL3849" i="1"/>
  <c r="BK3849" i="1"/>
  <c r="BH3849" i="1"/>
  <c r="BG3849" i="1"/>
  <c r="AT3849" i="1"/>
  <c r="BN3849" i="1" s="1"/>
  <c r="AR3849" i="1"/>
  <c r="BM3849" i="1" s="1"/>
  <c r="AN3849" i="1"/>
  <c r="AI3849" i="1"/>
  <c r="W3849" i="1"/>
  <c r="S3849" i="1"/>
  <c r="BJ3849" i="1" s="1"/>
  <c r="N3849" i="1"/>
  <c r="BI3849" i="1" s="1"/>
  <c r="I3849" i="1"/>
  <c r="BP3848" i="1"/>
  <c r="BO3848" i="1"/>
  <c r="BN3848" i="1"/>
  <c r="BL3848" i="1"/>
  <c r="BK3848" i="1"/>
  <c r="BJ3848" i="1"/>
  <c r="BI3848" i="1"/>
  <c r="BH3848" i="1"/>
  <c r="AS3848" i="1"/>
  <c r="AN3848" i="1"/>
  <c r="BM3848" i="1" s="1"/>
  <c r="BP3847" i="1"/>
  <c r="BO3847" i="1"/>
  <c r="BN3847" i="1"/>
  <c r="BL3847" i="1"/>
  <c r="BK3847" i="1"/>
  <c r="BJ3847" i="1"/>
  <c r="BI3847" i="1"/>
  <c r="BH3847" i="1"/>
  <c r="AS3847" i="1"/>
  <c r="AN3847" i="1"/>
  <c r="BM3847" i="1" s="1"/>
  <c r="BP3846" i="1"/>
  <c r="BO3846" i="1"/>
  <c r="BN3846" i="1"/>
  <c r="BM3846" i="1"/>
  <c r="BL3846" i="1"/>
  <c r="BK3846" i="1"/>
  <c r="BJ3846" i="1"/>
  <c r="BI3846" i="1"/>
  <c r="BH3846" i="1"/>
  <c r="AS3846" i="1"/>
  <c r="BP3845" i="1"/>
  <c r="BO3845" i="1"/>
  <c r="BN3845" i="1"/>
  <c r="BL3845" i="1"/>
  <c r="BK3845" i="1"/>
  <c r="BJ3845" i="1"/>
  <c r="BI3845" i="1"/>
  <c r="BH3845" i="1"/>
  <c r="AR3845" i="1"/>
  <c r="BM3845" i="1" s="1"/>
  <c r="AN3845" i="1"/>
  <c r="BP3844" i="1"/>
  <c r="BO3844" i="1"/>
  <c r="BN3844" i="1"/>
  <c r="BM3844" i="1"/>
  <c r="BL3844" i="1"/>
  <c r="BK3844" i="1"/>
  <c r="BJ3844" i="1"/>
  <c r="BI3844" i="1"/>
  <c r="BH3844" i="1"/>
  <c r="AR3844" i="1"/>
  <c r="AQ3844" i="1"/>
  <c r="P3844" i="1"/>
  <c r="BP3843" i="1"/>
  <c r="BO3843" i="1"/>
  <c r="BN3843" i="1"/>
  <c r="BM3843" i="1"/>
  <c r="BL3843" i="1"/>
  <c r="BK3843" i="1"/>
  <c r="BJ3843" i="1"/>
  <c r="BI3843" i="1"/>
  <c r="BH3843" i="1"/>
  <c r="AS3843" i="1"/>
  <c r="AN3843" i="1"/>
  <c r="BP3842" i="1"/>
  <c r="BO3842" i="1"/>
  <c r="BN3842" i="1"/>
  <c r="BM3842" i="1"/>
  <c r="BL3842" i="1"/>
  <c r="BK3842" i="1"/>
  <c r="BJ3842" i="1"/>
  <c r="BI3842" i="1"/>
  <c r="BH3842" i="1"/>
  <c r="AA3842" i="1"/>
  <c r="BP3841" i="1"/>
  <c r="BO3841" i="1"/>
  <c r="BN3841" i="1"/>
  <c r="BM3841" i="1"/>
  <c r="BK3841" i="1"/>
  <c r="BJ3841" i="1"/>
  <c r="BI3841" i="1"/>
  <c r="BH3841" i="1"/>
  <c r="AA3841" i="1"/>
  <c r="BL3841" i="1" s="1"/>
  <c r="BP3840" i="1"/>
  <c r="BO3840" i="1"/>
  <c r="BN3840" i="1"/>
  <c r="BM3840" i="1"/>
  <c r="BL3840" i="1"/>
  <c r="BK3840" i="1"/>
  <c r="BJ3840" i="1"/>
  <c r="BI3840" i="1"/>
  <c r="BH3840" i="1"/>
  <c r="BP3839" i="1"/>
  <c r="BO3839" i="1"/>
  <c r="BN3839" i="1"/>
  <c r="BM3839" i="1"/>
  <c r="BL3839" i="1"/>
  <c r="BK3839" i="1"/>
  <c r="BJ3839" i="1"/>
  <c r="BI3839" i="1"/>
  <c r="BH3839" i="1"/>
  <c r="BP3838" i="1"/>
  <c r="BO3838" i="1"/>
  <c r="BN3838" i="1"/>
  <c r="BM3838" i="1"/>
  <c r="BL3838" i="1"/>
  <c r="BK3838" i="1"/>
  <c r="BJ3838" i="1"/>
  <c r="BI3838" i="1"/>
  <c r="BH3838" i="1"/>
  <c r="BE3838" i="1"/>
  <c r="BP3837" i="1"/>
  <c r="BO3837" i="1"/>
  <c r="BL3837" i="1"/>
  <c r="BK3837" i="1"/>
  <c r="BJ3837" i="1"/>
  <c r="BG3837" i="1"/>
  <c r="AT3837" i="1"/>
  <c r="BN3837" i="1" s="1"/>
  <c r="AN3837" i="1"/>
  <c r="BM3837" i="1" s="1"/>
  <c r="AM3837" i="1"/>
  <c r="W3837" i="1"/>
  <c r="S3837" i="1"/>
  <c r="N3837" i="1"/>
  <c r="BI3837" i="1" s="1"/>
  <c r="I3837" i="1"/>
  <c r="D3837" i="1"/>
  <c r="BP3836" i="1"/>
  <c r="BO3836" i="1"/>
  <c r="BN3836" i="1"/>
  <c r="BL3836" i="1"/>
  <c r="BK3836" i="1"/>
  <c r="BJ3836" i="1"/>
  <c r="BI3836" i="1"/>
  <c r="BH3836" i="1"/>
  <c r="AR3836" i="1"/>
  <c r="AN3836" i="1"/>
  <c r="AI3836" i="1"/>
  <c r="BM3836" i="1" s="1"/>
  <c r="BP3835" i="1"/>
  <c r="BO3835" i="1"/>
  <c r="BN3835" i="1"/>
  <c r="BL3835" i="1"/>
  <c r="BK3835" i="1"/>
  <c r="BJ3835" i="1"/>
  <c r="BI3835" i="1"/>
  <c r="BH3835" i="1"/>
  <c r="AQ3835" i="1"/>
  <c r="BM3835" i="1" s="1"/>
  <c r="BP3834" i="1"/>
  <c r="BO3834" i="1"/>
  <c r="BN3834" i="1"/>
  <c r="BM3834" i="1"/>
  <c r="BL3834" i="1"/>
  <c r="BK3834" i="1"/>
  <c r="BJ3834" i="1"/>
  <c r="BI3834" i="1"/>
  <c r="BH3834" i="1"/>
  <c r="BP3833" i="1"/>
  <c r="BO3833" i="1"/>
  <c r="BN3833" i="1"/>
  <c r="BM3833" i="1"/>
  <c r="BL3833" i="1"/>
  <c r="BK3833" i="1"/>
  <c r="BJ3833" i="1"/>
  <c r="BI3833" i="1"/>
  <c r="BH3833" i="1"/>
  <c r="BP3832" i="1"/>
  <c r="BO3832" i="1"/>
  <c r="BN3832" i="1"/>
  <c r="BM3832" i="1"/>
  <c r="BL3832" i="1"/>
  <c r="BK3832" i="1"/>
  <c r="BJ3832" i="1"/>
  <c r="BI3832" i="1"/>
  <c r="BH3832" i="1"/>
  <c r="BP3831" i="1"/>
  <c r="BO3831" i="1"/>
  <c r="BN3831" i="1"/>
  <c r="BM3831" i="1"/>
  <c r="BL3831" i="1"/>
  <c r="BK3831" i="1"/>
  <c r="BJ3831" i="1"/>
  <c r="BI3831" i="1"/>
  <c r="BH3831" i="1"/>
  <c r="BP3830" i="1"/>
  <c r="BO3830" i="1"/>
  <c r="BN3830" i="1"/>
  <c r="BM3830" i="1"/>
  <c r="BL3830" i="1"/>
  <c r="BK3830" i="1"/>
  <c r="BJ3830" i="1"/>
  <c r="BI3830" i="1"/>
  <c r="BH3830" i="1"/>
  <c r="BP3829" i="1"/>
  <c r="BO3829" i="1"/>
  <c r="BN3829" i="1"/>
  <c r="BM3829" i="1"/>
  <c r="BL3829" i="1"/>
  <c r="BK3829" i="1"/>
  <c r="BJ3829" i="1"/>
  <c r="BI3829" i="1"/>
  <c r="BH3829" i="1"/>
  <c r="BP3828" i="1"/>
  <c r="BO3828" i="1"/>
  <c r="BN3828" i="1"/>
  <c r="BL3828" i="1"/>
  <c r="BK3828" i="1"/>
  <c r="BJ3828" i="1"/>
  <c r="BI3828" i="1"/>
  <c r="BH3828" i="1"/>
  <c r="AS3828" i="1"/>
  <c r="AN3828" i="1"/>
  <c r="BP3827" i="1"/>
  <c r="BO3827" i="1"/>
  <c r="BN3827" i="1"/>
  <c r="BL3827" i="1"/>
  <c r="BJ3827" i="1"/>
  <c r="BI3827" i="1"/>
  <c r="BG3827" i="1"/>
  <c r="AT3827" i="1"/>
  <c r="AR3827" i="1"/>
  <c r="AN3827" i="1"/>
  <c r="AM3827" i="1"/>
  <c r="W3827" i="1"/>
  <c r="BK3827" i="1" s="1"/>
  <c r="S3827" i="1"/>
  <c r="N3827" i="1"/>
  <c r="I3827" i="1"/>
  <c r="D3827" i="1"/>
  <c r="BH3827" i="1" s="1"/>
  <c r="BP3826" i="1"/>
  <c r="BO3826" i="1"/>
  <c r="BN3826" i="1"/>
  <c r="BM3826" i="1"/>
  <c r="BL3826" i="1"/>
  <c r="BK3826" i="1"/>
  <c r="BJ3826" i="1"/>
  <c r="BI3826" i="1"/>
  <c r="BH3826" i="1"/>
  <c r="BP3825" i="1"/>
  <c r="BO3825" i="1"/>
  <c r="BN3825" i="1"/>
  <c r="BM3825" i="1"/>
  <c r="BL3825" i="1"/>
  <c r="BK3825" i="1"/>
  <c r="BJ3825" i="1"/>
  <c r="BI3825" i="1"/>
  <c r="BH3825" i="1"/>
  <c r="BP3824" i="1"/>
  <c r="BO3824" i="1"/>
  <c r="BN3824" i="1"/>
  <c r="BL3824" i="1"/>
  <c r="BK3824" i="1"/>
  <c r="BJ3824" i="1"/>
  <c r="BI3824" i="1"/>
  <c r="BH3824" i="1"/>
  <c r="AQ3824" i="1"/>
  <c r="BM3824" i="1" s="1"/>
  <c r="BP3823" i="1"/>
  <c r="BO3823" i="1"/>
  <c r="BN3823" i="1"/>
  <c r="BM3823" i="1"/>
  <c r="BK3823" i="1"/>
  <c r="BJ3823" i="1"/>
  <c r="BI3823" i="1"/>
  <c r="BH3823" i="1"/>
  <c r="AA3823" i="1"/>
  <c r="BL3823" i="1" s="1"/>
  <c r="BP3822" i="1"/>
  <c r="BO3822" i="1"/>
  <c r="BN3822" i="1"/>
  <c r="BL3822" i="1"/>
  <c r="BK3822" i="1"/>
  <c r="BJ3822" i="1"/>
  <c r="BI3822" i="1"/>
  <c r="BH3822" i="1"/>
  <c r="AB3822" i="1"/>
  <c r="BM3822" i="1" s="1"/>
  <c r="BP3821" i="1"/>
  <c r="BO3821" i="1"/>
  <c r="BN3821" i="1"/>
  <c r="BM3821" i="1"/>
  <c r="BL3821" i="1"/>
  <c r="BK3821" i="1"/>
  <c r="BJ3821" i="1"/>
  <c r="BI3821" i="1"/>
  <c r="BH3821" i="1"/>
  <c r="AR3821" i="1"/>
  <c r="AN3821" i="1"/>
  <c r="BP3820" i="1"/>
  <c r="BO3820" i="1"/>
  <c r="BN3820" i="1"/>
  <c r="BM3820" i="1"/>
  <c r="BL3820" i="1"/>
  <c r="BK3820" i="1"/>
  <c r="BJ3820" i="1"/>
  <c r="BI3820" i="1"/>
  <c r="BH3820" i="1"/>
  <c r="AS3820" i="1"/>
  <c r="BP3819" i="1"/>
  <c r="BO3819" i="1"/>
  <c r="BN3819" i="1"/>
  <c r="BM3819" i="1"/>
  <c r="BL3819" i="1"/>
  <c r="BK3819" i="1"/>
  <c r="BJ3819" i="1"/>
  <c r="BI3819" i="1"/>
  <c r="BH3819" i="1"/>
  <c r="AS3819" i="1"/>
  <c r="BP3818" i="1"/>
  <c r="BO3818" i="1"/>
  <c r="BN3818" i="1"/>
  <c r="BL3818" i="1"/>
  <c r="BK3818" i="1"/>
  <c r="BJ3818" i="1"/>
  <c r="BI3818" i="1"/>
  <c r="BH3818" i="1"/>
  <c r="AQ3818" i="1"/>
  <c r="BM3818" i="1" s="1"/>
  <c r="BP3817" i="1"/>
  <c r="BO3817" i="1"/>
  <c r="BN3817" i="1"/>
  <c r="BL3817" i="1"/>
  <c r="BK3817" i="1"/>
  <c r="BJ3817" i="1"/>
  <c r="BI3817" i="1"/>
  <c r="BH3817" i="1"/>
  <c r="AQ3817" i="1"/>
  <c r="BM3817" i="1" s="1"/>
  <c r="BP3816" i="1"/>
  <c r="BO3816" i="1"/>
  <c r="BN3816" i="1"/>
  <c r="BM3816" i="1"/>
  <c r="BL3816" i="1"/>
  <c r="BK3816" i="1"/>
  <c r="BJ3816" i="1"/>
  <c r="BI3816" i="1"/>
  <c r="BH3816" i="1"/>
  <c r="BP3815" i="1"/>
  <c r="BO3815" i="1"/>
  <c r="BN3815" i="1"/>
  <c r="BM3815" i="1"/>
  <c r="BL3815" i="1"/>
  <c r="BK3815" i="1"/>
  <c r="BJ3815" i="1"/>
  <c r="BI3815" i="1"/>
  <c r="BH3815" i="1"/>
  <c r="AR3815" i="1"/>
  <c r="AN3815" i="1"/>
  <c r="BP3814" i="1"/>
  <c r="BO3814" i="1"/>
  <c r="BN3814" i="1"/>
  <c r="BM3814" i="1"/>
  <c r="BL3814" i="1"/>
  <c r="BK3814" i="1"/>
  <c r="BJ3814" i="1"/>
  <c r="BI3814" i="1"/>
  <c r="BH3814" i="1"/>
  <c r="AP3814" i="1"/>
  <c r="BP3813" i="1"/>
  <c r="BO3813" i="1"/>
  <c r="BN3813" i="1"/>
  <c r="BM3813" i="1"/>
  <c r="BL3813" i="1"/>
  <c r="BK3813" i="1"/>
  <c r="BJ3813" i="1"/>
  <c r="BI3813" i="1"/>
  <c r="BH3813" i="1"/>
  <c r="V3813" i="1"/>
  <c r="BP3812" i="1"/>
  <c r="BO3812" i="1"/>
  <c r="BN3812" i="1"/>
  <c r="BL3812" i="1"/>
  <c r="BK3812" i="1"/>
  <c r="BJ3812" i="1"/>
  <c r="BI3812" i="1"/>
  <c r="BH3812" i="1"/>
  <c r="AQ3812" i="1"/>
  <c r="AB3812" i="1"/>
  <c r="BP3811" i="1"/>
  <c r="BO3811" i="1"/>
  <c r="BN3811" i="1"/>
  <c r="BL3811" i="1"/>
  <c r="BK3811" i="1"/>
  <c r="BJ3811" i="1"/>
  <c r="BI3811" i="1"/>
  <c r="BH3811" i="1"/>
  <c r="AS3811" i="1"/>
  <c r="AN3811" i="1"/>
  <c r="BM3811" i="1" s="1"/>
  <c r="BP3810" i="1"/>
  <c r="BO3810" i="1"/>
  <c r="BN3810" i="1"/>
  <c r="BL3810" i="1"/>
  <c r="BK3810" i="1"/>
  <c r="BJ3810" i="1"/>
  <c r="BI3810" i="1"/>
  <c r="BH3810" i="1"/>
  <c r="AS3810" i="1"/>
  <c r="AN3810" i="1"/>
  <c r="BM3810" i="1" s="1"/>
  <c r="BP3809" i="1"/>
  <c r="BO3809" i="1"/>
  <c r="BN3809" i="1"/>
  <c r="BM3809" i="1"/>
  <c r="BL3809" i="1"/>
  <c r="BK3809" i="1"/>
  <c r="BJ3809" i="1"/>
  <c r="BI3809" i="1"/>
  <c r="BH3809" i="1"/>
  <c r="BP3808" i="1"/>
  <c r="BO3808" i="1"/>
  <c r="BN3808" i="1"/>
  <c r="BM3808" i="1"/>
  <c r="BL3808" i="1"/>
  <c r="BK3808" i="1"/>
  <c r="BJ3808" i="1"/>
  <c r="BI3808" i="1"/>
  <c r="BH3808" i="1"/>
  <c r="BP3807" i="1"/>
  <c r="BO3807" i="1"/>
  <c r="BN3807" i="1"/>
  <c r="BM3807" i="1"/>
  <c r="BL3807" i="1"/>
  <c r="BK3807" i="1"/>
  <c r="BJ3807" i="1"/>
  <c r="BI3807" i="1"/>
  <c r="BH3807" i="1"/>
  <c r="BE3807" i="1"/>
  <c r="BP3806" i="1"/>
  <c r="BO3806" i="1"/>
  <c r="BN3806" i="1"/>
  <c r="BM3806" i="1"/>
  <c r="BL3806" i="1"/>
  <c r="BK3806" i="1"/>
  <c r="BJ3806" i="1"/>
  <c r="BI3806" i="1"/>
  <c r="BH3806" i="1"/>
  <c r="BP3805" i="1"/>
  <c r="BO3805" i="1"/>
  <c r="BN3805" i="1"/>
  <c r="BL3805" i="1"/>
  <c r="BK3805" i="1"/>
  <c r="BJ3805" i="1"/>
  <c r="BI3805" i="1"/>
  <c r="BH3805" i="1"/>
  <c r="AR3805" i="1"/>
  <c r="AQ3805" i="1"/>
  <c r="P3805" i="1"/>
  <c r="BP3804" i="1"/>
  <c r="BO3804" i="1"/>
  <c r="BN3804" i="1"/>
  <c r="BL3804" i="1"/>
  <c r="BK3804" i="1"/>
  <c r="BJ3804" i="1"/>
  <c r="BI3804" i="1"/>
  <c r="BH3804" i="1"/>
  <c r="AR3804" i="1"/>
  <c r="AN3804" i="1"/>
  <c r="BP3803" i="1"/>
  <c r="BO3803" i="1"/>
  <c r="BN3803" i="1"/>
  <c r="BM3803" i="1"/>
  <c r="BL3803" i="1"/>
  <c r="BK3803" i="1"/>
  <c r="BJ3803" i="1"/>
  <c r="BI3803" i="1"/>
  <c r="BH3803" i="1"/>
  <c r="BP3802" i="1"/>
  <c r="BO3802" i="1"/>
  <c r="BN3802" i="1"/>
  <c r="BM3802" i="1"/>
  <c r="BL3802" i="1"/>
  <c r="BK3802" i="1"/>
  <c r="BJ3802" i="1"/>
  <c r="BI3802" i="1"/>
  <c r="BH3802" i="1"/>
  <c r="AQ3802" i="1"/>
  <c r="BP3801" i="1"/>
  <c r="BO3801" i="1"/>
  <c r="BN3801" i="1"/>
  <c r="BM3801" i="1"/>
  <c r="BL3801" i="1"/>
  <c r="BK3801" i="1"/>
  <c r="BJ3801" i="1"/>
  <c r="BI3801" i="1"/>
  <c r="BH3801" i="1"/>
  <c r="BP3800" i="1"/>
  <c r="BO3800" i="1"/>
  <c r="BN3800" i="1"/>
  <c r="BM3800" i="1"/>
  <c r="BL3800" i="1"/>
  <c r="BK3800" i="1"/>
  <c r="BJ3800" i="1"/>
  <c r="BI3800" i="1"/>
  <c r="BH3800" i="1"/>
  <c r="V3800" i="1"/>
  <c r="BP3799" i="1"/>
  <c r="BO3799" i="1"/>
  <c r="BN3799" i="1"/>
  <c r="BM3799" i="1"/>
  <c r="BL3799" i="1"/>
  <c r="BK3799" i="1"/>
  <c r="BJ3799" i="1"/>
  <c r="BI3799" i="1"/>
  <c r="BH3799" i="1"/>
  <c r="BP3798" i="1"/>
  <c r="BO3798" i="1"/>
  <c r="BN3798" i="1"/>
  <c r="BM3798" i="1"/>
  <c r="BL3798" i="1"/>
  <c r="BK3798" i="1"/>
  <c r="BJ3798" i="1"/>
  <c r="BI3798" i="1"/>
  <c r="BH3798" i="1"/>
  <c r="BP3797" i="1"/>
  <c r="BO3797" i="1"/>
  <c r="BN3797" i="1"/>
  <c r="BM3797" i="1"/>
  <c r="BL3797" i="1"/>
  <c r="BK3797" i="1"/>
  <c r="BJ3797" i="1"/>
  <c r="BI3797" i="1"/>
  <c r="BH3797" i="1"/>
  <c r="BP3796" i="1"/>
  <c r="BO3796" i="1"/>
  <c r="BN3796" i="1"/>
  <c r="BL3796" i="1"/>
  <c r="BK3796" i="1"/>
  <c r="BJ3796" i="1"/>
  <c r="BI3796" i="1"/>
  <c r="BH3796" i="1"/>
  <c r="AR3796" i="1"/>
  <c r="AN3796" i="1"/>
  <c r="BM3796" i="1" s="1"/>
  <c r="BP3795" i="1"/>
  <c r="BO3795" i="1"/>
  <c r="BN3795" i="1"/>
  <c r="BL3795" i="1"/>
  <c r="BK3795" i="1"/>
  <c r="BJ3795" i="1"/>
  <c r="BI3795" i="1"/>
  <c r="BH3795" i="1"/>
  <c r="AR3795" i="1"/>
  <c r="AN3795" i="1"/>
  <c r="BM3795" i="1" s="1"/>
  <c r="BP3794" i="1"/>
  <c r="BO3794" i="1"/>
  <c r="BN3794" i="1"/>
  <c r="BM3794" i="1"/>
  <c r="BL3794" i="1"/>
  <c r="BK3794" i="1"/>
  <c r="BJ3794" i="1"/>
  <c r="BI3794" i="1"/>
  <c r="BH3794" i="1"/>
  <c r="BP3793" i="1"/>
  <c r="BO3793" i="1"/>
  <c r="BN3793" i="1"/>
  <c r="BL3793" i="1"/>
  <c r="BK3793" i="1"/>
  <c r="BJ3793" i="1"/>
  <c r="BI3793" i="1"/>
  <c r="BH3793" i="1"/>
  <c r="AB3793" i="1"/>
  <c r="BM3793" i="1" s="1"/>
  <c r="BP3792" i="1"/>
  <c r="BO3792" i="1"/>
  <c r="BN3792" i="1"/>
  <c r="BL3792" i="1"/>
  <c r="BK3792" i="1"/>
  <c r="BJ3792" i="1"/>
  <c r="BI3792" i="1"/>
  <c r="BH3792" i="1"/>
  <c r="AR3792" i="1"/>
  <c r="AN3792" i="1"/>
  <c r="BM3792" i="1" s="1"/>
  <c r="BP3791" i="1"/>
  <c r="BO3791" i="1"/>
  <c r="BN3791" i="1"/>
  <c r="BL3791" i="1"/>
  <c r="BK3791" i="1"/>
  <c r="BJ3791" i="1"/>
  <c r="BI3791" i="1"/>
  <c r="BH3791" i="1"/>
  <c r="AS3791" i="1"/>
  <c r="AN3791" i="1"/>
  <c r="BM3791" i="1" s="1"/>
  <c r="BP3790" i="1"/>
  <c r="BO3790" i="1"/>
  <c r="BN3790" i="1"/>
  <c r="BM3790" i="1"/>
  <c r="BL3790" i="1"/>
  <c r="BK3790" i="1"/>
  <c r="BJ3790" i="1"/>
  <c r="BI3790" i="1"/>
  <c r="BH3790" i="1"/>
  <c r="AS3790" i="1"/>
  <c r="BP3789" i="1"/>
  <c r="BO3789" i="1"/>
  <c r="BN3789" i="1"/>
  <c r="BL3789" i="1"/>
  <c r="BK3789" i="1"/>
  <c r="BJ3789" i="1"/>
  <c r="BI3789" i="1"/>
  <c r="BH3789" i="1"/>
  <c r="AS3789" i="1"/>
  <c r="BM3789" i="1" s="1"/>
  <c r="BP3788" i="1"/>
  <c r="BO3788" i="1"/>
  <c r="BN3788" i="1"/>
  <c r="BM3788" i="1"/>
  <c r="BL3788" i="1"/>
  <c r="BK3788" i="1"/>
  <c r="BJ3788" i="1"/>
  <c r="BI3788" i="1"/>
  <c r="BH3788" i="1"/>
  <c r="AS3788" i="1"/>
  <c r="BP3787" i="1"/>
  <c r="BO3787" i="1"/>
  <c r="BN3787" i="1"/>
  <c r="BM3787" i="1"/>
  <c r="BL3787" i="1"/>
  <c r="BK3787" i="1"/>
  <c r="BJ3787" i="1"/>
  <c r="BI3787" i="1"/>
  <c r="BH3787" i="1"/>
  <c r="BP3786" i="1"/>
  <c r="BO3786" i="1"/>
  <c r="BN3786" i="1"/>
  <c r="BM3786" i="1"/>
  <c r="BL3786" i="1"/>
  <c r="BK3786" i="1"/>
  <c r="BJ3786" i="1"/>
  <c r="BI3786" i="1"/>
  <c r="BH3786" i="1"/>
  <c r="BP3785" i="1"/>
  <c r="BO3785" i="1"/>
  <c r="BN3785" i="1"/>
  <c r="BM3785" i="1"/>
  <c r="BL3785" i="1"/>
  <c r="BK3785" i="1"/>
  <c r="BJ3785" i="1"/>
  <c r="BI3785" i="1"/>
  <c r="BH3785" i="1"/>
  <c r="BP3784" i="1"/>
  <c r="BO3784" i="1"/>
  <c r="BN3784" i="1"/>
  <c r="BL3784" i="1"/>
  <c r="BK3784" i="1"/>
  <c r="BJ3784" i="1"/>
  <c r="BI3784" i="1"/>
  <c r="BH3784" i="1"/>
  <c r="AQ3784" i="1"/>
  <c r="BM3784" i="1" s="1"/>
  <c r="BP3783" i="1"/>
  <c r="BO3783" i="1"/>
  <c r="BN3783" i="1"/>
  <c r="BL3783" i="1"/>
  <c r="BK3783" i="1"/>
  <c r="BJ3783" i="1"/>
  <c r="BI3783" i="1"/>
  <c r="BH3783" i="1"/>
  <c r="AQ3783" i="1"/>
  <c r="BM3783" i="1" s="1"/>
  <c r="BP3782" i="1"/>
  <c r="BO3782" i="1"/>
  <c r="BN3782" i="1"/>
  <c r="BM3782" i="1"/>
  <c r="BL3782" i="1"/>
  <c r="BJ3782" i="1"/>
  <c r="BI3782" i="1"/>
  <c r="BH3782" i="1"/>
  <c r="V3782" i="1"/>
  <c r="BK3782" i="1" s="1"/>
  <c r="BP3781" i="1"/>
  <c r="BO3781" i="1"/>
  <c r="BN3781" i="1"/>
  <c r="BM3781" i="1"/>
  <c r="BL3781" i="1"/>
  <c r="BK3781" i="1"/>
  <c r="BJ3781" i="1"/>
  <c r="BI3781" i="1"/>
  <c r="BH3781" i="1"/>
  <c r="BP3780" i="1"/>
  <c r="BO3780" i="1"/>
  <c r="BN3780" i="1"/>
  <c r="BM3780" i="1"/>
  <c r="BL3780" i="1"/>
  <c r="BK3780" i="1"/>
  <c r="BJ3780" i="1"/>
  <c r="BI3780" i="1"/>
  <c r="BH3780" i="1"/>
  <c r="BP3779" i="1"/>
  <c r="BO3779" i="1"/>
  <c r="BN3779" i="1"/>
  <c r="BM3779" i="1"/>
  <c r="BL3779" i="1"/>
  <c r="BK3779" i="1"/>
  <c r="BJ3779" i="1"/>
  <c r="BI3779" i="1"/>
  <c r="BH3779" i="1"/>
  <c r="BP3778" i="1"/>
  <c r="BN3778" i="1"/>
  <c r="BM3778" i="1"/>
  <c r="BL3778" i="1"/>
  <c r="BK3778" i="1"/>
  <c r="BJ3778" i="1"/>
  <c r="BI3778" i="1"/>
  <c r="BH3778" i="1"/>
  <c r="BE3778" i="1"/>
  <c r="BO3778" i="1" s="1"/>
  <c r="BP3777" i="1"/>
  <c r="BO3777" i="1"/>
  <c r="BN3777" i="1"/>
  <c r="BM3777" i="1"/>
  <c r="BK3777" i="1"/>
  <c r="BJ3777" i="1"/>
  <c r="BI3777" i="1"/>
  <c r="BH3777" i="1"/>
  <c r="AA3777" i="1"/>
  <c r="BL3777" i="1" s="1"/>
  <c r="BP3776" i="1"/>
  <c r="BO3776" i="1"/>
  <c r="BN3776" i="1"/>
  <c r="BM3776" i="1"/>
  <c r="BL3776" i="1"/>
  <c r="BK3776" i="1"/>
  <c r="BJ3776" i="1"/>
  <c r="BI3776" i="1"/>
  <c r="BH3776" i="1"/>
  <c r="BP3775" i="1"/>
  <c r="BO3775" i="1"/>
  <c r="BN3775" i="1"/>
  <c r="BM3775" i="1"/>
  <c r="BL3775" i="1"/>
  <c r="BK3775" i="1"/>
  <c r="BJ3775" i="1"/>
  <c r="BI3775" i="1"/>
  <c r="BH3775" i="1"/>
  <c r="BP3774" i="1"/>
  <c r="BO3774" i="1"/>
  <c r="BN3774" i="1"/>
  <c r="BM3774" i="1"/>
  <c r="BL3774" i="1"/>
  <c r="BK3774" i="1"/>
  <c r="BJ3774" i="1"/>
  <c r="BI3774" i="1"/>
  <c r="BH3774" i="1"/>
  <c r="V3774" i="1"/>
  <c r="BP3773" i="1"/>
  <c r="BO3773" i="1"/>
  <c r="BN3773" i="1"/>
  <c r="BM3773" i="1"/>
  <c r="BL3773" i="1"/>
  <c r="BK3773" i="1"/>
  <c r="BJ3773" i="1"/>
  <c r="BI3773" i="1"/>
  <c r="BH3773" i="1"/>
  <c r="BP3772" i="1"/>
  <c r="BO3772" i="1"/>
  <c r="BN3772" i="1"/>
  <c r="BM3772" i="1"/>
  <c r="BL3772" i="1"/>
  <c r="BK3772" i="1"/>
  <c r="BJ3772" i="1"/>
  <c r="BI3772" i="1"/>
  <c r="BH3772" i="1"/>
  <c r="BP3771" i="1"/>
  <c r="BO3771" i="1"/>
  <c r="BN3771" i="1"/>
  <c r="BL3771" i="1"/>
  <c r="BK3771" i="1"/>
  <c r="BJ3771" i="1"/>
  <c r="BH3771" i="1"/>
  <c r="AR3771" i="1"/>
  <c r="AQ3771" i="1"/>
  <c r="AI3771" i="1"/>
  <c r="BM3771" i="1" s="1"/>
  <c r="P3771" i="1"/>
  <c r="BI3771" i="1" s="1"/>
  <c r="BP3770" i="1"/>
  <c r="BO3770" i="1"/>
  <c r="BN3770" i="1"/>
  <c r="BL3770" i="1"/>
  <c r="BK3770" i="1"/>
  <c r="BJ3770" i="1"/>
  <c r="BI3770" i="1"/>
  <c r="BH3770" i="1"/>
  <c r="AR3770" i="1"/>
  <c r="AN3770" i="1"/>
  <c r="BM3770" i="1" s="1"/>
  <c r="BP3769" i="1"/>
  <c r="BO3769" i="1"/>
  <c r="BN3769" i="1"/>
  <c r="BM3769" i="1"/>
  <c r="BL3769" i="1"/>
  <c r="BK3769" i="1"/>
  <c r="BJ3769" i="1"/>
  <c r="BI3769" i="1"/>
  <c r="BH3769" i="1"/>
  <c r="AS3769" i="1"/>
  <c r="AN3769" i="1"/>
  <c r="BP3768" i="1"/>
  <c r="BO3768" i="1"/>
  <c r="BN3768" i="1"/>
  <c r="BM3768" i="1"/>
  <c r="BL3768" i="1"/>
  <c r="BK3768" i="1"/>
  <c r="BJ3768" i="1"/>
  <c r="BI3768" i="1"/>
  <c r="BH3768" i="1"/>
  <c r="AS3768" i="1"/>
  <c r="BP3767" i="1"/>
  <c r="BO3767" i="1"/>
  <c r="BN3767" i="1"/>
  <c r="BM3767" i="1"/>
  <c r="BL3767" i="1"/>
  <c r="BK3767" i="1"/>
  <c r="BJ3767" i="1"/>
  <c r="BI3767" i="1"/>
  <c r="BH3767" i="1"/>
  <c r="AQ3767" i="1"/>
  <c r="BP3766" i="1"/>
  <c r="BO3766" i="1"/>
  <c r="BN3766" i="1"/>
  <c r="BM3766" i="1"/>
  <c r="BL3766" i="1"/>
  <c r="BK3766" i="1"/>
  <c r="BJ3766" i="1"/>
  <c r="BI3766" i="1"/>
  <c r="BH3766" i="1"/>
  <c r="BP3765" i="1"/>
  <c r="BO3765" i="1"/>
  <c r="BN3765" i="1"/>
  <c r="BM3765" i="1"/>
  <c r="BL3765" i="1"/>
  <c r="BK3765" i="1"/>
  <c r="BJ3765" i="1"/>
  <c r="BI3765" i="1"/>
  <c r="BH3765" i="1"/>
  <c r="BP3764" i="1"/>
  <c r="BO3764" i="1"/>
  <c r="BN3764" i="1"/>
  <c r="BM3764" i="1"/>
  <c r="BL3764" i="1"/>
  <c r="BK3764" i="1"/>
  <c r="BJ3764" i="1"/>
  <c r="BI3764" i="1"/>
  <c r="BH3764" i="1"/>
  <c r="BE3764" i="1"/>
  <c r="BP3763" i="1"/>
  <c r="BO3763" i="1"/>
  <c r="BN3763" i="1"/>
  <c r="BM3763" i="1"/>
  <c r="BL3763" i="1"/>
  <c r="BK3763" i="1"/>
  <c r="BJ3763" i="1"/>
  <c r="BI3763" i="1"/>
  <c r="BH3763" i="1"/>
  <c r="BP3762" i="1"/>
  <c r="BO3762" i="1"/>
  <c r="BN3762" i="1"/>
  <c r="BM3762" i="1"/>
  <c r="BL3762" i="1"/>
  <c r="BK3762" i="1"/>
  <c r="BJ3762" i="1"/>
  <c r="BI3762" i="1"/>
  <c r="BH3762" i="1"/>
  <c r="BP3761" i="1"/>
  <c r="BO3761" i="1"/>
  <c r="BN3761" i="1"/>
  <c r="BL3761" i="1"/>
  <c r="BK3761" i="1"/>
  <c r="BJ3761" i="1"/>
  <c r="BI3761" i="1"/>
  <c r="BH3761" i="1"/>
  <c r="AQ3761" i="1"/>
  <c r="BM3761" i="1" s="1"/>
  <c r="BP3760" i="1"/>
  <c r="BO3760" i="1"/>
  <c r="BN3760" i="1"/>
  <c r="BM3760" i="1"/>
  <c r="BL3760" i="1"/>
  <c r="BJ3760" i="1"/>
  <c r="BI3760" i="1"/>
  <c r="BH3760" i="1"/>
  <c r="X3760" i="1"/>
  <c r="BK3760" i="1" s="1"/>
  <c r="BP3759" i="1"/>
  <c r="BO3759" i="1"/>
  <c r="BN3759" i="1"/>
  <c r="BL3759" i="1"/>
  <c r="BK3759" i="1"/>
  <c r="BJ3759" i="1"/>
  <c r="BI3759" i="1"/>
  <c r="BH3759" i="1"/>
  <c r="AR3759" i="1"/>
  <c r="AN3759" i="1"/>
  <c r="BM3759" i="1" s="1"/>
  <c r="BP3758" i="1"/>
  <c r="BO3758" i="1"/>
  <c r="BN3758" i="1"/>
  <c r="BM3758" i="1"/>
  <c r="BL3758" i="1"/>
  <c r="BK3758" i="1"/>
  <c r="BJ3758" i="1"/>
  <c r="BI3758" i="1"/>
  <c r="BH3758" i="1"/>
  <c r="AS3758" i="1"/>
  <c r="AN3758" i="1"/>
  <c r="BP3757" i="1"/>
  <c r="BO3757" i="1"/>
  <c r="BN3757" i="1"/>
  <c r="BM3757" i="1"/>
  <c r="BL3757" i="1"/>
  <c r="BK3757" i="1"/>
  <c r="BJ3757" i="1"/>
  <c r="BI3757" i="1"/>
  <c r="BH3757" i="1"/>
  <c r="AS3757" i="1"/>
  <c r="AN3757" i="1"/>
  <c r="BP3756" i="1"/>
  <c r="BO3756" i="1"/>
  <c r="BN3756" i="1"/>
  <c r="BM3756" i="1"/>
  <c r="BL3756" i="1"/>
  <c r="BK3756" i="1"/>
  <c r="BJ3756" i="1"/>
  <c r="BI3756" i="1"/>
  <c r="BH3756" i="1"/>
  <c r="AS3756" i="1"/>
  <c r="AN3756" i="1"/>
  <c r="BP3755" i="1"/>
  <c r="BO3755" i="1"/>
  <c r="BN3755" i="1"/>
  <c r="BL3755" i="1"/>
  <c r="BK3755" i="1"/>
  <c r="BJ3755" i="1"/>
  <c r="BI3755" i="1"/>
  <c r="BH3755" i="1"/>
  <c r="AS3755" i="1"/>
  <c r="BM3755" i="1" s="1"/>
  <c r="BP3754" i="1"/>
  <c r="BO3754" i="1"/>
  <c r="BN3754" i="1"/>
  <c r="BL3754" i="1"/>
  <c r="BK3754" i="1"/>
  <c r="BJ3754" i="1"/>
  <c r="BI3754" i="1"/>
  <c r="BH3754" i="1"/>
  <c r="AR3754" i="1"/>
  <c r="AN3754" i="1"/>
  <c r="BM3754" i="1" s="1"/>
  <c r="BP3753" i="1"/>
  <c r="BO3753" i="1"/>
  <c r="BN3753" i="1"/>
  <c r="BM3753" i="1"/>
  <c r="BL3753" i="1"/>
  <c r="BK3753" i="1"/>
  <c r="BJ3753" i="1"/>
  <c r="BI3753" i="1"/>
  <c r="BH3753" i="1"/>
  <c r="BP3752" i="1"/>
  <c r="BO3752" i="1"/>
  <c r="BN3752" i="1"/>
  <c r="BM3752" i="1"/>
  <c r="BL3752" i="1"/>
  <c r="BK3752" i="1"/>
  <c r="BJ3752" i="1"/>
  <c r="BI3752" i="1"/>
  <c r="BH3752" i="1"/>
  <c r="BP3751" i="1"/>
  <c r="BO3751" i="1"/>
  <c r="BN3751" i="1"/>
  <c r="BM3751" i="1"/>
  <c r="BL3751" i="1"/>
  <c r="BK3751" i="1"/>
  <c r="BJ3751" i="1"/>
  <c r="BI3751" i="1"/>
  <c r="BH3751" i="1"/>
  <c r="AA3751" i="1"/>
  <c r="BP3750" i="1"/>
  <c r="BO3750" i="1"/>
  <c r="BN3750" i="1"/>
  <c r="BL3750" i="1"/>
  <c r="BK3750" i="1"/>
  <c r="BJ3750" i="1"/>
  <c r="BI3750" i="1"/>
  <c r="BH3750" i="1"/>
  <c r="AS3750" i="1"/>
  <c r="BM3750" i="1" s="1"/>
  <c r="AN3750" i="1"/>
  <c r="BP3749" i="1"/>
  <c r="BO3749" i="1"/>
  <c r="BN3749" i="1"/>
  <c r="BL3749" i="1"/>
  <c r="BK3749" i="1"/>
  <c r="BJ3749" i="1"/>
  <c r="BI3749" i="1"/>
  <c r="BH3749" i="1"/>
  <c r="AS3749" i="1"/>
  <c r="AN3749" i="1"/>
  <c r="BM3749" i="1" s="1"/>
  <c r="BP3748" i="1"/>
  <c r="BO3748" i="1"/>
  <c r="BN3748" i="1"/>
  <c r="BL3748" i="1"/>
  <c r="BK3748" i="1"/>
  <c r="BJ3748" i="1"/>
  <c r="BI3748" i="1"/>
  <c r="BH3748" i="1"/>
  <c r="AS3748" i="1"/>
  <c r="BM3748" i="1" s="1"/>
  <c r="BP3747" i="1"/>
  <c r="BO3747" i="1"/>
  <c r="BN3747" i="1"/>
  <c r="BL3747" i="1"/>
  <c r="BK3747" i="1"/>
  <c r="BJ3747" i="1"/>
  <c r="BI3747" i="1"/>
  <c r="BH3747" i="1"/>
  <c r="AR3747" i="1"/>
  <c r="AN3747" i="1"/>
  <c r="BM3747" i="1" s="1"/>
  <c r="BP3746" i="1"/>
  <c r="BO3746" i="1"/>
  <c r="BN3746" i="1"/>
  <c r="BL3746" i="1"/>
  <c r="BK3746" i="1"/>
  <c r="BJ3746" i="1"/>
  <c r="BI3746" i="1"/>
  <c r="BH3746" i="1"/>
  <c r="AR3746" i="1"/>
  <c r="AN3746" i="1"/>
  <c r="BP3745" i="1"/>
  <c r="BO3745" i="1"/>
  <c r="BN3745" i="1"/>
  <c r="BM3745" i="1"/>
  <c r="BL3745" i="1"/>
  <c r="BK3745" i="1"/>
  <c r="BJ3745" i="1"/>
  <c r="BI3745" i="1"/>
  <c r="BH3745" i="1"/>
  <c r="BP3744" i="1"/>
  <c r="BO3744" i="1"/>
  <c r="BN3744" i="1"/>
  <c r="BM3744" i="1"/>
  <c r="BL3744" i="1"/>
  <c r="BK3744" i="1"/>
  <c r="BJ3744" i="1"/>
  <c r="BI3744" i="1"/>
  <c r="BH3744" i="1"/>
  <c r="BE3744" i="1"/>
  <c r="BP3743" i="1"/>
  <c r="BO3743" i="1"/>
  <c r="BN3743" i="1"/>
  <c r="BM3743" i="1"/>
  <c r="BL3743" i="1"/>
  <c r="BK3743" i="1"/>
  <c r="BJ3743" i="1"/>
  <c r="BI3743" i="1"/>
  <c r="BH3743" i="1"/>
  <c r="BP3742" i="1"/>
  <c r="BO3742" i="1"/>
  <c r="BN3742" i="1"/>
  <c r="BM3742" i="1"/>
  <c r="BL3742" i="1"/>
  <c r="BJ3742" i="1"/>
  <c r="BI3742" i="1"/>
  <c r="BH3742" i="1"/>
  <c r="V3742" i="1"/>
  <c r="BK3742" i="1" s="1"/>
  <c r="BP3741" i="1"/>
  <c r="BO3741" i="1"/>
  <c r="BN3741" i="1"/>
  <c r="BM3741" i="1"/>
  <c r="BL3741" i="1"/>
  <c r="BK3741" i="1"/>
  <c r="BJ3741" i="1"/>
  <c r="BI3741" i="1"/>
  <c r="BH3741" i="1"/>
  <c r="BP3740" i="1"/>
  <c r="BO3740" i="1"/>
  <c r="BN3740" i="1"/>
  <c r="BM3740" i="1"/>
  <c r="BL3740" i="1"/>
  <c r="BK3740" i="1"/>
  <c r="BJ3740" i="1"/>
  <c r="BI3740" i="1"/>
  <c r="BH3740" i="1"/>
  <c r="BP3739" i="1"/>
  <c r="BO3739" i="1"/>
  <c r="BN3739" i="1"/>
  <c r="BM3739" i="1"/>
  <c r="BL3739" i="1"/>
  <c r="BK3739" i="1"/>
  <c r="BJ3739" i="1"/>
  <c r="BI3739" i="1"/>
  <c r="BH3739" i="1"/>
  <c r="AQ3739" i="1"/>
  <c r="BP3738" i="1"/>
  <c r="BO3738" i="1"/>
  <c r="BN3738" i="1"/>
  <c r="BM3738" i="1"/>
  <c r="BL3738" i="1"/>
  <c r="BK3738" i="1"/>
  <c r="BJ3738" i="1"/>
  <c r="BI3738" i="1"/>
  <c r="BH3738" i="1"/>
  <c r="BP3737" i="1"/>
  <c r="BO3737" i="1"/>
  <c r="BN3737" i="1"/>
  <c r="BL3737" i="1"/>
  <c r="BK3737" i="1"/>
  <c r="BJ3737" i="1"/>
  <c r="BI3737" i="1"/>
  <c r="BH3737" i="1"/>
  <c r="AQ3737" i="1"/>
  <c r="BM3737" i="1" s="1"/>
  <c r="BP3736" i="1"/>
  <c r="BO3736" i="1"/>
  <c r="BN3736" i="1"/>
  <c r="BL3736" i="1"/>
  <c r="BK3736" i="1"/>
  <c r="BJ3736" i="1"/>
  <c r="BI3736" i="1"/>
  <c r="BH3736" i="1"/>
  <c r="AR3736" i="1"/>
  <c r="AN3736" i="1"/>
  <c r="BM3736" i="1" s="1"/>
  <c r="BP3735" i="1"/>
  <c r="BO3735" i="1"/>
  <c r="BN3735" i="1"/>
  <c r="BM3735" i="1"/>
  <c r="BL3735" i="1"/>
  <c r="BK3735" i="1"/>
  <c r="BJ3735" i="1"/>
  <c r="BI3735" i="1"/>
  <c r="BH3735" i="1"/>
  <c r="AR3735" i="1"/>
  <c r="AN3735" i="1"/>
  <c r="BP3734" i="1"/>
  <c r="BO3734" i="1"/>
  <c r="BN3734" i="1"/>
  <c r="BM3734" i="1"/>
  <c r="BL3734" i="1"/>
  <c r="BK3734" i="1"/>
  <c r="BJ3734" i="1"/>
  <c r="BI3734" i="1"/>
  <c r="BH3734" i="1"/>
  <c r="BP3733" i="1"/>
  <c r="BO3733" i="1"/>
  <c r="BN3733" i="1"/>
  <c r="BM3733" i="1"/>
  <c r="BL3733" i="1"/>
  <c r="BK3733" i="1"/>
  <c r="BJ3733" i="1"/>
  <c r="BI3733" i="1"/>
  <c r="BH3733" i="1"/>
  <c r="BP3732" i="1"/>
  <c r="BO3732" i="1"/>
  <c r="BM3732" i="1"/>
  <c r="BL3732" i="1"/>
  <c r="BK3732" i="1"/>
  <c r="BH3732" i="1"/>
  <c r="BG3732" i="1"/>
  <c r="AU3732" i="1"/>
  <c r="BN3732" i="1" s="1"/>
  <c r="AG3732" i="1"/>
  <c r="AC3732" i="1"/>
  <c r="U3732" i="1"/>
  <c r="S3732" i="1"/>
  <c r="BJ3732" i="1" s="1"/>
  <c r="M3732" i="1"/>
  <c r="BI3732" i="1" s="1"/>
  <c r="D3732" i="1"/>
  <c r="BP3731" i="1"/>
  <c r="BO3731" i="1"/>
  <c r="BN3731" i="1"/>
  <c r="BM3731" i="1"/>
  <c r="BL3731" i="1"/>
  <c r="BK3731" i="1"/>
  <c r="BJ3731" i="1"/>
  <c r="BI3731" i="1"/>
  <c r="BH3731" i="1"/>
  <c r="BP3730" i="1"/>
  <c r="BO3730" i="1"/>
  <c r="BN3730" i="1"/>
  <c r="BM3730" i="1"/>
  <c r="BL3730" i="1"/>
  <c r="BK3730" i="1"/>
  <c r="BJ3730" i="1"/>
  <c r="BI3730" i="1"/>
  <c r="BH3730" i="1"/>
  <c r="BP3729" i="1"/>
  <c r="BO3729" i="1"/>
  <c r="BN3729" i="1"/>
  <c r="BM3729" i="1"/>
  <c r="BL3729" i="1"/>
  <c r="BK3729" i="1"/>
  <c r="BJ3729" i="1"/>
  <c r="BI3729" i="1"/>
  <c r="BH3729" i="1"/>
  <c r="BP3728" i="1"/>
  <c r="BO3728" i="1"/>
  <c r="BN3728" i="1"/>
  <c r="BM3728" i="1"/>
  <c r="BL3728" i="1"/>
  <c r="BK3728" i="1"/>
  <c r="BJ3728" i="1"/>
  <c r="BI3728" i="1"/>
  <c r="BH3728" i="1"/>
  <c r="BP3727" i="1"/>
  <c r="BO3727" i="1"/>
  <c r="BN3727" i="1"/>
  <c r="BM3727" i="1"/>
  <c r="BL3727" i="1"/>
  <c r="BK3727" i="1"/>
  <c r="BJ3727" i="1"/>
  <c r="BI3727" i="1"/>
  <c r="BH3727" i="1"/>
  <c r="V3727" i="1"/>
  <c r="BP3726" i="1"/>
  <c r="BO3726" i="1"/>
  <c r="BN3726" i="1"/>
  <c r="BM3726" i="1"/>
  <c r="BL3726" i="1"/>
  <c r="BK3726" i="1"/>
  <c r="BJ3726" i="1"/>
  <c r="BI3726" i="1"/>
  <c r="BH3726" i="1"/>
  <c r="BP3725" i="1"/>
  <c r="BO3725" i="1"/>
  <c r="BN3725" i="1"/>
  <c r="BL3725" i="1"/>
  <c r="BK3725" i="1"/>
  <c r="BJ3725" i="1"/>
  <c r="BI3725" i="1"/>
  <c r="BH3725" i="1"/>
  <c r="AB3725" i="1"/>
  <c r="BM3725" i="1" s="1"/>
  <c r="BP3724" i="1"/>
  <c r="BO3724" i="1"/>
  <c r="BN3724" i="1"/>
  <c r="BM3724" i="1"/>
  <c r="BL3724" i="1"/>
  <c r="BK3724" i="1"/>
  <c r="BJ3724" i="1"/>
  <c r="BI3724" i="1"/>
  <c r="BH3724" i="1"/>
  <c r="BP3723" i="1"/>
  <c r="BO3723" i="1"/>
  <c r="BN3723" i="1"/>
  <c r="BM3723" i="1"/>
  <c r="BL3723" i="1"/>
  <c r="BK3723" i="1"/>
  <c r="BJ3723" i="1"/>
  <c r="BI3723" i="1"/>
  <c r="BH3723" i="1"/>
  <c r="BP3722" i="1"/>
  <c r="BO3722" i="1"/>
  <c r="BN3722" i="1"/>
  <c r="BM3722" i="1"/>
  <c r="BL3722" i="1"/>
  <c r="BK3722" i="1"/>
  <c r="BJ3722" i="1"/>
  <c r="BI3722" i="1"/>
  <c r="BH3722" i="1"/>
  <c r="BP3721" i="1"/>
  <c r="BO3721" i="1"/>
  <c r="BN3721" i="1"/>
  <c r="BM3721" i="1"/>
  <c r="BL3721" i="1"/>
  <c r="BK3721" i="1"/>
  <c r="BJ3721" i="1"/>
  <c r="BI3721" i="1"/>
  <c r="BH3721" i="1"/>
  <c r="BP3720" i="1"/>
  <c r="BO3720" i="1"/>
  <c r="BN3720" i="1"/>
  <c r="BL3720" i="1"/>
  <c r="BK3720" i="1"/>
  <c r="BJ3720" i="1"/>
  <c r="BI3720" i="1"/>
  <c r="BH3720" i="1"/>
  <c r="AR3720" i="1"/>
  <c r="AN3720" i="1"/>
  <c r="BM3720" i="1" s="1"/>
  <c r="BP3719" i="1"/>
  <c r="BO3719" i="1"/>
  <c r="BN3719" i="1"/>
  <c r="BL3719" i="1"/>
  <c r="BK3719" i="1"/>
  <c r="BJ3719" i="1"/>
  <c r="BI3719" i="1"/>
  <c r="BH3719" i="1"/>
  <c r="AS3719" i="1"/>
  <c r="AN3719" i="1"/>
  <c r="BP3718" i="1"/>
  <c r="BO3718" i="1"/>
  <c r="BN3718" i="1"/>
  <c r="BL3718" i="1"/>
  <c r="BK3718" i="1"/>
  <c r="BJ3718" i="1"/>
  <c r="BI3718" i="1"/>
  <c r="BH3718" i="1"/>
  <c r="AS3718" i="1"/>
  <c r="AN3718" i="1"/>
  <c r="BP3717" i="1"/>
  <c r="BO3717" i="1"/>
  <c r="BN3717" i="1"/>
  <c r="BL3717" i="1"/>
  <c r="BK3717" i="1"/>
  <c r="BJ3717" i="1"/>
  <c r="BI3717" i="1"/>
  <c r="BH3717" i="1"/>
  <c r="AS3717" i="1"/>
  <c r="BM3717" i="1" s="1"/>
  <c r="BP3716" i="1"/>
  <c r="BO3716" i="1"/>
  <c r="BN3716" i="1"/>
  <c r="BL3716" i="1"/>
  <c r="BK3716" i="1"/>
  <c r="BJ3716" i="1"/>
  <c r="BI3716" i="1"/>
  <c r="BH3716" i="1"/>
  <c r="AS3716" i="1"/>
  <c r="BM3716" i="1" s="1"/>
  <c r="BP3715" i="1"/>
  <c r="BO3715" i="1"/>
  <c r="BN3715" i="1"/>
  <c r="BM3715" i="1"/>
  <c r="BL3715" i="1"/>
  <c r="BK3715" i="1"/>
  <c r="BJ3715" i="1"/>
  <c r="BI3715" i="1"/>
  <c r="BH3715" i="1"/>
  <c r="AJ3715" i="1"/>
  <c r="J3715" i="1"/>
  <c r="BP3714" i="1"/>
  <c r="BO3714" i="1"/>
  <c r="BN3714" i="1"/>
  <c r="BM3714" i="1"/>
  <c r="BL3714" i="1"/>
  <c r="BK3714" i="1"/>
  <c r="BJ3714" i="1"/>
  <c r="BI3714" i="1"/>
  <c r="BH3714" i="1"/>
  <c r="AR3714" i="1"/>
  <c r="AN3714" i="1"/>
  <c r="AI3714" i="1"/>
  <c r="BP3713" i="1"/>
  <c r="BO3713" i="1"/>
  <c r="BN3713" i="1"/>
  <c r="BM3713" i="1"/>
  <c r="BL3713" i="1"/>
  <c r="BK3713" i="1"/>
  <c r="BJ3713" i="1"/>
  <c r="BI3713" i="1"/>
  <c r="BH3713" i="1"/>
  <c r="AR3713" i="1"/>
  <c r="AN3713" i="1"/>
  <c r="BP3712" i="1"/>
  <c r="BO3712" i="1"/>
  <c r="BN3712" i="1"/>
  <c r="BM3712" i="1"/>
  <c r="BL3712" i="1"/>
  <c r="BK3712" i="1"/>
  <c r="BJ3712" i="1"/>
  <c r="BI3712" i="1"/>
  <c r="BH3712" i="1"/>
  <c r="AA3712" i="1"/>
  <c r="BP3711" i="1"/>
  <c r="BO3711" i="1"/>
  <c r="BN3711" i="1"/>
  <c r="BM3711" i="1"/>
  <c r="BL3711" i="1"/>
  <c r="BK3711" i="1"/>
  <c r="BJ3711" i="1"/>
  <c r="BI3711" i="1"/>
  <c r="BH3711" i="1"/>
  <c r="AQ3711" i="1"/>
  <c r="AB3711" i="1"/>
  <c r="BP3710" i="1"/>
  <c r="BO3710" i="1"/>
  <c r="BN3710" i="1"/>
  <c r="BM3710" i="1"/>
  <c r="BL3710" i="1"/>
  <c r="BK3710" i="1"/>
  <c r="BJ3710" i="1"/>
  <c r="BI3710" i="1"/>
  <c r="BH3710" i="1"/>
  <c r="V3710" i="1"/>
  <c r="BP3709" i="1"/>
  <c r="BO3709" i="1"/>
  <c r="BN3709" i="1"/>
  <c r="BM3709" i="1"/>
  <c r="BL3709" i="1"/>
  <c r="BK3709" i="1"/>
  <c r="BJ3709" i="1"/>
  <c r="BI3709" i="1"/>
  <c r="BH3709" i="1"/>
  <c r="BP3708" i="1"/>
  <c r="BO3708" i="1"/>
  <c r="BN3708" i="1"/>
  <c r="BL3708" i="1"/>
  <c r="BK3708" i="1"/>
  <c r="BJ3708" i="1"/>
  <c r="BI3708" i="1"/>
  <c r="BH3708" i="1"/>
  <c r="AR3708" i="1"/>
  <c r="AN3708" i="1"/>
  <c r="BP3707" i="1"/>
  <c r="BO3707" i="1"/>
  <c r="BN3707" i="1"/>
  <c r="BL3707" i="1"/>
  <c r="BK3707" i="1"/>
  <c r="BJ3707" i="1"/>
  <c r="BI3707" i="1"/>
  <c r="BH3707" i="1"/>
  <c r="AR3707" i="1"/>
  <c r="AN3707" i="1"/>
  <c r="BM3707" i="1" s="1"/>
  <c r="BP3706" i="1"/>
  <c r="BO3706" i="1"/>
  <c r="BN3706" i="1"/>
  <c r="BM3706" i="1"/>
  <c r="BL3706" i="1"/>
  <c r="BK3706" i="1"/>
  <c r="BJ3706" i="1"/>
  <c r="BI3706" i="1"/>
  <c r="BH3706" i="1"/>
  <c r="BP3705" i="1"/>
  <c r="BO3705" i="1"/>
  <c r="BN3705" i="1"/>
  <c r="BM3705" i="1"/>
  <c r="BL3705" i="1"/>
  <c r="BK3705" i="1"/>
  <c r="BJ3705" i="1"/>
  <c r="BI3705" i="1"/>
  <c r="BH3705" i="1"/>
  <c r="AQ3705" i="1"/>
  <c r="AB3705" i="1"/>
  <c r="BP3704" i="1"/>
  <c r="BO3704" i="1"/>
  <c r="BN3704" i="1"/>
  <c r="BM3704" i="1"/>
  <c r="BL3704" i="1"/>
  <c r="BK3704" i="1"/>
  <c r="BJ3704" i="1"/>
  <c r="BI3704" i="1"/>
  <c r="BH3704" i="1"/>
  <c r="AQ3704" i="1"/>
  <c r="BP3703" i="1"/>
  <c r="BO3703" i="1"/>
  <c r="BN3703" i="1"/>
  <c r="BM3703" i="1"/>
  <c r="BL3703" i="1"/>
  <c r="BK3703" i="1"/>
  <c r="BJ3703" i="1"/>
  <c r="BI3703" i="1"/>
  <c r="BH3703" i="1"/>
  <c r="BP3702" i="1"/>
  <c r="BO3702" i="1"/>
  <c r="BN3702" i="1"/>
  <c r="BL3702" i="1"/>
  <c r="BK3702" i="1"/>
  <c r="BJ3702" i="1"/>
  <c r="BI3702" i="1"/>
  <c r="BH3702" i="1"/>
  <c r="AS3702" i="1"/>
  <c r="BM3702" i="1" s="1"/>
  <c r="BP3701" i="1"/>
  <c r="BO3701" i="1"/>
  <c r="BN3701" i="1"/>
  <c r="BM3701" i="1"/>
  <c r="BL3701" i="1"/>
  <c r="BK3701" i="1"/>
  <c r="BJ3701" i="1"/>
  <c r="BI3701" i="1"/>
  <c r="BH3701" i="1"/>
  <c r="AS3701" i="1"/>
  <c r="BP3700" i="1"/>
  <c r="BO3700" i="1"/>
  <c r="BN3700" i="1"/>
  <c r="BM3700" i="1"/>
  <c r="BL3700" i="1"/>
  <c r="BK3700" i="1"/>
  <c r="BJ3700" i="1"/>
  <c r="BI3700" i="1"/>
  <c r="BH3700" i="1"/>
  <c r="BP3699" i="1"/>
  <c r="BO3699" i="1"/>
  <c r="BN3699" i="1"/>
  <c r="BM3699" i="1"/>
  <c r="BL3699" i="1"/>
  <c r="BK3699" i="1"/>
  <c r="BJ3699" i="1"/>
  <c r="BI3699" i="1"/>
  <c r="BH3699" i="1"/>
  <c r="BP3698" i="1"/>
  <c r="BN3698" i="1"/>
  <c r="BM3698" i="1"/>
  <c r="BL3698" i="1"/>
  <c r="BK3698" i="1"/>
  <c r="BJ3698" i="1"/>
  <c r="BI3698" i="1"/>
  <c r="BH3698" i="1"/>
  <c r="BE3698" i="1"/>
  <c r="BO3698" i="1" s="1"/>
  <c r="BP3697" i="1"/>
  <c r="BO3697" i="1"/>
  <c r="BN3697" i="1"/>
  <c r="BL3697" i="1"/>
  <c r="BK3697" i="1"/>
  <c r="BJ3697" i="1"/>
  <c r="BI3697" i="1"/>
  <c r="BH3697" i="1"/>
  <c r="AQ3697" i="1"/>
  <c r="BM3697" i="1" s="1"/>
  <c r="BP3696" i="1"/>
  <c r="BO3696" i="1"/>
  <c r="BN3696" i="1"/>
  <c r="BM3696" i="1"/>
  <c r="BL3696" i="1"/>
  <c r="BK3696" i="1"/>
  <c r="BJ3696" i="1"/>
  <c r="BI3696" i="1"/>
  <c r="BH3696" i="1"/>
  <c r="AA3696" i="1"/>
  <c r="BP3695" i="1"/>
  <c r="BO3695" i="1"/>
  <c r="BN3695" i="1"/>
  <c r="BM3695" i="1"/>
  <c r="BL3695" i="1"/>
  <c r="BK3695" i="1"/>
  <c r="BJ3695" i="1"/>
  <c r="BI3695" i="1"/>
  <c r="BH3695" i="1"/>
  <c r="AR3695" i="1"/>
  <c r="AN3695" i="1"/>
  <c r="AI3695" i="1"/>
  <c r="BP3694" i="1"/>
  <c r="BO3694" i="1"/>
  <c r="BN3694" i="1"/>
  <c r="BM3694" i="1"/>
  <c r="BL3694" i="1"/>
  <c r="BK3694" i="1"/>
  <c r="BJ3694" i="1"/>
  <c r="BI3694" i="1"/>
  <c r="BH3694" i="1"/>
  <c r="AS3694" i="1"/>
  <c r="AN3694" i="1"/>
  <c r="BP3693" i="1"/>
  <c r="BO3693" i="1"/>
  <c r="BN3693" i="1"/>
  <c r="BL3693" i="1"/>
  <c r="BK3693" i="1"/>
  <c r="BJ3693" i="1"/>
  <c r="BI3693" i="1"/>
  <c r="BH3693" i="1"/>
  <c r="AS3693" i="1"/>
  <c r="BM3693" i="1" s="1"/>
  <c r="AN3693" i="1"/>
  <c r="BP3692" i="1"/>
  <c r="BO3692" i="1"/>
  <c r="BN3692" i="1"/>
  <c r="BM3692" i="1"/>
  <c r="BL3692" i="1"/>
  <c r="BK3692" i="1"/>
  <c r="BJ3692" i="1"/>
  <c r="BI3692" i="1"/>
  <c r="BH3692" i="1"/>
  <c r="AS3692" i="1"/>
  <c r="BP3691" i="1"/>
  <c r="BO3691" i="1"/>
  <c r="BN3691" i="1"/>
  <c r="BL3691" i="1"/>
  <c r="BK3691" i="1"/>
  <c r="BJ3691" i="1"/>
  <c r="BI3691" i="1"/>
  <c r="BH3691" i="1"/>
  <c r="AS3691" i="1"/>
  <c r="BM3691" i="1" s="1"/>
  <c r="BP3690" i="1"/>
  <c r="BO3690" i="1"/>
  <c r="BN3690" i="1"/>
  <c r="BL3690" i="1"/>
  <c r="BK3690" i="1"/>
  <c r="BJ3690" i="1"/>
  <c r="BI3690" i="1"/>
  <c r="BH3690" i="1"/>
  <c r="AB3690" i="1"/>
  <c r="BM3690" i="1" s="1"/>
  <c r="BP3689" i="1"/>
  <c r="BO3689" i="1"/>
  <c r="BN3689" i="1"/>
  <c r="BM3689" i="1"/>
  <c r="BL3689" i="1"/>
  <c r="BJ3689" i="1"/>
  <c r="BI3689" i="1"/>
  <c r="BH3689" i="1"/>
  <c r="V3689" i="1"/>
  <c r="BK3689" i="1" s="1"/>
  <c r="BP3688" i="1"/>
  <c r="BO3688" i="1"/>
  <c r="BN3688" i="1"/>
  <c r="BM3688" i="1"/>
  <c r="BL3688" i="1"/>
  <c r="BK3688" i="1"/>
  <c r="BJ3688" i="1"/>
  <c r="BI3688" i="1"/>
  <c r="BH3688" i="1"/>
  <c r="BP3687" i="1"/>
  <c r="BO3687" i="1"/>
  <c r="BN3687" i="1"/>
  <c r="BM3687" i="1"/>
  <c r="BL3687" i="1"/>
  <c r="BK3687" i="1"/>
  <c r="BJ3687" i="1"/>
  <c r="BI3687" i="1"/>
  <c r="BH3687" i="1"/>
  <c r="BP3686" i="1"/>
  <c r="BO3686" i="1"/>
  <c r="BN3686" i="1"/>
  <c r="BM3686" i="1"/>
  <c r="BL3686" i="1"/>
  <c r="BK3686" i="1"/>
  <c r="BJ3686" i="1"/>
  <c r="BI3686" i="1"/>
  <c r="BH3686" i="1"/>
  <c r="BP3685" i="1"/>
  <c r="BO3685" i="1"/>
  <c r="BN3685" i="1"/>
  <c r="BM3685" i="1"/>
  <c r="BL3685" i="1"/>
  <c r="BK3685" i="1"/>
  <c r="BJ3685" i="1"/>
  <c r="BI3685" i="1"/>
  <c r="BH3685" i="1"/>
  <c r="BP3684" i="1"/>
  <c r="BO3684" i="1"/>
  <c r="BN3684" i="1"/>
  <c r="BL3684" i="1"/>
  <c r="BK3684" i="1"/>
  <c r="BJ3684" i="1"/>
  <c r="BI3684" i="1"/>
  <c r="BH3684" i="1"/>
  <c r="AR3684" i="1"/>
  <c r="AN3684" i="1"/>
  <c r="BM3684" i="1" s="1"/>
  <c r="BP3683" i="1"/>
  <c r="BO3683" i="1"/>
  <c r="BN3683" i="1"/>
  <c r="BM3683" i="1"/>
  <c r="BL3683" i="1"/>
  <c r="BK3683" i="1"/>
  <c r="BJ3683" i="1"/>
  <c r="BI3683" i="1"/>
  <c r="BH3683" i="1"/>
  <c r="BP3682" i="1"/>
  <c r="BO3682" i="1"/>
  <c r="BN3682" i="1"/>
  <c r="BL3682" i="1"/>
  <c r="BK3682" i="1"/>
  <c r="BJ3682" i="1"/>
  <c r="BI3682" i="1"/>
  <c r="BH3682" i="1"/>
  <c r="AR3682" i="1"/>
  <c r="BM3682" i="1" s="1"/>
  <c r="AN3682" i="1"/>
  <c r="AI3682" i="1"/>
  <c r="BP3681" i="1"/>
  <c r="BO3681" i="1"/>
  <c r="BN3681" i="1"/>
  <c r="BL3681" i="1"/>
  <c r="BK3681" i="1"/>
  <c r="BJ3681" i="1"/>
  <c r="BI3681" i="1"/>
  <c r="BH3681" i="1"/>
  <c r="AR3681" i="1"/>
  <c r="BM3681" i="1" s="1"/>
  <c r="AN3681" i="1"/>
  <c r="BP3680" i="1"/>
  <c r="BO3680" i="1"/>
  <c r="BN3680" i="1"/>
  <c r="BM3680" i="1"/>
  <c r="BL3680" i="1"/>
  <c r="BK3680" i="1"/>
  <c r="BJ3680" i="1"/>
  <c r="BI3680" i="1"/>
  <c r="BH3680" i="1"/>
  <c r="AQ3680" i="1"/>
  <c r="BP3679" i="1"/>
  <c r="BO3679" i="1"/>
  <c r="BN3679" i="1"/>
  <c r="BL3679" i="1"/>
  <c r="BK3679" i="1"/>
  <c r="BJ3679" i="1"/>
  <c r="BI3679" i="1"/>
  <c r="BH3679" i="1"/>
  <c r="AQ3679" i="1"/>
  <c r="BM3679" i="1" s="1"/>
  <c r="BP3678" i="1"/>
  <c r="BO3678" i="1"/>
  <c r="BN3678" i="1"/>
  <c r="BM3678" i="1"/>
  <c r="BL3678" i="1"/>
  <c r="BK3678" i="1"/>
  <c r="BJ3678" i="1"/>
  <c r="BI3678" i="1"/>
  <c r="BH3678" i="1"/>
  <c r="BP3677" i="1"/>
  <c r="BO3677" i="1"/>
  <c r="BN3677" i="1"/>
  <c r="BM3677" i="1"/>
  <c r="BL3677" i="1"/>
  <c r="BK3677" i="1"/>
  <c r="BJ3677" i="1"/>
  <c r="BI3677" i="1"/>
  <c r="BH3677" i="1"/>
  <c r="BP3676" i="1"/>
  <c r="BO3676" i="1"/>
  <c r="BN3676" i="1"/>
  <c r="BM3676" i="1"/>
  <c r="BL3676" i="1"/>
  <c r="BJ3676" i="1"/>
  <c r="BI3676" i="1"/>
  <c r="BH3676" i="1"/>
  <c r="V3676" i="1"/>
  <c r="BK3676" i="1" s="1"/>
  <c r="BP3675" i="1"/>
  <c r="BO3675" i="1"/>
  <c r="BN3675" i="1"/>
  <c r="BM3675" i="1"/>
  <c r="BL3675" i="1"/>
  <c r="BK3675" i="1"/>
  <c r="BJ3675" i="1"/>
  <c r="BI3675" i="1"/>
  <c r="BH3675" i="1"/>
  <c r="BP3674" i="1"/>
  <c r="BO3674" i="1"/>
  <c r="BN3674" i="1"/>
  <c r="BM3674" i="1"/>
  <c r="BL3674" i="1"/>
  <c r="BK3674" i="1"/>
  <c r="BJ3674" i="1"/>
  <c r="BI3674" i="1"/>
  <c r="BH3674" i="1"/>
  <c r="BP3673" i="1"/>
  <c r="BO3673" i="1"/>
  <c r="BN3673" i="1"/>
  <c r="BM3673" i="1"/>
  <c r="BL3673" i="1"/>
  <c r="BJ3673" i="1"/>
  <c r="BH3673" i="1"/>
  <c r="BE3673" i="1"/>
  <c r="X3673" i="1"/>
  <c r="BK3673" i="1" s="1"/>
  <c r="R3673" i="1"/>
  <c r="BI3673" i="1" s="1"/>
  <c r="BP3672" i="1"/>
  <c r="BO3672" i="1"/>
  <c r="BN3672" i="1"/>
  <c r="BL3672" i="1"/>
  <c r="BK3672" i="1"/>
  <c r="BJ3672" i="1"/>
  <c r="BI3672" i="1"/>
  <c r="BH3672" i="1"/>
  <c r="AR3672" i="1"/>
  <c r="AN3672" i="1"/>
  <c r="BM3672" i="1" s="1"/>
  <c r="BP3671" i="1"/>
  <c r="BO3671" i="1"/>
  <c r="BN3671" i="1"/>
  <c r="BM3671" i="1"/>
  <c r="BL3671" i="1"/>
  <c r="BK3671" i="1"/>
  <c r="BJ3671" i="1"/>
  <c r="BI3671" i="1"/>
  <c r="BH3671" i="1"/>
  <c r="AQ3671" i="1"/>
  <c r="BP3670" i="1"/>
  <c r="BO3670" i="1"/>
  <c r="BN3670" i="1"/>
  <c r="BL3670" i="1"/>
  <c r="BG3670" i="1"/>
  <c r="BF3670" i="1"/>
  <c r="BA3670" i="1"/>
  <c r="AT3670" i="1"/>
  <c r="AC3670" i="1"/>
  <c r="BM3670" i="1" s="1"/>
  <c r="U3670" i="1"/>
  <c r="BK3670" i="1" s="1"/>
  <c r="S3670" i="1"/>
  <c r="BJ3670" i="1" s="1"/>
  <c r="M3670" i="1"/>
  <c r="BI3670" i="1" s="1"/>
  <c r="D3670" i="1"/>
  <c r="C3670" i="1"/>
  <c r="BH3670" i="1" s="1"/>
  <c r="BP3669" i="1"/>
  <c r="BN3669" i="1"/>
  <c r="BM3669" i="1"/>
  <c r="BL3669" i="1"/>
  <c r="BK3669" i="1"/>
  <c r="BJ3669" i="1"/>
  <c r="BI3669" i="1"/>
  <c r="BH3669" i="1"/>
  <c r="BE3669" i="1"/>
  <c r="BO3669" i="1" s="1"/>
  <c r="BP3668" i="1"/>
  <c r="BO3668" i="1"/>
  <c r="BN3668" i="1"/>
  <c r="BL3668" i="1"/>
  <c r="BK3668" i="1"/>
  <c r="BJ3668" i="1"/>
  <c r="BI3668" i="1"/>
  <c r="BH3668" i="1"/>
  <c r="AR3668" i="1"/>
  <c r="AN3668" i="1"/>
  <c r="BM3668" i="1" s="1"/>
  <c r="BP3667" i="1"/>
  <c r="BO3667" i="1"/>
  <c r="BN3667" i="1"/>
  <c r="BM3667" i="1"/>
  <c r="BL3667" i="1"/>
  <c r="BK3667" i="1"/>
  <c r="BJ3667" i="1"/>
  <c r="BI3667" i="1"/>
  <c r="BH3667" i="1"/>
  <c r="BP3666" i="1"/>
  <c r="BO3666" i="1"/>
  <c r="BN3666" i="1"/>
  <c r="BM3666" i="1"/>
  <c r="BL3666" i="1"/>
  <c r="BK3666" i="1"/>
  <c r="BJ3666" i="1"/>
  <c r="BI3666" i="1"/>
  <c r="BH3666" i="1"/>
  <c r="BP3665" i="1"/>
  <c r="BO3665" i="1"/>
  <c r="BN3665" i="1"/>
  <c r="BM3665" i="1"/>
  <c r="BL3665" i="1"/>
  <c r="BK3665" i="1"/>
  <c r="BJ3665" i="1"/>
  <c r="BI3665" i="1"/>
  <c r="BH3665" i="1"/>
  <c r="BP3664" i="1"/>
  <c r="BO3664" i="1"/>
  <c r="BN3664" i="1"/>
  <c r="BM3664" i="1"/>
  <c r="BL3664" i="1"/>
  <c r="BK3664" i="1"/>
  <c r="BJ3664" i="1"/>
  <c r="BI3664" i="1"/>
  <c r="BH3664" i="1"/>
  <c r="BP3663" i="1"/>
  <c r="BO3663" i="1"/>
  <c r="BN3663" i="1"/>
  <c r="BM3663" i="1"/>
  <c r="BL3663" i="1"/>
  <c r="BJ3663" i="1"/>
  <c r="BI3663" i="1"/>
  <c r="BH3663" i="1"/>
  <c r="V3663" i="1"/>
  <c r="BK3663" i="1" s="1"/>
  <c r="BP3662" i="1"/>
  <c r="BO3662" i="1"/>
  <c r="BN3662" i="1"/>
  <c r="BM3662" i="1"/>
  <c r="BL3662" i="1"/>
  <c r="BK3662" i="1"/>
  <c r="BJ3662" i="1"/>
  <c r="BI3662" i="1"/>
  <c r="BH3662" i="1"/>
  <c r="BP3661" i="1"/>
  <c r="BO3661" i="1"/>
  <c r="BN3661" i="1"/>
  <c r="BM3661" i="1"/>
  <c r="BL3661" i="1"/>
  <c r="BK3661" i="1"/>
  <c r="BJ3661" i="1"/>
  <c r="BI3661" i="1"/>
  <c r="BH3661" i="1"/>
  <c r="BP3660" i="1"/>
  <c r="BO3660" i="1"/>
  <c r="BN3660" i="1"/>
  <c r="BM3660" i="1"/>
  <c r="BL3660" i="1"/>
  <c r="BK3660" i="1"/>
  <c r="BJ3660" i="1"/>
  <c r="BI3660" i="1"/>
  <c r="BH3660" i="1"/>
  <c r="BP3659" i="1"/>
  <c r="BO3659" i="1"/>
  <c r="BN3659" i="1"/>
  <c r="BL3659" i="1"/>
  <c r="BK3659" i="1"/>
  <c r="BJ3659" i="1"/>
  <c r="BI3659" i="1"/>
  <c r="BH3659" i="1"/>
  <c r="AQ3659" i="1"/>
  <c r="AB3659" i="1"/>
  <c r="BP3658" i="1"/>
  <c r="BO3658" i="1"/>
  <c r="BN3658" i="1"/>
  <c r="BL3658" i="1"/>
  <c r="BK3658" i="1"/>
  <c r="BJ3658" i="1"/>
  <c r="BI3658" i="1"/>
  <c r="BH3658" i="1"/>
  <c r="AR3658" i="1"/>
  <c r="AN3658" i="1"/>
  <c r="AI3658" i="1"/>
  <c r="BP3657" i="1"/>
  <c r="BO3657" i="1"/>
  <c r="BN3657" i="1"/>
  <c r="BM3657" i="1"/>
  <c r="BL3657" i="1"/>
  <c r="BK3657" i="1"/>
  <c r="BJ3657" i="1"/>
  <c r="BI3657" i="1"/>
  <c r="BH3657" i="1"/>
  <c r="BP3656" i="1"/>
  <c r="BO3656" i="1"/>
  <c r="BN3656" i="1"/>
  <c r="BM3656" i="1"/>
  <c r="BL3656" i="1"/>
  <c r="BK3656" i="1"/>
  <c r="BJ3656" i="1"/>
  <c r="BI3656" i="1"/>
  <c r="BH3656" i="1"/>
  <c r="AQ3656" i="1"/>
  <c r="BP3655" i="1"/>
  <c r="BO3655" i="1"/>
  <c r="BN3655" i="1"/>
  <c r="BM3655" i="1"/>
  <c r="BL3655" i="1"/>
  <c r="BK3655" i="1"/>
  <c r="BJ3655" i="1"/>
  <c r="BI3655" i="1"/>
  <c r="BH3655" i="1"/>
  <c r="AA3655" i="1"/>
  <c r="BP3654" i="1"/>
  <c r="BO3654" i="1"/>
  <c r="BN3654" i="1"/>
  <c r="BL3654" i="1"/>
  <c r="BK3654" i="1"/>
  <c r="BJ3654" i="1"/>
  <c r="BI3654" i="1"/>
  <c r="BH3654" i="1"/>
  <c r="AR3654" i="1"/>
  <c r="AQ3654" i="1"/>
  <c r="BM3654" i="1" s="1"/>
  <c r="P3654" i="1"/>
  <c r="BP3653" i="1"/>
  <c r="BO3653" i="1"/>
  <c r="BN3653" i="1"/>
  <c r="BL3653" i="1"/>
  <c r="BK3653" i="1"/>
  <c r="BJ3653" i="1"/>
  <c r="BI3653" i="1"/>
  <c r="BH3653" i="1"/>
  <c r="AR3653" i="1"/>
  <c r="AN3653" i="1"/>
  <c r="BM3653" i="1" s="1"/>
  <c r="BP3652" i="1"/>
  <c r="BO3652" i="1"/>
  <c r="BN3652" i="1"/>
  <c r="BL3652" i="1"/>
  <c r="BK3652" i="1"/>
  <c r="BJ3652" i="1"/>
  <c r="BI3652" i="1"/>
  <c r="BH3652" i="1"/>
  <c r="AR3652" i="1"/>
  <c r="AN3652" i="1"/>
  <c r="BP3651" i="1"/>
  <c r="BO3651" i="1"/>
  <c r="BN3651" i="1"/>
  <c r="BL3651" i="1"/>
  <c r="BK3651" i="1"/>
  <c r="BJ3651" i="1"/>
  <c r="BI3651" i="1"/>
  <c r="BH3651" i="1"/>
  <c r="AP3651" i="1"/>
  <c r="BM3651" i="1" s="1"/>
  <c r="BP3650" i="1"/>
  <c r="BO3650" i="1"/>
  <c r="BN3650" i="1"/>
  <c r="BM3650" i="1"/>
  <c r="BL3650" i="1"/>
  <c r="BK3650" i="1"/>
  <c r="BJ3650" i="1"/>
  <c r="BI3650" i="1"/>
  <c r="BH3650" i="1"/>
  <c r="BP3649" i="1"/>
  <c r="BO3649" i="1"/>
  <c r="BN3649" i="1"/>
  <c r="BM3649" i="1"/>
  <c r="BL3649" i="1"/>
  <c r="BK3649" i="1"/>
  <c r="BJ3649" i="1"/>
  <c r="BI3649" i="1"/>
  <c r="BH3649" i="1"/>
  <c r="AQ3649" i="1"/>
  <c r="BP3648" i="1"/>
  <c r="BO3648" i="1"/>
  <c r="BN3648" i="1"/>
  <c r="BM3648" i="1"/>
  <c r="BL3648" i="1"/>
  <c r="BK3648" i="1"/>
  <c r="BJ3648" i="1"/>
  <c r="BI3648" i="1"/>
  <c r="BH3648" i="1"/>
  <c r="BP3647" i="1"/>
  <c r="BO3647" i="1"/>
  <c r="BN3647" i="1"/>
  <c r="BM3647" i="1"/>
  <c r="BL3647" i="1"/>
  <c r="BK3647" i="1"/>
  <c r="BJ3647" i="1"/>
  <c r="BI3647" i="1"/>
  <c r="BH3647" i="1"/>
  <c r="BP3646" i="1"/>
  <c r="BO3646" i="1"/>
  <c r="BN3646" i="1"/>
  <c r="BL3646" i="1"/>
  <c r="BK3646" i="1"/>
  <c r="BJ3646" i="1"/>
  <c r="BI3646" i="1"/>
  <c r="BH3646" i="1"/>
  <c r="AS3646" i="1"/>
  <c r="AN3646" i="1"/>
  <c r="BM3646" i="1" s="1"/>
  <c r="BP3645" i="1"/>
  <c r="BO3645" i="1"/>
  <c r="BN3645" i="1"/>
  <c r="BM3645" i="1"/>
  <c r="BL3645" i="1"/>
  <c r="BK3645" i="1"/>
  <c r="BJ3645" i="1"/>
  <c r="BI3645" i="1"/>
  <c r="BH3645" i="1"/>
  <c r="AS3645" i="1"/>
  <c r="BP3644" i="1"/>
  <c r="BO3644" i="1"/>
  <c r="BL3644" i="1"/>
  <c r="BK3644" i="1"/>
  <c r="BG3644" i="1"/>
  <c r="AT3644" i="1"/>
  <c r="BN3644" i="1" s="1"/>
  <c r="AR3644" i="1"/>
  <c r="BM3644" i="1" s="1"/>
  <c r="AN3644" i="1"/>
  <c r="AM3644" i="1"/>
  <c r="W3644" i="1"/>
  <c r="S3644" i="1"/>
  <c r="BJ3644" i="1" s="1"/>
  <c r="N3644" i="1"/>
  <c r="BI3644" i="1" s="1"/>
  <c r="I3644" i="1"/>
  <c r="D3644" i="1"/>
  <c r="BP3643" i="1"/>
  <c r="BO3643" i="1"/>
  <c r="BN3643" i="1"/>
  <c r="BM3643" i="1"/>
  <c r="BL3643" i="1"/>
  <c r="BK3643" i="1"/>
  <c r="BJ3643" i="1"/>
  <c r="BI3643" i="1"/>
  <c r="BH3643" i="1"/>
  <c r="AP3643" i="1"/>
  <c r="BP3642" i="1"/>
  <c r="BO3642" i="1"/>
  <c r="BN3642" i="1"/>
  <c r="BM3642" i="1"/>
  <c r="BL3642" i="1"/>
  <c r="BK3642" i="1"/>
  <c r="BJ3642" i="1"/>
  <c r="BI3642" i="1"/>
  <c r="BH3642" i="1"/>
  <c r="BP3641" i="1"/>
  <c r="BO3641" i="1"/>
  <c r="BN3641" i="1"/>
  <c r="BM3641" i="1"/>
  <c r="BL3641" i="1"/>
  <c r="BK3641" i="1"/>
  <c r="BJ3641" i="1"/>
  <c r="BI3641" i="1"/>
  <c r="BH3641" i="1"/>
  <c r="BP3640" i="1"/>
  <c r="BO3640" i="1"/>
  <c r="BN3640" i="1"/>
  <c r="BM3640" i="1"/>
  <c r="BL3640" i="1"/>
  <c r="BK3640" i="1"/>
  <c r="BJ3640" i="1"/>
  <c r="BI3640" i="1"/>
  <c r="BH3640" i="1"/>
  <c r="BP3639" i="1"/>
  <c r="BO3639" i="1"/>
  <c r="BN3639" i="1"/>
  <c r="BL3639" i="1"/>
  <c r="BK3639" i="1"/>
  <c r="BJ3639" i="1"/>
  <c r="BI3639" i="1"/>
  <c r="BH3639" i="1"/>
  <c r="AQ3639" i="1"/>
  <c r="BM3639" i="1" s="1"/>
  <c r="BP3638" i="1"/>
  <c r="BO3638" i="1"/>
  <c r="BN3638" i="1"/>
  <c r="BM3638" i="1"/>
  <c r="BL3638" i="1"/>
  <c r="BK3638" i="1"/>
  <c r="BJ3638" i="1"/>
  <c r="BI3638" i="1"/>
  <c r="BH3638" i="1"/>
  <c r="AR3638" i="1"/>
  <c r="AN3638" i="1"/>
  <c r="BP3637" i="1"/>
  <c r="BO3637" i="1"/>
  <c r="BN3637" i="1"/>
  <c r="BL3637" i="1"/>
  <c r="BK3637" i="1"/>
  <c r="BJ3637" i="1"/>
  <c r="BI3637" i="1"/>
  <c r="BH3637" i="1"/>
  <c r="AS3637" i="1"/>
  <c r="AN3637" i="1"/>
  <c r="BP3636" i="1"/>
  <c r="BO3636" i="1"/>
  <c r="BN3636" i="1"/>
  <c r="BL3636" i="1"/>
  <c r="BK3636" i="1"/>
  <c r="BJ3636" i="1"/>
  <c r="BI3636" i="1"/>
  <c r="BH3636" i="1"/>
  <c r="AS3636" i="1"/>
  <c r="AN3636" i="1"/>
  <c r="BP3635" i="1"/>
  <c r="BI3635" i="1"/>
  <c r="BH3635" i="1"/>
  <c r="BG3635" i="1"/>
  <c r="AW3635" i="1"/>
  <c r="BO3635" i="1" s="1"/>
  <c r="AT3635" i="1"/>
  <c r="BN3635" i="1" s="1"/>
  <c r="AB3635" i="1"/>
  <c r="BM3635" i="1" s="1"/>
  <c r="Z3635" i="1"/>
  <c r="BL3635" i="1" s="1"/>
  <c r="U3635" i="1"/>
  <c r="BK3635" i="1" s="1"/>
  <c r="S3635" i="1"/>
  <c r="BJ3635" i="1" s="1"/>
  <c r="O3635" i="1"/>
  <c r="E3635" i="1"/>
  <c r="D3635" i="1"/>
  <c r="BP3634" i="1"/>
  <c r="BO3634" i="1"/>
  <c r="BN3634" i="1"/>
  <c r="BM3634" i="1"/>
  <c r="BL3634" i="1"/>
  <c r="BG3634" i="1"/>
  <c r="BF3634" i="1"/>
  <c r="AW3634" i="1"/>
  <c r="AT3634" i="1"/>
  <c r="V3634" i="1"/>
  <c r="U3634" i="1"/>
  <c r="BK3634" i="1" s="1"/>
  <c r="S3634" i="1"/>
  <c r="BJ3634" i="1" s="1"/>
  <c r="M3634" i="1"/>
  <c r="BI3634" i="1" s="1"/>
  <c r="G3634" i="1"/>
  <c r="BH3634" i="1" s="1"/>
  <c r="C3634" i="1"/>
  <c r="BP3633" i="1"/>
  <c r="BO3633" i="1"/>
  <c r="BN3633" i="1"/>
  <c r="BM3633" i="1"/>
  <c r="BL3633" i="1"/>
  <c r="BK3633" i="1"/>
  <c r="BJ3633" i="1"/>
  <c r="BI3633" i="1"/>
  <c r="BH3633" i="1"/>
  <c r="BP3632" i="1"/>
  <c r="BO3632" i="1"/>
  <c r="BN3632" i="1"/>
  <c r="BM3632" i="1"/>
  <c r="BL3632" i="1"/>
  <c r="BK3632" i="1"/>
  <c r="BJ3632" i="1"/>
  <c r="BI3632" i="1"/>
  <c r="BH3632" i="1"/>
  <c r="BP3631" i="1"/>
  <c r="BO3631" i="1"/>
  <c r="BN3631" i="1"/>
  <c r="BM3631" i="1"/>
  <c r="BL3631" i="1"/>
  <c r="BK3631" i="1"/>
  <c r="BJ3631" i="1"/>
  <c r="BI3631" i="1"/>
  <c r="BH3631" i="1"/>
  <c r="BP3630" i="1"/>
  <c r="BO3630" i="1"/>
  <c r="BN3630" i="1"/>
  <c r="BM3630" i="1"/>
  <c r="BL3630" i="1"/>
  <c r="BK3630" i="1"/>
  <c r="BJ3630" i="1"/>
  <c r="BI3630" i="1"/>
  <c r="BH3630" i="1"/>
  <c r="BP3629" i="1"/>
  <c r="BO3629" i="1"/>
  <c r="BN3629" i="1"/>
  <c r="BM3629" i="1"/>
  <c r="BL3629" i="1"/>
  <c r="BJ3629" i="1"/>
  <c r="BI3629" i="1"/>
  <c r="BH3629" i="1"/>
  <c r="X3629" i="1"/>
  <c r="BK3629" i="1" s="1"/>
  <c r="BP3628" i="1"/>
  <c r="BO3628" i="1"/>
  <c r="BN3628" i="1"/>
  <c r="BM3628" i="1"/>
  <c r="BL3628" i="1"/>
  <c r="BK3628" i="1"/>
  <c r="BJ3628" i="1"/>
  <c r="BI3628" i="1"/>
  <c r="BH3628" i="1"/>
  <c r="BP3627" i="1"/>
  <c r="BO3627" i="1"/>
  <c r="BN3627" i="1"/>
  <c r="BM3627" i="1"/>
  <c r="BL3627" i="1"/>
  <c r="BK3627" i="1"/>
  <c r="BJ3627" i="1"/>
  <c r="BI3627" i="1"/>
  <c r="BH3627" i="1"/>
  <c r="BP3626" i="1"/>
  <c r="BO3626" i="1"/>
  <c r="BN3626" i="1"/>
  <c r="BM3626" i="1"/>
  <c r="BL3626" i="1"/>
  <c r="BK3626" i="1"/>
  <c r="BJ3626" i="1"/>
  <c r="BI3626" i="1"/>
  <c r="BH3626" i="1"/>
  <c r="BP3625" i="1"/>
  <c r="BO3625" i="1"/>
  <c r="BN3625" i="1"/>
  <c r="BM3625" i="1"/>
  <c r="BL3625" i="1"/>
  <c r="BK3625" i="1"/>
  <c r="BJ3625" i="1"/>
  <c r="BI3625" i="1"/>
  <c r="BH3625" i="1"/>
  <c r="BP3624" i="1"/>
  <c r="BO3624" i="1"/>
  <c r="BJ3624" i="1"/>
  <c r="BI3624" i="1"/>
  <c r="BG3624" i="1"/>
  <c r="BF3624" i="1"/>
  <c r="AW3624" i="1"/>
  <c r="AT3624" i="1"/>
  <c r="BN3624" i="1" s="1"/>
  <c r="AQ3624" i="1"/>
  <c r="AF3624" i="1"/>
  <c r="BM3624" i="1" s="1"/>
  <c r="Z3624" i="1"/>
  <c r="BL3624" i="1" s="1"/>
  <c r="U3624" i="1"/>
  <c r="BK3624" i="1" s="1"/>
  <c r="S3624" i="1"/>
  <c r="O3624" i="1"/>
  <c r="C3624" i="1"/>
  <c r="BH3624" i="1" s="1"/>
  <c r="BP3623" i="1"/>
  <c r="BO3623" i="1"/>
  <c r="BN3623" i="1"/>
  <c r="BM3623" i="1"/>
  <c r="BL3623" i="1"/>
  <c r="BK3623" i="1"/>
  <c r="BJ3623" i="1"/>
  <c r="BI3623" i="1"/>
  <c r="BH3623" i="1"/>
  <c r="AR3623" i="1"/>
  <c r="AN3623" i="1"/>
  <c r="BP3622" i="1"/>
  <c r="BO3622" i="1"/>
  <c r="BN3622" i="1"/>
  <c r="BM3622" i="1"/>
  <c r="BL3622" i="1"/>
  <c r="BK3622" i="1"/>
  <c r="BJ3622" i="1"/>
  <c r="BI3622" i="1"/>
  <c r="BH3622" i="1"/>
  <c r="AA3622" i="1"/>
  <c r="BP3621" i="1"/>
  <c r="BO3621" i="1"/>
  <c r="BN3621" i="1"/>
  <c r="BL3621" i="1"/>
  <c r="BK3621" i="1"/>
  <c r="BJ3621" i="1"/>
  <c r="BI3621" i="1"/>
  <c r="BH3621" i="1"/>
  <c r="AR3621" i="1"/>
  <c r="AN3621" i="1"/>
  <c r="BM3621" i="1" s="1"/>
  <c r="BP3620" i="1"/>
  <c r="BO3620" i="1"/>
  <c r="BN3620" i="1"/>
  <c r="BL3620" i="1"/>
  <c r="BK3620" i="1"/>
  <c r="BJ3620" i="1"/>
  <c r="BI3620" i="1"/>
  <c r="BH3620" i="1"/>
  <c r="AR3620" i="1"/>
  <c r="AN3620" i="1"/>
  <c r="BM3620" i="1" s="1"/>
  <c r="BP3619" i="1"/>
  <c r="BO3619" i="1"/>
  <c r="BN3619" i="1"/>
  <c r="BM3619" i="1"/>
  <c r="BL3619" i="1"/>
  <c r="BK3619" i="1"/>
  <c r="BJ3619" i="1"/>
  <c r="BI3619" i="1"/>
  <c r="BH3619" i="1"/>
  <c r="BP3618" i="1"/>
  <c r="BO3618" i="1"/>
  <c r="BN3618" i="1"/>
  <c r="BM3618" i="1"/>
  <c r="BL3618" i="1"/>
  <c r="BK3618" i="1"/>
  <c r="BJ3618" i="1"/>
  <c r="BI3618" i="1"/>
  <c r="BH3618" i="1"/>
  <c r="BE3618" i="1"/>
  <c r="BP3617" i="1"/>
  <c r="BO3617" i="1"/>
  <c r="BN3617" i="1"/>
  <c r="BM3617" i="1"/>
  <c r="BL3617" i="1"/>
  <c r="BK3617" i="1"/>
  <c r="BJ3617" i="1"/>
  <c r="BI3617" i="1"/>
  <c r="BH3617" i="1"/>
  <c r="AQ3617" i="1"/>
  <c r="BP3616" i="1"/>
  <c r="BO3616" i="1"/>
  <c r="BN3616" i="1"/>
  <c r="BM3616" i="1"/>
  <c r="BL3616" i="1"/>
  <c r="BK3616" i="1"/>
  <c r="BJ3616" i="1"/>
  <c r="BI3616" i="1"/>
  <c r="BH3616" i="1"/>
  <c r="BP3615" i="1"/>
  <c r="BO3615" i="1"/>
  <c r="BN3615" i="1"/>
  <c r="BM3615" i="1"/>
  <c r="BL3615" i="1"/>
  <c r="BJ3615" i="1"/>
  <c r="BI3615" i="1"/>
  <c r="BH3615" i="1"/>
  <c r="V3615" i="1"/>
  <c r="BK3615" i="1" s="1"/>
  <c r="BP3614" i="1"/>
  <c r="BO3614" i="1"/>
  <c r="BN3614" i="1"/>
  <c r="BL3614" i="1"/>
  <c r="BK3614" i="1"/>
  <c r="BJ3614" i="1"/>
  <c r="BI3614" i="1"/>
  <c r="BH3614" i="1"/>
  <c r="AB3614" i="1"/>
  <c r="BM3614" i="1" s="1"/>
  <c r="BP3613" i="1"/>
  <c r="BO3613" i="1"/>
  <c r="BN3613" i="1"/>
  <c r="BL3613" i="1"/>
  <c r="BK3613" i="1"/>
  <c r="BJ3613" i="1"/>
  <c r="BI3613" i="1"/>
  <c r="BH3613" i="1"/>
  <c r="AS3613" i="1"/>
  <c r="BM3613" i="1" s="1"/>
  <c r="BP3612" i="1"/>
  <c r="BO3612" i="1"/>
  <c r="BN3612" i="1"/>
  <c r="BL3612" i="1"/>
  <c r="BK3612" i="1"/>
  <c r="BJ3612" i="1"/>
  <c r="BI3612" i="1"/>
  <c r="BH3612" i="1"/>
  <c r="AR3612" i="1"/>
  <c r="BM3612" i="1" s="1"/>
  <c r="AN3612" i="1"/>
  <c r="BP3611" i="1"/>
  <c r="BO3611" i="1"/>
  <c r="BN3611" i="1"/>
  <c r="BM3611" i="1"/>
  <c r="BL3611" i="1"/>
  <c r="BK3611" i="1"/>
  <c r="BJ3611" i="1"/>
  <c r="BI3611" i="1"/>
  <c r="BH3611" i="1"/>
  <c r="BP3610" i="1"/>
  <c r="BO3610" i="1"/>
  <c r="BN3610" i="1"/>
  <c r="BM3610" i="1"/>
  <c r="BL3610" i="1"/>
  <c r="BK3610" i="1"/>
  <c r="BJ3610" i="1"/>
  <c r="BI3610" i="1"/>
  <c r="BH3610" i="1"/>
  <c r="BP3609" i="1"/>
  <c r="BO3609" i="1"/>
  <c r="BN3609" i="1"/>
  <c r="BL3609" i="1"/>
  <c r="BK3609" i="1"/>
  <c r="BJ3609" i="1"/>
  <c r="BI3609" i="1"/>
  <c r="BH3609" i="1"/>
  <c r="AB3609" i="1"/>
  <c r="BM3609" i="1" s="1"/>
  <c r="BP3608" i="1"/>
  <c r="BO3608" i="1"/>
  <c r="BN3608" i="1"/>
  <c r="BL3608" i="1"/>
  <c r="BK3608" i="1"/>
  <c r="BJ3608" i="1"/>
  <c r="BI3608" i="1"/>
  <c r="BH3608" i="1"/>
  <c r="AS3608" i="1"/>
  <c r="AN3608" i="1"/>
  <c r="BM3608" i="1" s="1"/>
  <c r="BP3607" i="1"/>
  <c r="BO3607" i="1"/>
  <c r="BN3607" i="1"/>
  <c r="BL3607" i="1"/>
  <c r="BK3607" i="1"/>
  <c r="BJ3607" i="1"/>
  <c r="BI3607" i="1"/>
  <c r="BH3607" i="1"/>
  <c r="AS3607" i="1"/>
  <c r="AN3607" i="1"/>
  <c r="BP3606" i="1"/>
  <c r="BO3606" i="1"/>
  <c r="BN3606" i="1"/>
  <c r="BM3606" i="1"/>
  <c r="BK3606" i="1"/>
  <c r="BJ3606" i="1"/>
  <c r="BI3606" i="1"/>
  <c r="BH3606" i="1"/>
  <c r="AA3606" i="1"/>
  <c r="BL3606" i="1" s="1"/>
  <c r="BP3605" i="1"/>
  <c r="BO3605" i="1"/>
  <c r="BN3605" i="1"/>
  <c r="BL3605" i="1"/>
  <c r="BK3605" i="1"/>
  <c r="BJ3605" i="1"/>
  <c r="BI3605" i="1"/>
  <c r="BH3605" i="1"/>
  <c r="AQ3605" i="1"/>
  <c r="BM3605" i="1" s="1"/>
  <c r="BP3604" i="1"/>
  <c r="BO3604" i="1"/>
  <c r="BN3604" i="1"/>
  <c r="BM3604" i="1"/>
  <c r="BL3604" i="1"/>
  <c r="BK3604" i="1"/>
  <c r="BJ3604" i="1"/>
  <c r="BI3604" i="1"/>
  <c r="BH3604" i="1"/>
  <c r="BP3603" i="1"/>
  <c r="BO3603" i="1"/>
  <c r="BN3603" i="1"/>
  <c r="BM3603" i="1"/>
  <c r="BL3603" i="1"/>
  <c r="BK3603" i="1"/>
  <c r="BJ3603" i="1"/>
  <c r="BI3603" i="1"/>
  <c r="BH3603" i="1"/>
  <c r="BP3602" i="1"/>
  <c r="BO3602" i="1"/>
  <c r="BN3602" i="1"/>
  <c r="BK3602" i="1"/>
  <c r="BJ3602" i="1"/>
  <c r="BI3602" i="1"/>
  <c r="BH3602" i="1"/>
  <c r="AS3602" i="1"/>
  <c r="BM3602" i="1" s="1"/>
  <c r="AA3602" i="1"/>
  <c r="BL3602" i="1" s="1"/>
  <c r="L3602" i="1"/>
  <c r="BP3601" i="1"/>
  <c r="BO3601" i="1"/>
  <c r="BN3601" i="1"/>
  <c r="BK3601" i="1"/>
  <c r="BJ3601" i="1"/>
  <c r="BI3601" i="1"/>
  <c r="AQ3601" i="1"/>
  <c r="BM3601" i="1" s="1"/>
  <c r="AA3601" i="1"/>
  <c r="BL3601" i="1" s="1"/>
  <c r="L3601" i="1"/>
  <c r="BH3601" i="1" s="1"/>
  <c r="BP3600" i="1"/>
  <c r="BO3600" i="1"/>
  <c r="BN3600" i="1"/>
  <c r="BM3600" i="1"/>
  <c r="BL3600" i="1"/>
  <c r="BK3600" i="1"/>
  <c r="BJ3600" i="1"/>
  <c r="BI3600" i="1"/>
  <c r="BH3600" i="1"/>
  <c r="BP3599" i="1"/>
  <c r="BO3599" i="1"/>
  <c r="BN3599" i="1"/>
  <c r="BM3599" i="1"/>
  <c r="BL3599" i="1"/>
  <c r="BK3599" i="1"/>
  <c r="BJ3599" i="1"/>
  <c r="BI3599" i="1"/>
  <c r="BH3599" i="1"/>
  <c r="BP3598" i="1"/>
  <c r="BO3598" i="1"/>
  <c r="BN3598" i="1"/>
  <c r="BM3598" i="1"/>
  <c r="BL3598" i="1"/>
  <c r="BK3598" i="1"/>
  <c r="BJ3598" i="1"/>
  <c r="BI3598" i="1"/>
  <c r="BH3598" i="1"/>
  <c r="BP3597" i="1"/>
  <c r="BO3597" i="1"/>
  <c r="BN3597" i="1"/>
  <c r="BL3597" i="1"/>
  <c r="BK3597" i="1"/>
  <c r="BJ3597" i="1"/>
  <c r="BI3597" i="1"/>
  <c r="BH3597" i="1"/>
  <c r="AR3597" i="1"/>
  <c r="AN3597" i="1"/>
  <c r="BP3596" i="1"/>
  <c r="BO3596" i="1"/>
  <c r="BN3596" i="1"/>
  <c r="BM3596" i="1"/>
  <c r="BL3596" i="1"/>
  <c r="BK3596" i="1"/>
  <c r="BJ3596" i="1"/>
  <c r="BI3596" i="1"/>
  <c r="BH3596" i="1"/>
  <c r="BP3595" i="1"/>
  <c r="BO3595" i="1"/>
  <c r="BN3595" i="1"/>
  <c r="BM3595" i="1"/>
  <c r="BL3595" i="1"/>
  <c r="BK3595" i="1"/>
  <c r="BJ3595" i="1"/>
  <c r="BI3595" i="1"/>
  <c r="BH3595" i="1"/>
  <c r="BP3594" i="1"/>
  <c r="BO3594" i="1"/>
  <c r="BN3594" i="1"/>
  <c r="BM3594" i="1"/>
  <c r="BL3594" i="1"/>
  <c r="BK3594" i="1"/>
  <c r="BJ3594" i="1"/>
  <c r="BI3594" i="1"/>
  <c r="BH3594" i="1"/>
  <c r="BP3593" i="1"/>
  <c r="BO3593" i="1"/>
  <c r="BN3593" i="1"/>
  <c r="BM3593" i="1"/>
  <c r="BL3593" i="1"/>
  <c r="BK3593" i="1"/>
  <c r="BJ3593" i="1"/>
  <c r="BI3593" i="1"/>
  <c r="BH3593" i="1"/>
  <c r="AR3593" i="1"/>
  <c r="AN3593" i="1"/>
  <c r="BP3592" i="1"/>
  <c r="BO3592" i="1"/>
  <c r="BN3592" i="1"/>
  <c r="BM3592" i="1"/>
  <c r="BL3592" i="1"/>
  <c r="BK3592" i="1"/>
  <c r="BJ3592" i="1"/>
  <c r="BI3592" i="1"/>
  <c r="BH3592" i="1"/>
  <c r="AR3592" i="1"/>
  <c r="AN3592" i="1"/>
  <c r="BP3591" i="1"/>
  <c r="BO3591" i="1"/>
  <c r="BN3591" i="1"/>
  <c r="BM3591" i="1"/>
  <c r="BL3591" i="1"/>
  <c r="BK3591" i="1"/>
  <c r="BJ3591" i="1"/>
  <c r="BI3591" i="1"/>
  <c r="BH3591" i="1"/>
  <c r="BP3590" i="1"/>
  <c r="BO3590" i="1"/>
  <c r="BN3590" i="1"/>
  <c r="BM3590" i="1"/>
  <c r="BL3590" i="1"/>
  <c r="BK3590" i="1"/>
  <c r="BJ3590" i="1"/>
  <c r="BI3590" i="1"/>
  <c r="BH3590" i="1"/>
  <c r="BP3589" i="1"/>
  <c r="BO3589" i="1"/>
  <c r="BN3589" i="1"/>
  <c r="BM3589" i="1"/>
  <c r="BL3589" i="1"/>
  <c r="BG3589" i="1"/>
  <c r="AU3589" i="1"/>
  <c r="AJ3589" i="1"/>
  <c r="AG3589" i="1"/>
  <c r="U3589" i="1"/>
  <c r="BK3589" i="1" s="1"/>
  <c r="S3589" i="1"/>
  <c r="BJ3589" i="1" s="1"/>
  <c r="N3589" i="1"/>
  <c r="BI3589" i="1" s="1"/>
  <c r="J3589" i="1"/>
  <c r="BH3589" i="1" s="1"/>
  <c r="C3589" i="1"/>
  <c r="BP3588" i="1"/>
  <c r="BO3588" i="1"/>
  <c r="BN3588" i="1"/>
  <c r="BM3588" i="1"/>
  <c r="BL3588" i="1"/>
  <c r="BJ3588" i="1"/>
  <c r="BI3588" i="1"/>
  <c r="BH3588" i="1"/>
  <c r="V3588" i="1"/>
  <c r="BK3588" i="1" s="1"/>
  <c r="BP3587" i="1"/>
  <c r="BO3587" i="1"/>
  <c r="BN3587" i="1"/>
  <c r="BM3587" i="1"/>
  <c r="BL3587" i="1"/>
  <c r="BK3587" i="1"/>
  <c r="BJ3587" i="1"/>
  <c r="BI3587" i="1"/>
  <c r="BH3587" i="1"/>
  <c r="BP3586" i="1"/>
  <c r="BO3586" i="1"/>
  <c r="BN3586" i="1"/>
  <c r="BM3586" i="1"/>
  <c r="BL3586" i="1"/>
  <c r="BK3586" i="1"/>
  <c r="BJ3586" i="1"/>
  <c r="BI3586" i="1"/>
  <c r="BH3586" i="1"/>
  <c r="BP3585" i="1"/>
  <c r="BO3585" i="1"/>
  <c r="BN3585" i="1"/>
  <c r="BM3585" i="1"/>
  <c r="BL3585" i="1"/>
  <c r="BK3585" i="1"/>
  <c r="BJ3585" i="1"/>
  <c r="BI3585" i="1"/>
  <c r="BH3585" i="1"/>
  <c r="BP3584" i="1"/>
  <c r="BO3584" i="1"/>
  <c r="BN3584" i="1"/>
  <c r="BM3584" i="1"/>
  <c r="BL3584" i="1"/>
  <c r="BK3584" i="1"/>
  <c r="BJ3584" i="1"/>
  <c r="BI3584" i="1"/>
  <c r="BH3584" i="1"/>
  <c r="BP3583" i="1"/>
  <c r="BO3583" i="1"/>
  <c r="BN3583" i="1"/>
  <c r="BM3583" i="1"/>
  <c r="BL3583" i="1"/>
  <c r="BK3583" i="1"/>
  <c r="BJ3583" i="1"/>
  <c r="BI3583" i="1"/>
  <c r="BH3583" i="1"/>
  <c r="BP3582" i="1"/>
  <c r="BO3582" i="1"/>
  <c r="BN3582" i="1"/>
  <c r="BM3582" i="1"/>
  <c r="BL3582" i="1"/>
  <c r="BK3582" i="1"/>
  <c r="BJ3582" i="1"/>
  <c r="BI3582" i="1"/>
  <c r="BH3582" i="1"/>
  <c r="AS3582" i="1"/>
  <c r="BP3581" i="1"/>
  <c r="BO3581" i="1"/>
  <c r="BN3581" i="1"/>
  <c r="BM3581" i="1"/>
  <c r="BL3581" i="1"/>
  <c r="BK3581" i="1"/>
  <c r="BJ3581" i="1"/>
  <c r="BI3581" i="1"/>
  <c r="BH3581" i="1"/>
  <c r="AS3581" i="1"/>
  <c r="AN3581" i="1"/>
  <c r="BP3580" i="1"/>
  <c r="BO3580" i="1"/>
  <c r="BN3580" i="1"/>
  <c r="BM3580" i="1"/>
  <c r="BL3580" i="1"/>
  <c r="BK3580" i="1"/>
  <c r="BJ3580" i="1"/>
  <c r="BI3580" i="1"/>
  <c r="BH3580" i="1"/>
  <c r="AS3580" i="1"/>
  <c r="AN3580" i="1"/>
  <c r="BP3579" i="1"/>
  <c r="BO3579" i="1"/>
  <c r="BN3579" i="1"/>
  <c r="BM3579" i="1"/>
  <c r="BL3579" i="1"/>
  <c r="BK3579" i="1"/>
  <c r="BJ3579" i="1"/>
  <c r="BI3579" i="1"/>
  <c r="BH3579" i="1"/>
  <c r="AR3579" i="1"/>
  <c r="AN3579" i="1"/>
  <c r="BP3578" i="1"/>
  <c r="BO3578" i="1"/>
  <c r="BN3578" i="1"/>
  <c r="BM3578" i="1"/>
  <c r="BL3578" i="1"/>
  <c r="BK3578" i="1"/>
  <c r="BJ3578" i="1"/>
  <c r="BI3578" i="1"/>
  <c r="BH3578" i="1"/>
  <c r="BP3577" i="1"/>
  <c r="BO3577" i="1"/>
  <c r="BN3577" i="1"/>
  <c r="BM3577" i="1"/>
  <c r="BL3577" i="1"/>
  <c r="BK3577" i="1"/>
  <c r="BJ3577" i="1"/>
  <c r="BI3577" i="1"/>
  <c r="BH3577" i="1"/>
  <c r="BP3576" i="1"/>
  <c r="BO3576" i="1"/>
  <c r="BN3576" i="1"/>
  <c r="BM3576" i="1"/>
  <c r="BL3576" i="1"/>
  <c r="BK3576" i="1"/>
  <c r="BJ3576" i="1"/>
  <c r="BI3576" i="1"/>
  <c r="BH3576" i="1"/>
  <c r="BP3575" i="1"/>
  <c r="BO3575" i="1"/>
  <c r="BN3575" i="1"/>
  <c r="BM3575" i="1"/>
  <c r="BL3575" i="1"/>
  <c r="BK3575" i="1"/>
  <c r="BJ3575" i="1"/>
  <c r="BI3575" i="1"/>
  <c r="BH3575" i="1"/>
  <c r="BP3574" i="1"/>
  <c r="BO3574" i="1"/>
  <c r="BN3574" i="1"/>
  <c r="BM3574" i="1"/>
  <c r="BL3574" i="1"/>
  <c r="BK3574" i="1"/>
  <c r="BJ3574" i="1"/>
  <c r="BI3574" i="1"/>
  <c r="BH3574" i="1"/>
  <c r="AS3574" i="1"/>
  <c r="BP3573" i="1"/>
  <c r="BO3573" i="1"/>
  <c r="BN3573" i="1"/>
  <c r="BL3573" i="1"/>
  <c r="BK3573" i="1"/>
  <c r="BJ3573" i="1"/>
  <c r="BI3573" i="1"/>
  <c r="BH3573" i="1"/>
  <c r="AS3573" i="1"/>
  <c r="BM3573" i="1" s="1"/>
  <c r="BP3572" i="1"/>
  <c r="BO3572" i="1"/>
  <c r="BN3572" i="1"/>
  <c r="BL3572" i="1"/>
  <c r="BK3572" i="1"/>
  <c r="BJ3572" i="1"/>
  <c r="BI3572" i="1"/>
  <c r="BH3572" i="1"/>
  <c r="AS3572" i="1"/>
  <c r="AN3572" i="1"/>
  <c r="BM3572" i="1" s="1"/>
  <c r="BP3571" i="1"/>
  <c r="BO3571" i="1"/>
  <c r="BN3571" i="1"/>
  <c r="BM3571" i="1"/>
  <c r="BL3571" i="1"/>
  <c r="BK3571" i="1"/>
  <c r="BJ3571" i="1"/>
  <c r="BI3571" i="1"/>
  <c r="BH3571" i="1"/>
  <c r="BP3570" i="1"/>
  <c r="BO3570" i="1"/>
  <c r="BN3570" i="1"/>
  <c r="BM3570" i="1"/>
  <c r="BL3570" i="1"/>
  <c r="BK3570" i="1"/>
  <c r="BJ3570" i="1"/>
  <c r="BI3570" i="1"/>
  <c r="BH3570" i="1"/>
  <c r="BP3569" i="1"/>
  <c r="BO3569" i="1"/>
  <c r="BN3569" i="1"/>
  <c r="BM3569" i="1"/>
  <c r="BL3569" i="1"/>
  <c r="BK3569" i="1"/>
  <c r="BJ3569" i="1"/>
  <c r="BI3569" i="1"/>
  <c r="BH3569" i="1"/>
  <c r="BE3569" i="1"/>
  <c r="BP3568" i="1"/>
  <c r="BO3568" i="1"/>
  <c r="BN3568" i="1"/>
  <c r="BM3568" i="1"/>
  <c r="BL3568" i="1"/>
  <c r="BK3568" i="1"/>
  <c r="BJ3568" i="1"/>
  <c r="BI3568" i="1"/>
  <c r="BH3568" i="1"/>
  <c r="BP3567" i="1"/>
  <c r="BO3567" i="1"/>
  <c r="BN3567" i="1"/>
  <c r="BM3567" i="1"/>
  <c r="BL3567" i="1"/>
  <c r="BK3567" i="1"/>
  <c r="BJ3567" i="1"/>
  <c r="BI3567" i="1"/>
  <c r="BH3567" i="1"/>
  <c r="BP3566" i="1"/>
  <c r="BO3566" i="1"/>
  <c r="BN3566" i="1"/>
  <c r="BM3566" i="1"/>
  <c r="BL3566" i="1"/>
  <c r="BK3566" i="1"/>
  <c r="BJ3566" i="1"/>
  <c r="BI3566" i="1"/>
  <c r="BH3566" i="1"/>
  <c r="BP3565" i="1"/>
  <c r="BO3565" i="1"/>
  <c r="BN3565" i="1"/>
  <c r="BM3565" i="1"/>
  <c r="BL3565" i="1"/>
  <c r="BK3565" i="1"/>
  <c r="BJ3565" i="1"/>
  <c r="BI3565" i="1"/>
  <c r="BH3565" i="1"/>
  <c r="BP3564" i="1"/>
  <c r="BO3564" i="1"/>
  <c r="BN3564" i="1"/>
  <c r="BL3564" i="1"/>
  <c r="BK3564" i="1"/>
  <c r="BJ3564" i="1"/>
  <c r="BI3564" i="1"/>
  <c r="BH3564" i="1"/>
  <c r="AQ3564" i="1"/>
  <c r="BM3564" i="1" s="1"/>
  <c r="BP3563" i="1"/>
  <c r="BO3563" i="1"/>
  <c r="BN3563" i="1"/>
  <c r="BL3563" i="1"/>
  <c r="BK3563" i="1"/>
  <c r="BJ3563" i="1"/>
  <c r="BI3563" i="1"/>
  <c r="BH3563" i="1"/>
  <c r="AR3563" i="1"/>
  <c r="AN3563" i="1"/>
  <c r="BM3563" i="1" s="1"/>
  <c r="BP3562" i="1"/>
  <c r="BO3562" i="1"/>
  <c r="BN3562" i="1"/>
  <c r="BL3562" i="1"/>
  <c r="BK3562" i="1"/>
  <c r="BJ3562" i="1"/>
  <c r="BI3562" i="1"/>
  <c r="BH3562" i="1"/>
  <c r="AS3562" i="1"/>
  <c r="AN3562" i="1"/>
  <c r="BP3561" i="1"/>
  <c r="BO3561" i="1"/>
  <c r="BN3561" i="1"/>
  <c r="BL3561" i="1"/>
  <c r="BK3561" i="1"/>
  <c r="BJ3561" i="1"/>
  <c r="BI3561" i="1"/>
  <c r="BH3561" i="1"/>
  <c r="AS3561" i="1"/>
  <c r="BM3561" i="1" s="1"/>
  <c r="BP3560" i="1"/>
  <c r="BO3560" i="1"/>
  <c r="BN3560" i="1"/>
  <c r="BL3560" i="1"/>
  <c r="BK3560" i="1"/>
  <c r="BJ3560" i="1"/>
  <c r="BI3560" i="1"/>
  <c r="BH3560" i="1"/>
  <c r="AQ3560" i="1"/>
  <c r="BM3560" i="1" s="1"/>
  <c r="BP3559" i="1"/>
  <c r="BO3559" i="1"/>
  <c r="BN3559" i="1"/>
  <c r="BM3559" i="1"/>
  <c r="BL3559" i="1"/>
  <c r="BK3559" i="1"/>
  <c r="BJ3559" i="1"/>
  <c r="BI3559" i="1"/>
  <c r="BH3559" i="1"/>
  <c r="AQ3559" i="1"/>
  <c r="BP3558" i="1"/>
  <c r="BO3558" i="1"/>
  <c r="BN3558" i="1"/>
  <c r="BM3558" i="1"/>
  <c r="BL3558" i="1"/>
  <c r="BK3558" i="1"/>
  <c r="BJ3558" i="1"/>
  <c r="BI3558" i="1"/>
  <c r="BH3558" i="1"/>
  <c r="BP3557" i="1"/>
  <c r="BO3557" i="1"/>
  <c r="BN3557" i="1"/>
  <c r="BM3557" i="1"/>
  <c r="BL3557" i="1"/>
  <c r="BK3557" i="1"/>
  <c r="BJ3557" i="1"/>
  <c r="BI3557" i="1"/>
  <c r="BH3557" i="1"/>
  <c r="BP3556" i="1"/>
  <c r="BO3556" i="1"/>
  <c r="BN3556" i="1"/>
  <c r="BM3556" i="1"/>
  <c r="BL3556" i="1"/>
  <c r="BK3556" i="1"/>
  <c r="BJ3556" i="1"/>
  <c r="BI3556" i="1"/>
  <c r="BH3556" i="1"/>
  <c r="BP3555" i="1"/>
  <c r="BO3555" i="1"/>
  <c r="BN3555" i="1"/>
  <c r="BM3555" i="1"/>
  <c r="BL3555" i="1"/>
  <c r="BK3555" i="1"/>
  <c r="BJ3555" i="1"/>
  <c r="BI3555" i="1"/>
  <c r="BH3555" i="1"/>
  <c r="BP3554" i="1"/>
  <c r="BO3554" i="1"/>
  <c r="BN3554" i="1"/>
  <c r="BM3554" i="1"/>
  <c r="BL3554" i="1"/>
  <c r="BK3554" i="1"/>
  <c r="BJ3554" i="1"/>
  <c r="BI3554" i="1"/>
  <c r="BH3554" i="1"/>
  <c r="V3554" i="1"/>
  <c r="BP3553" i="1"/>
  <c r="BO3553" i="1"/>
  <c r="BN3553" i="1"/>
  <c r="BM3553" i="1"/>
  <c r="BL3553" i="1"/>
  <c r="BK3553" i="1"/>
  <c r="BJ3553" i="1"/>
  <c r="BI3553" i="1"/>
  <c r="BH3553" i="1"/>
  <c r="BP3552" i="1"/>
  <c r="BO3552" i="1"/>
  <c r="BN3552" i="1"/>
  <c r="BL3552" i="1"/>
  <c r="BK3552" i="1"/>
  <c r="BJ3552" i="1"/>
  <c r="BH3552" i="1"/>
  <c r="AR3552" i="1"/>
  <c r="AQ3552" i="1"/>
  <c r="BM3552" i="1" s="1"/>
  <c r="P3552" i="1"/>
  <c r="BI3552" i="1" s="1"/>
  <c r="BP3551" i="1"/>
  <c r="BO3551" i="1"/>
  <c r="BN3551" i="1"/>
  <c r="BL3551" i="1"/>
  <c r="BK3551" i="1"/>
  <c r="BJ3551" i="1"/>
  <c r="BI3551" i="1"/>
  <c r="BH3551" i="1"/>
  <c r="AR3551" i="1"/>
  <c r="AN3551" i="1"/>
  <c r="BP3550" i="1"/>
  <c r="BO3550" i="1"/>
  <c r="BN3550" i="1"/>
  <c r="BL3550" i="1"/>
  <c r="BK3550" i="1"/>
  <c r="BJ3550" i="1"/>
  <c r="BI3550" i="1"/>
  <c r="BH3550" i="1"/>
  <c r="AB3550" i="1"/>
  <c r="BM3550" i="1" s="1"/>
  <c r="BP3549" i="1"/>
  <c r="BO3549" i="1"/>
  <c r="BN3549" i="1"/>
  <c r="BL3549" i="1"/>
  <c r="BK3549" i="1"/>
  <c r="BJ3549" i="1"/>
  <c r="BI3549" i="1"/>
  <c r="BH3549" i="1"/>
  <c r="AQ3549" i="1"/>
  <c r="BM3549" i="1" s="1"/>
  <c r="BP3548" i="1"/>
  <c r="BO3548" i="1"/>
  <c r="BN3548" i="1"/>
  <c r="BL3548" i="1"/>
  <c r="BK3548" i="1"/>
  <c r="BJ3548" i="1"/>
  <c r="BI3548" i="1"/>
  <c r="BH3548" i="1"/>
  <c r="AQ3548" i="1"/>
  <c r="AB3548" i="1"/>
  <c r="BM3548" i="1" s="1"/>
  <c r="BP3547" i="1"/>
  <c r="BO3547" i="1"/>
  <c r="BN3547" i="1"/>
  <c r="BM3547" i="1"/>
  <c r="BL3547" i="1"/>
  <c r="BK3547" i="1"/>
  <c r="BJ3547" i="1"/>
  <c r="BI3547" i="1"/>
  <c r="BH3547" i="1"/>
  <c r="AA3547" i="1"/>
  <c r="BP3546" i="1"/>
  <c r="BO3546" i="1"/>
  <c r="BN3546" i="1"/>
  <c r="BM3546" i="1"/>
  <c r="BL3546" i="1"/>
  <c r="BK3546" i="1"/>
  <c r="BJ3546" i="1"/>
  <c r="BI3546" i="1"/>
  <c r="BH3546" i="1"/>
  <c r="AS3546" i="1"/>
  <c r="AN3546" i="1"/>
  <c r="BP3545" i="1"/>
  <c r="BO3545" i="1"/>
  <c r="BN3545" i="1"/>
  <c r="BM3545" i="1"/>
  <c r="BL3545" i="1"/>
  <c r="BK3545" i="1"/>
  <c r="BJ3545" i="1"/>
  <c r="BI3545" i="1"/>
  <c r="BH3545" i="1"/>
  <c r="AS3545" i="1"/>
  <c r="AN3545" i="1"/>
  <c r="BP3544" i="1"/>
  <c r="BO3544" i="1"/>
  <c r="BN3544" i="1"/>
  <c r="BM3544" i="1"/>
  <c r="BL3544" i="1"/>
  <c r="BK3544" i="1"/>
  <c r="BJ3544" i="1"/>
  <c r="BI3544" i="1"/>
  <c r="BH3544" i="1"/>
  <c r="AP3544" i="1"/>
  <c r="BP3543" i="1"/>
  <c r="BO3543" i="1"/>
  <c r="BN3543" i="1"/>
  <c r="BM3543" i="1"/>
  <c r="BL3543" i="1"/>
  <c r="BK3543" i="1"/>
  <c r="BJ3543" i="1"/>
  <c r="BI3543" i="1"/>
  <c r="BH3543" i="1"/>
  <c r="BP3542" i="1"/>
  <c r="BO3542" i="1"/>
  <c r="BN3542" i="1"/>
  <c r="BM3542" i="1"/>
  <c r="BL3542" i="1"/>
  <c r="BK3542" i="1"/>
  <c r="BJ3542" i="1"/>
  <c r="BI3542" i="1"/>
  <c r="BH3542" i="1"/>
  <c r="BP3541" i="1"/>
  <c r="BO3541" i="1"/>
  <c r="BN3541" i="1"/>
  <c r="BM3541" i="1"/>
  <c r="BL3541" i="1"/>
  <c r="BK3541" i="1"/>
  <c r="BJ3541" i="1"/>
  <c r="BI3541" i="1"/>
  <c r="BH3541" i="1"/>
  <c r="BP3540" i="1"/>
  <c r="BO3540" i="1"/>
  <c r="BN3540" i="1"/>
  <c r="BM3540" i="1"/>
  <c r="BL3540" i="1"/>
  <c r="BK3540" i="1"/>
  <c r="BJ3540" i="1"/>
  <c r="BI3540" i="1"/>
  <c r="BH3540" i="1"/>
  <c r="BP3539" i="1"/>
  <c r="BO3539" i="1"/>
  <c r="BN3539" i="1"/>
  <c r="BM3539" i="1"/>
  <c r="BL3539" i="1"/>
  <c r="BK3539" i="1"/>
  <c r="BJ3539" i="1"/>
  <c r="BI3539" i="1"/>
  <c r="BH3539" i="1"/>
  <c r="BP3538" i="1"/>
  <c r="BO3538" i="1"/>
  <c r="BN3538" i="1"/>
  <c r="BL3538" i="1"/>
  <c r="BK3538" i="1"/>
  <c r="BJ3538" i="1"/>
  <c r="BI3538" i="1"/>
  <c r="BH3538" i="1"/>
  <c r="AR3538" i="1"/>
  <c r="AN3538" i="1"/>
  <c r="BM3538" i="1" s="1"/>
  <c r="BP3537" i="1"/>
  <c r="BO3537" i="1"/>
  <c r="BN3537" i="1"/>
  <c r="BM3537" i="1"/>
  <c r="BL3537" i="1"/>
  <c r="BK3537" i="1"/>
  <c r="BJ3537" i="1"/>
  <c r="BI3537" i="1"/>
  <c r="BH3537" i="1"/>
  <c r="BP3536" i="1"/>
  <c r="BO3536" i="1"/>
  <c r="BN3536" i="1"/>
  <c r="BM3536" i="1"/>
  <c r="BL3536" i="1"/>
  <c r="BK3536" i="1"/>
  <c r="BJ3536" i="1"/>
  <c r="BI3536" i="1"/>
  <c r="BH3536" i="1"/>
  <c r="BP3535" i="1"/>
  <c r="BO3535" i="1"/>
  <c r="BN3535" i="1"/>
  <c r="BM3535" i="1"/>
  <c r="BL3535" i="1"/>
  <c r="BK3535" i="1"/>
  <c r="BJ3535" i="1"/>
  <c r="BI3535" i="1"/>
  <c r="BH3535" i="1"/>
  <c r="AS3535" i="1"/>
  <c r="BP3534" i="1"/>
  <c r="BO3534" i="1"/>
  <c r="BN3534" i="1"/>
  <c r="BL3534" i="1"/>
  <c r="BK3534" i="1"/>
  <c r="BJ3534" i="1"/>
  <c r="BI3534" i="1"/>
  <c r="BH3534" i="1"/>
  <c r="AS3534" i="1"/>
  <c r="AN3534" i="1"/>
  <c r="BP3533" i="1"/>
  <c r="BO3533" i="1"/>
  <c r="BN3533" i="1"/>
  <c r="BL3533" i="1"/>
  <c r="BK3533" i="1"/>
  <c r="BJ3533" i="1"/>
  <c r="BI3533" i="1"/>
  <c r="BH3533" i="1"/>
  <c r="AQ3533" i="1"/>
  <c r="BM3533" i="1" s="1"/>
  <c r="BP3532" i="1"/>
  <c r="BO3532" i="1"/>
  <c r="BN3532" i="1"/>
  <c r="BL3532" i="1"/>
  <c r="BK3532" i="1"/>
  <c r="BJ3532" i="1"/>
  <c r="BI3532" i="1"/>
  <c r="BH3532" i="1"/>
  <c r="AB3532" i="1"/>
  <c r="BM3532" i="1" s="1"/>
  <c r="BP3531" i="1"/>
  <c r="BO3531" i="1"/>
  <c r="BN3531" i="1"/>
  <c r="BM3531" i="1"/>
  <c r="BL3531" i="1"/>
  <c r="BG3531" i="1"/>
  <c r="AU3531" i="1"/>
  <c r="AJ3531" i="1"/>
  <c r="AG3531" i="1"/>
  <c r="U3531" i="1"/>
  <c r="BK3531" i="1" s="1"/>
  <c r="S3531" i="1"/>
  <c r="BJ3531" i="1" s="1"/>
  <c r="N3531" i="1"/>
  <c r="BI3531" i="1" s="1"/>
  <c r="J3531" i="1"/>
  <c r="C3531" i="1"/>
  <c r="BP3530" i="1"/>
  <c r="BO3530" i="1"/>
  <c r="BN3530" i="1"/>
  <c r="BM3530" i="1"/>
  <c r="BL3530" i="1"/>
  <c r="BJ3530" i="1"/>
  <c r="BI3530" i="1"/>
  <c r="BH3530" i="1"/>
  <c r="V3530" i="1"/>
  <c r="BK3530" i="1" s="1"/>
  <c r="BP3529" i="1"/>
  <c r="BO3529" i="1"/>
  <c r="BN3529" i="1"/>
  <c r="BM3529" i="1"/>
  <c r="BL3529" i="1"/>
  <c r="BK3529" i="1"/>
  <c r="BJ3529" i="1"/>
  <c r="BI3529" i="1"/>
  <c r="BH3529" i="1"/>
  <c r="BP3528" i="1"/>
  <c r="BO3528" i="1"/>
  <c r="BN3528" i="1"/>
  <c r="BM3528" i="1"/>
  <c r="BK3528" i="1"/>
  <c r="BJ3528" i="1"/>
  <c r="BI3528" i="1"/>
  <c r="AQ3528" i="1"/>
  <c r="AA3528" i="1"/>
  <c r="BL3528" i="1" s="1"/>
  <c r="L3528" i="1"/>
  <c r="BH3528" i="1" s="1"/>
  <c r="BP3527" i="1"/>
  <c r="BO3527" i="1"/>
  <c r="BN3527" i="1"/>
  <c r="BM3527" i="1"/>
  <c r="BL3527" i="1"/>
  <c r="BK3527" i="1"/>
  <c r="BJ3527" i="1"/>
  <c r="BI3527" i="1"/>
  <c r="BH3527" i="1"/>
  <c r="BP3526" i="1"/>
  <c r="BO3526" i="1"/>
  <c r="BN3526" i="1"/>
  <c r="BM3526" i="1"/>
  <c r="BL3526" i="1"/>
  <c r="BK3526" i="1"/>
  <c r="BJ3526" i="1"/>
  <c r="BI3526" i="1"/>
  <c r="BH3526" i="1"/>
  <c r="BP3525" i="1"/>
  <c r="BO3525" i="1"/>
  <c r="BN3525" i="1"/>
  <c r="BM3525" i="1"/>
  <c r="BL3525" i="1"/>
  <c r="BK3525" i="1"/>
  <c r="BJ3525" i="1"/>
  <c r="BI3525" i="1"/>
  <c r="BH3525" i="1"/>
  <c r="BP3524" i="1"/>
  <c r="BO3524" i="1"/>
  <c r="BN3524" i="1"/>
  <c r="BL3524" i="1"/>
  <c r="BK3524" i="1"/>
  <c r="BJ3524" i="1"/>
  <c r="BI3524" i="1"/>
  <c r="BH3524" i="1"/>
  <c r="AR3524" i="1"/>
  <c r="AN3524" i="1"/>
  <c r="BM3524" i="1" s="1"/>
  <c r="BP3523" i="1"/>
  <c r="BO3523" i="1"/>
  <c r="BN3523" i="1"/>
  <c r="BM3523" i="1"/>
  <c r="BL3523" i="1"/>
  <c r="BK3523" i="1"/>
  <c r="BJ3523" i="1"/>
  <c r="BI3523" i="1"/>
  <c r="BH3523" i="1"/>
  <c r="BP3522" i="1"/>
  <c r="BO3522" i="1"/>
  <c r="BN3522" i="1"/>
  <c r="BM3522" i="1"/>
  <c r="BL3522" i="1"/>
  <c r="BK3522" i="1"/>
  <c r="BJ3522" i="1"/>
  <c r="BI3522" i="1"/>
  <c r="BH3522" i="1"/>
  <c r="BP3521" i="1"/>
  <c r="BO3521" i="1"/>
  <c r="BN3521" i="1"/>
  <c r="BM3521" i="1"/>
  <c r="BL3521" i="1"/>
  <c r="BK3521" i="1"/>
  <c r="BJ3521" i="1"/>
  <c r="BI3521" i="1"/>
  <c r="BH3521" i="1"/>
  <c r="BP3520" i="1"/>
  <c r="BO3520" i="1"/>
  <c r="BN3520" i="1"/>
  <c r="BM3520" i="1"/>
  <c r="BL3520" i="1"/>
  <c r="BK3520" i="1"/>
  <c r="BJ3520" i="1"/>
  <c r="BI3520" i="1"/>
  <c r="BH3520" i="1"/>
  <c r="BP3519" i="1"/>
  <c r="BO3519" i="1"/>
  <c r="BN3519" i="1"/>
  <c r="BM3519" i="1"/>
  <c r="BK3519" i="1"/>
  <c r="BJ3519" i="1"/>
  <c r="BI3519" i="1"/>
  <c r="BH3519" i="1"/>
  <c r="AA3519" i="1"/>
  <c r="BL3519" i="1" s="1"/>
  <c r="BP3518" i="1"/>
  <c r="BO3518" i="1"/>
  <c r="BN3518" i="1"/>
  <c r="BM3518" i="1"/>
  <c r="BL3518" i="1"/>
  <c r="BK3518" i="1"/>
  <c r="BJ3518" i="1"/>
  <c r="BI3518" i="1"/>
  <c r="BH3518" i="1"/>
  <c r="AP3518" i="1"/>
  <c r="BP3517" i="1"/>
  <c r="BO3517" i="1"/>
  <c r="BN3517" i="1"/>
  <c r="BM3517" i="1"/>
  <c r="BL3517" i="1"/>
  <c r="BK3517" i="1"/>
  <c r="BJ3517" i="1"/>
  <c r="BI3517" i="1"/>
  <c r="BH3517" i="1"/>
  <c r="BP3516" i="1"/>
  <c r="BN3516" i="1"/>
  <c r="BM3516" i="1"/>
  <c r="BL3516" i="1"/>
  <c r="BK3516" i="1"/>
  <c r="BJ3516" i="1"/>
  <c r="BI3516" i="1"/>
  <c r="BH3516" i="1"/>
  <c r="BE3516" i="1"/>
  <c r="BO3516" i="1" s="1"/>
  <c r="BP3515" i="1"/>
  <c r="BO3515" i="1"/>
  <c r="BN3515" i="1"/>
  <c r="BM3515" i="1"/>
  <c r="BL3515" i="1"/>
  <c r="BK3515" i="1"/>
  <c r="BJ3515" i="1"/>
  <c r="BI3515" i="1"/>
  <c r="BH3515" i="1"/>
  <c r="BP3514" i="1"/>
  <c r="BO3514" i="1"/>
  <c r="BN3514" i="1"/>
  <c r="BM3514" i="1"/>
  <c r="BL3514" i="1"/>
  <c r="BK3514" i="1"/>
  <c r="BJ3514" i="1"/>
  <c r="BI3514" i="1"/>
  <c r="BH3514" i="1"/>
  <c r="BP3513" i="1"/>
  <c r="BO3513" i="1"/>
  <c r="BN3513" i="1"/>
  <c r="BM3513" i="1"/>
  <c r="BL3513" i="1"/>
  <c r="BK3513" i="1"/>
  <c r="BJ3513" i="1"/>
  <c r="BI3513" i="1"/>
  <c r="BH3513" i="1"/>
  <c r="AQ3513" i="1"/>
  <c r="BP3512" i="1"/>
  <c r="BO3512" i="1"/>
  <c r="BN3512" i="1"/>
  <c r="BM3512" i="1"/>
  <c r="BL3512" i="1"/>
  <c r="BK3512" i="1"/>
  <c r="BJ3512" i="1"/>
  <c r="BI3512" i="1"/>
  <c r="BH3512" i="1"/>
  <c r="BP3511" i="1"/>
  <c r="BO3511" i="1"/>
  <c r="BN3511" i="1"/>
  <c r="BM3511" i="1"/>
  <c r="BL3511" i="1"/>
  <c r="BK3511" i="1"/>
  <c r="BJ3511" i="1"/>
  <c r="BI3511" i="1"/>
  <c r="BH3511" i="1"/>
  <c r="BP3510" i="1"/>
  <c r="BO3510" i="1"/>
  <c r="BN3510" i="1"/>
  <c r="BL3510" i="1"/>
  <c r="BK3510" i="1"/>
  <c r="BJ3510" i="1"/>
  <c r="BI3510" i="1"/>
  <c r="BH3510" i="1"/>
  <c r="AR3510" i="1"/>
  <c r="AN3510" i="1"/>
  <c r="BM3510" i="1" s="1"/>
  <c r="BP3509" i="1"/>
  <c r="BO3509" i="1"/>
  <c r="BN3509" i="1"/>
  <c r="BL3509" i="1"/>
  <c r="BK3509" i="1"/>
  <c r="BJ3509" i="1"/>
  <c r="BI3509" i="1"/>
  <c r="BH3509" i="1"/>
  <c r="AR3509" i="1"/>
  <c r="AN3509" i="1"/>
  <c r="BP3508" i="1"/>
  <c r="BO3508" i="1"/>
  <c r="BN3508" i="1"/>
  <c r="BM3508" i="1"/>
  <c r="BL3508" i="1"/>
  <c r="BK3508" i="1"/>
  <c r="BJ3508" i="1"/>
  <c r="BI3508" i="1"/>
  <c r="BH3508" i="1"/>
  <c r="AS3508" i="1"/>
  <c r="AN3508" i="1"/>
  <c r="BP3507" i="1"/>
  <c r="BO3507" i="1"/>
  <c r="BN3507" i="1"/>
  <c r="BM3507" i="1"/>
  <c r="BL3507" i="1"/>
  <c r="BK3507" i="1"/>
  <c r="BJ3507" i="1"/>
  <c r="BI3507" i="1"/>
  <c r="BH3507" i="1"/>
  <c r="BP3506" i="1"/>
  <c r="BO3506" i="1"/>
  <c r="BN3506" i="1"/>
  <c r="BM3506" i="1"/>
  <c r="BL3506" i="1"/>
  <c r="BK3506" i="1"/>
  <c r="BJ3506" i="1"/>
  <c r="BI3506" i="1"/>
  <c r="BH3506" i="1"/>
  <c r="BP3505" i="1"/>
  <c r="BO3505" i="1"/>
  <c r="BN3505" i="1"/>
  <c r="BM3505" i="1"/>
  <c r="BL3505" i="1"/>
  <c r="BK3505" i="1"/>
  <c r="BJ3505" i="1"/>
  <c r="BI3505" i="1"/>
  <c r="BH3505" i="1"/>
  <c r="BP3504" i="1"/>
  <c r="BO3504" i="1"/>
  <c r="BN3504" i="1"/>
  <c r="BM3504" i="1"/>
  <c r="BL3504" i="1"/>
  <c r="BK3504" i="1"/>
  <c r="BJ3504" i="1"/>
  <c r="BI3504" i="1"/>
  <c r="BH3504" i="1"/>
  <c r="BP3503" i="1"/>
  <c r="BO3503" i="1"/>
  <c r="BN3503" i="1"/>
  <c r="BM3503" i="1"/>
  <c r="BL3503" i="1"/>
  <c r="BK3503" i="1"/>
  <c r="BJ3503" i="1"/>
  <c r="BI3503" i="1"/>
  <c r="BH3503" i="1"/>
  <c r="AR3503" i="1"/>
  <c r="AN3503" i="1"/>
  <c r="BP3502" i="1"/>
  <c r="BO3502" i="1"/>
  <c r="BN3502" i="1"/>
  <c r="BM3502" i="1"/>
  <c r="BL3502" i="1"/>
  <c r="BK3502" i="1"/>
  <c r="BJ3502" i="1"/>
  <c r="BI3502" i="1"/>
  <c r="BH3502" i="1"/>
  <c r="BP3501" i="1"/>
  <c r="BO3501" i="1"/>
  <c r="BN3501" i="1"/>
  <c r="BM3501" i="1"/>
  <c r="BL3501" i="1"/>
  <c r="BK3501" i="1"/>
  <c r="BJ3501" i="1"/>
  <c r="BI3501" i="1"/>
  <c r="BH3501" i="1"/>
  <c r="BE3501" i="1"/>
  <c r="BP3500" i="1"/>
  <c r="BO3500" i="1"/>
  <c r="BN3500" i="1"/>
  <c r="BM3500" i="1"/>
  <c r="BL3500" i="1"/>
  <c r="BK3500" i="1"/>
  <c r="BJ3500" i="1"/>
  <c r="BI3500" i="1"/>
  <c r="BH3500" i="1"/>
  <c r="BP3499" i="1"/>
  <c r="BO3499" i="1"/>
  <c r="BN3499" i="1"/>
  <c r="BL3499" i="1"/>
  <c r="BK3499" i="1"/>
  <c r="BJ3499" i="1"/>
  <c r="BI3499" i="1"/>
  <c r="BH3499" i="1"/>
  <c r="AB3499" i="1"/>
  <c r="BM3499" i="1" s="1"/>
  <c r="BP3498" i="1"/>
  <c r="BO3498" i="1"/>
  <c r="BN3498" i="1"/>
  <c r="BM3498" i="1"/>
  <c r="BL3498" i="1"/>
  <c r="BK3498" i="1"/>
  <c r="BJ3498" i="1"/>
  <c r="BI3498" i="1"/>
  <c r="BH3498" i="1"/>
  <c r="AB3498" i="1"/>
  <c r="BP3497" i="1"/>
  <c r="BO3497" i="1"/>
  <c r="BN3497" i="1"/>
  <c r="BM3497" i="1"/>
  <c r="BL3497" i="1"/>
  <c r="BK3497" i="1"/>
  <c r="BJ3497" i="1"/>
  <c r="BI3497" i="1"/>
  <c r="BH3497" i="1"/>
  <c r="BP3496" i="1"/>
  <c r="BO3496" i="1"/>
  <c r="BN3496" i="1"/>
  <c r="BM3496" i="1"/>
  <c r="BL3496" i="1"/>
  <c r="BK3496" i="1"/>
  <c r="BJ3496" i="1"/>
  <c r="BI3496" i="1"/>
  <c r="BH3496" i="1"/>
  <c r="BP3495" i="1"/>
  <c r="BO3495" i="1"/>
  <c r="BN3495" i="1"/>
  <c r="BM3495" i="1"/>
  <c r="BL3495" i="1"/>
  <c r="BK3495" i="1"/>
  <c r="BJ3495" i="1"/>
  <c r="BI3495" i="1"/>
  <c r="BH3495" i="1"/>
  <c r="AS3495" i="1"/>
  <c r="BP3494" i="1"/>
  <c r="BO3494" i="1"/>
  <c r="BN3494" i="1"/>
  <c r="BL3494" i="1"/>
  <c r="BK3494" i="1"/>
  <c r="BJ3494" i="1"/>
  <c r="BI3494" i="1"/>
  <c r="BH3494" i="1"/>
  <c r="AR3494" i="1"/>
  <c r="AN3494" i="1"/>
  <c r="BP3493" i="1"/>
  <c r="BO3493" i="1"/>
  <c r="BN3493" i="1"/>
  <c r="BM3493" i="1"/>
  <c r="BL3493" i="1"/>
  <c r="BK3493" i="1"/>
  <c r="BJ3493" i="1"/>
  <c r="BI3493" i="1"/>
  <c r="BH3493" i="1"/>
  <c r="BP3492" i="1"/>
  <c r="BO3492" i="1"/>
  <c r="BN3492" i="1"/>
  <c r="BL3492" i="1"/>
  <c r="BK3492" i="1"/>
  <c r="BJ3492" i="1"/>
  <c r="BI3492" i="1"/>
  <c r="BH3492" i="1"/>
  <c r="AQ3492" i="1"/>
  <c r="BM3492" i="1" s="1"/>
  <c r="BP3491" i="1"/>
  <c r="BO3491" i="1"/>
  <c r="BN3491" i="1"/>
  <c r="BM3491" i="1"/>
  <c r="BL3491" i="1"/>
  <c r="BK3491" i="1"/>
  <c r="BJ3491" i="1"/>
  <c r="BI3491" i="1"/>
  <c r="BH3491" i="1"/>
  <c r="BP3490" i="1"/>
  <c r="BO3490" i="1"/>
  <c r="BN3490" i="1"/>
  <c r="BM3490" i="1"/>
  <c r="BL3490" i="1"/>
  <c r="BK3490" i="1"/>
  <c r="BJ3490" i="1"/>
  <c r="BI3490" i="1"/>
  <c r="BH3490" i="1"/>
  <c r="BP3489" i="1"/>
  <c r="BO3489" i="1"/>
  <c r="BN3489" i="1"/>
  <c r="BM3489" i="1"/>
  <c r="BL3489" i="1"/>
  <c r="BK3489" i="1"/>
  <c r="BJ3489" i="1"/>
  <c r="BI3489" i="1"/>
  <c r="BH3489" i="1"/>
  <c r="BP3488" i="1"/>
  <c r="BO3488" i="1"/>
  <c r="BN3488" i="1"/>
  <c r="BM3488" i="1"/>
  <c r="BL3488" i="1"/>
  <c r="BK3488" i="1"/>
  <c r="BJ3488" i="1"/>
  <c r="BI3488" i="1"/>
  <c r="BH3488" i="1"/>
  <c r="BP3487" i="1"/>
  <c r="BO3487" i="1"/>
  <c r="BN3487" i="1"/>
  <c r="BM3487" i="1"/>
  <c r="BL3487" i="1"/>
  <c r="BK3487" i="1"/>
  <c r="BJ3487" i="1"/>
  <c r="BI3487" i="1"/>
  <c r="BH3487" i="1"/>
  <c r="BP3486" i="1"/>
  <c r="BO3486" i="1"/>
  <c r="BN3486" i="1"/>
  <c r="BM3486" i="1"/>
  <c r="BL3486" i="1"/>
  <c r="BK3486" i="1"/>
  <c r="BJ3486" i="1"/>
  <c r="BI3486" i="1"/>
  <c r="BH3486" i="1"/>
  <c r="X3486" i="1"/>
  <c r="BP3485" i="1"/>
  <c r="BO3485" i="1"/>
  <c r="BN3485" i="1"/>
  <c r="BL3485" i="1"/>
  <c r="BK3485" i="1"/>
  <c r="BJ3485" i="1"/>
  <c r="BI3485" i="1"/>
  <c r="BH3485" i="1"/>
  <c r="AR3485" i="1"/>
  <c r="AQ3485" i="1"/>
  <c r="P3485" i="1"/>
  <c r="BP3484" i="1"/>
  <c r="BO3484" i="1"/>
  <c r="BN3484" i="1"/>
  <c r="BL3484" i="1"/>
  <c r="BK3484" i="1"/>
  <c r="BJ3484" i="1"/>
  <c r="BI3484" i="1"/>
  <c r="BH3484" i="1"/>
  <c r="AR3484" i="1"/>
  <c r="AN3484" i="1"/>
  <c r="BP3483" i="1"/>
  <c r="BO3483" i="1"/>
  <c r="BN3483" i="1"/>
  <c r="BL3483" i="1"/>
  <c r="BK3483" i="1"/>
  <c r="BJ3483" i="1"/>
  <c r="BI3483" i="1"/>
  <c r="BH3483" i="1"/>
  <c r="AS3483" i="1"/>
  <c r="BM3483" i="1" s="1"/>
  <c r="BP3482" i="1"/>
  <c r="BO3482" i="1"/>
  <c r="BN3482" i="1"/>
  <c r="BL3482" i="1"/>
  <c r="BK3482" i="1"/>
  <c r="BJ3482" i="1"/>
  <c r="BI3482" i="1"/>
  <c r="BH3482" i="1"/>
  <c r="AS3482" i="1"/>
  <c r="BM3482" i="1" s="1"/>
  <c r="BP3481" i="1"/>
  <c r="BO3481" i="1"/>
  <c r="BN3481" i="1"/>
  <c r="BM3481" i="1"/>
  <c r="BL3481" i="1"/>
  <c r="BK3481" i="1"/>
  <c r="BJ3481" i="1"/>
  <c r="BI3481" i="1"/>
  <c r="BH3481" i="1"/>
  <c r="AA3481" i="1"/>
  <c r="BP3480" i="1"/>
  <c r="BO3480" i="1"/>
  <c r="BN3480" i="1"/>
  <c r="BM3480" i="1"/>
  <c r="BL3480" i="1"/>
  <c r="BK3480" i="1"/>
  <c r="BJ3480" i="1"/>
  <c r="BI3480" i="1"/>
  <c r="BH3480" i="1"/>
  <c r="BP3479" i="1"/>
  <c r="BO3479" i="1"/>
  <c r="BN3479" i="1"/>
  <c r="BM3479" i="1"/>
  <c r="BL3479" i="1"/>
  <c r="BK3479" i="1"/>
  <c r="BJ3479" i="1"/>
  <c r="BI3479" i="1"/>
  <c r="BH3479" i="1"/>
  <c r="BP3478" i="1"/>
  <c r="BO3478" i="1"/>
  <c r="BN3478" i="1"/>
  <c r="BM3478" i="1"/>
  <c r="BL3478" i="1"/>
  <c r="BK3478" i="1"/>
  <c r="BJ3478" i="1"/>
  <c r="BI3478" i="1"/>
  <c r="BH3478" i="1"/>
  <c r="V3478" i="1"/>
  <c r="BP3477" i="1"/>
  <c r="BO3477" i="1"/>
  <c r="BN3477" i="1"/>
  <c r="BL3477" i="1"/>
  <c r="BK3477" i="1"/>
  <c r="BJ3477" i="1"/>
  <c r="BI3477" i="1"/>
  <c r="BH3477" i="1"/>
  <c r="AB3477" i="1"/>
  <c r="BM3477" i="1" s="1"/>
  <c r="BP3476" i="1"/>
  <c r="BO3476" i="1"/>
  <c r="BN3476" i="1"/>
  <c r="BM3476" i="1"/>
  <c r="BL3476" i="1"/>
  <c r="BK3476" i="1"/>
  <c r="BJ3476" i="1"/>
  <c r="BI3476" i="1"/>
  <c r="BH3476" i="1"/>
  <c r="BP3475" i="1"/>
  <c r="BO3475" i="1"/>
  <c r="BN3475" i="1"/>
  <c r="BM3475" i="1"/>
  <c r="BL3475" i="1"/>
  <c r="BK3475" i="1"/>
  <c r="BJ3475" i="1"/>
  <c r="BI3475" i="1"/>
  <c r="BH3475" i="1"/>
  <c r="AB3475" i="1"/>
  <c r="BP3474" i="1"/>
  <c r="BO3474" i="1"/>
  <c r="BN3474" i="1"/>
  <c r="BL3474" i="1"/>
  <c r="BK3474" i="1"/>
  <c r="BJ3474" i="1"/>
  <c r="BI3474" i="1"/>
  <c r="BH3474" i="1"/>
  <c r="AR3474" i="1"/>
  <c r="BM3474" i="1" s="1"/>
  <c r="AN3474" i="1"/>
  <c r="BP3473" i="1"/>
  <c r="BO3473" i="1"/>
  <c r="BN3473" i="1"/>
  <c r="BL3473" i="1"/>
  <c r="BK3473" i="1"/>
  <c r="BJ3473" i="1"/>
  <c r="BI3473" i="1"/>
  <c r="BH3473" i="1"/>
  <c r="AR3473" i="1"/>
  <c r="AN3473" i="1"/>
  <c r="BM3473" i="1" s="1"/>
  <c r="BP3472" i="1"/>
  <c r="BO3472" i="1"/>
  <c r="BN3472" i="1"/>
  <c r="BM3472" i="1"/>
  <c r="BL3472" i="1"/>
  <c r="BK3472" i="1"/>
  <c r="BJ3472" i="1"/>
  <c r="BI3472" i="1"/>
  <c r="BH3472" i="1"/>
  <c r="BP3471" i="1"/>
  <c r="BO3471" i="1"/>
  <c r="BN3471" i="1"/>
  <c r="BL3471" i="1"/>
  <c r="BK3471" i="1"/>
  <c r="BJ3471" i="1"/>
  <c r="BI3471" i="1"/>
  <c r="BH3471" i="1"/>
  <c r="AS3471" i="1"/>
  <c r="AN3471" i="1"/>
  <c r="BM3471" i="1" s="1"/>
  <c r="BP3470" i="1"/>
  <c r="BO3470" i="1"/>
  <c r="BN3470" i="1"/>
  <c r="BL3470" i="1"/>
  <c r="BK3470" i="1"/>
  <c r="BJ3470" i="1"/>
  <c r="BI3470" i="1"/>
  <c r="BH3470" i="1"/>
  <c r="AS3470" i="1"/>
  <c r="AN3470" i="1"/>
  <c r="BP3469" i="1"/>
  <c r="BO3469" i="1"/>
  <c r="BN3469" i="1"/>
  <c r="BM3469" i="1"/>
  <c r="BL3469" i="1"/>
  <c r="BK3469" i="1"/>
  <c r="BJ3469" i="1"/>
  <c r="BI3469" i="1"/>
  <c r="BH3469" i="1"/>
  <c r="AS3469" i="1"/>
  <c r="BP3468" i="1"/>
  <c r="BO3468" i="1"/>
  <c r="BN3468" i="1"/>
  <c r="BM3468" i="1"/>
  <c r="BL3468" i="1"/>
  <c r="BK3468" i="1"/>
  <c r="BJ3468" i="1"/>
  <c r="BI3468" i="1"/>
  <c r="BH3468" i="1"/>
  <c r="AR3468" i="1"/>
  <c r="AN3468" i="1"/>
  <c r="BP3467" i="1"/>
  <c r="BO3467" i="1"/>
  <c r="BN3467" i="1"/>
  <c r="BM3467" i="1"/>
  <c r="BL3467" i="1"/>
  <c r="BK3467" i="1"/>
  <c r="BJ3467" i="1"/>
  <c r="BI3467" i="1"/>
  <c r="BH3467" i="1"/>
  <c r="AQ3467" i="1"/>
  <c r="BP3466" i="1"/>
  <c r="BO3466" i="1"/>
  <c r="BN3466" i="1"/>
  <c r="BM3466" i="1"/>
  <c r="BL3466" i="1"/>
  <c r="BK3466" i="1"/>
  <c r="BJ3466" i="1"/>
  <c r="BI3466" i="1"/>
  <c r="BH3466" i="1"/>
  <c r="BP3465" i="1"/>
  <c r="BN3465" i="1"/>
  <c r="BM3465" i="1"/>
  <c r="BL3465" i="1"/>
  <c r="BK3465" i="1"/>
  <c r="BJ3465" i="1"/>
  <c r="BI3465" i="1"/>
  <c r="BH3465" i="1"/>
  <c r="BE3465" i="1"/>
  <c r="BO3465" i="1" s="1"/>
  <c r="BP3464" i="1"/>
  <c r="BO3464" i="1"/>
  <c r="BN3464" i="1"/>
  <c r="BM3464" i="1"/>
  <c r="BL3464" i="1"/>
  <c r="BK3464" i="1"/>
  <c r="BJ3464" i="1"/>
  <c r="BI3464" i="1"/>
  <c r="BH3464" i="1"/>
  <c r="BP3463" i="1"/>
  <c r="BO3463" i="1"/>
  <c r="BN3463" i="1"/>
  <c r="BM3463" i="1"/>
  <c r="BL3463" i="1"/>
  <c r="BK3463" i="1"/>
  <c r="BJ3463" i="1"/>
  <c r="BI3463" i="1"/>
  <c r="BH3463" i="1"/>
  <c r="BP3462" i="1"/>
  <c r="BO3462" i="1"/>
  <c r="BN3462" i="1"/>
  <c r="BM3462" i="1"/>
  <c r="BL3462" i="1"/>
  <c r="BK3462" i="1"/>
  <c r="BJ3462" i="1"/>
  <c r="BI3462" i="1"/>
  <c r="BH3462" i="1"/>
  <c r="BP3461" i="1"/>
  <c r="BO3461" i="1"/>
  <c r="BN3461" i="1"/>
  <c r="BL3461" i="1"/>
  <c r="BK3461" i="1"/>
  <c r="BJ3461" i="1"/>
  <c r="BI3461" i="1"/>
  <c r="BH3461" i="1"/>
  <c r="AJ3461" i="1"/>
  <c r="BM3461" i="1" s="1"/>
  <c r="J3461" i="1"/>
  <c r="BP3460" i="1"/>
  <c r="BO3460" i="1"/>
  <c r="BN3460" i="1"/>
  <c r="BM3460" i="1"/>
  <c r="BL3460" i="1"/>
  <c r="BK3460" i="1"/>
  <c r="BJ3460" i="1"/>
  <c r="BI3460" i="1"/>
  <c r="BH3460" i="1"/>
  <c r="BP3459" i="1"/>
  <c r="BO3459" i="1"/>
  <c r="BN3459" i="1"/>
  <c r="BM3459" i="1"/>
  <c r="BL3459" i="1"/>
  <c r="BK3459" i="1"/>
  <c r="BJ3459" i="1"/>
  <c r="BI3459" i="1"/>
  <c r="BH3459" i="1"/>
  <c r="BP3458" i="1"/>
  <c r="BO3458" i="1"/>
  <c r="BN3458" i="1"/>
  <c r="BM3458" i="1"/>
  <c r="BL3458" i="1"/>
  <c r="BK3458" i="1"/>
  <c r="BJ3458" i="1"/>
  <c r="BI3458" i="1"/>
  <c r="BH3458" i="1"/>
  <c r="AQ3458" i="1"/>
  <c r="BP3457" i="1"/>
  <c r="BO3457" i="1"/>
  <c r="BN3457" i="1"/>
  <c r="BL3457" i="1"/>
  <c r="BK3457" i="1"/>
  <c r="BJ3457" i="1"/>
  <c r="BI3457" i="1"/>
  <c r="BH3457" i="1"/>
  <c r="AB3457" i="1"/>
  <c r="BM3457" i="1" s="1"/>
  <c r="BP3456" i="1"/>
  <c r="BO3456" i="1"/>
  <c r="BN3456" i="1"/>
  <c r="BM3456" i="1"/>
  <c r="BL3456" i="1"/>
  <c r="BK3456" i="1"/>
  <c r="BJ3456" i="1"/>
  <c r="BI3456" i="1"/>
  <c r="BH3456" i="1"/>
  <c r="BP3455" i="1"/>
  <c r="BO3455" i="1"/>
  <c r="BN3455" i="1"/>
  <c r="BL3455" i="1"/>
  <c r="BK3455" i="1"/>
  <c r="BJ3455" i="1"/>
  <c r="BI3455" i="1"/>
  <c r="BH3455" i="1"/>
  <c r="AR3455" i="1"/>
  <c r="AN3455" i="1"/>
  <c r="BM3455" i="1" s="1"/>
  <c r="BP3454" i="1"/>
  <c r="BO3454" i="1"/>
  <c r="BN3454" i="1"/>
  <c r="BL3454" i="1"/>
  <c r="BK3454" i="1"/>
  <c r="BJ3454" i="1"/>
  <c r="BI3454" i="1"/>
  <c r="BH3454" i="1"/>
  <c r="AR3454" i="1"/>
  <c r="AN3454" i="1"/>
  <c r="BM3454" i="1" s="1"/>
  <c r="BP3453" i="1"/>
  <c r="BO3453" i="1"/>
  <c r="BN3453" i="1"/>
  <c r="BM3453" i="1"/>
  <c r="BL3453" i="1"/>
  <c r="BK3453" i="1"/>
  <c r="BJ3453" i="1"/>
  <c r="BI3453" i="1"/>
  <c r="BH3453" i="1"/>
  <c r="AP3453" i="1"/>
  <c r="BP3452" i="1"/>
  <c r="BO3452" i="1"/>
  <c r="BN3452" i="1"/>
  <c r="BM3452" i="1"/>
  <c r="BL3452" i="1"/>
  <c r="BK3452" i="1"/>
  <c r="BJ3452" i="1"/>
  <c r="BI3452" i="1"/>
  <c r="BH3452" i="1"/>
  <c r="BP3451" i="1"/>
  <c r="BO3451" i="1"/>
  <c r="BN3451" i="1"/>
  <c r="BM3451" i="1"/>
  <c r="BL3451" i="1"/>
  <c r="BK3451" i="1"/>
  <c r="BJ3451" i="1"/>
  <c r="BI3451" i="1"/>
  <c r="BH3451" i="1"/>
  <c r="BP3450" i="1"/>
  <c r="BO3450" i="1"/>
  <c r="BN3450" i="1"/>
  <c r="BM3450" i="1"/>
  <c r="BL3450" i="1"/>
  <c r="BJ3450" i="1"/>
  <c r="BI3450" i="1"/>
  <c r="BH3450" i="1"/>
  <c r="V3450" i="1"/>
  <c r="BK3450" i="1" s="1"/>
  <c r="BP3449" i="1"/>
  <c r="BO3449" i="1"/>
  <c r="BN3449" i="1"/>
  <c r="BM3449" i="1"/>
  <c r="BL3449" i="1"/>
  <c r="BK3449" i="1"/>
  <c r="BJ3449" i="1"/>
  <c r="BI3449" i="1"/>
  <c r="BH3449" i="1"/>
  <c r="BP3448" i="1"/>
  <c r="BO3448" i="1"/>
  <c r="BN3448" i="1"/>
  <c r="BM3448" i="1"/>
  <c r="BL3448" i="1"/>
  <c r="BK3448" i="1"/>
  <c r="BJ3448" i="1"/>
  <c r="BI3448" i="1"/>
  <c r="BH3448" i="1"/>
  <c r="BP3447" i="1"/>
  <c r="BO3447" i="1"/>
  <c r="BN3447" i="1"/>
  <c r="BM3447" i="1"/>
  <c r="BL3447" i="1"/>
  <c r="BK3447" i="1"/>
  <c r="BJ3447" i="1"/>
  <c r="BI3447" i="1"/>
  <c r="BH3447" i="1"/>
  <c r="BP3446" i="1"/>
  <c r="BO3446" i="1"/>
  <c r="BN3446" i="1"/>
  <c r="BM3446" i="1"/>
  <c r="BK3446" i="1"/>
  <c r="BJ3446" i="1"/>
  <c r="BI3446" i="1"/>
  <c r="BH3446" i="1"/>
  <c r="AA3446" i="1"/>
  <c r="BL3446" i="1" s="1"/>
  <c r="BP3445" i="1"/>
  <c r="BO3445" i="1"/>
  <c r="BN3445" i="1"/>
  <c r="BM3445" i="1"/>
  <c r="BL3445" i="1"/>
  <c r="BK3445" i="1"/>
  <c r="BJ3445" i="1"/>
  <c r="BI3445" i="1"/>
  <c r="BH3445" i="1"/>
  <c r="BP3444" i="1"/>
  <c r="BO3444" i="1"/>
  <c r="BN3444" i="1"/>
  <c r="BM3444" i="1"/>
  <c r="BL3444" i="1"/>
  <c r="BK3444" i="1"/>
  <c r="BJ3444" i="1"/>
  <c r="BI3444" i="1"/>
  <c r="BH3444" i="1"/>
  <c r="BP3443" i="1"/>
  <c r="BO3443" i="1"/>
  <c r="BN3443" i="1"/>
  <c r="BM3443" i="1"/>
  <c r="BL3443" i="1"/>
  <c r="BK3443" i="1"/>
  <c r="BJ3443" i="1"/>
  <c r="BI3443" i="1"/>
  <c r="BH3443" i="1"/>
  <c r="BE3443" i="1"/>
  <c r="BP3442" i="1"/>
  <c r="BO3442" i="1"/>
  <c r="BN3442" i="1"/>
  <c r="BL3442" i="1"/>
  <c r="BK3442" i="1"/>
  <c r="BJ3442" i="1"/>
  <c r="BI3442" i="1"/>
  <c r="BH3442" i="1"/>
  <c r="AQ3442" i="1"/>
  <c r="BM3442" i="1" s="1"/>
  <c r="BP3441" i="1"/>
  <c r="BO3441" i="1"/>
  <c r="BN3441" i="1"/>
  <c r="BM3441" i="1"/>
  <c r="BL3441" i="1"/>
  <c r="BK3441" i="1"/>
  <c r="BJ3441" i="1"/>
  <c r="BI3441" i="1"/>
  <c r="BH3441" i="1"/>
  <c r="BP3440" i="1"/>
  <c r="BO3440" i="1"/>
  <c r="BN3440" i="1"/>
  <c r="BL3440" i="1"/>
  <c r="BK3440" i="1"/>
  <c r="BJ3440" i="1"/>
  <c r="BI3440" i="1"/>
  <c r="BH3440" i="1"/>
  <c r="AR3440" i="1"/>
  <c r="AN3440" i="1"/>
  <c r="BM3440" i="1" s="1"/>
  <c r="BP3439" i="1"/>
  <c r="BO3439" i="1"/>
  <c r="BN3439" i="1"/>
  <c r="BM3439" i="1"/>
  <c r="BL3439" i="1"/>
  <c r="BK3439" i="1"/>
  <c r="BJ3439" i="1"/>
  <c r="BI3439" i="1"/>
  <c r="BH3439" i="1"/>
  <c r="AS3439" i="1"/>
  <c r="BP3438" i="1"/>
  <c r="BO3438" i="1"/>
  <c r="BN3438" i="1"/>
  <c r="BM3438" i="1"/>
  <c r="BL3438" i="1"/>
  <c r="BK3438" i="1"/>
  <c r="BJ3438" i="1"/>
  <c r="BI3438" i="1"/>
  <c r="BH3438" i="1"/>
  <c r="AS3438" i="1"/>
  <c r="BP3437" i="1"/>
  <c r="BO3437" i="1"/>
  <c r="BN3437" i="1"/>
  <c r="BM3437" i="1"/>
  <c r="BL3437" i="1"/>
  <c r="BK3437" i="1"/>
  <c r="BJ3437" i="1"/>
  <c r="BI3437" i="1"/>
  <c r="BH3437" i="1"/>
  <c r="AS3437" i="1"/>
  <c r="AN3437" i="1"/>
  <c r="BP3436" i="1"/>
  <c r="BO3436" i="1"/>
  <c r="BN3436" i="1"/>
  <c r="BM3436" i="1"/>
  <c r="BL3436" i="1"/>
  <c r="BK3436" i="1"/>
  <c r="BJ3436" i="1"/>
  <c r="BI3436" i="1"/>
  <c r="BH3436" i="1"/>
  <c r="BP3435" i="1"/>
  <c r="BO3435" i="1"/>
  <c r="BN3435" i="1"/>
  <c r="BM3435" i="1"/>
  <c r="BL3435" i="1"/>
  <c r="BJ3435" i="1"/>
  <c r="BI3435" i="1"/>
  <c r="BH3435" i="1"/>
  <c r="V3435" i="1"/>
  <c r="BK3435" i="1" s="1"/>
  <c r="BP3434" i="1"/>
  <c r="BO3434" i="1"/>
  <c r="BN3434" i="1"/>
  <c r="BL3434" i="1"/>
  <c r="BK3434" i="1"/>
  <c r="BJ3434" i="1"/>
  <c r="BI3434" i="1"/>
  <c r="BH3434" i="1"/>
  <c r="AR3434" i="1"/>
  <c r="AN3434" i="1"/>
  <c r="BM3434" i="1" s="1"/>
  <c r="BP3433" i="1"/>
  <c r="BO3433" i="1"/>
  <c r="BN3433" i="1"/>
  <c r="BM3433" i="1"/>
  <c r="BL3433" i="1"/>
  <c r="BK3433" i="1"/>
  <c r="BJ3433" i="1"/>
  <c r="BI3433" i="1"/>
  <c r="BH3433" i="1"/>
  <c r="BP3432" i="1"/>
  <c r="BO3432" i="1"/>
  <c r="BN3432" i="1"/>
  <c r="BM3432" i="1"/>
  <c r="BL3432" i="1"/>
  <c r="BK3432" i="1"/>
  <c r="BJ3432" i="1"/>
  <c r="BI3432" i="1"/>
  <c r="BH3432" i="1"/>
  <c r="BP3431" i="1"/>
  <c r="BO3431" i="1"/>
  <c r="BN3431" i="1"/>
  <c r="BM3431" i="1"/>
  <c r="BL3431" i="1"/>
  <c r="BK3431" i="1"/>
  <c r="BJ3431" i="1"/>
  <c r="BI3431" i="1"/>
  <c r="BH3431" i="1"/>
  <c r="AR3431" i="1"/>
  <c r="AN3431" i="1"/>
  <c r="BP3430" i="1"/>
  <c r="BO3430" i="1"/>
  <c r="BN3430" i="1"/>
  <c r="BL3430" i="1"/>
  <c r="BK3430" i="1"/>
  <c r="BJ3430" i="1"/>
  <c r="BI3430" i="1"/>
  <c r="BH3430" i="1"/>
  <c r="AR3430" i="1"/>
  <c r="BM3430" i="1" s="1"/>
  <c r="AN3430" i="1"/>
  <c r="BP3429" i="1"/>
  <c r="BO3429" i="1"/>
  <c r="BN3429" i="1"/>
  <c r="BM3429" i="1"/>
  <c r="BL3429" i="1"/>
  <c r="BK3429" i="1"/>
  <c r="BJ3429" i="1"/>
  <c r="BI3429" i="1"/>
  <c r="BH3429" i="1"/>
  <c r="BP3428" i="1"/>
  <c r="BO3428" i="1"/>
  <c r="BN3428" i="1"/>
  <c r="BL3428" i="1"/>
  <c r="BK3428" i="1"/>
  <c r="BJ3428" i="1"/>
  <c r="BI3428" i="1"/>
  <c r="BH3428" i="1"/>
  <c r="AQ3428" i="1"/>
  <c r="BM3428" i="1" s="1"/>
  <c r="BP3427" i="1"/>
  <c r="BO3427" i="1"/>
  <c r="BN3427" i="1"/>
  <c r="BM3427" i="1"/>
  <c r="BL3427" i="1"/>
  <c r="BK3427" i="1"/>
  <c r="BJ3427" i="1"/>
  <c r="BI3427" i="1"/>
  <c r="BH3427" i="1"/>
  <c r="BP3426" i="1"/>
  <c r="BO3426" i="1"/>
  <c r="BN3426" i="1"/>
  <c r="BM3426" i="1"/>
  <c r="BL3426" i="1"/>
  <c r="BK3426" i="1"/>
  <c r="BJ3426" i="1"/>
  <c r="BI3426" i="1"/>
  <c r="BH3426" i="1"/>
  <c r="BP3425" i="1"/>
  <c r="BO3425" i="1"/>
  <c r="BN3425" i="1"/>
  <c r="BL3425" i="1"/>
  <c r="BK3425" i="1"/>
  <c r="BJ3425" i="1"/>
  <c r="BI3425" i="1"/>
  <c r="BH3425" i="1"/>
  <c r="AQ3425" i="1"/>
  <c r="BM3425" i="1" s="1"/>
  <c r="BP3424" i="1"/>
  <c r="BO3424" i="1"/>
  <c r="BN3424" i="1"/>
  <c r="BM3424" i="1"/>
  <c r="BL3424" i="1"/>
  <c r="BK3424" i="1"/>
  <c r="BJ3424" i="1"/>
  <c r="BI3424" i="1"/>
  <c r="BH3424" i="1"/>
  <c r="AS3424" i="1"/>
  <c r="AN3424" i="1"/>
  <c r="BP3423" i="1"/>
  <c r="BO3423" i="1"/>
  <c r="BN3423" i="1"/>
  <c r="BL3423" i="1"/>
  <c r="BK3423" i="1"/>
  <c r="BJ3423" i="1"/>
  <c r="BI3423" i="1"/>
  <c r="BH3423" i="1"/>
  <c r="AS3423" i="1"/>
  <c r="AN3423" i="1"/>
  <c r="BM3423" i="1" s="1"/>
  <c r="BP3422" i="1"/>
  <c r="BO3422" i="1"/>
  <c r="BN3422" i="1"/>
  <c r="BL3422" i="1"/>
  <c r="BK3422" i="1"/>
  <c r="BJ3422" i="1"/>
  <c r="BI3422" i="1"/>
  <c r="BH3422" i="1"/>
  <c r="AS3422" i="1"/>
  <c r="AN3422" i="1"/>
  <c r="BM3422" i="1" s="1"/>
  <c r="BP3421" i="1"/>
  <c r="BO3421" i="1"/>
  <c r="BN3421" i="1"/>
  <c r="BM3421" i="1"/>
  <c r="BL3421" i="1"/>
  <c r="BK3421" i="1"/>
  <c r="BJ3421" i="1"/>
  <c r="BI3421" i="1"/>
  <c r="BH3421" i="1"/>
  <c r="BP3420" i="1"/>
  <c r="BO3420" i="1"/>
  <c r="BN3420" i="1"/>
  <c r="BL3420" i="1"/>
  <c r="BK3420" i="1"/>
  <c r="BJ3420" i="1"/>
  <c r="BI3420" i="1"/>
  <c r="BH3420" i="1"/>
  <c r="AB3420" i="1"/>
  <c r="BM3420" i="1" s="1"/>
  <c r="BP3419" i="1"/>
  <c r="BO3419" i="1"/>
  <c r="BN3419" i="1"/>
  <c r="BM3419" i="1"/>
  <c r="BL3419" i="1"/>
  <c r="BK3419" i="1"/>
  <c r="BJ3419" i="1"/>
  <c r="BI3419" i="1"/>
  <c r="BH3419" i="1"/>
  <c r="AR3419" i="1"/>
  <c r="AN3419" i="1"/>
  <c r="BP3418" i="1"/>
  <c r="BO3418" i="1"/>
  <c r="BN3418" i="1"/>
  <c r="BM3418" i="1"/>
  <c r="BL3418" i="1"/>
  <c r="BK3418" i="1"/>
  <c r="BJ3418" i="1"/>
  <c r="BI3418" i="1"/>
  <c r="BH3418" i="1"/>
  <c r="AR3418" i="1"/>
  <c r="AN3418" i="1"/>
  <c r="BP3417" i="1"/>
  <c r="BO3417" i="1"/>
  <c r="BN3417" i="1"/>
  <c r="BM3417" i="1"/>
  <c r="BL3417" i="1"/>
  <c r="BK3417" i="1"/>
  <c r="BJ3417" i="1"/>
  <c r="BI3417" i="1"/>
  <c r="BH3417" i="1"/>
  <c r="AP3417" i="1"/>
  <c r="BP3416" i="1"/>
  <c r="BO3416" i="1"/>
  <c r="BN3416" i="1"/>
  <c r="BM3416" i="1"/>
  <c r="BL3416" i="1"/>
  <c r="BK3416" i="1"/>
  <c r="BJ3416" i="1"/>
  <c r="BI3416" i="1"/>
  <c r="BH3416" i="1"/>
  <c r="BP3415" i="1"/>
  <c r="BO3415" i="1"/>
  <c r="BN3415" i="1"/>
  <c r="BM3415" i="1"/>
  <c r="BL3415" i="1"/>
  <c r="BK3415" i="1"/>
  <c r="BJ3415" i="1"/>
  <c r="BI3415" i="1"/>
  <c r="BH3415" i="1"/>
  <c r="BP3414" i="1"/>
  <c r="BO3414" i="1"/>
  <c r="BN3414" i="1"/>
  <c r="BM3414" i="1"/>
  <c r="BL3414" i="1"/>
  <c r="BK3414" i="1"/>
  <c r="BJ3414" i="1"/>
  <c r="BI3414" i="1"/>
  <c r="BH3414" i="1"/>
  <c r="BP3413" i="1"/>
  <c r="BO3413" i="1"/>
  <c r="BN3413" i="1"/>
  <c r="BM3413" i="1"/>
  <c r="BL3413" i="1"/>
  <c r="BK3413" i="1"/>
  <c r="BJ3413" i="1"/>
  <c r="BI3413" i="1"/>
  <c r="BH3413" i="1"/>
  <c r="V3413" i="1"/>
  <c r="BP3412" i="1"/>
  <c r="BO3412" i="1"/>
  <c r="BN3412" i="1"/>
  <c r="BM3412" i="1"/>
  <c r="BL3412" i="1"/>
  <c r="BK3412" i="1"/>
  <c r="BJ3412" i="1"/>
  <c r="BI3412" i="1"/>
  <c r="BH3412" i="1"/>
  <c r="BP3411" i="1"/>
  <c r="BO3411" i="1"/>
  <c r="BN3411" i="1"/>
  <c r="BM3411" i="1"/>
  <c r="BL3411" i="1"/>
  <c r="BK3411" i="1"/>
  <c r="BJ3411" i="1"/>
  <c r="BI3411" i="1"/>
  <c r="BH3411" i="1"/>
  <c r="BP3410" i="1"/>
  <c r="BO3410" i="1"/>
  <c r="BN3410" i="1"/>
  <c r="BM3410" i="1"/>
  <c r="BL3410" i="1"/>
  <c r="BK3410" i="1"/>
  <c r="BJ3410" i="1"/>
  <c r="BI3410" i="1"/>
  <c r="BH3410" i="1"/>
  <c r="BP3409" i="1"/>
  <c r="BO3409" i="1"/>
  <c r="BN3409" i="1"/>
  <c r="BM3409" i="1"/>
  <c r="BL3409" i="1"/>
  <c r="BK3409" i="1"/>
  <c r="BJ3409" i="1"/>
  <c r="BI3409" i="1"/>
  <c r="BH3409" i="1"/>
  <c r="AS3409" i="1"/>
  <c r="AN3409" i="1"/>
  <c r="BP3408" i="1"/>
  <c r="BO3408" i="1"/>
  <c r="BN3408" i="1"/>
  <c r="BM3408" i="1"/>
  <c r="BL3408" i="1"/>
  <c r="BK3408" i="1"/>
  <c r="BJ3408" i="1"/>
  <c r="BI3408" i="1"/>
  <c r="BH3408" i="1"/>
  <c r="AS3408" i="1"/>
  <c r="BP3407" i="1"/>
  <c r="BO3407" i="1"/>
  <c r="BN3407" i="1"/>
  <c r="BM3407" i="1"/>
  <c r="BL3407" i="1"/>
  <c r="BK3407" i="1"/>
  <c r="BJ3407" i="1"/>
  <c r="BI3407" i="1"/>
  <c r="BH3407" i="1"/>
  <c r="AQ3407" i="1"/>
  <c r="BP3406" i="1"/>
  <c r="BO3406" i="1"/>
  <c r="BN3406" i="1"/>
  <c r="BL3406" i="1"/>
  <c r="BK3406" i="1"/>
  <c r="BJ3406" i="1"/>
  <c r="BI3406" i="1"/>
  <c r="BH3406" i="1"/>
  <c r="AB3406" i="1"/>
  <c r="BM3406" i="1" s="1"/>
  <c r="AA3406" i="1"/>
  <c r="BP3405" i="1"/>
  <c r="BO3405" i="1"/>
  <c r="BN3405" i="1"/>
  <c r="BL3405" i="1"/>
  <c r="BK3405" i="1"/>
  <c r="BJ3405" i="1"/>
  <c r="BI3405" i="1"/>
  <c r="BH3405" i="1"/>
  <c r="AR3405" i="1"/>
  <c r="AN3405" i="1"/>
  <c r="AI3405" i="1"/>
  <c r="BP3404" i="1"/>
  <c r="BO3404" i="1"/>
  <c r="BN3404" i="1"/>
  <c r="BL3404" i="1"/>
  <c r="BK3404" i="1"/>
  <c r="BJ3404" i="1"/>
  <c r="BI3404" i="1"/>
  <c r="BH3404" i="1"/>
  <c r="AR3404" i="1"/>
  <c r="AN3404" i="1"/>
  <c r="BP3403" i="1"/>
  <c r="BO3403" i="1"/>
  <c r="BN3403" i="1"/>
  <c r="BM3403" i="1"/>
  <c r="BL3403" i="1"/>
  <c r="BK3403" i="1"/>
  <c r="BJ3403" i="1"/>
  <c r="BI3403" i="1"/>
  <c r="BH3403" i="1"/>
  <c r="BP3402" i="1"/>
  <c r="BO3402" i="1"/>
  <c r="BN3402" i="1"/>
  <c r="BM3402" i="1"/>
  <c r="BL3402" i="1"/>
  <c r="BK3402" i="1"/>
  <c r="BJ3402" i="1"/>
  <c r="BI3402" i="1"/>
  <c r="BH3402" i="1"/>
  <c r="BP3401" i="1"/>
  <c r="BO3401" i="1"/>
  <c r="BN3401" i="1"/>
  <c r="BM3401" i="1"/>
  <c r="BL3401" i="1"/>
  <c r="BK3401" i="1"/>
  <c r="BJ3401" i="1"/>
  <c r="BI3401" i="1"/>
  <c r="BH3401" i="1"/>
  <c r="BP3400" i="1"/>
  <c r="BO3400" i="1"/>
  <c r="BN3400" i="1"/>
  <c r="BM3400" i="1"/>
  <c r="BL3400" i="1"/>
  <c r="BK3400" i="1"/>
  <c r="BJ3400" i="1"/>
  <c r="BI3400" i="1"/>
  <c r="BH3400" i="1"/>
  <c r="BP3399" i="1"/>
  <c r="BN3399" i="1"/>
  <c r="BM3399" i="1"/>
  <c r="BL3399" i="1"/>
  <c r="BK3399" i="1"/>
  <c r="BJ3399" i="1"/>
  <c r="BI3399" i="1"/>
  <c r="BH3399" i="1"/>
  <c r="BE3399" i="1"/>
  <c r="BO3399" i="1" s="1"/>
  <c r="BP3398" i="1"/>
  <c r="BO3398" i="1"/>
  <c r="BN3398" i="1"/>
  <c r="BM3398" i="1"/>
  <c r="BL3398" i="1"/>
  <c r="BK3398" i="1"/>
  <c r="BJ3398" i="1"/>
  <c r="BI3398" i="1"/>
  <c r="BH3398" i="1"/>
  <c r="BP3397" i="1"/>
  <c r="BO3397" i="1"/>
  <c r="BN3397" i="1"/>
  <c r="BM3397" i="1"/>
  <c r="BL3397" i="1"/>
  <c r="BK3397" i="1"/>
  <c r="BJ3397" i="1"/>
  <c r="BI3397" i="1"/>
  <c r="BH3397" i="1"/>
  <c r="BP3396" i="1"/>
  <c r="BO3396" i="1"/>
  <c r="BN3396" i="1"/>
  <c r="BM3396" i="1"/>
  <c r="BL3396" i="1"/>
  <c r="BK3396" i="1"/>
  <c r="BJ3396" i="1"/>
  <c r="BI3396" i="1"/>
  <c r="BH3396" i="1"/>
  <c r="BP3395" i="1"/>
  <c r="BO3395" i="1"/>
  <c r="BN3395" i="1"/>
  <c r="BL3395" i="1"/>
  <c r="BK3395" i="1"/>
  <c r="BJ3395" i="1"/>
  <c r="BI3395" i="1"/>
  <c r="BH3395" i="1"/>
  <c r="AS3395" i="1"/>
  <c r="BM3395" i="1" s="1"/>
  <c r="BP3394" i="1"/>
  <c r="BO3394" i="1"/>
  <c r="BN3394" i="1"/>
  <c r="BL3394" i="1"/>
  <c r="BK3394" i="1"/>
  <c r="BJ3394" i="1"/>
  <c r="BI3394" i="1"/>
  <c r="BH3394" i="1"/>
  <c r="AS3394" i="1"/>
  <c r="BM3394" i="1" s="1"/>
  <c r="BP3393" i="1"/>
  <c r="BO3393" i="1"/>
  <c r="BN3393" i="1"/>
  <c r="BM3393" i="1"/>
  <c r="BK3393" i="1"/>
  <c r="BJ3393" i="1"/>
  <c r="BI3393" i="1"/>
  <c r="BH3393" i="1"/>
  <c r="AA3393" i="1"/>
  <c r="BL3393" i="1" s="1"/>
  <c r="BP3392" i="1"/>
  <c r="BO3392" i="1"/>
  <c r="BN3392" i="1"/>
  <c r="BM3392" i="1"/>
  <c r="BL3392" i="1"/>
  <c r="BK3392" i="1"/>
  <c r="BJ3392" i="1"/>
  <c r="BI3392" i="1"/>
  <c r="BH3392" i="1"/>
  <c r="BP3391" i="1"/>
  <c r="BO3391" i="1"/>
  <c r="BN3391" i="1"/>
  <c r="BM3391" i="1"/>
  <c r="BL3391" i="1"/>
  <c r="BK3391" i="1"/>
  <c r="BJ3391" i="1"/>
  <c r="BI3391" i="1"/>
  <c r="BH3391" i="1"/>
  <c r="BP3390" i="1"/>
  <c r="BO3390" i="1"/>
  <c r="BN3390" i="1"/>
  <c r="BM3390" i="1"/>
  <c r="BL3390" i="1"/>
  <c r="BK3390" i="1"/>
  <c r="BJ3390" i="1"/>
  <c r="BI3390" i="1"/>
  <c r="BH3390" i="1"/>
  <c r="BP3389" i="1"/>
  <c r="BO3389" i="1"/>
  <c r="BN3389" i="1"/>
  <c r="BL3389" i="1"/>
  <c r="BK3389" i="1"/>
  <c r="BJ3389" i="1"/>
  <c r="BI3389" i="1"/>
  <c r="BH3389" i="1"/>
  <c r="AR3389" i="1"/>
  <c r="AN3389" i="1"/>
  <c r="BP3388" i="1"/>
  <c r="BO3388" i="1"/>
  <c r="BN3388" i="1"/>
  <c r="BM3388" i="1"/>
  <c r="BL3388" i="1"/>
  <c r="BK3388" i="1"/>
  <c r="BJ3388" i="1"/>
  <c r="BI3388" i="1"/>
  <c r="BH3388" i="1"/>
  <c r="BP3387" i="1"/>
  <c r="BO3387" i="1"/>
  <c r="BN3387" i="1"/>
  <c r="BM3387" i="1"/>
  <c r="BL3387" i="1"/>
  <c r="BK3387" i="1"/>
  <c r="BJ3387" i="1"/>
  <c r="BI3387" i="1"/>
  <c r="BH3387" i="1"/>
  <c r="BP3386" i="1"/>
  <c r="BO3386" i="1"/>
  <c r="BN3386" i="1"/>
  <c r="BM3386" i="1"/>
  <c r="BL3386" i="1"/>
  <c r="BK3386" i="1"/>
  <c r="BJ3386" i="1"/>
  <c r="BI3386" i="1"/>
  <c r="BH3386" i="1"/>
  <c r="AS3386" i="1"/>
  <c r="AN3386" i="1"/>
  <c r="BP3385" i="1"/>
  <c r="BO3385" i="1"/>
  <c r="BN3385" i="1"/>
  <c r="BL3385" i="1"/>
  <c r="BK3385" i="1"/>
  <c r="BJ3385" i="1"/>
  <c r="BI3385" i="1"/>
  <c r="BH3385" i="1"/>
  <c r="AQ3385" i="1"/>
  <c r="BM3385" i="1" s="1"/>
  <c r="BP3384" i="1"/>
  <c r="BO3384" i="1"/>
  <c r="BN3384" i="1"/>
  <c r="BM3384" i="1"/>
  <c r="BL3384" i="1"/>
  <c r="BK3384" i="1"/>
  <c r="BJ3384" i="1"/>
  <c r="BI3384" i="1"/>
  <c r="BH3384" i="1"/>
  <c r="BP3383" i="1"/>
  <c r="BO3383" i="1"/>
  <c r="BN3383" i="1"/>
  <c r="BM3383" i="1"/>
  <c r="BL3383" i="1"/>
  <c r="BK3383" i="1"/>
  <c r="BJ3383" i="1"/>
  <c r="BI3383" i="1"/>
  <c r="BH3383" i="1"/>
  <c r="BP3382" i="1"/>
  <c r="BO3382" i="1"/>
  <c r="BN3382" i="1"/>
  <c r="BM3382" i="1"/>
  <c r="BL3382" i="1"/>
  <c r="BK3382" i="1"/>
  <c r="BJ3382" i="1"/>
  <c r="BI3382" i="1"/>
  <c r="BH3382" i="1"/>
  <c r="BP3381" i="1"/>
  <c r="BO3381" i="1"/>
  <c r="BN3381" i="1"/>
  <c r="BM3381" i="1"/>
  <c r="BL3381" i="1"/>
  <c r="BK3381" i="1"/>
  <c r="BJ3381" i="1"/>
  <c r="BI3381" i="1"/>
  <c r="BH3381" i="1"/>
  <c r="BP3380" i="1"/>
  <c r="BO3380" i="1"/>
  <c r="BN3380" i="1"/>
  <c r="BM3380" i="1"/>
  <c r="BL3380" i="1"/>
  <c r="BK3380" i="1"/>
  <c r="BJ3380" i="1"/>
  <c r="BI3380" i="1"/>
  <c r="BH3380" i="1"/>
  <c r="BP3379" i="1"/>
  <c r="BO3379" i="1"/>
  <c r="BN3379" i="1"/>
  <c r="BL3379" i="1"/>
  <c r="BK3379" i="1"/>
  <c r="BJ3379" i="1"/>
  <c r="BI3379" i="1"/>
  <c r="BH3379" i="1"/>
  <c r="AR3379" i="1"/>
  <c r="AN3379" i="1"/>
  <c r="BM3379" i="1" s="1"/>
  <c r="BP3378" i="1"/>
  <c r="BO3378" i="1"/>
  <c r="BN3378" i="1"/>
  <c r="BL3378" i="1"/>
  <c r="BK3378" i="1"/>
  <c r="BJ3378" i="1"/>
  <c r="BI3378" i="1"/>
  <c r="BH3378" i="1"/>
  <c r="AR3378" i="1"/>
  <c r="AN3378" i="1"/>
  <c r="BM3378" i="1" s="1"/>
  <c r="BP3377" i="1"/>
  <c r="BO3377" i="1"/>
  <c r="BN3377" i="1"/>
  <c r="BM3377" i="1"/>
  <c r="BL3377" i="1"/>
  <c r="BK3377" i="1"/>
  <c r="BJ3377" i="1"/>
  <c r="BI3377" i="1"/>
  <c r="BH3377" i="1"/>
  <c r="AQ3377" i="1"/>
  <c r="BP3376" i="1"/>
  <c r="BO3376" i="1"/>
  <c r="BN3376" i="1"/>
  <c r="BM3376" i="1"/>
  <c r="BL3376" i="1"/>
  <c r="BK3376" i="1"/>
  <c r="BJ3376" i="1"/>
  <c r="BI3376" i="1"/>
  <c r="BH3376" i="1"/>
  <c r="BP3375" i="1"/>
  <c r="BN3375" i="1"/>
  <c r="BM3375" i="1"/>
  <c r="BL3375" i="1"/>
  <c r="BK3375" i="1"/>
  <c r="BJ3375" i="1"/>
  <c r="BI3375" i="1"/>
  <c r="BH3375" i="1"/>
  <c r="BE3375" i="1"/>
  <c r="BO3375" i="1" s="1"/>
  <c r="BP3374" i="1"/>
  <c r="BO3374" i="1"/>
  <c r="BN3374" i="1"/>
  <c r="BL3374" i="1"/>
  <c r="BK3374" i="1"/>
  <c r="BJ3374" i="1"/>
  <c r="BI3374" i="1"/>
  <c r="BH3374" i="1"/>
  <c r="AR3374" i="1"/>
  <c r="AN3374" i="1"/>
  <c r="BM3374" i="1" s="1"/>
  <c r="BP3373" i="1"/>
  <c r="BO3373" i="1"/>
  <c r="BN3373" i="1"/>
  <c r="BL3373" i="1"/>
  <c r="BK3373" i="1"/>
  <c r="BJ3373" i="1"/>
  <c r="BI3373" i="1"/>
  <c r="BH3373" i="1"/>
  <c r="AS3373" i="1"/>
  <c r="BM3373" i="1" s="1"/>
  <c r="BP3372" i="1"/>
  <c r="BO3372" i="1"/>
  <c r="BN3372" i="1"/>
  <c r="BM3372" i="1"/>
  <c r="BL3372" i="1"/>
  <c r="BK3372" i="1"/>
  <c r="BJ3372" i="1"/>
  <c r="BI3372" i="1"/>
  <c r="BH3372" i="1"/>
  <c r="AS3372" i="1"/>
  <c r="BP3371" i="1"/>
  <c r="BO3371" i="1"/>
  <c r="BN3371" i="1"/>
  <c r="BM3371" i="1"/>
  <c r="BL3371" i="1"/>
  <c r="BK3371" i="1"/>
  <c r="BJ3371" i="1"/>
  <c r="BI3371" i="1"/>
  <c r="AQ3371" i="1"/>
  <c r="AA3371" i="1"/>
  <c r="L3371" i="1"/>
  <c r="BH3371" i="1" s="1"/>
  <c r="BP3370" i="1"/>
  <c r="BO3370" i="1"/>
  <c r="BN3370" i="1"/>
  <c r="BM3370" i="1"/>
  <c r="BL3370" i="1"/>
  <c r="BK3370" i="1"/>
  <c r="BJ3370" i="1"/>
  <c r="BI3370" i="1"/>
  <c r="BH3370" i="1"/>
  <c r="V3370" i="1"/>
  <c r="BP3369" i="1"/>
  <c r="BO3369" i="1"/>
  <c r="BN3369" i="1"/>
  <c r="BM3369" i="1"/>
  <c r="BL3369" i="1"/>
  <c r="BK3369" i="1"/>
  <c r="BJ3369" i="1"/>
  <c r="BI3369" i="1"/>
  <c r="BH3369" i="1"/>
  <c r="BP3368" i="1"/>
  <c r="BO3368" i="1"/>
  <c r="BN3368" i="1"/>
  <c r="BK3368" i="1"/>
  <c r="BJ3368" i="1"/>
  <c r="BI3368" i="1"/>
  <c r="BH3368" i="1"/>
  <c r="AQ3368" i="1"/>
  <c r="BM3368" i="1" s="1"/>
  <c r="AA3368" i="1"/>
  <c r="BL3368" i="1" s="1"/>
  <c r="L3368" i="1"/>
  <c r="BP3367" i="1"/>
  <c r="BO3367" i="1"/>
  <c r="BN3367" i="1"/>
  <c r="BL3367" i="1"/>
  <c r="BK3367" i="1"/>
  <c r="BJ3367" i="1"/>
  <c r="BI3367" i="1"/>
  <c r="BH3367" i="1"/>
  <c r="AB3367" i="1"/>
  <c r="BM3367" i="1" s="1"/>
  <c r="BP3366" i="1"/>
  <c r="BO3366" i="1"/>
  <c r="BN3366" i="1"/>
  <c r="BL3366" i="1"/>
  <c r="BK3366" i="1"/>
  <c r="BJ3366" i="1"/>
  <c r="BI3366" i="1"/>
  <c r="BH3366" i="1"/>
  <c r="AS3366" i="1"/>
  <c r="AN3366" i="1"/>
  <c r="BM3366" i="1" s="1"/>
  <c r="BP3365" i="1"/>
  <c r="BO3365" i="1"/>
  <c r="BN3365" i="1"/>
  <c r="BM3365" i="1"/>
  <c r="BL3365" i="1"/>
  <c r="BK3365" i="1"/>
  <c r="BJ3365" i="1"/>
  <c r="BI3365" i="1"/>
  <c r="BH3365" i="1"/>
  <c r="AS3365" i="1"/>
  <c r="AN3365" i="1"/>
  <c r="BP3364" i="1"/>
  <c r="BO3364" i="1"/>
  <c r="BN3364" i="1"/>
  <c r="BM3364" i="1"/>
  <c r="BL3364" i="1"/>
  <c r="BK3364" i="1"/>
  <c r="BJ3364" i="1"/>
  <c r="BI3364" i="1"/>
  <c r="BH3364" i="1"/>
  <c r="AR3364" i="1"/>
  <c r="AN3364" i="1"/>
  <c r="AI3364" i="1"/>
  <c r="BP3363" i="1"/>
  <c r="BO3363" i="1"/>
  <c r="BN3363" i="1"/>
  <c r="BM3363" i="1"/>
  <c r="BL3363" i="1"/>
  <c r="BJ3363" i="1"/>
  <c r="BI3363" i="1"/>
  <c r="BH3363" i="1"/>
  <c r="X3363" i="1"/>
  <c r="BK3363" i="1" s="1"/>
  <c r="BP3362" i="1"/>
  <c r="BO3362" i="1"/>
  <c r="BN3362" i="1"/>
  <c r="BM3362" i="1"/>
  <c r="BL3362" i="1"/>
  <c r="BK3362" i="1"/>
  <c r="BJ3362" i="1"/>
  <c r="BI3362" i="1"/>
  <c r="BH3362" i="1"/>
  <c r="BP3361" i="1"/>
  <c r="BO3361" i="1"/>
  <c r="BN3361" i="1"/>
  <c r="BM3361" i="1"/>
  <c r="BL3361" i="1"/>
  <c r="BK3361" i="1"/>
  <c r="BJ3361" i="1"/>
  <c r="BI3361" i="1"/>
  <c r="BH3361" i="1"/>
  <c r="BP3360" i="1"/>
  <c r="BO3360" i="1"/>
  <c r="BL3360" i="1"/>
  <c r="BK3360" i="1"/>
  <c r="BJ3360" i="1"/>
  <c r="BG3360" i="1"/>
  <c r="BF3360" i="1"/>
  <c r="AT3360" i="1"/>
  <c r="BN3360" i="1" s="1"/>
  <c r="AG3360" i="1"/>
  <c r="BM3360" i="1" s="1"/>
  <c r="AC3360" i="1"/>
  <c r="U3360" i="1"/>
  <c r="S3360" i="1"/>
  <c r="M3360" i="1"/>
  <c r="BI3360" i="1" s="1"/>
  <c r="D3360" i="1"/>
  <c r="C3360" i="1"/>
  <c r="BP3359" i="1"/>
  <c r="BO3359" i="1"/>
  <c r="BN3359" i="1"/>
  <c r="BL3359" i="1"/>
  <c r="BK3359" i="1"/>
  <c r="BJ3359" i="1"/>
  <c r="BI3359" i="1"/>
  <c r="BH3359" i="1"/>
  <c r="AR3359" i="1"/>
  <c r="AN3359" i="1"/>
  <c r="BM3359" i="1" s="1"/>
  <c r="BP3358" i="1"/>
  <c r="BO3358" i="1"/>
  <c r="BN3358" i="1"/>
  <c r="BM3358" i="1"/>
  <c r="BL3358" i="1"/>
  <c r="BK3358" i="1"/>
  <c r="BJ3358" i="1"/>
  <c r="BI3358" i="1"/>
  <c r="BH3358" i="1"/>
  <c r="AA3358" i="1"/>
  <c r="BP3357" i="1"/>
  <c r="BO3357" i="1"/>
  <c r="BN3357" i="1"/>
  <c r="BM3357" i="1"/>
  <c r="BL3357" i="1"/>
  <c r="BK3357" i="1"/>
  <c r="BJ3357" i="1"/>
  <c r="BI3357" i="1"/>
  <c r="BH3357" i="1"/>
  <c r="AQ3357" i="1"/>
  <c r="BP3356" i="1"/>
  <c r="BO3356" i="1"/>
  <c r="BN3356" i="1"/>
  <c r="BM3356" i="1"/>
  <c r="BL3356" i="1"/>
  <c r="BK3356" i="1"/>
  <c r="BJ3356" i="1"/>
  <c r="BI3356" i="1"/>
  <c r="BH3356" i="1"/>
  <c r="AB3356" i="1"/>
  <c r="BP3355" i="1"/>
  <c r="BO3355" i="1"/>
  <c r="BN3355" i="1"/>
  <c r="BM3355" i="1"/>
  <c r="BL3355" i="1"/>
  <c r="BK3355" i="1"/>
  <c r="BJ3355" i="1"/>
  <c r="BI3355" i="1"/>
  <c r="BH3355" i="1"/>
  <c r="V3355" i="1"/>
  <c r="BP3354" i="1"/>
  <c r="BO3354" i="1"/>
  <c r="BN3354" i="1"/>
  <c r="BM3354" i="1"/>
  <c r="BL3354" i="1"/>
  <c r="BK3354" i="1"/>
  <c r="BJ3354" i="1"/>
  <c r="BI3354" i="1"/>
  <c r="BH3354" i="1"/>
  <c r="BP3353" i="1"/>
  <c r="BO3353" i="1"/>
  <c r="BN3353" i="1"/>
  <c r="BM3353" i="1"/>
  <c r="BL3353" i="1"/>
  <c r="BK3353" i="1"/>
  <c r="BJ3353" i="1"/>
  <c r="BI3353" i="1"/>
  <c r="BH3353" i="1"/>
  <c r="BP3352" i="1"/>
  <c r="BO3352" i="1"/>
  <c r="BN3352" i="1"/>
  <c r="BM3352" i="1"/>
  <c r="BL3352" i="1"/>
  <c r="BK3352" i="1"/>
  <c r="BJ3352" i="1"/>
  <c r="BI3352" i="1"/>
  <c r="BH3352" i="1"/>
  <c r="BP3351" i="1"/>
  <c r="BO3351" i="1"/>
  <c r="BN3351" i="1"/>
  <c r="BM3351" i="1"/>
  <c r="BL3351" i="1"/>
  <c r="BK3351" i="1"/>
  <c r="BJ3351" i="1"/>
  <c r="BI3351" i="1"/>
  <c r="BH3351" i="1"/>
  <c r="BP3350" i="1"/>
  <c r="BO3350" i="1"/>
  <c r="BN3350" i="1"/>
  <c r="BM3350" i="1"/>
  <c r="BL3350" i="1"/>
  <c r="BK3350" i="1"/>
  <c r="BJ3350" i="1"/>
  <c r="BI3350" i="1"/>
  <c r="BH3350" i="1"/>
  <c r="BP3349" i="1"/>
  <c r="BO3349" i="1"/>
  <c r="BN3349" i="1"/>
  <c r="BL3349" i="1"/>
  <c r="BK3349" i="1"/>
  <c r="BJ3349" i="1"/>
  <c r="BI3349" i="1"/>
  <c r="BH3349" i="1"/>
  <c r="AB3349" i="1"/>
  <c r="BM3349" i="1" s="1"/>
  <c r="BP3348" i="1"/>
  <c r="BO3348" i="1"/>
  <c r="BN3348" i="1"/>
  <c r="BM3348" i="1"/>
  <c r="BL3348" i="1"/>
  <c r="BK3348" i="1"/>
  <c r="BJ3348" i="1"/>
  <c r="BI3348" i="1"/>
  <c r="BH3348" i="1"/>
  <c r="AQ3348" i="1"/>
  <c r="BP3347" i="1"/>
  <c r="BO3347" i="1"/>
  <c r="BN3347" i="1"/>
  <c r="BM3347" i="1"/>
  <c r="BL3347" i="1"/>
  <c r="BK3347" i="1"/>
  <c r="BJ3347" i="1"/>
  <c r="BI3347" i="1"/>
  <c r="BH3347" i="1"/>
  <c r="BP3346" i="1"/>
  <c r="BO3346" i="1"/>
  <c r="BN3346" i="1"/>
  <c r="BM3346" i="1"/>
  <c r="BL3346" i="1"/>
  <c r="BK3346" i="1"/>
  <c r="BJ3346" i="1"/>
  <c r="BI3346" i="1"/>
  <c r="BH3346" i="1"/>
  <c r="BP3345" i="1"/>
  <c r="BO3345" i="1"/>
  <c r="BN3345" i="1"/>
  <c r="BM3345" i="1"/>
  <c r="BL3345" i="1"/>
  <c r="BK3345" i="1"/>
  <c r="BJ3345" i="1"/>
  <c r="BI3345" i="1"/>
  <c r="BH3345" i="1"/>
  <c r="BP3344" i="1"/>
  <c r="BO3344" i="1"/>
  <c r="BN3344" i="1"/>
  <c r="BM3344" i="1"/>
  <c r="BL3344" i="1"/>
  <c r="BK3344" i="1"/>
  <c r="BJ3344" i="1"/>
  <c r="BI3344" i="1"/>
  <c r="BH3344" i="1"/>
  <c r="BP3343" i="1"/>
  <c r="BO3343" i="1"/>
  <c r="BN3343" i="1"/>
  <c r="BM3343" i="1"/>
  <c r="BL3343" i="1"/>
  <c r="BK3343" i="1"/>
  <c r="BJ3343" i="1"/>
  <c r="BI3343" i="1"/>
  <c r="BH3343" i="1"/>
  <c r="AS3343" i="1"/>
  <c r="BP3342" i="1"/>
  <c r="BO3342" i="1"/>
  <c r="BN3342" i="1"/>
  <c r="BM3342" i="1"/>
  <c r="BL3342" i="1"/>
  <c r="BK3342" i="1"/>
  <c r="BJ3342" i="1"/>
  <c r="BI3342" i="1"/>
  <c r="BH3342" i="1"/>
  <c r="AS3342" i="1"/>
  <c r="AN3342" i="1"/>
  <c r="BP3341" i="1"/>
  <c r="BO3341" i="1"/>
  <c r="BN3341" i="1"/>
  <c r="BL3341" i="1"/>
  <c r="BK3341" i="1"/>
  <c r="BJ3341" i="1"/>
  <c r="BI3341" i="1"/>
  <c r="BH3341" i="1"/>
  <c r="AR3341" i="1"/>
  <c r="AN3341" i="1"/>
  <c r="BP3340" i="1"/>
  <c r="BO3340" i="1"/>
  <c r="BN3340" i="1"/>
  <c r="BL3340" i="1"/>
  <c r="BK3340" i="1"/>
  <c r="BJ3340" i="1"/>
  <c r="BI3340" i="1"/>
  <c r="BH3340" i="1"/>
  <c r="AQ3340" i="1"/>
  <c r="BM3340" i="1" s="1"/>
  <c r="BP3339" i="1"/>
  <c r="BO3339" i="1"/>
  <c r="BN3339" i="1"/>
  <c r="BM3339" i="1"/>
  <c r="BL3339" i="1"/>
  <c r="BK3339" i="1"/>
  <c r="BJ3339" i="1"/>
  <c r="BI3339" i="1"/>
  <c r="BH3339" i="1"/>
  <c r="BP3338" i="1"/>
  <c r="BO3338" i="1"/>
  <c r="BN3338" i="1"/>
  <c r="BM3338" i="1"/>
  <c r="BL3338" i="1"/>
  <c r="BK3338" i="1"/>
  <c r="BJ3338" i="1"/>
  <c r="BI3338" i="1"/>
  <c r="BH3338" i="1"/>
  <c r="BE3338" i="1"/>
  <c r="BP3337" i="1"/>
  <c r="BO3337" i="1"/>
  <c r="BN3337" i="1"/>
  <c r="BM3337" i="1"/>
  <c r="BL3337" i="1"/>
  <c r="BK3337" i="1"/>
  <c r="BJ3337" i="1"/>
  <c r="BI3337" i="1"/>
  <c r="BH3337" i="1"/>
  <c r="AQ3337" i="1"/>
  <c r="BP3336" i="1"/>
  <c r="BO3336" i="1"/>
  <c r="BN3336" i="1"/>
  <c r="BM3336" i="1"/>
  <c r="BL3336" i="1"/>
  <c r="BK3336" i="1"/>
  <c r="BJ3336" i="1"/>
  <c r="BI3336" i="1"/>
  <c r="BH3336" i="1"/>
  <c r="AQ3336" i="1"/>
  <c r="AB3336" i="1"/>
  <c r="BP3335" i="1"/>
  <c r="BO3335" i="1"/>
  <c r="BN3335" i="1"/>
  <c r="BM3335" i="1"/>
  <c r="BL3335" i="1"/>
  <c r="BK3335" i="1"/>
  <c r="BJ3335" i="1"/>
  <c r="BI3335" i="1"/>
  <c r="BH3335" i="1"/>
  <c r="V3335" i="1"/>
  <c r="BP3334" i="1"/>
  <c r="BO3334" i="1"/>
  <c r="BN3334" i="1"/>
  <c r="BM3334" i="1"/>
  <c r="BL3334" i="1"/>
  <c r="BK3334" i="1"/>
  <c r="BJ3334" i="1"/>
  <c r="BI3334" i="1"/>
  <c r="BH3334" i="1"/>
  <c r="BP3333" i="1"/>
  <c r="BO3333" i="1"/>
  <c r="BN3333" i="1"/>
  <c r="BL3333" i="1"/>
  <c r="BK3333" i="1"/>
  <c r="BJ3333" i="1"/>
  <c r="BI3333" i="1"/>
  <c r="BH3333" i="1"/>
  <c r="AS3333" i="1"/>
  <c r="AN3333" i="1"/>
  <c r="BP3332" i="1"/>
  <c r="BO3332" i="1"/>
  <c r="BN3332" i="1"/>
  <c r="BM3332" i="1"/>
  <c r="BL3332" i="1"/>
  <c r="BK3332" i="1"/>
  <c r="BJ3332" i="1"/>
  <c r="BI3332" i="1"/>
  <c r="BH3332" i="1"/>
  <c r="AS3332" i="1"/>
  <c r="BP3331" i="1"/>
  <c r="BO3331" i="1"/>
  <c r="BN3331" i="1"/>
  <c r="BM3331" i="1"/>
  <c r="BL3331" i="1"/>
  <c r="BK3331" i="1"/>
  <c r="BJ3331" i="1"/>
  <c r="BH3331" i="1"/>
  <c r="AR3331" i="1"/>
  <c r="AQ3331" i="1"/>
  <c r="AI3331" i="1"/>
  <c r="P3331" i="1"/>
  <c r="BI3331" i="1" s="1"/>
  <c r="BP3330" i="1"/>
  <c r="BO3330" i="1"/>
  <c r="BN3330" i="1"/>
  <c r="BM3330" i="1"/>
  <c r="BL3330" i="1"/>
  <c r="BK3330" i="1"/>
  <c r="BJ3330" i="1"/>
  <c r="BI3330" i="1"/>
  <c r="BH3330" i="1"/>
  <c r="AR3330" i="1"/>
  <c r="AN3330" i="1"/>
  <c r="AI3330" i="1"/>
  <c r="BP3329" i="1"/>
  <c r="BO3329" i="1"/>
  <c r="BN3329" i="1"/>
  <c r="BM3329" i="1"/>
  <c r="BL3329" i="1"/>
  <c r="BK3329" i="1"/>
  <c r="BJ3329" i="1"/>
  <c r="BI3329" i="1"/>
  <c r="BH3329" i="1"/>
  <c r="AR3329" i="1"/>
  <c r="AN3329" i="1"/>
  <c r="BP3328" i="1"/>
  <c r="BO3328" i="1"/>
  <c r="BN3328" i="1"/>
  <c r="BM3328" i="1"/>
  <c r="BL3328" i="1"/>
  <c r="BK3328" i="1"/>
  <c r="BJ3328" i="1"/>
  <c r="BI3328" i="1"/>
  <c r="BH3328" i="1"/>
  <c r="BP3327" i="1"/>
  <c r="BO3327" i="1"/>
  <c r="BN3327" i="1"/>
  <c r="BM3327" i="1"/>
  <c r="BL3327" i="1"/>
  <c r="BK3327" i="1"/>
  <c r="BJ3327" i="1"/>
  <c r="BI3327" i="1"/>
  <c r="BH3327" i="1"/>
  <c r="BP3326" i="1"/>
  <c r="BO3326" i="1"/>
  <c r="BN3326" i="1"/>
  <c r="BL3326" i="1"/>
  <c r="BK3326" i="1"/>
  <c r="BJ3326" i="1"/>
  <c r="BI3326" i="1"/>
  <c r="BH3326" i="1"/>
  <c r="AQ3326" i="1"/>
  <c r="BM3326" i="1" s="1"/>
  <c r="BP3325" i="1"/>
  <c r="BO3325" i="1"/>
  <c r="BN3325" i="1"/>
  <c r="BM3325" i="1"/>
  <c r="BL3325" i="1"/>
  <c r="BK3325" i="1"/>
  <c r="BJ3325" i="1"/>
  <c r="BI3325" i="1"/>
  <c r="BH3325" i="1"/>
  <c r="BP3324" i="1"/>
  <c r="BO3324" i="1"/>
  <c r="BN3324" i="1"/>
  <c r="BM3324" i="1"/>
  <c r="BL3324" i="1"/>
  <c r="BK3324" i="1"/>
  <c r="BJ3324" i="1"/>
  <c r="BI3324" i="1"/>
  <c r="BH3324" i="1"/>
  <c r="BP3323" i="1"/>
  <c r="BO3323" i="1"/>
  <c r="BN3323" i="1"/>
  <c r="BM3323" i="1"/>
  <c r="BL3323" i="1"/>
  <c r="BK3323" i="1"/>
  <c r="BJ3323" i="1"/>
  <c r="BI3323" i="1"/>
  <c r="BH3323" i="1"/>
  <c r="BP3322" i="1"/>
  <c r="BO3322" i="1"/>
  <c r="BN3322" i="1"/>
  <c r="BM3322" i="1"/>
  <c r="BL3322" i="1"/>
  <c r="BK3322" i="1"/>
  <c r="BJ3322" i="1"/>
  <c r="BI3322" i="1"/>
  <c r="BH3322" i="1"/>
  <c r="BP3321" i="1"/>
  <c r="BO3321" i="1"/>
  <c r="BN3321" i="1"/>
  <c r="BL3321" i="1"/>
  <c r="BK3321" i="1"/>
  <c r="BJ3321" i="1"/>
  <c r="BI3321" i="1"/>
  <c r="BH3321" i="1"/>
  <c r="AR3321" i="1"/>
  <c r="AN3321" i="1"/>
  <c r="AI3321" i="1"/>
  <c r="BM3321" i="1" s="1"/>
  <c r="BP3320" i="1"/>
  <c r="BO3320" i="1"/>
  <c r="BN3320" i="1"/>
  <c r="BL3320" i="1"/>
  <c r="BK3320" i="1"/>
  <c r="BJ3320" i="1"/>
  <c r="BI3320" i="1"/>
  <c r="BH3320" i="1"/>
  <c r="AS3320" i="1"/>
  <c r="AN3320" i="1"/>
  <c r="BP3319" i="1"/>
  <c r="BO3319" i="1"/>
  <c r="BN3319" i="1"/>
  <c r="BL3319" i="1"/>
  <c r="BK3319" i="1"/>
  <c r="BJ3319" i="1"/>
  <c r="BI3319" i="1"/>
  <c r="BH3319" i="1"/>
  <c r="AQ3319" i="1"/>
  <c r="AB3319" i="1"/>
  <c r="BM3319" i="1" s="1"/>
  <c r="BP3318" i="1"/>
  <c r="BO3318" i="1"/>
  <c r="BN3318" i="1"/>
  <c r="BM3318" i="1"/>
  <c r="BL3318" i="1"/>
  <c r="BK3318" i="1"/>
  <c r="BJ3318" i="1"/>
  <c r="BI3318" i="1"/>
  <c r="BH3318" i="1"/>
  <c r="BP3317" i="1"/>
  <c r="BO3317" i="1"/>
  <c r="BN3317" i="1"/>
  <c r="BM3317" i="1"/>
  <c r="BL3317" i="1"/>
  <c r="BK3317" i="1"/>
  <c r="BJ3317" i="1"/>
  <c r="BI3317" i="1"/>
  <c r="BH3317" i="1"/>
  <c r="AR3317" i="1"/>
  <c r="AQ3317" i="1"/>
  <c r="P3317" i="1"/>
  <c r="BP3316" i="1"/>
  <c r="BO3316" i="1"/>
  <c r="BN3316" i="1"/>
  <c r="BM3316" i="1"/>
  <c r="BL3316" i="1"/>
  <c r="BK3316" i="1"/>
  <c r="BJ3316" i="1"/>
  <c r="BI3316" i="1"/>
  <c r="BH3316" i="1"/>
  <c r="AR3316" i="1"/>
  <c r="AN3316" i="1"/>
  <c r="BP3315" i="1"/>
  <c r="BO3315" i="1"/>
  <c r="BN3315" i="1"/>
  <c r="BM3315" i="1"/>
  <c r="BL3315" i="1"/>
  <c r="BK3315" i="1"/>
  <c r="BI3315" i="1"/>
  <c r="BH3315" i="1"/>
  <c r="BG3315" i="1"/>
  <c r="AT3315" i="1"/>
  <c r="AR3315" i="1"/>
  <c r="AN3315" i="1"/>
  <c r="AM3315" i="1"/>
  <c r="W3315" i="1"/>
  <c r="S3315" i="1"/>
  <c r="BJ3315" i="1" s="1"/>
  <c r="N3315" i="1"/>
  <c r="I3315" i="1"/>
  <c r="D3315" i="1"/>
  <c r="BP3314" i="1"/>
  <c r="BO3314" i="1"/>
  <c r="BN3314" i="1"/>
  <c r="BL3314" i="1"/>
  <c r="BK3314" i="1"/>
  <c r="BJ3314" i="1"/>
  <c r="BI3314" i="1"/>
  <c r="BH3314" i="1"/>
  <c r="AS3314" i="1"/>
  <c r="AN3314" i="1"/>
  <c r="BP3313" i="1"/>
  <c r="BO3313" i="1"/>
  <c r="BN3313" i="1"/>
  <c r="BM3313" i="1"/>
  <c r="BL3313" i="1"/>
  <c r="BK3313" i="1"/>
  <c r="BJ3313" i="1"/>
  <c r="BI3313" i="1"/>
  <c r="BH3313" i="1"/>
  <c r="AS3313" i="1"/>
  <c r="BP3312" i="1"/>
  <c r="BO3312" i="1"/>
  <c r="BN3312" i="1"/>
  <c r="BM3312" i="1"/>
  <c r="BL3312" i="1"/>
  <c r="BK3312" i="1"/>
  <c r="BJ3312" i="1"/>
  <c r="BI3312" i="1"/>
  <c r="BH3312" i="1"/>
  <c r="AS3312" i="1"/>
  <c r="BP3311" i="1"/>
  <c r="BO3311" i="1"/>
  <c r="BN3311" i="1"/>
  <c r="BM3311" i="1"/>
  <c r="BL3311" i="1"/>
  <c r="BK3311" i="1"/>
  <c r="BJ3311" i="1"/>
  <c r="BI3311" i="1"/>
  <c r="BH3311" i="1"/>
  <c r="AB3311" i="1"/>
  <c r="BP3310" i="1"/>
  <c r="BO3310" i="1"/>
  <c r="BN3310" i="1"/>
  <c r="BM3310" i="1"/>
  <c r="BL3310" i="1"/>
  <c r="BK3310" i="1"/>
  <c r="BJ3310" i="1"/>
  <c r="BI3310" i="1"/>
  <c r="BH3310" i="1"/>
  <c r="BP3309" i="1"/>
  <c r="BO3309" i="1"/>
  <c r="BN3309" i="1"/>
  <c r="BM3309" i="1"/>
  <c r="BL3309" i="1"/>
  <c r="BJ3309" i="1"/>
  <c r="BI3309" i="1"/>
  <c r="BH3309" i="1"/>
  <c r="V3309" i="1"/>
  <c r="BK3309" i="1" s="1"/>
  <c r="BP3308" i="1"/>
  <c r="BO3308" i="1"/>
  <c r="BN3308" i="1"/>
  <c r="BM3308" i="1"/>
  <c r="BL3308" i="1"/>
  <c r="BK3308" i="1"/>
  <c r="BJ3308" i="1"/>
  <c r="BI3308" i="1"/>
  <c r="BH3308" i="1"/>
  <c r="BP3307" i="1"/>
  <c r="BO3307" i="1"/>
  <c r="BN3307" i="1"/>
  <c r="BM3307" i="1"/>
  <c r="BL3307" i="1"/>
  <c r="BK3307" i="1"/>
  <c r="BJ3307" i="1"/>
  <c r="BI3307" i="1"/>
  <c r="BH3307" i="1"/>
  <c r="BP3306" i="1"/>
  <c r="BO3306" i="1"/>
  <c r="BM3306" i="1"/>
  <c r="BL3306" i="1"/>
  <c r="BH3306" i="1"/>
  <c r="BG3306" i="1"/>
  <c r="BC3306" i="1"/>
  <c r="AU3306" i="1"/>
  <c r="AT3306" i="1"/>
  <c r="BN3306" i="1" s="1"/>
  <c r="AA3306" i="1"/>
  <c r="Z3306" i="1"/>
  <c r="U3306" i="1"/>
  <c r="BK3306" i="1" s="1"/>
  <c r="S3306" i="1"/>
  <c r="BJ3306" i="1" s="1"/>
  <c r="O3306" i="1"/>
  <c r="BI3306" i="1" s="1"/>
  <c r="E3306" i="1"/>
  <c r="C3306" i="1"/>
  <c r="BP3305" i="1"/>
  <c r="BO3305" i="1"/>
  <c r="BN3305" i="1"/>
  <c r="BL3305" i="1"/>
  <c r="BK3305" i="1"/>
  <c r="BJ3305" i="1"/>
  <c r="BI3305" i="1"/>
  <c r="BH3305" i="1"/>
  <c r="AQ3305" i="1"/>
  <c r="BM3305" i="1" s="1"/>
  <c r="BP3304" i="1"/>
  <c r="BO3304" i="1"/>
  <c r="BN3304" i="1"/>
  <c r="BL3304" i="1"/>
  <c r="BK3304" i="1"/>
  <c r="BJ3304" i="1"/>
  <c r="BI3304" i="1"/>
  <c r="BH3304" i="1"/>
  <c r="AP3304" i="1"/>
  <c r="BM3304" i="1" s="1"/>
  <c r="BP3303" i="1"/>
  <c r="BO3303" i="1"/>
  <c r="BN3303" i="1"/>
  <c r="BM3303" i="1"/>
  <c r="BL3303" i="1"/>
  <c r="BK3303" i="1"/>
  <c r="BJ3303" i="1"/>
  <c r="BI3303" i="1"/>
  <c r="BH3303" i="1"/>
  <c r="AP3303" i="1"/>
  <c r="BP3302" i="1"/>
  <c r="BO3302" i="1"/>
  <c r="BN3302" i="1"/>
  <c r="BM3302" i="1"/>
  <c r="BL3302" i="1"/>
  <c r="BK3302" i="1"/>
  <c r="BJ3302" i="1"/>
  <c r="BI3302" i="1"/>
  <c r="BH3302" i="1"/>
  <c r="BE3302" i="1"/>
  <c r="BP3301" i="1"/>
  <c r="BO3301" i="1"/>
  <c r="BN3301" i="1"/>
  <c r="BM3301" i="1"/>
  <c r="BL3301" i="1"/>
  <c r="BK3301" i="1"/>
  <c r="BJ3301" i="1"/>
  <c r="BI3301" i="1"/>
  <c r="BH3301" i="1"/>
  <c r="AR3301" i="1"/>
  <c r="AN3301" i="1"/>
  <c r="BP3300" i="1"/>
  <c r="BO3300" i="1"/>
  <c r="BN3300" i="1"/>
  <c r="BM3300" i="1"/>
  <c r="BL3300" i="1"/>
  <c r="BK3300" i="1"/>
  <c r="BJ3300" i="1"/>
  <c r="BI3300" i="1"/>
  <c r="BH3300" i="1"/>
  <c r="AS3300" i="1"/>
  <c r="AN3300" i="1"/>
  <c r="BP3299" i="1"/>
  <c r="BO3299" i="1"/>
  <c r="BN3299" i="1"/>
  <c r="BL3299" i="1"/>
  <c r="BK3299" i="1"/>
  <c r="BJ3299" i="1"/>
  <c r="BI3299" i="1"/>
  <c r="BH3299" i="1"/>
  <c r="AS3299" i="1"/>
  <c r="BM3299" i="1" s="1"/>
  <c r="BP3298" i="1"/>
  <c r="BO3298" i="1"/>
  <c r="BN3298" i="1"/>
  <c r="BM3298" i="1"/>
  <c r="BL3298" i="1"/>
  <c r="BJ3298" i="1"/>
  <c r="BI3298" i="1"/>
  <c r="BH3298" i="1"/>
  <c r="X3298" i="1"/>
  <c r="BK3298" i="1" s="1"/>
  <c r="BP3297" i="1"/>
  <c r="BO3297" i="1"/>
  <c r="BN3297" i="1"/>
  <c r="BL3297" i="1"/>
  <c r="BK3297" i="1"/>
  <c r="BJ3297" i="1"/>
  <c r="BI3297" i="1"/>
  <c r="BH3297" i="1"/>
  <c r="AP3297" i="1"/>
  <c r="BM3297" i="1" s="1"/>
  <c r="BP3296" i="1"/>
  <c r="BO3296" i="1"/>
  <c r="BN3296" i="1"/>
  <c r="BM3296" i="1"/>
  <c r="BL3296" i="1"/>
  <c r="BK3296" i="1"/>
  <c r="BJ3296" i="1"/>
  <c r="BI3296" i="1"/>
  <c r="BH3296" i="1"/>
  <c r="BP3295" i="1"/>
  <c r="BO3295" i="1"/>
  <c r="BN3295" i="1"/>
  <c r="BM3295" i="1"/>
  <c r="BL3295" i="1"/>
  <c r="BK3295" i="1"/>
  <c r="BJ3295" i="1"/>
  <c r="BI3295" i="1"/>
  <c r="BG3295" i="1"/>
  <c r="AU3295" i="1"/>
  <c r="AG3295" i="1"/>
  <c r="AC3295" i="1"/>
  <c r="U3295" i="1"/>
  <c r="S3295" i="1"/>
  <c r="M3295" i="1"/>
  <c r="D3295" i="1"/>
  <c r="BH3295" i="1" s="1"/>
  <c r="BP3294" i="1"/>
  <c r="BO3294" i="1"/>
  <c r="BN3294" i="1"/>
  <c r="BM3294" i="1"/>
  <c r="BL3294" i="1"/>
  <c r="BK3294" i="1"/>
  <c r="BJ3294" i="1"/>
  <c r="BI3294" i="1"/>
  <c r="BH3294" i="1"/>
  <c r="BP3293" i="1"/>
  <c r="BO3293" i="1"/>
  <c r="BN3293" i="1"/>
  <c r="BM3293" i="1"/>
  <c r="BL3293" i="1"/>
  <c r="BK3293" i="1"/>
  <c r="BJ3293" i="1"/>
  <c r="BI3293" i="1"/>
  <c r="BH3293" i="1"/>
  <c r="V3293" i="1"/>
  <c r="BP3292" i="1"/>
  <c r="BO3292" i="1"/>
  <c r="BN3292" i="1"/>
  <c r="BM3292" i="1"/>
  <c r="BL3292" i="1"/>
  <c r="BK3292" i="1"/>
  <c r="BJ3292" i="1"/>
  <c r="BI3292" i="1"/>
  <c r="BH3292" i="1"/>
  <c r="BP3291" i="1"/>
  <c r="BO3291" i="1"/>
  <c r="BN3291" i="1"/>
  <c r="BM3291" i="1"/>
  <c r="BL3291" i="1"/>
  <c r="BK3291" i="1"/>
  <c r="BJ3291" i="1"/>
  <c r="BI3291" i="1"/>
  <c r="BH3291" i="1"/>
  <c r="BP3290" i="1"/>
  <c r="BO3290" i="1"/>
  <c r="BN3290" i="1"/>
  <c r="BM3290" i="1"/>
  <c r="BL3290" i="1"/>
  <c r="BK3290" i="1"/>
  <c r="BJ3290" i="1"/>
  <c r="BI3290" i="1"/>
  <c r="BH3290" i="1"/>
  <c r="BP3289" i="1"/>
  <c r="BO3289" i="1"/>
  <c r="BN3289" i="1"/>
  <c r="BM3289" i="1"/>
  <c r="BL3289" i="1"/>
  <c r="BJ3289" i="1"/>
  <c r="BI3289" i="1"/>
  <c r="BH3289" i="1"/>
  <c r="X3289" i="1"/>
  <c r="BK3289" i="1" s="1"/>
  <c r="BP3288" i="1"/>
  <c r="BO3288" i="1"/>
  <c r="BN3288" i="1"/>
  <c r="BM3288" i="1"/>
  <c r="BK3288" i="1"/>
  <c r="BJ3288" i="1"/>
  <c r="BI3288" i="1"/>
  <c r="BH3288" i="1"/>
  <c r="AA3288" i="1"/>
  <c r="BL3288" i="1" s="1"/>
  <c r="BP3287" i="1"/>
  <c r="BO3287" i="1"/>
  <c r="BN3287" i="1"/>
  <c r="BM3287" i="1"/>
  <c r="BL3287" i="1"/>
  <c r="BK3287" i="1"/>
  <c r="BJ3287" i="1"/>
  <c r="BI3287" i="1"/>
  <c r="BH3287" i="1"/>
  <c r="AQ3287" i="1"/>
  <c r="BP3286" i="1"/>
  <c r="BO3286" i="1"/>
  <c r="BN3286" i="1"/>
  <c r="BL3286" i="1"/>
  <c r="BK3286" i="1"/>
  <c r="BJ3286" i="1"/>
  <c r="BI3286" i="1"/>
  <c r="BH3286" i="1"/>
  <c r="AS3286" i="1"/>
  <c r="AN3286" i="1"/>
  <c r="BM3286" i="1" s="1"/>
  <c r="BP3285" i="1"/>
  <c r="BO3285" i="1"/>
  <c r="BN3285" i="1"/>
  <c r="BM3285" i="1"/>
  <c r="BL3285" i="1"/>
  <c r="BK3285" i="1"/>
  <c r="BJ3285" i="1"/>
  <c r="BI3285" i="1"/>
  <c r="BH3285" i="1"/>
  <c r="AS3285" i="1"/>
  <c r="BP3284" i="1"/>
  <c r="BO3284" i="1"/>
  <c r="BN3284" i="1"/>
  <c r="BL3284" i="1"/>
  <c r="BK3284" i="1"/>
  <c r="BJ3284" i="1"/>
  <c r="BI3284" i="1"/>
  <c r="BH3284" i="1"/>
  <c r="AQ3284" i="1"/>
  <c r="BM3284" i="1" s="1"/>
  <c r="BP3283" i="1"/>
  <c r="BO3283" i="1"/>
  <c r="BN3283" i="1"/>
  <c r="BM3283" i="1"/>
  <c r="BL3283" i="1"/>
  <c r="BK3283" i="1"/>
  <c r="BJ3283" i="1"/>
  <c r="BI3283" i="1"/>
  <c r="BH3283" i="1"/>
  <c r="BP3282" i="1"/>
  <c r="BO3282" i="1"/>
  <c r="BN3282" i="1"/>
  <c r="BM3282" i="1"/>
  <c r="BL3282" i="1"/>
  <c r="BK3282" i="1"/>
  <c r="BJ3282" i="1"/>
  <c r="BI3282" i="1"/>
  <c r="BH3282" i="1"/>
  <c r="BP3281" i="1"/>
  <c r="BO3281" i="1"/>
  <c r="BN3281" i="1"/>
  <c r="BM3281" i="1"/>
  <c r="BL3281" i="1"/>
  <c r="BK3281" i="1"/>
  <c r="BJ3281" i="1"/>
  <c r="BI3281" i="1"/>
  <c r="BH3281" i="1"/>
  <c r="BP3280" i="1"/>
  <c r="BO3280" i="1"/>
  <c r="BN3280" i="1"/>
  <c r="BM3280" i="1"/>
  <c r="BL3280" i="1"/>
  <c r="BK3280" i="1"/>
  <c r="BJ3280" i="1"/>
  <c r="BI3280" i="1"/>
  <c r="BH3280" i="1"/>
  <c r="BP3279" i="1"/>
  <c r="BO3279" i="1"/>
  <c r="BN3279" i="1"/>
  <c r="BM3279" i="1"/>
  <c r="BL3279" i="1"/>
  <c r="BK3279" i="1"/>
  <c r="BJ3279" i="1"/>
  <c r="BI3279" i="1"/>
  <c r="BH3279" i="1"/>
  <c r="BP3278" i="1"/>
  <c r="BO3278" i="1"/>
  <c r="BN3278" i="1"/>
  <c r="BM3278" i="1"/>
  <c r="BL3278" i="1"/>
  <c r="BK3278" i="1"/>
  <c r="BJ3278" i="1"/>
  <c r="BI3278" i="1"/>
  <c r="AJ3278" i="1"/>
  <c r="J3278" i="1"/>
  <c r="BH3278" i="1" s="1"/>
  <c r="BP3277" i="1"/>
  <c r="BO3277" i="1"/>
  <c r="BN3277" i="1"/>
  <c r="BM3277" i="1"/>
  <c r="BL3277" i="1"/>
  <c r="BK3277" i="1"/>
  <c r="BJ3277" i="1"/>
  <c r="BI3277" i="1"/>
  <c r="BH3277" i="1"/>
  <c r="BP3276" i="1"/>
  <c r="BO3276" i="1"/>
  <c r="BN3276" i="1"/>
  <c r="BM3276" i="1"/>
  <c r="BL3276" i="1"/>
  <c r="BK3276" i="1"/>
  <c r="BJ3276" i="1"/>
  <c r="BI3276" i="1"/>
  <c r="BH3276" i="1"/>
  <c r="BP3275" i="1"/>
  <c r="BO3275" i="1"/>
  <c r="BL3275" i="1"/>
  <c r="BK3275" i="1"/>
  <c r="BJ3275" i="1"/>
  <c r="BI3275" i="1"/>
  <c r="BH3275" i="1"/>
  <c r="BG3275" i="1"/>
  <c r="AT3275" i="1"/>
  <c r="BN3275" i="1" s="1"/>
  <c r="AS3275" i="1"/>
  <c r="AN3275" i="1"/>
  <c r="AM3275" i="1"/>
  <c r="BM3275" i="1" s="1"/>
  <c r="W3275" i="1"/>
  <c r="S3275" i="1"/>
  <c r="N3275" i="1"/>
  <c r="I3275" i="1"/>
  <c r="F3275" i="1"/>
  <c r="D3275" i="1"/>
  <c r="BP3274" i="1"/>
  <c r="BO3274" i="1"/>
  <c r="BN3274" i="1"/>
  <c r="BM3274" i="1"/>
  <c r="BL3274" i="1"/>
  <c r="BK3274" i="1"/>
  <c r="BJ3274" i="1"/>
  <c r="BI3274" i="1"/>
  <c r="BH3274" i="1"/>
  <c r="V3274" i="1"/>
  <c r="BP3273" i="1"/>
  <c r="BO3273" i="1"/>
  <c r="BN3273" i="1"/>
  <c r="BM3273" i="1"/>
  <c r="BL3273" i="1"/>
  <c r="BK3273" i="1"/>
  <c r="BJ3273" i="1"/>
  <c r="BI3273" i="1"/>
  <c r="BH3273" i="1"/>
  <c r="BP3272" i="1"/>
  <c r="BO3272" i="1"/>
  <c r="BN3272" i="1"/>
  <c r="BM3272" i="1"/>
  <c r="BL3272" i="1"/>
  <c r="BK3272" i="1"/>
  <c r="BJ3272" i="1"/>
  <c r="BI3272" i="1"/>
  <c r="BH3272" i="1"/>
  <c r="AQ3272" i="1"/>
  <c r="BP3271" i="1"/>
  <c r="BO3271" i="1"/>
  <c r="BN3271" i="1"/>
  <c r="BM3271" i="1"/>
  <c r="BL3271" i="1"/>
  <c r="BK3271" i="1"/>
  <c r="BJ3271" i="1"/>
  <c r="BI3271" i="1"/>
  <c r="BH3271" i="1"/>
  <c r="AR3271" i="1"/>
  <c r="AN3271" i="1"/>
  <c r="BP3270" i="1"/>
  <c r="BO3270" i="1"/>
  <c r="BN3270" i="1"/>
  <c r="BL3270" i="1"/>
  <c r="BK3270" i="1"/>
  <c r="BJ3270" i="1"/>
  <c r="BI3270" i="1"/>
  <c r="BH3270" i="1"/>
  <c r="AR3270" i="1"/>
  <c r="AN3270" i="1"/>
  <c r="BM3270" i="1" s="1"/>
  <c r="BP3269" i="1"/>
  <c r="BO3269" i="1"/>
  <c r="BN3269" i="1"/>
  <c r="BM3269" i="1"/>
  <c r="BL3269" i="1"/>
  <c r="BK3269" i="1"/>
  <c r="BJ3269" i="1"/>
  <c r="BI3269" i="1"/>
  <c r="BH3269" i="1"/>
  <c r="BP3268" i="1"/>
  <c r="BO3268" i="1"/>
  <c r="BN3268" i="1"/>
  <c r="BM3268" i="1"/>
  <c r="BL3268" i="1"/>
  <c r="BK3268" i="1"/>
  <c r="BJ3268" i="1"/>
  <c r="BI3268" i="1"/>
  <c r="BH3268" i="1"/>
  <c r="BP3267" i="1"/>
  <c r="BO3267" i="1"/>
  <c r="BN3267" i="1"/>
  <c r="BM3267" i="1"/>
  <c r="BL3267" i="1"/>
  <c r="BK3267" i="1"/>
  <c r="BJ3267" i="1"/>
  <c r="BI3267" i="1"/>
  <c r="BH3267" i="1"/>
  <c r="AR3267" i="1"/>
  <c r="AN3267" i="1"/>
  <c r="BP3266" i="1"/>
  <c r="BO3266" i="1"/>
  <c r="BN3266" i="1"/>
  <c r="BM3266" i="1"/>
  <c r="BL3266" i="1"/>
  <c r="BK3266" i="1"/>
  <c r="BJ3266" i="1"/>
  <c r="BI3266" i="1"/>
  <c r="BH3266" i="1"/>
  <c r="BP3265" i="1"/>
  <c r="BN3265" i="1"/>
  <c r="BM3265" i="1"/>
  <c r="BL3265" i="1"/>
  <c r="BK3265" i="1"/>
  <c r="BJ3265" i="1"/>
  <c r="BI3265" i="1"/>
  <c r="BH3265" i="1"/>
  <c r="BE3265" i="1"/>
  <c r="BO3265" i="1" s="1"/>
  <c r="BP3264" i="1"/>
  <c r="BO3264" i="1"/>
  <c r="BN3264" i="1"/>
  <c r="BM3264" i="1"/>
  <c r="BL3264" i="1"/>
  <c r="BK3264" i="1"/>
  <c r="BJ3264" i="1"/>
  <c r="BI3264" i="1"/>
  <c r="BH3264" i="1"/>
  <c r="BP3263" i="1"/>
  <c r="BO3263" i="1"/>
  <c r="BN3263" i="1"/>
  <c r="BM3263" i="1"/>
  <c r="BL3263" i="1"/>
  <c r="BK3263" i="1"/>
  <c r="BJ3263" i="1"/>
  <c r="BI3263" i="1"/>
  <c r="BH3263" i="1"/>
  <c r="BP3262" i="1"/>
  <c r="BO3262" i="1"/>
  <c r="BN3262" i="1"/>
  <c r="BM3262" i="1"/>
  <c r="BL3262" i="1"/>
  <c r="BK3262" i="1"/>
  <c r="BJ3262" i="1"/>
  <c r="BI3262" i="1"/>
  <c r="BH3262" i="1"/>
  <c r="BP3261" i="1"/>
  <c r="BO3261" i="1"/>
  <c r="BN3261" i="1"/>
  <c r="BM3261" i="1"/>
  <c r="BL3261" i="1"/>
  <c r="BK3261" i="1"/>
  <c r="BJ3261" i="1"/>
  <c r="BI3261" i="1"/>
  <c r="BH3261" i="1"/>
  <c r="BP3260" i="1"/>
  <c r="BO3260" i="1"/>
  <c r="BN3260" i="1"/>
  <c r="BM3260" i="1"/>
  <c r="BL3260" i="1"/>
  <c r="BK3260" i="1"/>
  <c r="BJ3260" i="1"/>
  <c r="BI3260" i="1"/>
  <c r="BH3260" i="1"/>
  <c r="BP3259" i="1"/>
  <c r="BO3259" i="1"/>
  <c r="BN3259" i="1"/>
  <c r="BM3259" i="1"/>
  <c r="BL3259" i="1"/>
  <c r="BK3259" i="1"/>
  <c r="BJ3259" i="1"/>
  <c r="BI3259" i="1"/>
  <c r="BH3259" i="1"/>
  <c r="AR3259" i="1"/>
  <c r="AN3259" i="1"/>
  <c r="BP3258" i="1"/>
  <c r="BO3258" i="1"/>
  <c r="BN3258" i="1"/>
  <c r="BM3258" i="1"/>
  <c r="BL3258" i="1"/>
  <c r="BK3258" i="1"/>
  <c r="BJ3258" i="1"/>
  <c r="BI3258" i="1"/>
  <c r="BH3258" i="1"/>
  <c r="BP3257" i="1"/>
  <c r="BO3257" i="1"/>
  <c r="BN3257" i="1"/>
  <c r="BM3257" i="1"/>
  <c r="BL3257" i="1"/>
  <c r="BK3257" i="1"/>
  <c r="BJ3257" i="1"/>
  <c r="BI3257" i="1"/>
  <c r="BH3257" i="1"/>
  <c r="AQ3257" i="1"/>
  <c r="BP3256" i="1"/>
  <c r="BO3256" i="1"/>
  <c r="BN3256" i="1"/>
  <c r="BM3256" i="1"/>
  <c r="BL3256" i="1"/>
  <c r="BK3256" i="1"/>
  <c r="BJ3256" i="1"/>
  <c r="BI3256" i="1"/>
  <c r="BH3256" i="1"/>
  <c r="BP3255" i="1"/>
  <c r="BO3255" i="1"/>
  <c r="BN3255" i="1"/>
  <c r="BM3255" i="1"/>
  <c r="BL3255" i="1"/>
  <c r="BK3255" i="1"/>
  <c r="BJ3255" i="1"/>
  <c r="BI3255" i="1"/>
  <c r="BH3255" i="1"/>
  <c r="BP3254" i="1"/>
  <c r="BO3254" i="1"/>
  <c r="BN3254" i="1"/>
  <c r="BM3254" i="1"/>
  <c r="BL3254" i="1"/>
  <c r="BK3254" i="1"/>
  <c r="BJ3254" i="1"/>
  <c r="BI3254" i="1"/>
  <c r="BH3254" i="1"/>
  <c r="AR3254" i="1"/>
  <c r="AN3254" i="1"/>
  <c r="BP3253" i="1"/>
  <c r="BO3253" i="1"/>
  <c r="BN3253" i="1"/>
  <c r="BM3253" i="1"/>
  <c r="BL3253" i="1"/>
  <c r="BK3253" i="1"/>
  <c r="BJ3253" i="1"/>
  <c r="BI3253" i="1"/>
  <c r="AS3253" i="1"/>
  <c r="K3253" i="1"/>
  <c r="BH3253" i="1" s="1"/>
  <c r="BP3252" i="1"/>
  <c r="BO3252" i="1"/>
  <c r="BN3252" i="1"/>
  <c r="BL3252" i="1"/>
  <c r="BK3252" i="1"/>
  <c r="BJ3252" i="1"/>
  <c r="BI3252" i="1"/>
  <c r="BH3252" i="1"/>
  <c r="AS3252" i="1"/>
  <c r="AN3252" i="1"/>
  <c r="BM3252" i="1" s="1"/>
  <c r="BP3251" i="1"/>
  <c r="BO3251" i="1"/>
  <c r="BN3251" i="1"/>
  <c r="BM3251" i="1"/>
  <c r="BL3251" i="1"/>
  <c r="BK3251" i="1"/>
  <c r="BJ3251" i="1"/>
  <c r="BI3251" i="1"/>
  <c r="BH3251" i="1"/>
  <c r="AS3251" i="1"/>
  <c r="BP3250" i="1"/>
  <c r="BO3250" i="1"/>
  <c r="BN3250" i="1"/>
  <c r="BM3250" i="1"/>
  <c r="BL3250" i="1"/>
  <c r="BK3250" i="1"/>
  <c r="BG3250" i="1"/>
  <c r="BA3250" i="1"/>
  <c r="AT3250" i="1"/>
  <c r="X3250" i="1"/>
  <c r="S3250" i="1"/>
  <c r="BJ3250" i="1" s="1"/>
  <c r="M3250" i="1"/>
  <c r="BI3250" i="1" s="1"/>
  <c r="C3250" i="1"/>
  <c r="BH3250" i="1" s="1"/>
  <c r="BP3249" i="1"/>
  <c r="BO3249" i="1"/>
  <c r="BN3249" i="1"/>
  <c r="BM3249" i="1"/>
  <c r="BL3249" i="1"/>
  <c r="BK3249" i="1"/>
  <c r="BJ3249" i="1"/>
  <c r="BI3249" i="1"/>
  <c r="BH3249" i="1"/>
  <c r="BP3248" i="1"/>
  <c r="BO3248" i="1"/>
  <c r="BN3248" i="1"/>
  <c r="BM3248" i="1"/>
  <c r="BL3248" i="1"/>
  <c r="BK3248" i="1"/>
  <c r="BJ3248" i="1"/>
  <c r="BI3248" i="1"/>
  <c r="BH3248" i="1"/>
  <c r="BE3248" i="1"/>
  <c r="BP3247" i="1"/>
  <c r="BO3247" i="1"/>
  <c r="BN3247" i="1"/>
  <c r="BM3247" i="1"/>
  <c r="BL3247" i="1"/>
  <c r="BJ3247" i="1"/>
  <c r="BI3247" i="1"/>
  <c r="BH3247" i="1"/>
  <c r="V3247" i="1"/>
  <c r="BK3247" i="1" s="1"/>
  <c r="BP3246" i="1"/>
  <c r="BO3246" i="1"/>
  <c r="BN3246" i="1"/>
  <c r="BM3246" i="1"/>
  <c r="BL3246" i="1"/>
  <c r="BK3246" i="1"/>
  <c r="BJ3246" i="1"/>
  <c r="BI3246" i="1"/>
  <c r="BH3246" i="1"/>
  <c r="BP3245" i="1"/>
  <c r="BO3245" i="1"/>
  <c r="BN3245" i="1"/>
  <c r="BM3245" i="1"/>
  <c r="BL3245" i="1"/>
  <c r="BK3245" i="1"/>
  <c r="BJ3245" i="1"/>
  <c r="BI3245" i="1"/>
  <c r="BH3245" i="1"/>
  <c r="BP3244" i="1"/>
  <c r="BO3244" i="1"/>
  <c r="BN3244" i="1"/>
  <c r="BM3244" i="1"/>
  <c r="BL3244" i="1"/>
  <c r="BK3244" i="1"/>
  <c r="BJ3244" i="1"/>
  <c r="BI3244" i="1"/>
  <c r="BH3244" i="1"/>
  <c r="BP3243" i="1"/>
  <c r="BO3243" i="1"/>
  <c r="BN3243" i="1"/>
  <c r="BM3243" i="1"/>
  <c r="BL3243" i="1"/>
  <c r="BK3243" i="1"/>
  <c r="BJ3243" i="1"/>
  <c r="BI3243" i="1"/>
  <c r="BH3243" i="1"/>
  <c r="AS3243" i="1"/>
  <c r="BP3242" i="1"/>
  <c r="BO3242" i="1"/>
  <c r="BN3242" i="1"/>
  <c r="BM3242" i="1"/>
  <c r="BL3242" i="1"/>
  <c r="BK3242" i="1"/>
  <c r="BJ3242" i="1"/>
  <c r="BI3242" i="1"/>
  <c r="BH3242" i="1"/>
  <c r="AA3242" i="1"/>
  <c r="BP3241" i="1"/>
  <c r="BO3241" i="1"/>
  <c r="BN3241" i="1"/>
  <c r="BL3241" i="1"/>
  <c r="BK3241" i="1"/>
  <c r="BJ3241" i="1"/>
  <c r="BI3241" i="1"/>
  <c r="BH3241" i="1"/>
  <c r="AQ3241" i="1"/>
  <c r="BM3241" i="1" s="1"/>
  <c r="BP3240" i="1"/>
  <c r="BO3240" i="1"/>
  <c r="BN3240" i="1"/>
  <c r="BM3240" i="1"/>
  <c r="BL3240" i="1"/>
  <c r="BK3240" i="1"/>
  <c r="BJ3240" i="1"/>
  <c r="BI3240" i="1"/>
  <c r="BH3240" i="1"/>
  <c r="BP3239" i="1"/>
  <c r="BO3239" i="1"/>
  <c r="BN3239" i="1"/>
  <c r="BM3239" i="1"/>
  <c r="BL3239" i="1"/>
  <c r="BK3239" i="1"/>
  <c r="BJ3239" i="1"/>
  <c r="BI3239" i="1"/>
  <c r="BH3239" i="1"/>
  <c r="BP3238" i="1"/>
  <c r="BO3238" i="1"/>
  <c r="BN3238" i="1"/>
  <c r="BM3238" i="1"/>
  <c r="BL3238" i="1"/>
  <c r="BK3238" i="1"/>
  <c r="BJ3238" i="1"/>
  <c r="BI3238" i="1"/>
  <c r="BH3238" i="1"/>
  <c r="BP3237" i="1"/>
  <c r="BO3237" i="1"/>
  <c r="BN3237" i="1"/>
  <c r="BM3237" i="1"/>
  <c r="BL3237" i="1"/>
  <c r="BK3237" i="1"/>
  <c r="BJ3237" i="1"/>
  <c r="BI3237" i="1"/>
  <c r="BH3237" i="1"/>
  <c r="BP3236" i="1"/>
  <c r="BO3236" i="1"/>
  <c r="BN3236" i="1"/>
  <c r="BL3236" i="1"/>
  <c r="BK3236" i="1"/>
  <c r="BJ3236" i="1"/>
  <c r="BI3236" i="1"/>
  <c r="BH3236" i="1"/>
  <c r="AR3236" i="1"/>
  <c r="AN3236" i="1"/>
  <c r="BM3236" i="1" s="1"/>
  <c r="BP3235" i="1"/>
  <c r="BO3235" i="1"/>
  <c r="BN3235" i="1"/>
  <c r="BL3235" i="1"/>
  <c r="BK3235" i="1"/>
  <c r="BJ3235" i="1"/>
  <c r="BI3235" i="1"/>
  <c r="BH3235" i="1"/>
  <c r="AS3235" i="1"/>
  <c r="AN3235" i="1"/>
  <c r="BP3234" i="1"/>
  <c r="BO3234" i="1"/>
  <c r="BN3234" i="1"/>
  <c r="BM3234" i="1"/>
  <c r="BL3234" i="1"/>
  <c r="BK3234" i="1"/>
  <c r="BJ3234" i="1"/>
  <c r="BI3234" i="1"/>
  <c r="BH3234" i="1"/>
  <c r="AS3234" i="1"/>
  <c r="BP3233" i="1"/>
  <c r="BO3233" i="1"/>
  <c r="BN3233" i="1"/>
  <c r="BM3233" i="1"/>
  <c r="BL3233" i="1"/>
  <c r="BK3233" i="1"/>
  <c r="BJ3233" i="1"/>
  <c r="BI3233" i="1"/>
  <c r="BH3233" i="1"/>
  <c r="AS3233" i="1"/>
  <c r="BP3232" i="1"/>
  <c r="BO3232" i="1"/>
  <c r="BN3232" i="1"/>
  <c r="BL3232" i="1"/>
  <c r="BK3232" i="1"/>
  <c r="BJ3232" i="1"/>
  <c r="BI3232" i="1"/>
  <c r="BH3232" i="1"/>
  <c r="AQ3232" i="1"/>
  <c r="BM3232" i="1" s="1"/>
  <c r="BP3231" i="1"/>
  <c r="BO3231" i="1"/>
  <c r="BN3231" i="1"/>
  <c r="BM3231" i="1"/>
  <c r="BL3231" i="1"/>
  <c r="BK3231" i="1"/>
  <c r="BJ3231" i="1"/>
  <c r="BI3231" i="1"/>
  <c r="BH3231" i="1"/>
  <c r="BP3230" i="1"/>
  <c r="BO3230" i="1"/>
  <c r="BN3230" i="1"/>
  <c r="BL3230" i="1"/>
  <c r="BK3230" i="1"/>
  <c r="BJ3230" i="1"/>
  <c r="BI3230" i="1"/>
  <c r="BH3230" i="1"/>
  <c r="AR3230" i="1"/>
  <c r="BM3230" i="1" s="1"/>
  <c r="AN3230" i="1"/>
  <c r="BP3229" i="1"/>
  <c r="BO3229" i="1"/>
  <c r="BN3229" i="1"/>
  <c r="BM3229" i="1"/>
  <c r="BL3229" i="1"/>
  <c r="BK3229" i="1"/>
  <c r="BJ3229" i="1"/>
  <c r="BI3229" i="1"/>
  <c r="BH3229" i="1"/>
  <c r="BP3228" i="1"/>
  <c r="BO3228" i="1"/>
  <c r="BN3228" i="1"/>
  <c r="BM3228" i="1"/>
  <c r="BL3228" i="1"/>
  <c r="BK3228" i="1"/>
  <c r="BJ3228" i="1"/>
  <c r="BI3228" i="1"/>
  <c r="BH3228" i="1"/>
  <c r="AR3228" i="1"/>
  <c r="AN3228" i="1"/>
  <c r="BP3227" i="1"/>
  <c r="BO3227" i="1"/>
  <c r="BN3227" i="1"/>
  <c r="BM3227" i="1"/>
  <c r="BL3227" i="1"/>
  <c r="BK3227" i="1"/>
  <c r="BJ3227" i="1"/>
  <c r="BI3227" i="1"/>
  <c r="BH3227" i="1"/>
  <c r="AS3227" i="1"/>
  <c r="AN3227" i="1"/>
  <c r="BP3226" i="1"/>
  <c r="BO3226" i="1"/>
  <c r="BN3226" i="1"/>
  <c r="BM3226" i="1"/>
  <c r="BL3226" i="1"/>
  <c r="BJ3226" i="1"/>
  <c r="BI3226" i="1"/>
  <c r="BH3226" i="1"/>
  <c r="X3226" i="1"/>
  <c r="BK3226" i="1" s="1"/>
  <c r="BP3225" i="1"/>
  <c r="BO3225" i="1"/>
  <c r="BN3225" i="1"/>
  <c r="BM3225" i="1"/>
  <c r="BL3225" i="1"/>
  <c r="BJ3225" i="1"/>
  <c r="BI3225" i="1"/>
  <c r="BH3225" i="1"/>
  <c r="X3225" i="1"/>
  <c r="BK3225" i="1" s="1"/>
  <c r="BP3224" i="1"/>
  <c r="BO3224" i="1"/>
  <c r="BN3224" i="1"/>
  <c r="BM3224" i="1"/>
  <c r="BL3224" i="1"/>
  <c r="BK3224" i="1"/>
  <c r="BJ3224" i="1"/>
  <c r="BI3224" i="1"/>
  <c r="BH3224" i="1"/>
  <c r="X3224" i="1"/>
  <c r="BP3223" i="1"/>
  <c r="BO3223" i="1"/>
  <c r="BN3223" i="1"/>
  <c r="BM3223" i="1"/>
  <c r="BL3223" i="1"/>
  <c r="BJ3223" i="1"/>
  <c r="BI3223" i="1"/>
  <c r="BH3223" i="1"/>
  <c r="X3223" i="1"/>
  <c r="BK3223" i="1" s="1"/>
  <c r="BP3222" i="1"/>
  <c r="BO3222" i="1"/>
  <c r="BN3222" i="1"/>
  <c r="BM3222" i="1"/>
  <c r="BL3222" i="1"/>
  <c r="BK3222" i="1"/>
  <c r="BJ3222" i="1"/>
  <c r="BI3222" i="1"/>
  <c r="BH3222" i="1"/>
  <c r="BP3221" i="1"/>
  <c r="BO3221" i="1"/>
  <c r="BN3221" i="1"/>
  <c r="BM3221" i="1"/>
  <c r="BL3221" i="1"/>
  <c r="BK3221" i="1"/>
  <c r="BJ3221" i="1"/>
  <c r="BI3221" i="1"/>
  <c r="BH3221" i="1"/>
  <c r="AB3221" i="1"/>
  <c r="BP3220" i="1"/>
  <c r="BO3220" i="1"/>
  <c r="BN3220" i="1"/>
  <c r="BM3220" i="1"/>
  <c r="BL3220" i="1"/>
  <c r="BK3220" i="1"/>
  <c r="BJ3220" i="1"/>
  <c r="BI3220" i="1"/>
  <c r="BH3220" i="1"/>
  <c r="BP3219" i="1"/>
  <c r="BO3219" i="1"/>
  <c r="BN3219" i="1"/>
  <c r="BM3219" i="1"/>
  <c r="BL3219" i="1"/>
  <c r="BK3219" i="1"/>
  <c r="BJ3219" i="1"/>
  <c r="BI3219" i="1"/>
  <c r="BH3219" i="1"/>
  <c r="BP3218" i="1"/>
  <c r="BO3218" i="1"/>
  <c r="BN3218" i="1"/>
  <c r="BM3218" i="1"/>
  <c r="BL3218" i="1"/>
  <c r="BK3218" i="1"/>
  <c r="BJ3218" i="1"/>
  <c r="BI3218" i="1"/>
  <c r="BH3218" i="1"/>
  <c r="AQ3218" i="1"/>
  <c r="BP3217" i="1"/>
  <c r="BO3217" i="1"/>
  <c r="BN3217" i="1"/>
  <c r="BM3217" i="1"/>
  <c r="BL3217" i="1"/>
  <c r="BK3217" i="1"/>
  <c r="BJ3217" i="1"/>
  <c r="BI3217" i="1"/>
  <c r="BH3217" i="1"/>
  <c r="BP3216" i="1"/>
  <c r="BO3216" i="1"/>
  <c r="BN3216" i="1"/>
  <c r="BM3216" i="1"/>
  <c r="BL3216" i="1"/>
  <c r="BK3216" i="1"/>
  <c r="BJ3216" i="1"/>
  <c r="BI3216" i="1"/>
  <c r="BH3216" i="1"/>
  <c r="BP3215" i="1"/>
  <c r="BO3215" i="1"/>
  <c r="BN3215" i="1"/>
  <c r="BM3215" i="1"/>
  <c r="BL3215" i="1"/>
  <c r="BK3215" i="1"/>
  <c r="BJ3215" i="1"/>
  <c r="BI3215" i="1"/>
  <c r="BH3215" i="1"/>
  <c r="BO3214" i="1"/>
  <c r="BN3214" i="1"/>
  <c r="BM3214" i="1"/>
  <c r="BL3214" i="1"/>
  <c r="BH3214" i="1"/>
  <c r="BG3214" i="1"/>
  <c r="BF3214" i="1"/>
  <c r="BP3214" i="1" s="1"/>
  <c r="AW3214" i="1"/>
  <c r="AT3214" i="1"/>
  <c r="U3214" i="1"/>
  <c r="BK3214" i="1" s="1"/>
  <c r="S3214" i="1"/>
  <c r="BJ3214" i="1" s="1"/>
  <c r="M3214" i="1"/>
  <c r="BI3214" i="1" s="1"/>
  <c r="G3214" i="1"/>
  <c r="C3214" i="1"/>
  <c r="BP3213" i="1"/>
  <c r="BO3213" i="1"/>
  <c r="BN3213" i="1"/>
  <c r="BM3213" i="1"/>
  <c r="BL3213" i="1"/>
  <c r="BK3213" i="1"/>
  <c r="BJ3213" i="1"/>
  <c r="BI3213" i="1"/>
  <c r="BH3213" i="1"/>
  <c r="V3213" i="1"/>
  <c r="BP3212" i="1"/>
  <c r="BO3212" i="1"/>
  <c r="BN3212" i="1"/>
  <c r="BM3212" i="1"/>
  <c r="BL3212" i="1"/>
  <c r="BK3212" i="1"/>
  <c r="BJ3212" i="1"/>
  <c r="BI3212" i="1"/>
  <c r="BH3212" i="1"/>
  <c r="BP3211" i="1"/>
  <c r="BO3211" i="1"/>
  <c r="BN3211" i="1"/>
  <c r="BM3211" i="1"/>
  <c r="BL3211" i="1"/>
  <c r="BK3211" i="1"/>
  <c r="BJ3211" i="1"/>
  <c r="BI3211" i="1"/>
  <c r="BH3211" i="1"/>
  <c r="BP3210" i="1"/>
  <c r="BO3210" i="1"/>
  <c r="BN3210" i="1"/>
  <c r="BM3210" i="1"/>
  <c r="BL3210" i="1"/>
  <c r="BK3210" i="1"/>
  <c r="BJ3210" i="1"/>
  <c r="BI3210" i="1"/>
  <c r="BH3210" i="1"/>
  <c r="AQ3210" i="1"/>
  <c r="AB3210" i="1"/>
  <c r="BP3209" i="1"/>
  <c r="BO3209" i="1"/>
  <c r="BN3209" i="1"/>
  <c r="BM3209" i="1"/>
  <c r="BL3209" i="1"/>
  <c r="BK3209" i="1"/>
  <c r="BJ3209" i="1"/>
  <c r="BI3209" i="1"/>
  <c r="BH3209" i="1"/>
  <c r="AA3209" i="1"/>
  <c r="BP3208" i="1"/>
  <c r="BO3208" i="1"/>
  <c r="BN3208" i="1"/>
  <c r="BM3208" i="1"/>
  <c r="BL3208" i="1"/>
  <c r="BK3208" i="1"/>
  <c r="BJ3208" i="1"/>
  <c r="BI3208" i="1"/>
  <c r="BH3208" i="1"/>
  <c r="AS3208" i="1"/>
  <c r="AN3208" i="1"/>
  <c r="BP3207" i="1"/>
  <c r="BO3207" i="1"/>
  <c r="BN3207" i="1"/>
  <c r="BM3207" i="1"/>
  <c r="BL3207" i="1"/>
  <c r="BK3207" i="1"/>
  <c r="BJ3207" i="1"/>
  <c r="BI3207" i="1"/>
  <c r="BH3207" i="1"/>
  <c r="AS3207" i="1"/>
  <c r="AN3207" i="1"/>
  <c r="BP3206" i="1"/>
  <c r="BO3206" i="1"/>
  <c r="BN3206" i="1"/>
  <c r="BL3206" i="1"/>
  <c r="BK3206" i="1"/>
  <c r="BJ3206" i="1"/>
  <c r="BI3206" i="1"/>
  <c r="BH3206" i="1"/>
  <c r="AR3206" i="1"/>
  <c r="AQ3206" i="1"/>
  <c r="P3206" i="1"/>
  <c r="BP3205" i="1"/>
  <c r="BO3205" i="1"/>
  <c r="BN3205" i="1"/>
  <c r="BM3205" i="1"/>
  <c r="BL3205" i="1"/>
  <c r="BK3205" i="1"/>
  <c r="BJ3205" i="1"/>
  <c r="BI3205" i="1"/>
  <c r="BH3205" i="1"/>
  <c r="BP3204" i="1"/>
  <c r="BO3204" i="1"/>
  <c r="BN3204" i="1"/>
  <c r="BL3204" i="1"/>
  <c r="BK3204" i="1"/>
  <c r="BJ3204" i="1"/>
  <c r="BI3204" i="1"/>
  <c r="BH3204" i="1"/>
  <c r="AR3204" i="1"/>
  <c r="AN3204" i="1"/>
  <c r="BP3203" i="1"/>
  <c r="BO3203" i="1"/>
  <c r="BN3203" i="1"/>
  <c r="BL3203" i="1"/>
  <c r="BK3203" i="1"/>
  <c r="BJ3203" i="1"/>
  <c r="BI3203" i="1"/>
  <c r="BH3203" i="1"/>
  <c r="AS3203" i="1"/>
  <c r="AN3203" i="1"/>
  <c r="BM3203" i="1" s="1"/>
  <c r="BP3202" i="1"/>
  <c r="BO3202" i="1"/>
  <c r="BN3202" i="1"/>
  <c r="BM3202" i="1"/>
  <c r="BL3202" i="1"/>
  <c r="BK3202" i="1"/>
  <c r="BJ3202" i="1"/>
  <c r="BI3202" i="1"/>
  <c r="BH3202" i="1"/>
  <c r="AS3202" i="1"/>
  <c r="AN3202" i="1"/>
  <c r="BP3201" i="1"/>
  <c r="BO3201" i="1"/>
  <c r="BN3201" i="1"/>
  <c r="BM3201" i="1"/>
  <c r="BL3201" i="1"/>
  <c r="BK3201" i="1"/>
  <c r="BJ3201" i="1"/>
  <c r="BI3201" i="1"/>
  <c r="BH3201" i="1"/>
  <c r="AB3201" i="1"/>
  <c r="BP3200" i="1"/>
  <c r="BO3200" i="1"/>
  <c r="BN3200" i="1"/>
  <c r="BM3200" i="1"/>
  <c r="BL3200" i="1"/>
  <c r="BK3200" i="1"/>
  <c r="BJ3200" i="1"/>
  <c r="BI3200" i="1"/>
  <c r="BH3200" i="1"/>
  <c r="AB3200" i="1"/>
  <c r="BP3199" i="1"/>
  <c r="BO3199" i="1"/>
  <c r="BN3199" i="1"/>
  <c r="BM3199" i="1"/>
  <c r="BL3199" i="1"/>
  <c r="BK3199" i="1"/>
  <c r="BJ3199" i="1"/>
  <c r="BI3199" i="1"/>
  <c r="BH3199" i="1"/>
  <c r="BP3198" i="1"/>
  <c r="BO3198" i="1"/>
  <c r="BN3198" i="1"/>
  <c r="BM3198" i="1"/>
  <c r="BL3198" i="1"/>
  <c r="BK3198" i="1"/>
  <c r="BJ3198" i="1"/>
  <c r="BI3198" i="1"/>
  <c r="BH3198" i="1"/>
  <c r="BP3197" i="1"/>
  <c r="BO3197" i="1"/>
  <c r="BN3197" i="1"/>
  <c r="BL3197" i="1"/>
  <c r="BK3197" i="1"/>
  <c r="BJ3197" i="1"/>
  <c r="BI3197" i="1"/>
  <c r="BH3197" i="1"/>
  <c r="AQ3197" i="1"/>
  <c r="BM3197" i="1" s="1"/>
  <c r="BP3196" i="1"/>
  <c r="BO3196" i="1"/>
  <c r="BN3196" i="1"/>
  <c r="BL3196" i="1"/>
  <c r="BK3196" i="1"/>
  <c r="BJ3196" i="1"/>
  <c r="BI3196" i="1"/>
  <c r="BH3196" i="1"/>
  <c r="AR3196" i="1"/>
  <c r="BM3196" i="1" s="1"/>
  <c r="AN3196" i="1"/>
  <c r="BP3195" i="1"/>
  <c r="BO3195" i="1"/>
  <c r="BN3195" i="1"/>
  <c r="BM3195" i="1"/>
  <c r="BL3195" i="1"/>
  <c r="BK3195" i="1"/>
  <c r="BJ3195" i="1"/>
  <c r="BI3195" i="1"/>
  <c r="BH3195" i="1"/>
  <c r="BP3194" i="1"/>
  <c r="BO3194" i="1"/>
  <c r="BN3194" i="1"/>
  <c r="BM3194" i="1"/>
  <c r="BL3194" i="1"/>
  <c r="BK3194" i="1"/>
  <c r="BJ3194" i="1"/>
  <c r="BI3194" i="1"/>
  <c r="BH3194" i="1"/>
  <c r="BP3193" i="1"/>
  <c r="BO3193" i="1"/>
  <c r="BN3193" i="1"/>
  <c r="BM3193" i="1"/>
  <c r="BL3193" i="1"/>
  <c r="BK3193" i="1"/>
  <c r="BJ3193" i="1"/>
  <c r="BI3193" i="1"/>
  <c r="BH3193" i="1"/>
  <c r="BP3192" i="1"/>
  <c r="BO3192" i="1"/>
  <c r="BN3192" i="1"/>
  <c r="BM3192" i="1"/>
  <c r="BL3192" i="1"/>
  <c r="BK3192" i="1"/>
  <c r="BJ3192" i="1"/>
  <c r="BI3192" i="1"/>
  <c r="BH3192" i="1"/>
  <c r="BE3192" i="1"/>
  <c r="BP3191" i="1"/>
  <c r="BO3191" i="1"/>
  <c r="BN3191" i="1"/>
  <c r="BM3191" i="1"/>
  <c r="BL3191" i="1"/>
  <c r="BK3191" i="1"/>
  <c r="BJ3191" i="1"/>
  <c r="BI3191" i="1"/>
  <c r="BH3191" i="1"/>
  <c r="BP3190" i="1"/>
  <c r="BO3190" i="1"/>
  <c r="BN3190" i="1"/>
  <c r="BM3190" i="1"/>
  <c r="BL3190" i="1"/>
  <c r="BK3190" i="1"/>
  <c r="BJ3190" i="1"/>
  <c r="BI3190" i="1"/>
  <c r="BH3190" i="1"/>
  <c r="BP3189" i="1"/>
  <c r="BO3189" i="1"/>
  <c r="BN3189" i="1"/>
  <c r="BM3189" i="1"/>
  <c r="BL3189" i="1"/>
  <c r="BK3189" i="1"/>
  <c r="BJ3189" i="1"/>
  <c r="BI3189" i="1"/>
  <c r="BH3189" i="1"/>
  <c r="BP3188" i="1"/>
  <c r="BO3188" i="1"/>
  <c r="BN3188" i="1"/>
  <c r="BM3188" i="1"/>
  <c r="BL3188" i="1"/>
  <c r="BK3188" i="1"/>
  <c r="BJ3188" i="1"/>
  <c r="BI3188" i="1"/>
  <c r="BH3188" i="1"/>
  <c r="V3188" i="1"/>
  <c r="BP3187" i="1"/>
  <c r="BO3187" i="1"/>
  <c r="BN3187" i="1"/>
  <c r="BM3187" i="1"/>
  <c r="BL3187" i="1"/>
  <c r="BK3187" i="1"/>
  <c r="BJ3187" i="1"/>
  <c r="BI3187" i="1"/>
  <c r="BH3187" i="1"/>
  <c r="BP3186" i="1"/>
  <c r="BO3186" i="1"/>
  <c r="BN3186" i="1"/>
  <c r="BM3186" i="1"/>
  <c r="BL3186" i="1"/>
  <c r="BK3186" i="1"/>
  <c r="BJ3186" i="1"/>
  <c r="BI3186" i="1"/>
  <c r="BH3186" i="1"/>
  <c r="X3186" i="1"/>
  <c r="BP3185" i="1"/>
  <c r="BO3185" i="1"/>
  <c r="BN3185" i="1"/>
  <c r="BM3185" i="1"/>
  <c r="BL3185" i="1"/>
  <c r="BK3185" i="1"/>
  <c r="BJ3185" i="1"/>
  <c r="BI3185" i="1"/>
  <c r="BH3185" i="1"/>
  <c r="BP3184" i="1"/>
  <c r="BO3184" i="1"/>
  <c r="BN3184" i="1"/>
  <c r="BL3184" i="1"/>
  <c r="BK3184" i="1"/>
  <c r="BJ3184" i="1"/>
  <c r="BI3184" i="1"/>
  <c r="BH3184" i="1"/>
  <c r="AR3184" i="1"/>
  <c r="AN3184" i="1"/>
  <c r="AI3184" i="1"/>
  <c r="BM3184" i="1" s="1"/>
  <c r="BP3183" i="1"/>
  <c r="BO3183" i="1"/>
  <c r="BN3183" i="1"/>
  <c r="BL3183" i="1"/>
  <c r="BK3183" i="1"/>
  <c r="BJ3183" i="1"/>
  <c r="BI3183" i="1"/>
  <c r="BH3183" i="1"/>
  <c r="AR3183" i="1"/>
  <c r="AN3183" i="1"/>
  <c r="BM3183" i="1" s="1"/>
  <c r="BP3182" i="1"/>
  <c r="BO3182" i="1"/>
  <c r="BN3182" i="1"/>
  <c r="BL3182" i="1"/>
  <c r="BK3182" i="1"/>
  <c r="BJ3182" i="1"/>
  <c r="BI3182" i="1"/>
  <c r="BH3182" i="1"/>
  <c r="AP3182" i="1"/>
  <c r="BM3182" i="1" s="1"/>
  <c r="BP3181" i="1"/>
  <c r="BO3181" i="1"/>
  <c r="BN3181" i="1"/>
  <c r="BM3181" i="1"/>
  <c r="BL3181" i="1"/>
  <c r="BK3181" i="1"/>
  <c r="BJ3181" i="1"/>
  <c r="BI3181" i="1"/>
  <c r="BH3181" i="1"/>
  <c r="BP3180" i="1"/>
  <c r="BO3180" i="1"/>
  <c r="BN3180" i="1"/>
  <c r="BM3180" i="1"/>
  <c r="BL3180" i="1"/>
  <c r="BK3180" i="1"/>
  <c r="BJ3180" i="1"/>
  <c r="BI3180" i="1"/>
  <c r="BH3180" i="1"/>
  <c r="AB3180" i="1"/>
  <c r="BP3179" i="1"/>
  <c r="BO3179" i="1"/>
  <c r="BN3179" i="1"/>
  <c r="BM3179" i="1"/>
  <c r="BL3179" i="1"/>
  <c r="BK3179" i="1"/>
  <c r="BJ3179" i="1"/>
  <c r="BI3179" i="1"/>
  <c r="BH3179" i="1"/>
  <c r="AQ3179" i="1"/>
  <c r="BP3178" i="1"/>
  <c r="BO3178" i="1"/>
  <c r="BN3178" i="1"/>
  <c r="BL3178" i="1"/>
  <c r="BK3178" i="1"/>
  <c r="BJ3178" i="1"/>
  <c r="BI3178" i="1"/>
  <c r="BH3178" i="1"/>
  <c r="AS3178" i="1"/>
  <c r="BM3178" i="1" s="1"/>
  <c r="AN3178" i="1"/>
  <c r="BP3177" i="1"/>
  <c r="BO3177" i="1"/>
  <c r="BN3177" i="1"/>
  <c r="BL3177" i="1"/>
  <c r="BK3177" i="1"/>
  <c r="BJ3177" i="1"/>
  <c r="BI3177" i="1"/>
  <c r="BH3177" i="1"/>
  <c r="AS3177" i="1"/>
  <c r="BM3177" i="1" s="1"/>
  <c r="BP3176" i="1"/>
  <c r="BO3176" i="1"/>
  <c r="BN3176" i="1"/>
  <c r="BL3176" i="1"/>
  <c r="BK3176" i="1"/>
  <c r="BJ3176" i="1"/>
  <c r="BI3176" i="1"/>
  <c r="BH3176" i="1"/>
  <c r="AR3176" i="1"/>
  <c r="AN3176" i="1"/>
  <c r="BM3176" i="1" s="1"/>
  <c r="BP3175" i="1"/>
  <c r="BO3175" i="1"/>
  <c r="BN3175" i="1"/>
  <c r="BL3175" i="1"/>
  <c r="BK3175" i="1"/>
  <c r="BJ3175" i="1"/>
  <c r="BI3175" i="1"/>
  <c r="BH3175" i="1"/>
  <c r="AR3175" i="1"/>
  <c r="AN3175" i="1"/>
  <c r="BM3175" i="1" s="1"/>
  <c r="BP3174" i="1"/>
  <c r="BO3174" i="1"/>
  <c r="BN3174" i="1"/>
  <c r="BL3174" i="1"/>
  <c r="BK3174" i="1"/>
  <c r="BJ3174" i="1"/>
  <c r="BI3174" i="1"/>
  <c r="BH3174" i="1"/>
  <c r="AP3174" i="1"/>
  <c r="BM3174" i="1" s="1"/>
  <c r="BP3173" i="1"/>
  <c r="BO3173" i="1"/>
  <c r="BN3173" i="1"/>
  <c r="BM3173" i="1"/>
  <c r="BL3173" i="1"/>
  <c r="BK3173" i="1"/>
  <c r="BJ3173" i="1"/>
  <c r="BI3173" i="1"/>
  <c r="BH3173" i="1"/>
  <c r="BP3172" i="1"/>
  <c r="BO3172" i="1"/>
  <c r="BN3172" i="1"/>
  <c r="BM3172" i="1"/>
  <c r="BL3172" i="1"/>
  <c r="BK3172" i="1"/>
  <c r="BJ3172" i="1"/>
  <c r="BI3172" i="1"/>
  <c r="BH3172" i="1"/>
  <c r="BE3172" i="1"/>
  <c r="BP3171" i="1"/>
  <c r="BO3171" i="1"/>
  <c r="BN3171" i="1"/>
  <c r="BL3171" i="1"/>
  <c r="BK3171" i="1"/>
  <c r="BJ3171" i="1"/>
  <c r="BI3171" i="1"/>
  <c r="BH3171" i="1"/>
  <c r="AQ3171" i="1"/>
  <c r="BM3171" i="1" s="1"/>
  <c r="BP3170" i="1"/>
  <c r="BO3170" i="1"/>
  <c r="BN3170" i="1"/>
  <c r="BM3170" i="1"/>
  <c r="BL3170" i="1"/>
  <c r="BK3170" i="1"/>
  <c r="BJ3170" i="1"/>
  <c r="BI3170" i="1"/>
  <c r="BH3170" i="1"/>
  <c r="BP3169" i="1"/>
  <c r="BO3169" i="1"/>
  <c r="BN3169" i="1"/>
  <c r="BM3169" i="1"/>
  <c r="BL3169" i="1"/>
  <c r="BK3169" i="1"/>
  <c r="BJ3169" i="1"/>
  <c r="BI3169" i="1"/>
  <c r="BH3169" i="1"/>
  <c r="BP3168" i="1"/>
  <c r="BO3168" i="1"/>
  <c r="BN3168" i="1"/>
  <c r="BM3168" i="1"/>
  <c r="BL3168" i="1"/>
  <c r="BK3168" i="1"/>
  <c r="BJ3168" i="1"/>
  <c r="BI3168" i="1"/>
  <c r="BH3168" i="1"/>
  <c r="V3168" i="1"/>
  <c r="BP3167" i="1"/>
  <c r="BO3167" i="1"/>
  <c r="BN3167" i="1"/>
  <c r="BM3167" i="1"/>
  <c r="BL3167" i="1"/>
  <c r="BK3167" i="1"/>
  <c r="BJ3167" i="1"/>
  <c r="BI3167" i="1"/>
  <c r="BH3167" i="1"/>
  <c r="BP3166" i="1"/>
  <c r="BO3166" i="1"/>
  <c r="BN3166" i="1"/>
  <c r="BM3166" i="1"/>
  <c r="BK3166" i="1"/>
  <c r="BJ3166" i="1"/>
  <c r="BI3166" i="1"/>
  <c r="BH3166" i="1"/>
  <c r="AA3166" i="1"/>
  <c r="BL3166" i="1" s="1"/>
  <c r="BP3165" i="1"/>
  <c r="BO3165" i="1"/>
  <c r="BN3165" i="1"/>
  <c r="BM3165" i="1"/>
  <c r="BL3165" i="1"/>
  <c r="BK3165" i="1"/>
  <c r="BJ3165" i="1"/>
  <c r="BI3165" i="1"/>
  <c r="BH3165" i="1"/>
  <c r="AR3165" i="1"/>
  <c r="AN3165" i="1"/>
  <c r="BP3164" i="1"/>
  <c r="BO3164" i="1"/>
  <c r="BN3164" i="1"/>
  <c r="BM3164" i="1"/>
  <c r="BL3164" i="1"/>
  <c r="BK3164" i="1"/>
  <c r="BJ3164" i="1"/>
  <c r="BI3164" i="1"/>
  <c r="BH3164" i="1"/>
  <c r="BP3163" i="1"/>
  <c r="BO3163" i="1"/>
  <c r="BN3163" i="1"/>
  <c r="BM3163" i="1"/>
  <c r="BL3163" i="1"/>
  <c r="BK3163" i="1"/>
  <c r="BJ3163" i="1"/>
  <c r="BI3163" i="1"/>
  <c r="BH3163" i="1"/>
  <c r="BP3162" i="1"/>
  <c r="BO3162" i="1"/>
  <c r="BN3162" i="1"/>
  <c r="BL3162" i="1"/>
  <c r="BK3162" i="1"/>
  <c r="BJ3162" i="1"/>
  <c r="BI3162" i="1"/>
  <c r="BH3162" i="1"/>
  <c r="AS3162" i="1"/>
  <c r="AN3162" i="1"/>
  <c r="BM3162" i="1" s="1"/>
  <c r="BP3161" i="1"/>
  <c r="BO3161" i="1"/>
  <c r="BN3161" i="1"/>
  <c r="BM3161" i="1"/>
  <c r="BL3161" i="1"/>
  <c r="BK3161" i="1"/>
  <c r="BJ3161" i="1"/>
  <c r="BI3161" i="1"/>
  <c r="BH3161" i="1"/>
  <c r="AS3161" i="1"/>
  <c r="AN3161" i="1"/>
  <c r="BP3160" i="1"/>
  <c r="BO3160" i="1"/>
  <c r="BN3160" i="1"/>
  <c r="BL3160" i="1"/>
  <c r="BK3160" i="1"/>
  <c r="BJ3160" i="1"/>
  <c r="BI3160" i="1"/>
  <c r="BH3160" i="1"/>
  <c r="AS3160" i="1"/>
  <c r="BM3160" i="1" s="1"/>
  <c r="AN3160" i="1"/>
  <c r="BP3159" i="1"/>
  <c r="BO3159" i="1"/>
  <c r="BN3159" i="1"/>
  <c r="BM3159" i="1"/>
  <c r="BL3159" i="1"/>
  <c r="BK3159" i="1"/>
  <c r="BJ3159" i="1"/>
  <c r="BI3159" i="1"/>
  <c r="BH3159" i="1"/>
  <c r="AS3159" i="1"/>
  <c r="BP3158" i="1"/>
  <c r="BO3158" i="1"/>
  <c r="BN3158" i="1"/>
  <c r="BM3158" i="1"/>
  <c r="BL3158" i="1"/>
  <c r="BK3158" i="1"/>
  <c r="BJ3158" i="1"/>
  <c r="BI3158" i="1"/>
  <c r="BH3158" i="1"/>
  <c r="AA3158" i="1"/>
  <c r="BP3157" i="1"/>
  <c r="BO3157" i="1"/>
  <c r="BN3157" i="1"/>
  <c r="BL3157" i="1"/>
  <c r="BK3157" i="1"/>
  <c r="BJ3157" i="1"/>
  <c r="BI3157" i="1"/>
  <c r="BH3157" i="1"/>
  <c r="AQ3157" i="1"/>
  <c r="BM3157" i="1" s="1"/>
  <c r="BP3156" i="1"/>
  <c r="BO3156" i="1"/>
  <c r="BN3156" i="1"/>
  <c r="BL3156" i="1"/>
  <c r="BK3156" i="1"/>
  <c r="BJ3156" i="1"/>
  <c r="BI3156" i="1"/>
  <c r="BH3156" i="1"/>
  <c r="AQ3156" i="1"/>
  <c r="BM3156" i="1" s="1"/>
  <c r="BP3155" i="1"/>
  <c r="BO3155" i="1"/>
  <c r="BN3155" i="1"/>
  <c r="BL3155" i="1"/>
  <c r="BG3155" i="1"/>
  <c r="AV3155" i="1"/>
  <c r="AT3155" i="1"/>
  <c r="AC3155" i="1"/>
  <c r="BM3155" i="1" s="1"/>
  <c r="U3155" i="1"/>
  <c r="BK3155" i="1" s="1"/>
  <c r="S3155" i="1"/>
  <c r="BJ3155" i="1" s="1"/>
  <c r="N3155" i="1"/>
  <c r="M3155" i="1"/>
  <c r="BI3155" i="1" s="1"/>
  <c r="C3155" i="1"/>
  <c r="BH3155" i="1" s="1"/>
  <c r="BP3154" i="1"/>
  <c r="BO3154" i="1"/>
  <c r="BN3154" i="1"/>
  <c r="BL3154" i="1"/>
  <c r="BK3154" i="1"/>
  <c r="BJ3154" i="1"/>
  <c r="BI3154" i="1"/>
  <c r="BH3154" i="1"/>
  <c r="AS3154" i="1"/>
  <c r="AN3154" i="1"/>
  <c r="BM3154" i="1" s="1"/>
  <c r="BP3153" i="1"/>
  <c r="BO3153" i="1"/>
  <c r="BN3153" i="1"/>
  <c r="BL3153" i="1"/>
  <c r="BK3153" i="1"/>
  <c r="BJ3153" i="1"/>
  <c r="BI3153" i="1"/>
  <c r="BH3153" i="1"/>
  <c r="AS3153" i="1"/>
  <c r="BM3153" i="1" s="1"/>
  <c r="BP3152" i="1"/>
  <c r="BO3152" i="1"/>
  <c r="BN3152" i="1"/>
  <c r="BM3152" i="1"/>
  <c r="BL3152" i="1"/>
  <c r="BK3152" i="1"/>
  <c r="BJ3152" i="1"/>
  <c r="BI3152" i="1"/>
  <c r="BH3152" i="1"/>
  <c r="BP3151" i="1"/>
  <c r="BO3151" i="1"/>
  <c r="BN3151" i="1"/>
  <c r="BM3151" i="1"/>
  <c r="BL3151" i="1"/>
  <c r="BK3151" i="1"/>
  <c r="BJ3151" i="1"/>
  <c r="BI3151" i="1"/>
  <c r="BH3151" i="1"/>
  <c r="AP3151" i="1"/>
  <c r="BP3150" i="1"/>
  <c r="BO3150" i="1"/>
  <c r="BN3150" i="1"/>
  <c r="BM3150" i="1"/>
  <c r="BL3150" i="1"/>
  <c r="BK3150" i="1"/>
  <c r="BJ3150" i="1"/>
  <c r="BI3150" i="1"/>
  <c r="BH3150" i="1"/>
  <c r="BP3149" i="1"/>
  <c r="BO3149" i="1"/>
  <c r="BN3149" i="1"/>
  <c r="BM3149" i="1"/>
  <c r="BL3149" i="1"/>
  <c r="BK3149" i="1"/>
  <c r="BJ3149" i="1"/>
  <c r="BI3149" i="1"/>
  <c r="BH3149" i="1"/>
  <c r="BP3148" i="1"/>
  <c r="BO3148" i="1"/>
  <c r="BN3148" i="1"/>
  <c r="BM3148" i="1"/>
  <c r="BL3148" i="1"/>
  <c r="BK3148" i="1"/>
  <c r="BJ3148" i="1"/>
  <c r="BI3148" i="1"/>
  <c r="BH3148" i="1"/>
  <c r="BE3148" i="1"/>
  <c r="BP3147" i="1"/>
  <c r="BO3147" i="1"/>
  <c r="BN3147" i="1"/>
  <c r="BM3147" i="1"/>
  <c r="BL3147" i="1"/>
  <c r="BK3147" i="1"/>
  <c r="BJ3147" i="1"/>
  <c r="BI3147" i="1"/>
  <c r="BH3147" i="1"/>
  <c r="BP3146" i="1"/>
  <c r="BO3146" i="1"/>
  <c r="BN3146" i="1"/>
  <c r="BM3146" i="1"/>
  <c r="BL3146" i="1"/>
  <c r="BK3146" i="1"/>
  <c r="BJ3146" i="1"/>
  <c r="BI3146" i="1"/>
  <c r="BH3146" i="1"/>
  <c r="BP3145" i="1"/>
  <c r="BO3145" i="1"/>
  <c r="BN3145" i="1"/>
  <c r="BM3145" i="1"/>
  <c r="BL3145" i="1"/>
  <c r="BK3145" i="1"/>
  <c r="BJ3145" i="1"/>
  <c r="BI3145" i="1"/>
  <c r="BH3145" i="1"/>
  <c r="BP3144" i="1"/>
  <c r="BO3144" i="1"/>
  <c r="BN3144" i="1"/>
  <c r="BM3144" i="1"/>
  <c r="BL3144" i="1"/>
  <c r="BJ3144" i="1"/>
  <c r="BI3144" i="1"/>
  <c r="BH3144" i="1"/>
  <c r="V3144" i="1"/>
  <c r="BK3144" i="1" s="1"/>
  <c r="BP3143" i="1"/>
  <c r="BO3143" i="1"/>
  <c r="BN3143" i="1"/>
  <c r="BM3143" i="1"/>
  <c r="BL3143" i="1"/>
  <c r="BK3143" i="1"/>
  <c r="BJ3143" i="1"/>
  <c r="BI3143" i="1"/>
  <c r="BH3143" i="1"/>
  <c r="BP3142" i="1"/>
  <c r="BO3142" i="1"/>
  <c r="BN3142" i="1"/>
  <c r="BL3142" i="1"/>
  <c r="BK3142" i="1"/>
  <c r="BJ3142" i="1"/>
  <c r="BI3142" i="1"/>
  <c r="BH3142" i="1"/>
  <c r="AR3142" i="1"/>
  <c r="AN3142" i="1"/>
  <c r="BM3142" i="1" s="1"/>
  <c r="BP3141" i="1"/>
  <c r="BO3141" i="1"/>
  <c r="BN3141" i="1"/>
  <c r="BM3141" i="1"/>
  <c r="BL3141" i="1"/>
  <c r="BK3141" i="1"/>
  <c r="BJ3141" i="1"/>
  <c r="BI3141" i="1"/>
  <c r="BH3141" i="1"/>
  <c r="AR3141" i="1"/>
  <c r="AN3141" i="1"/>
  <c r="BP3140" i="1"/>
  <c r="BO3140" i="1"/>
  <c r="BN3140" i="1"/>
  <c r="BM3140" i="1"/>
  <c r="BL3140" i="1"/>
  <c r="BK3140" i="1"/>
  <c r="BJ3140" i="1"/>
  <c r="BI3140" i="1"/>
  <c r="BH3140" i="1"/>
  <c r="BP3139" i="1"/>
  <c r="BO3139" i="1"/>
  <c r="BN3139" i="1"/>
  <c r="BM3139" i="1"/>
  <c r="BL3139" i="1"/>
  <c r="BK3139" i="1"/>
  <c r="BJ3139" i="1"/>
  <c r="BI3139" i="1"/>
  <c r="BH3139" i="1"/>
  <c r="BP3138" i="1"/>
  <c r="BO3138" i="1"/>
  <c r="BN3138" i="1"/>
  <c r="BL3138" i="1"/>
  <c r="BK3138" i="1"/>
  <c r="BJ3138" i="1"/>
  <c r="BI3138" i="1"/>
  <c r="BH3138" i="1"/>
  <c r="AQ3138" i="1"/>
  <c r="BM3138" i="1" s="1"/>
  <c r="BP3137" i="1"/>
  <c r="BO3137" i="1"/>
  <c r="BN3137" i="1"/>
  <c r="BM3137" i="1"/>
  <c r="BL3137" i="1"/>
  <c r="BK3137" i="1"/>
  <c r="BJ3137" i="1"/>
  <c r="BI3137" i="1"/>
  <c r="BH3137" i="1"/>
  <c r="BP3136" i="1"/>
  <c r="BO3136" i="1"/>
  <c r="BN3136" i="1"/>
  <c r="BM3136" i="1"/>
  <c r="BL3136" i="1"/>
  <c r="BK3136" i="1"/>
  <c r="BJ3136" i="1"/>
  <c r="BI3136" i="1"/>
  <c r="BH3136" i="1"/>
  <c r="AS3136" i="1"/>
  <c r="BP3135" i="1"/>
  <c r="BO3135" i="1"/>
  <c r="BN3135" i="1"/>
  <c r="BL3135" i="1"/>
  <c r="BK3135" i="1"/>
  <c r="BJ3135" i="1"/>
  <c r="BI3135" i="1"/>
  <c r="BH3135" i="1"/>
  <c r="AS3135" i="1"/>
  <c r="BM3135" i="1" s="1"/>
  <c r="AN3135" i="1"/>
  <c r="BP3134" i="1"/>
  <c r="BO3134" i="1"/>
  <c r="BN3134" i="1"/>
  <c r="BM3134" i="1"/>
  <c r="BL3134" i="1"/>
  <c r="BK3134" i="1"/>
  <c r="BJ3134" i="1"/>
  <c r="BI3134" i="1"/>
  <c r="AS3134" i="1"/>
  <c r="K3134" i="1"/>
  <c r="BH3134" i="1" s="1"/>
  <c r="BP3133" i="1"/>
  <c r="BO3133" i="1"/>
  <c r="BN3133" i="1"/>
  <c r="BM3133" i="1"/>
  <c r="BL3133" i="1"/>
  <c r="BK3133" i="1"/>
  <c r="BJ3133" i="1"/>
  <c r="BI3133" i="1"/>
  <c r="BH3133" i="1"/>
  <c r="BP3132" i="1"/>
  <c r="BO3132" i="1"/>
  <c r="BN3132" i="1"/>
  <c r="BM3132" i="1"/>
  <c r="BL3132" i="1"/>
  <c r="BK3132" i="1"/>
  <c r="BJ3132" i="1"/>
  <c r="BI3132" i="1"/>
  <c r="BH3132" i="1"/>
  <c r="BP3131" i="1"/>
  <c r="BO3131" i="1"/>
  <c r="BN3131" i="1"/>
  <c r="BM3131" i="1"/>
  <c r="BL3131" i="1"/>
  <c r="BK3131" i="1"/>
  <c r="BJ3131" i="1"/>
  <c r="BI3131" i="1"/>
  <c r="BH3131" i="1"/>
  <c r="AQ3131" i="1"/>
  <c r="BP3130" i="1"/>
  <c r="BO3130" i="1"/>
  <c r="BN3130" i="1"/>
  <c r="BM3130" i="1"/>
  <c r="BL3130" i="1"/>
  <c r="BK3130" i="1"/>
  <c r="BJ3130" i="1"/>
  <c r="BI3130" i="1"/>
  <c r="BH3130" i="1"/>
  <c r="BP3129" i="1"/>
  <c r="BO3129" i="1"/>
  <c r="BN3129" i="1"/>
  <c r="BM3129" i="1"/>
  <c r="BL3129" i="1"/>
  <c r="BJ3129" i="1"/>
  <c r="BI3129" i="1"/>
  <c r="BH3129" i="1"/>
  <c r="V3129" i="1"/>
  <c r="BK3129" i="1" s="1"/>
  <c r="BP3128" i="1"/>
  <c r="BO3128" i="1"/>
  <c r="BN3128" i="1"/>
  <c r="BM3128" i="1"/>
  <c r="BL3128" i="1"/>
  <c r="BK3128" i="1"/>
  <c r="BJ3128" i="1"/>
  <c r="BI3128" i="1"/>
  <c r="BH3128" i="1"/>
  <c r="BP3127" i="1"/>
  <c r="BO3127" i="1"/>
  <c r="BN3127" i="1"/>
  <c r="BL3127" i="1"/>
  <c r="BK3127" i="1"/>
  <c r="BJ3127" i="1"/>
  <c r="BI3127" i="1"/>
  <c r="BH3127" i="1"/>
  <c r="AR3127" i="1"/>
  <c r="BM3127" i="1" s="1"/>
  <c r="AN3127" i="1"/>
  <c r="BP3126" i="1"/>
  <c r="BO3126" i="1"/>
  <c r="BN3126" i="1"/>
  <c r="BL3126" i="1"/>
  <c r="BK3126" i="1"/>
  <c r="BJ3126" i="1"/>
  <c r="BI3126" i="1"/>
  <c r="BH3126" i="1"/>
  <c r="AR3126" i="1"/>
  <c r="AN3126" i="1"/>
  <c r="BM3126" i="1" s="1"/>
  <c r="BP3125" i="1"/>
  <c r="BO3125" i="1"/>
  <c r="BN3125" i="1"/>
  <c r="BL3125" i="1"/>
  <c r="BK3125" i="1"/>
  <c r="BJ3125" i="1"/>
  <c r="BI3125" i="1"/>
  <c r="BH3125" i="1"/>
  <c r="AS3125" i="1"/>
  <c r="AN3125" i="1"/>
  <c r="BM3125" i="1" s="1"/>
  <c r="BP3124" i="1"/>
  <c r="BO3124" i="1"/>
  <c r="BN3124" i="1"/>
  <c r="BM3124" i="1"/>
  <c r="BL3124" i="1"/>
  <c r="BK3124" i="1"/>
  <c r="BJ3124" i="1"/>
  <c r="BI3124" i="1"/>
  <c r="BH3124" i="1"/>
  <c r="BP3123" i="1"/>
  <c r="BO3123" i="1"/>
  <c r="BN3123" i="1"/>
  <c r="BM3123" i="1"/>
  <c r="BL3123" i="1"/>
  <c r="BJ3123" i="1"/>
  <c r="BI3123" i="1"/>
  <c r="BG3123" i="1"/>
  <c r="AT3123" i="1"/>
  <c r="AR3123" i="1"/>
  <c r="AN3123" i="1"/>
  <c r="AM3123" i="1"/>
  <c r="W3123" i="1"/>
  <c r="BK3123" i="1" s="1"/>
  <c r="S3123" i="1"/>
  <c r="N3123" i="1"/>
  <c r="I3123" i="1"/>
  <c r="D3123" i="1"/>
  <c r="BH3123" i="1" s="1"/>
  <c r="BP3122" i="1"/>
  <c r="BO3122" i="1"/>
  <c r="BN3122" i="1"/>
  <c r="BM3122" i="1"/>
  <c r="BL3122" i="1"/>
  <c r="BK3122" i="1"/>
  <c r="BJ3122" i="1"/>
  <c r="BI3122" i="1"/>
  <c r="BH3122" i="1"/>
  <c r="BP3121" i="1"/>
  <c r="BO3121" i="1"/>
  <c r="BN3121" i="1"/>
  <c r="BM3121" i="1"/>
  <c r="BL3121" i="1"/>
  <c r="BK3121" i="1"/>
  <c r="BJ3121" i="1"/>
  <c r="BI3121" i="1"/>
  <c r="BH3121" i="1"/>
  <c r="BP3120" i="1"/>
  <c r="BO3120" i="1"/>
  <c r="BN3120" i="1"/>
  <c r="BM3120" i="1"/>
  <c r="BL3120" i="1"/>
  <c r="BK3120" i="1"/>
  <c r="BJ3120" i="1"/>
  <c r="BI3120" i="1"/>
  <c r="BH3120" i="1"/>
  <c r="BP3119" i="1"/>
  <c r="BO3119" i="1"/>
  <c r="BN3119" i="1"/>
  <c r="BM3119" i="1"/>
  <c r="BL3119" i="1"/>
  <c r="BK3119" i="1"/>
  <c r="BJ3119" i="1"/>
  <c r="BI3119" i="1"/>
  <c r="BH3119" i="1"/>
  <c r="BP3118" i="1"/>
  <c r="BO3118" i="1"/>
  <c r="BN3118" i="1"/>
  <c r="BM3118" i="1"/>
  <c r="BL3118" i="1"/>
  <c r="BK3118" i="1"/>
  <c r="BJ3118" i="1"/>
  <c r="BI3118" i="1"/>
  <c r="BH3118" i="1"/>
  <c r="BP3117" i="1"/>
  <c r="BO3117" i="1"/>
  <c r="BN3117" i="1"/>
  <c r="BM3117" i="1"/>
  <c r="BL3117" i="1"/>
  <c r="BK3117" i="1"/>
  <c r="BJ3117" i="1"/>
  <c r="BI3117" i="1"/>
  <c r="BH3117" i="1"/>
  <c r="BE3117" i="1"/>
  <c r="BP3116" i="1"/>
  <c r="BO3116" i="1"/>
  <c r="BN3116" i="1"/>
  <c r="BM3116" i="1"/>
  <c r="BL3116" i="1"/>
  <c r="BK3116" i="1"/>
  <c r="BJ3116" i="1"/>
  <c r="BI3116" i="1"/>
  <c r="BH3116" i="1"/>
  <c r="AS3116" i="1"/>
  <c r="AN3116" i="1"/>
  <c r="BP3115" i="1"/>
  <c r="BO3115" i="1"/>
  <c r="BN3115" i="1"/>
  <c r="BM3115" i="1"/>
  <c r="BL3115" i="1"/>
  <c r="BK3115" i="1"/>
  <c r="BJ3115" i="1"/>
  <c r="BI3115" i="1"/>
  <c r="BH3115" i="1"/>
  <c r="AS3115" i="1"/>
  <c r="AN3115" i="1"/>
  <c r="BP3114" i="1"/>
  <c r="BO3114" i="1"/>
  <c r="BN3114" i="1"/>
  <c r="BM3114" i="1"/>
  <c r="BL3114" i="1"/>
  <c r="BK3114" i="1"/>
  <c r="BJ3114" i="1"/>
  <c r="BI3114" i="1"/>
  <c r="BH3114" i="1"/>
  <c r="AQ3114" i="1"/>
  <c r="BP3113" i="1"/>
  <c r="BO3113" i="1"/>
  <c r="BN3113" i="1"/>
  <c r="BM3113" i="1"/>
  <c r="BL3113" i="1"/>
  <c r="BK3113" i="1"/>
  <c r="BJ3113" i="1"/>
  <c r="BI3113" i="1"/>
  <c r="BH3113" i="1"/>
  <c r="X3113" i="1"/>
  <c r="BP3112" i="1"/>
  <c r="BO3112" i="1"/>
  <c r="BN3112" i="1"/>
  <c r="BM3112" i="1"/>
  <c r="BL3112" i="1"/>
  <c r="BK3112" i="1"/>
  <c r="BJ3112" i="1"/>
  <c r="BI3112" i="1"/>
  <c r="BH3112" i="1"/>
  <c r="BP3111" i="1"/>
  <c r="BO3111" i="1"/>
  <c r="BN3111" i="1"/>
  <c r="BM3111" i="1"/>
  <c r="BL3111" i="1"/>
  <c r="BJ3111" i="1"/>
  <c r="BI3111" i="1"/>
  <c r="BH3111" i="1"/>
  <c r="V3111" i="1"/>
  <c r="BK3111" i="1" s="1"/>
  <c r="BP3110" i="1"/>
  <c r="BO3110" i="1"/>
  <c r="BN3110" i="1"/>
  <c r="BM3110" i="1"/>
  <c r="BL3110" i="1"/>
  <c r="BK3110" i="1"/>
  <c r="BJ3110" i="1"/>
  <c r="BI3110" i="1"/>
  <c r="BH3110" i="1"/>
  <c r="BP3109" i="1"/>
  <c r="BO3109" i="1"/>
  <c r="BN3109" i="1"/>
  <c r="BM3109" i="1"/>
  <c r="BL3109" i="1"/>
  <c r="BK3109" i="1"/>
  <c r="BJ3109" i="1"/>
  <c r="BI3109" i="1"/>
  <c r="BH3109" i="1"/>
  <c r="AR3109" i="1"/>
  <c r="AN3109" i="1"/>
  <c r="BP3108" i="1"/>
  <c r="BO3108" i="1"/>
  <c r="BN3108" i="1"/>
  <c r="BL3108" i="1"/>
  <c r="BK3108" i="1"/>
  <c r="BJ3108" i="1"/>
  <c r="BI3108" i="1"/>
  <c r="BH3108" i="1"/>
  <c r="AR3108" i="1"/>
  <c r="AN3108" i="1"/>
  <c r="BP3107" i="1"/>
  <c r="BO3107" i="1"/>
  <c r="BN3107" i="1"/>
  <c r="BM3107" i="1"/>
  <c r="BK3107" i="1"/>
  <c r="BJ3107" i="1"/>
  <c r="BI3107" i="1"/>
  <c r="BH3107" i="1"/>
  <c r="AA3107" i="1"/>
  <c r="BL3107" i="1" s="1"/>
  <c r="BP3106" i="1"/>
  <c r="BO3106" i="1"/>
  <c r="BN3106" i="1"/>
  <c r="BL3106" i="1"/>
  <c r="BK3106" i="1"/>
  <c r="BJ3106" i="1"/>
  <c r="BI3106" i="1"/>
  <c r="BH3106" i="1"/>
  <c r="AS3106" i="1"/>
  <c r="BM3106" i="1" s="1"/>
  <c r="BP3105" i="1"/>
  <c r="BO3105" i="1"/>
  <c r="BN3105" i="1"/>
  <c r="BM3105" i="1"/>
  <c r="BL3105" i="1"/>
  <c r="BK3105" i="1"/>
  <c r="BJ3105" i="1"/>
  <c r="BI3105" i="1"/>
  <c r="BH3105" i="1"/>
  <c r="BE3105" i="1"/>
  <c r="BP3104" i="1"/>
  <c r="BO3104" i="1"/>
  <c r="BN3104" i="1"/>
  <c r="BM3104" i="1"/>
  <c r="BL3104" i="1"/>
  <c r="BK3104" i="1"/>
  <c r="BJ3104" i="1"/>
  <c r="BI3104" i="1"/>
  <c r="BH3104" i="1"/>
  <c r="BP3103" i="1"/>
  <c r="BO3103" i="1"/>
  <c r="BN3103" i="1"/>
  <c r="BM3103" i="1"/>
  <c r="BL3103" i="1"/>
  <c r="BK3103" i="1"/>
  <c r="BJ3103" i="1"/>
  <c r="BI3103" i="1"/>
  <c r="BH3103" i="1"/>
  <c r="AQ3103" i="1"/>
  <c r="BP3102" i="1"/>
  <c r="BO3102" i="1"/>
  <c r="BN3102" i="1"/>
  <c r="BM3102" i="1"/>
  <c r="BL3102" i="1"/>
  <c r="BK3102" i="1"/>
  <c r="BJ3102" i="1"/>
  <c r="BI3102" i="1"/>
  <c r="BH3102" i="1"/>
  <c r="BP3101" i="1"/>
  <c r="BO3101" i="1"/>
  <c r="BN3101" i="1"/>
  <c r="BM3101" i="1"/>
  <c r="BL3101" i="1"/>
  <c r="BK3101" i="1"/>
  <c r="BJ3101" i="1"/>
  <c r="BI3101" i="1"/>
  <c r="BH3101" i="1"/>
  <c r="BP3100" i="1"/>
  <c r="BO3100" i="1"/>
  <c r="BN3100" i="1"/>
  <c r="BM3100" i="1"/>
  <c r="BL3100" i="1"/>
  <c r="BK3100" i="1"/>
  <c r="BJ3100" i="1"/>
  <c r="BI3100" i="1"/>
  <c r="BH3100" i="1"/>
  <c r="AS3100" i="1"/>
  <c r="BP3099" i="1"/>
  <c r="BO3099" i="1"/>
  <c r="BN3099" i="1"/>
  <c r="BM3099" i="1"/>
  <c r="BL3099" i="1"/>
  <c r="BK3099" i="1"/>
  <c r="BJ3099" i="1"/>
  <c r="BI3099" i="1"/>
  <c r="BH3099" i="1"/>
  <c r="AR3099" i="1"/>
  <c r="AN3099" i="1"/>
  <c r="BP3098" i="1"/>
  <c r="BO3098" i="1"/>
  <c r="BN3098" i="1"/>
  <c r="BM3098" i="1"/>
  <c r="BL3098" i="1"/>
  <c r="BK3098" i="1"/>
  <c r="BJ3098" i="1"/>
  <c r="BI3098" i="1"/>
  <c r="BH3098" i="1"/>
  <c r="AR3098" i="1"/>
  <c r="AN3098" i="1"/>
  <c r="BP3097" i="1"/>
  <c r="BO3097" i="1"/>
  <c r="BN3097" i="1"/>
  <c r="BM3097" i="1"/>
  <c r="BL3097" i="1"/>
  <c r="BK3097" i="1"/>
  <c r="BJ3097" i="1"/>
  <c r="BI3097" i="1"/>
  <c r="BH3097" i="1"/>
  <c r="BP3096" i="1"/>
  <c r="BO3096" i="1"/>
  <c r="BN3096" i="1"/>
  <c r="BM3096" i="1"/>
  <c r="BL3096" i="1"/>
  <c r="BK3096" i="1"/>
  <c r="BJ3096" i="1"/>
  <c r="BI3096" i="1"/>
  <c r="BH3096" i="1"/>
  <c r="BP3095" i="1"/>
  <c r="BO3095" i="1"/>
  <c r="BN3095" i="1"/>
  <c r="BM3095" i="1"/>
  <c r="BL3095" i="1"/>
  <c r="BK3095" i="1"/>
  <c r="BJ3095" i="1"/>
  <c r="BI3095" i="1"/>
  <c r="BH3095" i="1"/>
  <c r="BP3094" i="1"/>
  <c r="BO3094" i="1"/>
  <c r="BN3094" i="1"/>
  <c r="BM3094" i="1"/>
  <c r="BL3094" i="1"/>
  <c r="BK3094" i="1"/>
  <c r="BH3094" i="1"/>
  <c r="BG3094" i="1"/>
  <c r="AV3094" i="1"/>
  <c r="AT3094" i="1"/>
  <c r="AC3094" i="1"/>
  <c r="U3094" i="1"/>
  <c r="S3094" i="1"/>
  <c r="BJ3094" i="1" s="1"/>
  <c r="N3094" i="1"/>
  <c r="M3094" i="1"/>
  <c r="BI3094" i="1" s="1"/>
  <c r="C3094" i="1"/>
  <c r="BP3093" i="1"/>
  <c r="BO3093" i="1"/>
  <c r="BN3093" i="1"/>
  <c r="BM3093" i="1"/>
  <c r="BL3093" i="1"/>
  <c r="BK3093" i="1"/>
  <c r="BJ3093" i="1"/>
  <c r="BI3093" i="1"/>
  <c r="BH3093" i="1"/>
  <c r="BP3092" i="1"/>
  <c r="BO3092" i="1"/>
  <c r="BN3092" i="1"/>
  <c r="BL3092" i="1"/>
  <c r="BK3092" i="1"/>
  <c r="BJ3092" i="1"/>
  <c r="BI3092" i="1"/>
  <c r="BH3092" i="1"/>
  <c r="AP3092" i="1"/>
  <c r="BM3092" i="1" s="1"/>
  <c r="BP3091" i="1"/>
  <c r="BO3091" i="1"/>
  <c r="BN3091" i="1"/>
  <c r="BM3091" i="1"/>
  <c r="BL3091" i="1"/>
  <c r="BK3091" i="1"/>
  <c r="BJ3091" i="1"/>
  <c r="BI3091" i="1"/>
  <c r="BH3091" i="1"/>
  <c r="BP3090" i="1"/>
  <c r="BO3090" i="1"/>
  <c r="BN3090" i="1"/>
  <c r="BM3090" i="1"/>
  <c r="BL3090" i="1"/>
  <c r="BK3090" i="1"/>
  <c r="BJ3090" i="1"/>
  <c r="BI3090" i="1"/>
  <c r="BH3090" i="1"/>
  <c r="AA3090" i="1"/>
  <c r="BP3089" i="1"/>
  <c r="BO3089" i="1"/>
  <c r="BN3089" i="1"/>
  <c r="BL3089" i="1"/>
  <c r="BK3089" i="1"/>
  <c r="BJ3089" i="1"/>
  <c r="BI3089" i="1"/>
  <c r="BH3089" i="1"/>
  <c r="AQ3089" i="1"/>
  <c r="BM3089" i="1" s="1"/>
  <c r="BP3088" i="1"/>
  <c r="BO3088" i="1"/>
  <c r="BN3088" i="1"/>
  <c r="BM3088" i="1"/>
  <c r="BL3088" i="1"/>
  <c r="BK3088" i="1"/>
  <c r="BJ3088" i="1"/>
  <c r="BI3088" i="1"/>
  <c r="BH3088" i="1"/>
  <c r="BP3087" i="1"/>
  <c r="BO3087" i="1"/>
  <c r="BN3087" i="1"/>
  <c r="BM3087" i="1"/>
  <c r="BL3087" i="1"/>
  <c r="BK3087" i="1"/>
  <c r="BJ3087" i="1"/>
  <c r="BI3087" i="1"/>
  <c r="BH3087" i="1"/>
  <c r="BP3086" i="1"/>
  <c r="BO3086" i="1"/>
  <c r="BN3086" i="1"/>
  <c r="BM3086" i="1"/>
  <c r="BL3086" i="1"/>
  <c r="BK3086" i="1"/>
  <c r="BJ3086" i="1"/>
  <c r="BI3086" i="1"/>
  <c r="BH3086" i="1"/>
  <c r="BP3085" i="1"/>
  <c r="BO3085" i="1"/>
  <c r="BN3085" i="1"/>
  <c r="BM3085" i="1"/>
  <c r="BL3085" i="1"/>
  <c r="BK3085" i="1"/>
  <c r="BJ3085" i="1"/>
  <c r="BI3085" i="1"/>
  <c r="BH3085" i="1"/>
  <c r="BP3084" i="1"/>
  <c r="BO3084" i="1"/>
  <c r="BN3084" i="1"/>
  <c r="BL3084" i="1"/>
  <c r="BK3084" i="1"/>
  <c r="BJ3084" i="1"/>
  <c r="BI3084" i="1"/>
  <c r="BH3084" i="1"/>
  <c r="AR3084" i="1"/>
  <c r="AN3084" i="1"/>
  <c r="BM3084" i="1" s="1"/>
  <c r="BP3083" i="1"/>
  <c r="BO3083" i="1"/>
  <c r="BN3083" i="1"/>
  <c r="BL3083" i="1"/>
  <c r="BK3083" i="1"/>
  <c r="BJ3083" i="1"/>
  <c r="BI3083" i="1"/>
  <c r="AR3083" i="1"/>
  <c r="BM3083" i="1" s="1"/>
  <c r="AH3083" i="1"/>
  <c r="K3083" i="1"/>
  <c r="BH3083" i="1" s="1"/>
  <c r="BP3082" i="1"/>
  <c r="BO3082" i="1"/>
  <c r="BN3082" i="1"/>
  <c r="BM3082" i="1"/>
  <c r="BL3082" i="1"/>
  <c r="BK3082" i="1"/>
  <c r="BJ3082" i="1"/>
  <c r="BI3082" i="1"/>
  <c r="BH3082" i="1"/>
  <c r="AS3082" i="1"/>
  <c r="AN3082" i="1"/>
  <c r="BP3081" i="1"/>
  <c r="BO3081" i="1"/>
  <c r="BN3081" i="1"/>
  <c r="BL3081" i="1"/>
  <c r="BK3081" i="1"/>
  <c r="BJ3081" i="1"/>
  <c r="BI3081" i="1"/>
  <c r="BH3081" i="1"/>
  <c r="AS3081" i="1"/>
  <c r="AN3081" i="1"/>
  <c r="BM3081" i="1" s="1"/>
  <c r="BP3080" i="1"/>
  <c r="BO3080" i="1"/>
  <c r="BN3080" i="1"/>
  <c r="BL3080" i="1"/>
  <c r="BK3080" i="1"/>
  <c r="BJ3080" i="1"/>
  <c r="BI3080" i="1"/>
  <c r="BH3080" i="1"/>
  <c r="AS3080" i="1"/>
  <c r="AN3080" i="1"/>
  <c r="BP3079" i="1"/>
  <c r="BO3079" i="1"/>
  <c r="BN3079" i="1"/>
  <c r="BL3079" i="1"/>
  <c r="BK3079" i="1"/>
  <c r="BJ3079" i="1"/>
  <c r="BI3079" i="1"/>
  <c r="BH3079" i="1"/>
  <c r="AS3079" i="1"/>
  <c r="AN3079" i="1"/>
  <c r="BP3078" i="1"/>
  <c r="BO3078" i="1"/>
  <c r="BN3078" i="1"/>
  <c r="BM3078" i="1"/>
  <c r="BL3078" i="1"/>
  <c r="BK3078" i="1"/>
  <c r="BJ3078" i="1"/>
  <c r="BI3078" i="1"/>
  <c r="BH3078" i="1"/>
  <c r="AS3078" i="1"/>
  <c r="AN3078" i="1"/>
  <c r="BP3077" i="1"/>
  <c r="BO3077" i="1"/>
  <c r="BN3077" i="1"/>
  <c r="BL3077" i="1"/>
  <c r="BK3077" i="1"/>
  <c r="BJ3077" i="1"/>
  <c r="BI3077" i="1"/>
  <c r="BH3077" i="1"/>
  <c r="AQ3077" i="1"/>
  <c r="BM3077" i="1" s="1"/>
  <c r="BP3076" i="1"/>
  <c r="BO3076" i="1"/>
  <c r="BN3076" i="1"/>
  <c r="BM3076" i="1"/>
  <c r="BL3076" i="1"/>
  <c r="BK3076" i="1"/>
  <c r="BJ3076" i="1"/>
  <c r="BI3076" i="1"/>
  <c r="BH3076" i="1"/>
  <c r="AA3076" i="1"/>
  <c r="BP3075" i="1"/>
  <c r="BO3075" i="1"/>
  <c r="BN3075" i="1"/>
  <c r="BM3075" i="1"/>
  <c r="BL3075" i="1"/>
  <c r="BK3075" i="1"/>
  <c r="BJ3075" i="1"/>
  <c r="BI3075" i="1"/>
  <c r="BH3075" i="1"/>
  <c r="BP3074" i="1"/>
  <c r="BO3074" i="1"/>
  <c r="BN3074" i="1"/>
  <c r="BM3074" i="1"/>
  <c r="BL3074" i="1"/>
  <c r="BK3074" i="1"/>
  <c r="BJ3074" i="1"/>
  <c r="BI3074" i="1"/>
  <c r="BH3074" i="1"/>
  <c r="BP3073" i="1"/>
  <c r="BO3073" i="1"/>
  <c r="BM3073" i="1"/>
  <c r="BL3073" i="1"/>
  <c r="BI3073" i="1"/>
  <c r="BG3073" i="1"/>
  <c r="AT3073" i="1"/>
  <c r="BN3073" i="1" s="1"/>
  <c r="AR3073" i="1"/>
  <c r="AN3073" i="1"/>
  <c r="AM3073" i="1"/>
  <c r="W3073" i="1"/>
  <c r="BK3073" i="1" s="1"/>
  <c r="S3073" i="1"/>
  <c r="BJ3073" i="1" s="1"/>
  <c r="N3073" i="1"/>
  <c r="I3073" i="1"/>
  <c r="F3073" i="1"/>
  <c r="D3073" i="1"/>
  <c r="BH3073" i="1" s="1"/>
  <c r="BP3072" i="1"/>
  <c r="BO3072" i="1"/>
  <c r="BM3072" i="1"/>
  <c r="BL3072" i="1"/>
  <c r="BG3072" i="1"/>
  <c r="AT3072" i="1"/>
  <c r="BN3072" i="1" s="1"/>
  <c r="AR3072" i="1"/>
  <c r="AN3072" i="1"/>
  <c r="AI3072" i="1"/>
  <c r="W3072" i="1"/>
  <c r="BK3072" i="1" s="1"/>
  <c r="S3072" i="1"/>
  <c r="BJ3072" i="1" s="1"/>
  <c r="N3072" i="1"/>
  <c r="BI3072" i="1" s="1"/>
  <c r="I3072" i="1"/>
  <c r="BH3072" i="1" s="1"/>
  <c r="BP3071" i="1"/>
  <c r="BO3071" i="1"/>
  <c r="BN3071" i="1"/>
  <c r="BM3071" i="1"/>
  <c r="BL3071" i="1"/>
  <c r="BK3071" i="1"/>
  <c r="BJ3071" i="1"/>
  <c r="BI3071" i="1"/>
  <c r="BH3071" i="1"/>
  <c r="BP3070" i="1"/>
  <c r="BO3070" i="1"/>
  <c r="BN3070" i="1"/>
  <c r="BM3070" i="1"/>
  <c r="BL3070" i="1"/>
  <c r="BK3070" i="1"/>
  <c r="BJ3070" i="1"/>
  <c r="BI3070" i="1"/>
  <c r="BH3070" i="1"/>
  <c r="BP3069" i="1"/>
  <c r="BO3069" i="1"/>
  <c r="BN3069" i="1"/>
  <c r="BM3069" i="1"/>
  <c r="BL3069" i="1"/>
  <c r="BK3069" i="1"/>
  <c r="BJ3069" i="1"/>
  <c r="BI3069" i="1"/>
  <c r="BH3069" i="1"/>
  <c r="AQ3069" i="1"/>
  <c r="BP3068" i="1"/>
  <c r="BO3068" i="1"/>
  <c r="BN3068" i="1"/>
  <c r="BM3068" i="1"/>
  <c r="BL3068" i="1"/>
  <c r="BK3068" i="1"/>
  <c r="BJ3068" i="1"/>
  <c r="BI3068" i="1"/>
  <c r="BH3068" i="1"/>
  <c r="BP3067" i="1"/>
  <c r="BO3067" i="1"/>
  <c r="BN3067" i="1"/>
  <c r="BM3067" i="1"/>
  <c r="BL3067" i="1"/>
  <c r="BK3067" i="1"/>
  <c r="BJ3067" i="1"/>
  <c r="BI3067" i="1"/>
  <c r="BH3067" i="1"/>
  <c r="AR3067" i="1"/>
  <c r="AN3067" i="1"/>
  <c r="BP3066" i="1"/>
  <c r="BO3066" i="1"/>
  <c r="BN3066" i="1"/>
  <c r="BL3066" i="1"/>
  <c r="BK3066" i="1"/>
  <c r="BJ3066" i="1"/>
  <c r="BI3066" i="1"/>
  <c r="BH3066" i="1"/>
  <c r="AR3066" i="1"/>
  <c r="AN3066" i="1"/>
  <c r="BP3065" i="1"/>
  <c r="BO3065" i="1"/>
  <c r="BN3065" i="1"/>
  <c r="BL3065" i="1"/>
  <c r="BK3065" i="1"/>
  <c r="BJ3065" i="1"/>
  <c r="BI3065" i="1"/>
  <c r="BH3065" i="1"/>
  <c r="AR3065" i="1"/>
  <c r="AN3065" i="1"/>
  <c r="BM3065" i="1" s="1"/>
  <c r="BP3064" i="1"/>
  <c r="BO3064" i="1"/>
  <c r="BN3064" i="1"/>
  <c r="BL3064" i="1"/>
  <c r="BK3064" i="1"/>
  <c r="BJ3064" i="1"/>
  <c r="BI3064" i="1"/>
  <c r="BH3064" i="1"/>
  <c r="AS3064" i="1"/>
  <c r="AN3064" i="1"/>
  <c r="BP3063" i="1"/>
  <c r="BO3063" i="1"/>
  <c r="BN3063" i="1"/>
  <c r="BM3063" i="1"/>
  <c r="BL3063" i="1"/>
  <c r="BK3063" i="1"/>
  <c r="BJ3063" i="1"/>
  <c r="BI3063" i="1"/>
  <c r="BH3063" i="1"/>
  <c r="AS3063" i="1"/>
  <c r="BP3062" i="1"/>
  <c r="BO3062" i="1"/>
  <c r="BN3062" i="1"/>
  <c r="BM3062" i="1"/>
  <c r="BL3062" i="1"/>
  <c r="BK3062" i="1"/>
  <c r="BJ3062" i="1"/>
  <c r="BI3062" i="1"/>
  <c r="BH3062" i="1"/>
  <c r="BP3061" i="1"/>
  <c r="BO3061" i="1"/>
  <c r="BN3061" i="1"/>
  <c r="BM3061" i="1"/>
  <c r="BL3061" i="1"/>
  <c r="BK3061" i="1"/>
  <c r="BJ3061" i="1"/>
  <c r="BI3061" i="1"/>
  <c r="BH3061" i="1"/>
  <c r="V3061" i="1"/>
  <c r="BP3060" i="1"/>
  <c r="BO3060" i="1"/>
  <c r="BN3060" i="1"/>
  <c r="BM3060" i="1"/>
  <c r="BL3060" i="1"/>
  <c r="BK3060" i="1"/>
  <c r="BJ3060" i="1"/>
  <c r="BI3060" i="1"/>
  <c r="BH3060" i="1"/>
  <c r="BP3059" i="1"/>
  <c r="BO3059" i="1"/>
  <c r="BN3059" i="1"/>
  <c r="BL3059" i="1"/>
  <c r="BK3059" i="1"/>
  <c r="BJ3059" i="1"/>
  <c r="BI3059" i="1"/>
  <c r="BH3059" i="1"/>
  <c r="AB3059" i="1"/>
  <c r="BM3059" i="1" s="1"/>
  <c r="BP3058" i="1"/>
  <c r="BO3058" i="1"/>
  <c r="BN3058" i="1"/>
  <c r="BM3058" i="1"/>
  <c r="BL3058" i="1"/>
  <c r="BK3058" i="1"/>
  <c r="BJ3058" i="1"/>
  <c r="BI3058" i="1"/>
  <c r="BH3058" i="1"/>
  <c r="AQ3058" i="1"/>
  <c r="AB3058" i="1"/>
  <c r="BP3057" i="1"/>
  <c r="BN3057" i="1"/>
  <c r="BM3057" i="1"/>
  <c r="BL3057" i="1"/>
  <c r="BK3057" i="1"/>
  <c r="BJ3057" i="1"/>
  <c r="BI3057" i="1"/>
  <c r="BH3057" i="1"/>
  <c r="BE3057" i="1"/>
  <c r="BO3057" i="1" s="1"/>
  <c r="BP3056" i="1"/>
  <c r="BO3056" i="1"/>
  <c r="BN3056" i="1"/>
  <c r="BM3056" i="1"/>
  <c r="BL3056" i="1"/>
  <c r="BK3056" i="1"/>
  <c r="BJ3056" i="1"/>
  <c r="BI3056" i="1"/>
  <c r="BH3056" i="1"/>
  <c r="BP3055" i="1"/>
  <c r="BO3055" i="1"/>
  <c r="BN3055" i="1"/>
  <c r="BM3055" i="1"/>
  <c r="BL3055" i="1"/>
  <c r="BK3055" i="1"/>
  <c r="BJ3055" i="1"/>
  <c r="BI3055" i="1"/>
  <c r="BH3055" i="1"/>
  <c r="BP3054" i="1"/>
  <c r="BO3054" i="1"/>
  <c r="BN3054" i="1"/>
  <c r="BM3054" i="1"/>
  <c r="BL3054" i="1"/>
  <c r="BK3054" i="1"/>
  <c r="BJ3054" i="1"/>
  <c r="BI3054" i="1"/>
  <c r="BH3054" i="1"/>
  <c r="BP3053" i="1"/>
  <c r="BO3053" i="1"/>
  <c r="BN3053" i="1"/>
  <c r="BM3053" i="1"/>
  <c r="BL3053" i="1"/>
  <c r="BK3053" i="1"/>
  <c r="BJ3053" i="1"/>
  <c r="BI3053" i="1"/>
  <c r="BH3053" i="1"/>
  <c r="AQ3053" i="1"/>
  <c r="BP3052" i="1"/>
  <c r="BO3052" i="1"/>
  <c r="BN3052" i="1"/>
  <c r="BM3052" i="1"/>
  <c r="BL3052" i="1"/>
  <c r="BK3052" i="1"/>
  <c r="BJ3052" i="1"/>
  <c r="BI3052" i="1"/>
  <c r="BH3052" i="1"/>
  <c r="BP3051" i="1"/>
  <c r="BO3051" i="1"/>
  <c r="BN3051" i="1"/>
  <c r="BL3051" i="1"/>
  <c r="BK3051" i="1"/>
  <c r="BJ3051" i="1"/>
  <c r="BI3051" i="1"/>
  <c r="BH3051" i="1"/>
  <c r="AR3051" i="1"/>
  <c r="BM3051" i="1" s="1"/>
  <c r="AN3051" i="1"/>
  <c r="BP3050" i="1"/>
  <c r="BO3050" i="1"/>
  <c r="BN3050" i="1"/>
  <c r="BL3050" i="1"/>
  <c r="BK3050" i="1"/>
  <c r="BJ3050" i="1"/>
  <c r="BI3050" i="1"/>
  <c r="BH3050" i="1"/>
  <c r="AS3050" i="1"/>
  <c r="BM3050" i="1" s="1"/>
  <c r="BP3049" i="1"/>
  <c r="BO3049" i="1"/>
  <c r="BN3049" i="1"/>
  <c r="BM3049" i="1"/>
  <c r="BL3049" i="1"/>
  <c r="BK3049" i="1"/>
  <c r="BJ3049" i="1"/>
  <c r="BI3049" i="1"/>
  <c r="BH3049" i="1"/>
  <c r="AA3049" i="1"/>
  <c r="BP3048" i="1"/>
  <c r="BO3048" i="1"/>
  <c r="BN3048" i="1"/>
  <c r="BM3048" i="1"/>
  <c r="BL3048" i="1"/>
  <c r="BK3048" i="1"/>
  <c r="BJ3048" i="1"/>
  <c r="BI3048" i="1"/>
  <c r="BH3048" i="1"/>
  <c r="BP3047" i="1"/>
  <c r="BO3047" i="1"/>
  <c r="BN3047" i="1"/>
  <c r="BM3047" i="1"/>
  <c r="BL3047" i="1"/>
  <c r="BK3047" i="1"/>
  <c r="BJ3047" i="1"/>
  <c r="BI3047" i="1"/>
  <c r="BH3047" i="1"/>
  <c r="BP3046" i="1"/>
  <c r="BO3046" i="1"/>
  <c r="BN3046" i="1"/>
  <c r="BM3046" i="1"/>
  <c r="BL3046" i="1"/>
  <c r="BK3046" i="1"/>
  <c r="BJ3046" i="1"/>
  <c r="BI3046" i="1"/>
  <c r="BH3046" i="1"/>
  <c r="BP3045" i="1"/>
  <c r="BO3045" i="1"/>
  <c r="BN3045" i="1"/>
  <c r="BM3045" i="1"/>
  <c r="BL3045" i="1"/>
  <c r="BK3045" i="1"/>
  <c r="BJ3045" i="1"/>
  <c r="BI3045" i="1"/>
  <c r="BH3045" i="1"/>
  <c r="BP3044" i="1"/>
  <c r="BO3044" i="1"/>
  <c r="BN3044" i="1"/>
  <c r="BL3044" i="1"/>
  <c r="BK3044" i="1"/>
  <c r="BJ3044" i="1"/>
  <c r="BI3044" i="1"/>
  <c r="BH3044" i="1"/>
  <c r="AP3044" i="1"/>
  <c r="BM3044" i="1" s="1"/>
  <c r="BP3043" i="1"/>
  <c r="BO3043" i="1"/>
  <c r="BN3043" i="1"/>
  <c r="BM3043" i="1"/>
  <c r="BL3043" i="1"/>
  <c r="BK3043" i="1"/>
  <c r="BJ3043" i="1"/>
  <c r="BI3043" i="1"/>
  <c r="BH3043" i="1"/>
  <c r="BP3042" i="1"/>
  <c r="BO3042" i="1"/>
  <c r="BN3042" i="1"/>
  <c r="BM3042" i="1"/>
  <c r="BL3042" i="1"/>
  <c r="BK3042" i="1"/>
  <c r="BJ3042" i="1"/>
  <c r="BI3042" i="1"/>
  <c r="BH3042" i="1"/>
  <c r="BP3041" i="1"/>
  <c r="BO3041" i="1"/>
  <c r="BN3041" i="1"/>
  <c r="BM3041" i="1"/>
  <c r="BL3041" i="1"/>
  <c r="BK3041" i="1"/>
  <c r="BJ3041" i="1"/>
  <c r="BI3041" i="1"/>
  <c r="BH3041" i="1"/>
  <c r="BP3040" i="1"/>
  <c r="BO3040" i="1"/>
  <c r="BN3040" i="1"/>
  <c r="BL3040" i="1"/>
  <c r="BK3040" i="1"/>
  <c r="BJ3040" i="1"/>
  <c r="BI3040" i="1"/>
  <c r="BH3040" i="1"/>
  <c r="AR3040" i="1"/>
  <c r="AN3040" i="1"/>
  <c r="BM3040" i="1" s="1"/>
  <c r="BP3039" i="1"/>
  <c r="BO3039" i="1"/>
  <c r="BN3039" i="1"/>
  <c r="BM3039" i="1"/>
  <c r="BL3039" i="1"/>
  <c r="BK3039" i="1"/>
  <c r="BJ3039" i="1"/>
  <c r="BI3039" i="1"/>
  <c r="BH3039" i="1"/>
  <c r="BP3038" i="1"/>
  <c r="BO3038" i="1"/>
  <c r="BN3038" i="1"/>
  <c r="BM3038" i="1"/>
  <c r="BL3038" i="1"/>
  <c r="BK3038" i="1"/>
  <c r="BJ3038" i="1"/>
  <c r="BI3038" i="1"/>
  <c r="BH3038" i="1"/>
  <c r="BP3037" i="1"/>
  <c r="BO3037" i="1"/>
  <c r="BN3037" i="1"/>
  <c r="BM3037" i="1"/>
  <c r="BK3037" i="1"/>
  <c r="BJ3037" i="1"/>
  <c r="BI3037" i="1"/>
  <c r="BH3037" i="1"/>
  <c r="AA3037" i="1"/>
  <c r="BL3037" i="1" s="1"/>
  <c r="BP3036" i="1"/>
  <c r="BO3036" i="1"/>
  <c r="BN3036" i="1"/>
  <c r="BM3036" i="1"/>
  <c r="BL3036" i="1"/>
  <c r="BK3036" i="1"/>
  <c r="BJ3036" i="1"/>
  <c r="BI3036" i="1"/>
  <c r="BH3036" i="1"/>
  <c r="AQ3036" i="1"/>
  <c r="BP3035" i="1"/>
  <c r="BO3035" i="1"/>
  <c r="BN3035" i="1"/>
  <c r="BM3035" i="1"/>
  <c r="BL3035" i="1"/>
  <c r="BK3035" i="1"/>
  <c r="BJ3035" i="1"/>
  <c r="BI3035" i="1"/>
  <c r="BH3035" i="1"/>
  <c r="BP3034" i="1"/>
  <c r="BL3034" i="1"/>
  <c r="BG3034" i="1"/>
  <c r="AX3034" i="1"/>
  <c r="BO3034" i="1" s="1"/>
  <c r="AT3034" i="1"/>
  <c r="BN3034" i="1" s="1"/>
  <c r="AC3034" i="1"/>
  <c r="BM3034" i="1" s="1"/>
  <c r="U3034" i="1"/>
  <c r="BK3034" i="1" s="1"/>
  <c r="S3034" i="1"/>
  <c r="BJ3034" i="1" s="1"/>
  <c r="M3034" i="1"/>
  <c r="BI3034" i="1" s="1"/>
  <c r="C3034" i="1"/>
  <c r="BH3034" i="1" s="1"/>
  <c r="BP3033" i="1"/>
  <c r="BO3033" i="1"/>
  <c r="BN3033" i="1"/>
  <c r="BL3033" i="1"/>
  <c r="BK3033" i="1"/>
  <c r="BJ3033" i="1"/>
  <c r="BI3033" i="1"/>
  <c r="BH3033" i="1"/>
  <c r="AR3033" i="1"/>
  <c r="AN3033" i="1"/>
  <c r="BM3033" i="1" s="1"/>
  <c r="BP3032" i="1"/>
  <c r="BO3032" i="1"/>
  <c r="BN3032" i="1"/>
  <c r="BL3032" i="1"/>
  <c r="BK3032" i="1"/>
  <c r="BJ3032" i="1"/>
  <c r="BI3032" i="1"/>
  <c r="BH3032" i="1"/>
  <c r="AR3032" i="1"/>
  <c r="AN3032" i="1"/>
  <c r="BP3031" i="1"/>
  <c r="BO3031" i="1"/>
  <c r="BN3031" i="1"/>
  <c r="BL3031" i="1"/>
  <c r="BK3031" i="1"/>
  <c r="BJ3031" i="1"/>
  <c r="BI3031" i="1"/>
  <c r="BH3031" i="1"/>
  <c r="AS3031" i="1"/>
  <c r="AN3031" i="1"/>
  <c r="BM3031" i="1" s="1"/>
  <c r="BP3030" i="1"/>
  <c r="BO3030" i="1"/>
  <c r="BN3030" i="1"/>
  <c r="BL3030" i="1"/>
  <c r="BK3030" i="1"/>
  <c r="BJ3030" i="1"/>
  <c r="BI3030" i="1"/>
  <c r="BH3030" i="1"/>
  <c r="AS3030" i="1"/>
  <c r="AN3030" i="1"/>
  <c r="BM3030" i="1" s="1"/>
  <c r="BP3029" i="1"/>
  <c r="BO3029" i="1"/>
  <c r="BN3029" i="1"/>
  <c r="BM3029" i="1"/>
  <c r="BL3029" i="1"/>
  <c r="BK3029" i="1"/>
  <c r="BJ3029" i="1"/>
  <c r="BI3029" i="1"/>
  <c r="BH3029" i="1"/>
  <c r="AS3029" i="1"/>
  <c r="BP3028" i="1"/>
  <c r="BO3028" i="1"/>
  <c r="BN3028" i="1"/>
  <c r="BM3028" i="1"/>
  <c r="BL3028" i="1"/>
  <c r="BK3028" i="1"/>
  <c r="BJ3028" i="1"/>
  <c r="BI3028" i="1"/>
  <c r="BH3028" i="1"/>
  <c r="BP3027" i="1"/>
  <c r="BO3027" i="1"/>
  <c r="BN3027" i="1"/>
  <c r="BM3027" i="1"/>
  <c r="BL3027" i="1"/>
  <c r="BK3027" i="1"/>
  <c r="BJ3027" i="1"/>
  <c r="BI3027" i="1"/>
  <c r="BH3027" i="1"/>
  <c r="BP3026" i="1"/>
  <c r="BO3026" i="1"/>
  <c r="BN3026" i="1"/>
  <c r="BM3026" i="1"/>
  <c r="BL3026" i="1"/>
  <c r="BK3026" i="1"/>
  <c r="BJ3026" i="1"/>
  <c r="BI3026" i="1"/>
  <c r="BH3026" i="1"/>
  <c r="BP3025" i="1"/>
  <c r="BO3025" i="1"/>
  <c r="BN3025" i="1"/>
  <c r="BM3025" i="1"/>
  <c r="BL3025" i="1"/>
  <c r="BK3025" i="1"/>
  <c r="BJ3025" i="1"/>
  <c r="BI3025" i="1"/>
  <c r="BH3025" i="1"/>
  <c r="BP3024" i="1"/>
  <c r="BO3024" i="1"/>
  <c r="BN3024" i="1"/>
  <c r="BM3024" i="1"/>
  <c r="BL3024" i="1"/>
  <c r="BK3024" i="1"/>
  <c r="BJ3024" i="1"/>
  <c r="BI3024" i="1"/>
  <c r="BH3024" i="1"/>
  <c r="AR3024" i="1"/>
  <c r="AN3024" i="1"/>
  <c r="AI3024" i="1"/>
  <c r="BP3023" i="1"/>
  <c r="BO3023" i="1"/>
  <c r="BN3023" i="1"/>
  <c r="BM3023" i="1"/>
  <c r="BL3023" i="1"/>
  <c r="BK3023" i="1"/>
  <c r="BJ3023" i="1"/>
  <c r="BI3023" i="1"/>
  <c r="BH3023" i="1"/>
  <c r="AR3023" i="1"/>
  <c r="AN3023" i="1"/>
  <c r="BP3022" i="1"/>
  <c r="BO3022" i="1"/>
  <c r="BN3022" i="1"/>
  <c r="BM3022" i="1"/>
  <c r="BL3022" i="1"/>
  <c r="BK3022" i="1"/>
  <c r="BJ3022" i="1"/>
  <c r="BI3022" i="1"/>
  <c r="BH3022" i="1"/>
  <c r="AP3022" i="1"/>
  <c r="BP3021" i="1"/>
  <c r="BO3021" i="1"/>
  <c r="BN3021" i="1"/>
  <c r="BM3021" i="1"/>
  <c r="BL3021" i="1"/>
  <c r="BK3021" i="1"/>
  <c r="BJ3021" i="1"/>
  <c r="BI3021" i="1"/>
  <c r="BH3021" i="1"/>
  <c r="BP3020" i="1"/>
  <c r="BO3020" i="1"/>
  <c r="BN3020" i="1"/>
  <c r="BM3020" i="1"/>
  <c r="BL3020" i="1"/>
  <c r="BK3020" i="1"/>
  <c r="BJ3020" i="1"/>
  <c r="BI3020" i="1"/>
  <c r="BH3020" i="1"/>
  <c r="BP3019" i="1"/>
  <c r="BO3019" i="1"/>
  <c r="BN3019" i="1"/>
  <c r="BM3019" i="1"/>
  <c r="BL3019" i="1"/>
  <c r="BK3019" i="1"/>
  <c r="BJ3019" i="1"/>
  <c r="BI3019" i="1"/>
  <c r="BH3019" i="1"/>
  <c r="BP3018" i="1"/>
  <c r="BO3018" i="1"/>
  <c r="BN3018" i="1"/>
  <c r="BM3018" i="1"/>
  <c r="BL3018" i="1"/>
  <c r="BK3018" i="1"/>
  <c r="BJ3018" i="1"/>
  <c r="BI3018" i="1"/>
  <c r="BH3018" i="1"/>
  <c r="AB3018" i="1"/>
  <c r="BP3017" i="1"/>
  <c r="BO3017" i="1"/>
  <c r="BN3017" i="1"/>
  <c r="BL3017" i="1"/>
  <c r="BK3017" i="1"/>
  <c r="BJ3017" i="1"/>
  <c r="BI3017" i="1"/>
  <c r="BH3017" i="1"/>
  <c r="AQ3017" i="1"/>
  <c r="BM3017" i="1" s="1"/>
  <c r="AB3017" i="1"/>
  <c r="BP3016" i="1"/>
  <c r="BO3016" i="1"/>
  <c r="BN3016" i="1"/>
  <c r="BM3016" i="1"/>
  <c r="BL3016" i="1"/>
  <c r="BK3016" i="1"/>
  <c r="BJ3016" i="1"/>
  <c r="BI3016" i="1"/>
  <c r="BH3016" i="1"/>
  <c r="BP3015" i="1"/>
  <c r="BO3015" i="1"/>
  <c r="BN3015" i="1"/>
  <c r="BM3015" i="1"/>
  <c r="BL3015" i="1"/>
  <c r="BK3015" i="1"/>
  <c r="BJ3015" i="1"/>
  <c r="BI3015" i="1"/>
  <c r="BH3015" i="1"/>
  <c r="BP3014" i="1"/>
  <c r="BO3014" i="1"/>
  <c r="BN3014" i="1"/>
  <c r="BM3014" i="1"/>
  <c r="BL3014" i="1"/>
  <c r="BK3014" i="1"/>
  <c r="BJ3014" i="1"/>
  <c r="BI3014" i="1"/>
  <c r="BH3014" i="1"/>
  <c r="AA3014" i="1"/>
  <c r="BP3013" i="1"/>
  <c r="BO3013" i="1"/>
  <c r="BN3013" i="1"/>
  <c r="BM3013" i="1"/>
  <c r="BL3013" i="1"/>
  <c r="BG3013" i="1"/>
  <c r="AT3013" i="1"/>
  <c r="AR3013" i="1"/>
  <c r="AN3013" i="1"/>
  <c r="AM3013" i="1"/>
  <c r="W3013" i="1"/>
  <c r="BK3013" i="1" s="1"/>
  <c r="S3013" i="1"/>
  <c r="BJ3013" i="1" s="1"/>
  <c r="N3013" i="1"/>
  <c r="BI3013" i="1" s="1"/>
  <c r="I3013" i="1"/>
  <c r="D3013" i="1"/>
  <c r="BH3013" i="1" s="1"/>
  <c r="BP3012" i="1"/>
  <c r="BO3012" i="1"/>
  <c r="BN3012" i="1"/>
  <c r="BL3012" i="1"/>
  <c r="BK3012" i="1"/>
  <c r="BJ3012" i="1"/>
  <c r="BI3012" i="1"/>
  <c r="BH3012" i="1"/>
  <c r="AR3012" i="1"/>
  <c r="BM3012" i="1" s="1"/>
  <c r="AN3012" i="1"/>
  <c r="BP3011" i="1"/>
  <c r="BO3011" i="1"/>
  <c r="BN3011" i="1"/>
  <c r="BL3011" i="1"/>
  <c r="BK3011" i="1"/>
  <c r="BJ3011" i="1"/>
  <c r="BI3011" i="1"/>
  <c r="BH3011" i="1"/>
  <c r="AR3011" i="1"/>
  <c r="AN3011" i="1"/>
  <c r="BM3011" i="1" s="1"/>
  <c r="BP3010" i="1"/>
  <c r="BO3010" i="1"/>
  <c r="BN3010" i="1"/>
  <c r="BL3010" i="1"/>
  <c r="BK3010" i="1"/>
  <c r="BJ3010" i="1"/>
  <c r="BI3010" i="1"/>
  <c r="BH3010" i="1"/>
  <c r="AS3010" i="1"/>
  <c r="BM3010" i="1" s="1"/>
  <c r="BP3009" i="1"/>
  <c r="BO3009" i="1"/>
  <c r="BN3009" i="1"/>
  <c r="BL3009" i="1"/>
  <c r="BK3009" i="1"/>
  <c r="BJ3009" i="1"/>
  <c r="BI3009" i="1"/>
  <c r="BH3009" i="1"/>
  <c r="AS3009" i="1"/>
  <c r="BM3009" i="1" s="1"/>
  <c r="BP3008" i="1"/>
  <c r="BO3008" i="1"/>
  <c r="BN3008" i="1"/>
  <c r="BM3008" i="1"/>
  <c r="BL3008" i="1"/>
  <c r="BK3008" i="1"/>
  <c r="BJ3008" i="1"/>
  <c r="BI3008" i="1"/>
  <c r="BH3008" i="1"/>
  <c r="BP3007" i="1"/>
  <c r="BO3007" i="1"/>
  <c r="BN3007" i="1"/>
  <c r="BM3007" i="1"/>
  <c r="BL3007" i="1"/>
  <c r="BJ3007" i="1"/>
  <c r="BI3007" i="1"/>
  <c r="BH3007" i="1"/>
  <c r="V3007" i="1"/>
  <c r="BK3007" i="1" s="1"/>
  <c r="BP3006" i="1"/>
  <c r="BO3006" i="1"/>
  <c r="BN3006" i="1"/>
  <c r="BM3006" i="1"/>
  <c r="BL3006" i="1"/>
  <c r="BK3006" i="1"/>
  <c r="BJ3006" i="1"/>
  <c r="BI3006" i="1"/>
  <c r="BH3006" i="1"/>
  <c r="BP3005" i="1"/>
  <c r="BO3005" i="1"/>
  <c r="BN3005" i="1"/>
  <c r="BM3005" i="1"/>
  <c r="BL3005" i="1"/>
  <c r="BK3005" i="1"/>
  <c r="BJ3005" i="1"/>
  <c r="BI3005" i="1"/>
  <c r="BH3005" i="1"/>
  <c r="BP3004" i="1"/>
  <c r="BO3004" i="1"/>
  <c r="BN3004" i="1"/>
  <c r="BM3004" i="1"/>
  <c r="BL3004" i="1"/>
  <c r="BK3004" i="1"/>
  <c r="BJ3004" i="1"/>
  <c r="BI3004" i="1"/>
  <c r="BH3004" i="1"/>
  <c r="BP3003" i="1"/>
  <c r="BO3003" i="1"/>
  <c r="BN3003" i="1"/>
  <c r="BM3003" i="1"/>
  <c r="BL3003" i="1"/>
  <c r="BK3003" i="1"/>
  <c r="BJ3003" i="1"/>
  <c r="BI3003" i="1"/>
  <c r="BH3003" i="1"/>
  <c r="BP3002" i="1"/>
  <c r="BO3002" i="1"/>
  <c r="BN3002" i="1"/>
  <c r="BM3002" i="1"/>
  <c r="BL3002" i="1"/>
  <c r="BK3002" i="1"/>
  <c r="BJ3002" i="1"/>
  <c r="BI3002" i="1"/>
  <c r="BH3002" i="1"/>
  <c r="BP3001" i="1"/>
  <c r="BO3001" i="1"/>
  <c r="BN3001" i="1"/>
  <c r="BL3001" i="1"/>
  <c r="BK3001" i="1"/>
  <c r="BJ3001" i="1"/>
  <c r="BI3001" i="1"/>
  <c r="BH3001" i="1"/>
  <c r="AB3001" i="1"/>
  <c r="BM3001" i="1" s="1"/>
  <c r="BP3000" i="1"/>
  <c r="BO3000" i="1"/>
  <c r="BN3000" i="1"/>
  <c r="BL3000" i="1"/>
  <c r="BK3000" i="1"/>
  <c r="BJ3000" i="1"/>
  <c r="BI3000" i="1"/>
  <c r="BH3000" i="1"/>
  <c r="AR3000" i="1"/>
  <c r="AN3000" i="1"/>
  <c r="BM3000" i="1" s="1"/>
  <c r="BP2999" i="1"/>
  <c r="BO2999" i="1"/>
  <c r="BN2999" i="1"/>
  <c r="BM2999" i="1"/>
  <c r="BL2999" i="1"/>
  <c r="BK2999" i="1"/>
  <c r="BJ2999" i="1"/>
  <c r="BI2999" i="1"/>
  <c r="BH2999" i="1"/>
  <c r="BP2998" i="1"/>
  <c r="BO2998" i="1"/>
  <c r="BN2998" i="1"/>
  <c r="BM2998" i="1"/>
  <c r="BL2998" i="1"/>
  <c r="BK2998" i="1"/>
  <c r="BJ2998" i="1"/>
  <c r="BI2998" i="1"/>
  <c r="BH2998" i="1"/>
  <c r="AB2998" i="1"/>
  <c r="BP2997" i="1"/>
  <c r="BO2997" i="1"/>
  <c r="BN2997" i="1"/>
  <c r="BM2997" i="1"/>
  <c r="BL2997" i="1"/>
  <c r="BK2997" i="1"/>
  <c r="BJ2997" i="1"/>
  <c r="BI2997" i="1"/>
  <c r="BH2997" i="1"/>
  <c r="BP2996" i="1"/>
  <c r="BO2996" i="1"/>
  <c r="BN2996" i="1"/>
  <c r="BL2996" i="1"/>
  <c r="BK2996" i="1"/>
  <c r="BJ2996" i="1"/>
  <c r="BI2996" i="1"/>
  <c r="BH2996" i="1"/>
  <c r="AR2996" i="1"/>
  <c r="AN2996" i="1"/>
  <c r="BP2995" i="1"/>
  <c r="BO2995" i="1"/>
  <c r="BN2995" i="1"/>
  <c r="BL2995" i="1"/>
  <c r="BK2995" i="1"/>
  <c r="BJ2995" i="1"/>
  <c r="BI2995" i="1"/>
  <c r="BH2995" i="1"/>
  <c r="AR2995" i="1"/>
  <c r="AN2995" i="1"/>
  <c r="BM2995" i="1" s="1"/>
  <c r="BP2994" i="1"/>
  <c r="BO2994" i="1"/>
  <c r="BN2994" i="1"/>
  <c r="BL2994" i="1"/>
  <c r="BK2994" i="1"/>
  <c r="BJ2994" i="1"/>
  <c r="BI2994" i="1"/>
  <c r="BH2994" i="1"/>
  <c r="AS2994" i="1"/>
  <c r="BM2994" i="1" s="1"/>
  <c r="BP2993" i="1"/>
  <c r="BO2993" i="1"/>
  <c r="BN2993" i="1"/>
  <c r="BL2993" i="1"/>
  <c r="BK2993" i="1"/>
  <c r="BJ2993" i="1"/>
  <c r="BI2993" i="1"/>
  <c r="BH2993" i="1"/>
  <c r="AS2993" i="1"/>
  <c r="AN2993" i="1"/>
  <c r="BM2993" i="1" s="1"/>
  <c r="BP2992" i="1"/>
  <c r="BO2992" i="1"/>
  <c r="BN2992" i="1"/>
  <c r="BM2992" i="1"/>
  <c r="BL2992" i="1"/>
  <c r="BK2992" i="1"/>
  <c r="BJ2992" i="1"/>
  <c r="BI2992" i="1"/>
  <c r="BH2992" i="1"/>
  <c r="AS2992" i="1"/>
  <c r="AN2992" i="1"/>
  <c r="BP2991" i="1"/>
  <c r="BO2991" i="1"/>
  <c r="BN2991" i="1"/>
  <c r="BM2991" i="1"/>
  <c r="BL2991" i="1"/>
  <c r="BK2991" i="1"/>
  <c r="BJ2991" i="1"/>
  <c r="BI2991" i="1"/>
  <c r="BH2991" i="1"/>
  <c r="AQ2991" i="1"/>
  <c r="BP2990" i="1"/>
  <c r="BO2990" i="1"/>
  <c r="BN2990" i="1"/>
  <c r="BM2990" i="1"/>
  <c r="BL2990" i="1"/>
  <c r="BK2990" i="1"/>
  <c r="BJ2990" i="1"/>
  <c r="BI2990" i="1"/>
  <c r="BH2990" i="1"/>
  <c r="AQ2990" i="1"/>
  <c r="BP2989" i="1"/>
  <c r="BO2989" i="1"/>
  <c r="BN2989" i="1"/>
  <c r="BM2989" i="1"/>
  <c r="BL2989" i="1"/>
  <c r="BK2989" i="1"/>
  <c r="BJ2989" i="1"/>
  <c r="BI2989" i="1"/>
  <c r="BH2989" i="1"/>
  <c r="BP2988" i="1"/>
  <c r="BO2988" i="1"/>
  <c r="BN2988" i="1"/>
  <c r="BM2988" i="1"/>
  <c r="BL2988" i="1"/>
  <c r="BK2988" i="1"/>
  <c r="BJ2988" i="1"/>
  <c r="BI2988" i="1"/>
  <c r="BH2988" i="1"/>
  <c r="BP2987" i="1"/>
  <c r="BO2987" i="1"/>
  <c r="BN2987" i="1"/>
  <c r="BL2987" i="1"/>
  <c r="BK2987" i="1"/>
  <c r="BJ2987" i="1"/>
  <c r="BI2987" i="1"/>
  <c r="BH2987" i="1"/>
  <c r="AQ2987" i="1"/>
  <c r="BM2987" i="1" s="1"/>
  <c r="BP2986" i="1"/>
  <c r="BO2986" i="1"/>
  <c r="BN2986" i="1"/>
  <c r="BM2986" i="1"/>
  <c r="BL2986" i="1"/>
  <c r="BK2986" i="1"/>
  <c r="BJ2986" i="1"/>
  <c r="BI2986" i="1"/>
  <c r="BH2986" i="1"/>
  <c r="BP2985" i="1"/>
  <c r="BO2985" i="1"/>
  <c r="BN2985" i="1"/>
  <c r="BM2985" i="1"/>
  <c r="BL2985" i="1"/>
  <c r="BK2985" i="1"/>
  <c r="BJ2985" i="1"/>
  <c r="BI2985" i="1"/>
  <c r="BH2985" i="1"/>
  <c r="BP2984" i="1"/>
  <c r="BO2984" i="1"/>
  <c r="BN2984" i="1"/>
  <c r="BL2984" i="1"/>
  <c r="BK2984" i="1"/>
  <c r="BJ2984" i="1"/>
  <c r="BI2984" i="1"/>
  <c r="BH2984" i="1"/>
  <c r="AR2984" i="1"/>
  <c r="AN2984" i="1"/>
  <c r="BM2984" i="1" s="1"/>
  <c r="BP2983" i="1"/>
  <c r="BO2983" i="1"/>
  <c r="BN2983" i="1"/>
  <c r="BL2983" i="1"/>
  <c r="BK2983" i="1"/>
  <c r="BJ2983" i="1"/>
  <c r="BI2983" i="1"/>
  <c r="BH2983" i="1"/>
  <c r="AR2983" i="1"/>
  <c r="AN2983" i="1"/>
  <c r="BM2983" i="1" s="1"/>
  <c r="BP2982" i="1"/>
  <c r="BO2982" i="1"/>
  <c r="BN2982" i="1"/>
  <c r="BM2982" i="1"/>
  <c r="BL2982" i="1"/>
  <c r="BG2982" i="1"/>
  <c r="BF2982" i="1"/>
  <c r="AT2982" i="1"/>
  <c r="AS2982" i="1"/>
  <c r="AM2982" i="1"/>
  <c r="W2982" i="1"/>
  <c r="BK2982" i="1" s="1"/>
  <c r="S2982" i="1"/>
  <c r="BJ2982" i="1" s="1"/>
  <c r="N2982" i="1"/>
  <c r="BI2982" i="1" s="1"/>
  <c r="K2982" i="1"/>
  <c r="BH2982" i="1" s="1"/>
  <c r="I2982" i="1"/>
  <c r="F2982" i="1"/>
  <c r="BP2981" i="1"/>
  <c r="BO2981" i="1"/>
  <c r="BM2981" i="1"/>
  <c r="BL2981" i="1"/>
  <c r="BJ2981" i="1"/>
  <c r="BH2981" i="1"/>
  <c r="BG2981" i="1"/>
  <c r="AU2981" i="1"/>
  <c r="BN2981" i="1" s="1"/>
  <c r="AR2981" i="1"/>
  <c r="AH2981" i="1"/>
  <c r="W2981" i="1"/>
  <c r="BK2981" i="1" s="1"/>
  <c r="N2981" i="1"/>
  <c r="BI2981" i="1" s="1"/>
  <c r="K2981" i="1"/>
  <c r="I2981" i="1"/>
  <c r="F2981" i="1"/>
  <c r="BP2980" i="1"/>
  <c r="BO2980" i="1"/>
  <c r="BN2980" i="1"/>
  <c r="BM2980" i="1"/>
  <c r="BL2980" i="1"/>
  <c r="BK2980" i="1"/>
  <c r="BJ2980" i="1"/>
  <c r="BI2980" i="1"/>
  <c r="BH2980" i="1"/>
  <c r="AS2980" i="1"/>
  <c r="AN2980" i="1"/>
  <c r="BP2979" i="1"/>
  <c r="BO2979" i="1"/>
  <c r="BN2979" i="1"/>
  <c r="BL2979" i="1"/>
  <c r="BK2979" i="1"/>
  <c r="BJ2979" i="1"/>
  <c r="BI2979" i="1"/>
  <c r="BH2979" i="1"/>
  <c r="AS2979" i="1"/>
  <c r="BM2979" i="1" s="1"/>
  <c r="BP2978" i="1"/>
  <c r="BO2978" i="1"/>
  <c r="BN2978" i="1"/>
  <c r="BM2978" i="1"/>
  <c r="BL2978" i="1"/>
  <c r="BK2978" i="1"/>
  <c r="BJ2978" i="1"/>
  <c r="BI2978" i="1"/>
  <c r="BH2978" i="1"/>
  <c r="AR2978" i="1"/>
  <c r="AN2978" i="1"/>
  <c r="BP2977" i="1"/>
  <c r="BO2977" i="1"/>
  <c r="BN2977" i="1"/>
  <c r="BM2977" i="1"/>
  <c r="BL2977" i="1"/>
  <c r="BK2977" i="1"/>
  <c r="BJ2977" i="1"/>
  <c r="BI2977" i="1"/>
  <c r="BH2977" i="1"/>
  <c r="BP2976" i="1"/>
  <c r="BO2976" i="1"/>
  <c r="BN2976" i="1"/>
  <c r="BM2976" i="1"/>
  <c r="BL2976" i="1"/>
  <c r="BK2976" i="1"/>
  <c r="BJ2976" i="1"/>
  <c r="BI2976" i="1"/>
  <c r="BH2976" i="1"/>
  <c r="BP2975" i="1"/>
  <c r="BO2975" i="1"/>
  <c r="BN2975" i="1"/>
  <c r="BM2975" i="1"/>
  <c r="BL2975" i="1"/>
  <c r="BK2975" i="1"/>
  <c r="BJ2975" i="1"/>
  <c r="BI2975" i="1"/>
  <c r="BH2975" i="1"/>
  <c r="BP2974" i="1"/>
  <c r="BO2974" i="1"/>
  <c r="BN2974" i="1"/>
  <c r="BM2974" i="1"/>
  <c r="BL2974" i="1"/>
  <c r="BK2974" i="1"/>
  <c r="BJ2974" i="1"/>
  <c r="BI2974" i="1"/>
  <c r="BH2974" i="1"/>
  <c r="BP2973" i="1"/>
  <c r="BO2973" i="1"/>
  <c r="BN2973" i="1"/>
  <c r="BL2973" i="1"/>
  <c r="BK2973" i="1"/>
  <c r="BJ2973" i="1"/>
  <c r="BI2973" i="1"/>
  <c r="BH2973" i="1"/>
  <c r="AP2973" i="1"/>
  <c r="BM2973" i="1" s="1"/>
  <c r="BP2972" i="1"/>
  <c r="BO2972" i="1"/>
  <c r="BN2972" i="1"/>
  <c r="BM2972" i="1"/>
  <c r="BL2972" i="1"/>
  <c r="BK2972" i="1"/>
  <c r="BJ2972" i="1"/>
  <c r="BI2972" i="1"/>
  <c r="BH2972" i="1"/>
  <c r="AQ2972" i="1"/>
  <c r="BP2971" i="1"/>
  <c r="BO2971" i="1"/>
  <c r="BN2971" i="1"/>
  <c r="BM2971" i="1"/>
  <c r="BL2971" i="1"/>
  <c r="BK2971" i="1"/>
  <c r="BJ2971" i="1"/>
  <c r="BI2971" i="1"/>
  <c r="BH2971" i="1"/>
  <c r="V2971" i="1"/>
  <c r="BP2970" i="1"/>
  <c r="BO2970" i="1"/>
  <c r="BN2970" i="1"/>
  <c r="BM2970" i="1"/>
  <c r="BK2970" i="1"/>
  <c r="BJ2970" i="1"/>
  <c r="BI2970" i="1"/>
  <c r="BH2970" i="1"/>
  <c r="AS2970" i="1"/>
  <c r="AA2970" i="1"/>
  <c r="BL2970" i="1" s="1"/>
  <c r="L2970" i="1"/>
  <c r="BP2969" i="1"/>
  <c r="BO2969" i="1"/>
  <c r="BN2969" i="1"/>
  <c r="BM2969" i="1"/>
  <c r="BL2969" i="1"/>
  <c r="BK2969" i="1"/>
  <c r="BJ2969" i="1"/>
  <c r="BI2969" i="1"/>
  <c r="BH2969" i="1"/>
  <c r="BP2968" i="1"/>
  <c r="BO2968" i="1"/>
  <c r="BN2968" i="1"/>
  <c r="BM2968" i="1"/>
  <c r="BL2968" i="1"/>
  <c r="BK2968" i="1"/>
  <c r="BJ2968" i="1"/>
  <c r="BI2968" i="1"/>
  <c r="BH2968" i="1"/>
  <c r="BP2967" i="1"/>
  <c r="BO2967" i="1"/>
  <c r="BN2967" i="1"/>
  <c r="BM2967" i="1"/>
  <c r="BL2967" i="1"/>
  <c r="BK2967" i="1"/>
  <c r="BJ2967" i="1"/>
  <c r="BI2967" i="1"/>
  <c r="BH2967" i="1"/>
  <c r="BP2966" i="1"/>
  <c r="BO2966" i="1"/>
  <c r="BN2966" i="1"/>
  <c r="BM2966" i="1"/>
  <c r="BL2966" i="1"/>
  <c r="BK2966" i="1"/>
  <c r="BJ2966" i="1"/>
  <c r="BI2966" i="1"/>
  <c r="BH2966" i="1"/>
  <c r="BP2965" i="1"/>
  <c r="BO2965" i="1"/>
  <c r="BM2965" i="1"/>
  <c r="BL2965" i="1"/>
  <c r="BI2965" i="1"/>
  <c r="BH2965" i="1"/>
  <c r="BG2965" i="1"/>
  <c r="AT2965" i="1"/>
  <c r="BN2965" i="1" s="1"/>
  <c r="AS2965" i="1"/>
  <c r="AN2965" i="1"/>
  <c r="AM2965" i="1"/>
  <c r="W2965" i="1"/>
  <c r="BK2965" i="1" s="1"/>
  <c r="S2965" i="1"/>
  <c r="BJ2965" i="1" s="1"/>
  <c r="N2965" i="1"/>
  <c r="I2965" i="1"/>
  <c r="D2965" i="1"/>
  <c r="BP2964" i="1"/>
  <c r="BO2964" i="1"/>
  <c r="BN2964" i="1"/>
  <c r="BM2964" i="1"/>
  <c r="BL2964" i="1"/>
  <c r="BK2964" i="1"/>
  <c r="BJ2964" i="1"/>
  <c r="BI2964" i="1"/>
  <c r="BH2964" i="1"/>
  <c r="AS2964" i="1"/>
  <c r="BP2963" i="1"/>
  <c r="BO2963" i="1"/>
  <c r="BN2963" i="1"/>
  <c r="BL2963" i="1"/>
  <c r="BK2963" i="1"/>
  <c r="BJ2963" i="1"/>
  <c r="BI2963" i="1"/>
  <c r="BH2963" i="1"/>
  <c r="AS2963" i="1"/>
  <c r="BM2963" i="1" s="1"/>
  <c r="BP2962" i="1"/>
  <c r="BO2962" i="1"/>
  <c r="BN2962" i="1"/>
  <c r="BL2962" i="1"/>
  <c r="BK2962" i="1"/>
  <c r="BJ2962" i="1"/>
  <c r="BI2962" i="1"/>
  <c r="BH2962" i="1"/>
  <c r="AR2962" i="1"/>
  <c r="AN2962" i="1"/>
  <c r="BP2961" i="1"/>
  <c r="BO2961" i="1"/>
  <c r="BN2961" i="1"/>
  <c r="BL2961" i="1"/>
  <c r="BK2961" i="1"/>
  <c r="BJ2961" i="1"/>
  <c r="BI2961" i="1"/>
  <c r="BH2961" i="1"/>
  <c r="AR2961" i="1"/>
  <c r="AN2961" i="1"/>
  <c r="BM2961" i="1" s="1"/>
  <c r="BP2960" i="1"/>
  <c r="BO2960" i="1"/>
  <c r="BN2960" i="1"/>
  <c r="BL2960" i="1"/>
  <c r="BK2960" i="1"/>
  <c r="BJ2960" i="1"/>
  <c r="BI2960" i="1"/>
  <c r="BH2960" i="1"/>
  <c r="AQ2960" i="1"/>
  <c r="BM2960" i="1" s="1"/>
  <c r="BP2959" i="1"/>
  <c r="BO2959" i="1"/>
  <c r="BN2959" i="1"/>
  <c r="BM2959" i="1"/>
  <c r="BL2959" i="1"/>
  <c r="BK2959" i="1"/>
  <c r="BJ2959" i="1"/>
  <c r="BI2959" i="1"/>
  <c r="BH2959" i="1"/>
  <c r="AS2959" i="1"/>
  <c r="AN2959" i="1"/>
  <c r="BP2958" i="1"/>
  <c r="BO2958" i="1"/>
  <c r="BN2958" i="1"/>
  <c r="BL2958" i="1"/>
  <c r="BK2958" i="1"/>
  <c r="BJ2958" i="1"/>
  <c r="BI2958" i="1"/>
  <c r="BH2958" i="1"/>
  <c r="AS2958" i="1"/>
  <c r="AN2958" i="1"/>
  <c r="BM2958" i="1" s="1"/>
  <c r="BP2957" i="1"/>
  <c r="BO2957" i="1"/>
  <c r="BN2957" i="1"/>
  <c r="BL2957" i="1"/>
  <c r="BK2957" i="1"/>
  <c r="BJ2957" i="1"/>
  <c r="BI2957" i="1"/>
  <c r="BH2957" i="1"/>
  <c r="AR2957" i="1"/>
  <c r="AN2957" i="1"/>
  <c r="BM2957" i="1" s="1"/>
  <c r="BP2956" i="1"/>
  <c r="BO2956" i="1"/>
  <c r="BN2956" i="1"/>
  <c r="BM2956" i="1"/>
  <c r="BL2956" i="1"/>
  <c r="BK2956" i="1"/>
  <c r="BJ2956" i="1"/>
  <c r="BI2956" i="1"/>
  <c r="BH2956" i="1"/>
  <c r="AP2956" i="1"/>
  <c r="BP2955" i="1"/>
  <c r="BO2955" i="1"/>
  <c r="BN2955" i="1"/>
  <c r="BM2955" i="1"/>
  <c r="BL2955" i="1"/>
  <c r="BK2955" i="1"/>
  <c r="BJ2955" i="1"/>
  <c r="BI2955" i="1"/>
  <c r="BH2955" i="1"/>
  <c r="BP2954" i="1"/>
  <c r="BN2954" i="1"/>
  <c r="BM2954" i="1"/>
  <c r="BL2954" i="1"/>
  <c r="BK2954" i="1"/>
  <c r="BJ2954" i="1"/>
  <c r="BI2954" i="1"/>
  <c r="BH2954" i="1"/>
  <c r="BE2954" i="1"/>
  <c r="BO2954" i="1" s="1"/>
  <c r="BP2953" i="1"/>
  <c r="BO2953" i="1"/>
  <c r="BN2953" i="1"/>
  <c r="BL2953" i="1"/>
  <c r="BK2953" i="1"/>
  <c r="BJ2953" i="1"/>
  <c r="BI2953" i="1"/>
  <c r="BH2953" i="1"/>
  <c r="AQ2953" i="1"/>
  <c r="BM2953" i="1" s="1"/>
  <c r="BP2952" i="1"/>
  <c r="BO2952" i="1"/>
  <c r="BN2952" i="1"/>
  <c r="BM2952" i="1"/>
  <c r="BL2952" i="1"/>
  <c r="BJ2952" i="1"/>
  <c r="BI2952" i="1"/>
  <c r="BH2952" i="1"/>
  <c r="V2952" i="1"/>
  <c r="BK2952" i="1" s="1"/>
  <c r="BP2951" i="1"/>
  <c r="BO2951" i="1"/>
  <c r="BN2951" i="1"/>
  <c r="BM2951" i="1"/>
  <c r="BL2951" i="1"/>
  <c r="BK2951" i="1"/>
  <c r="BJ2951" i="1"/>
  <c r="BI2951" i="1"/>
  <c r="BH2951" i="1"/>
  <c r="BP2950" i="1"/>
  <c r="BO2950" i="1"/>
  <c r="BN2950" i="1"/>
  <c r="BM2950" i="1"/>
  <c r="BL2950" i="1"/>
  <c r="BK2950" i="1"/>
  <c r="BJ2950" i="1"/>
  <c r="BI2950" i="1"/>
  <c r="BH2950" i="1"/>
  <c r="BP2949" i="1"/>
  <c r="BO2949" i="1"/>
  <c r="BN2949" i="1"/>
  <c r="BM2949" i="1"/>
  <c r="BL2949" i="1"/>
  <c r="BK2949" i="1"/>
  <c r="BJ2949" i="1"/>
  <c r="BI2949" i="1"/>
  <c r="BH2949" i="1"/>
  <c r="BP2948" i="1"/>
  <c r="BO2948" i="1"/>
  <c r="BN2948" i="1"/>
  <c r="BM2948" i="1"/>
  <c r="BL2948" i="1"/>
  <c r="BK2948" i="1"/>
  <c r="BJ2948" i="1"/>
  <c r="BI2948" i="1"/>
  <c r="BH2948" i="1"/>
  <c r="BP2947" i="1"/>
  <c r="BO2947" i="1"/>
  <c r="BN2947" i="1"/>
  <c r="BM2947" i="1"/>
  <c r="BL2947" i="1"/>
  <c r="BK2947" i="1"/>
  <c r="BJ2947" i="1"/>
  <c r="BI2947" i="1"/>
  <c r="BH2947" i="1"/>
  <c r="AR2947" i="1"/>
  <c r="AN2947" i="1"/>
  <c r="BP2946" i="1"/>
  <c r="BO2946" i="1"/>
  <c r="BN2946" i="1"/>
  <c r="BM2946" i="1"/>
  <c r="BL2946" i="1"/>
  <c r="BK2946" i="1"/>
  <c r="BJ2946" i="1"/>
  <c r="BH2946" i="1"/>
  <c r="AR2946" i="1"/>
  <c r="AQ2946" i="1"/>
  <c r="P2946" i="1"/>
  <c r="BI2946" i="1" s="1"/>
  <c r="BP2945" i="1"/>
  <c r="BO2945" i="1"/>
  <c r="BN2945" i="1"/>
  <c r="BM2945" i="1"/>
  <c r="BL2945" i="1"/>
  <c r="BK2945" i="1"/>
  <c r="BJ2945" i="1"/>
  <c r="BI2945" i="1"/>
  <c r="BH2945" i="1"/>
  <c r="BP2944" i="1"/>
  <c r="BO2944" i="1"/>
  <c r="BN2944" i="1"/>
  <c r="BM2944" i="1"/>
  <c r="BL2944" i="1"/>
  <c r="BK2944" i="1"/>
  <c r="BJ2944" i="1"/>
  <c r="BI2944" i="1"/>
  <c r="BH2944" i="1"/>
  <c r="AR2944" i="1"/>
  <c r="AN2944" i="1"/>
  <c r="BP2943" i="1"/>
  <c r="BO2943" i="1"/>
  <c r="BN2943" i="1"/>
  <c r="BM2943" i="1"/>
  <c r="BL2943" i="1"/>
  <c r="BK2943" i="1"/>
  <c r="BJ2943" i="1"/>
  <c r="BI2943" i="1"/>
  <c r="BH2943" i="1"/>
  <c r="AR2943" i="1"/>
  <c r="AN2943" i="1"/>
  <c r="BP2942" i="1"/>
  <c r="BO2942" i="1"/>
  <c r="BN2942" i="1"/>
  <c r="BM2942" i="1"/>
  <c r="BL2942" i="1"/>
  <c r="BK2942" i="1"/>
  <c r="BJ2942" i="1"/>
  <c r="BI2942" i="1"/>
  <c r="BH2942" i="1"/>
  <c r="BP2941" i="1"/>
  <c r="BO2941" i="1"/>
  <c r="BN2941" i="1"/>
  <c r="BM2941" i="1"/>
  <c r="BL2941" i="1"/>
  <c r="BK2941" i="1"/>
  <c r="BJ2941" i="1"/>
  <c r="BI2941" i="1"/>
  <c r="BH2941" i="1"/>
  <c r="BP2940" i="1"/>
  <c r="BO2940" i="1"/>
  <c r="BN2940" i="1"/>
  <c r="BM2940" i="1"/>
  <c r="BL2940" i="1"/>
  <c r="BK2940" i="1"/>
  <c r="BJ2940" i="1"/>
  <c r="BI2940" i="1"/>
  <c r="BH2940" i="1"/>
  <c r="BO2939" i="1"/>
  <c r="BN2939" i="1"/>
  <c r="BM2939" i="1"/>
  <c r="BL2939" i="1"/>
  <c r="BI2939" i="1"/>
  <c r="BG2939" i="1"/>
  <c r="BF2939" i="1"/>
  <c r="BP2939" i="1" s="1"/>
  <c r="AW2939" i="1"/>
  <c r="AT2939" i="1"/>
  <c r="V2939" i="1"/>
  <c r="BK2939" i="1" s="1"/>
  <c r="S2939" i="1"/>
  <c r="BJ2939" i="1" s="1"/>
  <c r="M2939" i="1"/>
  <c r="G2939" i="1"/>
  <c r="C2939" i="1"/>
  <c r="BH2939" i="1" s="1"/>
  <c r="BP2938" i="1"/>
  <c r="BO2938" i="1"/>
  <c r="BN2938" i="1"/>
  <c r="BM2938" i="1"/>
  <c r="BL2938" i="1"/>
  <c r="BK2938" i="1"/>
  <c r="BJ2938" i="1"/>
  <c r="BI2938" i="1"/>
  <c r="BH2938" i="1"/>
  <c r="BP2937" i="1"/>
  <c r="BO2937" i="1"/>
  <c r="BN2937" i="1"/>
  <c r="BM2937" i="1"/>
  <c r="BL2937" i="1"/>
  <c r="BK2937" i="1"/>
  <c r="BJ2937" i="1"/>
  <c r="BI2937" i="1"/>
  <c r="BH2937" i="1"/>
  <c r="BP2936" i="1"/>
  <c r="BO2936" i="1"/>
  <c r="BN2936" i="1"/>
  <c r="BL2936" i="1"/>
  <c r="BK2936" i="1"/>
  <c r="BJ2936" i="1"/>
  <c r="BI2936" i="1"/>
  <c r="BH2936" i="1"/>
  <c r="AB2936" i="1"/>
  <c r="BM2936" i="1" s="1"/>
  <c r="BP2935" i="1"/>
  <c r="BO2935" i="1"/>
  <c r="BN2935" i="1"/>
  <c r="BL2935" i="1"/>
  <c r="BK2935" i="1"/>
  <c r="BJ2935" i="1"/>
  <c r="BI2935" i="1"/>
  <c r="BH2935" i="1"/>
  <c r="AQ2935" i="1"/>
  <c r="BM2935" i="1" s="1"/>
  <c r="BP2934" i="1"/>
  <c r="BO2934" i="1"/>
  <c r="BN2934" i="1"/>
  <c r="BL2934" i="1"/>
  <c r="BK2934" i="1"/>
  <c r="BJ2934" i="1"/>
  <c r="BI2934" i="1"/>
  <c r="BH2934" i="1"/>
  <c r="AS2934" i="1"/>
  <c r="BM2934" i="1" s="1"/>
  <c r="BP2933" i="1"/>
  <c r="BO2933" i="1"/>
  <c r="BN2933" i="1"/>
  <c r="BM2933" i="1"/>
  <c r="BL2933" i="1"/>
  <c r="BK2933" i="1"/>
  <c r="BJ2933" i="1"/>
  <c r="BI2933" i="1"/>
  <c r="BH2933" i="1"/>
  <c r="AS2933" i="1"/>
  <c r="BP2932" i="1"/>
  <c r="BO2932" i="1"/>
  <c r="BN2932" i="1"/>
  <c r="BL2932" i="1"/>
  <c r="BK2932" i="1"/>
  <c r="BJ2932" i="1"/>
  <c r="BI2932" i="1"/>
  <c r="BH2932" i="1"/>
  <c r="AS2932" i="1"/>
  <c r="AN2932" i="1"/>
  <c r="BM2932" i="1" s="1"/>
  <c r="BP2931" i="1"/>
  <c r="BO2931" i="1"/>
  <c r="BN2931" i="1"/>
  <c r="BM2931" i="1"/>
  <c r="BL2931" i="1"/>
  <c r="BK2931" i="1"/>
  <c r="BJ2931" i="1"/>
  <c r="BI2931" i="1"/>
  <c r="BH2931" i="1"/>
  <c r="AS2931" i="1"/>
  <c r="AN2931" i="1"/>
  <c r="BP2930" i="1"/>
  <c r="BO2930" i="1"/>
  <c r="BN2930" i="1"/>
  <c r="BM2930" i="1"/>
  <c r="BL2930" i="1"/>
  <c r="BK2930" i="1"/>
  <c r="BJ2930" i="1"/>
  <c r="BI2930" i="1"/>
  <c r="BH2930" i="1"/>
  <c r="AR2930" i="1"/>
  <c r="AN2930" i="1"/>
  <c r="BP2929" i="1"/>
  <c r="BO2929" i="1"/>
  <c r="BN2929" i="1"/>
  <c r="BM2929" i="1"/>
  <c r="BL2929" i="1"/>
  <c r="BK2929" i="1"/>
  <c r="BJ2929" i="1"/>
  <c r="BI2929" i="1"/>
  <c r="BH2929" i="1"/>
  <c r="AR2929" i="1"/>
  <c r="AN2929" i="1"/>
  <c r="BP2928" i="1"/>
  <c r="BO2928" i="1"/>
  <c r="BN2928" i="1"/>
  <c r="BM2928" i="1"/>
  <c r="BL2928" i="1"/>
  <c r="BK2928" i="1"/>
  <c r="BJ2928" i="1"/>
  <c r="BI2928" i="1"/>
  <c r="BH2928" i="1"/>
  <c r="BP2927" i="1"/>
  <c r="BO2927" i="1"/>
  <c r="BN2927" i="1"/>
  <c r="BM2927" i="1"/>
  <c r="BL2927" i="1"/>
  <c r="BK2927" i="1"/>
  <c r="BJ2927" i="1"/>
  <c r="BI2927" i="1"/>
  <c r="BH2927" i="1"/>
  <c r="BP2926" i="1"/>
  <c r="BO2926" i="1"/>
  <c r="BN2926" i="1"/>
  <c r="BM2926" i="1"/>
  <c r="BL2926" i="1"/>
  <c r="BK2926" i="1"/>
  <c r="BJ2926" i="1"/>
  <c r="BI2926" i="1"/>
  <c r="BH2926" i="1"/>
  <c r="V2926" i="1"/>
  <c r="BP2925" i="1"/>
  <c r="BO2925" i="1"/>
  <c r="BN2925" i="1"/>
  <c r="BM2925" i="1"/>
  <c r="BL2925" i="1"/>
  <c r="BK2925" i="1"/>
  <c r="BJ2925" i="1"/>
  <c r="BI2925" i="1"/>
  <c r="BH2925" i="1"/>
  <c r="BP2924" i="1"/>
  <c r="BO2924" i="1"/>
  <c r="BN2924" i="1"/>
  <c r="BM2924" i="1"/>
  <c r="BL2924" i="1"/>
  <c r="BK2924" i="1"/>
  <c r="BJ2924" i="1"/>
  <c r="BI2924" i="1"/>
  <c r="BH2924" i="1"/>
  <c r="BP2923" i="1"/>
  <c r="BO2923" i="1"/>
  <c r="BN2923" i="1"/>
  <c r="BM2923" i="1"/>
  <c r="BL2923" i="1"/>
  <c r="BK2923" i="1"/>
  <c r="BJ2923" i="1"/>
  <c r="BI2923" i="1"/>
  <c r="BH2923" i="1"/>
  <c r="BP2922" i="1"/>
  <c r="BO2922" i="1"/>
  <c r="BN2922" i="1"/>
  <c r="BM2922" i="1"/>
  <c r="BL2922" i="1"/>
  <c r="BK2922" i="1"/>
  <c r="BJ2922" i="1"/>
  <c r="BI2922" i="1"/>
  <c r="BH2922" i="1"/>
  <c r="BP2921" i="1"/>
  <c r="BO2921" i="1"/>
  <c r="BN2921" i="1"/>
  <c r="BL2921" i="1"/>
  <c r="BK2921" i="1"/>
  <c r="BJ2921" i="1"/>
  <c r="BI2921" i="1"/>
  <c r="BH2921" i="1"/>
  <c r="AR2921" i="1"/>
  <c r="AN2921" i="1"/>
  <c r="BM2921" i="1" s="1"/>
  <c r="BP2920" i="1"/>
  <c r="BO2920" i="1"/>
  <c r="BN2920" i="1"/>
  <c r="BM2920" i="1"/>
  <c r="BL2920" i="1"/>
  <c r="BK2920" i="1"/>
  <c r="BJ2920" i="1"/>
  <c r="BI2920" i="1"/>
  <c r="BH2920" i="1"/>
  <c r="AQ2920" i="1"/>
  <c r="BP2919" i="1"/>
  <c r="BO2919" i="1"/>
  <c r="BN2919" i="1"/>
  <c r="BM2919" i="1"/>
  <c r="BK2919" i="1"/>
  <c r="BJ2919" i="1"/>
  <c r="BI2919" i="1"/>
  <c r="BH2919" i="1"/>
  <c r="AA2919" i="1"/>
  <c r="BL2919" i="1" s="1"/>
  <c r="BP2918" i="1"/>
  <c r="BO2918" i="1"/>
  <c r="BN2918" i="1"/>
  <c r="BL2918" i="1"/>
  <c r="BK2918" i="1"/>
  <c r="BJ2918" i="1"/>
  <c r="BI2918" i="1"/>
  <c r="BH2918" i="1"/>
  <c r="AS2918" i="1"/>
  <c r="BM2918" i="1" s="1"/>
  <c r="BP2917" i="1"/>
  <c r="BO2917" i="1"/>
  <c r="BN2917" i="1"/>
  <c r="BL2917" i="1"/>
  <c r="BK2917" i="1"/>
  <c r="BJ2917" i="1"/>
  <c r="BI2917" i="1"/>
  <c r="BH2917" i="1"/>
  <c r="AS2917" i="1"/>
  <c r="AN2917" i="1"/>
  <c r="BP2916" i="1"/>
  <c r="BO2916" i="1"/>
  <c r="BN2916" i="1"/>
  <c r="BL2916" i="1"/>
  <c r="BK2916" i="1"/>
  <c r="BJ2916" i="1"/>
  <c r="BI2916" i="1"/>
  <c r="BH2916" i="1"/>
  <c r="AR2916" i="1"/>
  <c r="AN2916" i="1"/>
  <c r="BM2916" i="1" s="1"/>
  <c r="BP2915" i="1"/>
  <c r="BO2915" i="1"/>
  <c r="BN2915" i="1"/>
  <c r="BL2915" i="1"/>
  <c r="BK2915" i="1"/>
  <c r="BJ2915" i="1"/>
  <c r="BI2915" i="1"/>
  <c r="BH2915" i="1"/>
  <c r="AR2915" i="1"/>
  <c r="AN2915" i="1"/>
  <c r="BM2915" i="1" s="1"/>
  <c r="BP2914" i="1"/>
  <c r="BO2914" i="1"/>
  <c r="BN2914" i="1"/>
  <c r="BM2914" i="1"/>
  <c r="BL2914" i="1"/>
  <c r="BK2914" i="1"/>
  <c r="BJ2914" i="1"/>
  <c r="BI2914" i="1"/>
  <c r="BH2914" i="1"/>
  <c r="BP2913" i="1"/>
  <c r="BO2913" i="1"/>
  <c r="BN2913" i="1"/>
  <c r="BM2913" i="1"/>
  <c r="BL2913" i="1"/>
  <c r="BK2913" i="1"/>
  <c r="BJ2913" i="1"/>
  <c r="BI2913" i="1"/>
  <c r="BH2913" i="1"/>
  <c r="AQ2913" i="1"/>
  <c r="BP2912" i="1"/>
  <c r="BO2912" i="1"/>
  <c r="BN2912" i="1"/>
  <c r="BM2912" i="1"/>
  <c r="BL2912" i="1"/>
  <c r="BK2912" i="1"/>
  <c r="BJ2912" i="1"/>
  <c r="BI2912" i="1"/>
  <c r="BH2912" i="1"/>
  <c r="BP2911" i="1"/>
  <c r="BN2911" i="1"/>
  <c r="BM2911" i="1"/>
  <c r="BL2911" i="1"/>
  <c r="BK2911" i="1"/>
  <c r="BJ2911" i="1"/>
  <c r="BI2911" i="1"/>
  <c r="BH2911" i="1"/>
  <c r="BE2911" i="1"/>
  <c r="BO2911" i="1" s="1"/>
  <c r="BP2910" i="1"/>
  <c r="BO2910" i="1"/>
  <c r="BN2910" i="1"/>
  <c r="BM2910" i="1"/>
  <c r="BL2910" i="1"/>
  <c r="BJ2910" i="1"/>
  <c r="BI2910" i="1"/>
  <c r="BH2910" i="1"/>
  <c r="BE2910" i="1"/>
  <c r="X2910" i="1"/>
  <c r="BK2910" i="1" s="1"/>
  <c r="S2910" i="1"/>
  <c r="R2910" i="1"/>
  <c r="BM2909" i="1"/>
  <c r="BL2909" i="1"/>
  <c r="BJ2909" i="1"/>
  <c r="BI2909" i="1"/>
  <c r="BG2909" i="1"/>
  <c r="BF2909" i="1"/>
  <c r="BP2909" i="1" s="1"/>
  <c r="AW2909" i="1"/>
  <c r="BO2909" i="1" s="1"/>
  <c r="AT2909" i="1"/>
  <c r="BN2909" i="1" s="1"/>
  <c r="V2909" i="1"/>
  <c r="BK2909" i="1" s="1"/>
  <c r="U2909" i="1"/>
  <c r="S2909" i="1"/>
  <c r="M2909" i="1"/>
  <c r="G2909" i="1"/>
  <c r="C2909" i="1"/>
  <c r="BP2908" i="1"/>
  <c r="BO2908" i="1"/>
  <c r="BN2908" i="1"/>
  <c r="BM2908" i="1"/>
  <c r="BL2908" i="1"/>
  <c r="BK2908" i="1"/>
  <c r="BJ2908" i="1"/>
  <c r="BI2908" i="1"/>
  <c r="BH2908" i="1"/>
  <c r="BP2907" i="1"/>
  <c r="BO2907" i="1"/>
  <c r="BN2907" i="1"/>
  <c r="BM2907" i="1"/>
  <c r="BL2907" i="1"/>
  <c r="BK2907" i="1"/>
  <c r="BJ2907" i="1"/>
  <c r="BI2907" i="1"/>
  <c r="BH2907" i="1"/>
  <c r="BP2906" i="1"/>
  <c r="BO2906" i="1"/>
  <c r="BL2906" i="1"/>
  <c r="BK2906" i="1"/>
  <c r="BJ2906" i="1"/>
  <c r="BI2906" i="1"/>
  <c r="BH2906" i="1"/>
  <c r="BG2906" i="1"/>
  <c r="AU2906" i="1"/>
  <c r="BN2906" i="1" s="1"/>
  <c r="AJ2906" i="1"/>
  <c r="AG2906" i="1"/>
  <c r="U2906" i="1"/>
  <c r="S2906" i="1"/>
  <c r="N2906" i="1"/>
  <c r="I2906" i="1"/>
  <c r="BP2905" i="1"/>
  <c r="BO2905" i="1"/>
  <c r="BN2905" i="1"/>
  <c r="BM2905" i="1"/>
  <c r="BL2905" i="1"/>
  <c r="BK2905" i="1"/>
  <c r="BJ2905" i="1"/>
  <c r="BI2905" i="1"/>
  <c r="BH2905" i="1"/>
  <c r="BP2904" i="1"/>
  <c r="BO2904" i="1"/>
  <c r="BN2904" i="1"/>
  <c r="BM2904" i="1"/>
  <c r="BL2904" i="1"/>
  <c r="BK2904" i="1"/>
  <c r="BJ2904" i="1"/>
  <c r="BI2904" i="1"/>
  <c r="BH2904" i="1"/>
  <c r="BP2903" i="1"/>
  <c r="BO2903" i="1"/>
  <c r="BN2903" i="1"/>
  <c r="BM2903" i="1"/>
  <c r="BL2903" i="1"/>
  <c r="BK2903" i="1"/>
  <c r="BJ2903" i="1"/>
  <c r="BI2903" i="1"/>
  <c r="BH2903" i="1"/>
  <c r="BP2902" i="1"/>
  <c r="BO2902" i="1"/>
  <c r="BN2902" i="1"/>
  <c r="BM2902" i="1"/>
  <c r="BL2902" i="1"/>
  <c r="BK2902" i="1"/>
  <c r="BJ2902" i="1"/>
  <c r="BI2902" i="1"/>
  <c r="BH2902" i="1"/>
  <c r="BP2901" i="1"/>
  <c r="BO2901" i="1"/>
  <c r="BN2901" i="1"/>
  <c r="BM2901" i="1"/>
  <c r="BL2901" i="1"/>
  <c r="BK2901" i="1"/>
  <c r="BJ2901" i="1"/>
  <c r="BI2901" i="1"/>
  <c r="BH2901" i="1"/>
  <c r="BP2900" i="1"/>
  <c r="BO2900" i="1"/>
  <c r="BN2900" i="1"/>
  <c r="BM2900" i="1"/>
  <c r="BL2900" i="1"/>
  <c r="BK2900" i="1"/>
  <c r="BJ2900" i="1"/>
  <c r="BI2900" i="1"/>
  <c r="BH2900" i="1"/>
  <c r="BP2899" i="1"/>
  <c r="BO2899" i="1"/>
  <c r="BN2899" i="1"/>
  <c r="BL2899" i="1"/>
  <c r="BK2899" i="1"/>
  <c r="BJ2899" i="1"/>
  <c r="BI2899" i="1"/>
  <c r="BH2899" i="1"/>
  <c r="AP2899" i="1"/>
  <c r="BM2899" i="1" s="1"/>
  <c r="BP2898" i="1"/>
  <c r="BO2898" i="1"/>
  <c r="BN2898" i="1"/>
  <c r="BM2898" i="1"/>
  <c r="BL2898" i="1"/>
  <c r="BK2898" i="1"/>
  <c r="BJ2898" i="1"/>
  <c r="BI2898" i="1"/>
  <c r="BH2898" i="1"/>
  <c r="BP2897" i="1"/>
  <c r="BO2897" i="1"/>
  <c r="BN2897" i="1"/>
  <c r="BL2897" i="1"/>
  <c r="BK2897" i="1"/>
  <c r="BJ2897" i="1"/>
  <c r="BI2897" i="1"/>
  <c r="BH2897" i="1"/>
  <c r="AR2897" i="1"/>
  <c r="AN2897" i="1"/>
  <c r="BM2897" i="1" s="1"/>
  <c r="BP2896" i="1"/>
  <c r="BO2896" i="1"/>
  <c r="BN2896" i="1"/>
  <c r="BM2896" i="1"/>
  <c r="BL2896" i="1"/>
  <c r="BK2896" i="1"/>
  <c r="BJ2896" i="1"/>
  <c r="BI2896" i="1"/>
  <c r="BH2896" i="1"/>
  <c r="AR2896" i="1"/>
  <c r="AN2896" i="1"/>
  <c r="BP2895" i="1"/>
  <c r="BO2895" i="1"/>
  <c r="BN2895" i="1"/>
  <c r="BM2895" i="1"/>
  <c r="BL2895" i="1"/>
  <c r="BK2895" i="1"/>
  <c r="BJ2895" i="1"/>
  <c r="BI2895" i="1"/>
  <c r="BH2895" i="1"/>
  <c r="AR2895" i="1"/>
  <c r="AN2895" i="1"/>
  <c r="BP2894" i="1"/>
  <c r="BO2894" i="1"/>
  <c r="BN2894" i="1"/>
  <c r="BM2894" i="1"/>
  <c r="BL2894" i="1"/>
  <c r="BK2894" i="1"/>
  <c r="BJ2894" i="1"/>
  <c r="BI2894" i="1"/>
  <c r="BH2894" i="1"/>
  <c r="BP2893" i="1"/>
  <c r="BO2893" i="1"/>
  <c r="BN2893" i="1"/>
  <c r="BM2893" i="1"/>
  <c r="BL2893" i="1"/>
  <c r="BK2893" i="1"/>
  <c r="BJ2893" i="1"/>
  <c r="BI2893" i="1"/>
  <c r="BH2893" i="1"/>
  <c r="AA2893" i="1"/>
  <c r="BP2892" i="1"/>
  <c r="BO2892" i="1"/>
  <c r="BN2892" i="1"/>
  <c r="BL2892" i="1"/>
  <c r="BK2892" i="1"/>
  <c r="BJ2892" i="1"/>
  <c r="BI2892" i="1"/>
  <c r="BH2892" i="1"/>
  <c r="AQ2892" i="1"/>
  <c r="BM2892" i="1" s="1"/>
  <c r="BP2891" i="1"/>
  <c r="BO2891" i="1"/>
  <c r="BN2891" i="1"/>
  <c r="BM2891" i="1"/>
  <c r="BL2891" i="1"/>
  <c r="BK2891" i="1"/>
  <c r="BJ2891" i="1"/>
  <c r="BI2891" i="1"/>
  <c r="BH2891" i="1"/>
  <c r="BP2890" i="1"/>
  <c r="BO2890" i="1"/>
  <c r="BN2890" i="1"/>
  <c r="BM2890" i="1"/>
  <c r="BL2890" i="1"/>
  <c r="BK2890" i="1"/>
  <c r="BJ2890" i="1"/>
  <c r="BI2890" i="1"/>
  <c r="BH2890" i="1"/>
  <c r="V2890" i="1"/>
  <c r="BP2889" i="1"/>
  <c r="BO2889" i="1"/>
  <c r="BN2889" i="1"/>
  <c r="BM2889" i="1"/>
  <c r="BL2889" i="1"/>
  <c r="BK2889" i="1"/>
  <c r="BJ2889" i="1"/>
  <c r="BI2889" i="1"/>
  <c r="BH2889" i="1"/>
  <c r="BP2888" i="1"/>
  <c r="BO2888" i="1"/>
  <c r="BN2888" i="1"/>
  <c r="BM2888" i="1"/>
  <c r="BL2888" i="1"/>
  <c r="BK2888" i="1"/>
  <c r="BJ2888" i="1"/>
  <c r="BI2888" i="1"/>
  <c r="BH2888" i="1"/>
  <c r="BP2887" i="1"/>
  <c r="BO2887" i="1"/>
  <c r="BN2887" i="1"/>
  <c r="BM2887" i="1"/>
  <c r="BL2887" i="1"/>
  <c r="BK2887" i="1"/>
  <c r="BJ2887" i="1"/>
  <c r="BI2887" i="1"/>
  <c r="BH2887" i="1"/>
  <c r="BP2886" i="1"/>
  <c r="BO2886" i="1"/>
  <c r="BN2886" i="1"/>
  <c r="BM2886" i="1"/>
  <c r="BL2886" i="1"/>
  <c r="BK2886" i="1"/>
  <c r="BJ2886" i="1"/>
  <c r="BI2886" i="1"/>
  <c r="BH2886" i="1"/>
  <c r="BP2885" i="1"/>
  <c r="BO2885" i="1"/>
  <c r="BN2885" i="1"/>
  <c r="BM2885" i="1"/>
  <c r="BL2885" i="1"/>
  <c r="BK2885" i="1"/>
  <c r="BJ2885" i="1"/>
  <c r="BI2885" i="1"/>
  <c r="BH2885" i="1"/>
  <c r="AS2885" i="1"/>
  <c r="AN2885" i="1"/>
  <c r="BP2884" i="1"/>
  <c r="BO2884" i="1"/>
  <c r="BN2884" i="1"/>
  <c r="BM2884" i="1"/>
  <c r="BL2884" i="1"/>
  <c r="BK2884" i="1"/>
  <c r="BJ2884" i="1"/>
  <c r="BI2884" i="1"/>
  <c r="BH2884" i="1"/>
  <c r="AS2884" i="1"/>
  <c r="AN2884" i="1"/>
  <c r="BP2883" i="1"/>
  <c r="BO2883" i="1"/>
  <c r="BN2883" i="1"/>
  <c r="BL2883" i="1"/>
  <c r="BK2883" i="1"/>
  <c r="BJ2883" i="1"/>
  <c r="BI2883" i="1"/>
  <c r="BH2883" i="1"/>
  <c r="AS2883" i="1"/>
  <c r="BM2883" i="1" s="1"/>
  <c r="BP2882" i="1"/>
  <c r="BO2882" i="1"/>
  <c r="BN2882" i="1"/>
  <c r="BL2882" i="1"/>
  <c r="BK2882" i="1"/>
  <c r="BJ2882" i="1"/>
  <c r="BI2882" i="1"/>
  <c r="BH2882" i="1"/>
  <c r="AS2882" i="1"/>
  <c r="BM2882" i="1" s="1"/>
  <c r="BP2881" i="1"/>
  <c r="BO2881" i="1"/>
  <c r="BN2881" i="1"/>
  <c r="BM2881" i="1"/>
  <c r="BL2881" i="1"/>
  <c r="BK2881" i="1"/>
  <c r="BJ2881" i="1"/>
  <c r="BI2881" i="1"/>
  <c r="BH2881" i="1"/>
  <c r="BP2880" i="1"/>
  <c r="BO2880" i="1"/>
  <c r="BN2880" i="1"/>
  <c r="BM2880" i="1"/>
  <c r="BL2880" i="1"/>
  <c r="BK2880" i="1"/>
  <c r="BJ2880" i="1"/>
  <c r="BI2880" i="1"/>
  <c r="BH2880" i="1"/>
  <c r="BP2879" i="1"/>
  <c r="BO2879" i="1"/>
  <c r="BN2879" i="1"/>
  <c r="BM2879" i="1"/>
  <c r="BL2879" i="1"/>
  <c r="BK2879" i="1"/>
  <c r="BJ2879" i="1"/>
  <c r="BI2879" i="1"/>
  <c r="BH2879" i="1"/>
  <c r="AS2879" i="1"/>
  <c r="BP2878" i="1"/>
  <c r="BO2878" i="1"/>
  <c r="BN2878" i="1"/>
  <c r="BL2878" i="1"/>
  <c r="BK2878" i="1"/>
  <c r="BJ2878" i="1"/>
  <c r="BI2878" i="1"/>
  <c r="BH2878" i="1"/>
  <c r="AS2878" i="1"/>
  <c r="AN2878" i="1"/>
  <c r="BM2878" i="1" s="1"/>
  <c r="BP2877" i="1"/>
  <c r="BO2877" i="1"/>
  <c r="BN2877" i="1"/>
  <c r="BL2877" i="1"/>
  <c r="BK2877" i="1"/>
  <c r="BJ2877" i="1"/>
  <c r="BI2877" i="1"/>
  <c r="BH2877" i="1"/>
  <c r="AR2877" i="1"/>
  <c r="AQ2877" i="1"/>
  <c r="BM2877" i="1" s="1"/>
  <c r="P2877" i="1"/>
  <c r="BP2876" i="1"/>
  <c r="BO2876" i="1"/>
  <c r="BN2876" i="1"/>
  <c r="BL2876" i="1"/>
  <c r="BK2876" i="1"/>
  <c r="BJ2876" i="1"/>
  <c r="BI2876" i="1"/>
  <c r="BH2876" i="1"/>
  <c r="AP2876" i="1"/>
  <c r="BM2876" i="1" s="1"/>
  <c r="BP2875" i="1"/>
  <c r="BO2875" i="1"/>
  <c r="BN2875" i="1"/>
  <c r="BM2875" i="1"/>
  <c r="BL2875" i="1"/>
  <c r="BK2875" i="1"/>
  <c r="BJ2875" i="1"/>
  <c r="BI2875" i="1"/>
  <c r="BH2875" i="1"/>
  <c r="BP2874" i="1"/>
  <c r="BO2874" i="1"/>
  <c r="BN2874" i="1"/>
  <c r="BM2874" i="1"/>
  <c r="BL2874" i="1"/>
  <c r="BK2874" i="1"/>
  <c r="BJ2874" i="1"/>
  <c r="BI2874" i="1"/>
  <c r="BH2874" i="1"/>
  <c r="BP2873" i="1"/>
  <c r="BO2873" i="1"/>
  <c r="BN2873" i="1"/>
  <c r="BM2873" i="1"/>
  <c r="BL2873" i="1"/>
  <c r="BK2873" i="1"/>
  <c r="BJ2873" i="1"/>
  <c r="BI2873" i="1"/>
  <c r="BH2873" i="1"/>
  <c r="BP2872" i="1"/>
  <c r="BO2872" i="1"/>
  <c r="BN2872" i="1"/>
  <c r="BM2872" i="1"/>
  <c r="BL2872" i="1"/>
  <c r="BK2872" i="1"/>
  <c r="BJ2872" i="1"/>
  <c r="BI2872" i="1"/>
  <c r="BH2872" i="1"/>
  <c r="AQ2872" i="1"/>
  <c r="BP2871" i="1"/>
  <c r="BO2871" i="1"/>
  <c r="BN2871" i="1"/>
  <c r="BM2871" i="1"/>
  <c r="BL2871" i="1"/>
  <c r="BK2871" i="1"/>
  <c r="BJ2871" i="1"/>
  <c r="BI2871" i="1"/>
  <c r="BH2871" i="1"/>
  <c r="X2871" i="1"/>
  <c r="BP2870" i="1"/>
  <c r="BO2870" i="1"/>
  <c r="BN2870" i="1"/>
  <c r="BM2870" i="1"/>
  <c r="BL2870" i="1"/>
  <c r="BK2870" i="1"/>
  <c r="BJ2870" i="1"/>
  <c r="BI2870" i="1"/>
  <c r="BH2870" i="1"/>
  <c r="BP2869" i="1"/>
  <c r="BO2869" i="1"/>
  <c r="BN2869" i="1"/>
  <c r="BM2869" i="1"/>
  <c r="BL2869" i="1"/>
  <c r="BK2869" i="1"/>
  <c r="BJ2869" i="1"/>
  <c r="BI2869" i="1"/>
  <c r="BH2869" i="1"/>
  <c r="BP2868" i="1"/>
  <c r="BO2868" i="1"/>
  <c r="BN2868" i="1"/>
  <c r="BM2868" i="1"/>
  <c r="BL2868" i="1"/>
  <c r="BK2868" i="1"/>
  <c r="BJ2868" i="1"/>
  <c r="BI2868" i="1"/>
  <c r="BH2868" i="1"/>
  <c r="AY2868" i="1"/>
  <c r="BP2867" i="1"/>
  <c r="BO2867" i="1"/>
  <c r="BN2867" i="1"/>
  <c r="BM2867" i="1"/>
  <c r="BL2867" i="1"/>
  <c r="BK2867" i="1"/>
  <c r="BJ2867" i="1"/>
  <c r="BI2867" i="1"/>
  <c r="BH2867" i="1"/>
  <c r="AA2867" i="1"/>
  <c r="BP2866" i="1"/>
  <c r="BK2866" i="1"/>
  <c r="BJ2866" i="1"/>
  <c r="BI2866" i="1"/>
  <c r="BG2866" i="1"/>
  <c r="AW2866" i="1"/>
  <c r="BO2866" i="1" s="1"/>
  <c r="AT2866" i="1"/>
  <c r="BN2866" i="1" s="1"/>
  <c r="AB2866" i="1"/>
  <c r="BM2866" i="1" s="1"/>
  <c r="Z2866" i="1"/>
  <c r="BL2866" i="1" s="1"/>
  <c r="U2866" i="1"/>
  <c r="S2866" i="1"/>
  <c r="O2866" i="1"/>
  <c r="E2866" i="1"/>
  <c r="BH2866" i="1" s="1"/>
  <c r="D2866" i="1"/>
  <c r="BP2865" i="1"/>
  <c r="BO2865" i="1"/>
  <c r="BN2865" i="1"/>
  <c r="BM2865" i="1"/>
  <c r="BL2865" i="1"/>
  <c r="BK2865" i="1"/>
  <c r="BJ2865" i="1"/>
  <c r="BI2865" i="1"/>
  <c r="BH2865" i="1"/>
  <c r="BP2864" i="1"/>
  <c r="BO2864" i="1"/>
  <c r="BN2864" i="1"/>
  <c r="BM2864" i="1"/>
  <c r="BL2864" i="1"/>
  <c r="BK2864" i="1"/>
  <c r="BJ2864" i="1"/>
  <c r="BI2864" i="1"/>
  <c r="BH2864" i="1"/>
  <c r="BP2863" i="1"/>
  <c r="BO2863" i="1"/>
  <c r="BN2863" i="1"/>
  <c r="BM2863" i="1"/>
  <c r="BL2863" i="1"/>
  <c r="BJ2863" i="1"/>
  <c r="BI2863" i="1"/>
  <c r="BH2863" i="1"/>
  <c r="V2863" i="1"/>
  <c r="BK2863" i="1" s="1"/>
  <c r="BP2862" i="1"/>
  <c r="BO2862" i="1"/>
  <c r="BN2862" i="1"/>
  <c r="BM2862" i="1"/>
  <c r="BL2862" i="1"/>
  <c r="BK2862" i="1"/>
  <c r="BJ2862" i="1"/>
  <c r="BI2862" i="1"/>
  <c r="BH2862" i="1"/>
  <c r="BP2861" i="1"/>
  <c r="BO2861" i="1"/>
  <c r="BN2861" i="1"/>
  <c r="BM2861" i="1"/>
  <c r="BL2861" i="1"/>
  <c r="BK2861" i="1"/>
  <c r="BJ2861" i="1"/>
  <c r="BI2861" i="1"/>
  <c r="BH2861" i="1"/>
  <c r="BP2860" i="1"/>
  <c r="BO2860" i="1"/>
  <c r="BN2860" i="1"/>
  <c r="BM2860" i="1"/>
  <c r="BL2860" i="1"/>
  <c r="BK2860" i="1"/>
  <c r="BJ2860" i="1"/>
  <c r="BI2860" i="1"/>
  <c r="BH2860" i="1"/>
  <c r="BP2859" i="1"/>
  <c r="BO2859" i="1"/>
  <c r="BN2859" i="1"/>
  <c r="BM2859" i="1"/>
  <c r="BL2859" i="1"/>
  <c r="BK2859" i="1"/>
  <c r="BJ2859" i="1"/>
  <c r="BI2859" i="1"/>
  <c r="BH2859" i="1"/>
  <c r="BP2858" i="1"/>
  <c r="BO2858" i="1"/>
  <c r="BN2858" i="1"/>
  <c r="BL2858" i="1"/>
  <c r="BK2858" i="1"/>
  <c r="BJ2858" i="1"/>
  <c r="BI2858" i="1"/>
  <c r="BH2858" i="1"/>
  <c r="AR2858" i="1"/>
  <c r="AN2858" i="1"/>
  <c r="BM2858" i="1" s="1"/>
  <c r="BP2857" i="1"/>
  <c r="BO2857" i="1"/>
  <c r="BN2857" i="1"/>
  <c r="BM2857" i="1"/>
  <c r="BL2857" i="1"/>
  <c r="BK2857" i="1"/>
  <c r="BJ2857" i="1"/>
  <c r="BI2857" i="1"/>
  <c r="BH2857" i="1"/>
  <c r="BP2856" i="1"/>
  <c r="BO2856" i="1"/>
  <c r="BN2856" i="1"/>
  <c r="BM2856" i="1"/>
  <c r="BL2856" i="1"/>
  <c r="BK2856" i="1"/>
  <c r="BJ2856" i="1"/>
  <c r="BI2856" i="1"/>
  <c r="BH2856" i="1"/>
  <c r="BP2855" i="1"/>
  <c r="BO2855" i="1"/>
  <c r="BN2855" i="1"/>
  <c r="BM2855" i="1"/>
  <c r="BL2855" i="1"/>
  <c r="BK2855" i="1"/>
  <c r="BJ2855" i="1"/>
  <c r="BI2855" i="1"/>
  <c r="BH2855" i="1"/>
  <c r="BP2854" i="1"/>
  <c r="BN2854" i="1"/>
  <c r="BM2854" i="1"/>
  <c r="BL2854" i="1"/>
  <c r="BK2854" i="1"/>
  <c r="BJ2854" i="1"/>
  <c r="BI2854" i="1"/>
  <c r="BH2854" i="1"/>
  <c r="BE2854" i="1"/>
  <c r="BO2854" i="1" s="1"/>
  <c r="BP2853" i="1"/>
  <c r="BO2853" i="1"/>
  <c r="BN2853" i="1"/>
  <c r="BM2853" i="1"/>
  <c r="BL2853" i="1"/>
  <c r="BK2853" i="1"/>
  <c r="BJ2853" i="1"/>
  <c r="BI2853" i="1"/>
  <c r="BH2853" i="1"/>
  <c r="BP2852" i="1"/>
  <c r="BO2852" i="1"/>
  <c r="BN2852" i="1"/>
  <c r="BM2852" i="1"/>
  <c r="BL2852" i="1"/>
  <c r="BK2852" i="1"/>
  <c r="BJ2852" i="1"/>
  <c r="BI2852" i="1"/>
  <c r="BH2852" i="1"/>
  <c r="AS2852" i="1"/>
  <c r="BP2851" i="1"/>
  <c r="BO2851" i="1"/>
  <c r="BN2851" i="1"/>
  <c r="BM2851" i="1"/>
  <c r="BL2851" i="1"/>
  <c r="BK2851" i="1"/>
  <c r="BJ2851" i="1"/>
  <c r="BI2851" i="1"/>
  <c r="BH2851" i="1"/>
  <c r="AS2851" i="1"/>
  <c r="BP2850" i="1"/>
  <c r="BO2850" i="1"/>
  <c r="BN2850" i="1"/>
  <c r="BL2850" i="1"/>
  <c r="BK2850" i="1"/>
  <c r="BJ2850" i="1"/>
  <c r="BI2850" i="1"/>
  <c r="BH2850" i="1"/>
  <c r="AR2850" i="1"/>
  <c r="BM2850" i="1" s="1"/>
  <c r="AN2850" i="1"/>
  <c r="BP2849" i="1"/>
  <c r="BO2849" i="1"/>
  <c r="BN2849" i="1"/>
  <c r="BM2849" i="1"/>
  <c r="BL2849" i="1"/>
  <c r="BK2849" i="1"/>
  <c r="BJ2849" i="1"/>
  <c r="BI2849" i="1"/>
  <c r="BH2849" i="1"/>
  <c r="AP2849" i="1"/>
  <c r="BP2848" i="1"/>
  <c r="BO2848" i="1"/>
  <c r="BN2848" i="1"/>
  <c r="BM2848" i="1"/>
  <c r="BL2848" i="1"/>
  <c r="BK2848" i="1"/>
  <c r="BJ2848" i="1"/>
  <c r="BI2848" i="1"/>
  <c r="BH2848" i="1"/>
  <c r="BP2847" i="1"/>
  <c r="BO2847" i="1"/>
  <c r="BN2847" i="1"/>
  <c r="BM2847" i="1"/>
  <c r="BL2847" i="1"/>
  <c r="BK2847" i="1"/>
  <c r="BJ2847" i="1"/>
  <c r="BI2847" i="1"/>
  <c r="BH2847" i="1"/>
  <c r="BP2846" i="1"/>
  <c r="BO2846" i="1"/>
  <c r="BN2846" i="1"/>
  <c r="BM2846" i="1"/>
  <c r="BL2846" i="1"/>
  <c r="BK2846" i="1"/>
  <c r="BJ2846" i="1"/>
  <c r="BI2846" i="1"/>
  <c r="BH2846" i="1"/>
  <c r="BP2845" i="1"/>
  <c r="BN2845" i="1"/>
  <c r="BM2845" i="1"/>
  <c r="BL2845" i="1"/>
  <c r="BK2845" i="1"/>
  <c r="BJ2845" i="1"/>
  <c r="BI2845" i="1"/>
  <c r="BH2845" i="1"/>
  <c r="BE2845" i="1"/>
  <c r="BO2845" i="1" s="1"/>
  <c r="BP2844" i="1"/>
  <c r="BO2844" i="1"/>
  <c r="BN2844" i="1"/>
  <c r="BM2844" i="1"/>
  <c r="BL2844" i="1"/>
  <c r="BK2844" i="1"/>
  <c r="BJ2844" i="1"/>
  <c r="BI2844" i="1"/>
  <c r="BH2844" i="1"/>
  <c r="BP2843" i="1"/>
  <c r="BO2843" i="1"/>
  <c r="BN2843" i="1"/>
  <c r="BM2843" i="1"/>
  <c r="BL2843" i="1"/>
  <c r="BK2843" i="1"/>
  <c r="BJ2843" i="1"/>
  <c r="BI2843" i="1"/>
  <c r="BH2843" i="1"/>
  <c r="BP2842" i="1"/>
  <c r="BO2842" i="1"/>
  <c r="BN2842" i="1"/>
  <c r="BM2842" i="1"/>
  <c r="BL2842" i="1"/>
  <c r="BK2842" i="1"/>
  <c r="BJ2842" i="1"/>
  <c r="BI2842" i="1"/>
  <c r="BH2842" i="1"/>
  <c r="BP2841" i="1"/>
  <c r="BO2841" i="1"/>
  <c r="BN2841" i="1"/>
  <c r="BM2841" i="1"/>
  <c r="BL2841" i="1"/>
  <c r="BK2841" i="1"/>
  <c r="BJ2841" i="1"/>
  <c r="BI2841" i="1"/>
  <c r="BH2841" i="1"/>
  <c r="BP2840" i="1"/>
  <c r="BO2840" i="1"/>
  <c r="BN2840" i="1"/>
  <c r="BL2840" i="1"/>
  <c r="BK2840" i="1"/>
  <c r="BJ2840" i="1"/>
  <c r="BI2840" i="1"/>
  <c r="BH2840" i="1"/>
  <c r="AQ2840" i="1"/>
  <c r="BM2840" i="1" s="1"/>
  <c r="BP2839" i="1"/>
  <c r="BO2839" i="1"/>
  <c r="BN2839" i="1"/>
  <c r="BL2839" i="1"/>
  <c r="BK2839" i="1"/>
  <c r="BJ2839" i="1"/>
  <c r="BI2839" i="1"/>
  <c r="BH2839" i="1"/>
  <c r="AQ2839" i="1"/>
  <c r="BM2839" i="1" s="1"/>
  <c r="BP2838" i="1"/>
  <c r="BO2838" i="1"/>
  <c r="BN2838" i="1"/>
  <c r="BL2838" i="1"/>
  <c r="BK2838" i="1"/>
  <c r="BJ2838" i="1"/>
  <c r="BI2838" i="1"/>
  <c r="BH2838" i="1"/>
  <c r="AS2838" i="1"/>
  <c r="BM2838" i="1" s="1"/>
  <c r="BP2837" i="1"/>
  <c r="BO2837" i="1"/>
  <c r="BN2837" i="1"/>
  <c r="BM2837" i="1"/>
  <c r="BL2837" i="1"/>
  <c r="BK2837" i="1"/>
  <c r="BJ2837" i="1"/>
  <c r="BI2837" i="1"/>
  <c r="BH2837" i="1"/>
  <c r="AR2837" i="1"/>
  <c r="AN2837" i="1"/>
  <c r="AI2837" i="1"/>
  <c r="BP2836" i="1"/>
  <c r="BO2836" i="1"/>
  <c r="BN2836" i="1"/>
  <c r="BM2836" i="1"/>
  <c r="BL2836" i="1"/>
  <c r="BK2836" i="1"/>
  <c r="BJ2836" i="1"/>
  <c r="BI2836" i="1"/>
  <c r="BH2836" i="1"/>
  <c r="BP2835" i="1"/>
  <c r="BO2835" i="1"/>
  <c r="BN2835" i="1"/>
  <c r="BM2835" i="1"/>
  <c r="BL2835" i="1"/>
  <c r="BK2835" i="1"/>
  <c r="BJ2835" i="1"/>
  <c r="BI2835" i="1"/>
  <c r="BH2835" i="1"/>
  <c r="BP2834" i="1"/>
  <c r="BO2834" i="1"/>
  <c r="BN2834" i="1"/>
  <c r="BK2834" i="1"/>
  <c r="BJ2834" i="1"/>
  <c r="BI2834" i="1"/>
  <c r="AQ2834" i="1"/>
  <c r="BM2834" i="1" s="1"/>
  <c r="AA2834" i="1"/>
  <c r="BL2834" i="1" s="1"/>
  <c r="L2834" i="1"/>
  <c r="BH2834" i="1" s="1"/>
  <c r="BP2833" i="1"/>
  <c r="BO2833" i="1"/>
  <c r="BN2833" i="1"/>
  <c r="BM2833" i="1"/>
  <c r="BK2833" i="1"/>
  <c r="BJ2833" i="1"/>
  <c r="BI2833" i="1"/>
  <c r="AS2833" i="1"/>
  <c r="AA2833" i="1"/>
  <c r="BL2833" i="1" s="1"/>
  <c r="L2833" i="1"/>
  <c r="BH2833" i="1" s="1"/>
  <c r="BP2832" i="1"/>
  <c r="BO2832" i="1"/>
  <c r="BN2832" i="1"/>
  <c r="BM2832" i="1"/>
  <c r="BL2832" i="1"/>
  <c r="BK2832" i="1"/>
  <c r="BJ2832" i="1"/>
  <c r="BI2832" i="1"/>
  <c r="BH2832" i="1"/>
  <c r="BP2831" i="1"/>
  <c r="BO2831" i="1"/>
  <c r="BN2831" i="1"/>
  <c r="BM2831" i="1"/>
  <c r="BL2831" i="1"/>
  <c r="BK2831" i="1"/>
  <c r="BJ2831" i="1"/>
  <c r="BI2831" i="1"/>
  <c r="BH2831" i="1"/>
  <c r="AY2831" i="1"/>
  <c r="BP2830" i="1"/>
  <c r="BO2830" i="1"/>
  <c r="BN2830" i="1"/>
  <c r="BM2830" i="1"/>
  <c r="BL2830" i="1"/>
  <c r="BK2830" i="1"/>
  <c r="BJ2830" i="1"/>
  <c r="BI2830" i="1"/>
  <c r="BH2830" i="1"/>
  <c r="BP2829" i="1"/>
  <c r="BO2829" i="1"/>
  <c r="BN2829" i="1"/>
  <c r="BM2829" i="1"/>
  <c r="BL2829" i="1"/>
  <c r="BK2829" i="1"/>
  <c r="BJ2829" i="1"/>
  <c r="BI2829" i="1"/>
  <c r="BH2829" i="1"/>
  <c r="BP2828" i="1"/>
  <c r="BO2828" i="1"/>
  <c r="BN2828" i="1"/>
  <c r="BM2828" i="1"/>
  <c r="BL2828" i="1"/>
  <c r="BK2828" i="1"/>
  <c r="BJ2828" i="1"/>
  <c r="BI2828" i="1"/>
  <c r="BH2828" i="1"/>
  <c r="AR2828" i="1"/>
  <c r="AN2828" i="1"/>
  <c r="BP2827" i="1"/>
  <c r="BO2827" i="1"/>
  <c r="BN2827" i="1"/>
  <c r="BM2827" i="1"/>
  <c r="BL2827" i="1"/>
  <c r="BK2827" i="1"/>
  <c r="BJ2827" i="1"/>
  <c r="BH2827" i="1"/>
  <c r="AR2827" i="1"/>
  <c r="AQ2827" i="1"/>
  <c r="P2827" i="1"/>
  <c r="BI2827" i="1" s="1"/>
  <c r="BP2826" i="1"/>
  <c r="BO2826" i="1"/>
  <c r="BN2826" i="1"/>
  <c r="BM2826" i="1"/>
  <c r="BL2826" i="1"/>
  <c r="BK2826" i="1"/>
  <c r="BJ2826" i="1"/>
  <c r="BI2826" i="1"/>
  <c r="BH2826" i="1"/>
  <c r="AB2826" i="1"/>
  <c r="BP2825" i="1"/>
  <c r="BO2825" i="1"/>
  <c r="BN2825" i="1"/>
  <c r="BM2825" i="1"/>
  <c r="BK2825" i="1"/>
  <c r="BJ2825" i="1"/>
  <c r="BI2825" i="1"/>
  <c r="BH2825" i="1"/>
  <c r="AA2825" i="1"/>
  <c r="BL2825" i="1" s="1"/>
  <c r="BP2824" i="1"/>
  <c r="BO2824" i="1"/>
  <c r="BN2824" i="1"/>
  <c r="BM2824" i="1"/>
  <c r="BL2824" i="1"/>
  <c r="BK2824" i="1"/>
  <c r="BJ2824" i="1"/>
  <c r="BI2824" i="1"/>
  <c r="BH2824" i="1"/>
  <c r="BP2823" i="1"/>
  <c r="BO2823" i="1"/>
  <c r="BN2823" i="1"/>
  <c r="BM2823" i="1"/>
  <c r="BL2823" i="1"/>
  <c r="BK2823" i="1"/>
  <c r="BJ2823" i="1"/>
  <c r="BI2823" i="1"/>
  <c r="BH2823" i="1"/>
  <c r="BP2822" i="1"/>
  <c r="BO2822" i="1"/>
  <c r="BN2822" i="1"/>
  <c r="BM2822" i="1"/>
  <c r="BL2822" i="1"/>
  <c r="BK2822" i="1"/>
  <c r="BJ2822" i="1"/>
  <c r="BI2822" i="1"/>
  <c r="BH2822" i="1"/>
  <c r="BP2821" i="1"/>
  <c r="BO2821" i="1"/>
  <c r="BN2821" i="1"/>
  <c r="BL2821" i="1"/>
  <c r="BK2821" i="1"/>
  <c r="BJ2821" i="1"/>
  <c r="BI2821" i="1"/>
  <c r="BH2821" i="1"/>
  <c r="AR2821" i="1"/>
  <c r="AN2821" i="1"/>
  <c r="BP2820" i="1"/>
  <c r="BO2820" i="1"/>
  <c r="BN2820" i="1"/>
  <c r="BL2820" i="1"/>
  <c r="BK2820" i="1"/>
  <c r="BJ2820" i="1"/>
  <c r="BI2820" i="1"/>
  <c r="BH2820" i="1"/>
  <c r="AR2820" i="1"/>
  <c r="AQ2820" i="1"/>
  <c r="BM2820" i="1" s="1"/>
  <c r="P2820" i="1"/>
  <c r="BP2819" i="1"/>
  <c r="BO2819" i="1"/>
  <c r="BN2819" i="1"/>
  <c r="BM2819" i="1"/>
  <c r="BL2819" i="1"/>
  <c r="BK2819" i="1"/>
  <c r="BJ2819" i="1"/>
  <c r="BI2819" i="1"/>
  <c r="BH2819" i="1"/>
  <c r="BP2818" i="1"/>
  <c r="BO2818" i="1"/>
  <c r="BN2818" i="1"/>
  <c r="BM2818" i="1"/>
  <c r="BL2818" i="1"/>
  <c r="BK2818" i="1"/>
  <c r="BJ2818" i="1"/>
  <c r="BI2818" i="1"/>
  <c r="BH2818" i="1"/>
  <c r="BP2817" i="1"/>
  <c r="BO2817" i="1"/>
  <c r="BN2817" i="1"/>
  <c r="BM2817" i="1"/>
  <c r="BL2817" i="1"/>
  <c r="BK2817" i="1"/>
  <c r="BJ2817" i="1"/>
  <c r="BI2817" i="1"/>
  <c r="BH2817" i="1"/>
  <c r="BP2816" i="1"/>
  <c r="BN2816" i="1"/>
  <c r="BM2816" i="1"/>
  <c r="BL2816" i="1"/>
  <c r="BK2816" i="1"/>
  <c r="BJ2816" i="1"/>
  <c r="BI2816" i="1"/>
  <c r="BH2816" i="1"/>
  <c r="BE2816" i="1"/>
  <c r="BO2816" i="1" s="1"/>
  <c r="BP2815" i="1"/>
  <c r="BO2815" i="1"/>
  <c r="BN2815" i="1"/>
  <c r="BL2815" i="1"/>
  <c r="BK2815" i="1"/>
  <c r="BJ2815" i="1"/>
  <c r="BI2815" i="1"/>
  <c r="BH2815" i="1"/>
  <c r="AS2815" i="1"/>
  <c r="AN2815" i="1"/>
  <c r="BM2815" i="1" s="1"/>
  <c r="BP2814" i="1"/>
  <c r="BO2814" i="1"/>
  <c r="BN2814" i="1"/>
  <c r="BL2814" i="1"/>
  <c r="BK2814" i="1"/>
  <c r="BJ2814" i="1"/>
  <c r="BI2814" i="1"/>
  <c r="BH2814" i="1"/>
  <c r="AS2814" i="1"/>
  <c r="BM2814" i="1" s="1"/>
  <c r="BP2813" i="1"/>
  <c r="BO2813" i="1"/>
  <c r="BN2813" i="1"/>
  <c r="BM2813" i="1"/>
  <c r="BL2813" i="1"/>
  <c r="BK2813" i="1"/>
  <c r="BJ2813" i="1"/>
  <c r="BI2813" i="1"/>
  <c r="BH2813" i="1"/>
  <c r="AN2813" i="1"/>
  <c r="BP2812" i="1"/>
  <c r="BO2812" i="1"/>
  <c r="BN2812" i="1"/>
  <c r="BM2812" i="1"/>
  <c r="BL2812" i="1"/>
  <c r="BK2812" i="1"/>
  <c r="BJ2812" i="1"/>
  <c r="BI2812" i="1"/>
  <c r="BH2812" i="1"/>
  <c r="BP2811" i="1"/>
  <c r="BO2811" i="1"/>
  <c r="BN2811" i="1"/>
  <c r="BM2811" i="1"/>
  <c r="BL2811" i="1"/>
  <c r="BK2811" i="1"/>
  <c r="BJ2811" i="1"/>
  <c r="BI2811" i="1"/>
  <c r="BH2811" i="1"/>
  <c r="AQ2811" i="1"/>
  <c r="AA2811" i="1"/>
  <c r="L2811" i="1"/>
  <c r="BP2810" i="1"/>
  <c r="BO2810" i="1"/>
  <c r="BN2810" i="1"/>
  <c r="BM2810" i="1"/>
  <c r="BL2810" i="1"/>
  <c r="BK2810" i="1"/>
  <c r="BJ2810" i="1"/>
  <c r="BI2810" i="1"/>
  <c r="BH2810" i="1"/>
  <c r="V2810" i="1"/>
  <c r="BP2809" i="1"/>
  <c r="BO2809" i="1"/>
  <c r="BN2809" i="1"/>
  <c r="BM2809" i="1"/>
  <c r="BL2809" i="1"/>
  <c r="BK2809" i="1"/>
  <c r="BJ2809" i="1"/>
  <c r="BI2809" i="1"/>
  <c r="BH2809" i="1"/>
  <c r="BP2808" i="1"/>
  <c r="BO2808" i="1"/>
  <c r="BL2808" i="1"/>
  <c r="BJ2808" i="1"/>
  <c r="BI2808" i="1"/>
  <c r="BH2808" i="1"/>
  <c r="BG2808" i="1"/>
  <c r="AU2808" i="1"/>
  <c r="BN2808" i="1" s="1"/>
  <c r="AG2808" i="1"/>
  <c r="AC2808" i="1"/>
  <c r="BM2808" i="1" s="1"/>
  <c r="U2808" i="1"/>
  <c r="BK2808" i="1" s="1"/>
  <c r="S2808" i="1"/>
  <c r="M2808" i="1"/>
  <c r="D2808" i="1"/>
  <c r="BP2807" i="1"/>
  <c r="BO2807" i="1"/>
  <c r="BN2807" i="1"/>
  <c r="BM2807" i="1"/>
  <c r="BL2807" i="1"/>
  <c r="BK2807" i="1"/>
  <c r="BJ2807" i="1"/>
  <c r="BI2807" i="1"/>
  <c r="BH2807" i="1"/>
  <c r="BP2806" i="1"/>
  <c r="BO2806" i="1"/>
  <c r="BN2806" i="1"/>
  <c r="BM2806" i="1"/>
  <c r="BL2806" i="1"/>
  <c r="BK2806" i="1"/>
  <c r="BJ2806" i="1"/>
  <c r="BI2806" i="1"/>
  <c r="BH2806" i="1"/>
  <c r="BP2805" i="1"/>
  <c r="BO2805" i="1"/>
  <c r="BN2805" i="1"/>
  <c r="BM2805" i="1"/>
  <c r="BL2805" i="1"/>
  <c r="BK2805" i="1"/>
  <c r="BJ2805" i="1"/>
  <c r="BI2805" i="1"/>
  <c r="BH2805" i="1"/>
  <c r="BP2804" i="1"/>
  <c r="BO2804" i="1"/>
  <c r="BN2804" i="1"/>
  <c r="BM2804" i="1"/>
  <c r="BL2804" i="1"/>
  <c r="BK2804" i="1"/>
  <c r="BJ2804" i="1"/>
  <c r="BI2804" i="1"/>
  <c r="BH2804" i="1"/>
  <c r="BP2803" i="1"/>
  <c r="BO2803" i="1"/>
  <c r="BN2803" i="1"/>
  <c r="BM2803" i="1"/>
  <c r="BL2803" i="1"/>
  <c r="BK2803" i="1"/>
  <c r="BJ2803" i="1"/>
  <c r="BI2803" i="1"/>
  <c r="BH2803" i="1"/>
  <c r="AR2803" i="1"/>
  <c r="AN2803" i="1"/>
  <c r="BP2802" i="1"/>
  <c r="BO2802" i="1"/>
  <c r="BN2802" i="1"/>
  <c r="BM2802" i="1"/>
  <c r="BL2802" i="1"/>
  <c r="BK2802" i="1"/>
  <c r="BJ2802" i="1"/>
  <c r="BI2802" i="1"/>
  <c r="BH2802" i="1"/>
  <c r="AP2802" i="1"/>
  <c r="BP2801" i="1"/>
  <c r="BO2801" i="1"/>
  <c r="BN2801" i="1"/>
  <c r="BM2801" i="1"/>
  <c r="BL2801" i="1"/>
  <c r="BK2801" i="1"/>
  <c r="BJ2801" i="1"/>
  <c r="BI2801" i="1"/>
  <c r="BH2801" i="1"/>
  <c r="BP2800" i="1"/>
  <c r="BO2800" i="1"/>
  <c r="BN2800" i="1"/>
  <c r="BM2800" i="1"/>
  <c r="BL2800" i="1"/>
  <c r="BK2800" i="1"/>
  <c r="BJ2800" i="1"/>
  <c r="BI2800" i="1"/>
  <c r="BH2800" i="1"/>
  <c r="BP2799" i="1"/>
  <c r="BO2799" i="1"/>
  <c r="BN2799" i="1"/>
  <c r="BM2799" i="1"/>
  <c r="BL2799" i="1"/>
  <c r="BK2799" i="1"/>
  <c r="BJ2799" i="1"/>
  <c r="BI2799" i="1"/>
  <c r="BH2799" i="1"/>
  <c r="AQ2799" i="1"/>
  <c r="BP2798" i="1"/>
  <c r="BO2798" i="1"/>
  <c r="BN2798" i="1"/>
  <c r="BM2798" i="1"/>
  <c r="BL2798" i="1"/>
  <c r="BK2798" i="1"/>
  <c r="BJ2798" i="1"/>
  <c r="BI2798" i="1"/>
  <c r="BH2798" i="1"/>
  <c r="AS2798" i="1"/>
  <c r="AN2798" i="1"/>
  <c r="BP2797" i="1"/>
  <c r="BO2797" i="1"/>
  <c r="BN2797" i="1"/>
  <c r="BM2797" i="1"/>
  <c r="BL2797" i="1"/>
  <c r="BK2797" i="1"/>
  <c r="BJ2797" i="1"/>
  <c r="BI2797" i="1"/>
  <c r="BH2797" i="1"/>
  <c r="AS2797" i="1"/>
  <c r="AN2797" i="1"/>
  <c r="BP2796" i="1"/>
  <c r="BO2796" i="1"/>
  <c r="BN2796" i="1"/>
  <c r="BM2796" i="1"/>
  <c r="BL2796" i="1"/>
  <c r="BK2796" i="1"/>
  <c r="BJ2796" i="1"/>
  <c r="BI2796" i="1"/>
  <c r="BH2796" i="1"/>
  <c r="AR2796" i="1"/>
  <c r="AN2796" i="1"/>
  <c r="BP2795" i="1"/>
  <c r="BO2795" i="1"/>
  <c r="BN2795" i="1"/>
  <c r="BL2795" i="1"/>
  <c r="BK2795" i="1"/>
  <c r="BJ2795" i="1"/>
  <c r="BI2795" i="1"/>
  <c r="BH2795" i="1"/>
  <c r="AR2795" i="1"/>
  <c r="AN2795" i="1"/>
  <c r="BM2795" i="1" s="1"/>
  <c r="BP2794" i="1"/>
  <c r="BO2794" i="1"/>
  <c r="BN2794" i="1"/>
  <c r="BL2794" i="1"/>
  <c r="BK2794" i="1"/>
  <c r="BJ2794" i="1"/>
  <c r="BI2794" i="1"/>
  <c r="BH2794" i="1"/>
  <c r="AR2794" i="1"/>
  <c r="AQ2794" i="1"/>
  <c r="P2794" i="1"/>
  <c r="BP2793" i="1"/>
  <c r="BO2793" i="1"/>
  <c r="BN2793" i="1"/>
  <c r="BM2793" i="1"/>
  <c r="BL2793" i="1"/>
  <c r="BK2793" i="1"/>
  <c r="BJ2793" i="1"/>
  <c r="BI2793" i="1"/>
  <c r="BH2793" i="1"/>
  <c r="BP2792" i="1"/>
  <c r="BO2792" i="1"/>
  <c r="BN2792" i="1"/>
  <c r="BM2792" i="1"/>
  <c r="BL2792" i="1"/>
  <c r="BK2792" i="1"/>
  <c r="BJ2792" i="1"/>
  <c r="BI2792" i="1"/>
  <c r="BH2792" i="1"/>
  <c r="BP2791" i="1"/>
  <c r="BO2791" i="1"/>
  <c r="BN2791" i="1"/>
  <c r="BM2791" i="1"/>
  <c r="BL2791" i="1"/>
  <c r="BK2791" i="1"/>
  <c r="BJ2791" i="1"/>
  <c r="BI2791" i="1"/>
  <c r="BH2791" i="1"/>
  <c r="BP2790" i="1"/>
  <c r="BO2790" i="1"/>
  <c r="BN2790" i="1"/>
  <c r="BM2790" i="1"/>
  <c r="BL2790" i="1"/>
  <c r="BK2790" i="1"/>
  <c r="BJ2790" i="1"/>
  <c r="BI2790" i="1"/>
  <c r="BH2790" i="1"/>
  <c r="BE2790" i="1"/>
  <c r="BP2789" i="1"/>
  <c r="BO2789" i="1"/>
  <c r="BM2789" i="1"/>
  <c r="BL2789" i="1"/>
  <c r="BK2789" i="1"/>
  <c r="BJ2789" i="1"/>
  <c r="BH2789" i="1"/>
  <c r="BG2789" i="1"/>
  <c r="AT2789" i="1"/>
  <c r="BN2789" i="1" s="1"/>
  <c r="AQ2789" i="1"/>
  <c r="AA2789" i="1"/>
  <c r="Z2789" i="1"/>
  <c r="U2789" i="1"/>
  <c r="S2789" i="1"/>
  <c r="N2789" i="1"/>
  <c r="BI2789" i="1" s="1"/>
  <c r="L2789" i="1"/>
  <c r="C2789" i="1"/>
  <c r="BP2788" i="1"/>
  <c r="BO2788" i="1"/>
  <c r="BN2788" i="1"/>
  <c r="BM2788" i="1"/>
  <c r="BL2788" i="1"/>
  <c r="BJ2788" i="1"/>
  <c r="BI2788" i="1"/>
  <c r="BH2788" i="1"/>
  <c r="V2788" i="1"/>
  <c r="BK2788" i="1" s="1"/>
  <c r="BP2787" i="1"/>
  <c r="BO2787" i="1"/>
  <c r="BN2787" i="1"/>
  <c r="BM2787" i="1"/>
  <c r="BL2787" i="1"/>
  <c r="BK2787" i="1"/>
  <c r="BJ2787" i="1"/>
  <c r="BI2787" i="1"/>
  <c r="BH2787" i="1"/>
  <c r="BP2786" i="1"/>
  <c r="BO2786" i="1"/>
  <c r="BN2786" i="1"/>
  <c r="BM2786" i="1"/>
  <c r="BL2786" i="1"/>
  <c r="BK2786" i="1"/>
  <c r="BJ2786" i="1"/>
  <c r="BI2786" i="1"/>
  <c r="BH2786" i="1"/>
  <c r="AB2786" i="1"/>
  <c r="BP2785" i="1"/>
  <c r="BO2785" i="1"/>
  <c r="BN2785" i="1"/>
  <c r="BL2785" i="1"/>
  <c r="BK2785" i="1"/>
  <c r="BJ2785" i="1"/>
  <c r="BI2785" i="1"/>
  <c r="BH2785" i="1"/>
  <c r="AR2785" i="1"/>
  <c r="AN2785" i="1"/>
  <c r="BP2784" i="1"/>
  <c r="BO2784" i="1"/>
  <c r="BN2784" i="1"/>
  <c r="BL2784" i="1"/>
  <c r="BK2784" i="1"/>
  <c r="BJ2784" i="1"/>
  <c r="BI2784" i="1"/>
  <c r="BH2784" i="1"/>
  <c r="AR2784" i="1"/>
  <c r="AN2784" i="1"/>
  <c r="BM2784" i="1" s="1"/>
  <c r="BP2783" i="1"/>
  <c r="BO2783" i="1"/>
  <c r="BN2783" i="1"/>
  <c r="BM2783" i="1"/>
  <c r="BL2783" i="1"/>
  <c r="BK2783" i="1"/>
  <c r="BJ2783" i="1"/>
  <c r="BI2783" i="1"/>
  <c r="BH2783" i="1"/>
  <c r="BP2782" i="1"/>
  <c r="BO2782" i="1"/>
  <c r="BN2782" i="1"/>
  <c r="BM2782" i="1"/>
  <c r="BL2782" i="1"/>
  <c r="BK2782" i="1"/>
  <c r="BJ2782" i="1"/>
  <c r="BI2782" i="1"/>
  <c r="BH2782" i="1"/>
  <c r="BP2781" i="1"/>
  <c r="BO2781" i="1"/>
  <c r="BN2781" i="1"/>
  <c r="BM2781" i="1"/>
  <c r="BL2781" i="1"/>
  <c r="BK2781" i="1"/>
  <c r="BJ2781" i="1"/>
  <c r="BI2781" i="1"/>
  <c r="BH2781" i="1"/>
  <c r="AQ2781" i="1"/>
  <c r="BP2780" i="1"/>
  <c r="BO2780" i="1"/>
  <c r="BN2780" i="1"/>
  <c r="BM2780" i="1"/>
  <c r="BL2780" i="1"/>
  <c r="BK2780" i="1"/>
  <c r="BJ2780" i="1"/>
  <c r="BI2780" i="1"/>
  <c r="BH2780" i="1"/>
  <c r="AQ2780" i="1"/>
  <c r="AB2780" i="1"/>
  <c r="BP2779" i="1"/>
  <c r="BO2779" i="1"/>
  <c r="BN2779" i="1"/>
  <c r="BL2779" i="1"/>
  <c r="BK2779" i="1"/>
  <c r="BJ2779" i="1"/>
  <c r="BI2779" i="1"/>
  <c r="BH2779" i="1"/>
  <c r="AS2779" i="1"/>
  <c r="BM2779" i="1" s="1"/>
  <c r="AN2779" i="1"/>
  <c r="BP2778" i="1"/>
  <c r="BO2778" i="1"/>
  <c r="BN2778" i="1"/>
  <c r="BM2778" i="1"/>
  <c r="BL2778" i="1"/>
  <c r="BK2778" i="1"/>
  <c r="BJ2778" i="1"/>
  <c r="BI2778" i="1"/>
  <c r="BH2778" i="1"/>
  <c r="BP2777" i="1"/>
  <c r="BO2777" i="1"/>
  <c r="BN2777" i="1"/>
  <c r="BL2777" i="1"/>
  <c r="BK2777" i="1"/>
  <c r="BJ2777" i="1"/>
  <c r="BI2777" i="1"/>
  <c r="BH2777" i="1"/>
  <c r="AR2777" i="1"/>
  <c r="AN2777" i="1"/>
  <c r="BM2777" i="1" s="1"/>
  <c r="BP2776" i="1"/>
  <c r="BO2776" i="1"/>
  <c r="BN2776" i="1"/>
  <c r="BL2776" i="1"/>
  <c r="BK2776" i="1"/>
  <c r="BJ2776" i="1"/>
  <c r="BI2776" i="1"/>
  <c r="BH2776" i="1"/>
  <c r="AR2776" i="1"/>
  <c r="AN2776" i="1"/>
  <c r="BM2776" i="1" s="1"/>
  <c r="BP2775" i="1"/>
  <c r="BO2775" i="1"/>
  <c r="BN2775" i="1"/>
  <c r="BM2775" i="1"/>
  <c r="BL2775" i="1"/>
  <c r="BI2775" i="1"/>
  <c r="BG2775" i="1"/>
  <c r="AX2775" i="1"/>
  <c r="AT2775" i="1"/>
  <c r="AC2775" i="1"/>
  <c r="U2775" i="1"/>
  <c r="BK2775" i="1" s="1"/>
  <c r="S2775" i="1"/>
  <c r="BJ2775" i="1" s="1"/>
  <c r="C2775" i="1"/>
  <c r="BH2775" i="1" s="1"/>
  <c r="BP2774" i="1"/>
  <c r="BO2774" i="1"/>
  <c r="BN2774" i="1"/>
  <c r="BM2774" i="1"/>
  <c r="BL2774" i="1"/>
  <c r="BK2774" i="1"/>
  <c r="BJ2774" i="1"/>
  <c r="BI2774" i="1"/>
  <c r="BH2774" i="1"/>
  <c r="BP2773" i="1"/>
  <c r="BO2773" i="1"/>
  <c r="BN2773" i="1"/>
  <c r="BL2773" i="1"/>
  <c r="BK2773" i="1"/>
  <c r="BJ2773" i="1"/>
  <c r="BI2773" i="1"/>
  <c r="BH2773" i="1"/>
  <c r="AQ2773" i="1"/>
  <c r="BM2773" i="1" s="1"/>
  <c r="BP2772" i="1"/>
  <c r="BO2772" i="1"/>
  <c r="BN2772" i="1"/>
  <c r="BM2772" i="1"/>
  <c r="BL2772" i="1"/>
  <c r="BK2772" i="1"/>
  <c r="BJ2772" i="1"/>
  <c r="BI2772" i="1"/>
  <c r="BH2772" i="1"/>
  <c r="AA2772" i="1"/>
  <c r="BP2771" i="1"/>
  <c r="BO2771" i="1"/>
  <c r="BN2771" i="1"/>
  <c r="BM2771" i="1"/>
  <c r="BL2771" i="1"/>
  <c r="BK2771" i="1"/>
  <c r="BJ2771" i="1"/>
  <c r="BI2771" i="1"/>
  <c r="BH2771" i="1"/>
  <c r="AS2771" i="1"/>
  <c r="AN2771" i="1"/>
  <c r="BP2770" i="1"/>
  <c r="BO2770" i="1"/>
  <c r="BN2770" i="1"/>
  <c r="BM2770" i="1"/>
  <c r="BL2770" i="1"/>
  <c r="BK2770" i="1"/>
  <c r="BJ2770" i="1"/>
  <c r="BI2770" i="1"/>
  <c r="BH2770" i="1"/>
  <c r="AS2770" i="1"/>
  <c r="BP2769" i="1"/>
  <c r="BO2769" i="1"/>
  <c r="BN2769" i="1"/>
  <c r="BL2769" i="1"/>
  <c r="BK2769" i="1"/>
  <c r="BJ2769" i="1"/>
  <c r="BI2769" i="1"/>
  <c r="BH2769" i="1"/>
  <c r="AS2769" i="1"/>
  <c r="BM2769" i="1" s="1"/>
  <c r="BP2768" i="1"/>
  <c r="BO2768" i="1"/>
  <c r="BN2768" i="1"/>
  <c r="BM2768" i="1"/>
  <c r="BL2768" i="1"/>
  <c r="BK2768" i="1"/>
  <c r="BJ2768" i="1"/>
  <c r="BI2768" i="1"/>
  <c r="BH2768" i="1"/>
  <c r="AR2768" i="1"/>
  <c r="AN2768" i="1"/>
  <c r="BP2767" i="1"/>
  <c r="BO2767" i="1"/>
  <c r="BN2767" i="1"/>
  <c r="BM2767" i="1"/>
  <c r="BL2767" i="1"/>
  <c r="BK2767" i="1"/>
  <c r="BJ2767" i="1"/>
  <c r="BI2767" i="1"/>
  <c r="BH2767" i="1"/>
  <c r="BP2766" i="1"/>
  <c r="BO2766" i="1"/>
  <c r="BN2766" i="1"/>
  <c r="BM2766" i="1"/>
  <c r="BL2766" i="1"/>
  <c r="BK2766" i="1"/>
  <c r="BJ2766" i="1"/>
  <c r="BI2766" i="1"/>
  <c r="AJ2766" i="1"/>
  <c r="J2766" i="1"/>
  <c r="BH2766" i="1" s="1"/>
  <c r="BP2765" i="1"/>
  <c r="BO2765" i="1"/>
  <c r="BN2765" i="1"/>
  <c r="BM2765" i="1"/>
  <c r="BL2765" i="1"/>
  <c r="BJ2765" i="1"/>
  <c r="BI2765" i="1"/>
  <c r="BH2765" i="1"/>
  <c r="V2765" i="1"/>
  <c r="BK2765" i="1" s="1"/>
  <c r="BP2764" i="1"/>
  <c r="BO2764" i="1"/>
  <c r="BN2764" i="1"/>
  <c r="BM2764" i="1"/>
  <c r="BL2764" i="1"/>
  <c r="BK2764" i="1"/>
  <c r="BJ2764" i="1"/>
  <c r="BI2764" i="1"/>
  <c r="BH2764" i="1"/>
  <c r="AQ2764" i="1"/>
  <c r="BP2763" i="1"/>
  <c r="BO2763" i="1"/>
  <c r="BN2763" i="1"/>
  <c r="BM2763" i="1"/>
  <c r="BL2763" i="1"/>
  <c r="BK2763" i="1"/>
  <c r="BJ2763" i="1"/>
  <c r="BI2763" i="1"/>
  <c r="BH2763" i="1"/>
  <c r="AS2763" i="1"/>
  <c r="AN2763" i="1"/>
  <c r="BP2762" i="1"/>
  <c r="BO2762" i="1"/>
  <c r="BN2762" i="1"/>
  <c r="BM2762" i="1"/>
  <c r="BL2762" i="1"/>
  <c r="BK2762" i="1"/>
  <c r="BJ2762" i="1"/>
  <c r="BI2762" i="1"/>
  <c r="BH2762" i="1"/>
  <c r="AR2762" i="1"/>
  <c r="AN2762" i="1"/>
  <c r="BP2761" i="1"/>
  <c r="BO2761" i="1"/>
  <c r="BN2761" i="1"/>
  <c r="BM2761" i="1"/>
  <c r="BL2761" i="1"/>
  <c r="BK2761" i="1"/>
  <c r="BJ2761" i="1"/>
  <c r="BI2761" i="1"/>
  <c r="BH2761" i="1"/>
  <c r="AR2761" i="1"/>
  <c r="AN2761" i="1"/>
  <c r="BP2760" i="1"/>
  <c r="BO2760" i="1"/>
  <c r="BN2760" i="1"/>
  <c r="BM2760" i="1"/>
  <c r="BL2760" i="1"/>
  <c r="BK2760" i="1"/>
  <c r="BJ2760" i="1"/>
  <c r="BI2760" i="1"/>
  <c r="BH2760" i="1"/>
  <c r="BP2759" i="1"/>
  <c r="BN2759" i="1"/>
  <c r="BM2759" i="1"/>
  <c r="BL2759" i="1"/>
  <c r="BK2759" i="1"/>
  <c r="BJ2759" i="1"/>
  <c r="BI2759" i="1"/>
  <c r="BH2759" i="1"/>
  <c r="AY2759" i="1"/>
  <c r="BO2759" i="1" s="1"/>
  <c r="BP2758" i="1"/>
  <c r="BO2758" i="1"/>
  <c r="BN2758" i="1"/>
  <c r="BM2758" i="1"/>
  <c r="BL2758" i="1"/>
  <c r="BK2758" i="1"/>
  <c r="BJ2758" i="1"/>
  <c r="BI2758" i="1"/>
  <c r="BH2758" i="1"/>
  <c r="BP2757" i="1"/>
  <c r="BO2757" i="1"/>
  <c r="BN2757" i="1"/>
  <c r="BM2757" i="1"/>
  <c r="BL2757" i="1"/>
  <c r="BK2757" i="1"/>
  <c r="BJ2757" i="1"/>
  <c r="BI2757" i="1"/>
  <c r="BH2757" i="1"/>
  <c r="AQ2757" i="1"/>
  <c r="BP2756" i="1"/>
  <c r="BO2756" i="1"/>
  <c r="BN2756" i="1"/>
  <c r="BM2756" i="1"/>
  <c r="BL2756" i="1"/>
  <c r="BK2756" i="1"/>
  <c r="BJ2756" i="1"/>
  <c r="BI2756" i="1"/>
  <c r="BH2756" i="1"/>
  <c r="BP2755" i="1"/>
  <c r="BO2755" i="1"/>
  <c r="BN2755" i="1"/>
  <c r="BL2755" i="1"/>
  <c r="BK2755" i="1"/>
  <c r="BJ2755" i="1"/>
  <c r="BI2755" i="1"/>
  <c r="BH2755" i="1"/>
  <c r="AR2755" i="1"/>
  <c r="AN2755" i="1"/>
  <c r="BM2755" i="1" s="1"/>
  <c r="BP2754" i="1"/>
  <c r="BO2754" i="1"/>
  <c r="BN2754" i="1"/>
  <c r="BM2754" i="1"/>
  <c r="BL2754" i="1"/>
  <c r="BK2754" i="1"/>
  <c r="BJ2754" i="1"/>
  <c r="BI2754" i="1"/>
  <c r="BH2754" i="1"/>
  <c r="BP2753" i="1"/>
  <c r="BO2753" i="1"/>
  <c r="BN2753" i="1"/>
  <c r="BM2753" i="1"/>
  <c r="BL2753" i="1"/>
  <c r="BK2753" i="1"/>
  <c r="BJ2753" i="1"/>
  <c r="BI2753" i="1"/>
  <c r="BH2753" i="1"/>
  <c r="BP2752" i="1"/>
  <c r="BO2752" i="1"/>
  <c r="BN2752" i="1"/>
  <c r="BM2752" i="1"/>
  <c r="BL2752" i="1"/>
  <c r="BK2752" i="1"/>
  <c r="BJ2752" i="1"/>
  <c r="BI2752" i="1"/>
  <c r="BH2752" i="1"/>
  <c r="BP2751" i="1"/>
  <c r="BO2751" i="1"/>
  <c r="BN2751" i="1"/>
  <c r="BM2751" i="1"/>
  <c r="BL2751" i="1"/>
  <c r="BK2751" i="1"/>
  <c r="BJ2751" i="1"/>
  <c r="BI2751" i="1"/>
  <c r="BH2751" i="1"/>
  <c r="BP2750" i="1"/>
  <c r="BO2750" i="1"/>
  <c r="BN2750" i="1"/>
  <c r="BM2750" i="1"/>
  <c r="BL2750" i="1"/>
  <c r="BK2750" i="1"/>
  <c r="BJ2750" i="1"/>
  <c r="BI2750" i="1"/>
  <c r="BH2750" i="1"/>
  <c r="BP2749" i="1"/>
  <c r="BO2749" i="1"/>
  <c r="BN2749" i="1"/>
  <c r="BM2749" i="1"/>
  <c r="BL2749" i="1"/>
  <c r="BK2749" i="1"/>
  <c r="BJ2749" i="1"/>
  <c r="BI2749" i="1"/>
  <c r="BH2749" i="1"/>
  <c r="BP2748" i="1"/>
  <c r="BO2748" i="1"/>
  <c r="BN2748" i="1"/>
  <c r="BM2748" i="1"/>
  <c r="BL2748" i="1"/>
  <c r="BK2748" i="1"/>
  <c r="BJ2748" i="1"/>
  <c r="BI2748" i="1"/>
  <c r="BH2748" i="1"/>
  <c r="BP2747" i="1"/>
  <c r="BO2747" i="1"/>
  <c r="BN2747" i="1"/>
  <c r="BM2747" i="1"/>
  <c r="BL2747" i="1"/>
  <c r="BK2747" i="1"/>
  <c r="BJ2747" i="1"/>
  <c r="BI2747" i="1"/>
  <c r="BH2747" i="1"/>
  <c r="BP2746" i="1"/>
  <c r="BO2746" i="1"/>
  <c r="BN2746" i="1"/>
  <c r="BM2746" i="1"/>
  <c r="BL2746" i="1"/>
  <c r="BK2746" i="1"/>
  <c r="BJ2746" i="1"/>
  <c r="BI2746" i="1"/>
  <c r="BH2746" i="1"/>
  <c r="BP2745" i="1"/>
  <c r="BO2745" i="1"/>
  <c r="BN2745" i="1"/>
  <c r="BM2745" i="1"/>
  <c r="BL2745" i="1"/>
  <c r="BK2745" i="1"/>
  <c r="BJ2745" i="1"/>
  <c r="BI2745" i="1"/>
  <c r="BH2745" i="1"/>
  <c r="AQ2745" i="1"/>
  <c r="BP2744" i="1"/>
  <c r="BO2744" i="1"/>
  <c r="BN2744" i="1"/>
  <c r="BM2744" i="1"/>
  <c r="BL2744" i="1"/>
  <c r="BK2744" i="1"/>
  <c r="BJ2744" i="1"/>
  <c r="BI2744" i="1"/>
  <c r="BH2744" i="1"/>
  <c r="AB2744" i="1"/>
  <c r="BP2743" i="1"/>
  <c r="BO2743" i="1"/>
  <c r="BN2743" i="1"/>
  <c r="BM2743" i="1"/>
  <c r="BL2743" i="1"/>
  <c r="BK2743" i="1"/>
  <c r="BJ2743" i="1"/>
  <c r="BI2743" i="1"/>
  <c r="BH2743" i="1"/>
  <c r="AS2743" i="1"/>
  <c r="AN2743" i="1"/>
  <c r="BP2742" i="1"/>
  <c r="BO2742" i="1"/>
  <c r="BN2742" i="1"/>
  <c r="BM2742" i="1"/>
  <c r="BL2742" i="1"/>
  <c r="BK2742" i="1"/>
  <c r="BJ2742" i="1"/>
  <c r="BI2742" i="1"/>
  <c r="BH2742" i="1"/>
  <c r="AS2742" i="1"/>
  <c r="AN2742" i="1"/>
  <c r="BP2741" i="1"/>
  <c r="BO2741" i="1"/>
  <c r="BN2741" i="1"/>
  <c r="BL2741" i="1"/>
  <c r="BK2741" i="1"/>
  <c r="BJ2741" i="1"/>
  <c r="BI2741" i="1"/>
  <c r="BH2741" i="1"/>
  <c r="AS2741" i="1"/>
  <c r="BM2741" i="1" s="1"/>
  <c r="AN2741" i="1"/>
  <c r="BP2740" i="1"/>
  <c r="BO2740" i="1"/>
  <c r="BN2740" i="1"/>
  <c r="BL2740" i="1"/>
  <c r="BK2740" i="1"/>
  <c r="BJ2740" i="1"/>
  <c r="BI2740" i="1"/>
  <c r="BH2740" i="1"/>
  <c r="AR2740" i="1"/>
  <c r="AN2740" i="1"/>
  <c r="BM2740" i="1" s="1"/>
  <c r="BP2739" i="1"/>
  <c r="BO2739" i="1"/>
  <c r="BN2739" i="1"/>
  <c r="BM2739" i="1"/>
  <c r="BL2739" i="1"/>
  <c r="BK2739" i="1"/>
  <c r="BJ2739" i="1"/>
  <c r="BI2739" i="1"/>
  <c r="BH2739" i="1"/>
  <c r="BP2738" i="1"/>
  <c r="BO2738" i="1"/>
  <c r="BN2738" i="1"/>
  <c r="BM2738" i="1"/>
  <c r="BL2738" i="1"/>
  <c r="BK2738" i="1"/>
  <c r="BJ2738" i="1"/>
  <c r="BI2738" i="1"/>
  <c r="BH2738" i="1"/>
  <c r="BP2737" i="1"/>
  <c r="BO2737" i="1"/>
  <c r="BN2737" i="1"/>
  <c r="BM2737" i="1"/>
  <c r="BL2737" i="1"/>
  <c r="BK2737" i="1"/>
  <c r="BJ2737" i="1"/>
  <c r="BI2737" i="1"/>
  <c r="BH2737" i="1"/>
  <c r="BP2736" i="1"/>
  <c r="BO2736" i="1"/>
  <c r="BN2736" i="1"/>
  <c r="BM2736" i="1"/>
  <c r="BL2736" i="1"/>
  <c r="BK2736" i="1"/>
  <c r="BJ2736" i="1"/>
  <c r="BI2736" i="1"/>
  <c r="BH2736" i="1"/>
  <c r="BP2735" i="1"/>
  <c r="BO2735" i="1"/>
  <c r="BN2735" i="1"/>
  <c r="BL2735" i="1"/>
  <c r="BK2735" i="1"/>
  <c r="BJ2735" i="1"/>
  <c r="BI2735" i="1"/>
  <c r="BH2735" i="1"/>
  <c r="AR2735" i="1"/>
  <c r="AN2735" i="1"/>
  <c r="BP2734" i="1"/>
  <c r="BO2734" i="1"/>
  <c r="BN2734" i="1"/>
  <c r="BM2734" i="1"/>
  <c r="BK2734" i="1"/>
  <c r="BJ2734" i="1"/>
  <c r="BI2734" i="1"/>
  <c r="BH2734" i="1"/>
  <c r="AA2734" i="1"/>
  <c r="BL2734" i="1" s="1"/>
  <c r="BP2733" i="1"/>
  <c r="BO2733" i="1"/>
  <c r="BN2733" i="1"/>
  <c r="BM2733" i="1"/>
  <c r="BL2733" i="1"/>
  <c r="BK2733" i="1"/>
  <c r="BJ2733" i="1"/>
  <c r="BI2733" i="1"/>
  <c r="BH2733" i="1"/>
  <c r="BP2732" i="1"/>
  <c r="BO2732" i="1"/>
  <c r="BN2732" i="1"/>
  <c r="BM2732" i="1"/>
  <c r="BL2732" i="1"/>
  <c r="BK2732" i="1"/>
  <c r="BJ2732" i="1"/>
  <c r="BI2732" i="1"/>
  <c r="BH2732" i="1"/>
  <c r="BP2731" i="1"/>
  <c r="BO2731" i="1"/>
  <c r="BN2731" i="1"/>
  <c r="BM2731" i="1"/>
  <c r="BL2731" i="1"/>
  <c r="BK2731" i="1"/>
  <c r="BJ2731" i="1"/>
  <c r="BI2731" i="1"/>
  <c r="BH2731" i="1"/>
  <c r="BP2730" i="1"/>
  <c r="BO2730" i="1"/>
  <c r="BN2730" i="1"/>
  <c r="BM2730" i="1"/>
  <c r="BL2730" i="1"/>
  <c r="BK2730" i="1"/>
  <c r="BJ2730" i="1"/>
  <c r="BI2730" i="1"/>
  <c r="BH2730" i="1"/>
  <c r="BP2729" i="1"/>
  <c r="BO2729" i="1"/>
  <c r="BN2729" i="1"/>
  <c r="BM2729" i="1"/>
  <c r="BL2729" i="1"/>
  <c r="BK2729" i="1"/>
  <c r="BJ2729" i="1"/>
  <c r="BI2729" i="1"/>
  <c r="BH2729" i="1"/>
  <c r="BP2728" i="1"/>
  <c r="BO2728" i="1"/>
  <c r="BN2728" i="1"/>
  <c r="BM2728" i="1"/>
  <c r="BL2728" i="1"/>
  <c r="BK2728" i="1"/>
  <c r="BJ2728" i="1"/>
  <c r="BI2728" i="1"/>
  <c r="BH2728" i="1"/>
  <c r="BP2727" i="1"/>
  <c r="BO2727" i="1"/>
  <c r="BN2727" i="1"/>
  <c r="BM2727" i="1"/>
  <c r="BL2727" i="1"/>
  <c r="BJ2727" i="1"/>
  <c r="BI2727" i="1"/>
  <c r="BH2727" i="1"/>
  <c r="V2727" i="1"/>
  <c r="BK2727" i="1" s="1"/>
  <c r="BP2726" i="1"/>
  <c r="BO2726" i="1"/>
  <c r="BN2726" i="1"/>
  <c r="BM2726" i="1"/>
  <c r="BL2726" i="1"/>
  <c r="BK2726" i="1"/>
  <c r="BJ2726" i="1"/>
  <c r="BI2726" i="1"/>
  <c r="BH2726" i="1"/>
  <c r="BP2725" i="1"/>
  <c r="BO2725" i="1"/>
  <c r="BN2725" i="1"/>
  <c r="BL2725" i="1"/>
  <c r="BK2725" i="1"/>
  <c r="BJ2725" i="1"/>
  <c r="BI2725" i="1"/>
  <c r="BH2725" i="1"/>
  <c r="AR2725" i="1"/>
  <c r="AN2725" i="1"/>
  <c r="BM2725" i="1" s="1"/>
  <c r="BP2724" i="1"/>
  <c r="BO2724" i="1"/>
  <c r="BN2724" i="1"/>
  <c r="BL2724" i="1"/>
  <c r="BK2724" i="1"/>
  <c r="BJ2724" i="1"/>
  <c r="BI2724" i="1"/>
  <c r="BH2724" i="1"/>
  <c r="AS2724" i="1"/>
  <c r="BM2724" i="1" s="1"/>
  <c r="BP2723" i="1"/>
  <c r="BO2723" i="1"/>
  <c r="BN2723" i="1"/>
  <c r="BL2723" i="1"/>
  <c r="BK2723" i="1"/>
  <c r="BJ2723" i="1"/>
  <c r="BI2723" i="1"/>
  <c r="BH2723" i="1"/>
  <c r="AS2723" i="1"/>
  <c r="AN2723" i="1"/>
  <c r="BM2723" i="1" s="1"/>
  <c r="BP2722" i="1"/>
  <c r="BO2722" i="1"/>
  <c r="BN2722" i="1"/>
  <c r="BM2722" i="1"/>
  <c r="BL2722" i="1"/>
  <c r="BK2722" i="1"/>
  <c r="BJ2722" i="1"/>
  <c r="BI2722" i="1"/>
  <c r="BH2722" i="1"/>
  <c r="AS2722" i="1"/>
  <c r="BP2721" i="1"/>
  <c r="BO2721" i="1"/>
  <c r="BN2721" i="1"/>
  <c r="BM2721" i="1"/>
  <c r="BL2721" i="1"/>
  <c r="BK2721" i="1"/>
  <c r="BJ2721" i="1"/>
  <c r="BI2721" i="1"/>
  <c r="BH2721" i="1"/>
  <c r="AS2721" i="1"/>
  <c r="BP2720" i="1"/>
  <c r="BO2720" i="1"/>
  <c r="BN2720" i="1"/>
  <c r="BL2720" i="1"/>
  <c r="BK2720" i="1"/>
  <c r="BJ2720" i="1"/>
  <c r="BI2720" i="1"/>
  <c r="BH2720" i="1"/>
  <c r="AQ2720" i="1"/>
  <c r="BM2720" i="1" s="1"/>
  <c r="BP2719" i="1"/>
  <c r="BO2719" i="1"/>
  <c r="BN2719" i="1"/>
  <c r="BL2719" i="1"/>
  <c r="BK2719" i="1"/>
  <c r="BJ2719" i="1"/>
  <c r="BI2719" i="1"/>
  <c r="BH2719" i="1"/>
  <c r="AQ2719" i="1"/>
  <c r="BM2719" i="1" s="1"/>
  <c r="BP2718" i="1"/>
  <c r="BO2718" i="1"/>
  <c r="BN2718" i="1"/>
  <c r="BM2718" i="1"/>
  <c r="BL2718" i="1"/>
  <c r="BK2718" i="1"/>
  <c r="BJ2718" i="1"/>
  <c r="BI2718" i="1"/>
  <c r="BH2718" i="1"/>
  <c r="BP2717" i="1"/>
  <c r="BO2717" i="1"/>
  <c r="BN2717" i="1"/>
  <c r="BM2717" i="1"/>
  <c r="BL2717" i="1"/>
  <c r="BK2717" i="1"/>
  <c r="BJ2717" i="1"/>
  <c r="BI2717" i="1"/>
  <c r="BH2717" i="1"/>
  <c r="BE2717" i="1"/>
  <c r="BP2716" i="1"/>
  <c r="BO2716" i="1"/>
  <c r="BN2716" i="1"/>
  <c r="BM2716" i="1"/>
  <c r="BL2716" i="1"/>
  <c r="BK2716" i="1"/>
  <c r="BJ2716" i="1"/>
  <c r="BI2716" i="1"/>
  <c r="BH2716" i="1"/>
  <c r="AQ2716" i="1"/>
  <c r="BP2715" i="1"/>
  <c r="BO2715" i="1"/>
  <c r="BN2715" i="1"/>
  <c r="BL2715" i="1"/>
  <c r="BK2715" i="1"/>
  <c r="BJ2715" i="1"/>
  <c r="BI2715" i="1"/>
  <c r="BH2715" i="1"/>
  <c r="AS2715" i="1"/>
  <c r="BM2715" i="1" s="1"/>
  <c r="AN2715" i="1"/>
  <c r="BP2714" i="1"/>
  <c r="BO2714" i="1"/>
  <c r="BN2714" i="1"/>
  <c r="BL2714" i="1"/>
  <c r="BK2714" i="1"/>
  <c r="BJ2714" i="1"/>
  <c r="BI2714" i="1"/>
  <c r="BH2714" i="1"/>
  <c r="AS2714" i="1"/>
  <c r="AN2714" i="1"/>
  <c r="BM2714" i="1" s="1"/>
  <c r="BP2713" i="1"/>
  <c r="BO2713" i="1"/>
  <c r="BN2713" i="1"/>
  <c r="BL2713" i="1"/>
  <c r="BK2713" i="1"/>
  <c r="BJ2713" i="1"/>
  <c r="BI2713" i="1"/>
  <c r="BH2713" i="1"/>
  <c r="AR2713" i="1"/>
  <c r="AQ2713" i="1"/>
  <c r="P2713" i="1"/>
  <c r="BP2712" i="1"/>
  <c r="BO2712" i="1"/>
  <c r="BN2712" i="1"/>
  <c r="BL2712" i="1"/>
  <c r="BK2712" i="1"/>
  <c r="BJ2712" i="1"/>
  <c r="BI2712" i="1"/>
  <c r="BH2712" i="1"/>
  <c r="AR2712" i="1"/>
  <c r="AQ2712" i="1"/>
  <c r="AI2712" i="1"/>
  <c r="P2712" i="1"/>
  <c r="BP2711" i="1"/>
  <c r="BO2711" i="1"/>
  <c r="BN2711" i="1"/>
  <c r="BL2711" i="1"/>
  <c r="BK2711" i="1"/>
  <c r="BJ2711" i="1"/>
  <c r="BI2711" i="1"/>
  <c r="BH2711" i="1"/>
  <c r="AR2711" i="1"/>
  <c r="AN2711" i="1"/>
  <c r="BM2711" i="1" s="1"/>
  <c r="BP2710" i="1"/>
  <c r="BO2710" i="1"/>
  <c r="BN2710" i="1"/>
  <c r="BL2710" i="1"/>
  <c r="BK2710" i="1"/>
  <c r="BJ2710" i="1"/>
  <c r="BI2710" i="1"/>
  <c r="BH2710" i="1"/>
  <c r="AR2710" i="1"/>
  <c r="AN2710" i="1"/>
  <c r="BP2709" i="1"/>
  <c r="BO2709" i="1"/>
  <c r="BN2709" i="1"/>
  <c r="BL2709" i="1"/>
  <c r="BK2709" i="1"/>
  <c r="BJ2709" i="1"/>
  <c r="BI2709" i="1"/>
  <c r="BH2709" i="1"/>
  <c r="AQ2709" i="1"/>
  <c r="BM2709" i="1" s="1"/>
  <c r="BP2708" i="1"/>
  <c r="BO2708" i="1"/>
  <c r="BN2708" i="1"/>
  <c r="BM2708" i="1"/>
  <c r="BL2708" i="1"/>
  <c r="BK2708" i="1"/>
  <c r="BJ2708" i="1"/>
  <c r="BI2708" i="1"/>
  <c r="BH2708" i="1"/>
  <c r="BP2707" i="1"/>
  <c r="BO2707" i="1"/>
  <c r="BN2707" i="1"/>
  <c r="BM2707" i="1"/>
  <c r="BL2707" i="1"/>
  <c r="BK2707" i="1"/>
  <c r="BJ2707" i="1"/>
  <c r="BI2707" i="1"/>
  <c r="BH2707" i="1"/>
  <c r="BP2706" i="1"/>
  <c r="BO2706" i="1"/>
  <c r="BN2706" i="1"/>
  <c r="BM2706" i="1"/>
  <c r="BL2706" i="1"/>
  <c r="BK2706" i="1"/>
  <c r="BJ2706" i="1"/>
  <c r="BI2706" i="1"/>
  <c r="BH2706" i="1"/>
  <c r="AQ2706" i="1"/>
  <c r="BP2705" i="1"/>
  <c r="BO2705" i="1"/>
  <c r="BN2705" i="1"/>
  <c r="BM2705" i="1"/>
  <c r="BL2705" i="1"/>
  <c r="BK2705" i="1"/>
  <c r="BJ2705" i="1"/>
  <c r="BI2705" i="1"/>
  <c r="BH2705" i="1"/>
  <c r="BP2704" i="1"/>
  <c r="BO2704" i="1"/>
  <c r="BN2704" i="1"/>
  <c r="BM2704" i="1"/>
  <c r="BL2704" i="1"/>
  <c r="BK2704" i="1"/>
  <c r="BJ2704" i="1"/>
  <c r="BI2704" i="1"/>
  <c r="BH2704" i="1"/>
  <c r="BP2703" i="1"/>
  <c r="BO2703" i="1"/>
  <c r="BN2703" i="1"/>
  <c r="BM2703" i="1"/>
  <c r="BL2703" i="1"/>
  <c r="BK2703" i="1"/>
  <c r="BJ2703" i="1"/>
  <c r="BI2703" i="1"/>
  <c r="BH2703" i="1"/>
  <c r="BP2702" i="1"/>
  <c r="BO2702" i="1"/>
  <c r="BN2702" i="1"/>
  <c r="BM2702" i="1"/>
  <c r="BL2702" i="1"/>
  <c r="BK2702" i="1"/>
  <c r="BJ2702" i="1"/>
  <c r="BI2702" i="1"/>
  <c r="BH2702" i="1"/>
  <c r="BP2701" i="1"/>
  <c r="BO2701" i="1"/>
  <c r="BN2701" i="1"/>
  <c r="BL2701" i="1"/>
  <c r="BK2701" i="1"/>
  <c r="BJ2701" i="1"/>
  <c r="BI2701" i="1"/>
  <c r="BH2701" i="1"/>
  <c r="AQ2701" i="1"/>
  <c r="AB2701" i="1"/>
  <c r="BP2700" i="1"/>
  <c r="BO2700" i="1"/>
  <c r="BN2700" i="1"/>
  <c r="BL2700" i="1"/>
  <c r="BK2700" i="1"/>
  <c r="BJ2700" i="1"/>
  <c r="BI2700" i="1"/>
  <c r="BH2700" i="1"/>
  <c r="AR2700" i="1"/>
  <c r="AN2700" i="1"/>
  <c r="BM2700" i="1" s="1"/>
  <c r="BP2699" i="1"/>
  <c r="BO2699" i="1"/>
  <c r="BN2699" i="1"/>
  <c r="BM2699" i="1"/>
  <c r="BL2699" i="1"/>
  <c r="BK2699" i="1"/>
  <c r="BJ2699" i="1"/>
  <c r="BI2699" i="1"/>
  <c r="BH2699" i="1"/>
  <c r="BP2698" i="1"/>
  <c r="BO2698" i="1"/>
  <c r="BN2698" i="1"/>
  <c r="BM2698" i="1"/>
  <c r="BL2698" i="1"/>
  <c r="BK2698" i="1"/>
  <c r="BJ2698" i="1"/>
  <c r="BI2698" i="1"/>
  <c r="BH2698" i="1"/>
  <c r="BE2698" i="1"/>
  <c r="BP2697" i="1"/>
  <c r="BO2697" i="1"/>
  <c r="BN2697" i="1"/>
  <c r="BM2697" i="1"/>
  <c r="BL2697" i="1"/>
  <c r="BK2697" i="1"/>
  <c r="BJ2697" i="1"/>
  <c r="BI2697" i="1"/>
  <c r="BH2697" i="1"/>
  <c r="BP2696" i="1"/>
  <c r="BO2696" i="1"/>
  <c r="BN2696" i="1"/>
  <c r="BM2696" i="1"/>
  <c r="BL2696" i="1"/>
  <c r="BK2696" i="1"/>
  <c r="BJ2696" i="1"/>
  <c r="BI2696" i="1"/>
  <c r="BH2696" i="1"/>
  <c r="BP2695" i="1"/>
  <c r="BO2695" i="1"/>
  <c r="BN2695" i="1"/>
  <c r="BM2695" i="1"/>
  <c r="BL2695" i="1"/>
  <c r="BK2695" i="1"/>
  <c r="BJ2695" i="1"/>
  <c r="BI2695" i="1"/>
  <c r="BH2695" i="1"/>
  <c r="BP2694" i="1"/>
  <c r="BO2694" i="1"/>
  <c r="BN2694" i="1"/>
  <c r="BM2694" i="1"/>
  <c r="BL2694" i="1"/>
  <c r="BJ2694" i="1"/>
  <c r="BI2694" i="1"/>
  <c r="BH2694" i="1"/>
  <c r="V2694" i="1"/>
  <c r="BK2694" i="1" s="1"/>
  <c r="BP2693" i="1"/>
  <c r="BO2693" i="1"/>
  <c r="BN2693" i="1"/>
  <c r="BM2693" i="1"/>
  <c r="BL2693" i="1"/>
  <c r="BK2693" i="1"/>
  <c r="BJ2693" i="1"/>
  <c r="BI2693" i="1"/>
  <c r="BH2693" i="1"/>
  <c r="BP2692" i="1"/>
  <c r="BO2692" i="1"/>
  <c r="BN2692" i="1"/>
  <c r="BM2692" i="1"/>
  <c r="BL2692" i="1"/>
  <c r="BK2692" i="1"/>
  <c r="BJ2692" i="1"/>
  <c r="BI2692" i="1"/>
  <c r="BH2692" i="1"/>
  <c r="AS2692" i="1"/>
  <c r="AN2692" i="1"/>
  <c r="BP2691" i="1"/>
  <c r="BO2691" i="1"/>
  <c r="BN2691" i="1"/>
  <c r="BM2691" i="1"/>
  <c r="BL2691" i="1"/>
  <c r="BK2691" i="1"/>
  <c r="BJ2691" i="1"/>
  <c r="BI2691" i="1"/>
  <c r="BH2691" i="1"/>
  <c r="AS2691" i="1"/>
  <c r="AN2691" i="1"/>
  <c r="BP2690" i="1"/>
  <c r="BO2690" i="1"/>
  <c r="BN2690" i="1"/>
  <c r="BL2690" i="1"/>
  <c r="BK2690" i="1"/>
  <c r="BJ2690" i="1"/>
  <c r="BI2690" i="1"/>
  <c r="BH2690" i="1"/>
  <c r="AR2690" i="1"/>
  <c r="BM2690" i="1" s="1"/>
  <c r="AN2690" i="1"/>
  <c r="BP2689" i="1"/>
  <c r="BO2689" i="1"/>
  <c r="BN2689" i="1"/>
  <c r="BM2689" i="1"/>
  <c r="BL2689" i="1"/>
  <c r="BK2689" i="1"/>
  <c r="BJ2689" i="1"/>
  <c r="BI2689" i="1"/>
  <c r="BH2689" i="1"/>
  <c r="AR2689" i="1"/>
  <c r="AN2689" i="1"/>
  <c r="BP2688" i="1"/>
  <c r="BO2688" i="1"/>
  <c r="BN2688" i="1"/>
  <c r="BM2688" i="1"/>
  <c r="BL2688" i="1"/>
  <c r="BK2688" i="1"/>
  <c r="BJ2688" i="1"/>
  <c r="BI2688" i="1"/>
  <c r="BH2688" i="1"/>
  <c r="AR2688" i="1"/>
  <c r="AN2688" i="1"/>
  <c r="BP2687" i="1"/>
  <c r="BO2687" i="1"/>
  <c r="BN2687" i="1"/>
  <c r="BM2687" i="1"/>
  <c r="BL2687" i="1"/>
  <c r="BK2687" i="1"/>
  <c r="BJ2687" i="1"/>
  <c r="BI2687" i="1"/>
  <c r="BH2687" i="1"/>
  <c r="BP2686" i="1"/>
  <c r="BO2686" i="1"/>
  <c r="BN2686" i="1"/>
  <c r="BM2686" i="1"/>
  <c r="BL2686" i="1"/>
  <c r="BK2686" i="1"/>
  <c r="BJ2686" i="1"/>
  <c r="BI2686" i="1"/>
  <c r="BH2686" i="1"/>
  <c r="BP2685" i="1"/>
  <c r="BO2685" i="1"/>
  <c r="BN2685" i="1"/>
  <c r="BM2685" i="1"/>
  <c r="BL2685" i="1"/>
  <c r="BK2685" i="1"/>
  <c r="BJ2685" i="1"/>
  <c r="BI2685" i="1"/>
  <c r="BH2685" i="1"/>
  <c r="BP2684" i="1"/>
  <c r="BO2684" i="1"/>
  <c r="BN2684" i="1"/>
  <c r="BL2684" i="1"/>
  <c r="BK2684" i="1"/>
  <c r="BJ2684" i="1"/>
  <c r="BI2684" i="1"/>
  <c r="BH2684" i="1"/>
  <c r="AQ2684" i="1"/>
  <c r="BM2684" i="1" s="1"/>
  <c r="BP2683" i="1"/>
  <c r="BO2683" i="1"/>
  <c r="BN2683" i="1"/>
  <c r="BL2683" i="1"/>
  <c r="BK2683" i="1"/>
  <c r="BJ2683" i="1"/>
  <c r="BI2683" i="1"/>
  <c r="BH2683" i="1"/>
  <c r="AS2683" i="1"/>
  <c r="BM2683" i="1" s="1"/>
  <c r="BP2682" i="1"/>
  <c r="BO2682" i="1"/>
  <c r="BN2682" i="1"/>
  <c r="BL2682" i="1"/>
  <c r="BK2682" i="1"/>
  <c r="BJ2682" i="1"/>
  <c r="BI2682" i="1"/>
  <c r="BH2682" i="1"/>
  <c r="AS2682" i="1"/>
  <c r="BM2682" i="1" s="1"/>
  <c r="BP2681" i="1"/>
  <c r="BO2681" i="1"/>
  <c r="BN2681" i="1"/>
  <c r="BL2681" i="1"/>
  <c r="BK2681" i="1"/>
  <c r="BJ2681" i="1"/>
  <c r="BI2681" i="1"/>
  <c r="BH2681" i="1"/>
  <c r="AR2681" i="1"/>
  <c r="BM2681" i="1" s="1"/>
  <c r="AQ2681" i="1"/>
  <c r="AI2681" i="1"/>
  <c r="P2681" i="1"/>
  <c r="BP2680" i="1"/>
  <c r="BO2680" i="1"/>
  <c r="BN2680" i="1"/>
  <c r="BL2680" i="1"/>
  <c r="BK2680" i="1"/>
  <c r="BJ2680" i="1"/>
  <c r="BI2680" i="1"/>
  <c r="BH2680" i="1"/>
  <c r="AR2680" i="1"/>
  <c r="AN2680" i="1"/>
  <c r="BP2679" i="1"/>
  <c r="BO2679" i="1"/>
  <c r="BN2679" i="1"/>
  <c r="BM2679" i="1"/>
  <c r="BL2679" i="1"/>
  <c r="BK2679" i="1"/>
  <c r="BJ2679" i="1"/>
  <c r="BI2679" i="1"/>
  <c r="BH2679" i="1"/>
  <c r="BP2678" i="1"/>
  <c r="BO2678" i="1"/>
  <c r="BN2678" i="1"/>
  <c r="BM2678" i="1"/>
  <c r="BL2678" i="1"/>
  <c r="BK2678" i="1"/>
  <c r="BJ2678" i="1"/>
  <c r="BI2678" i="1"/>
  <c r="BH2678" i="1"/>
  <c r="BP2677" i="1"/>
  <c r="BO2677" i="1"/>
  <c r="BN2677" i="1"/>
  <c r="BL2677" i="1"/>
  <c r="BK2677" i="1"/>
  <c r="BJ2677" i="1"/>
  <c r="BI2677" i="1"/>
  <c r="BH2677" i="1"/>
  <c r="AJ2677" i="1"/>
  <c r="BM2677" i="1" s="1"/>
  <c r="J2677" i="1"/>
  <c r="BP2676" i="1"/>
  <c r="BO2676" i="1"/>
  <c r="BN2676" i="1"/>
  <c r="BM2676" i="1"/>
  <c r="BL2676" i="1"/>
  <c r="BK2676" i="1"/>
  <c r="BJ2676" i="1"/>
  <c r="BI2676" i="1"/>
  <c r="BH2676" i="1"/>
  <c r="V2676" i="1"/>
  <c r="BP2675" i="1"/>
  <c r="BO2675" i="1"/>
  <c r="BN2675" i="1"/>
  <c r="BM2675" i="1"/>
  <c r="BL2675" i="1"/>
  <c r="BK2675" i="1"/>
  <c r="BJ2675" i="1"/>
  <c r="BI2675" i="1"/>
  <c r="BH2675" i="1"/>
  <c r="BP2674" i="1"/>
  <c r="BO2674" i="1"/>
  <c r="BN2674" i="1"/>
  <c r="BM2674" i="1"/>
  <c r="BL2674" i="1"/>
  <c r="BK2674" i="1"/>
  <c r="BJ2674" i="1"/>
  <c r="BI2674" i="1"/>
  <c r="BH2674" i="1"/>
  <c r="BP2673" i="1"/>
  <c r="BO2673" i="1"/>
  <c r="BN2673" i="1"/>
  <c r="BM2673" i="1"/>
  <c r="BL2673" i="1"/>
  <c r="BK2673" i="1"/>
  <c r="BJ2673" i="1"/>
  <c r="BI2673" i="1"/>
  <c r="BH2673" i="1"/>
  <c r="BP2672" i="1"/>
  <c r="BO2672" i="1"/>
  <c r="BN2672" i="1"/>
  <c r="BM2672" i="1"/>
  <c r="BL2672" i="1"/>
  <c r="BK2672" i="1"/>
  <c r="BJ2672" i="1"/>
  <c r="BI2672" i="1"/>
  <c r="BH2672" i="1"/>
  <c r="BP2671" i="1"/>
  <c r="BO2671" i="1"/>
  <c r="BN2671" i="1"/>
  <c r="BM2671" i="1"/>
  <c r="BL2671" i="1"/>
  <c r="BK2671" i="1"/>
  <c r="BJ2671" i="1"/>
  <c r="BI2671" i="1"/>
  <c r="BH2671" i="1"/>
  <c r="BP2670" i="1"/>
  <c r="BO2670" i="1"/>
  <c r="BN2670" i="1"/>
  <c r="BM2670" i="1"/>
  <c r="BL2670" i="1"/>
  <c r="BK2670" i="1"/>
  <c r="BJ2670" i="1"/>
  <c r="BI2670" i="1"/>
  <c r="BH2670" i="1"/>
  <c r="BP2669" i="1"/>
  <c r="BO2669" i="1"/>
  <c r="BN2669" i="1"/>
  <c r="BL2669" i="1"/>
  <c r="BK2669" i="1"/>
  <c r="BJ2669" i="1"/>
  <c r="BI2669" i="1"/>
  <c r="BH2669" i="1"/>
  <c r="AR2669" i="1"/>
  <c r="AN2669" i="1"/>
  <c r="BM2669" i="1" s="1"/>
  <c r="BP2668" i="1"/>
  <c r="BO2668" i="1"/>
  <c r="BN2668" i="1"/>
  <c r="BM2668" i="1"/>
  <c r="BL2668" i="1"/>
  <c r="BK2668" i="1"/>
  <c r="BJ2668" i="1"/>
  <c r="BI2668" i="1"/>
  <c r="BH2668" i="1"/>
  <c r="AR2668" i="1"/>
  <c r="AN2668" i="1"/>
  <c r="BP2667" i="1"/>
  <c r="BO2667" i="1"/>
  <c r="BN2667" i="1"/>
  <c r="BM2667" i="1"/>
  <c r="BL2667" i="1"/>
  <c r="BK2667" i="1"/>
  <c r="BJ2667" i="1"/>
  <c r="BI2667" i="1"/>
  <c r="BH2667" i="1"/>
  <c r="X2667" i="1"/>
  <c r="BP2666" i="1"/>
  <c r="BO2666" i="1"/>
  <c r="BN2666" i="1"/>
  <c r="BM2666" i="1"/>
  <c r="BL2666" i="1"/>
  <c r="BK2666" i="1"/>
  <c r="BJ2666" i="1"/>
  <c r="BI2666" i="1"/>
  <c r="BH2666" i="1"/>
  <c r="X2666" i="1"/>
  <c r="BP2665" i="1"/>
  <c r="BO2665" i="1"/>
  <c r="BN2665" i="1"/>
  <c r="BL2665" i="1"/>
  <c r="BK2665" i="1"/>
  <c r="BJ2665" i="1"/>
  <c r="BI2665" i="1"/>
  <c r="BH2665" i="1"/>
  <c r="AJ2665" i="1"/>
  <c r="BM2665" i="1" s="1"/>
  <c r="K2665" i="1"/>
  <c r="BP2664" i="1"/>
  <c r="BO2664" i="1"/>
  <c r="BN2664" i="1"/>
  <c r="BM2664" i="1"/>
  <c r="BL2664" i="1"/>
  <c r="BK2664" i="1"/>
  <c r="BJ2664" i="1"/>
  <c r="BI2664" i="1"/>
  <c r="BH2664" i="1"/>
  <c r="BP2663" i="1"/>
  <c r="BN2663" i="1"/>
  <c r="BM2663" i="1"/>
  <c r="BL2663" i="1"/>
  <c r="BK2663" i="1"/>
  <c r="BJ2663" i="1"/>
  <c r="BI2663" i="1"/>
  <c r="BH2663" i="1"/>
  <c r="BE2663" i="1"/>
  <c r="BO2663" i="1" s="1"/>
  <c r="BP2662" i="1"/>
  <c r="BO2662" i="1"/>
  <c r="BN2662" i="1"/>
  <c r="BM2662" i="1"/>
  <c r="BL2662" i="1"/>
  <c r="BK2662" i="1"/>
  <c r="BJ2662" i="1"/>
  <c r="BI2662" i="1"/>
  <c r="BH2662" i="1"/>
  <c r="BP2661" i="1"/>
  <c r="BO2661" i="1"/>
  <c r="BN2661" i="1"/>
  <c r="BM2661" i="1"/>
  <c r="BL2661" i="1"/>
  <c r="BG2661" i="1"/>
  <c r="AT2661" i="1"/>
  <c r="AS2661" i="1"/>
  <c r="AN2661" i="1"/>
  <c r="AM2661" i="1"/>
  <c r="W2661" i="1"/>
  <c r="BK2661" i="1" s="1"/>
  <c r="S2661" i="1"/>
  <c r="BJ2661" i="1" s="1"/>
  <c r="N2661" i="1"/>
  <c r="BI2661" i="1" s="1"/>
  <c r="I2661" i="1"/>
  <c r="BH2661" i="1" s="1"/>
  <c r="F2661" i="1"/>
  <c r="D2661" i="1"/>
  <c r="BP2660" i="1"/>
  <c r="BO2660" i="1"/>
  <c r="BN2660" i="1"/>
  <c r="BL2660" i="1"/>
  <c r="BK2660" i="1"/>
  <c r="BJ2660" i="1"/>
  <c r="BI2660" i="1"/>
  <c r="BH2660" i="1"/>
  <c r="AS2660" i="1"/>
  <c r="BM2660" i="1" s="1"/>
  <c r="BP2659" i="1"/>
  <c r="BO2659" i="1"/>
  <c r="BN2659" i="1"/>
  <c r="BL2659" i="1"/>
  <c r="BK2659" i="1"/>
  <c r="BJ2659" i="1"/>
  <c r="BI2659" i="1"/>
  <c r="BH2659" i="1"/>
  <c r="AS2659" i="1"/>
  <c r="BM2659" i="1" s="1"/>
  <c r="BP2658" i="1"/>
  <c r="BO2658" i="1"/>
  <c r="BL2658" i="1"/>
  <c r="BK2658" i="1"/>
  <c r="BG2658" i="1"/>
  <c r="AT2658" i="1"/>
  <c r="BN2658" i="1" s="1"/>
  <c r="AR2658" i="1"/>
  <c r="AN2658" i="1"/>
  <c r="AM2658" i="1"/>
  <c r="W2658" i="1"/>
  <c r="S2658" i="1"/>
  <c r="BJ2658" i="1" s="1"/>
  <c r="N2658" i="1"/>
  <c r="BI2658" i="1" s="1"/>
  <c r="I2658" i="1"/>
  <c r="F2658" i="1"/>
  <c r="D2658" i="1"/>
  <c r="BP2657" i="1"/>
  <c r="BO2657" i="1"/>
  <c r="BN2657" i="1"/>
  <c r="BM2657" i="1"/>
  <c r="BL2657" i="1"/>
  <c r="BK2657" i="1"/>
  <c r="BJ2657" i="1"/>
  <c r="BI2657" i="1"/>
  <c r="BH2657" i="1"/>
  <c r="BP2656" i="1"/>
  <c r="BO2656" i="1"/>
  <c r="BN2656" i="1"/>
  <c r="BL2656" i="1"/>
  <c r="BK2656" i="1"/>
  <c r="BJ2656" i="1"/>
  <c r="BI2656" i="1"/>
  <c r="BH2656" i="1"/>
  <c r="AQ2656" i="1"/>
  <c r="BM2656" i="1" s="1"/>
  <c r="BP2655" i="1"/>
  <c r="BO2655" i="1"/>
  <c r="BN2655" i="1"/>
  <c r="BM2655" i="1"/>
  <c r="BL2655" i="1"/>
  <c r="BK2655" i="1"/>
  <c r="BJ2655" i="1"/>
  <c r="BI2655" i="1"/>
  <c r="BH2655" i="1"/>
  <c r="BP2654" i="1"/>
  <c r="BO2654" i="1"/>
  <c r="BN2654" i="1"/>
  <c r="BM2654" i="1"/>
  <c r="BL2654" i="1"/>
  <c r="BJ2654" i="1"/>
  <c r="BI2654" i="1"/>
  <c r="BH2654" i="1"/>
  <c r="V2654" i="1"/>
  <c r="BK2654" i="1" s="1"/>
  <c r="BP2653" i="1"/>
  <c r="BO2653" i="1"/>
  <c r="BN2653" i="1"/>
  <c r="BM2653" i="1"/>
  <c r="BL2653" i="1"/>
  <c r="BK2653" i="1"/>
  <c r="BJ2653" i="1"/>
  <c r="BI2653" i="1"/>
  <c r="BH2653" i="1"/>
  <c r="BP2652" i="1"/>
  <c r="BO2652" i="1"/>
  <c r="BN2652" i="1"/>
  <c r="BM2652" i="1"/>
  <c r="BL2652" i="1"/>
  <c r="BK2652" i="1"/>
  <c r="BJ2652" i="1"/>
  <c r="BI2652" i="1"/>
  <c r="BH2652" i="1"/>
  <c r="BP2651" i="1"/>
  <c r="BO2651" i="1"/>
  <c r="BN2651" i="1"/>
  <c r="BM2651" i="1"/>
  <c r="BL2651" i="1"/>
  <c r="BK2651" i="1"/>
  <c r="BJ2651" i="1"/>
  <c r="BI2651" i="1"/>
  <c r="BH2651" i="1"/>
  <c r="BP2650" i="1"/>
  <c r="BO2650" i="1"/>
  <c r="BN2650" i="1"/>
  <c r="BM2650" i="1"/>
  <c r="BL2650" i="1"/>
  <c r="BK2650" i="1"/>
  <c r="BJ2650" i="1"/>
  <c r="BI2650" i="1"/>
  <c r="BH2650" i="1"/>
  <c r="AB2650" i="1"/>
  <c r="BP2649" i="1"/>
  <c r="BO2649" i="1"/>
  <c r="BN2649" i="1"/>
  <c r="BL2649" i="1"/>
  <c r="BK2649" i="1"/>
  <c r="BJ2649" i="1"/>
  <c r="BI2649" i="1"/>
  <c r="BH2649" i="1"/>
  <c r="AS2649" i="1"/>
  <c r="AN2649" i="1"/>
  <c r="BM2649" i="1" s="1"/>
  <c r="BP2648" i="1"/>
  <c r="BO2648" i="1"/>
  <c r="BN2648" i="1"/>
  <c r="BM2648" i="1"/>
  <c r="BL2648" i="1"/>
  <c r="BK2648" i="1"/>
  <c r="BJ2648" i="1"/>
  <c r="BI2648" i="1"/>
  <c r="BH2648" i="1"/>
  <c r="AS2648" i="1"/>
  <c r="BP2647" i="1"/>
  <c r="BO2647" i="1"/>
  <c r="BN2647" i="1"/>
  <c r="BM2647" i="1"/>
  <c r="BL2647" i="1"/>
  <c r="BK2647" i="1"/>
  <c r="BJ2647" i="1"/>
  <c r="BI2647" i="1"/>
  <c r="BH2647" i="1"/>
  <c r="AQ2647" i="1"/>
  <c r="BP2646" i="1"/>
  <c r="BO2646" i="1"/>
  <c r="BN2646" i="1"/>
  <c r="BM2646" i="1"/>
  <c r="BL2646" i="1"/>
  <c r="BK2646" i="1"/>
  <c r="BJ2646" i="1"/>
  <c r="BI2646" i="1"/>
  <c r="BH2646" i="1"/>
  <c r="X2646" i="1"/>
  <c r="BP2645" i="1"/>
  <c r="BO2645" i="1"/>
  <c r="BN2645" i="1"/>
  <c r="BM2645" i="1"/>
  <c r="BL2645" i="1"/>
  <c r="BK2645" i="1"/>
  <c r="BJ2645" i="1"/>
  <c r="BI2645" i="1"/>
  <c r="BH2645" i="1"/>
  <c r="BP2644" i="1"/>
  <c r="BO2644" i="1"/>
  <c r="BN2644" i="1"/>
  <c r="BM2644" i="1"/>
  <c r="BL2644" i="1"/>
  <c r="BK2644" i="1"/>
  <c r="BJ2644" i="1"/>
  <c r="BI2644" i="1"/>
  <c r="BH2644" i="1"/>
  <c r="BP2643" i="1"/>
  <c r="BO2643" i="1"/>
  <c r="BN2643" i="1"/>
  <c r="BM2643" i="1"/>
  <c r="BL2643" i="1"/>
  <c r="BK2643" i="1"/>
  <c r="BJ2643" i="1"/>
  <c r="BI2643" i="1"/>
  <c r="BH2643" i="1"/>
  <c r="BE2643" i="1"/>
  <c r="BP2642" i="1"/>
  <c r="BO2642" i="1"/>
  <c r="BN2642" i="1"/>
  <c r="BM2642" i="1"/>
  <c r="BL2642" i="1"/>
  <c r="BK2642" i="1"/>
  <c r="BJ2642" i="1"/>
  <c r="BI2642" i="1"/>
  <c r="BH2642" i="1"/>
  <c r="BP2641" i="1"/>
  <c r="BO2641" i="1"/>
  <c r="BN2641" i="1"/>
  <c r="BM2641" i="1"/>
  <c r="BL2641" i="1"/>
  <c r="BK2641" i="1"/>
  <c r="BJ2641" i="1"/>
  <c r="BI2641" i="1"/>
  <c r="BH2641" i="1"/>
  <c r="BP2640" i="1"/>
  <c r="BO2640" i="1"/>
  <c r="BN2640" i="1"/>
  <c r="BM2640" i="1"/>
  <c r="BL2640" i="1"/>
  <c r="BK2640" i="1"/>
  <c r="BJ2640" i="1"/>
  <c r="BI2640" i="1"/>
  <c r="BH2640" i="1"/>
  <c r="BP2639" i="1"/>
  <c r="BO2639" i="1"/>
  <c r="BN2639" i="1"/>
  <c r="BM2639" i="1"/>
  <c r="BL2639" i="1"/>
  <c r="BK2639" i="1"/>
  <c r="BJ2639" i="1"/>
  <c r="BI2639" i="1"/>
  <c r="BH2639" i="1"/>
  <c r="BP2638" i="1"/>
  <c r="BO2638" i="1"/>
  <c r="BN2638" i="1"/>
  <c r="BM2638" i="1"/>
  <c r="BL2638" i="1"/>
  <c r="BK2638" i="1"/>
  <c r="BH2638" i="1"/>
  <c r="BG2638" i="1"/>
  <c r="BA2638" i="1"/>
  <c r="AT2638" i="1"/>
  <c r="X2638" i="1"/>
  <c r="S2638" i="1"/>
  <c r="BJ2638" i="1" s="1"/>
  <c r="M2638" i="1"/>
  <c r="BI2638" i="1" s="1"/>
  <c r="C2638" i="1"/>
  <c r="BP2637" i="1"/>
  <c r="BO2637" i="1"/>
  <c r="BN2637" i="1"/>
  <c r="BM2637" i="1"/>
  <c r="BL2637" i="1"/>
  <c r="BK2637" i="1"/>
  <c r="BJ2637" i="1"/>
  <c r="BI2637" i="1"/>
  <c r="BH2637" i="1"/>
  <c r="BP2636" i="1"/>
  <c r="BO2636" i="1"/>
  <c r="BN2636" i="1"/>
  <c r="BM2636" i="1"/>
  <c r="BL2636" i="1"/>
  <c r="BK2636" i="1"/>
  <c r="BJ2636" i="1"/>
  <c r="BI2636" i="1"/>
  <c r="BH2636" i="1"/>
  <c r="BP2635" i="1"/>
  <c r="BO2635" i="1"/>
  <c r="BN2635" i="1"/>
  <c r="BM2635" i="1"/>
  <c r="BL2635" i="1"/>
  <c r="BK2635" i="1"/>
  <c r="BJ2635" i="1"/>
  <c r="BI2635" i="1"/>
  <c r="BH2635" i="1"/>
  <c r="BP2634" i="1"/>
  <c r="BO2634" i="1"/>
  <c r="BN2634" i="1"/>
  <c r="BM2634" i="1"/>
  <c r="BL2634" i="1"/>
  <c r="BK2634" i="1"/>
  <c r="BJ2634" i="1"/>
  <c r="BI2634" i="1"/>
  <c r="BH2634" i="1"/>
  <c r="BP2633" i="1"/>
  <c r="BO2633" i="1"/>
  <c r="BN2633" i="1"/>
  <c r="BM2633" i="1"/>
  <c r="BL2633" i="1"/>
  <c r="BK2633" i="1"/>
  <c r="BJ2633" i="1"/>
  <c r="BI2633" i="1"/>
  <c r="BH2633" i="1"/>
  <c r="BP2632" i="1"/>
  <c r="BO2632" i="1"/>
  <c r="BN2632" i="1"/>
  <c r="BM2632" i="1"/>
  <c r="BL2632" i="1"/>
  <c r="BK2632" i="1"/>
  <c r="BJ2632" i="1"/>
  <c r="BI2632" i="1"/>
  <c r="BH2632" i="1"/>
  <c r="BP2631" i="1"/>
  <c r="BO2631" i="1"/>
  <c r="BN2631" i="1"/>
  <c r="BM2631" i="1"/>
  <c r="BL2631" i="1"/>
  <c r="BK2631" i="1"/>
  <c r="BJ2631" i="1"/>
  <c r="BI2631" i="1"/>
  <c r="BH2631" i="1"/>
  <c r="BP2630" i="1"/>
  <c r="BO2630" i="1"/>
  <c r="BN2630" i="1"/>
  <c r="BL2630" i="1"/>
  <c r="BK2630" i="1"/>
  <c r="BJ2630" i="1"/>
  <c r="BI2630" i="1"/>
  <c r="BH2630" i="1"/>
  <c r="AR2630" i="1"/>
  <c r="AN2630" i="1"/>
  <c r="BM2630" i="1" s="1"/>
  <c r="BP2629" i="1"/>
  <c r="BO2629" i="1"/>
  <c r="BN2629" i="1"/>
  <c r="BM2629" i="1"/>
  <c r="BL2629" i="1"/>
  <c r="BK2629" i="1"/>
  <c r="BJ2629" i="1"/>
  <c r="BI2629" i="1"/>
  <c r="BH2629" i="1"/>
  <c r="AQ2629" i="1"/>
  <c r="AB2629" i="1"/>
  <c r="BP2628" i="1"/>
  <c r="BO2628" i="1"/>
  <c r="BN2628" i="1"/>
  <c r="BM2628" i="1"/>
  <c r="BL2628" i="1"/>
  <c r="BK2628" i="1"/>
  <c r="BJ2628" i="1"/>
  <c r="BI2628" i="1"/>
  <c r="BH2628" i="1"/>
  <c r="BP2627" i="1"/>
  <c r="BO2627" i="1"/>
  <c r="BN2627" i="1"/>
  <c r="BM2627" i="1"/>
  <c r="BL2627" i="1"/>
  <c r="BK2627" i="1"/>
  <c r="BJ2627" i="1"/>
  <c r="BI2627" i="1"/>
  <c r="BH2627" i="1"/>
  <c r="BP2626" i="1"/>
  <c r="BO2626" i="1"/>
  <c r="BN2626" i="1"/>
  <c r="BM2626" i="1"/>
  <c r="BL2626" i="1"/>
  <c r="BK2626" i="1"/>
  <c r="BJ2626" i="1"/>
  <c r="BI2626" i="1"/>
  <c r="BH2626" i="1"/>
  <c r="AS2626" i="1"/>
  <c r="AN2626" i="1"/>
  <c r="BP2625" i="1"/>
  <c r="BO2625" i="1"/>
  <c r="BN2625" i="1"/>
  <c r="BL2625" i="1"/>
  <c r="BK2625" i="1"/>
  <c r="BJ2625" i="1"/>
  <c r="BI2625" i="1"/>
  <c r="BH2625" i="1"/>
  <c r="AS2625" i="1"/>
  <c r="AN2625" i="1"/>
  <c r="BP2624" i="1"/>
  <c r="BO2624" i="1"/>
  <c r="BN2624" i="1"/>
  <c r="BM2624" i="1"/>
  <c r="BL2624" i="1"/>
  <c r="BK2624" i="1"/>
  <c r="BJ2624" i="1"/>
  <c r="BH2624" i="1"/>
  <c r="P2624" i="1"/>
  <c r="BI2624" i="1" s="1"/>
  <c r="BP2623" i="1"/>
  <c r="BO2623" i="1"/>
  <c r="BN2623" i="1"/>
  <c r="BL2623" i="1"/>
  <c r="BK2623" i="1"/>
  <c r="BJ2623" i="1"/>
  <c r="BI2623" i="1"/>
  <c r="BH2623" i="1"/>
  <c r="AQ2623" i="1"/>
  <c r="BM2623" i="1" s="1"/>
  <c r="BP2622" i="1"/>
  <c r="BO2622" i="1"/>
  <c r="BN2622" i="1"/>
  <c r="BM2622" i="1"/>
  <c r="BL2622" i="1"/>
  <c r="BK2622" i="1"/>
  <c r="BJ2622" i="1"/>
  <c r="BI2622" i="1"/>
  <c r="BH2622" i="1"/>
  <c r="BP2621" i="1"/>
  <c r="BO2621" i="1"/>
  <c r="BN2621" i="1"/>
  <c r="BM2621" i="1"/>
  <c r="BL2621" i="1"/>
  <c r="BK2621" i="1"/>
  <c r="BJ2621" i="1"/>
  <c r="BI2621" i="1"/>
  <c r="BH2621" i="1"/>
  <c r="BP2620" i="1"/>
  <c r="BO2620" i="1"/>
  <c r="BN2620" i="1"/>
  <c r="BM2620" i="1"/>
  <c r="BL2620" i="1"/>
  <c r="BK2620" i="1"/>
  <c r="BJ2620" i="1"/>
  <c r="BI2620" i="1"/>
  <c r="BH2620" i="1"/>
  <c r="BP2619" i="1"/>
  <c r="BO2619" i="1"/>
  <c r="BN2619" i="1"/>
  <c r="BM2619" i="1"/>
  <c r="BL2619" i="1"/>
  <c r="BK2619" i="1"/>
  <c r="BJ2619" i="1"/>
  <c r="BI2619" i="1"/>
  <c r="BH2619" i="1"/>
  <c r="BP2618" i="1"/>
  <c r="BO2618" i="1"/>
  <c r="BN2618" i="1"/>
  <c r="BM2618" i="1"/>
  <c r="BL2618" i="1"/>
  <c r="BJ2618" i="1"/>
  <c r="BI2618" i="1"/>
  <c r="BH2618" i="1"/>
  <c r="V2618" i="1"/>
  <c r="BK2618" i="1" s="1"/>
  <c r="BP2617" i="1"/>
  <c r="BO2617" i="1"/>
  <c r="BN2617" i="1"/>
  <c r="BM2617" i="1"/>
  <c r="BL2617" i="1"/>
  <c r="BK2617" i="1"/>
  <c r="BJ2617" i="1"/>
  <c r="BI2617" i="1"/>
  <c r="BH2617" i="1"/>
  <c r="AQ2617" i="1"/>
  <c r="BP2616" i="1"/>
  <c r="BO2616" i="1"/>
  <c r="BN2616" i="1"/>
  <c r="BM2616" i="1"/>
  <c r="BL2616" i="1"/>
  <c r="BK2616" i="1"/>
  <c r="BJ2616" i="1"/>
  <c r="BI2616" i="1"/>
  <c r="BH2616" i="1"/>
  <c r="BP2615" i="1"/>
  <c r="BN2615" i="1"/>
  <c r="BM2615" i="1"/>
  <c r="BL2615" i="1"/>
  <c r="BK2615" i="1"/>
  <c r="BJ2615" i="1"/>
  <c r="BI2615" i="1"/>
  <c r="BH2615" i="1"/>
  <c r="BE2615" i="1"/>
  <c r="BO2615" i="1" s="1"/>
  <c r="BP2614" i="1"/>
  <c r="BO2614" i="1"/>
  <c r="BN2614" i="1"/>
  <c r="BM2614" i="1"/>
  <c r="BL2614" i="1"/>
  <c r="BK2614" i="1"/>
  <c r="BJ2614" i="1"/>
  <c r="BI2614" i="1"/>
  <c r="BH2614" i="1"/>
  <c r="BP2613" i="1"/>
  <c r="BO2613" i="1"/>
  <c r="BN2613" i="1"/>
  <c r="BM2613" i="1"/>
  <c r="BL2613" i="1"/>
  <c r="BK2613" i="1"/>
  <c r="BJ2613" i="1"/>
  <c r="BI2613" i="1"/>
  <c r="BH2613" i="1"/>
  <c r="AB2613" i="1"/>
  <c r="BP2612" i="1"/>
  <c r="BO2612" i="1"/>
  <c r="BN2612" i="1"/>
  <c r="BM2612" i="1"/>
  <c r="BL2612" i="1"/>
  <c r="BK2612" i="1"/>
  <c r="BJ2612" i="1"/>
  <c r="BI2612" i="1"/>
  <c r="BH2612" i="1"/>
  <c r="BP2611" i="1"/>
  <c r="BO2611" i="1"/>
  <c r="BN2611" i="1"/>
  <c r="BM2611" i="1"/>
  <c r="BL2611" i="1"/>
  <c r="BK2611" i="1"/>
  <c r="BJ2611" i="1"/>
  <c r="BI2611" i="1"/>
  <c r="BH2611" i="1"/>
  <c r="BP2610" i="1"/>
  <c r="BO2610" i="1"/>
  <c r="BN2610" i="1"/>
  <c r="BK2610" i="1"/>
  <c r="BJ2610" i="1"/>
  <c r="BI2610" i="1"/>
  <c r="AS2610" i="1"/>
  <c r="BM2610" i="1" s="1"/>
  <c r="AA2610" i="1"/>
  <c r="BL2610" i="1" s="1"/>
  <c r="L2610" i="1"/>
  <c r="BH2610" i="1" s="1"/>
  <c r="BP2609" i="1"/>
  <c r="BO2609" i="1"/>
  <c r="BN2609" i="1"/>
  <c r="BL2609" i="1"/>
  <c r="BK2609" i="1"/>
  <c r="BJ2609" i="1"/>
  <c r="BI2609" i="1"/>
  <c r="AJ2609" i="1"/>
  <c r="BM2609" i="1" s="1"/>
  <c r="J2609" i="1"/>
  <c r="BH2609" i="1" s="1"/>
  <c r="BP2608" i="1"/>
  <c r="BO2608" i="1"/>
  <c r="BN2608" i="1"/>
  <c r="BL2608" i="1"/>
  <c r="BK2608" i="1"/>
  <c r="BJ2608" i="1"/>
  <c r="BI2608" i="1"/>
  <c r="BH2608" i="1"/>
  <c r="AR2608" i="1"/>
  <c r="AN2608" i="1"/>
  <c r="BP2607" i="1"/>
  <c r="BO2607" i="1"/>
  <c r="BN2607" i="1"/>
  <c r="BL2607" i="1"/>
  <c r="BK2607" i="1"/>
  <c r="BJ2607" i="1"/>
  <c r="BI2607" i="1"/>
  <c r="BH2607" i="1"/>
  <c r="AS2607" i="1"/>
  <c r="AN2607" i="1"/>
  <c r="BP2606" i="1"/>
  <c r="BO2606" i="1"/>
  <c r="BN2606" i="1"/>
  <c r="BM2606" i="1"/>
  <c r="BL2606" i="1"/>
  <c r="BK2606" i="1"/>
  <c r="BJ2606" i="1"/>
  <c r="BI2606" i="1"/>
  <c r="BH2606" i="1"/>
  <c r="AS2606" i="1"/>
  <c r="AN2606" i="1"/>
  <c r="BP2605" i="1"/>
  <c r="BO2605" i="1"/>
  <c r="BN2605" i="1"/>
  <c r="BL2605" i="1"/>
  <c r="BK2605" i="1"/>
  <c r="BJ2605" i="1"/>
  <c r="BI2605" i="1"/>
  <c r="BH2605" i="1"/>
  <c r="AS2605" i="1"/>
  <c r="BM2605" i="1" s="1"/>
  <c r="BP2604" i="1"/>
  <c r="BO2604" i="1"/>
  <c r="BN2604" i="1"/>
  <c r="BM2604" i="1"/>
  <c r="BL2604" i="1"/>
  <c r="BK2604" i="1"/>
  <c r="BJ2604" i="1"/>
  <c r="BI2604" i="1"/>
  <c r="BH2604" i="1"/>
  <c r="AQ2604" i="1"/>
  <c r="BP2603" i="1"/>
  <c r="BO2603" i="1"/>
  <c r="BN2603" i="1"/>
  <c r="BM2603" i="1"/>
  <c r="BL2603" i="1"/>
  <c r="BK2603" i="1"/>
  <c r="BJ2603" i="1"/>
  <c r="BI2603" i="1"/>
  <c r="BH2603" i="1"/>
  <c r="AA2603" i="1"/>
  <c r="BP2602" i="1"/>
  <c r="BO2602" i="1"/>
  <c r="BN2602" i="1"/>
  <c r="BM2602" i="1"/>
  <c r="BL2602" i="1"/>
  <c r="BK2602" i="1"/>
  <c r="BJ2602" i="1"/>
  <c r="BI2602" i="1"/>
  <c r="BH2602" i="1"/>
  <c r="AQ2602" i="1"/>
  <c r="BP2601" i="1"/>
  <c r="BO2601" i="1"/>
  <c r="BN2601" i="1"/>
  <c r="BL2601" i="1"/>
  <c r="BK2601" i="1"/>
  <c r="BJ2601" i="1"/>
  <c r="BI2601" i="1"/>
  <c r="BH2601" i="1"/>
  <c r="AP2601" i="1"/>
  <c r="BM2601" i="1" s="1"/>
  <c r="BP2600" i="1"/>
  <c r="BO2600" i="1"/>
  <c r="BN2600" i="1"/>
  <c r="BM2600" i="1"/>
  <c r="BL2600" i="1"/>
  <c r="BK2600" i="1"/>
  <c r="BJ2600" i="1"/>
  <c r="BI2600" i="1"/>
  <c r="BH2600" i="1"/>
  <c r="BP2599" i="1"/>
  <c r="BO2599" i="1"/>
  <c r="BN2599" i="1"/>
  <c r="BM2599" i="1"/>
  <c r="BL2599" i="1"/>
  <c r="BK2599" i="1"/>
  <c r="BJ2599" i="1"/>
  <c r="BI2599" i="1"/>
  <c r="BH2599" i="1"/>
  <c r="BP2598" i="1"/>
  <c r="BO2598" i="1"/>
  <c r="BN2598" i="1"/>
  <c r="BM2598" i="1"/>
  <c r="BL2598" i="1"/>
  <c r="BK2598" i="1"/>
  <c r="BJ2598" i="1"/>
  <c r="BI2598" i="1"/>
  <c r="BH2598" i="1"/>
  <c r="AP2598" i="1"/>
  <c r="BP2597" i="1"/>
  <c r="BO2597" i="1"/>
  <c r="BN2597" i="1"/>
  <c r="BM2597" i="1"/>
  <c r="BL2597" i="1"/>
  <c r="BK2597" i="1"/>
  <c r="BJ2597" i="1"/>
  <c r="BI2597" i="1"/>
  <c r="BH2597" i="1"/>
  <c r="BP2596" i="1"/>
  <c r="BO2596" i="1"/>
  <c r="BN2596" i="1"/>
  <c r="BM2596" i="1"/>
  <c r="BL2596" i="1"/>
  <c r="BK2596" i="1"/>
  <c r="BJ2596" i="1"/>
  <c r="BI2596" i="1"/>
  <c r="BH2596" i="1"/>
  <c r="BP2595" i="1"/>
  <c r="BO2595" i="1"/>
  <c r="BN2595" i="1"/>
  <c r="BM2595" i="1"/>
  <c r="BL2595" i="1"/>
  <c r="BK2595" i="1"/>
  <c r="BJ2595" i="1"/>
  <c r="BI2595" i="1"/>
  <c r="BH2595" i="1"/>
  <c r="BP2594" i="1"/>
  <c r="BO2594" i="1"/>
  <c r="BN2594" i="1"/>
  <c r="BL2594" i="1"/>
  <c r="BG2594" i="1"/>
  <c r="BF2594" i="1"/>
  <c r="AT2594" i="1"/>
  <c r="AC2594" i="1"/>
  <c r="BM2594" i="1" s="1"/>
  <c r="U2594" i="1"/>
  <c r="BK2594" i="1" s="1"/>
  <c r="S2594" i="1"/>
  <c r="BJ2594" i="1" s="1"/>
  <c r="M2594" i="1"/>
  <c r="BI2594" i="1" s="1"/>
  <c r="D2594" i="1"/>
  <c r="C2594" i="1"/>
  <c r="BH2594" i="1" s="1"/>
  <c r="BP2593" i="1"/>
  <c r="BO2593" i="1"/>
  <c r="BN2593" i="1"/>
  <c r="BM2593" i="1"/>
  <c r="BL2593" i="1"/>
  <c r="BK2593" i="1"/>
  <c r="BJ2593" i="1"/>
  <c r="BI2593" i="1"/>
  <c r="BH2593" i="1"/>
  <c r="BP2592" i="1"/>
  <c r="BO2592" i="1"/>
  <c r="BN2592" i="1"/>
  <c r="BM2592" i="1"/>
  <c r="BL2592" i="1"/>
  <c r="BK2592" i="1"/>
  <c r="BJ2592" i="1"/>
  <c r="BI2592" i="1"/>
  <c r="BH2592" i="1"/>
  <c r="BP2591" i="1"/>
  <c r="BO2591" i="1"/>
  <c r="BN2591" i="1"/>
  <c r="BM2591" i="1"/>
  <c r="BL2591" i="1"/>
  <c r="BK2591" i="1"/>
  <c r="BJ2591" i="1"/>
  <c r="BG2591" i="1"/>
  <c r="BA2591" i="1"/>
  <c r="AT2591" i="1"/>
  <c r="X2591" i="1"/>
  <c r="S2591" i="1"/>
  <c r="M2591" i="1"/>
  <c r="BI2591" i="1" s="1"/>
  <c r="C2591" i="1"/>
  <c r="BH2591" i="1" s="1"/>
  <c r="BP2590" i="1"/>
  <c r="BO2590" i="1"/>
  <c r="BN2590" i="1"/>
  <c r="BM2590" i="1"/>
  <c r="BL2590" i="1"/>
  <c r="BJ2590" i="1"/>
  <c r="BI2590" i="1"/>
  <c r="BH2590" i="1"/>
  <c r="X2590" i="1"/>
  <c r="BK2590" i="1" s="1"/>
  <c r="BP2589" i="1"/>
  <c r="BO2589" i="1"/>
  <c r="BN2589" i="1"/>
  <c r="BM2589" i="1"/>
  <c r="BL2589" i="1"/>
  <c r="BK2589" i="1"/>
  <c r="BJ2589" i="1"/>
  <c r="BI2589" i="1"/>
  <c r="BH2589" i="1"/>
  <c r="BP2588" i="1"/>
  <c r="BO2588" i="1"/>
  <c r="BN2588" i="1"/>
  <c r="BM2588" i="1"/>
  <c r="BL2588" i="1"/>
  <c r="BK2588" i="1"/>
  <c r="BJ2588" i="1"/>
  <c r="BI2588" i="1"/>
  <c r="BH2588" i="1"/>
  <c r="BP2587" i="1"/>
  <c r="BO2587" i="1"/>
  <c r="BN2587" i="1"/>
  <c r="BM2587" i="1"/>
  <c r="BL2587" i="1"/>
  <c r="BK2587" i="1"/>
  <c r="BJ2587" i="1"/>
  <c r="BI2587" i="1"/>
  <c r="BH2587" i="1"/>
  <c r="BP2586" i="1"/>
  <c r="BO2586" i="1"/>
  <c r="BN2586" i="1"/>
  <c r="BL2586" i="1"/>
  <c r="BK2586" i="1"/>
  <c r="BJ2586" i="1"/>
  <c r="BI2586" i="1"/>
  <c r="BH2586" i="1"/>
  <c r="AS2586" i="1"/>
  <c r="AN2586" i="1"/>
  <c r="BP2585" i="1"/>
  <c r="BO2585" i="1"/>
  <c r="BN2585" i="1"/>
  <c r="BL2585" i="1"/>
  <c r="BK2585" i="1"/>
  <c r="BJ2585" i="1"/>
  <c r="BI2585" i="1"/>
  <c r="BH2585" i="1"/>
  <c r="AS2585" i="1"/>
  <c r="AN2585" i="1"/>
  <c r="BM2585" i="1" s="1"/>
  <c r="BP2584" i="1"/>
  <c r="BO2584" i="1"/>
  <c r="BN2584" i="1"/>
  <c r="BM2584" i="1"/>
  <c r="BL2584" i="1"/>
  <c r="BK2584" i="1"/>
  <c r="BJ2584" i="1"/>
  <c r="BI2584" i="1"/>
  <c r="BH2584" i="1"/>
  <c r="AS2584" i="1"/>
  <c r="AN2584" i="1"/>
  <c r="BP2583" i="1"/>
  <c r="BO2583" i="1"/>
  <c r="BN2583" i="1"/>
  <c r="BM2583" i="1"/>
  <c r="BL2583" i="1"/>
  <c r="BK2583" i="1"/>
  <c r="BJ2583" i="1"/>
  <c r="BI2583" i="1"/>
  <c r="BH2583" i="1"/>
  <c r="AS2583" i="1"/>
  <c r="BP2582" i="1"/>
  <c r="BO2582" i="1"/>
  <c r="BN2582" i="1"/>
  <c r="BM2582" i="1"/>
  <c r="BL2582" i="1"/>
  <c r="BK2582" i="1"/>
  <c r="BJ2582" i="1"/>
  <c r="BI2582" i="1"/>
  <c r="BH2582" i="1"/>
  <c r="AR2582" i="1"/>
  <c r="AN2582" i="1"/>
  <c r="BP2581" i="1"/>
  <c r="BO2581" i="1"/>
  <c r="BN2581" i="1"/>
  <c r="BM2581" i="1"/>
  <c r="BL2581" i="1"/>
  <c r="BK2581" i="1"/>
  <c r="BJ2581" i="1"/>
  <c r="BI2581" i="1"/>
  <c r="BH2581" i="1"/>
  <c r="AJ2581" i="1"/>
  <c r="K2581" i="1"/>
  <c r="BP2580" i="1"/>
  <c r="BO2580" i="1"/>
  <c r="BN2580" i="1"/>
  <c r="BM2580" i="1"/>
  <c r="BL2580" i="1"/>
  <c r="BK2580" i="1"/>
  <c r="BJ2580" i="1"/>
  <c r="BI2580" i="1"/>
  <c r="BH2580" i="1"/>
  <c r="BP2579" i="1"/>
  <c r="BN2579" i="1"/>
  <c r="BM2579" i="1"/>
  <c r="BL2579" i="1"/>
  <c r="BK2579" i="1"/>
  <c r="BJ2579" i="1"/>
  <c r="BI2579" i="1"/>
  <c r="BH2579" i="1"/>
  <c r="AY2579" i="1"/>
  <c r="BO2579" i="1" s="1"/>
  <c r="BP2578" i="1"/>
  <c r="BO2578" i="1"/>
  <c r="BN2578" i="1"/>
  <c r="BM2578" i="1"/>
  <c r="BL2578" i="1"/>
  <c r="BK2578" i="1"/>
  <c r="BJ2578" i="1"/>
  <c r="BI2578" i="1"/>
  <c r="BH2578" i="1"/>
  <c r="BP2577" i="1"/>
  <c r="BO2577" i="1"/>
  <c r="BN2577" i="1"/>
  <c r="BM2577" i="1"/>
  <c r="BL2577" i="1"/>
  <c r="BK2577" i="1"/>
  <c r="BJ2577" i="1"/>
  <c r="BI2577" i="1"/>
  <c r="BH2577" i="1"/>
  <c r="BP2576" i="1"/>
  <c r="BO2576" i="1"/>
  <c r="BN2576" i="1"/>
  <c r="BM2576" i="1"/>
  <c r="BL2576" i="1"/>
  <c r="BK2576" i="1"/>
  <c r="BJ2576" i="1"/>
  <c r="BI2576" i="1"/>
  <c r="BH2576" i="1"/>
  <c r="V2576" i="1"/>
  <c r="BP2575" i="1"/>
  <c r="BO2575" i="1"/>
  <c r="BN2575" i="1"/>
  <c r="BM2575" i="1"/>
  <c r="BL2575" i="1"/>
  <c r="BK2575" i="1"/>
  <c r="BJ2575" i="1"/>
  <c r="BI2575" i="1"/>
  <c r="BH2575" i="1"/>
  <c r="BP2574" i="1"/>
  <c r="BO2574" i="1"/>
  <c r="BN2574" i="1"/>
  <c r="BL2574" i="1"/>
  <c r="BK2574" i="1"/>
  <c r="BJ2574" i="1"/>
  <c r="BI2574" i="1"/>
  <c r="BH2574" i="1"/>
  <c r="AR2574" i="1"/>
  <c r="AN2574" i="1"/>
  <c r="BM2574" i="1" s="1"/>
  <c r="BP2573" i="1"/>
  <c r="BO2573" i="1"/>
  <c r="BN2573" i="1"/>
  <c r="BL2573" i="1"/>
  <c r="BK2573" i="1"/>
  <c r="BJ2573" i="1"/>
  <c r="BI2573" i="1"/>
  <c r="BH2573" i="1"/>
  <c r="AR2573" i="1"/>
  <c r="AN2573" i="1"/>
  <c r="BM2573" i="1" s="1"/>
  <c r="BP2572" i="1"/>
  <c r="BO2572" i="1"/>
  <c r="BN2572" i="1"/>
  <c r="BM2572" i="1"/>
  <c r="BL2572" i="1"/>
  <c r="BJ2572" i="1"/>
  <c r="BI2572" i="1"/>
  <c r="BH2572" i="1"/>
  <c r="X2572" i="1"/>
  <c r="BK2572" i="1" s="1"/>
  <c r="BP2571" i="1"/>
  <c r="BO2571" i="1"/>
  <c r="BN2571" i="1"/>
  <c r="BM2571" i="1"/>
  <c r="BL2571" i="1"/>
  <c r="BJ2571" i="1"/>
  <c r="BI2571" i="1"/>
  <c r="BH2571" i="1"/>
  <c r="X2571" i="1"/>
  <c r="BK2571" i="1" s="1"/>
  <c r="BP2570" i="1"/>
  <c r="BO2570" i="1"/>
  <c r="BN2570" i="1"/>
  <c r="BM2570" i="1"/>
  <c r="BL2570" i="1"/>
  <c r="BK2570" i="1"/>
  <c r="BJ2570" i="1"/>
  <c r="BI2570" i="1"/>
  <c r="BH2570" i="1"/>
  <c r="AB2570" i="1"/>
  <c r="BP2569" i="1"/>
  <c r="BO2569" i="1"/>
  <c r="BN2569" i="1"/>
  <c r="BM2569" i="1"/>
  <c r="BL2569" i="1"/>
  <c r="BK2569" i="1"/>
  <c r="BJ2569" i="1"/>
  <c r="BI2569" i="1"/>
  <c r="BH2569" i="1"/>
  <c r="AS2569" i="1"/>
  <c r="AN2569" i="1"/>
  <c r="BP2568" i="1"/>
  <c r="BO2568" i="1"/>
  <c r="BN2568" i="1"/>
  <c r="BL2568" i="1"/>
  <c r="BK2568" i="1"/>
  <c r="BJ2568" i="1"/>
  <c r="BI2568" i="1"/>
  <c r="BH2568" i="1"/>
  <c r="AS2568" i="1"/>
  <c r="BM2568" i="1" s="1"/>
  <c r="BP2567" i="1"/>
  <c r="BO2567" i="1"/>
  <c r="BN2567" i="1"/>
  <c r="BL2567" i="1"/>
  <c r="BK2567" i="1"/>
  <c r="BJ2567" i="1"/>
  <c r="BI2567" i="1"/>
  <c r="BH2567" i="1"/>
  <c r="AR2567" i="1"/>
  <c r="AN2567" i="1"/>
  <c r="BM2567" i="1" s="1"/>
  <c r="BP2566" i="1"/>
  <c r="BO2566" i="1"/>
  <c r="BN2566" i="1"/>
  <c r="BL2566" i="1"/>
  <c r="BK2566" i="1"/>
  <c r="BJ2566" i="1"/>
  <c r="BI2566" i="1"/>
  <c r="BH2566" i="1"/>
  <c r="AR2566" i="1"/>
  <c r="AN2566" i="1"/>
  <c r="BP2565" i="1"/>
  <c r="BO2565" i="1"/>
  <c r="BN2565" i="1"/>
  <c r="BM2565" i="1"/>
  <c r="BL2565" i="1"/>
  <c r="BK2565" i="1"/>
  <c r="BJ2565" i="1"/>
  <c r="BI2565" i="1"/>
  <c r="BH2565" i="1"/>
  <c r="BP2564" i="1"/>
  <c r="BN2564" i="1"/>
  <c r="BM2564" i="1"/>
  <c r="BL2564" i="1"/>
  <c r="BK2564" i="1"/>
  <c r="BJ2564" i="1"/>
  <c r="BI2564" i="1"/>
  <c r="BH2564" i="1"/>
  <c r="AY2564" i="1"/>
  <c r="BO2564" i="1" s="1"/>
  <c r="BP2563" i="1"/>
  <c r="BO2563" i="1"/>
  <c r="BN2563" i="1"/>
  <c r="BM2563" i="1"/>
  <c r="BL2563" i="1"/>
  <c r="BK2563" i="1"/>
  <c r="BJ2563" i="1"/>
  <c r="BI2563" i="1"/>
  <c r="BH2563" i="1"/>
  <c r="BE2563" i="1"/>
  <c r="BP2562" i="1"/>
  <c r="BO2562" i="1"/>
  <c r="BN2562" i="1"/>
  <c r="BM2562" i="1"/>
  <c r="BL2562" i="1"/>
  <c r="BK2562" i="1"/>
  <c r="BJ2562" i="1"/>
  <c r="BI2562" i="1"/>
  <c r="BH2562" i="1"/>
  <c r="BP2561" i="1"/>
  <c r="BO2561" i="1"/>
  <c r="BN2561" i="1"/>
  <c r="BM2561" i="1"/>
  <c r="BL2561" i="1"/>
  <c r="BK2561" i="1"/>
  <c r="BJ2561" i="1"/>
  <c r="BI2561" i="1"/>
  <c r="BH2561" i="1"/>
  <c r="BP2560" i="1"/>
  <c r="BO2560" i="1"/>
  <c r="BN2560" i="1"/>
  <c r="BL2560" i="1"/>
  <c r="BK2560" i="1"/>
  <c r="BJ2560" i="1"/>
  <c r="BI2560" i="1"/>
  <c r="BH2560" i="1"/>
  <c r="AB2560" i="1"/>
  <c r="BM2560" i="1" s="1"/>
  <c r="BP2559" i="1"/>
  <c r="BO2559" i="1"/>
  <c r="BN2559" i="1"/>
  <c r="BM2559" i="1"/>
  <c r="BL2559" i="1"/>
  <c r="BK2559" i="1"/>
  <c r="BJ2559" i="1"/>
  <c r="BI2559" i="1"/>
  <c r="BH2559" i="1"/>
  <c r="BP2558" i="1"/>
  <c r="BO2558" i="1"/>
  <c r="BN2558" i="1"/>
  <c r="BM2558" i="1"/>
  <c r="BL2558" i="1"/>
  <c r="BK2558" i="1"/>
  <c r="BJ2558" i="1"/>
  <c r="BI2558" i="1"/>
  <c r="BH2558" i="1"/>
  <c r="AQ2558" i="1"/>
  <c r="BP2557" i="1"/>
  <c r="BO2557" i="1"/>
  <c r="BN2557" i="1"/>
  <c r="BM2557" i="1"/>
  <c r="BL2557" i="1"/>
  <c r="BK2557" i="1"/>
  <c r="BJ2557" i="1"/>
  <c r="BI2557" i="1"/>
  <c r="BH2557" i="1"/>
  <c r="BP2556" i="1"/>
  <c r="BO2556" i="1"/>
  <c r="BN2556" i="1"/>
  <c r="BL2556" i="1"/>
  <c r="BK2556" i="1"/>
  <c r="BJ2556" i="1"/>
  <c r="BI2556" i="1"/>
  <c r="BH2556" i="1"/>
  <c r="AR2556" i="1"/>
  <c r="AQ2556" i="1"/>
  <c r="BM2556" i="1" s="1"/>
  <c r="P2556" i="1"/>
  <c r="BP2555" i="1"/>
  <c r="BO2555" i="1"/>
  <c r="BN2555" i="1"/>
  <c r="BL2555" i="1"/>
  <c r="BK2555" i="1"/>
  <c r="BJ2555" i="1"/>
  <c r="BI2555" i="1"/>
  <c r="BH2555" i="1"/>
  <c r="AR2555" i="1"/>
  <c r="AN2555" i="1"/>
  <c r="BP2554" i="1"/>
  <c r="BO2554" i="1"/>
  <c r="BN2554" i="1"/>
  <c r="BL2554" i="1"/>
  <c r="BK2554" i="1"/>
  <c r="BJ2554" i="1"/>
  <c r="BI2554" i="1"/>
  <c r="BH2554" i="1"/>
  <c r="AQ2554" i="1"/>
  <c r="BM2554" i="1" s="1"/>
  <c r="BP2553" i="1"/>
  <c r="BO2553" i="1"/>
  <c r="BN2553" i="1"/>
  <c r="BM2553" i="1"/>
  <c r="BL2553" i="1"/>
  <c r="BJ2553" i="1"/>
  <c r="BI2553" i="1"/>
  <c r="BH2553" i="1"/>
  <c r="X2553" i="1"/>
  <c r="BK2553" i="1" s="1"/>
  <c r="BP2552" i="1"/>
  <c r="BO2552" i="1"/>
  <c r="BN2552" i="1"/>
  <c r="BM2552" i="1"/>
  <c r="BL2552" i="1"/>
  <c r="BK2552" i="1"/>
  <c r="BJ2552" i="1"/>
  <c r="BI2552" i="1"/>
  <c r="BH2552" i="1"/>
  <c r="X2552" i="1"/>
  <c r="BP2551" i="1"/>
  <c r="BO2551" i="1"/>
  <c r="BN2551" i="1"/>
  <c r="BM2551" i="1"/>
  <c r="BL2551" i="1"/>
  <c r="BK2551" i="1"/>
  <c r="BJ2551" i="1"/>
  <c r="BI2551" i="1"/>
  <c r="BH2551" i="1"/>
  <c r="X2551" i="1"/>
  <c r="BP2550" i="1"/>
  <c r="BO2550" i="1"/>
  <c r="BN2550" i="1"/>
  <c r="BM2550" i="1"/>
  <c r="BL2550" i="1"/>
  <c r="BK2550" i="1"/>
  <c r="BJ2550" i="1"/>
  <c r="BI2550" i="1"/>
  <c r="BH2550" i="1"/>
  <c r="BP2549" i="1"/>
  <c r="BO2549" i="1"/>
  <c r="BN2549" i="1"/>
  <c r="BM2549" i="1"/>
  <c r="BL2549" i="1"/>
  <c r="BJ2549" i="1"/>
  <c r="BI2549" i="1"/>
  <c r="BH2549" i="1"/>
  <c r="V2549" i="1"/>
  <c r="BK2549" i="1" s="1"/>
  <c r="BP2548" i="1"/>
  <c r="BO2548" i="1"/>
  <c r="BN2548" i="1"/>
  <c r="BM2548" i="1"/>
  <c r="BL2548" i="1"/>
  <c r="BK2548" i="1"/>
  <c r="BJ2548" i="1"/>
  <c r="BI2548" i="1"/>
  <c r="BH2548" i="1"/>
  <c r="BP2547" i="1"/>
  <c r="BO2547" i="1"/>
  <c r="BN2547" i="1"/>
  <c r="BM2547" i="1"/>
  <c r="BL2547" i="1"/>
  <c r="BK2547" i="1"/>
  <c r="BJ2547" i="1"/>
  <c r="BI2547" i="1"/>
  <c r="BH2547" i="1"/>
  <c r="BP2546" i="1"/>
  <c r="BO2546" i="1"/>
  <c r="BN2546" i="1"/>
  <c r="BM2546" i="1"/>
  <c r="BL2546" i="1"/>
  <c r="BK2546" i="1"/>
  <c r="BJ2546" i="1"/>
  <c r="BI2546" i="1"/>
  <c r="BH2546" i="1"/>
  <c r="BP2545" i="1"/>
  <c r="BO2545" i="1"/>
  <c r="BN2545" i="1"/>
  <c r="BM2545" i="1"/>
  <c r="BL2545" i="1"/>
  <c r="BK2545" i="1"/>
  <c r="BJ2545" i="1"/>
  <c r="BI2545" i="1"/>
  <c r="BH2545" i="1"/>
  <c r="BP2544" i="1"/>
  <c r="BO2544" i="1"/>
  <c r="BN2544" i="1"/>
  <c r="BM2544" i="1"/>
  <c r="BL2544" i="1"/>
  <c r="BK2544" i="1"/>
  <c r="BJ2544" i="1"/>
  <c r="BI2544" i="1"/>
  <c r="BH2544" i="1"/>
  <c r="BP2543" i="1"/>
  <c r="BO2543" i="1"/>
  <c r="BN2543" i="1"/>
  <c r="BM2543" i="1"/>
  <c r="BL2543" i="1"/>
  <c r="BK2543" i="1"/>
  <c r="BJ2543" i="1"/>
  <c r="BI2543" i="1"/>
  <c r="AJ2543" i="1"/>
  <c r="J2543" i="1"/>
  <c r="BH2543" i="1" s="1"/>
  <c r="BP2542" i="1"/>
  <c r="BO2542" i="1"/>
  <c r="BN2542" i="1"/>
  <c r="BM2542" i="1"/>
  <c r="BL2542" i="1"/>
  <c r="BK2542" i="1"/>
  <c r="BJ2542" i="1"/>
  <c r="BI2542" i="1"/>
  <c r="BH2542" i="1"/>
  <c r="AR2542" i="1"/>
  <c r="AN2542" i="1"/>
  <c r="BP2541" i="1"/>
  <c r="BO2541" i="1"/>
  <c r="BN2541" i="1"/>
  <c r="BM2541" i="1"/>
  <c r="BL2541" i="1"/>
  <c r="BK2541" i="1"/>
  <c r="BJ2541" i="1"/>
  <c r="BI2541" i="1"/>
  <c r="BH2541" i="1"/>
  <c r="AR2541" i="1"/>
  <c r="AN2541" i="1"/>
  <c r="BP2540" i="1"/>
  <c r="BO2540" i="1"/>
  <c r="BN2540" i="1"/>
  <c r="BM2540" i="1"/>
  <c r="BL2540" i="1"/>
  <c r="BK2540" i="1"/>
  <c r="BJ2540" i="1"/>
  <c r="BI2540" i="1"/>
  <c r="BH2540" i="1"/>
  <c r="BP2539" i="1"/>
  <c r="BO2539" i="1"/>
  <c r="BN2539" i="1"/>
  <c r="BL2539" i="1"/>
  <c r="BK2539" i="1"/>
  <c r="BJ2539" i="1"/>
  <c r="BI2539" i="1"/>
  <c r="BH2539" i="1"/>
  <c r="AQ2539" i="1"/>
  <c r="AB2539" i="1"/>
  <c r="BM2539" i="1" s="1"/>
  <c r="BP2538" i="1"/>
  <c r="BO2538" i="1"/>
  <c r="BN2538" i="1"/>
  <c r="BM2538" i="1"/>
  <c r="BL2538" i="1"/>
  <c r="BJ2538" i="1"/>
  <c r="BI2538" i="1"/>
  <c r="BH2538" i="1"/>
  <c r="X2538" i="1"/>
  <c r="BK2538" i="1" s="1"/>
  <c r="BP2537" i="1"/>
  <c r="BO2537" i="1"/>
  <c r="BN2537" i="1"/>
  <c r="BM2537" i="1"/>
  <c r="BL2537" i="1"/>
  <c r="BK2537" i="1"/>
  <c r="BJ2537" i="1"/>
  <c r="BI2537" i="1"/>
  <c r="BH2537" i="1"/>
  <c r="BP2536" i="1"/>
  <c r="BO2536" i="1"/>
  <c r="BN2536" i="1"/>
  <c r="BM2536" i="1"/>
  <c r="BL2536" i="1"/>
  <c r="BK2536" i="1"/>
  <c r="BJ2536" i="1"/>
  <c r="BI2536" i="1"/>
  <c r="BH2536" i="1"/>
  <c r="BE2536" i="1"/>
  <c r="BP2535" i="1"/>
  <c r="BO2535" i="1"/>
  <c r="BN2535" i="1"/>
  <c r="BM2535" i="1"/>
  <c r="BL2535" i="1"/>
  <c r="BK2535" i="1"/>
  <c r="BJ2535" i="1"/>
  <c r="BI2535" i="1"/>
  <c r="BH2535" i="1"/>
  <c r="BP2534" i="1"/>
  <c r="BO2534" i="1"/>
  <c r="BN2534" i="1"/>
  <c r="BL2534" i="1"/>
  <c r="BK2534" i="1"/>
  <c r="BJ2534" i="1"/>
  <c r="BI2534" i="1"/>
  <c r="BH2534" i="1"/>
  <c r="AQ2534" i="1"/>
  <c r="BM2534" i="1" s="1"/>
  <c r="BP2533" i="1"/>
  <c r="BO2533" i="1"/>
  <c r="BN2533" i="1"/>
  <c r="BM2533" i="1"/>
  <c r="BK2533" i="1"/>
  <c r="BJ2533" i="1"/>
  <c r="BI2533" i="1"/>
  <c r="BH2533" i="1"/>
  <c r="AA2533" i="1"/>
  <c r="BL2533" i="1" s="1"/>
  <c r="BP2532" i="1"/>
  <c r="BO2532" i="1"/>
  <c r="BN2532" i="1"/>
  <c r="BL2532" i="1"/>
  <c r="BK2532" i="1"/>
  <c r="BJ2532" i="1"/>
  <c r="BI2532" i="1"/>
  <c r="BH2532" i="1"/>
  <c r="AS2532" i="1"/>
  <c r="AN2532" i="1"/>
  <c r="BM2532" i="1" s="1"/>
  <c r="BP2531" i="1"/>
  <c r="BO2531" i="1"/>
  <c r="BN2531" i="1"/>
  <c r="BM2531" i="1"/>
  <c r="BL2531" i="1"/>
  <c r="BK2531" i="1"/>
  <c r="BJ2531" i="1"/>
  <c r="BI2531" i="1"/>
  <c r="BH2531" i="1"/>
  <c r="AS2531" i="1"/>
  <c r="BP2530" i="1"/>
  <c r="BO2530" i="1"/>
  <c r="BN2530" i="1"/>
  <c r="BM2530" i="1"/>
  <c r="BL2530" i="1"/>
  <c r="BK2530" i="1"/>
  <c r="BJ2530" i="1"/>
  <c r="BI2530" i="1"/>
  <c r="BH2530" i="1"/>
  <c r="AR2530" i="1"/>
  <c r="AN2530" i="1"/>
  <c r="BP2529" i="1"/>
  <c r="BO2529" i="1"/>
  <c r="BN2529" i="1"/>
  <c r="BM2529" i="1"/>
  <c r="BL2529" i="1"/>
  <c r="BK2529" i="1"/>
  <c r="BJ2529" i="1"/>
  <c r="BI2529" i="1"/>
  <c r="BH2529" i="1"/>
  <c r="AR2529" i="1"/>
  <c r="AN2529" i="1"/>
  <c r="BP2528" i="1"/>
  <c r="BO2528" i="1"/>
  <c r="BN2528" i="1"/>
  <c r="BM2528" i="1"/>
  <c r="BL2528" i="1"/>
  <c r="BK2528" i="1"/>
  <c r="BJ2528" i="1"/>
  <c r="BI2528" i="1"/>
  <c r="BH2528" i="1"/>
  <c r="AP2528" i="1"/>
  <c r="BP2527" i="1"/>
  <c r="BO2527" i="1"/>
  <c r="BN2527" i="1"/>
  <c r="BM2527" i="1"/>
  <c r="BL2527" i="1"/>
  <c r="BK2527" i="1"/>
  <c r="BJ2527" i="1"/>
  <c r="BI2527" i="1"/>
  <c r="BH2527" i="1"/>
  <c r="BP2526" i="1"/>
  <c r="BO2526" i="1"/>
  <c r="BN2526" i="1"/>
  <c r="BM2526" i="1"/>
  <c r="BL2526" i="1"/>
  <c r="BK2526" i="1"/>
  <c r="BJ2526" i="1"/>
  <c r="BI2526" i="1"/>
  <c r="BH2526" i="1"/>
  <c r="AY2526" i="1"/>
  <c r="BP2525" i="1"/>
  <c r="BO2525" i="1"/>
  <c r="BN2525" i="1"/>
  <c r="BM2525" i="1"/>
  <c r="BL2525" i="1"/>
  <c r="BK2525" i="1"/>
  <c r="BJ2525" i="1"/>
  <c r="BI2525" i="1"/>
  <c r="BH2525" i="1"/>
  <c r="BP2524" i="1"/>
  <c r="BO2524" i="1"/>
  <c r="BN2524" i="1"/>
  <c r="BM2524" i="1"/>
  <c r="BL2524" i="1"/>
  <c r="BK2524" i="1"/>
  <c r="BJ2524" i="1"/>
  <c r="BI2524" i="1"/>
  <c r="BH2524" i="1"/>
  <c r="AS2524" i="1"/>
  <c r="AN2524" i="1"/>
  <c r="BP2523" i="1"/>
  <c r="BO2523" i="1"/>
  <c r="BN2523" i="1"/>
  <c r="BM2523" i="1"/>
  <c r="BL2523" i="1"/>
  <c r="BK2523" i="1"/>
  <c r="BJ2523" i="1"/>
  <c r="BI2523" i="1"/>
  <c r="BH2523" i="1"/>
  <c r="AS2523" i="1"/>
  <c r="AN2523" i="1"/>
  <c r="BP2522" i="1"/>
  <c r="BO2522" i="1"/>
  <c r="BN2522" i="1"/>
  <c r="BM2522" i="1"/>
  <c r="BL2522" i="1"/>
  <c r="BK2522" i="1"/>
  <c r="BJ2522" i="1"/>
  <c r="BI2522" i="1"/>
  <c r="BH2522" i="1"/>
  <c r="AS2522" i="1"/>
  <c r="BP2521" i="1"/>
  <c r="BO2521" i="1"/>
  <c r="BN2521" i="1"/>
  <c r="BL2521" i="1"/>
  <c r="BK2521" i="1"/>
  <c r="BJ2521" i="1"/>
  <c r="BI2521" i="1"/>
  <c r="BH2521" i="1"/>
  <c r="AS2521" i="1"/>
  <c r="BM2521" i="1" s="1"/>
  <c r="BL2520" i="1"/>
  <c r="BK2520" i="1"/>
  <c r="BJ2520" i="1"/>
  <c r="BH2520" i="1"/>
  <c r="BG2520" i="1"/>
  <c r="BF2520" i="1"/>
  <c r="BP2520" i="1" s="1"/>
  <c r="AW2520" i="1"/>
  <c r="BO2520" i="1" s="1"/>
  <c r="AT2520" i="1"/>
  <c r="BN2520" i="1" s="1"/>
  <c r="AQ2520" i="1"/>
  <c r="AF2520" i="1"/>
  <c r="BM2520" i="1" s="1"/>
  <c r="Z2520" i="1"/>
  <c r="U2520" i="1"/>
  <c r="S2520" i="1"/>
  <c r="O2520" i="1"/>
  <c r="BI2520" i="1" s="1"/>
  <c r="C2520" i="1"/>
  <c r="BP2519" i="1"/>
  <c r="BO2519" i="1"/>
  <c r="BN2519" i="1"/>
  <c r="BM2519" i="1"/>
  <c r="BL2519" i="1"/>
  <c r="BJ2519" i="1"/>
  <c r="BI2519" i="1"/>
  <c r="BH2519" i="1"/>
  <c r="X2519" i="1"/>
  <c r="BK2519" i="1" s="1"/>
  <c r="BP2518" i="1"/>
  <c r="BO2518" i="1"/>
  <c r="BN2518" i="1"/>
  <c r="BM2518" i="1"/>
  <c r="BL2518" i="1"/>
  <c r="BK2518" i="1"/>
  <c r="BJ2518" i="1"/>
  <c r="BI2518" i="1"/>
  <c r="BH2518" i="1"/>
  <c r="AQ2518" i="1"/>
  <c r="BP2517" i="1"/>
  <c r="BO2517" i="1"/>
  <c r="BN2517" i="1"/>
  <c r="BM2517" i="1"/>
  <c r="BL2517" i="1"/>
  <c r="BK2517" i="1"/>
  <c r="BJ2517" i="1"/>
  <c r="BI2517" i="1"/>
  <c r="BH2517" i="1"/>
  <c r="BP2516" i="1"/>
  <c r="BO2516" i="1"/>
  <c r="BN2516" i="1"/>
  <c r="BM2516" i="1"/>
  <c r="BL2516" i="1"/>
  <c r="BK2516" i="1"/>
  <c r="BJ2516" i="1"/>
  <c r="BI2516" i="1"/>
  <c r="BH2516" i="1"/>
  <c r="V2516" i="1"/>
  <c r="BP2515" i="1"/>
  <c r="BO2515" i="1"/>
  <c r="BN2515" i="1"/>
  <c r="BM2515" i="1"/>
  <c r="BL2515" i="1"/>
  <c r="BK2515" i="1"/>
  <c r="BJ2515" i="1"/>
  <c r="BI2515" i="1"/>
  <c r="BH2515" i="1"/>
  <c r="X2515" i="1"/>
  <c r="BP2514" i="1"/>
  <c r="BO2514" i="1"/>
  <c r="BN2514" i="1"/>
  <c r="BM2514" i="1"/>
  <c r="BL2514" i="1"/>
  <c r="BK2514" i="1"/>
  <c r="BJ2514" i="1"/>
  <c r="BI2514" i="1"/>
  <c r="BH2514" i="1"/>
  <c r="BP2513" i="1"/>
  <c r="BO2513" i="1"/>
  <c r="BN2513" i="1"/>
  <c r="BL2513" i="1"/>
  <c r="BK2513" i="1"/>
  <c r="BJ2513" i="1"/>
  <c r="BI2513" i="1"/>
  <c r="BH2513" i="1"/>
  <c r="AR2513" i="1"/>
  <c r="AN2513" i="1"/>
  <c r="BM2513" i="1" s="1"/>
  <c r="BP2512" i="1"/>
  <c r="BO2512" i="1"/>
  <c r="BN2512" i="1"/>
  <c r="BM2512" i="1"/>
  <c r="BL2512" i="1"/>
  <c r="BK2512" i="1"/>
  <c r="BJ2512" i="1"/>
  <c r="BI2512" i="1"/>
  <c r="BH2512" i="1"/>
  <c r="AR2512" i="1"/>
  <c r="AN2512" i="1"/>
  <c r="BP2511" i="1"/>
  <c r="BO2511" i="1"/>
  <c r="BN2511" i="1"/>
  <c r="BM2511" i="1"/>
  <c r="BL2511" i="1"/>
  <c r="BK2511" i="1"/>
  <c r="BJ2511" i="1"/>
  <c r="BI2511" i="1"/>
  <c r="BH2511" i="1"/>
  <c r="X2511" i="1"/>
  <c r="BP2510" i="1"/>
  <c r="BO2510" i="1"/>
  <c r="BN2510" i="1"/>
  <c r="BM2510" i="1"/>
  <c r="BL2510" i="1"/>
  <c r="BK2510" i="1"/>
  <c r="BJ2510" i="1"/>
  <c r="BI2510" i="1"/>
  <c r="BH2510" i="1"/>
  <c r="BP2509" i="1"/>
  <c r="BO2509" i="1"/>
  <c r="BN2509" i="1"/>
  <c r="BM2509" i="1"/>
  <c r="BL2509" i="1"/>
  <c r="BK2509" i="1"/>
  <c r="BJ2509" i="1"/>
  <c r="BI2509" i="1"/>
  <c r="BH2509" i="1"/>
  <c r="BP2508" i="1"/>
  <c r="BO2508" i="1"/>
  <c r="BN2508" i="1"/>
  <c r="BM2508" i="1"/>
  <c r="BL2508" i="1"/>
  <c r="BK2508" i="1"/>
  <c r="BJ2508" i="1"/>
  <c r="BI2508" i="1"/>
  <c r="BH2508" i="1"/>
  <c r="BP2507" i="1"/>
  <c r="BO2507" i="1"/>
  <c r="BN2507" i="1"/>
  <c r="BM2507" i="1"/>
  <c r="BL2507" i="1"/>
  <c r="BK2507" i="1"/>
  <c r="BJ2507" i="1"/>
  <c r="BI2507" i="1"/>
  <c r="BH2507" i="1"/>
  <c r="BE2507" i="1"/>
  <c r="BP2506" i="1"/>
  <c r="BO2506" i="1"/>
  <c r="BN2506" i="1"/>
  <c r="BM2506" i="1"/>
  <c r="BL2506" i="1"/>
  <c r="BK2506" i="1"/>
  <c r="BJ2506" i="1"/>
  <c r="BI2506" i="1"/>
  <c r="BH2506" i="1"/>
  <c r="BP2505" i="1"/>
  <c r="BO2505" i="1"/>
  <c r="BN2505" i="1"/>
  <c r="BL2505" i="1"/>
  <c r="BK2505" i="1"/>
  <c r="BJ2505" i="1"/>
  <c r="BI2505" i="1"/>
  <c r="BH2505" i="1"/>
  <c r="AQ2505" i="1"/>
  <c r="BM2505" i="1" s="1"/>
  <c r="BP2504" i="1"/>
  <c r="BO2504" i="1"/>
  <c r="BN2504" i="1"/>
  <c r="BM2504" i="1"/>
  <c r="BL2504" i="1"/>
  <c r="BJ2504" i="1"/>
  <c r="BI2504" i="1"/>
  <c r="BH2504" i="1"/>
  <c r="X2504" i="1"/>
  <c r="BK2504" i="1" s="1"/>
  <c r="BP2503" i="1"/>
  <c r="BO2503" i="1"/>
  <c r="BN2503" i="1"/>
  <c r="BM2503" i="1"/>
  <c r="BL2503" i="1"/>
  <c r="BK2503" i="1"/>
  <c r="BJ2503" i="1"/>
  <c r="BI2503" i="1"/>
  <c r="BH2503" i="1"/>
  <c r="BP2502" i="1"/>
  <c r="BO2502" i="1"/>
  <c r="BN2502" i="1"/>
  <c r="BM2502" i="1"/>
  <c r="BL2502" i="1"/>
  <c r="BK2502" i="1"/>
  <c r="BJ2502" i="1"/>
  <c r="BI2502" i="1"/>
  <c r="BH2502" i="1"/>
  <c r="V2502" i="1"/>
  <c r="BP2501" i="1"/>
  <c r="BO2501" i="1"/>
  <c r="BN2501" i="1"/>
  <c r="BM2501" i="1"/>
  <c r="BL2501" i="1"/>
  <c r="BK2501" i="1"/>
  <c r="BJ2501" i="1"/>
  <c r="BI2501" i="1"/>
  <c r="BH2501" i="1"/>
  <c r="BP2500" i="1"/>
  <c r="BO2500" i="1"/>
  <c r="BN2500" i="1"/>
  <c r="BM2500" i="1"/>
  <c r="BL2500" i="1"/>
  <c r="BK2500" i="1"/>
  <c r="BJ2500" i="1"/>
  <c r="BI2500" i="1"/>
  <c r="BH2500" i="1"/>
  <c r="BP2499" i="1"/>
  <c r="BO2499" i="1"/>
  <c r="BN2499" i="1"/>
  <c r="BM2499" i="1"/>
  <c r="BL2499" i="1"/>
  <c r="BK2499" i="1"/>
  <c r="BJ2499" i="1"/>
  <c r="BI2499" i="1"/>
  <c r="BH2499" i="1"/>
  <c r="BP2498" i="1"/>
  <c r="BO2498" i="1"/>
  <c r="BN2498" i="1"/>
  <c r="BM2498" i="1"/>
  <c r="BL2498" i="1"/>
  <c r="BK2498" i="1"/>
  <c r="BJ2498" i="1"/>
  <c r="BI2498" i="1"/>
  <c r="BH2498" i="1"/>
  <c r="BP2497" i="1"/>
  <c r="BO2497" i="1"/>
  <c r="BN2497" i="1"/>
  <c r="BM2497" i="1"/>
  <c r="BL2497" i="1"/>
  <c r="BK2497" i="1"/>
  <c r="BJ2497" i="1"/>
  <c r="BI2497" i="1"/>
  <c r="BH2497" i="1"/>
  <c r="BP2496" i="1"/>
  <c r="BO2496" i="1"/>
  <c r="BN2496" i="1"/>
  <c r="BL2496" i="1"/>
  <c r="BK2496" i="1"/>
  <c r="BJ2496" i="1"/>
  <c r="BI2496" i="1"/>
  <c r="BH2496" i="1"/>
  <c r="AR2496" i="1"/>
  <c r="AN2496" i="1"/>
  <c r="BM2496" i="1" s="1"/>
  <c r="BP2495" i="1"/>
  <c r="BO2495" i="1"/>
  <c r="BN2495" i="1"/>
  <c r="BL2495" i="1"/>
  <c r="BK2495" i="1"/>
  <c r="BJ2495" i="1"/>
  <c r="BI2495" i="1"/>
  <c r="BH2495" i="1"/>
  <c r="AR2495" i="1"/>
  <c r="AN2495" i="1"/>
  <c r="BM2495" i="1" s="1"/>
  <c r="BP2494" i="1"/>
  <c r="BO2494" i="1"/>
  <c r="BN2494" i="1"/>
  <c r="BL2494" i="1"/>
  <c r="BK2494" i="1"/>
  <c r="BJ2494" i="1"/>
  <c r="BI2494" i="1"/>
  <c r="BH2494" i="1"/>
  <c r="AS2494" i="1"/>
  <c r="BM2494" i="1" s="1"/>
  <c r="BP2493" i="1"/>
  <c r="BO2493" i="1"/>
  <c r="BN2493" i="1"/>
  <c r="BM2493" i="1"/>
  <c r="BL2493" i="1"/>
  <c r="BK2493" i="1"/>
  <c r="BJ2493" i="1"/>
  <c r="BI2493" i="1"/>
  <c r="BH2493" i="1"/>
  <c r="BP2492" i="1"/>
  <c r="BO2492" i="1"/>
  <c r="BN2492" i="1"/>
  <c r="BM2492" i="1"/>
  <c r="BL2492" i="1"/>
  <c r="BK2492" i="1"/>
  <c r="BJ2492" i="1"/>
  <c r="BI2492" i="1"/>
  <c r="BH2492" i="1"/>
  <c r="BP2491" i="1"/>
  <c r="BO2491" i="1"/>
  <c r="BN2491" i="1"/>
  <c r="BM2491" i="1"/>
  <c r="BL2491" i="1"/>
  <c r="BK2491" i="1"/>
  <c r="BJ2491" i="1"/>
  <c r="BI2491" i="1"/>
  <c r="BH2491" i="1"/>
  <c r="BP2490" i="1"/>
  <c r="BO2490" i="1"/>
  <c r="BN2490" i="1"/>
  <c r="BM2490" i="1"/>
  <c r="BL2490" i="1"/>
  <c r="BK2490" i="1"/>
  <c r="BJ2490" i="1"/>
  <c r="BI2490" i="1"/>
  <c r="BH2490" i="1"/>
  <c r="AY2490" i="1"/>
  <c r="BP2489" i="1"/>
  <c r="BO2489" i="1"/>
  <c r="BN2489" i="1"/>
  <c r="BM2489" i="1"/>
  <c r="BL2489" i="1"/>
  <c r="BK2489" i="1"/>
  <c r="BJ2489" i="1"/>
  <c r="BI2489" i="1"/>
  <c r="BH2489" i="1"/>
  <c r="BP2488" i="1"/>
  <c r="BO2488" i="1"/>
  <c r="BN2488" i="1"/>
  <c r="BM2488" i="1"/>
  <c r="BL2488" i="1"/>
  <c r="BK2488" i="1"/>
  <c r="BJ2488" i="1"/>
  <c r="BI2488" i="1"/>
  <c r="BH2488" i="1"/>
  <c r="AQ2488" i="1"/>
  <c r="BP2487" i="1"/>
  <c r="BO2487" i="1"/>
  <c r="BN2487" i="1"/>
  <c r="BM2487" i="1"/>
  <c r="BL2487" i="1"/>
  <c r="BK2487" i="1"/>
  <c r="BJ2487" i="1"/>
  <c r="BI2487" i="1"/>
  <c r="BH2487" i="1"/>
  <c r="AQ2487" i="1"/>
  <c r="BP2486" i="1"/>
  <c r="BO2486" i="1"/>
  <c r="BN2486" i="1"/>
  <c r="BM2486" i="1"/>
  <c r="BL2486" i="1"/>
  <c r="BK2486" i="1"/>
  <c r="BJ2486" i="1"/>
  <c r="BI2486" i="1"/>
  <c r="BH2486" i="1"/>
  <c r="BP2485" i="1"/>
  <c r="BO2485" i="1"/>
  <c r="BN2485" i="1"/>
  <c r="BL2485" i="1"/>
  <c r="BK2485" i="1"/>
  <c r="BJ2485" i="1"/>
  <c r="BI2485" i="1"/>
  <c r="BH2485" i="1"/>
  <c r="AB2485" i="1"/>
  <c r="BM2485" i="1" s="1"/>
  <c r="BP2484" i="1"/>
  <c r="BO2484" i="1"/>
  <c r="BN2484" i="1"/>
  <c r="BM2484" i="1"/>
  <c r="BL2484" i="1"/>
  <c r="BK2484" i="1"/>
  <c r="BJ2484" i="1"/>
  <c r="BI2484" i="1"/>
  <c r="BH2484" i="1"/>
  <c r="BP2483" i="1"/>
  <c r="BO2483" i="1"/>
  <c r="BN2483" i="1"/>
  <c r="BL2483" i="1"/>
  <c r="BK2483" i="1"/>
  <c r="BJ2483" i="1"/>
  <c r="BI2483" i="1"/>
  <c r="BH2483" i="1"/>
  <c r="AS2483" i="1"/>
  <c r="AN2483" i="1"/>
  <c r="BM2483" i="1" s="1"/>
  <c r="BP2482" i="1"/>
  <c r="BO2482" i="1"/>
  <c r="BN2482" i="1"/>
  <c r="BM2482" i="1"/>
  <c r="BL2482" i="1"/>
  <c r="BK2482" i="1"/>
  <c r="BJ2482" i="1"/>
  <c r="BI2482" i="1"/>
  <c r="BH2482" i="1"/>
  <c r="AS2482" i="1"/>
  <c r="BP2481" i="1"/>
  <c r="BO2481" i="1"/>
  <c r="BN2481" i="1"/>
  <c r="BM2481" i="1"/>
  <c r="BL2481" i="1"/>
  <c r="BK2481" i="1"/>
  <c r="BJ2481" i="1"/>
  <c r="BI2481" i="1"/>
  <c r="BH2481" i="1"/>
  <c r="AR2481" i="1"/>
  <c r="AN2481" i="1"/>
  <c r="BP2480" i="1"/>
  <c r="BO2480" i="1"/>
  <c r="BN2480" i="1"/>
  <c r="BM2480" i="1"/>
  <c r="BL2480" i="1"/>
  <c r="BK2480" i="1"/>
  <c r="BJ2480" i="1"/>
  <c r="BI2480" i="1"/>
  <c r="BH2480" i="1"/>
  <c r="BP2479" i="1"/>
  <c r="BN2479" i="1"/>
  <c r="BM2479" i="1"/>
  <c r="BL2479" i="1"/>
  <c r="BK2479" i="1"/>
  <c r="BJ2479" i="1"/>
  <c r="BI2479" i="1"/>
  <c r="BH2479" i="1"/>
  <c r="AY2479" i="1"/>
  <c r="BO2479" i="1" s="1"/>
  <c r="BP2478" i="1"/>
  <c r="BO2478" i="1"/>
  <c r="BN2478" i="1"/>
  <c r="BL2478" i="1"/>
  <c r="BK2478" i="1"/>
  <c r="BJ2478" i="1"/>
  <c r="BI2478" i="1"/>
  <c r="BH2478" i="1"/>
  <c r="AR2478" i="1"/>
  <c r="AN2478" i="1"/>
  <c r="BM2478" i="1" s="1"/>
  <c r="BP2477" i="1"/>
  <c r="BO2477" i="1"/>
  <c r="BN2477" i="1"/>
  <c r="BM2477" i="1"/>
  <c r="BL2477" i="1"/>
  <c r="BK2477" i="1"/>
  <c r="BJ2477" i="1"/>
  <c r="BI2477" i="1"/>
  <c r="BH2477" i="1"/>
  <c r="AR2477" i="1"/>
  <c r="AN2477" i="1"/>
  <c r="BP2476" i="1"/>
  <c r="BO2476" i="1"/>
  <c r="BN2476" i="1"/>
  <c r="BL2476" i="1"/>
  <c r="BK2476" i="1"/>
  <c r="BJ2476" i="1"/>
  <c r="BI2476" i="1"/>
  <c r="BH2476" i="1"/>
  <c r="AP2476" i="1"/>
  <c r="BM2476" i="1" s="1"/>
  <c r="BP2475" i="1"/>
  <c r="BO2475" i="1"/>
  <c r="BN2475" i="1"/>
  <c r="BM2475" i="1"/>
  <c r="BL2475" i="1"/>
  <c r="BK2475" i="1"/>
  <c r="BJ2475" i="1"/>
  <c r="BI2475" i="1"/>
  <c r="BH2475" i="1"/>
  <c r="AY2475" i="1"/>
  <c r="BP2474" i="1"/>
  <c r="BO2474" i="1"/>
  <c r="BN2474" i="1"/>
  <c r="BM2474" i="1"/>
  <c r="BL2474" i="1"/>
  <c r="BK2474" i="1"/>
  <c r="BJ2474" i="1"/>
  <c r="BI2474" i="1"/>
  <c r="BH2474" i="1"/>
  <c r="BP2473" i="1"/>
  <c r="BO2473" i="1"/>
  <c r="BN2473" i="1"/>
  <c r="BM2473" i="1"/>
  <c r="BL2473" i="1"/>
  <c r="BK2473" i="1"/>
  <c r="BJ2473" i="1"/>
  <c r="BI2473" i="1"/>
  <c r="BH2473" i="1"/>
  <c r="V2473" i="1"/>
  <c r="BP2472" i="1"/>
  <c r="BO2472" i="1"/>
  <c r="BN2472" i="1"/>
  <c r="BM2472" i="1"/>
  <c r="BL2472" i="1"/>
  <c r="BK2472" i="1"/>
  <c r="BJ2472" i="1"/>
  <c r="BI2472" i="1"/>
  <c r="BH2472" i="1"/>
  <c r="BP2471" i="1"/>
  <c r="BO2471" i="1"/>
  <c r="BN2471" i="1"/>
  <c r="BM2471" i="1"/>
  <c r="BL2471" i="1"/>
  <c r="BK2471" i="1"/>
  <c r="BJ2471" i="1"/>
  <c r="BI2471" i="1"/>
  <c r="BH2471" i="1"/>
  <c r="BP2470" i="1"/>
  <c r="BO2470" i="1"/>
  <c r="BN2470" i="1"/>
  <c r="BM2470" i="1"/>
  <c r="BL2470" i="1"/>
  <c r="BK2470" i="1"/>
  <c r="BJ2470" i="1"/>
  <c r="BI2470" i="1"/>
  <c r="BH2470" i="1"/>
  <c r="AS2470" i="1"/>
  <c r="BP2469" i="1"/>
  <c r="BO2469" i="1"/>
  <c r="BN2469" i="1"/>
  <c r="BL2469" i="1"/>
  <c r="BK2469" i="1"/>
  <c r="BJ2469" i="1"/>
  <c r="BI2469" i="1"/>
  <c r="BH2469" i="1"/>
  <c r="AS2469" i="1"/>
  <c r="AN2469" i="1"/>
  <c r="BM2469" i="1" s="1"/>
  <c r="BP2468" i="1"/>
  <c r="BO2468" i="1"/>
  <c r="BN2468" i="1"/>
  <c r="BM2468" i="1"/>
  <c r="BL2468" i="1"/>
  <c r="BK2468" i="1"/>
  <c r="BJ2468" i="1"/>
  <c r="BI2468" i="1"/>
  <c r="BH2468" i="1"/>
  <c r="AS2468" i="1"/>
  <c r="AN2468" i="1"/>
  <c r="BP2467" i="1"/>
  <c r="BO2467" i="1"/>
  <c r="BN2467" i="1"/>
  <c r="BM2467" i="1"/>
  <c r="BL2467" i="1"/>
  <c r="BK2467" i="1"/>
  <c r="BJ2467" i="1"/>
  <c r="BI2467" i="1"/>
  <c r="BH2467" i="1"/>
  <c r="BP2466" i="1"/>
  <c r="BN2466" i="1"/>
  <c r="BM2466" i="1"/>
  <c r="BL2466" i="1"/>
  <c r="BK2466" i="1"/>
  <c r="BJ2466" i="1"/>
  <c r="BI2466" i="1"/>
  <c r="BH2466" i="1"/>
  <c r="AY2466" i="1"/>
  <c r="BO2466" i="1" s="1"/>
  <c r="BP2465" i="1"/>
  <c r="BO2465" i="1"/>
  <c r="BN2465" i="1"/>
  <c r="BM2465" i="1"/>
  <c r="BL2465" i="1"/>
  <c r="BK2465" i="1"/>
  <c r="BJ2465" i="1"/>
  <c r="BI2465" i="1"/>
  <c r="BH2465" i="1"/>
  <c r="BP2464" i="1"/>
  <c r="BO2464" i="1"/>
  <c r="BN2464" i="1"/>
  <c r="BM2464" i="1"/>
  <c r="BL2464" i="1"/>
  <c r="BK2464" i="1"/>
  <c r="BJ2464" i="1"/>
  <c r="BI2464" i="1"/>
  <c r="BH2464" i="1"/>
  <c r="AR2464" i="1"/>
  <c r="AN2464" i="1"/>
  <c r="BP2463" i="1"/>
  <c r="BO2463" i="1"/>
  <c r="BN2463" i="1"/>
  <c r="BM2463" i="1"/>
  <c r="BL2463" i="1"/>
  <c r="BK2463" i="1"/>
  <c r="BJ2463" i="1"/>
  <c r="BI2463" i="1"/>
  <c r="BH2463" i="1"/>
  <c r="AR2463" i="1"/>
  <c r="AN2463" i="1"/>
  <c r="BP2462" i="1"/>
  <c r="BO2462" i="1"/>
  <c r="BN2462" i="1"/>
  <c r="BL2462" i="1"/>
  <c r="BK2462" i="1"/>
  <c r="BJ2462" i="1"/>
  <c r="BI2462" i="1"/>
  <c r="BH2462" i="1"/>
  <c r="AQ2462" i="1"/>
  <c r="BM2462" i="1" s="1"/>
  <c r="BP2461" i="1"/>
  <c r="BO2461" i="1"/>
  <c r="BN2461" i="1"/>
  <c r="BM2461" i="1"/>
  <c r="BL2461" i="1"/>
  <c r="BK2461" i="1"/>
  <c r="BJ2461" i="1"/>
  <c r="BI2461" i="1"/>
  <c r="BH2461" i="1"/>
  <c r="X2461" i="1"/>
  <c r="BP2460" i="1"/>
  <c r="BO2460" i="1"/>
  <c r="BN2460" i="1"/>
  <c r="BM2460" i="1"/>
  <c r="BL2460" i="1"/>
  <c r="BK2460" i="1"/>
  <c r="BJ2460" i="1"/>
  <c r="BI2460" i="1"/>
  <c r="BH2460" i="1"/>
  <c r="BP2459" i="1"/>
  <c r="BN2459" i="1"/>
  <c r="BM2459" i="1"/>
  <c r="BL2459" i="1"/>
  <c r="BK2459" i="1"/>
  <c r="BJ2459" i="1"/>
  <c r="BI2459" i="1"/>
  <c r="BH2459" i="1"/>
  <c r="AY2459" i="1"/>
  <c r="BO2459" i="1" s="1"/>
  <c r="BP2458" i="1"/>
  <c r="BO2458" i="1"/>
  <c r="BN2458" i="1"/>
  <c r="BM2458" i="1"/>
  <c r="BL2458" i="1"/>
  <c r="BK2458" i="1"/>
  <c r="BJ2458" i="1"/>
  <c r="BI2458" i="1"/>
  <c r="BH2458" i="1"/>
  <c r="BP2457" i="1"/>
  <c r="BO2457" i="1"/>
  <c r="BN2457" i="1"/>
  <c r="BM2457" i="1"/>
  <c r="BL2457" i="1"/>
  <c r="BK2457" i="1"/>
  <c r="BJ2457" i="1"/>
  <c r="BI2457" i="1"/>
  <c r="BH2457" i="1"/>
  <c r="BP2456" i="1"/>
  <c r="BO2456" i="1"/>
  <c r="BN2456" i="1"/>
  <c r="BM2456" i="1"/>
  <c r="BL2456" i="1"/>
  <c r="BK2456" i="1"/>
  <c r="BJ2456" i="1"/>
  <c r="BI2456" i="1"/>
  <c r="BH2456" i="1"/>
  <c r="V2456" i="1"/>
  <c r="BP2455" i="1"/>
  <c r="BO2455" i="1"/>
  <c r="BN2455" i="1"/>
  <c r="BL2455" i="1"/>
  <c r="BK2455" i="1"/>
  <c r="BJ2455" i="1"/>
  <c r="BI2455" i="1"/>
  <c r="BH2455" i="1"/>
  <c r="AS2455" i="1"/>
  <c r="AN2455" i="1"/>
  <c r="BM2455" i="1" s="1"/>
  <c r="BP2454" i="1"/>
  <c r="BO2454" i="1"/>
  <c r="BN2454" i="1"/>
  <c r="BM2454" i="1"/>
  <c r="BL2454" i="1"/>
  <c r="BK2454" i="1"/>
  <c r="BJ2454" i="1"/>
  <c r="BI2454" i="1"/>
  <c r="BH2454" i="1"/>
  <c r="AS2454" i="1"/>
  <c r="BP2453" i="1"/>
  <c r="BO2453" i="1"/>
  <c r="BN2453" i="1"/>
  <c r="BM2453" i="1"/>
  <c r="BL2453" i="1"/>
  <c r="BK2453" i="1"/>
  <c r="BJ2453" i="1"/>
  <c r="BI2453" i="1"/>
  <c r="BH2453" i="1"/>
  <c r="AS2453" i="1"/>
  <c r="BP2452" i="1"/>
  <c r="BO2452" i="1"/>
  <c r="BN2452" i="1"/>
  <c r="BM2452" i="1"/>
  <c r="BL2452" i="1"/>
  <c r="BK2452" i="1"/>
  <c r="BJ2452" i="1"/>
  <c r="BI2452" i="1"/>
  <c r="BH2452" i="1"/>
  <c r="BP2451" i="1"/>
  <c r="BO2451" i="1"/>
  <c r="BN2451" i="1"/>
  <c r="BM2451" i="1"/>
  <c r="BL2451" i="1"/>
  <c r="BK2451" i="1"/>
  <c r="BJ2451" i="1"/>
  <c r="BI2451" i="1"/>
  <c r="BH2451" i="1"/>
  <c r="BP2450" i="1"/>
  <c r="BO2450" i="1"/>
  <c r="BN2450" i="1"/>
  <c r="BM2450" i="1"/>
  <c r="BL2450" i="1"/>
  <c r="BK2450" i="1"/>
  <c r="BJ2450" i="1"/>
  <c r="BI2450" i="1"/>
  <c r="BH2450" i="1"/>
  <c r="BP2449" i="1"/>
  <c r="BO2449" i="1"/>
  <c r="BN2449" i="1"/>
  <c r="BM2449" i="1"/>
  <c r="BK2449" i="1"/>
  <c r="BJ2449" i="1"/>
  <c r="BI2449" i="1"/>
  <c r="BH2449" i="1"/>
  <c r="AA2449" i="1"/>
  <c r="BL2449" i="1" s="1"/>
  <c r="BP2448" i="1"/>
  <c r="BO2448" i="1"/>
  <c r="BN2448" i="1"/>
  <c r="BM2448" i="1"/>
  <c r="BL2448" i="1"/>
  <c r="BK2448" i="1"/>
  <c r="BJ2448" i="1"/>
  <c r="BI2448" i="1"/>
  <c r="BH2448" i="1"/>
  <c r="AQ2448" i="1"/>
  <c r="BP2447" i="1"/>
  <c r="BO2447" i="1"/>
  <c r="BN2447" i="1"/>
  <c r="BM2447" i="1"/>
  <c r="BL2447" i="1"/>
  <c r="BK2447" i="1"/>
  <c r="BJ2447" i="1"/>
  <c r="BI2447" i="1"/>
  <c r="BH2447" i="1"/>
  <c r="AQ2447" i="1"/>
  <c r="BP2446" i="1"/>
  <c r="BO2446" i="1"/>
  <c r="BN2446" i="1"/>
  <c r="BM2446" i="1"/>
  <c r="BL2446" i="1"/>
  <c r="BK2446" i="1"/>
  <c r="BJ2446" i="1"/>
  <c r="BI2446" i="1"/>
  <c r="AS2446" i="1"/>
  <c r="K2446" i="1"/>
  <c r="BH2446" i="1" s="1"/>
  <c r="BP2445" i="1"/>
  <c r="BO2445" i="1"/>
  <c r="BN2445" i="1"/>
  <c r="BL2445" i="1"/>
  <c r="BK2445" i="1"/>
  <c r="BJ2445" i="1"/>
  <c r="BI2445" i="1"/>
  <c r="BH2445" i="1"/>
  <c r="AS2445" i="1"/>
  <c r="AN2445" i="1"/>
  <c r="BP2444" i="1"/>
  <c r="BO2444" i="1"/>
  <c r="BN2444" i="1"/>
  <c r="BL2444" i="1"/>
  <c r="BK2444" i="1"/>
  <c r="BJ2444" i="1"/>
  <c r="BI2444" i="1"/>
  <c r="BH2444" i="1"/>
  <c r="AR2444" i="1"/>
  <c r="AN2444" i="1"/>
  <c r="BM2444" i="1" s="1"/>
  <c r="BP2443" i="1"/>
  <c r="BO2443" i="1"/>
  <c r="BN2443" i="1"/>
  <c r="BM2443" i="1"/>
  <c r="BL2443" i="1"/>
  <c r="BK2443" i="1"/>
  <c r="BJ2443" i="1"/>
  <c r="BI2443" i="1"/>
  <c r="BH2443" i="1"/>
  <c r="BP2442" i="1"/>
  <c r="BO2442" i="1"/>
  <c r="BN2442" i="1"/>
  <c r="BM2442" i="1"/>
  <c r="BL2442" i="1"/>
  <c r="BK2442" i="1"/>
  <c r="BJ2442" i="1"/>
  <c r="BI2442" i="1"/>
  <c r="BH2442" i="1"/>
  <c r="AY2442" i="1"/>
  <c r="BP2441" i="1"/>
  <c r="BO2441" i="1"/>
  <c r="BN2441" i="1"/>
  <c r="BM2441" i="1"/>
  <c r="BL2441" i="1"/>
  <c r="BK2441" i="1"/>
  <c r="BJ2441" i="1"/>
  <c r="BI2441" i="1"/>
  <c r="BH2441" i="1"/>
  <c r="AJ2441" i="1"/>
  <c r="J2441" i="1"/>
  <c r="BP2440" i="1"/>
  <c r="BO2440" i="1"/>
  <c r="BN2440" i="1"/>
  <c r="BM2440" i="1"/>
  <c r="BL2440" i="1"/>
  <c r="BK2440" i="1"/>
  <c r="BJ2440" i="1"/>
  <c r="BI2440" i="1"/>
  <c r="BH2440" i="1"/>
  <c r="BP2439" i="1"/>
  <c r="BO2439" i="1"/>
  <c r="BN2439" i="1"/>
  <c r="BM2439" i="1"/>
  <c r="BL2439" i="1"/>
  <c r="BK2439" i="1"/>
  <c r="BJ2439" i="1"/>
  <c r="BI2439" i="1"/>
  <c r="BH2439" i="1"/>
  <c r="BP2438" i="1"/>
  <c r="BO2438" i="1"/>
  <c r="BN2438" i="1"/>
  <c r="BM2438" i="1"/>
  <c r="BL2438" i="1"/>
  <c r="BK2438" i="1"/>
  <c r="BJ2438" i="1"/>
  <c r="BI2438" i="1"/>
  <c r="BH2438" i="1"/>
  <c r="BP2437" i="1"/>
  <c r="BO2437" i="1"/>
  <c r="BN2437" i="1"/>
  <c r="BM2437" i="1"/>
  <c r="BL2437" i="1"/>
  <c r="BK2437" i="1"/>
  <c r="BJ2437" i="1"/>
  <c r="BI2437" i="1"/>
  <c r="BH2437" i="1"/>
  <c r="V2437" i="1"/>
  <c r="BP2436" i="1"/>
  <c r="BO2436" i="1"/>
  <c r="BN2436" i="1"/>
  <c r="BM2436" i="1"/>
  <c r="BL2436" i="1"/>
  <c r="BK2436" i="1"/>
  <c r="BJ2436" i="1"/>
  <c r="BI2436" i="1"/>
  <c r="BH2436" i="1"/>
  <c r="AR2436" i="1"/>
  <c r="AN2436" i="1"/>
  <c r="AI2436" i="1"/>
  <c r="BP2435" i="1"/>
  <c r="BO2435" i="1"/>
  <c r="BN2435" i="1"/>
  <c r="BM2435" i="1"/>
  <c r="BL2435" i="1"/>
  <c r="BK2435" i="1"/>
  <c r="BJ2435" i="1"/>
  <c r="BI2435" i="1"/>
  <c r="BH2435" i="1"/>
  <c r="AR2435" i="1"/>
  <c r="AN2435" i="1"/>
  <c r="BP2434" i="1"/>
  <c r="BO2434" i="1"/>
  <c r="BN2434" i="1"/>
  <c r="BM2434" i="1"/>
  <c r="BL2434" i="1"/>
  <c r="BK2434" i="1"/>
  <c r="BJ2434" i="1"/>
  <c r="BI2434" i="1"/>
  <c r="BH2434" i="1"/>
  <c r="AR2434" i="1"/>
  <c r="AN2434" i="1"/>
  <c r="BP2433" i="1"/>
  <c r="BO2433" i="1"/>
  <c r="BN2433" i="1"/>
  <c r="BM2433" i="1"/>
  <c r="BL2433" i="1"/>
  <c r="BK2433" i="1"/>
  <c r="BJ2433" i="1"/>
  <c r="BI2433" i="1"/>
  <c r="BH2433" i="1"/>
  <c r="AR2433" i="1"/>
  <c r="AN2433" i="1"/>
  <c r="BP2432" i="1"/>
  <c r="BO2432" i="1"/>
  <c r="BN2432" i="1"/>
  <c r="BM2432" i="1"/>
  <c r="BL2432" i="1"/>
  <c r="BK2432" i="1"/>
  <c r="BJ2432" i="1"/>
  <c r="BI2432" i="1"/>
  <c r="BH2432" i="1"/>
  <c r="BP2431" i="1"/>
  <c r="BN2431" i="1"/>
  <c r="BM2431" i="1"/>
  <c r="BL2431" i="1"/>
  <c r="BK2431" i="1"/>
  <c r="BJ2431" i="1"/>
  <c r="BI2431" i="1"/>
  <c r="BH2431" i="1"/>
  <c r="AY2431" i="1"/>
  <c r="BO2431" i="1" s="1"/>
  <c r="BP2430" i="1"/>
  <c r="BO2430" i="1"/>
  <c r="BN2430" i="1"/>
  <c r="BM2430" i="1"/>
  <c r="BL2430" i="1"/>
  <c r="BK2430" i="1"/>
  <c r="BJ2430" i="1"/>
  <c r="BI2430" i="1"/>
  <c r="BH2430" i="1"/>
  <c r="BP2429" i="1"/>
  <c r="BO2429" i="1"/>
  <c r="BN2429" i="1"/>
  <c r="BM2429" i="1"/>
  <c r="BL2429" i="1"/>
  <c r="BG2429" i="1"/>
  <c r="AT2429" i="1"/>
  <c r="AR2429" i="1"/>
  <c r="AN2429" i="1"/>
  <c r="AM2429" i="1"/>
  <c r="W2429" i="1"/>
  <c r="BK2429" i="1" s="1"/>
  <c r="S2429" i="1"/>
  <c r="BJ2429" i="1" s="1"/>
  <c r="N2429" i="1"/>
  <c r="BI2429" i="1" s="1"/>
  <c r="I2429" i="1"/>
  <c r="F2429" i="1"/>
  <c r="BH2429" i="1" s="1"/>
  <c r="BP2428" i="1"/>
  <c r="BO2428" i="1"/>
  <c r="BN2428" i="1"/>
  <c r="BL2428" i="1"/>
  <c r="BK2428" i="1"/>
  <c r="BJ2428" i="1"/>
  <c r="BI2428" i="1"/>
  <c r="BH2428" i="1"/>
  <c r="AQ2428" i="1"/>
  <c r="BM2428" i="1" s="1"/>
  <c r="BP2427" i="1"/>
  <c r="BO2427" i="1"/>
  <c r="BL2427" i="1"/>
  <c r="BK2427" i="1"/>
  <c r="BJ2427" i="1"/>
  <c r="BI2427" i="1"/>
  <c r="BH2427" i="1"/>
  <c r="BG2427" i="1"/>
  <c r="BF2427" i="1"/>
  <c r="AT2427" i="1"/>
  <c r="BN2427" i="1" s="1"/>
  <c r="AP2427" i="1"/>
  <c r="AC2427" i="1"/>
  <c r="BM2427" i="1" s="1"/>
  <c r="U2427" i="1"/>
  <c r="S2427" i="1"/>
  <c r="M2427" i="1"/>
  <c r="D2427" i="1"/>
  <c r="C2427" i="1"/>
  <c r="BP2426" i="1"/>
  <c r="BO2426" i="1"/>
  <c r="BN2426" i="1"/>
  <c r="BM2426" i="1"/>
  <c r="BL2426" i="1"/>
  <c r="BK2426" i="1"/>
  <c r="BJ2426" i="1"/>
  <c r="BI2426" i="1"/>
  <c r="BH2426" i="1"/>
  <c r="BP2425" i="1"/>
  <c r="BN2425" i="1"/>
  <c r="BM2425" i="1"/>
  <c r="BL2425" i="1"/>
  <c r="BK2425" i="1"/>
  <c r="BJ2425" i="1"/>
  <c r="BI2425" i="1"/>
  <c r="BH2425" i="1"/>
  <c r="AY2425" i="1"/>
  <c r="BO2425" i="1" s="1"/>
  <c r="BP2424" i="1"/>
  <c r="BN2424" i="1"/>
  <c r="BM2424" i="1"/>
  <c r="BL2424" i="1"/>
  <c r="BK2424" i="1"/>
  <c r="BJ2424" i="1"/>
  <c r="BI2424" i="1"/>
  <c r="BH2424" i="1"/>
  <c r="BE2424" i="1"/>
  <c r="BO2424" i="1" s="1"/>
  <c r="BP2423" i="1"/>
  <c r="BO2423" i="1"/>
  <c r="BN2423" i="1"/>
  <c r="BM2423" i="1"/>
  <c r="BL2423" i="1"/>
  <c r="BK2423" i="1"/>
  <c r="BJ2423" i="1"/>
  <c r="BI2423" i="1"/>
  <c r="BH2423" i="1"/>
  <c r="BP2422" i="1"/>
  <c r="BO2422" i="1"/>
  <c r="BN2422" i="1"/>
  <c r="BM2422" i="1"/>
  <c r="BL2422" i="1"/>
  <c r="BK2422" i="1"/>
  <c r="BJ2422" i="1"/>
  <c r="BI2422" i="1"/>
  <c r="BH2422" i="1"/>
  <c r="BP2421" i="1"/>
  <c r="BO2421" i="1"/>
  <c r="BN2421" i="1"/>
  <c r="BM2421" i="1"/>
  <c r="BL2421" i="1"/>
  <c r="BK2421" i="1"/>
  <c r="BJ2421" i="1"/>
  <c r="BI2421" i="1"/>
  <c r="BH2421" i="1"/>
  <c r="AQ2421" i="1"/>
  <c r="AB2421" i="1"/>
  <c r="BP2420" i="1"/>
  <c r="BO2420" i="1"/>
  <c r="BN2420" i="1"/>
  <c r="BM2420" i="1"/>
  <c r="BL2420" i="1"/>
  <c r="BK2420" i="1"/>
  <c r="BJ2420" i="1"/>
  <c r="BI2420" i="1"/>
  <c r="BH2420" i="1"/>
  <c r="BP2419" i="1"/>
  <c r="BO2419" i="1"/>
  <c r="BN2419" i="1"/>
  <c r="BL2419" i="1"/>
  <c r="BK2419" i="1"/>
  <c r="BJ2419" i="1"/>
  <c r="BI2419" i="1"/>
  <c r="BH2419" i="1"/>
  <c r="AS2419" i="1"/>
  <c r="AN2419" i="1"/>
  <c r="BM2419" i="1" s="1"/>
  <c r="BP2418" i="1"/>
  <c r="BO2418" i="1"/>
  <c r="BN2418" i="1"/>
  <c r="BL2418" i="1"/>
  <c r="BK2418" i="1"/>
  <c r="BJ2418" i="1"/>
  <c r="BI2418" i="1"/>
  <c r="BH2418" i="1"/>
  <c r="AR2418" i="1"/>
  <c r="AN2418" i="1"/>
  <c r="BP2417" i="1"/>
  <c r="BO2417" i="1"/>
  <c r="BN2417" i="1"/>
  <c r="BM2417" i="1"/>
  <c r="BL2417" i="1"/>
  <c r="BK2417" i="1"/>
  <c r="BJ2417" i="1"/>
  <c r="BI2417" i="1"/>
  <c r="BH2417" i="1"/>
  <c r="BP2416" i="1"/>
  <c r="BO2416" i="1"/>
  <c r="BN2416" i="1"/>
  <c r="BM2416" i="1"/>
  <c r="BL2416" i="1"/>
  <c r="BK2416" i="1"/>
  <c r="BJ2416" i="1"/>
  <c r="BI2416" i="1"/>
  <c r="BH2416" i="1"/>
  <c r="AY2416" i="1"/>
  <c r="BP2415" i="1"/>
  <c r="BO2415" i="1"/>
  <c r="BN2415" i="1"/>
  <c r="BM2415" i="1"/>
  <c r="BL2415" i="1"/>
  <c r="BK2415" i="1"/>
  <c r="BJ2415" i="1"/>
  <c r="BI2415" i="1"/>
  <c r="BH2415" i="1"/>
  <c r="BP2414" i="1"/>
  <c r="BO2414" i="1"/>
  <c r="BN2414" i="1"/>
  <c r="BM2414" i="1"/>
  <c r="BL2414" i="1"/>
  <c r="BK2414" i="1"/>
  <c r="BJ2414" i="1"/>
  <c r="BI2414" i="1"/>
  <c r="BH2414" i="1"/>
  <c r="BP2413" i="1"/>
  <c r="BO2413" i="1"/>
  <c r="BN2413" i="1"/>
  <c r="BM2413" i="1"/>
  <c r="BL2413" i="1"/>
  <c r="BK2413" i="1"/>
  <c r="BJ2413" i="1"/>
  <c r="BI2413" i="1"/>
  <c r="BH2413" i="1"/>
  <c r="BP2412" i="1"/>
  <c r="BO2412" i="1"/>
  <c r="BN2412" i="1"/>
  <c r="BM2412" i="1"/>
  <c r="BL2412" i="1"/>
  <c r="BK2412" i="1"/>
  <c r="BJ2412" i="1"/>
  <c r="BI2412" i="1"/>
  <c r="AJ2412" i="1"/>
  <c r="J2412" i="1"/>
  <c r="BH2412" i="1" s="1"/>
  <c r="BP2411" i="1"/>
  <c r="BO2411" i="1"/>
  <c r="BN2411" i="1"/>
  <c r="BM2411" i="1"/>
  <c r="BL2411" i="1"/>
  <c r="BJ2411" i="1"/>
  <c r="BI2411" i="1"/>
  <c r="BH2411" i="1"/>
  <c r="V2411" i="1"/>
  <c r="BK2411" i="1" s="1"/>
  <c r="BP2410" i="1"/>
  <c r="BO2410" i="1"/>
  <c r="BN2410" i="1"/>
  <c r="BM2410" i="1"/>
  <c r="BL2410" i="1"/>
  <c r="BK2410" i="1"/>
  <c r="BJ2410" i="1"/>
  <c r="BI2410" i="1"/>
  <c r="BH2410" i="1"/>
  <c r="BP2409" i="1"/>
  <c r="BO2409" i="1"/>
  <c r="BN2409" i="1"/>
  <c r="BM2409" i="1"/>
  <c r="BL2409" i="1"/>
  <c r="BK2409" i="1"/>
  <c r="BJ2409" i="1"/>
  <c r="BI2409" i="1"/>
  <c r="BH2409" i="1"/>
  <c r="BP2408" i="1"/>
  <c r="BO2408" i="1"/>
  <c r="BN2408" i="1"/>
  <c r="BM2408" i="1"/>
  <c r="BL2408" i="1"/>
  <c r="BK2408" i="1"/>
  <c r="BJ2408" i="1"/>
  <c r="BI2408" i="1"/>
  <c r="BH2408" i="1"/>
  <c r="BP2407" i="1"/>
  <c r="BO2407" i="1"/>
  <c r="BN2407" i="1"/>
  <c r="BL2407" i="1"/>
  <c r="BK2407" i="1"/>
  <c r="BJ2407" i="1"/>
  <c r="BI2407" i="1"/>
  <c r="BH2407" i="1"/>
  <c r="AR2407" i="1"/>
  <c r="AN2407" i="1"/>
  <c r="BP2406" i="1"/>
  <c r="BO2406" i="1"/>
  <c r="BN2406" i="1"/>
  <c r="BM2406" i="1"/>
  <c r="BL2406" i="1"/>
  <c r="BK2406" i="1"/>
  <c r="BJ2406" i="1"/>
  <c r="BI2406" i="1"/>
  <c r="BH2406" i="1"/>
  <c r="BP2405" i="1"/>
  <c r="BO2405" i="1"/>
  <c r="BN2405" i="1"/>
  <c r="BM2405" i="1"/>
  <c r="BL2405" i="1"/>
  <c r="BK2405" i="1"/>
  <c r="BJ2405" i="1"/>
  <c r="BI2405" i="1"/>
  <c r="BH2405" i="1"/>
  <c r="BP2404" i="1"/>
  <c r="BO2404" i="1"/>
  <c r="BN2404" i="1"/>
  <c r="BM2404" i="1"/>
  <c r="BL2404" i="1"/>
  <c r="BK2404" i="1"/>
  <c r="BJ2404" i="1"/>
  <c r="BI2404" i="1"/>
  <c r="BH2404" i="1"/>
  <c r="X2404" i="1"/>
  <c r="BP2403" i="1"/>
  <c r="BO2403" i="1"/>
  <c r="BN2403" i="1"/>
  <c r="BL2403" i="1"/>
  <c r="BK2403" i="1"/>
  <c r="BJ2403" i="1"/>
  <c r="BI2403" i="1"/>
  <c r="BH2403" i="1"/>
  <c r="AQ2403" i="1"/>
  <c r="BM2403" i="1" s="1"/>
  <c r="BP2402" i="1"/>
  <c r="BO2402" i="1"/>
  <c r="BN2402" i="1"/>
  <c r="BL2402" i="1"/>
  <c r="BK2402" i="1"/>
  <c r="BJ2402" i="1"/>
  <c r="BI2402" i="1"/>
  <c r="BH2402" i="1"/>
  <c r="AS2402" i="1"/>
  <c r="AN2402" i="1"/>
  <c r="BM2402" i="1" s="1"/>
  <c r="BP2401" i="1"/>
  <c r="BO2401" i="1"/>
  <c r="BN2401" i="1"/>
  <c r="BL2401" i="1"/>
  <c r="BK2401" i="1"/>
  <c r="BJ2401" i="1"/>
  <c r="BI2401" i="1"/>
  <c r="BH2401" i="1"/>
  <c r="AS2401" i="1"/>
  <c r="BM2401" i="1" s="1"/>
  <c r="BP2400" i="1"/>
  <c r="BO2400" i="1"/>
  <c r="BN2400" i="1"/>
  <c r="BL2400" i="1"/>
  <c r="BK2400" i="1"/>
  <c r="BJ2400" i="1"/>
  <c r="BI2400" i="1"/>
  <c r="BH2400" i="1"/>
  <c r="AR2400" i="1"/>
  <c r="AN2400" i="1"/>
  <c r="BM2400" i="1" s="1"/>
  <c r="BP2399" i="1"/>
  <c r="BO2399" i="1"/>
  <c r="BN2399" i="1"/>
  <c r="BL2399" i="1"/>
  <c r="BK2399" i="1"/>
  <c r="BJ2399" i="1"/>
  <c r="BI2399" i="1"/>
  <c r="BH2399" i="1"/>
  <c r="AR2399" i="1"/>
  <c r="AN2399" i="1"/>
  <c r="BM2399" i="1" s="1"/>
  <c r="BP2398" i="1"/>
  <c r="BO2398" i="1"/>
  <c r="BN2398" i="1"/>
  <c r="BM2398" i="1"/>
  <c r="BL2398" i="1"/>
  <c r="BK2398" i="1"/>
  <c r="BJ2398" i="1"/>
  <c r="BI2398" i="1"/>
  <c r="BH2398" i="1"/>
  <c r="BP2397" i="1"/>
  <c r="BN2397" i="1"/>
  <c r="BM2397" i="1"/>
  <c r="BL2397" i="1"/>
  <c r="BK2397" i="1"/>
  <c r="BJ2397" i="1"/>
  <c r="BI2397" i="1"/>
  <c r="BH2397" i="1"/>
  <c r="AY2397" i="1"/>
  <c r="BO2397" i="1" s="1"/>
  <c r="BP2396" i="1"/>
  <c r="BO2396" i="1"/>
  <c r="BN2396" i="1"/>
  <c r="BM2396" i="1"/>
  <c r="BL2396" i="1"/>
  <c r="BK2396" i="1"/>
  <c r="BJ2396" i="1"/>
  <c r="BI2396" i="1"/>
  <c r="BH2396" i="1"/>
  <c r="BP2395" i="1"/>
  <c r="BO2395" i="1"/>
  <c r="BN2395" i="1"/>
  <c r="BM2395" i="1"/>
  <c r="BL2395" i="1"/>
  <c r="BK2395" i="1"/>
  <c r="BJ2395" i="1"/>
  <c r="BI2395" i="1"/>
  <c r="BH2395" i="1"/>
  <c r="BP2394" i="1"/>
  <c r="BO2394" i="1"/>
  <c r="BN2394" i="1"/>
  <c r="BM2394" i="1"/>
  <c r="BL2394" i="1"/>
  <c r="BK2394" i="1"/>
  <c r="BJ2394" i="1"/>
  <c r="BI2394" i="1"/>
  <c r="BH2394" i="1"/>
  <c r="BE2394" i="1"/>
  <c r="BP2393" i="1"/>
  <c r="BO2393" i="1"/>
  <c r="BN2393" i="1"/>
  <c r="BM2393" i="1"/>
  <c r="BL2393" i="1"/>
  <c r="BK2393" i="1"/>
  <c r="BJ2393" i="1"/>
  <c r="BI2393" i="1"/>
  <c r="BH2393" i="1"/>
  <c r="BP2392" i="1"/>
  <c r="BO2392" i="1"/>
  <c r="BN2392" i="1"/>
  <c r="BM2392" i="1"/>
  <c r="BL2392" i="1"/>
  <c r="BK2392" i="1"/>
  <c r="BJ2392" i="1"/>
  <c r="BI2392" i="1"/>
  <c r="BH2392" i="1"/>
  <c r="BP2391" i="1"/>
  <c r="BO2391" i="1"/>
  <c r="BN2391" i="1"/>
  <c r="BM2391" i="1"/>
  <c r="BL2391" i="1"/>
  <c r="BJ2391" i="1"/>
  <c r="BI2391" i="1"/>
  <c r="BH2391" i="1"/>
  <c r="V2391" i="1"/>
  <c r="BK2391" i="1" s="1"/>
  <c r="BP2390" i="1"/>
  <c r="BO2390" i="1"/>
  <c r="BN2390" i="1"/>
  <c r="BM2390" i="1"/>
  <c r="BL2390" i="1"/>
  <c r="BK2390" i="1"/>
  <c r="BJ2390" i="1"/>
  <c r="BI2390" i="1"/>
  <c r="BH2390" i="1"/>
  <c r="BP2389" i="1"/>
  <c r="BO2389" i="1"/>
  <c r="BN2389" i="1"/>
  <c r="BM2389" i="1"/>
  <c r="BL2389" i="1"/>
  <c r="BK2389" i="1"/>
  <c r="BJ2389" i="1"/>
  <c r="BI2389" i="1"/>
  <c r="BH2389" i="1"/>
  <c r="X2389" i="1"/>
  <c r="BP2388" i="1"/>
  <c r="BO2388" i="1"/>
  <c r="BN2388" i="1"/>
  <c r="BM2388" i="1"/>
  <c r="BL2388" i="1"/>
  <c r="BK2388" i="1"/>
  <c r="BJ2388" i="1"/>
  <c r="BI2388" i="1"/>
  <c r="BH2388" i="1"/>
  <c r="AR2388" i="1"/>
  <c r="AN2388" i="1"/>
  <c r="BP2387" i="1"/>
  <c r="BO2387" i="1"/>
  <c r="BN2387" i="1"/>
  <c r="BM2387" i="1"/>
  <c r="BL2387" i="1"/>
  <c r="BK2387" i="1"/>
  <c r="BJ2387" i="1"/>
  <c r="BI2387" i="1"/>
  <c r="BH2387" i="1"/>
  <c r="BP2386" i="1"/>
  <c r="BO2386" i="1"/>
  <c r="BN2386" i="1"/>
  <c r="BM2386" i="1"/>
  <c r="BL2386" i="1"/>
  <c r="BK2386" i="1"/>
  <c r="BJ2386" i="1"/>
  <c r="BI2386" i="1"/>
  <c r="BH2386" i="1"/>
  <c r="BP2385" i="1"/>
  <c r="BO2385" i="1"/>
  <c r="BN2385" i="1"/>
  <c r="BM2385" i="1"/>
  <c r="BL2385" i="1"/>
  <c r="BH2385" i="1"/>
  <c r="BE2385" i="1"/>
  <c r="X2385" i="1"/>
  <c r="BK2385" i="1" s="1"/>
  <c r="S2385" i="1"/>
  <c r="BJ2385" i="1" s="1"/>
  <c r="R2385" i="1"/>
  <c r="BI2385" i="1" s="1"/>
  <c r="BP2384" i="1"/>
  <c r="BO2384" i="1"/>
  <c r="BN2384" i="1"/>
  <c r="BM2384" i="1"/>
  <c r="BL2384" i="1"/>
  <c r="BK2384" i="1"/>
  <c r="BJ2384" i="1"/>
  <c r="BI2384" i="1"/>
  <c r="BH2384" i="1"/>
  <c r="AS2384" i="1"/>
  <c r="BP2383" i="1"/>
  <c r="BO2383" i="1"/>
  <c r="BN2383" i="1"/>
  <c r="BL2383" i="1"/>
  <c r="BK2383" i="1"/>
  <c r="BJ2383" i="1"/>
  <c r="BI2383" i="1"/>
  <c r="BH2383" i="1"/>
  <c r="AS2383" i="1"/>
  <c r="BM2383" i="1" s="1"/>
  <c r="BP2382" i="1"/>
  <c r="BO2382" i="1"/>
  <c r="BN2382" i="1"/>
  <c r="BM2382" i="1"/>
  <c r="BL2382" i="1"/>
  <c r="BK2382" i="1"/>
  <c r="BJ2382" i="1"/>
  <c r="BI2382" i="1"/>
  <c r="BH2382" i="1"/>
  <c r="AB2382" i="1"/>
  <c r="BP2381" i="1"/>
  <c r="BO2381" i="1"/>
  <c r="BN2381" i="1"/>
  <c r="BL2381" i="1"/>
  <c r="BK2381" i="1"/>
  <c r="BJ2381" i="1"/>
  <c r="BI2381" i="1"/>
  <c r="BH2381" i="1"/>
  <c r="AQ2381" i="1"/>
  <c r="BM2381" i="1" s="1"/>
  <c r="BP2380" i="1"/>
  <c r="BO2380" i="1"/>
  <c r="BN2380" i="1"/>
  <c r="BL2380" i="1"/>
  <c r="BK2380" i="1"/>
  <c r="BJ2380" i="1"/>
  <c r="BI2380" i="1"/>
  <c r="BH2380" i="1"/>
  <c r="AR2380" i="1"/>
  <c r="AN2380" i="1"/>
  <c r="BM2380" i="1" s="1"/>
  <c r="BP2379" i="1"/>
  <c r="BN2379" i="1"/>
  <c r="BM2379" i="1"/>
  <c r="BL2379" i="1"/>
  <c r="BK2379" i="1"/>
  <c r="BJ2379" i="1"/>
  <c r="BI2379" i="1"/>
  <c r="BH2379" i="1"/>
  <c r="AY2379" i="1"/>
  <c r="BO2379" i="1" s="1"/>
  <c r="BP2378" i="1"/>
  <c r="BO2378" i="1"/>
  <c r="BN2378" i="1"/>
  <c r="BM2378" i="1"/>
  <c r="BL2378" i="1"/>
  <c r="BK2378" i="1"/>
  <c r="BJ2378" i="1"/>
  <c r="BI2378" i="1"/>
  <c r="BH2378" i="1"/>
  <c r="BP2377" i="1"/>
  <c r="BO2377" i="1"/>
  <c r="BN2377" i="1"/>
  <c r="BM2377" i="1"/>
  <c r="BL2377" i="1"/>
  <c r="BK2377" i="1"/>
  <c r="BJ2377" i="1"/>
  <c r="BI2377" i="1"/>
  <c r="BH2377" i="1"/>
  <c r="AB2377" i="1"/>
  <c r="BP2376" i="1"/>
  <c r="BO2376" i="1"/>
  <c r="BN2376" i="1"/>
  <c r="BM2376" i="1"/>
  <c r="BL2376" i="1"/>
  <c r="BK2376" i="1"/>
  <c r="BJ2376" i="1"/>
  <c r="BI2376" i="1"/>
  <c r="BH2376" i="1"/>
  <c r="BP2375" i="1"/>
  <c r="BO2375" i="1"/>
  <c r="BN2375" i="1"/>
  <c r="BL2375" i="1"/>
  <c r="BK2375" i="1"/>
  <c r="BJ2375" i="1"/>
  <c r="BI2375" i="1"/>
  <c r="BH2375" i="1"/>
  <c r="AJ2375" i="1"/>
  <c r="BM2375" i="1" s="1"/>
  <c r="J2375" i="1"/>
  <c r="BP2374" i="1"/>
  <c r="BO2374" i="1"/>
  <c r="BN2374" i="1"/>
  <c r="BL2374" i="1"/>
  <c r="BK2374" i="1"/>
  <c r="BJ2374" i="1"/>
  <c r="BI2374" i="1"/>
  <c r="BH2374" i="1"/>
  <c r="AB2374" i="1"/>
  <c r="BM2374" i="1" s="1"/>
  <c r="BP2373" i="1"/>
  <c r="BO2373" i="1"/>
  <c r="BN2373" i="1"/>
  <c r="BM2373" i="1"/>
  <c r="BL2373" i="1"/>
  <c r="BK2373" i="1"/>
  <c r="BJ2373" i="1"/>
  <c r="BI2373" i="1"/>
  <c r="BH2373" i="1"/>
  <c r="BP2372" i="1"/>
  <c r="BO2372" i="1"/>
  <c r="BN2372" i="1"/>
  <c r="BM2372" i="1"/>
  <c r="BL2372" i="1"/>
  <c r="BK2372" i="1"/>
  <c r="BJ2372" i="1"/>
  <c r="BI2372" i="1"/>
  <c r="BH2372" i="1"/>
  <c r="BP2371" i="1"/>
  <c r="BO2371" i="1"/>
  <c r="BN2371" i="1"/>
  <c r="BM2371" i="1"/>
  <c r="BL2371" i="1"/>
  <c r="BK2371" i="1"/>
  <c r="BJ2371" i="1"/>
  <c r="BI2371" i="1"/>
  <c r="BH2371" i="1"/>
  <c r="BP2370" i="1"/>
  <c r="BO2370" i="1"/>
  <c r="BN2370" i="1"/>
  <c r="BM2370" i="1"/>
  <c r="BL2370" i="1"/>
  <c r="BK2370" i="1"/>
  <c r="BJ2370" i="1"/>
  <c r="BI2370" i="1"/>
  <c r="BH2370" i="1"/>
  <c r="BP2369" i="1"/>
  <c r="BO2369" i="1"/>
  <c r="BN2369" i="1"/>
  <c r="BM2369" i="1"/>
  <c r="BL2369" i="1"/>
  <c r="BK2369" i="1"/>
  <c r="BJ2369" i="1"/>
  <c r="BI2369" i="1"/>
  <c r="BH2369" i="1"/>
  <c r="BP2368" i="1"/>
  <c r="BO2368" i="1"/>
  <c r="BN2368" i="1"/>
  <c r="BM2368" i="1"/>
  <c r="BL2368" i="1"/>
  <c r="BK2368" i="1"/>
  <c r="BJ2368" i="1"/>
  <c r="BI2368" i="1"/>
  <c r="BH2368" i="1"/>
  <c r="AA2368" i="1"/>
  <c r="BP2367" i="1"/>
  <c r="BO2367" i="1"/>
  <c r="BN2367" i="1"/>
  <c r="BM2367" i="1"/>
  <c r="BL2367" i="1"/>
  <c r="BK2367" i="1"/>
  <c r="BJ2367" i="1"/>
  <c r="BI2367" i="1"/>
  <c r="BH2367" i="1"/>
  <c r="AP2367" i="1"/>
  <c r="BP2366" i="1"/>
  <c r="BO2366" i="1"/>
  <c r="BN2366" i="1"/>
  <c r="BM2366" i="1"/>
  <c r="BL2366" i="1"/>
  <c r="BK2366" i="1"/>
  <c r="BJ2366" i="1"/>
  <c r="BI2366" i="1"/>
  <c r="BH2366" i="1"/>
  <c r="BP2365" i="1"/>
  <c r="BO2365" i="1"/>
  <c r="BN2365" i="1"/>
  <c r="BM2365" i="1"/>
  <c r="BL2365" i="1"/>
  <c r="BK2365" i="1"/>
  <c r="BJ2365" i="1"/>
  <c r="BI2365" i="1"/>
  <c r="BH2365" i="1"/>
  <c r="BP2364" i="1"/>
  <c r="BO2364" i="1"/>
  <c r="BL2364" i="1"/>
  <c r="BJ2364" i="1"/>
  <c r="BI2364" i="1"/>
  <c r="BH2364" i="1"/>
  <c r="BG2364" i="1"/>
  <c r="AU2364" i="1"/>
  <c r="BN2364" i="1" s="1"/>
  <c r="AG2364" i="1"/>
  <c r="BM2364" i="1" s="1"/>
  <c r="U2364" i="1"/>
  <c r="BK2364" i="1" s="1"/>
  <c r="S2364" i="1"/>
  <c r="N2364" i="1"/>
  <c r="I2364" i="1"/>
  <c r="BP2363" i="1"/>
  <c r="BN2363" i="1"/>
  <c r="BM2363" i="1"/>
  <c r="BL2363" i="1"/>
  <c r="BK2363" i="1"/>
  <c r="BG2363" i="1"/>
  <c r="AV2363" i="1"/>
  <c r="BO2363" i="1" s="1"/>
  <c r="AT2363" i="1"/>
  <c r="AC2363" i="1"/>
  <c r="U2363" i="1"/>
  <c r="S2363" i="1"/>
  <c r="BJ2363" i="1" s="1"/>
  <c r="M2363" i="1"/>
  <c r="BI2363" i="1" s="1"/>
  <c r="H2363" i="1"/>
  <c r="C2363" i="1"/>
  <c r="BH2363" i="1" s="1"/>
  <c r="BP2362" i="1"/>
  <c r="BO2362" i="1"/>
  <c r="BN2362" i="1"/>
  <c r="BL2362" i="1"/>
  <c r="BK2362" i="1"/>
  <c r="BJ2362" i="1"/>
  <c r="BI2362" i="1"/>
  <c r="BH2362" i="1"/>
  <c r="AS2362" i="1"/>
  <c r="AN2362" i="1"/>
  <c r="BM2362" i="1" s="1"/>
  <c r="BP2361" i="1"/>
  <c r="BO2361" i="1"/>
  <c r="BN2361" i="1"/>
  <c r="BL2361" i="1"/>
  <c r="BK2361" i="1"/>
  <c r="BJ2361" i="1"/>
  <c r="BI2361" i="1"/>
  <c r="BH2361" i="1"/>
  <c r="AS2361" i="1"/>
  <c r="BM2361" i="1" s="1"/>
  <c r="BP2360" i="1"/>
  <c r="BO2360" i="1"/>
  <c r="BN2360" i="1"/>
  <c r="BM2360" i="1"/>
  <c r="BL2360" i="1"/>
  <c r="BK2360" i="1"/>
  <c r="BJ2360" i="1"/>
  <c r="BI2360" i="1"/>
  <c r="BH2360" i="1"/>
  <c r="AR2360" i="1"/>
  <c r="AN2360" i="1"/>
  <c r="BP2359" i="1"/>
  <c r="BO2359" i="1"/>
  <c r="BN2359" i="1"/>
  <c r="BM2359" i="1"/>
  <c r="BL2359" i="1"/>
  <c r="BK2359" i="1"/>
  <c r="BJ2359" i="1"/>
  <c r="BI2359" i="1"/>
  <c r="BH2359" i="1"/>
  <c r="AR2359" i="1"/>
  <c r="AN2359" i="1"/>
  <c r="BP2358" i="1"/>
  <c r="BO2358" i="1"/>
  <c r="BN2358" i="1"/>
  <c r="BM2358" i="1"/>
  <c r="BL2358" i="1"/>
  <c r="BK2358" i="1"/>
  <c r="BJ2358" i="1"/>
  <c r="BI2358" i="1"/>
  <c r="BH2358" i="1"/>
  <c r="BP2357" i="1"/>
  <c r="BO2357" i="1"/>
  <c r="BN2357" i="1"/>
  <c r="BM2357" i="1"/>
  <c r="BL2357" i="1"/>
  <c r="BK2357" i="1"/>
  <c r="BJ2357" i="1"/>
  <c r="BI2357" i="1"/>
  <c r="BH2357" i="1"/>
  <c r="BP2356" i="1"/>
  <c r="BO2356" i="1"/>
  <c r="BN2356" i="1"/>
  <c r="BM2356" i="1"/>
  <c r="BL2356" i="1"/>
  <c r="BK2356" i="1"/>
  <c r="BJ2356" i="1"/>
  <c r="BI2356" i="1"/>
  <c r="BH2356" i="1"/>
  <c r="BP2355" i="1"/>
  <c r="BO2355" i="1"/>
  <c r="BM2355" i="1"/>
  <c r="BL2355" i="1"/>
  <c r="BG2355" i="1"/>
  <c r="AV2355" i="1"/>
  <c r="AU2355" i="1"/>
  <c r="AT2355" i="1"/>
  <c r="BN2355" i="1" s="1"/>
  <c r="U2355" i="1"/>
  <c r="BK2355" i="1" s="1"/>
  <c r="S2355" i="1"/>
  <c r="BJ2355" i="1" s="1"/>
  <c r="M2355" i="1"/>
  <c r="BI2355" i="1" s="1"/>
  <c r="I2355" i="1"/>
  <c r="D2355" i="1"/>
  <c r="BH2355" i="1" s="1"/>
  <c r="BP2354" i="1"/>
  <c r="BO2354" i="1"/>
  <c r="BL2354" i="1"/>
  <c r="BK2354" i="1"/>
  <c r="BJ2354" i="1"/>
  <c r="BI2354" i="1"/>
  <c r="BH2354" i="1"/>
  <c r="BG2354" i="1"/>
  <c r="AU2354" i="1"/>
  <c r="BN2354" i="1" s="1"/>
  <c r="AJ2354" i="1"/>
  <c r="AG2354" i="1"/>
  <c r="BM2354" i="1" s="1"/>
  <c r="U2354" i="1"/>
  <c r="S2354" i="1"/>
  <c r="N2354" i="1"/>
  <c r="J2354" i="1"/>
  <c r="C2354" i="1"/>
  <c r="BP2353" i="1"/>
  <c r="BO2353" i="1"/>
  <c r="BN2353" i="1"/>
  <c r="BM2353" i="1"/>
  <c r="BL2353" i="1"/>
  <c r="BK2353" i="1"/>
  <c r="BJ2353" i="1"/>
  <c r="BI2353" i="1"/>
  <c r="BH2353" i="1"/>
  <c r="V2353" i="1"/>
  <c r="BP2352" i="1"/>
  <c r="BO2352" i="1"/>
  <c r="BN2352" i="1"/>
  <c r="BM2352" i="1"/>
  <c r="BL2352" i="1"/>
  <c r="BK2352" i="1"/>
  <c r="BJ2352" i="1"/>
  <c r="BI2352" i="1"/>
  <c r="BH2352" i="1"/>
  <c r="AR2352" i="1"/>
  <c r="AN2352" i="1"/>
  <c r="BP2351" i="1"/>
  <c r="BO2351" i="1"/>
  <c r="BN2351" i="1"/>
  <c r="BL2351" i="1"/>
  <c r="BK2351" i="1"/>
  <c r="BJ2351" i="1"/>
  <c r="BI2351" i="1"/>
  <c r="BH2351" i="1"/>
  <c r="AS2351" i="1"/>
  <c r="BM2351" i="1" s="1"/>
  <c r="AN2351" i="1"/>
  <c r="BP2350" i="1"/>
  <c r="BO2350" i="1"/>
  <c r="BN2350" i="1"/>
  <c r="BM2350" i="1"/>
  <c r="BL2350" i="1"/>
  <c r="BK2350" i="1"/>
  <c r="BJ2350" i="1"/>
  <c r="BI2350" i="1"/>
  <c r="BH2350" i="1"/>
  <c r="AR2350" i="1"/>
  <c r="AN2350" i="1"/>
  <c r="BP2349" i="1"/>
  <c r="BO2349" i="1"/>
  <c r="BN2349" i="1"/>
  <c r="BM2349" i="1"/>
  <c r="BL2349" i="1"/>
  <c r="BK2349" i="1"/>
  <c r="BJ2349" i="1"/>
  <c r="BI2349" i="1"/>
  <c r="BH2349" i="1"/>
  <c r="BP2348" i="1"/>
  <c r="BO2348" i="1"/>
  <c r="BN2348" i="1"/>
  <c r="BL2348" i="1"/>
  <c r="BK2348" i="1"/>
  <c r="BJ2348" i="1"/>
  <c r="BI2348" i="1"/>
  <c r="BH2348" i="1"/>
  <c r="AQ2348" i="1"/>
  <c r="BM2348" i="1" s="1"/>
  <c r="BP2347" i="1"/>
  <c r="BO2347" i="1"/>
  <c r="BN2347" i="1"/>
  <c r="BM2347" i="1"/>
  <c r="BL2347" i="1"/>
  <c r="BK2347" i="1"/>
  <c r="BJ2347" i="1"/>
  <c r="BI2347" i="1"/>
  <c r="BH2347" i="1"/>
  <c r="BP2346" i="1"/>
  <c r="BO2346" i="1"/>
  <c r="BN2346" i="1"/>
  <c r="BM2346" i="1"/>
  <c r="BL2346" i="1"/>
  <c r="BK2346" i="1"/>
  <c r="BJ2346" i="1"/>
  <c r="BI2346" i="1"/>
  <c r="BH2346" i="1"/>
  <c r="BE2346" i="1"/>
  <c r="BP2345" i="1"/>
  <c r="BO2345" i="1"/>
  <c r="BN2345" i="1"/>
  <c r="BM2345" i="1"/>
  <c r="BL2345" i="1"/>
  <c r="BK2345" i="1"/>
  <c r="BJ2345" i="1"/>
  <c r="BI2345" i="1"/>
  <c r="BH2345" i="1"/>
  <c r="BP2344" i="1"/>
  <c r="BO2344" i="1"/>
  <c r="BN2344" i="1"/>
  <c r="BL2344" i="1"/>
  <c r="BK2344" i="1"/>
  <c r="BJ2344" i="1"/>
  <c r="BI2344" i="1"/>
  <c r="BH2344" i="1"/>
  <c r="AB2344" i="1"/>
  <c r="BM2344" i="1" s="1"/>
  <c r="BP2343" i="1"/>
  <c r="BO2343" i="1"/>
  <c r="BN2343" i="1"/>
  <c r="BL2343" i="1"/>
  <c r="BK2343" i="1"/>
  <c r="BJ2343" i="1"/>
  <c r="BI2343" i="1"/>
  <c r="BH2343" i="1"/>
  <c r="AR2343" i="1"/>
  <c r="AN2343" i="1"/>
  <c r="BM2343" i="1" s="1"/>
  <c r="BP2342" i="1"/>
  <c r="BO2342" i="1"/>
  <c r="BN2342" i="1"/>
  <c r="BM2342" i="1"/>
  <c r="BL2342" i="1"/>
  <c r="BK2342" i="1"/>
  <c r="BJ2342" i="1"/>
  <c r="BI2342" i="1"/>
  <c r="BH2342" i="1"/>
  <c r="BP2341" i="1"/>
  <c r="BO2341" i="1"/>
  <c r="BN2341" i="1"/>
  <c r="BM2341" i="1"/>
  <c r="BL2341" i="1"/>
  <c r="BK2341" i="1"/>
  <c r="BJ2341" i="1"/>
  <c r="BI2341" i="1"/>
  <c r="BH2341" i="1"/>
  <c r="BP2340" i="1"/>
  <c r="BO2340" i="1"/>
  <c r="BN2340" i="1"/>
  <c r="BM2340" i="1"/>
  <c r="BL2340" i="1"/>
  <c r="BK2340" i="1"/>
  <c r="BJ2340" i="1"/>
  <c r="BI2340" i="1"/>
  <c r="BH2340" i="1"/>
  <c r="BP2339" i="1"/>
  <c r="BO2339" i="1"/>
  <c r="BN2339" i="1"/>
  <c r="BL2339" i="1"/>
  <c r="BK2339" i="1"/>
  <c r="BJ2339" i="1"/>
  <c r="BI2339" i="1"/>
  <c r="BH2339" i="1"/>
  <c r="AS2339" i="1"/>
  <c r="BM2339" i="1" s="1"/>
  <c r="BP2338" i="1"/>
  <c r="BO2338" i="1"/>
  <c r="BN2338" i="1"/>
  <c r="BM2338" i="1"/>
  <c r="BL2338" i="1"/>
  <c r="BK2338" i="1"/>
  <c r="BJ2338" i="1"/>
  <c r="BI2338" i="1"/>
  <c r="BH2338" i="1"/>
  <c r="AS2338" i="1"/>
  <c r="AN2338" i="1"/>
  <c r="BP2337" i="1"/>
  <c r="BO2337" i="1"/>
  <c r="BN2337" i="1"/>
  <c r="BM2337" i="1"/>
  <c r="BL2337" i="1"/>
  <c r="BK2337" i="1"/>
  <c r="BJ2337" i="1"/>
  <c r="BI2337" i="1"/>
  <c r="BH2337" i="1"/>
  <c r="AP2337" i="1"/>
  <c r="BP2336" i="1"/>
  <c r="BO2336" i="1"/>
  <c r="BN2336" i="1"/>
  <c r="BM2336" i="1"/>
  <c r="BL2336" i="1"/>
  <c r="BK2336" i="1"/>
  <c r="BJ2336" i="1"/>
  <c r="BI2336" i="1"/>
  <c r="BH2336" i="1"/>
  <c r="BP2335" i="1"/>
  <c r="BO2335" i="1"/>
  <c r="BN2335" i="1"/>
  <c r="BM2335" i="1"/>
  <c r="BK2335" i="1"/>
  <c r="BJ2335" i="1"/>
  <c r="BI2335" i="1"/>
  <c r="BH2335" i="1"/>
  <c r="AA2335" i="1"/>
  <c r="BL2335" i="1" s="1"/>
  <c r="BP2334" i="1"/>
  <c r="BO2334" i="1"/>
  <c r="BN2334" i="1"/>
  <c r="BL2334" i="1"/>
  <c r="BK2334" i="1"/>
  <c r="BJ2334" i="1"/>
  <c r="BI2334" i="1"/>
  <c r="BH2334" i="1"/>
  <c r="AQ2334" i="1"/>
  <c r="BM2334" i="1" s="1"/>
  <c r="BP2333" i="1"/>
  <c r="BO2333" i="1"/>
  <c r="BN2333" i="1"/>
  <c r="BL2333" i="1"/>
  <c r="BK2333" i="1"/>
  <c r="BJ2333" i="1"/>
  <c r="BH2333" i="1"/>
  <c r="AR2333" i="1"/>
  <c r="AQ2333" i="1"/>
  <c r="AI2333" i="1"/>
  <c r="BM2333" i="1" s="1"/>
  <c r="P2333" i="1"/>
  <c r="BI2333" i="1" s="1"/>
  <c r="BP2332" i="1"/>
  <c r="BO2332" i="1"/>
  <c r="BN2332" i="1"/>
  <c r="BL2332" i="1"/>
  <c r="BK2332" i="1"/>
  <c r="BJ2332" i="1"/>
  <c r="BI2332" i="1"/>
  <c r="BH2332" i="1"/>
  <c r="AR2332" i="1"/>
  <c r="AN2332" i="1"/>
  <c r="BM2332" i="1" s="1"/>
  <c r="BP2331" i="1"/>
  <c r="BO2331" i="1"/>
  <c r="BN2331" i="1"/>
  <c r="BL2331" i="1"/>
  <c r="BK2331" i="1"/>
  <c r="BG2331" i="1"/>
  <c r="BF2331" i="1"/>
  <c r="AT2331" i="1"/>
  <c r="AP2331" i="1"/>
  <c r="BM2331" i="1" s="1"/>
  <c r="AC2331" i="1"/>
  <c r="U2331" i="1"/>
  <c r="S2331" i="1"/>
  <c r="BJ2331" i="1" s="1"/>
  <c r="M2331" i="1"/>
  <c r="BI2331" i="1" s="1"/>
  <c r="D2331" i="1"/>
  <c r="BH2331" i="1" s="1"/>
  <c r="C2331" i="1"/>
  <c r="BP2330" i="1"/>
  <c r="BN2330" i="1"/>
  <c r="BM2330" i="1"/>
  <c r="BL2330" i="1"/>
  <c r="BK2330" i="1"/>
  <c r="BJ2330" i="1"/>
  <c r="BI2330" i="1"/>
  <c r="BH2330" i="1"/>
  <c r="AY2330" i="1"/>
  <c r="BO2330" i="1" s="1"/>
  <c r="BP2329" i="1"/>
  <c r="BO2329" i="1"/>
  <c r="BN2329" i="1"/>
  <c r="BM2329" i="1"/>
  <c r="BL2329" i="1"/>
  <c r="BK2329" i="1"/>
  <c r="BJ2329" i="1"/>
  <c r="BI2329" i="1"/>
  <c r="BH2329" i="1"/>
  <c r="BP2328" i="1"/>
  <c r="BO2328" i="1"/>
  <c r="BN2328" i="1"/>
  <c r="BM2328" i="1"/>
  <c r="BL2328" i="1"/>
  <c r="BK2328" i="1"/>
  <c r="BJ2328" i="1"/>
  <c r="BI2328" i="1"/>
  <c r="BH2328" i="1"/>
  <c r="BP2327" i="1"/>
  <c r="BO2327" i="1"/>
  <c r="BN2327" i="1"/>
  <c r="BM2327" i="1"/>
  <c r="BL2327" i="1"/>
  <c r="BK2327" i="1"/>
  <c r="BJ2327" i="1"/>
  <c r="BI2327" i="1"/>
  <c r="BH2327" i="1"/>
  <c r="BP2326" i="1"/>
  <c r="BO2326" i="1"/>
  <c r="BN2326" i="1"/>
  <c r="BM2326" i="1"/>
  <c r="BL2326" i="1"/>
  <c r="BK2326" i="1"/>
  <c r="BJ2326" i="1"/>
  <c r="BI2326" i="1"/>
  <c r="BH2326" i="1"/>
  <c r="BP2325" i="1"/>
  <c r="BO2325" i="1"/>
  <c r="BN2325" i="1"/>
  <c r="BM2325" i="1"/>
  <c r="BL2325" i="1"/>
  <c r="BK2325" i="1"/>
  <c r="BJ2325" i="1"/>
  <c r="BI2325" i="1"/>
  <c r="BH2325" i="1"/>
  <c r="BP2324" i="1"/>
  <c r="BO2324" i="1"/>
  <c r="BN2324" i="1"/>
  <c r="BM2324" i="1"/>
  <c r="BL2324" i="1"/>
  <c r="BK2324" i="1"/>
  <c r="BJ2324" i="1"/>
  <c r="BI2324" i="1"/>
  <c r="BH2324" i="1"/>
  <c r="AS2324" i="1"/>
  <c r="BP2323" i="1"/>
  <c r="BO2323" i="1"/>
  <c r="BN2323" i="1"/>
  <c r="BM2323" i="1"/>
  <c r="BL2323" i="1"/>
  <c r="BK2323" i="1"/>
  <c r="BJ2323" i="1"/>
  <c r="BI2323" i="1"/>
  <c r="BH2323" i="1"/>
  <c r="AS2323" i="1"/>
  <c r="AN2323" i="1"/>
  <c r="BP2322" i="1"/>
  <c r="BO2322" i="1"/>
  <c r="BN2322" i="1"/>
  <c r="BM2322" i="1"/>
  <c r="BL2322" i="1"/>
  <c r="BK2322" i="1"/>
  <c r="BJ2322" i="1"/>
  <c r="BI2322" i="1"/>
  <c r="BH2322" i="1"/>
  <c r="AS2322" i="1"/>
  <c r="AN2322" i="1"/>
  <c r="BP2321" i="1"/>
  <c r="BO2321" i="1"/>
  <c r="BN2321" i="1"/>
  <c r="BL2321" i="1"/>
  <c r="BK2321" i="1"/>
  <c r="BJ2321" i="1"/>
  <c r="BI2321" i="1"/>
  <c r="BH2321" i="1"/>
  <c r="AR2321" i="1"/>
  <c r="AN2321" i="1"/>
  <c r="BM2321" i="1" s="1"/>
  <c r="BP2320" i="1"/>
  <c r="BO2320" i="1"/>
  <c r="BN2320" i="1"/>
  <c r="BL2320" i="1"/>
  <c r="BK2320" i="1"/>
  <c r="BJ2320" i="1"/>
  <c r="BI2320" i="1"/>
  <c r="BH2320" i="1"/>
  <c r="AR2320" i="1"/>
  <c r="AN2320" i="1"/>
  <c r="AI2320" i="1"/>
  <c r="BM2320" i="1" s="1"/>
  <c r="BP2319" i="1"/>
  <c r="BO2319" i="1"/>
  <c r="BN2319" i="1"/>
  <c r="BM2319" i="1"/>
  <c r="BL2319" i="1"/>
  <c r="BK2319" i="1"/>
  <c r="BJ2319" i="1"/>
  <c r="BI2319" i="1"/>
  <c r="BH2319" i="1"/>
  <c r="AP2319" i="1"/>
  <c r="BP2318" i="1"/>
  <c r="BO2318" i="1"/>
  <c r="BN2318" i="1"/>
  <c r="BM2318" i="1"/>
  <c r="BL2318" i="1"/>
  <c r="BK2318" i="1"/>
  <c r="BJ2318" i="1"/>
  <c r="BI2318" i="1"/>
  <c r="BH2318" i="1"/>
  <c r="AY2318" i="1"/>
  <c r="BP2317" i="1"/>
  <c r="BO2317" i="1"/>
  <c r="BN2317" i="1"/>
  <c r="BM2317" i="1"/>
  <c r="BL2317" i="1"/>
  <c r="BK2317" i="1"/>
  <c r="BJ2317" i="1"/>
  <c r="BI2317" i="1"/>
  <c r="BH2317" i="1"/>
  <c r="BP2316" i="1"/>
  <c r="BO2316" i="1"/>
  <c r="BN2316" i="1"/>
  <c r="BM2316" i="1"/>
  <c r="BL2316" i="1"/>
  <c r="BK2316" i="1"/>
  <c r="BJ2316" i="1"/>
  <c r="BI2316" i="1"/>
  <c r="BH2316" i="1"/>
  <c r="AQ2316" i="1"/>
  <c r="BP2315" i="1"/>
  <c r="BO2315" i="1"/>
  <c r="BN2315" i="1"/>
  <c r="BM2315" i="1"/>
  <c r="BL2315" i="1"/>
  <c r="BK2315" i="1"/>
  <c r="BJ2315" i="1"/>
  <c r="BI2315" i="1"/>
  <c r="BH2315" i="1"/>
  <c r="BP2314" i="1"/>
  <c r="BO2314" i="1"/>
  <c r="BN2314" i="1"/>
  <c r="BM2314" i="1"/>
  <c r="BL2314" i="1"/>
  <c r="BK2314" i="1"/>
  <c r="BJ2314" i="1"/>
  <c r="BI2314" i="1"/>
  <c r="BH2314" i="1"/>
  <c r="AY2314" i="1"/>
  <c r="BP2313" i="1"/>
  <c r="BO2313" i="1"/>
  <c r="BN2313" i="1"/>
  <c r="BL2313" i="1"/>
  <c r="BK2313" i="1"/>
  <c r="BJ2313" i="1"/>
  <c r="BI2313" i="1"/>
  <c r="BH2313" i="1"/>
  <c r="AR2313" i="1"/>
  <c r="AN2313" i="1"/>
  <c r="BM2313" i="1" s="1"/>
  <c r="BP2312" i="1"/>
  <c r="BO2312" i="1"/>
  <c r="BN2312" i="1"/>
  <c r="BM2312" i="1"/>
  <c r="BL2312" i="1"/>
  <c r="BJ2312" i="1"/>
  <c r="BI2312" i="1"/>
  <c r="BH2312" i="1"/>
  <c r="V2312" i="1"/>
  <c r="BK2312" i="1" s="1"/>
  <c r="BP2311" i="1"/>
  <c r="BO2311" i="1"/>
  <c r="BN2311" i="1"/>
  <c r="BM2311" i="1"/>
  <c r="BL2311" i="1"/>
  <c r="BK2311" i="1"/>
  <c r="BJ2311" i="1"/>
  <c r="BI2311" i="1"/>
  <c r="BH2311" i="1"/>
  <c r="BP2310" i="1"/>
  <c r="BO2310" i="1"/>
  <c r="BN2310" i="1"/>
  <c r="BM2310" i="1"/>
  <c r="BL2310" i="1"/>
  <c r="BK2310" i="1"/>
  <c r="BJ2310" i="1"/>
  <c r="BI2310" i="1"/>
  <c r="BH2310" i="1"/>
  <c r="BP2309" i="1"/>
  <c r="BO2309" i="1"/>
  <c r="BN2309" i="1"/>
  <c r="BM2309" i="1"/>
  <c r="BL2309" i="1"/>
  <c r="BK2309" i="1"/>
  <c r="BJ2309" i="1"/>
  <c r="BI2309" i="1"/>
  <c r="BH2309" i="1"/>
  <c r="BP2308" i="1"/>
  <c r="BO2308" i="1"/>
  <c r="BN2308" i="1"/>
  <c r="BL2308" i="1"/>
  <c r="BK2308" i="1"/>
  <c r="BJ2308" i="1"/>
  <c r="BI2308" i="1"/>
  <c r="BH2308" i="1"/>
  <c r="AR2308" i="1"/>
  <c r="AN2308" i="1"/>
  <c r="BM2308" i="1" s="1"/>
  <c r="BP2307" i="1"/>
  <c r="BO2307" i="1"/>
  <c r="BN2307" i="1"/>
  <c r="BM2307" i="1"/>
  <c r="BL2307" i="1"/>
  <c r="BK2307" i="1"/>
  <c r="BJ2307" i="1"/>
  <c r="BI2307" i="1"/>
  <c r="BH2307" i="1"/>
  <c r="AP2307" i="1"/>
  <c r="BP2306" i="1"/>
  <c r="BO2306" i="1"/>
  <c r="BN2306" i="1"/>
  <c r="BM2306" i="1"/>
  <c r="BL2306" i="1"/>
  <c r="BK2306" i="1"/>
  <c r="BJ2306" i="1"/>
  <c r="BI2306" i="1"/>
  <c r="BH2306" i="1"/>
  <c r="BP2305" i="1"/>
  <c r="BO2305" i="1"/>
  <c r="BN2305" i="1"/>
  <c r="BM2305" i="1"/>
  <c r="BL2305" i="1"/>
  <c r="BK2305" i="1"/>
  <c r="BJ2305" i="1"/>
  <c r="BI2305" i="1"/>
  <c r="BH2305" i="1"/>
  <c r="BE2305" i="1"/>
  <c r="BO2304" i="1"/>
  <c r="BL2304" i="1"/>
  <c r="BK2304" i="1"/>
  <c r="BG2304" i="1"/>
  <c r="BF2304" i="1"/>
  <c r="BP2304" i="1" s="1"/>
  <c r="AT2304" i="1"/>
  <c r="BN2304" i="1" s="1"/>
  <c r="AQ2304" i="1"/>
  <c r="BM2304" i="1" s="1"/>
  <c r="AC2304" i="1"/>
  <c r="U2304" i="1"/>
  <c r="S2304" i="1"/>
  <c r="BJ2304" i="1" s="1"/>
  <c r="M2304" i="1"/>
  <c r="BI2304" i="1" s="1"/>
  <c r="C2304" i="1"/>
  <c r="BH2304" i="1" s="1"/>
  <c r="BP2303" i="1"/>
  <c r="BO2303" i="1"/>
  <c r="BL2303" i="1"/>
  <c r="BK2303" i="1"/>
  <c r="BJ2303" i="1"/>
  <c r="BI2303" i="1"/>
  <c r="BG2303" i="1"/>
  <c r="AT2303" i="1"/>
  <c r="BN2303" i="1" s="1"/>
  <c r="AR2303" i="1"/>
  <c r="AQ2303" i="1"/>
  <c r="BM2303" i="1" s="1"/>
  <c r="W2303" i="1"/>
  <c r="S2303" i="1"/>
  <c r="P2303" i="1"/>
  <c r="N2303" i="1"/>
  <c r="I2303" i="1"/>
  <c r="F2303" i="1"/>
  <c r="D2303" i="1"/>
  <c r="BH2303" i="1" s="1"/>
  <c r="BP2302" i="1"/>
  <c r="BO2302" i="1"/>
  <c r="BN2302" i="1"/>
  <c r="BL2302" i="1"/>
  <c r="BK2302" i="1"/>
  <c r="BJ2302" i="1"/>
  <c r="BI2302" i="1"/>
  <c r="BH2302" i="1"/>
  <c r="AR2302" i="1"/>
  <c r="AN2302" i="1"/>
  <c r="BM2302" i="1" s="1"/>
  <c r="BP2301" i="1"/>
  <c r="BO2301" i="1"/>
  <c r="BN2301" i="1"/>
  <c r="BL2301" i="1"/>
  <c r="BK2301" i="1"/>
  <c r="BJ2301" i="1"/>
  <c r="BI2301" i="1"/>
  <c r="BH2301" i="1"/>
  <c r="AS2301" i="1"/>
  <c r="AN2301" i="1"/>
  <c r="BM2301" i="1" s="1"/>
  <c r="BP2300" i="1"/>
  <c r="BO2300" i="1"/>
  <c r="BN2300" i="1"/>
  <c r="BL2300" i="1"/>
  <c r="BK2300" i="1"/>
  <c r="BJ2300" i="1"/>
  <c r="BI2300" i="1"/>
  <c r="BH2300" i="1"/>
  <c r="AS2300" i="1"/>
  <c r="BM2300" i="1" s="1"/>
  <c r="BP2299" i="1"/>
  <c r="BO2299" i="1"/>
  <c r="BN2299" i="1"/>
  <c r="BM2299" i="1"/>
  <c r="BL2299" i="1"/>
  <c r="BK2299" i="1"/>
  <c r="BJ2299" i="1"/>
  <c r="BI2299" i="1"/>
  <c r="BH2299" i="1"/>
  <c r="BP2298" i="1"/>
  <c r="BO2298" i="1"/>
  <c r="BN2298" i="1"/>
  <c r="BM2298" i="1"/>
  <c r="BL2298" i="1"/>
  <c r="BJ2298" i="1"/>
  <c r="BI2298" i="1"/>
  <c r="BH2298" i="1"/>
  <c r="X2298" i="1"/>
  <c r="BK2298" i="1" s="1"/>
  <c r="BP2297" i="1"/>
  <c r="BO2297" i="1"/>
  <c r="BM2297" i="1"/>
  <c r="BL2297" i="1"/>
  <c r="BI2297" i="1"/>
  <c r="BG2297" i="1"/>
  <c r="BA2297" i="1"/>
  <c r="AT2297" i="1"/>
  <c r="BN2297" i="1" s="1"/>
  <c r="X2297" i="1"/>
  <c r="BK2297" i="1" s="1"/>
  <c r="S2297" i="1"/>
  <c r="BJ2297" i="1" s="1"/>
  <c r="M2297" i="1"/>
  <c r="D2297" i="1"/>
  <c r="C2297" i="1"/>
  <c r="BH2297" i="1" s="1"/>
  <c r="BP2296" i="1"/>
  <c r="BO2296" i="1"/>
  <c r="BN2296" i="1"/>
  <c r="BM2296" i="1"/>
  <c r="BL2296" i="1"/>
  <c r="BK2296" i="1"/>
  <c r="BJ2296" i="1"/>
  <c r="BI2296" i="1"/>
  <c r="BH2296" i="1"/>
  <c r="BP2295" i="1"/>
  <c r="BN2295" i="1"/>
  <c r="BM2295" i="1"/>
  <c r="BL2295" i="1"/>
  <c r="BK2295" i="1"/>
  <c r="BJ2295" i="1"/>
  <c r="BI2295" i="1"/>
  <c r="BH2295" i="1"/>
  <c r="AY2295" i="1"/>
  <c r="BO2295" i="1" s="1"/>
  <c r="BP2294" i="1"/>
  <c r="BO2294" i="1"/>
  <c r="BN2294" i="1"/>
  <c r="BM2294" i="1"/>
  <c r="BL2294" i="1"/>
  <c r="BK2294" i="1"/>
  <c r="BJ2294" i="1"/>
  <c r="BI2294" i="1"/>
  <c r="BH2294" i="1"/>
  <c r="BP2293" i="1"/>
  <c r="BO2293" i="1"/>
  <c r="BN2293" i="1"/>
  <c r="BL2293" i="1"/>
  <c r="BK2293" i="1"/>
  <c r="BJ2293" i="1"/>
  <c r="BI2293" i="1"/>
  <c r="BH2293" i="1"/>
  <c r="AQ2293" i="1"/>
  <c r="BM2293" i="1" s="1"/>
  <c r="BP2292" i="1"/>
  <c r="BO2292" i="1"/>
  <c r="BN2292" i="1"/>
  <c r="BL2292" i="1"/>
  <c r="BK2292" i="1"/>
  <c r="BJ2292" i="1"/>
  <c r="BI2292" i="1"/>
  <c r="BH2292" i="1"/>
  <c r="AQ2292" i="1"/>
  <c r="BM2292" i="1" s="1"/>
  <c r="BP2291" i="1"/>
  <c r="BO2291" i="1"/>
  <c r="BN2291" i="1"/>
  <c r="BM2291" i="1"/>
  <c r="BL2291" i="1"/>
  <c r="BK2291" i="1"/>
  <c r="BJ2291" i="1"/>
  <c r="BI2291" i="1"/>
  <c r="BH2291" i="1"/>
  <c r="AR2291" i="1"/>
  <c r="AN2291" i="1"/>
  <c r="BP2290" i="1"/>
  <c r="BO2290" i="1"/>
  <c r="BN2290" i="1"/>
  <c r="BL2290" i="1"/>
  <c r="BK2290" i="1"/>
  <c r="BJ2290" i="1"/>
  <c r="BI2290" i="1"/>
  <c r="BH2290" i="1"/>
  <c r="AR2290" i="1"/>
  <c r="BM2290" i="1" s="1"/>
  <c r="AN2290" i="1"/>
  <c r="BP2289" i="1"/>
  <c r="BO2289" i="1"/>
  <c r="BN2289" i="1"/>
  <c r="BM2289" i="1"/>
  <c r="BL2289" i="1"/>
  <c r="BK2289" i="1"/>
  <c r="BJ2289" i="1"/>
  <c r="BI2289" i="1"/>
  <c r="BH2289" i="1"/>
  <c r="X2289" i="1"/>
  <c r="BP2288" i="1"/>
  <c r="BO2288" i="1"/>
  <c r="BN2288" i="1"/>
  <c r="BM2288" i="1"/>
  <c r="BL2288" i="1"/>
  <c r="BK2288" i="1"/>
  <c r="BJ2288" i="1"/>
  <c r="BI2288" i="1"/>
  <c r="BH2288" i="1"/>
  <c r="BP2287" i="1"/>
  <c r="BO2287" i="1"/>
  <c r="BN2287" i="1"/>
  <c r="BM2287" i="1"/>
  <c r="BL2287" i="1"/>
  <c r="BK2287" i="1"/>
  <c r="BJ2287" i="1"/>
  <c r="BI2287" i="1"/>
  <c r="BH2287" i="1"/>
  <c r="AQ2287" i="1"/>
  <c r="BP2286" i="1"/>
  <c r="BO2286" i="1"/>
  <c r="BN2286" i="1"/>
  <c r="BL2286" i="1"/>
  <c r="BK2286" i="1"/>
  <c r="BJ2286" i="1"/>
  <c r="BI2286" i="1"/>
  <c r="BH2286" i="1"/>
  <c r="AP2286" i="1"/>
  <c r="BM2286" i="1" s="1"/>
  <c r="BP2285" i="1"/>
  <c r="BO2285" i="1"/>
  <c r="BN2285" i="1"/>
  <c r="BM2285" i="1"/>
  <c r="BL2285" i="1"/>
  <c r="BK2285" i="1"/>
  <c r="BJ2285" i="1"/>
  <c r="BI2285" i="1"/>
  <c r="BH2285" i="1"/>
  <c r="V2285" i="1"/>
  <c r="BP2284" i="1"/>
  <c r="BO2284" i="1"/>
  <c r="BN2284" i="1"/>
  <c r="BM2284" i="1"/>
  <c r="BL2284" i="1"/>
  <c r="BK2284" i="1"/>
  <c r="BJ2284" i="1"/>
  <c r="BI2284" i="1"/>
  <c r="BH2284" i="1"/>
  <c r="V2284" i="1"/>
  <c r="BP2283" i="1"/>
  <c r="BO2283" i="1"/>
  <c r="BN2283" i="1"/>
  <c r="BM2283" i="1"/>
  <c r="BL2283" i="1"/>
  <c r="BK2283" i="1"/>
  <c r="BJ2283" i="1"/>
  <c r="BI2283" i="1"/>
  <c r="BH2283" i="1"/>
  <c r="BP2282" i="1"/>
  <c r="BO2282" i="1"/>
  <c r="BN2282" i="1"/>
  <c r="BL2282" i="1"/>
  <c r="BK2282" i="1"/>
  <c r="BJ2282" i="1"/>
  <c r="BI2282" i="1"/>
  <c r="BH2282" i="1"/>
  <c r="AS2282" i="1"/>
  <c r="AN2282" i="1"/>
  <c r="BM2282" i="1" s="1"/>
  <c r="BP2281" i="1"/>
  <c r="BO2281" i="1"/>
  <c r="BN2281" i="1"/>
  <c r="BL2281" i="1"/>
  <c r="BK2281" i="1"/>
  <c r="BJ2281" i="1"/>
  <c r="BI2281" i="1"/>
  <c r="BH2281" i="1"/>
  <c r="AR2281" i="1"/>
  <c r="AN2281" i="1"/>
  <c r="BP2280" i="1"/>
  <c r="BO2280" i="1"/>
  <c r="BN2280" i="1"/>
  <c r="BL2280" i="1"/>
  <c r="BK2280" i="1"/>
  <c r="BJ2280" i="1"/>
  <c r="BI2280" i="1"/>
  <c r="BH2280" i="1"/>
  <c r="AR2280" i="1"/>
  <c r="AN2280" i="1"/>
  <c r="BM2280" i="1" s="1"/>
  <c r="BP2279" i="1"/>
  <c r="BO2279" i="1"/>
  <c r="BN2279" i="1"/>
  <c r="BM2279" i="1"/>
  <c r="BL2279" i="1"/>
  <c r="BK2279" i="1"/>
  <c r="BJ2279" i="1"/>
  <c r="BI2279" i="1"/>
  <c r="BH2279" i="1"/>
  <c r="BP2278" i="1"/>
  <c r="BO2278" i="1"/>
  <c r="BN2278" i="1"/>
  <c r="BM2278" i="1"/>
  <c r="BL2278" i="1"/>
  <c r="BK2278" i="1"/>
  <c r="BJ2278" i="1"/>
  <c r="BI2278" i="1"/>
  <c r="BH2278" i="1"/>
  <c r="BE2278" i="1"/>
  <c r="BP2277" i="1"/>
  <c r="BO2277" i="1"/>
  <c r="BN2277" i="1"/>
  <c r="BM2277" i="1"/>
  <c r="BL2277" i="1"/>
  <c r="BK2277" i="1"/>
  <c r="BJ2277" i="1"/>
  <c r="BI2277" i="1"/>
  <c r="BH2277" i="1"/>
  <c r="AQ2277" i="1"/>
  <c r="AB2277" i="1"/>
  <c r="BP2276" i="1"/>
  <c r="BO2276" i="1"/>
  <c r="BN2276" i="1"/>
  <c r="BL2276" i="1"/>
  <c r="BK2276" i="1"/>
  <c r="BJ2276" i="1"/>
  <c r="BI2276" i="1"/>
  <c r="BH2276" i="1"/>
  <c r="AQ2276" i="1"/>
  <c r="BM2276" i="1" s="1"/>
  <c r="BP2275" i="1"/>
  <c r="BO2275" i="1"/>
  <c r="BN2275" i="1"/>
  <c r="BL2275" i="1"/>
  <c r="BK2275" i="1"/>
  <c r="BJ2275" i="1"/>
  <c r="BI2275" i="1"/>
  <c r="BH2275" i="1"/>
  <c r="AP2275" i="1"/>
  <c r="BM2275" i="1" s="1"/>
  <c r="BP2274" i="1"/>
  <c r="BO2274" i="1"/>
  <c r="BN2274" i="1"/>
  <c r="BL2274" i="1"/>
  <c r="BK2274" i="1"/>
  <c r="BJ2274" i="1"/>
  <c r="BI2274" i="1"/>
  <c r="BH2274" i="1"/>
  <c r="AS2274" i="1"/>
  <c r="BM2274" i="1" s="1"/>
  <c r="BP2273" i="1"/>
  <c r="BO2273" i="1"/>
  <c r="BN2273" i="1"/>
  <c r="BM2273" i="1"/>
  <c r="BL2273" i="1"/>
  <c r="BK2273" i="1"/>
  <c r="BJ2273" i="1"/>
  <c r="BI2273" i="1"/>
  <c r="BH2273" i="1"/>
  <c r="AS2273" i="1"/>
  <c r="BP2272" i="1"/>
  <c r="BO2272" i="1"/>
  <c r="BN2272" i="1"/>
  <c r="BL2272" i="1"/>
  <c r="BK2272" i="1"/>
  <c r="BJ2272" i="1"/>
  <c r="BI2272" i="1"/>
  <c r="BH2272" i="1"/>
  <c r="AR2272" i="1"/>
  <c r="AN2272" i="1"/>
  <c r="BM2272" i="1" s="1"/>
  <c r="BP2271" i="1"/>
  <c r="BO2271" i="1"/>
  <c r="BN2271" i="1"/>
  <c r="BM2271" i="1"/>
  <c r="BL2271" i="1"/>
  <c r="BK2271" i="1"/>
  <c r="BJ2271" i="1"/>
  <c r="BI2271" i="1"/>
  <c r="BH2271" i="1"/>
  <c r="BP2270" i="1"/>
  <c r="BO2270" i="1"/>
  <c r="BN2270" i="1"/>
  <c r="BM2270" i="1"/>
  <c r="BL2270" i="1"/>
  <c r="BK2270" i="1"/>
  <c r="BJ2270" i="1"/>
  <c r="BI2270" i="1"/>
  <c r="BH2270" i="1"/>
  <c r="BP2269" i="1"/>
  <c r="BO2269" i="1"/>
  <c r="BN2269" i="1"/>
  <c r="BM2269" i="1"/>
  <c r="BL2269" i="1"/>
  <c r="BK2269" i="1"/>
  <c r="BJ2269" i="1"/>
  <c r="BI2269" i="1"/>
  <c r="BH2269" i="1"/>
  <c r="BP2268" i="1"/>
  <c r="BN2268" i="1"/>
  <c r="BM2268" i="1"/>
  <c r="BL2268" i="1"/>
  <c r="BK2268" i="1"/>
  <c r="BJ2268" i="1"/>
  <c r="BI2268" i="1"/>
  <c r="BH2268" i="1"/>
  <c r="AY2268" i="1"/>
  <c r="BO2268" i="1" s="1"/>
  <c r="BP2267" i="1"/>
  <c r="BO2267" i="1"/>
  <c r="BN2267" i="1"/>
  <c r="BM2267" i="1"/>
  <c r="BL2267" i="1"/>
  <c r="BK2267" i="1"/>
  <c r="BJ2267" i="1"/>
  <c r="BI2267" i="1"/>
  <c r="BH2267" i="1"/>
  <c r="BP2266" i="1"/>
  <c r="BO2266" i="1"/>
  <c r="BN2266" i="1"/>
  <c r="BM2266" i="1"/>
  <c r="BL2266" i="1"/>
  <c r="BK2266" i="1"/>
  <c r="BJ2266" i="1"/>
  <c r="BI2266" i="1"/>
  <c r="BH2266" i="1"/>
  <c r="BP2265" i="1"/>
  <c r="BM2265" i="1"/>
  <c r="BL2265" i="1"/>
  <c r="BJ2265" i="1"/>
  <c r="BI2265" i="1"/>
  <c r="BG2265" i="1"/>
  <c r="AV2265" i="1"/>
  <c r="BO2265" i="1" s="1"/>
  <c r="AU2265" i="1"/>
  <c r="AT2265" i="1"/>
  <c r="BN2265" i="1" s="1"/>
  <c r="U2265" i="1"/>
  <c r="BK2265" i="1" s="1"/>
  <c r="S2265" i="1"/>
  <c r="M2265" i="1"/>
  <c r="I2265" i="1"/>
  <c r="BH2265" i="1" s="1"/>
  <c r="D2265" i="1"/>
  <c r="BP2264" i="1"/>
  <c r="BO2264" i="1"/>
  <c r="BN2264" i="1"/>
  <c r="BM2264" i="1"/>
  <c r="BL2264" i="1"/>
  <c r="BK2264" i="1"/>
  <c r="BJ2264" i="1"/>
  <c r="BI2264" i="1"/>
  <c r="BH2264" i="1"/>
  <c r="V2264" i="1"/>
  <c r="BP2263" i="1"/>
  <c r="BO2263" i="1"/>
  <c r="BN2263" i="1"/>
  <c r="BM2263" i="1"/>
  <c r="BL2263" i="1"/>
  <c r="BK2263" i="1"/>
  <c r="BJ2263" i="1"/>
  <c r="BI2263" i="1"/>
  <c r="BH2263" i="1"/>
  <c r="BP2262" i="1"/>
  <c r="BO2262" i="1"/>
  <c r="BN2262" i="1"/>
  <c r="BM2262" i="1"/>
  <c r="BL2262" i="1"/>
  <c r="BK2262" i="1"/>
  <c r="BJ2262" i="1"/>
  <c r="BI2262" i="1"/>
  <c r="BH2262" i="1"/>
  <c r="AA2262" i="1"/>
  <c r="BP2261" i="1"/>
  <c r="BO2261" i="1"/>
  <c r="BN2261" i="1"/>
  <c r="BL2261" i="1"/>
  <c r="BK2261" i="1"/>
  <c r="BJ2261" i="1"/>
  <c r="BI2261" i="1"/>
  <c r="BH2261" i="1"/>
  <c r="AS2261" i="1"/>
  <c r="AN2261" i="1"/>
  <c r="BP2260" i="1"/>
  <c r="BO2260" i="1"/>
  <c r="BN2260" i="1"/>
  <c r="BL2260" i="1"/>
  <c r="BK2260" i="1"/>
  <c r="BJ2260" i="1"/>
  <c r="BI2260" i="1"/>
  <c r="BH2260" i="1"/>
  <c r="AS2260" i="1"/>
  <c r="BM2260" i="1" s="1"/>
  <c r="BP2259" i="1"/>
  <c r="BO2259" i="1"/>
  <c r="BN2259" i="1"/>
  <c r="BL2259" i="1"/>
  <c r="BK2259" i="1"/>
  <c r="BJ2259" i="1"/>
  <c r="BI2259" i="1"/>
  <c r="BH2259" i="1"/>
  <c r="AS2259" i="1"/>
  <c r="BM2259" i="1" s="1"/>
  <c r="BP2258" i="1"/>
  <c r="BO2258" i="1"/>
  <c r="BN2258" i="1"/>
  <c r="BM2258" i="1"/>
  <c r="BL2258" i="1"/>
  <c r="BK2258" i="1"/>
  <c r="BJ2258" i="1"/>
  <c r="BI2258" i="1"/>
  <c r="BH2258" i="1"/>
  <c r="BP2257" i="1"/>
  <c r="BO2257" i="1"/>
  <c r="BN2257" i="1"/>
  <c r="BM2257" i="1"/>
  <c r="BL2257" i="1"/>
  <c r="BK2257" i="1"/>
  <c r="BJ2257" i="1"/>
  <c r="BI2257" i="1"/>
  <c r="BH2257" i="1"/>
  <c r="BP2256" i="1"/>
  <c r="BO2256" i="1"/>
  <c r="BN2256" i="1"/>
  <c r="BM2256" i="1"/>
  <c r="BL2256" i="1"/>
  <c r="BK2256" i="1"/>
  <c r="BJ2256" i="1"/>
  <c r="BI2256" i="1"/>
  <c r="BH2256" i="1"/>
  <c r="BP2255" i="1"/>
  <c r="BO2255" i="1"/>
  <c r="BN2255" i="1"/>
  <c r="BM2255" i="1"/>
  <c r="BL2255" i="1"/>
  <c r="BK2255" i="1"/>
  <c r="BJ2255" i="1"/>
  <c r="BI2255" i="1"/>
  <c r="BH2255" i="1"/>
  <c r="BP2254" i="1"/>
  <c r="BO2254" i="1"/>
  <c r="BN2254" i="1"/>
  <c r="BM2254" i="1"/>
  <c r="BL2254" i="1"/>
  <c r="BK2254" i="1"/>
  <c r="BJ2254" i="1"/>
  <c r="BI2254" i="1"/>
  <c r="BH2254" i="1"/>
  <c r="AR2254" i="1"/>
  <c r="AN2254" i="1"/>
  <c r="BP2253" i="1"/>
  <c r="BO2253" i="1"/>
  <c r="BN2253" i="1"/>
  <c r="BM2253" i="1"/>
  <c r="BL2253" i="1"/>
  <c r="BK2253" i="1"/>
  <c r="BJ2253" i="1"/>
  <c r="BI2253" i="1"/>
  <c r="BH2253" i="1"/>
  <c r="AR2253" i="1"/>
  <c r="AN2253" i="1"/>
  <c r="AI2253" i="1"/>
  <c r="BP2252" i="1"/>
  <c r="BO2252" i="1"/>
  <c r="BN2252" i="1"/>
  <c r="BM2252" i="1"/>
  <c r="BL2252" i="1"/>
  <c r="BK2252" i="1"/>
  <c r="BJ2252" i="1"/>
  <c r="BI2252" i="1"/>
  <c r="BH2252" i="1"/>
  <c r="BN2251" i="1"/>
  <c r="BM2251" i="1"/>
  <c r="BL2251" i="1"/>
  <c r="BK2251" i="1"/>
  <c r="BJ2251" i="1"/>
  <c r="BI2251" i="1"/>
  <c r="BG2251" i="1"/>
  <c r="BF2251" i="1"/>
  <c r="BP2251" i="1" s="1"/>
  <c r="AY2251" i="1"/>
  <c r="BO2251" i="1" s="1"/>
  <c r="AT2251" i="1"/>
  <c r="AC2251" i="1"/>
  <c r="U2251" i="1"/>
  <c r="S2251" i="1"/>
  <c r="M2251" i="1"/>
  <c r="H2251" i="1"/>
  <c r="BH2251" i="1" s="1"/>
  <c r="D2251" i="1"/>
  <c r="C2251" i="1"/>
  <c r="BP2250" i="1"/>
  <c r="BO2250" i="1"/>
  <c r="BN2250" i="1"/>
  <c r="BM2250" i="1"/>
  <c r="BL2250" i="1"/>
  <c r="BK2250" i="1"/>
  <c r="BJ2250" i="1"/>
  <c r="BI2250" i="1"/>
  <c r="BH2250" i="1"/>
  <c r="BP2249" i="1"/>
  <c r="BO2249" i="1"/>
  <c r="BN2249" i="1"/>
  <c r="BM2249" i="1"/>
  <c r="BL2249" i="1"/>
  <c r="BK2249" i="1"/>
  <c r="BJ2249" i="1"/>
  <c r="BI2249" i="1"/>
  <c r="BH2249" i="1"/>
  <c r="BP2248" i="1"/>
  <c r="BO2248" i="1"/>
  <c r="BN2248" i="1"/>
  <c r="BM2248" i="1"/>
  <c r="BL2248" i="1"/>
  <c r="BK2248" i="1"/>
  <c r="BJ2248" i="1"/>
  <c r="BI2248" i="1"/>
  <c r="BH2248" i="1"/>
  <c r="AP2248" i="1"/>
  <c r="BP2247" i="1"/>
  <c r="BO2247" i="1"/>
  <c r="BN2247" i="1"/>
  <c r="BL2247" i="1"/>
  <c r="BK2247" i="1"/>
  <c r="BJ2247" i="1"/>
  <c r="BI2247" i="1"/>
  <c r="BH2247" i="1"/>
  <c r="AR2247" i="1"/>
  <c r="AN2247" i="1"/>
  <c r="BM2247" i="1" s="1"/>
  <c r="BP2246" i="1"/>
  <c r="BO2246" i="1"/>
  <c r="BN2246" i="1"/>
  <c r="BM2246" i="1"/>
  <c r="BL2246" i="1"/>
  <c r="BK2246" i="1"/>
  <c r="BJ2246" i="1"/>
  <c r="BI2246" i="1"/>
  <c r="BH2246" i="1"/>
  <c r="BP2245" i="1"/>
  <c r="BO2245" i="1"/>
  <c r="BN2245" i="1"/>
  <c r="BM2245" i="1"/>
  <c r="BL2245" i="1"/>
  <c r="BK2245" i="1"/>
  <c r="BJ2245" i="1"/>
  <c r="BI2245" i="1"/>
  <c r="BH2245" i="1"/>
  <c r="BP2244" i="1"/>
  <c r="BO2244" i="1"/>
  <c r="BN2244" i="1"/>
  <c r="BM2244" i="1"/>
  <c r="BL2244" i="1"/>
  <c r="BK2244" i="1"/>
  <c r="BJ2244" i="1"/>
  <c r="BI2244" i="1"/>
  <c r="BH2244" i="1"/>
  <c r="BP2243" i="1"/>
  <c r="BO2243" i="1"/>
  <c r="BN2243" i="1"/>
  <c r="BM2243" i="1"/>
  <c r="BL2243" i="1"/>
  <c r="BK2243" i="1"/>
  <c r="BJ2243" i="1"/>
  <c r="BI2243" i="1"/>
  <c r="BH2243" i="1"/>
  <c r="AB2243" i="1"/>
  <c r="BP2242" i="1"/>
  <c r="BO2242" i="1"/>
  <c r="BN2242" i="1"/>
  <c r="BL2242" i="1"/>
  <c r="BK2242" i="1"/>
  <c r="BJ2242" i="1"/>
  <c r="BI2242" i="1"/>
  <c r="BH2242" i="1"/>
  <c r="AS2242" i="1"/>
  <c r="BM2242" i="1" s="1"/>
  <c r="BP2241" i="1"/>
  <c r="BO2241" i="1"/>
  <c r="BN2241" i="1"/>
  <c r="BL2241" i="1"/>
  <c r="BK2241" i="1"/>
  <c r="BJ2241" i="1"/>
  <c r="BI2241" i="1"/>
  <c r="BH2241" i="1"/>
  <c r="AS2241" i="1"/>
  <c r="AN2241" i="1"/>
  <c r="BM2241" i="1" s="1"/>
  <c r="BP2240" i="1"/>
  <c r="BO2240" i="1"/>
  <c r="BN2240" i="1"/>
  <c r="BL2240" i="1"/>
  <c r="BK2240" i="1"/>
  <c r="BJ2240" i="1"/>
  <c r="BI2240" i="1"/>
  <c r="BH2240" i="1"/>
  <c r="AR2240" i="1"/>
  <c r="AQ2240" i="1"/>
  <c r="BM2240" i="1" s="1"/>
  <c r="P2240" i="1"/>
  <c r="BP2239" i="1"/>
  <c r="BO2239" i="1"/>
  <c r="BN2239" i="1"/>
  <c r="BL2239" i="1"/>
  <c r="BK2239" i="1"/>
  <c r="BJ2239" i="1"/>
  <c r="BI2239" i="1"/>
  <c r="BH2239" i="1"/>
  <c r="AR2239" i="1"/>
  <c r="AN2239" i="1"/>
  <c r="BM2239" i="1" s="1"/>
  <c r="BP2238" i="1"/>
  <c r="BO2238" i="1"/>
  <c r="BN2238" i="1"/>
  <c r="BM2238" i="1"/>
  <c r="BL2238" i="1"/>
  <c r="BK2238" i="1"/>
  <c r="BJ2238" i="1"/>
  <c r="BI2238" i="1"/>
  <c r="BH2238" i="1"/>
  <c r="BP2237" i="1"/>
  <c r="BO2237" i="1"/>
  <c r="BN2237" i="1"/>
  <c r="BM2237" i="1"/>
  <c r="BL2237" i="1"/>
  <c r="BK2237" i="1"/>
  <c r="BJ2237" i="1"/>
  <c r="BI2237" i="1"/>
  <c r="BH2237" i="1"/>
  <c r="AP2237" i="1"/>
  <c r="BP2236" i="1"/>
  <c r="BO2236" i="1"/>
  <c r="BN2236" i="1"/>
  <c r="BM2236" i="1"/>
  <c r="BL2236" i="1"/>
  <c r="BK2236" i="1"/>
  <c r="BJ2236" i="1"/>
  <c r="BI2236" i="1"/>
  <c r="BH2236" i="1"/>
  <c r="BP2235" i="1"/>
  <c r="BN2235" i="1"/>
  <c r="BM2235" i="1"/>
  <c r="BL2235" i="1"/>
  <c r="BK2235" i="1"/>
  <c r="BJ2235" i="1"/>
  <c r="BI2235" i="1"/>
  <c r="BH2235" i="1"/>
  <c r="AY2235" i="1"/>
  <c r="BO2235" i="1" s="1"/>
  <c r="BP2234" i="1"/>
  <c r="BO2234" i="1"/>
  <c r="BN2234" i="1"/>
  <c r="BM2234" i="1"/>
  <c r="BL2234" i="1"/>
  <c r="BK2234" i="1"/>
  <c r="BJ2234" i="1"/>
  <c r="BI2234" i="1"/>
  <c r="BH2234" i="1"/>
  <c r="BP2233" i="1"/>
  <c r="BN2233" i="1"/>
  <c r="BM2233" i="1"/>
  <c r="BL2233" i="1"/>
  <c r="BK2233" i="1"/>
  <c r="BJ2233" i="1"/>
  <c r="BI2233" i="1"/>
  <c r="BH2233" i="1"/>
  <c r="AY2233" i="1"/>
  <c r="BO2233" i="1" s="1"/>
  <c r="BP2232" i="1"/>
  <c r="BN2232" i="1"/>
  <c r="BM2232" i="1"/>
  <c r="BL2232" i="1"/>
  <c r="BK2232" i="1"/>
  <c r="BJ2232" i="1"/>
  <c r="BI2232" i="1"/>
  <c r="BH2232" i="1"/>
  <c r="BE2232" i="1"/>
  <c r="BO2232" i="1" s="1"/>
  <c r="BP2231" i="1"/>
  <c r="BO2231" i="1"/>
  <c r="BN2231" i="1"/>
  <c r="BL2231" i="1"/>
  <c r="BK2231" i="1"/>
  <c r="BJ2231" i="1"/>
  <c r="BI2231" i="1"/>
  <c r="BH2231" i="1"/>
  <c r="AR2231" i="1"/>
  <c r="AN2231" i="1"/>
  <c r="AI2231" i="1"/>
  <c r="BM2231" i="1" s="1"/>
  <c r="BP2230" i="1"/>
  <c r="BO2230" i="1"/>
  <c r="BN2230" i="1"/>
  <c r="BL2230" i="1"/>
  <c r="BJ2230" i="1"/>
  <c r="BI2230" i="1"/>
  <c r="BH2230" i="1"/>
  <c r="BG2230" i="1"/>
  <c r="AT2230" i="1"/>
  <c r="AR2230" i="1"/>
  <c r="AN2230" i="1"/>
  <c r="AM2230" i="1"/>
  <c r="BM2230" i="1" s="1"/>
  <c r="W2230" i="1"/>
  <c r="BK2230" i="1" s="1"/>
  <c r="S2230" i="1"/>
  <c r="N2230" i="1"/>
  <c r="I2230" i="1"/>
  <c r="F2230" i="1"/>
  <c r="BP2229" i="1"/>
  <c r="BO2229" i="1"/>
  <c r="BN2229" i="1"/>
  <c r="BL2229" i="1"/>
  <c r="BK2229" i="1"/>
  <c r="BJ2229" i="1"/>
  <c r="BI2229" i="1"/>
  <c r="BH2229" i="1"/>
  <c r="AS2229" i="1"/>
  <c r="AN2229" i="1"/>
  <c r="BP2228" i="1"/>
  <c r="BO2228" i="1"/>
  <c r="BN2228" i="1"/>
  <c r="BL2228" i="1"/>
  <c r="BK2228" i="1"/>
  <c r="BJ2228" i="1"/>
  <c r="BI2228" i="1"/>
  <c r="BH2228" i="1"/>
  <c r="AS2228" i="1"/>
  <c r="BM2228" i="1" s="1"/>
  <c r="BP2227" i="1"/>
  <c r="BO2227" i="1"/>
  <c r="BN2227" i="1"/>
  <c r="BL2227" i="1"/>
  <c r="BK2227" i="1"/>
  <c r="BJ2227" i="1"/>
  <c r="BI2227" i="1"/>
  <c r="BH2227" i="1"/>
  <c r="AQ2227" i="1"/>
  <c r="BM2227" i="1" s="1"/>
  <c r="BP2226" i="1"/>
  <c r="BO2226" i="1"/>
  <c r="BN2226" i="1"/>
  <c r="BM2226" i="1"/>
  <c r="BL2226" i="1"/>
  <c r="BK2226" i="1"/>
  <c r="BJ2226" i="1"/>
  <c r="BI2226" i="1"/>
  <c r="AJ2226" i="1"/>
  <c r="J2226" i="1"/>
  <c r="BH2226" i="1" s="1"/>
  <c r="BP2225" i="1"/>
  <c r="BO2225" i="1"/>
  <c r="BN2225" i="1"/>
  <c r="BM2225" i="1"/>
  <c r="BL2225" i="1"/>
  <c r="BK2225" i="1"/>
  <c r="BJ2225" i="1"/>
  <c r="BI2225" i="1"/>
  <c r="BH2225" i="1"/>
  <c r="V2225" i="1"/>
  <c r="BP2224" i="1"/>
  <c r="BO2224" i="1"/>
  <c r="BN2224" i="1"/>
  <c r="BM2224" i="1"/>
  <c r="BL2224" i="1"/>
  <c r="BK2224" i="1"/>
  <c r="BJ2224" i="1"/>
  <c r="BI2224" i="1"/>
  <c r="BH2224" i="1"/>
  <c r="BP2223" i="1"/>
  <c r="BO2223" i="1"/>
  <c r="BN2223" i="1"/>
  <c r="BM2223" i="1"/>
  <c r="BL2223" i="1"/>
  <c r="BK2223" i="1"/>
  <c r="BJ2223" i="1"/>
  <c r="BI2223" i="1"/>
  <c r="BH2223" i="1"/>
  <c r="BP2222" i="1"/>
  <c r="BO2222" i="1"/>
  <c r="BN2222" i="1"/>
  <c r="BM2222" i="1"/>
  <c r="BL2222" i="1"/>
  <c r="BK2222" i="1"/>
  <c r="BJ2222" i="1"/>
  <c r="BI2222" i="1"/>
  <c r="BH2222" i="1"/>
  <c r="BP2221" i="1"/>
  <c r="BO2221" i="1"/>
  <c r="BN2221" i="1"/>
  <c r="BM2221" i="1"/>
  <c r="BL2221" i="1"/>
  <c r="BK2221" i="1"/>
  <c r="BJ2221" i="1"/>
  <c r="BI2221" i="1"/>
  <c r="BH2221" i="1"/>
  <c r="AQ2221" i="1"/>
  <c r="AB2221" i="1"/>
  <c r="BP2220" i="1"/>
  <c r="BO2220" i="1"/>
  <c r="BN2220" i="1"/>
  <c r="BM2220" i="1"/>
  <c r="BL2220" i="1"/>
  <c r="BK2220" i="1"/>
  <c r="BJ2220" i="1"/>
  <c r="BI2220" i="1"/>
  <c r="BH2220" i="1"/>
  <c r="BP2219" i="1"/>
  <c r="BO2219" i="1"/>
  <c r="BN2219" i="1"/>
  <c r="BM2219" i="1"/>
  <c r="BL2219" i="1"/>
  <c r="BK2219" i="1"/>
  <c r="BJ2219" i="1"/>
  <c r="BI2219" i="1"/>
  <c r="BH2219" i="1"/>
  <c r="BP2218" i="1"/>
  <c r="BO2218" i="1"/>
  <c r="BN2218" i="1"/>
  <c r="BL2218" i="1"/>
  <c r="BK2218" i="1"/>
  <c r="BJ2218" i="1"/>
  <c r="BI2218" i="1"/>
  <c r="BH2218" i="1"/>
  <c r="AQ2218" i="1"/>
  <c r="AB2218" i="1"/>
  <c r="BM2218" i="1" s="1"/>
  <c r="BP2217" i="1"/>
  <c r="BO2217" i="1"/>
  <c r="BN2217" i="1"/>
  <c r="BL2217" i="1"/>
  <c r="BK2217" i="1"/>
  <c r="BJ2217" i="1"/>
  <c r="BI2217" i="1"/>
  <c r="BH2217" i="1"/>
  <c r="AQ2217" i="1"/>
  <c r="BM2217" i="1" s="1"/>
  <c r="BP2216" i="1"/>
  <c r="BO2216" i="1"/>
  <c r="BN2216" i="1"/>
  <c r="BM2216" i="1"/>
  <c r="BL2216" i="1"/>
  <c r="BK2216" i="1"/>
  <c r="BJ2216" i="1"/>
  <c r="BI2216" i="1"/>
  <c r="BH2216" i="1"/>
  <c r="BP2215" i="1"/>
  <c r="BO2215" i="1"/>
  <c r="BN2215" i="1"/>
  <c r="BM2215" i="1"/>
  <c r="BL2215" i="1"/>
  <c r="BK2215" i="1"/>
  <c r="BJ2215" i="1"/>
  <c r="BI2215" i="1"/>
  <c r="BH2215" i="1"/>
  <c r="AR2215" i="1"/>
  <c r="AN2215" i="1"/>
  <c r="BP2214" i="1"/>
  <c r="BO2214" i="1"/>
  <c r="BN2214" i="1"/>
  <c r="BM2214" i="1"/>
  <c r="BL2214" i="1"/>
  <c r="BK2214" i="1"/>
  <c r="BJ2214" i="1"/>
  <c r="BI2214" i="1"/>
  <c r="BH2214" i="1"/>
  <c r="BP2213" i="1"/>
  <c r="BN2213" i="1"/>
  <c r="BM2213" i="1"/>
  <c r="BL2213" i="1"/>
  <c r="BK2213" i="1"/>
  <c r="BJ2213" i="1"/>
  <c r="BI2213" i="1"/>
  <c r="BH2213" i="1"/>
  <c r="AY2213" i="1"/>
  <c r="BO2213" i="1" s="1"/>
  <c r="BP2212" i="1"/>
  <c r="BO2212" i="1"/>
  <c r="BN2212" i="1"/>
  <c r="BM2212" i="1"/>
  <c r="BL2212" i="1"/>
  <c r="BK2212" i="1"/>
  <c r="BJ2212" i="1"/>
  <c r="BI2212" i="1"/>
  <c r="BH2212" i="1"/>
  <c r="BP2211" i="1"/>
  <c r="BO2211" i="1"/>
  <c r="BN2211" i="1"/>
  <c r="BM2211" i="1"/>
  <c r="BL2211" i="1"/>
  <c r="BJ2211" i="1"/>
  <c r="BI2211" i="1"/>
  <c r="BH2211" i="1"/>
  <c r="X2211" i="1"/>
  <c r="BK2211" i="1" s="1"/>
  <c r="BP2210" i="1"/>
  <c r="BO2210" i="1"/>
  <c r="BN2210" i="1"/>
  <c r="BL2210" i="1"/>
  <c r="BK2210" i="1"/>
  <c r="BJ2210" i="1"/>
  <c r="BI2210" i="1"/>
  <c r="AQ2210" i="1"/>
  <c r="BM2210" i="1" s="1"/>
  <c r="AA2210" i="1"/>
  <c r="L2210" i="1"/>
  <c r="BH2210" i="1" s="1"/>
  <c r="BP2209" i="1"/>
  <c r="BO2209" i="1"/>
  <c r="BN2209" i="1"/>
  <c r="BM2209" i="1"/>
  <c r="BL2209" i="1"/>
  <c r="BJ2209" i="1"/>
  <c r="BI2209" i="1"/>
  <c r="BH2209" i="1"/>
  <c r="V2209" i="1"/>
  <c r="BK2209" i="1" s="1"/>
  <c r="BP2208" i="1"/>
  <c r="BO2208" i="1"/>
  <c r="BN2208" i="1"/>
  <c r="BM2208" i="1"/>
  <c r="BL2208" i="1"/>
  <c r="BK2208" i="1"/>
  <c r="BJ2208" i="1"/>
  <c r="BI2208" i="1"/>
  <c r="BH2208" i="1"/>
  <c r="AQ2208" i="1"/>
  <c r="BP2207" i="1"/>
  <c r="BO2207" i="1"/>
  <c r="BN2207" i="1"/>
  <c r="BM2207" i="1"/>
  <c r="BL2207" i="1"/>
  <c r="BJ2207" i="1"/>
  <c r="BI2207" i="1"/>
  <c r="BH2207" i="1"/>
  <c r="X2207" i="1"/>
  <c r="BK2207" i="1" s="1"/>
  <c r="BP2206" i="1"/>
  <c r="BO2206" i="1"/>
  <c r="BN2206" i="1"/>
  <c r="BM2206" i="1"/>
  <c r="BL2206" i="1"/>
  <c r="BK2206" i="1"/>
  <c r="BJ2206" i="1"/>
  <c r="BI2206" i="1"/>
  <c r="BH2206" i="1"/>
  <c r="AS2206" i="1"/>
  <c r="AN2206" i="1"/>
  <c r="BP2205" i="1"/>
  <c r="BO2205" i="1"/>
  <c r="BN2205" i="1"/>
  <c r="BL2205" i="1"/>
  <c r="BK2205" i="1"/>
  <c r="BJ2205" i="1"/>
  <c r="BI2205" i="1"/>
  <c r="BH2205" i="1"/>
  <c r="AS2205" i="1"/>
  <c r="BM2205" i="1" s="1"/>
  <c r="BP2204" i="1"/>
  <c r="BO2204" i="1"/>
  <c r="BN2204" i="1"/>
  <c r="BM2204" i="1"/>
  <c r="BL2204" i="1"/>
  <c r="BK2204" i="1"/>
  <c r="BJ2204" i="1"/>
  <c r="BI2204" i="1"/>
  <c r="BH2204" i="1"/>
  <c r="AR2204" i="1"/>
  <c r="AQ2204" i="1"/>
  <c r="P2204" i="1"/>
  <c r="BP2203" i="1"/>
  <c r="BO2203" i="1"/>
  <c r="BN2203" i="1"/>
  <c r="BM2203" i="1"/>
  <c r="BL2203" i="1"/>
  <c r="BK2203" i="1"/>
  <c r="BJ2203" i="1"/>
  <c r="BI2203" i="1"/>
  <c r="BH2203" i="1"/>
  <c r="BP2202" i="1"/>
  <c r="BO2202" i="1"/>
  <c r="BN2202" i="1"/>
  <c r="BM2202" i="1"/>
  <c r="BL2202" i="1"/>
  <c r="BK2202" i="1"/>
  <c r="BJ2202" i="1"/>
  <c r="BI2202" i="1"/>
  <c r="BH2202" i="1"/>
  <c r="BP2201" i="1"/>
  <c r="BO2201" i="1"/>
  <c r="BN2201" i="1"/>
  <c r="BM2201" i="1"/>
  <c r="BL2201" i="1"/>
  <c r="BK2201" i="1"/>
  <c r="BJ2201" i="1"/>
  <c r="BI2201" i="1"/>
  <c r="BH2201" i="1"/>
  <c r="BP2200" i="1"/>
  <c r="BO2200" i="1"/>
  <c r="BN2200" i="1"/>
  <c r="BM2200" i="1"/>
  <c r="BL2200" i="1"/>
  <c r="BK2200" i="1"/>
  <c r="BJ2200" i="1"/>
  <c r="BI2200" i="1"/>
  <c r="BH2200" i="1"/>
  <c r="BP2199" i="1"/>
  <c r="BO2199" i="1"/>
  <c r="BN2199" i="1"/>
  <c r="BM2199" i="1"/>
  <c r="BL2199" i="1"/>
  <c r="BK2199" i="1"/>
  <c r="BJ2199" i="1"/>
  <c r="BI2199" i="1"/>
  <c r="BH2199" i="1"/>
  <c r="AP2199" i="1"/>
  <c r="BP2198" i="1"/>
  <c r="BO2198" i="1"/>
  <c r="BN2198" i="1"/>
  <c r="BM2198" i="1"/>
  <c r="BK2198" i="1"/>
  <c r="BJ2198" i="1"/>
  <c r="BI2198" i="1"/>
  <c r="BH2198" i="1"/>
  <c r="AA2198" i="1"/>
  <c r="BL2198" i="1" s="1"/>
  <c r="BP2197" i="1"/>
  <c r="BO2197" i="1"/>
  <c r="BN2197" i="1"/>
  <c r="BM2197" i="1"/>
  <c r="BL2197" i="1"/>
  <c r="BK2197" i="1"/>
  <c r="BJ2197" i="1"/>
  <c r="BI2197" i="1"/>
  <c r="BH2197" i="1"/>
  <c r="BP2196" i="1"/>
  <c r="BO2196" i="1"/>
  <c r="BN2196" i="1"/>
  <c r="BL2196" i="1"/>
  <c r="BK2196" i="1"/>
  <c r="BJ2196" i="1"/>
  <c r="BI2196" i="1"/>
  <c r="BH2196" i="1"/>
  <c r="AP2196" i="1"/>
  <c r="BM2196" i="1" s="1"/>
  <c r="BP2195" i="1"/>
  <c r="BO2195" i="1"/>
  <c r="BN2195" i="1"/>
  <c r="BM2195" i="1"/>
  <c r="BL2195" i="1"/>
  <c r="BK2195" i="1"/>
  <c r="BJ2195" i="1"/>
  <c r="BI2195" i="1"/>
  <c r="BH2195" i="1"/>
  <c r="AQ2195" i="1"/>
  <c r="BP2194" i="1"/>
  <c r="BO2194" i="1"/>
  <c r="BN2194" i="1"/>
  <c r="BL2194" i="1"/>
  <c r="BK2194" i="1"/>
  <c r="BJ2194" i="1"/>
  <c r="BI2194" i="1"/>
  <c r="BH2194" i="1"/>
  <c r="AS2194" i="1"/>
  <c r="AN2194" i="1"/>
  <c r="BM2194" i="1" s="1"/>
  <c r="BP2193" i="1"/>
  <c r="BO2193" i="1"/>
  <c r="BN2193" i="1"/>
  <c r="BM2193" i="1"/>
  <c r="BL2193" i="1"/>
  <c r="BK2193" i="1"/>
  <c r="BJ2193" i="1"/>
  <c r="BI2193" i="1"/>
  <c r="BH2193" i="1"/>
  <c r="AS2193" i="1"/>
  <c r="BP2192" i="1"/>
  <c r="BO2192" i="1"/>
  <c r="BN2192" i="1"/>
  <c r="BL2192" i="1"/>
  <c r="BK2192" i="1"/>
  <c r="BJ2192" i="1"/>
  <c r="BI2192" i="1"/>
  <c r="BH2192" i="1"/>
  <c r="AS2192" i="1"/>
  <c r="BM2192" i="1" s="1"/>
  <c r="BP2191" i="1"/>
  <c r="BO2191" i="1"/>
  <c r="BN2191" i="1"/>
  <c r="BL2191" i="1"/>
  <c r="BK2191" i="1"/>
  <c r="BJ2191" i="1"/>
  <c r="BI2191" i="1"/>
  <c r="BH2191" i="1"/>
  <c r="AR2191" i="1"/>
  <c r="AQ2191" i="1"/>
  <c r="BM2191" i="1" s="1"/>
  <c r="P2191" i="1"/>
  <c r="BP2190" i="1"/>
  <c r="BO2190" i="1"/>
  <c r="BN2190" i="1"/>
  <c r="BM2190" i="1"/>
  <c r="BL2190" i="1"/>
  <c r="BK2190" i="1"/>
  <c r="BJ2190" i="1"/>
  <c r="BI2190" i="1"/>
  <c r="BH2190" i="1"/>
  <c r="BP2189" i="1"/>
  <c r="BO2189" i="1"/>
  <c r="BN2189" i="1"/>
  <c r="BM2189" i="1"/>
  <c r="BL2189" i="1"/>
  <c r="BK2189" i="1"/>
  <c r="BJ2189" i="1"/>
  <c r="BI2189" i="1"/>
  <c r="BH2189" i="1"/>
  <c r="BP2188" i="1"/>
  <c r="BO2188" i="1"/>
  <c r="BN2188" i="1"/>
  <c r="BM2188" i="1"/>
  <c r="BL2188" i="1"/>
  <c r="BK2188" i="1"/>
  <c r="BJ2188" i="1"/>
  <c r="BI2188" i="1"/>
  <c r="BH2188" i="1"/>
  <c r="AY2188" i="1"/>
  <c r="BP2187" i="1"/>
  <c r="BO2187" i="1"/>
  <c r="BN2187" i="1"/>
  <c r="BM2187" i="1"/>
  <c r="BL2187" i="1"/>
  <c r="BK2187" i="1"/>
  <c r="BJ2187" i="1"/>
  <c r="BI2187" i="1"/>
  <c r="BH2187" i="1"/>
  <c r="BP2186" i="1"/>
  <c r="BO2186" i="1"/>
  <c r="BN2186" i="1"/>
  <c r="BM2186" i="1"/>
  <c r="BL2186" i="1"/>
  <c r="BK2186" i="1"/>
  <c r="BJ2186" i="1"/>
  <c r="BI2186" i="1"/>
  <c r="BH2186" i="1"/>
  <c r="BP2185" i="1"/>
  <c r="BO2185" i="1"/>
  <c r="BN2185" i="1"/>
  <c r="BM2185" i="1"/>
  <c r="BL2185" i="1"/>
  <c r="BK2185" i="1"/>
  <c r="BJ2185" i="1"/>
  <c r="BI2185" i="1"/>
  <c r="BH2185" i="1"/>
  <c r="BP2184" i="1"/>
  <c r="BO2184" i="1"/>
  <c r="BN2184" i="1"/>
  <c r="BM2184" i="1"/>
  <c r="BL2184" i="1"/>
  <c r="BK2184" i="1"/>
  <c r="BJ2184" i="1"/>
  <c r="BI2184" i="1"/>
  <c r="BH2184" i="1"/>
  <c r="V2184" i="1"/>
  <c r="BP2183" i="1"/>
  <c r="BO2183" i="1"/>
  <c r="BN2183" i="1"/>
  <c r="BM2183" i="1"/>
  <c r="BL2183" i="1"/>
  <c r="BK2183" i="1"/>
  <c r="BJ2183" i="1"/>
  <c r="BI2183" i="1"/>
  <c r="BH2183" i="1"/>
  <c r="BP2182" i="1"/>
  <c r="BO2182" i="1"/>
  <c r="BN2182" i="1"/>
  <c r="BM2182" i="1"/>
  <c r="BL2182" i="1"/>
  <c r="BK2182" i="1"/>
  <c r="BJ2182" i="1"/>
  <c r="BI2182" i="1"/>
  <c r="BH2182" i="1"/>
  <c r="BP2181" i="1"/>
  <c r="BO2181" i="1"/>
  <c r="BN2181" i="1"/>
  <c r="BM2181" i="1"/>
  <c r="BL2181" i="1"/>
  <c r="BK2181" i="1"/>
  <c r="BJ2181" i="1"/>
  <c r="BI2181" i="1"/>
  <c r="BH2181" i="1"/>
  <c r="BP2180" i="1"/>
  <c r="BO2180" i="1"/>
  <c r="BN2180" i="1"/>
  <c r="BM2180" i="1"/>
  <c r="BL2180" i="1"/>
  <c r="BK2180" i="1"/>
  <c r="BJ2180" i="1"/>
  <c r="BI2180" i="1"/>
  <c r="BH2180" i="1"/>
  <c r="BP2179" i="1"/>
  <c r="BO2179" i="1"/>
  <c r="BN2179" i="1"/>
  <c r="BL2179" i="1"/>
  <c r="BK2179" i="1"/>
  <c r="BJ2179" i="1"/>
  <c r="BI2179" i="1"/>
  <c r="BH2179" i="1"/>
  <c r="AQ2179" i="1"/>
  <c r="BM2179" i="1" s="1"/>
  <c r="BP2178" i="1"/>
  <c r="BO2178" i="1"/>
  <c r="BN2178" i="1"/>
  <c r="BM2178" i="1"/>
  <c r="BL2178" i="1"/>
  <c r="BK2178" i="1"/>
  <c r="BJ2178" i="1"/>
  <c r="BI2178" i="1"/>
  <c r="BH2178" i="1"/>
  <c r="BP2177" i="1"/>
  <c r="BO2177" i="1"/>
  <c r="BN2177" i="1"/>
  <c r="BM2177" i="1"/>
  <c r="BL2177" i="1"/>
  <c r="BK2177" i="1"/>
  <c r="BJ2177" i="1"/>
  <c r="BI2177" i="1"/>
  <c r="BH2177" i="1"/>
  <c r="BP2176" i="1"/>
  <c r="BO2176" i="1"/>
  <c r="BN2176" i="1"/>
  <c r="BL2176" i="1"/>
  <c r="BK2176" i="1"/>
  <c r="BJ2176" i="1"/>
  <c r="BI2176" i="1"/>
  <c r="BH2176" i="1"/>
  <c r="AR2176" i="1"/>
  <c r="AN2176" i="1"/>
  <c r="BM2176" i="1" s="1"/>
  <c r="BP2175" i="1"/>
  <c r="BO2175" i="1"/>
  <c r="BN2175" i="1"/>
  <c r="BM2175" i="1"/>
  <c r="BL2175" i="1"/>
  <c r="BK2175" i="1"/>
  <c r="BJ2175" i="1"/>
  <c r="BI2175" i="1"/>
  <c r="BH2175" i="1"/>
  <c r="AS2175" i="1"/>
  <c r="AN2175" i="1"/>
  <c r="BP2174" i="1"/>
  <c r="BO2174" i="1"/>
  <c r="BN2174" i="1"/>
  <c r="BM2174" i="1"/>
  <c r="BL2174" i="1"/>
  <c r="BK2174" i="1"/>
  <c r="BJ2174" i="1"/>
  <c r="BI2174" i="1"/>
  <c r="BH2174" i="1"/>
  <c r="X2174" i="1"/>
  <c r="BP2173" i="1"/>
  <c r="BO2173" i="1"/>
  <c r="BN2173" i="1"/>
  <c r="BM2173" i="1"/>
  <c r="BL2173" i="1"/>
  <c r="BK2173" i="1"/>
  <c r="BJ2173" i="1"/>
  <c r="BI2173" i="1"/>
  <c r="BH2173" i="1"/>
  <c r="BP2172" i="1"/>
  <c r="BO2172" i="1"/>
  <c r="BN2172" i="1"/>
  <c r="BM2172" i="1"/>
  <c r="BL2172" i="1"/>
  <c r="BK2172" i="1"/>
  <c r="BJ2172" i="1"/>
  <c r="BI2172" i="1"/>
  <c r="BH2172" i="1"/>
  <c r="BP2171" i="1"/>
  <c r="BO2171" i="1"/>
  <c r="BN2171" i="1"/>
  <c r="BM2171" i="1"/>
  <c r="BL2171" i="1"/>
  <c r="BK2171" i="1"/>
  <c r="BJ2171" i="1"/>
  <c r="BI2171" i="1"/>
  <c r="BH2171" i="1"/>
  <c r="BE2171" i="1"/>
  <c r="BP2170" i="1"/>
  <c r="BO2170" i="1"/>
  <c r="BN2170" i="1"/>
  <c r="BM2170" i="1"/>
  <c r="BL2170" i="1"/>
  <c r="BK2170" i="1"/>
  <c r="BJ2170" i="1"/>
  <c r="BI2170" i="1"/>
  <c r="BH2170" i="1"/>
  <c r="AQ2170" i="1"/>
  <c r="BP2169" i="1"/>
  <c r="BO2169" i="1"/>
  <c r="BN2169" i="1"/>
  <c r="BL2169" i="1"/>
  <c r="BK2169" i="1"/>
  <c r="BJ2169" i="1"/>
  <c r="BI2169" i="1"/>
  <c r="BH2169" i="1"/>
  <c r="AR2169" i="1"/>
  <c r="AN2169" i="1"/>
  <c r="BP2168" i="1"/>
  <c r="BO2168" i="1"/>
  <c r="BN2168" i="1"/>
  <c r="BM2168" i="1"/>
  <c r="BL2168" i="1"/>
  <c r="BK2168" i="1"/>
  <c r="BJ2168" i="1"/>
  <c r="BI2168" i="1"/>
  <c r="BH2168" i="1"/>
  <c r="V2168" i="1"/>
  <c r="BP2167" i="1"/>
  <c r="BO2167" i="1"/>
  <c r="BN2167" i="1"/>
  <c r="BM2167" i="1"/>
  <c r="BL2167" i="1"/>
  <c r="BK2167" i="1"/>
  <c r="BJ2167" i="1"/>
  <c r="BI2167" i="1"/>
  <c r="BH2167" i="1"/>
  <c r="BP2166" i="1"/>
  <c r="BO2166" i="1"/>
  <c r="BN2166" i="1"/>
  <c r="BM2166" i="1"/>
  <c r="BL2166" i="1"/>
  <c r="BK2166" i="1"/>
  <c r="BJ2166" i="1"/>
  <c r="BI2166" i="1"/>
  <c r="BH2166" i="1"/>
  <c r="AR2166" i="1"/>
  <c r="AN2166" i="1"/>
  <c r="BP2165" i="1"/>
  <c r="BO2165" i="1"/>
  <c r="BL2165" i="1"/>
  <c r="BK2165" i="1"/>
  <c r="BJ2165" i="1"/>
  <c r="BI2165" i="1"/>
  <c r="BG2165" i="1"/>
  <c r="AV2165" i="1"/>
  <c r="AT2165" i="1"/>
  <c r="BN2165" i="1" s="1"/>
  <c r="AR2165" i="1"/>
  <c r="AN2165" i="1"/>
  <c r="BM2165" i="1" s="1"/>
  <c r="S2165" i="1"/>
  <c r="M2165" i="1"/>
  <c r="D2165" i="1"/>
  <c r="C2165" i="1"/>
  <c r="BH2165" i="1" s="1"/>
  <c r="BP2164" i="1"/>
  <c r="BO2164" i="1"/>
  <c r="BN2164" i="1"/>
  <c r="BM2164" i="1"/>
  <c r="BL2164" i="1"/>
  <c r="BK2164" i="1"/>
  <c r="BJ2164" i="1"/>
  <c r="BI2164" i="1"/>
  <c r="BH2164" i="1"/>
  <c r="BP2163" i="1"/>
  <c r="BO2163" i="1"/>
  <c r="BN2163" i="1"/>
  <c r="BM2163" i="1"/>
  <c r="BL2163" i="1"/>
  <c r="BK2163" i="1"/>
  <c r="BJ2163" i="1"/>
  <c r="BI2163" i="1"/>
  <c r="BH2163" i="1"/>
  <c r="BP2162" i="1"/>
  <c r="BO2162" i="1"/>
  <c r="BN2162" i="1"/>
  <c r="BM2162" i="1"/>
  <c r="BL2162" i="1"/>
  <c r="BK2162" i="1"/>
  <c r="BJ2162" i="1"/>
  <c r="BI2162" i="1"/>
  <c r="BH2162" i="1"/>
  <c r="AQ2162" i="1"/>
  <c r="BP2161" i="1"/>
  <c r="BO2161" i="1"/>
  <c r="BN2161" i="1"/>
  <c r="BL2161" i="1"/>
  <c r="BK2161" i="1"/>
  <c r="BJ2161" i="1"/>
  <c r="BI2161" i="1"/>
  <c r="BH2161" i="1"/>
  <c r="AQ2161" i="1"/>
  <c r="BM2161" i="1" s="1"/>
  <c r="BP2160" i="1"/>
  <c r="BO2160" i="1"/>
  <c r="BN2160" i="1"/>
  <c r="BM2160" i="1"/>
  <c r="BL2160" i="1"/>
  <c r="BK2160" i="1"/>
  <c r="BJ2160" i="1"/>
  <c r="BI2160" i="1"/>
  <c r="BH2160" i="1"/>
  <c r="AA2160" i="1"/>
  <c r="BP2159" i="1"/>
  <c r="BO2159" i="1"/>
  <c r="BN2159" i="1"/>
  <c r="BL2159" i="1"/>
  <c r="BK2159" i="1"/>
  <c r="BJ2159" i="1"/>
  <c r="BI2159" i="1"/>
  <c r="BH2159" i="1"/>
  <c r="AS2159" i="1"/>
  <c r="BM2159" i="1" s="1"/>
  <c r="BP2158" i="1"/>
  <c r="BO2158" i="1"/>
  <c r="BN2158" i="1"/>
  <c r="BL2158" i="1"/>
  <c r="BK2158" i="1"/>
  <c r="BJ2158" i="1"/>
  <c r="BI2158" i="1"/>
  <c r="BH2158" i="1"/>
  <c r="AS2158" i="1"/>
  <c r="BM2158" i="1" s="1"/>
  <c r="BP2157" i="1"/>
  <c r="BO2157" i="1"/>
  <c r="BN2157" i="1"/>
  <c r="BL2157" i="1"/>
  <c r="BK2157" i="1"/>
  <c r="BJ2157" i="1"/>
  <c r="BI2157" i="1"/>
  <c r="BH2157" i="1"/>
  <c r="AQ2157" i="1"/>
  <c r="BM2157" i="1" s="1"/>
  <c r="BP2156" i="1"/>
  <c r="BO2156" i="1"/>
  <c r="BN2156" i="1"/>
  <c r="BM2156" i="1"/>
  <c r="BL2156" i="1"/>
  <c r="BK2156" i="1"/>
  <c r="BJ2156" i="1"/>
  <c r="BI2156" i="1"/>
  <c r="BH2156" i="1"/>
  <c r="X2156" i="1"/>
  <c r="BP2155" i="1"/>
  <c r="BO2155" i="1"/>
  <c r="BN2155" i="1"/>
  <c r="BM2155" i="1"/>
  <c r="BL2155" i="1"/>
  <c r="BK2155" i="1"/>
  <c r="BJ2155" i="1"/>
  <c r="BI2155" i="1"/>
  <c r="BH2155" i="1"/>
  <c r="X2155" i="1"/>
  <c r="BP2154" i="1"/>
  <c r="BO2154" i="1"/>
  <c r="BN2154" i="1"/>
  <c r="BM2154" i="1"/>
  <c r="BL2154" i="1"/>
  <c r="BK2154" i="1"/>
  <c r="BJ2154" i="1"/>
  <c r="BI2154" i="1"/>
  <c r="BH2154" i="1"/>
  <c r="BP2153" i="1"/>
  <c r="BO2153" i="1"/>
  <c r="BN2153" i="1"/>
  <c r="BM2153" i="1"/>
  <c r="BL2153" i="1"/>
  <c r="BK2153" i="1"/>
  <c r="BJ2153" i="1"/>
  <c r="BI2153" i="1"/>
  <c r="BH2153" i="1"/>
  <c r="BP2152" i="1"/>
  <c r="BO2152" i="1"/>
  <c r="BN2152" i="1"/>
  <c r="BM2152" i="1"/>
  <c r="BL2152" i="1"/>
  <c r="BK2152" i="1"/>
  <c r="BJ2152" i="1"/>
  <c r="BI2152" i="1"/>
  <c r="BH2152" i="1"/>
  <c r="BP2151" i="1"/>
  <c r="BO2151" i="1"/>
  <c r="BN2151" i="1"/>
  <c r="BM2151" i="1"/>
  <c r="BL2151" i="1"/>
  <c r="BK2151" i="1"/>
  <c r="BJ2151" i="1"/>
  <c r="BI2151" i="1"/>
  <c r="BH2151" i="1"/>
  <c r="V2151" i="1"/>
  <c r="BP2150" i="1"/>
  <c r="BO2150" i="1"/>
  <c r="BN2150" i="1"/>
  <c r="BM2150" i="1"/>
  <c r="BL2150" i="1"/>
  <c r="BK2150" i="1"/>
  <c r="BJ2150" i="1"/>
  <c r="BI2150" i="1"/>
  <c r="BH2150" i="1"/>
  <c r="BP2149" i="1"/>
  <c r="BO2149" i="1"/>
  <c r="BN2149" i="1"/>
  <c r="BM2149" i="1"/>
  <c r="BL2149" i="1"/>
  <c r="BK2149" i="1"/>
  <c r="BJ2149" i="1"/>
  <c r="BI2149" i="1"/>
  <c r="BH2149" i="1"/>
  <c r="BP2148" i="1"/>
  <c r="BO2148" i="1"/>
  <c r="BN2148" i="1"/>
  <c r="BM2148" i="1"/>
  <c r="BL2148" i="1"/>
  <c r="BK2148" i="1"/>
  <c r="BJ2148" i="1"/>
  <c r="BI2148" i="1"/>
  <c r="BH2148" i="1"/>
  <c r="BP2147" i="1"/>
  <c r="BO2147" i="1"/>
  <c r="BN2147" i="1"/>
  <c r="BM2147" i="1"/>
  <c r="BL2147" i="1"/>
  <c r="BK2147" i="1"/>
  <c r="BJ2147" i="1"/>
  <c r="BI2147" i="1"/>
  <c r="BH2147" i="1"/>
  <c r="AA2147" i="1"/>
  <c r="BP2146" i="1"/>
  <c r="BO2146" i="1"/>
  <c r="BN2146" i="1"/>
  <c r="BM2146" i="1"/>
  <c r="BL2146" i="1"/>
  <c r="BK2146" i="1"/>
  <c r="BJ2146" i="1"/>
  <c r="BI2146" i="1"/>
  <c r="BH2146" i="1"/>
  <c r="AR2146" i="1"/>
  <c r="AQ2146" i="1"/>
  <c r="P2146" i="1"/>
  <c r="BP2145" i="1"/>
  <c r="BO2145" i="1"/>
  <c r="BN2145" i="1"/>
  <c r="BM2145" i="1"/>
  <c r="BL2145" i="1"/>
  <c r="BK2145" i="1"/>
  <c r="BJ2145" i="1"/>
  <c r="BI2145" i="1"/>
  <c r="BH2145" i="1"/>
  <c r="AS2145" i="1"/>
  <c r="AN2145" i="1"/>
  <c r="BP2144" i="1"/>
  <c r="BO2144" i="1"/>
  <c r="BN2144" i="1"/>
  <c r="BL2144" i="1"/>
  <c r="BK2144" i="1"/>
  <c r="BJ2144" i="1"/>
  <c r="BI2144" i="1"/>
  <c r="BH2144" i="1"/>
  <c r="AS2144" i="1"/>
  <c r="BM2144" i="1" s="1"/>
  <c r="BP2143" i="1"/>
  <c r="BO2143" i="1"/>
  <c r="BN2143" i="1"/>
  <c r="BM2143" i="1"/>
  <c r="BL2143" i="1"/>
  <c r="BK2143" i="1"/>
  <c r="BJ2143" i="1"/>
  <c r="BI2143" i="1"/>
  <c r="BH2143" i="1"/>
  <c r="X2143" i="1"/>
  <c r="BP2142" i="1"/>
  <c r="BO2142" i="1"/>
  <c r="BN2142" i="1"/>
  <c r="BM2142" i="1"/>
  <c r="BL2142" i="1"/>
  <c r="BK2142" i="1"/>
  <c r="BJ2142" i="1"/>
  <c r="BI2142" i="1"/>
  <c r="BH2142" i="1"/>
  <c r="BP2141" i="1"/>
  <c r="BO2141" i="1"/>
  <c r="BN2141" i="1"/>
  <c r="BL2141" i="1"/>
  <c r="BK2141" i="1"/>
  <c r="BJ2141" i="1"/>
  <c r="BI2141" i="1"/>
  <c r="BH2141" i="1"/>
  <c r="AR2141" i="1"/>
  <c r="AN2141" i="1"/>
  <c r="BM2141" i="1" s="1"/>
  <c r="BP2140" i="1"/>
  <c r="BO2140" i="1"/>
  <c r="BN2140" i="1"/>
  <c r="BM2140" i="1"/>
  <c r="BL2140" i="1"/>
  <c r="BK2140" i="1"/>
  <c r="BJ2140" i="1"/>
  <c r="BI2140" i="1"/>
  <c r="BH2140" i="1"/>
  <c r="BP2139" i="1"/>
  <c r="BO2139" i="1"/>
  <c r="BN2139" i="1"/>
  <c r="BM2139" i="1"/>
  <c r="BL2139" i="1"/>
  <c r="BK2139" i="1"/>
  <c r="BJ2139" i="1"/>
  <c r="BI2139" i="1"/>
  <c r="BH2139" i="1"/>
  <c r="BP2138" i="1"/>
  <c r="BN2138" i="1"/>
  <c r="BM2138" i="1"/>
  <c r="BL2138" i="1"/>
  <c r="BK2138" i="1"/>
  <c r="BJ2138" i="1"/>
  <c r="BI2138" i="1"/>
  <c r="BH2138" i="1"/>
  <c r="AY2138" i="1"/>
  <c r="BO2138" i="1" s="1"/>
  <c r="BP2137" i="1"/>
  <c r="BO2137" i="1"/>
  <c r="BN2137" i="1"/>
  <c r="BM2137" i="1"/>
  <c r="BL2137" i="1"/>
  <c r="BK2137" i="1"/>
  <c r="BJ2137" i="1"/>
  <c r="BI2137" i="1"/>
  <c r="BH2137" i="1"/>
  <c r="V2137" i="1"/>
  <c r="BP2136" i="1"/>
  <c r="BO2136" i="1"/>
  <c r="BN2136" i="1"/>
  <c r="BM2136" i="1"/>
  <c r="BL2136" i="1"/>
  <c r="BK2136" i="1"/>
  <c r="BJ2136" i="1"/>
  <c r="BI2136" i="1"/>
  <c r="BH2136" i="1"/>
  <c r="BP2135" i="1"/>
  <c r="BO2135" i="1"/>
  <c r="BN2135" i="1"/>
  <c r="BM2135" i="1"/>
  <c r="BL2135" i="1"/>
  <c r="BK2135" i="1"/>
  <c r="BJ2135" i="1"/>
  <c r="BI2135" i="1"/>
  <c r="BH2135" i="1"/>
  <c r="BP2134" i="1"/>
  <c r="BO2134" i="1"/>
  <c r="BN2134" i="1"/>
  <c r="BM2134" i="1"/>
  <c r="BL2134" i="1"/>
  <c r="BK2134" i="1"/>
  <c r="BJ2134" i="1"/>
  <c r="BI2134" i="1"/>
  <c r="BH2134" i="1"/>
  <c r="BP2133" i="1"/>
  <c r="BO2133" i="1"/>
  <c r="BN2133" i="1"/>
  <c r="BL2133" i="1"/>
  <c r="BK2133" i="1"/>
  <c r="BJ2133" i="1"/>
  <c r="BI2133" i="1"/>
  <c r="BH2133" i="1"/>
  <c r="AP2133" i="1"/>
  <c r="BM2133" i="1" s="1"/>
  <c r="BP2132" i="1"/>
  <c r="BO2132" i="1"/>
  <c r="BN2132" i="1"/>
  <c r="BM2132" i="1"/>
  <c r="BL2132" i="1"/>
  <c r="BK2132" i="1"/>
  <c r="BJ2132" i="1"/>
  <c r="BI2132" i="1"/>
  <c r="BH2132" i="1"/>
  <c r="BP2131" i="1"/>
  <c r="BN2131" i="1"/>
  <c r="BM2131" i="1"/>
  <c r="BL2131" i="1"/>
  <c r="BK2131" i="1"/>
  <c r="BJ2131" i="1"/>
  <c r="BI2131" i="1"/>
  <c r="BH2131" i="1"/>
  <c r="AY2131" i="1"/>
  <c r="BO2131" i="1" s="1"/>
  <c r="BP2130" i="1"/>
  <c r="BO2130" i="1"/>
  <c r="BN2130" i="1"/>
  <c r="BM2130" i="1"/>
  <c r="BL2130" i="1"/>
  <c r="BK2130" i="1"/>
  <c r="BJ2130" i="1"/>
  <c r="BI2130" i="1"/>
  <c r="AQ2130" i="1"/>
  <c r="AA2130" i="1"/>
  <c r="L2130" i="1"/>
  <c r="BH2130" i="1" s="1"/>
  <c r="BP2129" i="1"/>
  <c r="BO2129" i="1"/>
  <c r="BN2129" i="1"/>
  <c r="BM2129" i="1"/>
  <c r="BL2129" i="1"/>
  <c r="BK2129" i="1"/>
  <c r="BJ2129" i="1"/>
  <c r="BI2129" i="1"/>
  <c r="BH2129" i="1"/>
  <c r="BP2128" i="1"/>
  <c r="BO2128" i="1"/>
  <c r="BN2128" i="1"/>
  <c r="BM2128" i="1"/>
  <c r="BL2128" i="1"/>
  <c r="BK2128" i="1"/>
  <c r="BJ2128" i="1"/>
  <c r="BI2128" i="1"/>
  <c r="BH2128" i="1"/>
  <c r="BP2127" i="1"/>
  <c r="BO2127" i="1"/>
  <c r="BL2127" i="1"/>
  <c r="BJ2127" i="1"/>
  <c r="BI2127" i="1"/>
  <c r="BH2127" i="1"/>
  <c r="BG2127" i="1"/>
  <c r="AU2127" i="1"/>
  <c r="BN2127" i="1" s="1"/>
  <c r="AR2127" i="1"/>
  <c r="AH2127" i="1"/>
  <c r="BM2127" i="1" s="1"/>
  <c r="W2127" i="1"/>
  <c r="BK2127" i="1" s="1"/>
  <c r="N2127" i="1"/>
  <c r="K2127" i="1"/>
  <c r="I2127" i="1"/>
  <c r="F2127" i="1"/>
  <c r="BP2126" i="1"/>
  <c r="BO2126" i="1"/>
  <c r="BN2126" i="1"/>
  <c r="BM2126" i="1"/>
  <c r="BL2126" i="1"/>
  <c r="BK2126" i="1"/>
  <c r="BJ2126" i="1"/>
  <c r="BI2126" i="1"/>
  <c r="BH2126" i="1"/>
  <c r="AR2126" i="1"/>
  <c r="AN2126" i="1"/>
  <c r="BP2125" i="1"/>
  <c r="BO2125" i="1"/>
  <c r="BN2125" i="1"/>
  <c r="BM2125" i="1"/>
  <c r="BL2125" i="1"/>
  <c r="BK2125" i="1"/>
  <c r="BJ2125" i="1"/>
  <c r="BI2125" i="1"/>
  <c r="BH2125" i="1"/>
  <c r="AS2125" i="1"/>
  <c r="BP2124" i="1"/>
  <c r="BO2124" i="1"/>
  <c r="BN2124" i="1"/>
  <c r="BL2124" i="1"/>
  <c r="BK2124" i="1"/>
  <c r="BJ2124" i="1"/>
  <c r="BI2124" i="1"/>
  <c r="BH2124" i="1"/>
  <c r="AS2124" i="1"/>
  <c r="BM2124" i="1" s="1"/>
  <c r="BP2123" i="1"/>
  <c r="BO2123" i="1"/>
  <c r="BN2123" i="1"/>
  <c r="BL2123" i="1"/>
  <c r="BK2123" i="1"/>
  <c r="BJ2123" i="1"/>
  <c r="BI2123" i="1"/>
  <c r="BH2123" i="1"/>
  <c r="AR2123" i="1"/>
  <c r="AN2123" i="1"/>
  <c r="AI2123" i="1"/>
  <c r="BP2122" i="1"/>
  <c r="BO2122" i="1"/>
  <c r="BN2122" i="1"/>
  <c r="BL2122" i="1"/>
  <c r="BK2122" i="1"/>
  <c r="BJ2122" i="1"/>
  <c r="BI2122" i="1"/>
  <c r="BH2122" i="1"/>
  <c r="AR2122" i="1"/>
  <c r="AN2122" i="1"/>
  <c r="BM2122" i="1" s="1"/>
  <c r="BP2121" i="1"/>
  <c r="BO2121" i="1"/>
  <c r="BN2121" i="1"/>
  <c r="BL2121" i="1"/>
  <c r="BK2121" i="1"/>
  <c r="BJ2121" i="1"/>
  <c r="BI2121" i="1"/>
  <c r="BH2121" i="1"/>
  <c r="AQ2121" i="1"/>
  <c r="BM2121" i="1" s="1"/>
  <c r="BP2120" i="1"/>
  <c r="BO2120" i="1"/>
  <c r="BN2120" i="1"/>
  <c r="BM2120" i="1"/>
  <c r="BL2120" i="1"/>
  <c r="BK2120" i="1"/>
  <c r="BJ2120" i="1"/>
  <c r="BI2120" i="1"/>
  <c r="BH2120" i="1"/>
  <c r="BP2119" i="1"/>
  <c r="BO2119" i="1"/>
  <c r="BN2119" i="1"/>
  <c r="BM2119" i="1"/>
  <c r="BL2119" i="1"/>
  <c r="BK2119" i="1"/>
  <c r="BJ2119" i="1"/>
  <c r="BI2119" i="1"/>
  <c r="BH2119" i="1"/>
  <c r="BP2118" i="1"/>
  <c r="BO2118" i="1"/>
  <c r="BN2118" i="1"/>
  <c r="BM2118" i="1"/>
  <c r="BL2118" i="1"/>
  <c r="BK2118" i="1"/>
  <c r="BJ2118" i="1"/>
  <c r="BI2118" i="1"/>
  <c r="BH2118" i="1"/>
  <c r="BP2117" i="1"/>
  <c r="BO2117" i="1"/>
  <c r="BN2117" i="1"/>
  <c r="BL2117" i="1"/>
  <c r="BK2117" i="1"/>
  <c r="BJ2117" i="1"/>
  <c r="BI2117" i="1"/>
  <c r="BH2117" i="1"/>
  <c r="AQ2117" i="1"/>
  <c r="BM2117" i="1" s="1"/>
  <c r="BP2116" i="1"/>
  <c r="BO2116" i="1"/>
  <c r="BN2116" i="1"/>
  <c r="BM2116" i="1"/>
  <c r="BK2116" i="1"/>
  <c r="BJ2116" i="1"/>
  <c r="BI2116" i="1"/>
  <c r="BH2116" i="1"/>
  <c r="AA2116" i="1"/>
  <c r="BL2116" i="1" s="1"/>
  <c r="BP2115" i="1"/>
  <c r="BO2115" i="1"/>
  <c r="BN2115" i="1"/>
  <c r="BL2115" i="1"/>
  <c r="BK2115" i="1"/>
  <c r="BJ2115" i="1"/>
  <c r="BI2115" i="1"/>
  <c r="BH2115" i="1"/>
  <c r="AR2115" i="1"/>
  <c r="BM2115" i="1" s="1"/>
  <c r="AN2115" i="1"/>
  <c r="BP2114" i="1"/>
  <c r="BO2114" i="1"/>
  <c r="BN2114" i="1"/>
  <c r="BL2114" i="1"/>
  <c r="BK2114" i="1"/>
  <c r="BJ2114" i="1"/>
  <c r="BI2114" i="1"/>
  <c r="BH2114" i="1"/>
  <c r="AR2114" i="1"/>
  <c r="AN2114" i="1"/>
  <c r="BM2114" i="1" s="1"/>
  <c r="BP2113" i="1"/>
  <c r="BO2113" i="1"/>
  <c r="BN2113" i="1"/>
  <c r="BL2113" i="1"/>
  <c r="BK2113" i="1"/>
  <c r="BJ2113" i="1"/>
  <c r="BI2113" i="1"/>
  <c r="BH2113" i="1"/>
  <c r="AR2113" i="1"/>
  <c r="AN2113" i="1"/>
  <c r="BM2113" i="1" s="1"/>
  <c r="BP2112" i="1"/>
  <c r="BO2112" i="1"/>
  <c r="BN2112" i="1"/>
  <c r="BM2112" i="1"/>
  <c r="BL2112" i="1"/>
  <c r="BK2112" i="1"/>
  <c r="BJ2112" i="1"/>
  <c r="BI2112" i="1"/>
  <c r="BH2112" i="1"/>
  <c r="AP2112" i="1"/>
  <c r="BP2111" i="1"/>
  <c r="BO2111" i="1"/>
  <c r="BN2111" i="1"/>
  <c r="BM2111" i="1"/>
  <c r="BL2111" i="1"/>
  <c r="BK2111" i="1"/>
  <c r="BJ2111" i="1"/>
  <c r="BI2111" i="1"/>
  <c r="BH2111" i="1"/>
  <c r="BP2110" i="1"/>
  <c r="BO2110" i="1"/>
  <c r="BN2110" i="1"/>
  <c r="BM2110" i="1"/>
  <c r="BL2110" i="1"/>
  <c r="BK2110" i="1"/>
  <c r="BJ2110" i="1"/>
  <c r="BI2110" i="1"/>
  <c r="BH2110" i="1"/>
  <c r="AY2110" i="1"/>
  <c r="BP2109" i="1"/>
  <c r="BO2109" i="1"/>
  <c r="BN2109" i="1"/>
  <c r="BM2109" i="1"/>
  <c r="BL2109" i="1"/>
  <c r="BK2109" i="1"/>
  <c r="BJ2109" i="1"/>
  <c r="BI2109" i="1"/>
  <c r="BH2109" i="1"/>
  <c r="BP2108" i="1"/>
  <c r="BO2108" i="1"/>
  <c r="BN2108" i="1"/>
  <c r="BM2108" i="1"/>
  <c r="BL2108" i="1"/>
  <c r="BK2108" i="1"/>
  <c r="BJ2108" i="1"/>
  <c r="BI2108" i="1"/>
  <c r="BH2108" i="1"/>
  <c r="BP2107" i="1"/>
  <c r="BN2107" i="1"/>
  <c r="BM2107" i="1"/>
  <c r="BL2107" i="1"/>
  <c r="BK2107" i="1"/>
  <c r="BJ2107" i="1"/>
  <c r="BI2107" i="1"/>
  <c r="BH2107" i="1"/>
  <c r="BE2107" i="1"/>
  <c r="BO2107" i="1" s="1"/>
  <c r="BP2106" i="1"/>
  <c r="BO2106" i="1"/>
  <c r="BN2106" i="1"/>
  <c r="BM2106" i="1"/>
  <c r="BL2106" i="1"/>
  <c r="BK2106" i="1"/>
  <c r="BJ2106" i="1"/>
  <c r="BI2106" i="1"/>
  <c r="BH2106" i="1"/>
  <c r="BP2105" i="1"/>
  <c r="BO2105" i="1"/>
  <c r="BN2105" i="1"/>
  <c r="BL2105" i="1"/>
  <c r="BK2105" i="1"/>
  <c r="BJ2105" i="1"/>
  <c r="BI2105" i="1"/>
  <c r="BH2105" i="1"/>
  <c r="AQ2105" i="1"/>
  <c r="BM2105" i="1" s="1"/>
  <c r="BP2104" i="1"/>
  <c r="BO2104" i="1"/>
  <c r="BN2104" i="1"/>
  <c r="BM2104" i="1"/>
  <c r="BL2104" i="1"/>
  <c r="BK2104" i="1"/>
  <c r="BJ2104" i="1"/>
  <c r="BI2104" i="1"/>
  <c r="BH2104" i="1"/>
  <c r="BP2103" i="1"/>
  <c r="BO2103" i="1"/>
  <c r="BN2103" i="1"/>
  <c r="BM2103" i="1"/>
  <c r="BL2103" i="1"/>
  <c r="BK2103" i="1"/>
  <c r="BJ2103" i="1"/>
  <c r="BI2103" i="1"/>
  <c r="BH2103" i="1"/>
  <c r="AY2103" i="1"/>
  <c r="BP2102" i="1"/>
  <c r="BO2102" i="1"/>
  <c r="BN2102" i="1"/>
  <c r="BL2102" i="1"/>
  <c r="BK2102" i="1"/>
  <c r="BJ2102" i="1"/>
  <c r="BI2102" i="1"/>
  <c r="BH2102" i="1"/>
  <c r="AS2102" i="1"/>
  <c r="BM2102" i="1" s="1"/>
  <c r="AR2102" i="1"/>
  <c r="AQ2102" i="1"/>
  <c r="BP2101" i="1"/>
  <c r="BO2101" i="1"/>
  <c r="BN2101" i="1"/>
  <c r="BL2101" i="1"/>
  <c r="BK2101" i="1"/>
  <c r="BJ2101" i="1"/>
  <c r="BI2101" i="1"/>
  <c r="BH2101" i="1"/>
  <c r="AS2101" i="1"/>
  <c r="BM2101" i="1" s="1"/>
  <c r="AN2101" i="1"/>
  <c r="BP2100" i="1"/>
  <c r="BO2100" i="1"/>
  <c r="BN2100" i="1"/>
  <c r="BM2100" i="1"/>
  <c r="BL2100" i="1"/>
  <c r="BK2100" i="1"/>
  <c r="BJ2100" i="1"/>
  <c r="BI2100" i="1"/>
  <c r="BH2100" i="1"/>
  <c r="AS2100" i="1"/>
  <c r="BP2099" i="1"/>
  <c r="BO2099" i="1"/>
  <c r="BN2099" i="1"/>
  <c r="BM2099" i="1"/>
  <c r="BL2099" i="1"/>
  <c r="BK2099" i="1"/>
  <c r="BJ2099" i="1"/>
  <c r="BI2099" i="1"/>
  <c r="BH2099" i="1"/>
  <c r="AS2099" i="1"/>
  <c r="BP2098" i="1"/>
  <c r="BO2098" i="1"/>
  <c r="BN2098" i="1"/>
  <c r="BM2098" i="1"/>
  <c r="BL2098" i="1"/>
  <c r="BK2098" i="1"/>
  <c r="BJ2098" i="1"/>
  <c r="BI2098" i="1"/>
  <c r="BH2098" i="1"/>
  <c r="BP2097" i="1"/>
  <c r="BO2097" i="1"/>
  <c r="BN2097" i="1"/>
  <c r="BM2097" i="1"/>
  <c r="BL2097" i="1"/>
  <c r="BK2097" i="1"/>
  <c r="BJ2097" i="1"/>
  <c r="BI2097" i="1"/>
  <c r="BH2097" i="1"/>
  <c r="BP2096" i="1"/>
  <c r="BO2096" i="1"/>
  <c r="BN2096" i="1"/>
  <c r="BM2096" i="1"/>
  <c r="BL2096" i="1"/>
  <c r="BK2096" i="1"/>
  <c r="BJ2096" i="1"/>
  <c r="BI2096" i="1"/>
  <c r="BH2096" i="1"/>
  <c r="BP2095" i="1"/>
  <c r="BO2095" i="1"/>
  <c r="BN2095" i="1"/>
  <c r="BM2095" i="1"/>
  <c r="BL2095" i="1"/>
  <c r="BK2095" i="1"/>
  <c r="BJ2095" i="1"/>
  <c r="BI2095" i="1"/>
  <c r="BH2095" i="1"/>
  <c r="AB2095" i="1"/>
  <c r="BP2094" i="1"/>
  <c r="BO2094" i="1"/>
  <c r="BN2094" i="1"/>
  <c r="BL2094" i="1"/>
  <c r="BK2094" i="1"/>
  <c r="BJ2094" i="1"/>
  <c r="BI2094" i="1"/>
  <c r="BH2094" i="1"/>
  <c r="AS2094" i="1"/>
  <c r="AN2094" i="1"/>
  <c r="BM2094" i="1" s="1"/>
  <c r="BP2093" i="1"/>
  <c r="BO2093" i="1"/>
  <c r="BN2093" i="1"/>
  <c r="BL2093" i="1"/>
  <c r="BK2093" i="1"/>
  <c r="BJ2093" i="1"/>
  <c r="BI2093" i="1"/>
  <c r="BH2093" i="1"/>
  <c r="AS2093" i="1"/>
  <c r="AN2093" i="1"/>
  <c r="BP2092" i="1"/>
  <c r="BO2092" i="1"/>
  <c r="BN2092" i="1"/>
  <c r="BL2092" i="1"/>
  <c r="BK2092" i="1"/>
  <c r="BJ2092" i="1"/>
  <c r="BI2092" i="1"/>
  <c r="BH2092" i="1"/>
  <c r="AQ2092" i="1"/>
  <c r="AB2092" i="1"/>
  <c r="BM2092" i="1" s="1"/>
  <c r="BP2091" i="1"/>
  <c r="BO2091" i="1"/>
  <c r="BN2091" i="1"/>
  <c r="BL2091" i="1"/>
  <c r="BK2091" i="1"/>
  <c r="BJ2091" i="1"/>
  <c r="BI2091" i="1"/>
  <c r="BH2091" i="1"/>
  <c r="AQ2091" i="1"/>
  <c r="BM2091" i="1" s="1"/>
  <c r="BP2090" i="1"/>
  <c r="BO2090" i="1"/>
  <c r="BN2090" i="1"/>
  <c r="BM2090" i="1"/>
  <c r="BL2090" i="1"/>
  <c r="BJ2090" i="1"/>
  <c r="BI2090" i="1"/>
  <c r="BH2090" i="1"/>
  <c r="X2090" i="1"/>
  <c r="BK2090" i="1" s="1"/>
  <c r="BP2089" i="1"/>
  <c r="BO2089" i="1"/>
  <c r="BN2089" i="1"/>
  <c r="BM2089" i="1"/>
  <c r="BL2089" i="1"/>
  <c r="BK2089" i="1"/>
  <c r="BJ2089" i="1"/>
  <c r="BI2089" i="1"/>
  <c r="BH2089" i="1"/>
  <c r="X2089" i="1"/>
  <c r="BP2088" i="1"/>
  <c r="BO2088" i="1"/>
  <c r="BN2088" i="1"/>
  <c r="BM2088" i="1"/>
  <c r="BL2088" i="1"/>
  <c r="BK2088" i="1"/>
  <c r="BJ2088" i="1"/>
  <c r="BI2088" i="1"/>
  <c r="BH2088" i="1"/>
  <c r="X2088" i="1"/>
  <c r="BP2087" i="1"/>
  <c r="BO2087" i="1"/>
  <c r="BN2087" i="1"/>
  <c r="BM2087" i="1"/>
  <c r="BL2087" i="1"/>
  <c r="BK2087" i="1"/>
  <c r="BJ2087" i="1"/>
  <c r="BI2087" i="1"/>
  <c r="BH2087" i="1"/>
  <c r="X2087" i="1"/>
  <c r="BP2086" i="1"/>
  <c r="BO2086" i="1"/>
  <c r="BN2086" i="1"/>
  <c r="BM2086" i="1"/>
  <c r="BL2086" i="1"/>
  <c r="BK2086" i="1"/>
  <c r="BJ2086" i="1"/>
  <c r="BI2086" i="1"/>
  <c r="BH2086" i="1"/>
  <c r="BP2085" i="1"/>
  <c r="BO2085" i="1"/>
  <c r="BN2085" i="1"/>
  <c r="BL2085" i="1"/>
  <c r="BK2085" i="1"/>
  <c r="BJ2085" i="1"/>
  <c r="BI2085" i="1"/>
  <c r="BH2085" i="1"/>
  <c r="AR2085" i="1"/>
  <c r="AN2085" i="1"/>
  <c r="BM2085" i="1" s="1"/>
  <c r="BP2084" i="1"/>
  <c r="BO2084" i="1"/>
  <c r="BN2084" i="1"/>
  <c r="BM2084" i="1"/>
  <c r="BL2084" i="1"/>
  <c r="BJ2084" i="1"/>
  <c r="BI2084" i="1"/>
  <c r="BH2084" i="1"/>
  <c r="X2084" i="1"/>
  <c r="BK2084" i="1" s="1"/>
  <c r="BP2083" i="1"/>
  <c r="BO2083" i="1"/>
  <c r="BN2083" i="1"/>
  <c r="BM2083" i="1"/>
  <c r="BL2083" i="1"/>
  <c r="BK2083" i="1"/>
  <c r="BJ2083" i="1"/>
  <c r="BI2083" i="1"/>
  <c r="BH2083" i="1"/>
  <c r="AP2083" i="1"/>
  <c r="BP2082" i="1"/>
  <c r="BO2082" i="1"/>
  <c r="BN2082" i="1"/>
  <c r="BM2082" i="1"/>
  <c r="BL2082" i="1"/>
  <c r="BK2082" i="1"/>
  <c r="BJ2082" i="1"/>
  <c r="BI2082" i="1"/>
  <c r="BH2082" i="1"/>
  <c r="BP2081" i="1"/>
  <c r="BO2081" i="1"/>
  <c r="BN2081" i="1"/>
  <c r="BM2081" i="1"/>
  <c r="BL2081" i="1"/>
  <c r="BK2081" i="1"/>
  <c r="BJ2081" i="1"/>
  <c r="BI2081" i="1"/>
  <c r="BH2081" i="1"/>
  <c r="V2081" i="1"/>
  <c r="BP2080" i="1"/>
  <c r="BO2080" i="1"/>
  <c r="BN2080" i="1"/>
  <c r="BM2080" i="1"/>
  <c r="BL2080" i="1"/>
  <c r="BK2080" i="1"/>
  <c r="BJ2080" i="1"/>
  <c r="BI2080" i="1"/>
  <c r="BH2080" i="1"/>
  <c r="BP2079" i="1"/>
  <c r="BO2079" i="1"/>
  <c r="BL2079" i="1"/>
  <c r="BJ2079" i="1"/>
  <c r="BG2079" i="1"/>
  <c r="AU2079" i="1"/>
  <c r="BN2079" i="1" s="1"/>
  <c r="AG2079" i="1"/>
  <c r="AC2079" i="1"/>
  <c r="BM2079" i="1" s="1"/>
  <c r="U2079" i="1"/>
  <c r="BK2079" i="1" s="1"/>
  <c r="S2079" i="1"/>
  <c r="M2079" i="1"/>
  <c r="BI2079" i="1" s="1"/>
  <c r="D2079" i="1"/>
  <c r="BH2079" i="1" s="1"/>
  <c r="BP2078" i="1"/>
  <c r="BO2078" i="1"/>
  <c r="BN2078" i="1"/>
  <c r="BM2078" i="1"/>
  <c r="BL2078" i="1"/>
  <c r="BK2078" i="1"/>
  <c r="BJ2078" i="1"/>
  <c r="BI2078" i="1"/>
  <c r="BH2078" i="1"/>
  <c r="BP2077" i="1"/>
  <c r="BO2077" i="1"/>
  <c r="BN2077" i="1"/>
  <c r="BM2077" i="1"/>
  <c r="BL2077" i="1"/>
  <c r="BJ2077" i="1"/>
  <c r="BI2077" i="1"/>
  <c r="BH2077" i="1"/>
  <c r="V2077" i="1"/>
  <c r="BK2077" i="1" s="1"/>
  <c r="BP2076" i="1"/>
  <c r="BO2076" i="1"/>
  <c r="BN2076" i="1"/>
  <c r="BM2076" i="1"/>
  <c r="BL2076" i="1"/>
  <c r="BK2076" i="1"/>
  <c r="BJ2076" i="1"/>
  <c r="BI2076" i="1"/>
  <c r="BH2076" i="1"/>
  <c r="BP2075" i="1"/>
  <c r="BO2075" i="1"/>
  <c r="BN2075" i="1"/>
  <c r="BL2075" i="1"/>
  <c r="BK2075" i="1"/>
  <c r="BI2075" i="1"/>
  <c r="BG2075" i="1"/>
  <c r="AT2075" i="1"/>
  <c r="AS2075" i="1"/>
  <c r="AN2075" i="1"/>
  <c r="AM2075" i="1"/>
  <c r="BM2075" i="1" s="1"/>
  <c r="W2075" i="1"/>
  <c r="S2075" i="1"/>
  <c r="BJ2075" i="1" s="1"/>
  <c r="N2075" i="1"/>
  <c r="I2075" i="1"/>
  <c r="D2075" i="1"/>
  <c r="BH2075" i="1" s="1"/>
  <c r="BP2074" i="1"/>
  <c r="BO2074" i="1"/>
  <c r="BN2074" i="1"/>
  <c r="BL2074" i="1"/>
  <c r="BK2074" i="1"/>
  <c r="BJ2074" i="1"/>
  <c r="BI2074" i="1"/>
  <c r="BH2074" i="1"/>
  <c r="AS2074" i="1"/>
  <c r="BM2074" i="1" s="1"/>
  <c r="BP2073" i="1"/>
  <c r="BO2073" i="1"/>
  <c r="BN2073" i="1"/>
  <c r="BM2073" i="1"/>
  <c r="BL2073" i="1"/>
  <c r="BJ2073" i="1"/>
  <c r="BI2073" i="1"/>
  <c r="BH2073" i="1"/>
  <c r="X2073" i="1"/>
  <c r="BK2073" i="1" s="1"/>
  <c r="BP2072" i="1"/>
  <c r="BO2072" i="1"/>
  <c r="BN2072" i="1"/>
  <c r="BM2072" i="1"/>
  <c r="BL2072" i="1"/>
  <c r="BK2072" i="1"/>
  <c r="BJ2072" i="1"/>
  <c r="BI2072" i="1"/>
  <c r="BH2072" i="1"/>
  <c r="X2072" i="1"/>
  <c r="BP2071" i="1"/>
  <c r="BO2071" i="1"/>
  <c r="BN2071" i="1"/>
  <c r="BM2071" i="1"/>
  <c r="BL2071" i="1"/>
  <c r="BK2071" i="1"/>
  <c r="BJ2071" i="1"/>
  <c r="BI2071" i="1"/>
  <c r="BH2071" i="1"/>
  <c r="AP2071" i="1"/>
  <c r="BP2070" i="1"/>
  <c r="BO2070" i="1"/>
  <c r="BN2070" i="1"/>
  <c r="BM2070" i="1"/>
  <c r="BL2070" i="1"/>
  <c r="BK2070" i="1"/>
  <c r="BJ2070" i="1"/>
  <c r="BI2070" i="1"/>
  <c r="BH2070" i="1"/>
  <c r="BP2069" i="1"/>
  <c r="BN2069" i="1"/>
  <c r="BM2069" i="1"/>
  <c r="BL2069" i="1"/>
  <c r="BK2069" i="1"/>
  <c r="BJ2069" i="1"/>
  <c r="BI2069" i="1"/>
  <c r="BH2069" i="1"/>
  <c r="AY2069" i="1"/>
  <c r="BO2069" i="1" s="1"/>
  <c r="BP2068" i="1"/>
  <c r="BO2068" i="1"/>
  <c r="BN2068" i="1"/>
  <c r="BM2068" i="1"/>
  <c r="BL2068" i="1"/>
  <c r="BK2068" i="1"/>
  <c r="BJ2068" i="1"/>
  <c r="BI2068" i="1"/>
  <c r="BH2068" i="1"/>
  <c r="BP2067" i="1"/>
  <c r="BO2067" i="1"/>
  <c r="BN2067" i="1"/>
  <c r="BL2067" i="1"/>
  <c r="BK2067" i="1"/>
  <c r="BJ2067" i="1"/>
  <c r="BG2067" i="1"/>
  <c r="AU2067" i="1"/>
  <c r="AG2067" i="1"/>
  <c r="AC2067" i="1"/>
  <c r="BM2067" i="1" s="1"/>
  <c r="U2067" i="1"/>
  <c r="S2067" i="1"/>
  <c r="M2067" i="1"/>
  <c r="BI2067" i="1" s="1"/>
  <c r="D2067" i="1"/>
  <c r="BH2067" i="1" s="1"/>
  <c r="BP2066" i="1"/>
  <c r="BO2066" i="1"/>
  <c r="BN2066" i="1"/>
  <c r="BM2066" i="1"/>
  <c r="BL2066" i="1"/>
  <c r="BK2066" i="1"/>
  <c r="BJ2066" i="1"/>
  <c r="BI2066" i="1"/>
  <c r="BH2066" i="1"/>
  <c r="BP2065" i="1"/>
  <c r="BO2065" i="1"/>
  <c r="BN2065" i="1"/>
  <c r="BM2065" i="1"/>
  <c r="BL2065" i="1"/>
  <c r="BK2065" i="1"/>
  <c r="BJ2065" i="1"/>
  <c r="BI2065" i="1"/>
  <c r="BH2065" i="1"/>
  <c r="BP2064" i="1"/>
  <c r="BO2064" i="1"/>
  <c r="BN2064" i="1"/>
  <c r="BM2064" i="1"/>
  <c r="BL2064" i="1"/>
  <c r="BK2064" i="1"/>
  <c r="BJ2064" i="1"/>
  <c r="BI2064" i="1"/>
  <c r="BH2064" i="1"/>
  <c r="BP2063" i="1"/>
  <c r="BO2063" i="1"/>
  <c r="BN2063" i="1"/>
  <c r="BM2063" i="1"/>
  <c r="BL2063" i="1"/>
  <c r="BK2063" i="1"/>
  <c r="BJ2063" i="1"/>
  <c r="BI2063" i="1"/>
  <c r="BH2063" i="1"/>
  <c r="BP2062" i="1"/>
  <c r="BO2062" i="1"/>
  <c r="BN2062" i="1"/>
  <c r="BM2062" i="1"/>
  <c r="BL2062" i="1"/>
  <c r="BK2062" i="1"/>
  <c r="BJ2062" i="1"/>
  <c r="BI2062" i="1"/>
  <c r="BH2062" i="1"/>
  <c r="BP2061" i="1"/>
  <c r="BO2061" i="1"/>
  <c r="BN2061" i="1"/>
  <c r="BL2061" i="1"/>
  <c r="BK2061" i="1"/>
  <c r="BJ2061" i="1"/>
  <c r="BI2061" i="1"/>
  <c r="BH2061" i="1"/>
  <c r="AR2061" i="1"/>
  <c r="AN2061" i="1"/>
  <c r="BM2061" i="1" s="1"/>
  <c r="BP2060" i="1"/>
  <c r="BO2060" i="1"/>
  <c r="BN2060" i="1"/>
  <c r="BM2060" i="1"/>
  <c r="BL2060" i="1"/>
  <c r="BK2060" i="1"/>
  <c r="BJ2060" i="1"/>
  <c r="BI2060" i="1"/>
  <c r="BH2060" i="1"/>
  <c r="AP2060" i="1"/>
  <c r="BP2059" i="1"/>
  <c r="BO2059" i="1"/>
  <c r="BN2059" i="1"/>
  <c r="BM2059" i="1"/>
  <c r="BL2059" i="1"/>
  <c r="BK2059" i="1"/>
  <c r="BJ2059" i="1"/>
  <c r="BI2059" i="1"/>
  <c r="BH2059" i="1"/>
  <c r="BP2058" i="1"/>
  <c r="BO2058" i="1"/>
  <c r="BN2058" i="1"/>
  <c r="BM2058" i="1"/>
  <c r="BL2058" i="1"/>
  <c r="BK2058" i="1"/>
  <c r="BJ2058" i="1"/>
  <c r="BI2058" i="1"/>
  <c r="BH2058" i="1"/>
  <c r="BP2057" i="1"/>
  <c r="BO2057" i="1"/>
  <c r="BN2057" i="1"/>
  <c r="BM2057" i="1"/>
  <c r="BL2057" i="1"/>
  <c r="BJ2057" i="1"/>
  <c r="BI2057" i="1"/>
  <c r="BH2057" i="1"/>
  <c r="X2057" i="1"/>
  <c r="BK2057" i="1" s="1"/>
  <c r="BP2056" i="1"/>
  <c r="BO2056" i="1"/>
  <c r="BN2056" i="1"/>
  <c r="BM2056" i="1"/>
  <c r="BL2056" i="1"/>
  <c r="BJ2056" i="1"/>
  <c r="BI2056" i="1"/>
  <c r="BH2056" i="1"/>
  <c r="X2056" i="1"/>
  <c r="BK2056" i="1" s="1"/>
  <c r="BP2055" i="1"/>
  <c r="BO2055" i="1"/>
  <c r="BN2055" i="1"/>
  <c r="BM2055" i="1"/>
  <c r="BL2055" i="1"/>
  <c r="BK2055" i="1"/>
  <c r="BJ2055" i="1"/>
  <c r="BI2055" i="1"/>
  <c r="BH2055" i="1"/>
  <c r="AQ2055" i="1"/>
  <c r="AB2055" i="1"/>
  <c r="BP2054" i="1"/>
  <c r="BO2054" i="1"/>
  <c r="BN2054" i="1"/>
  <c r="BM2054" i="1"/>
  <c r="BK2054" i="1"/>
  <c r="BJ2054" i="1"/>
  <c r="BI2054" i="1"/>
  <c r="BH2054" i="1"/>
  <c r="AA2054" i="1"/>
  <c r="BL2054" i="1" s="1"/>
  <c r="BP2053" i="1"/>
  <c r="BO2053" i="1"/>
  <c r="BN2053" i="1"/>
  <c r="BM2053" i="1"/>
  <c r="BL2053" i="1"/>
  <c r="BK2053" i="1"/>
  <c r="BJ2053" i="1"/>
  <c r="BI2053" i="1"/>
  <c r="BH2053" i="1"/>
  <c r="AS2053" i="1"/>
  <c r="AN2053" i="1"/>
  <c r="BP2052" i="1"/>
  <c r="BO2052" i="1"/>
  <c r="BN2052" i="1"/>
  <c r="BM2052" i="1"/>
  <c r="BL2052" i="1"/>
  <c r="BK2052" i="1"/>
  <c r="BJ2052" i="1"/>
  <c r="BI2052" i="1"/>
  <c r="BH2052" i="1"/>
  <c r="AR2052" i="1"/>
  <c r="AN2052" i="1"/>
  <c r="BP2051" i="1"/>
  <c r="BO2051" i="1"/>
  <c r="BN2051" i="1"/>
  <c r="BL2051" i="1"/>
  <c r="BK2051" i="1"/>
  <c r="BJ2051" i="1"/>
  <c r="BI2051" i="1"/>
  <c r="BH2051" i="1"/>
  <c r="AR2051" i="1"/>
  <c r="AN2051" i="1"/>
  <c r="BM2051" i="1" s="1"/>
  <c r="BP2050" i="1"/>
  <c r="BO2050" i="1"/>
  <c r="BN2050" i="1"/>
  <c r="BM2050" i="1"/>
  <c r="BL2050" i="1"/>
  <c r="BK2050" i="1"/>
  <c r="BJ2050" i="1"/>
  <c r="BI2050" i="1"/>
  <c r="BH2050" i="1"/>
  <c r="BP2049" i="1"/>
  <c r="BO2049" i="1"/>
  <c r="BN2049" i="1"/>
  <c r="BL2049" i="1"/>
  <c r="BK2049" i="1"/>
  <c r="BJ2049" i="1"/>
  <c r="BI2049" i="1"/>
  <c r="BH2049" i="1"/>
  <c r="AP2049" i="1"/>
  <c r="BM2049" i="1" s="1"/>
  <c r="BP2048" i="1"/>
  <c r="BO2048" i="1"/>
  <c r="BN2048" i="1"/>
  <c r="BM2048" i="1"/>
  <c r="BL2048" i="1"/>
  <c r="BK2048" i="1"/>
  <c r="BJ2048" i="1"/>
  <c r="BI2048" i="1"/>
  <c r="BH2048" i="1"/>
  <c r="BP2047" i="1"/>
  <c r="BO2047" i="1"/>
  <c r="BN2047" i="1"/>
  <c r="BM2047" i="1"/>
  <c r="BL2047" i="1"/>
  <c r="BK2047" i="1"/>
  <c r="BJ2047" i="1"/>
  <c r="BI2047" i="1"/>
  <c r="BH2047" i="1"/>
  <c r="AY2047" i="1"/>
  <c r="BP2046" i="1"/>
  <c r="BO2046" i="1"/>
  <c r="BN2046" i="1"/>
  <c r="BM2046" i="1"/>
  <c r="BL2046" i="1"/>
  <c r="BK2046" i="1"/>
  <c r="BJ2046" i="1"/>
  <c r="BI2046" i="1"/>
  <c r="BH2046" i="1"/>
  <c r="BP2045" i="1"/>
  <c r="BO2045" i="1"/>
  <c r="BN2045" i="1"/>
  <c r="BM2045" i="1"/>
  <c r="BL2045" i="1"/>
  <c r="BK2045" i="1"/>
  <c r="BJ2045" i="1"/>
  <c r="BI2045" i="1"/>
  <c r="BH2045" i="1"/>
  <c r="AB2045" i="1"/>
  <c r="BP2044" i="1"/>
  <c r="BO2044" i="1"/>
  <c r="BL2044" i="1"/>
  <c r="BK2044" i="1"/>
  <c r="BJ2044" i="1"/>
  <c r="BI2044" i="1"/>
  <c r="BH2044" i="1"/>
  <c r="BG2044" i="1"/>
  <c r="AU2044" i="1"/>
  <c r="BN2044" i="1" s="1"/>
  <c r="AG2044" i="1"/>
  <c r="AC2044" i="1"/>
  <c r="BM2044" i="1" s="1"/>
  <c r="U2044" i="1"/>
  <c r="S2044" i="1"/>
  <c r="M2044" i="1"/>
  <c r="D2044" i="1"/>
  <c r="BP2043" i="1"/>
  <c r="BO2043" i="1"/>
  <c r="BN2043" i="1"/>
  <c r="BL2043" i="1"/>
  <c r="BK2043" i="1"/>
  <c r="BJ2043" i="1"/>
  <c r="BI2043" i="1"/>
  <c r="BH2043" i="1"/>
  <c r="AQ2043" i="1"/>
  <c r="BM2043" i="1" s="1"/>
  <c r="BP2042" i="1"/>
  <c r="BO2042" i="1"/>
  <c r="BN2042" i="1"/>
  <c r="BM2042" i="1"/>
  <c r="BL2042" i="1"/>
  <c r="BK2042" i="1"/>
  <c r="BJ2042" i="1"/>
  <c r="BI2042" i="1"/>
  <c r="BH2042" i="1"/>
  <c r="BP2041" i="1"/>
  <c r="BO2041" i="1"/>
  <c r="BN2041" i="1"/>
  <c r="BM2041" i="1"/>
  <c r="BL2041" i="1"/>
  <c r="BK2041" i="1"/>
  <c r="BJ2041" i="1"/>
  <c r="BI2041" i="1"/>
  <c r="BH2041" i="1"/>
  <c r="BP2040" i="1"/>
  <c r="BN2040" i="1"/>
  <c r="BM2040" i="1"/>
  <c r="BL2040" i="1"/>
  <c r="BK2040" i="1"/>
  <c r="BJ2040" i="1"/>
  <c r="BI2040" i="1"/>
  <c r="BH2040" i="1"/>
  <c r="AY2040" i="1"/>
  <c r="BO2040" i="1" s="1"/>
  <c r="BP2039" i="1"/>
  <c r="BO2039" i="1"/>
  <c r="BN2039" i="1"/>
  <c r="BM2039" i="1"/>
  <c r="BL2039" i="1"/>
  <c r="BK2039" i="1"/>
  <c r="BJ2039" i="1"/>
  <c r="BI2039" i="1"/>
  <c r="BH2039" i="1"/>
  <c r="AQ2039" i="1"/>
  <c r="BP2038" i="1"/>
  <c r="BO2038" i="1"/>
  <c r="BN2038" i="1"/>
  <c r="BL2038" i="1"/>
  <c r="BK2038" i="1"/>
  <c r="BJ2038" i="1"/>
  <c r="BI2038" i="1"/>
  <c r="BH2038" i="1"/>
  <c r="AS2038" i="1"/>
  <c r="BM2038" i="1" s="1"/>
  <c r="AN2038" i="1"/>
  <c r="BP2037" i="1"/>
  <c r="BO2037" i="1"/>
  <c r="BN2037" i="1"/>
  <c r="BM2037" i="1"/>
  <c r="BL2037" i="1"/>
  <c r="BK2037" i="1"/>
  <c r="BJ2037" i="1"/>
  <c r="BI2037" i="1"/>
  <c r="BH2037" i="1"/>
  <c r="AS2037" i="1"/>
  <c r="AN2037" i="1"/>
  <c r="BP2036" i="1"/>
  <c r="BO2036" i="1"/>
  <c r="BN2036" i="1"/>
  <c r="BL2036" i="1"/>
  <c r="BK2036" i="1"/>
  <c r="BJ2036" i="1"/>
  <c r="BI2036" i="1"/>
  <c r="BH2036" i="1"/>
  <c r="AS2036" i="1"/>
  <c r="BM2036" i="1" s="1"/>
  <c r="BP2035" i="1"/>
  <c r="BO2035" i="1"/>
  <c r="BN2035" i="1"/>
  <c r="BL2035" i="1"/>
  <c r="BK2035" i="1"/>
  <c r="BJ2035" i="1"/>
  <c r="BI2035" i="1"/>
  <c r="BH2035" i="1"/>
  <c r="AR2035" i="1"/>
  <c r="AN2035" i="1"/>
  <c r="BM2035" i="1" s="1"/>
  <c r="BP2034" i="1"/>
  <c r="BO2034" i="1"/>
  <c r="BN2034" i="1"/>
  <c r="BL2034" i="1"/>
  <c r="BK2034" i="1"/>
  <c r="BJ2034" i="1"/>
  <c r="BI2034" i="1"/>
  <c r="BH2034" i="1"/>
  <c r="AP2034" i="1"/>
  <c r="BM2034" i="1" s="1"/>
  <c r="BP2033" i="1"/>
  <c r="BO2033" i="1"/>
  <c r="BN2033" i="1"/>
  <c r="BM2033" i="1"/>
  <c r="BL2033" i="1"/>
  <c r="BK2033" i="1"/>
  <c r="BJ2033" i="1"/>
  <c r="BI2033" i="1"/>
  <c r="BH2033" i="1"/>
  <c r="BP2032" i="1"/>
  <c r="BO2032" i="1"/>
  <c r="BN2032" i="1"/>
  <c r="BM2032" i="1"/>
  <c r="BL2032" i="1"/>
  <c r="BK2032" i="1"/>
  <c r="BJ2032" i="1"/>
  <c r="BI2032" i="1"/>
  <c r="BH2032" i="1"/>
  <c r="BP2031" i="1"/>
  <c r="BO2031" i="1"/>
  <c r="BN2031" i="1"/>
  <c r="BM2031" i="1"/>
  <c r="BL2031" i="1"/>
  <c r="BK2031" i="1"/>
  <c r="BJ2031" i="1"/>
  <c r="BI2031" i="1"/>
  <c r="BH2031" i="1"/>
  <c r="V2031" i="1"/>
  <c r="BP2030" i="1"/>
  <c r="BO2030" i="1"/>
  <c r="BN2030" i="1"/>
  <c r="BM2030" i="1"/>
  <c r="BL2030" i="1"/>
  <c r="BK2030" i="1"/>
  <c r="BJ2030" i="1"/>
  <c r="BI2030" i="1"/>
  <c r="BH2030" i="1"/>
  <c r="BP2029" i="1"/>
  <c r="BO2029" i="1"/>
  <c r="BN2029" i="1"/>
  <c r="BM2029" i="1"/>
  <c r="BL2029" i="1"/>
  <c r="BK2029" i="1"/>
  <c r="BJ2029" i="1"/>
  <c r="BI2029" i="1"/>
  <c r="BH2029" i="1"/>
  <c r="AS2029" i="1"/>
  <c r="BP2028" i="1"/>
  <c r="BO2028" i="1"/>
  <c r="BN2028" i="1"/>
  <c r="BM2028" i="1"/>
  <c r="BL2028" i="1"/>
  <c r="BK2028" i="1"/>
  <c r="BJ2028" i="1"/>
  <c r="BI2028" i="1"/>
  <c r="BH2028" i="1"/>
  <c r="AR2028" i="1"/>
  <c r="AN2028" i="1"/>
  <c r="BP2027" i="1"/>
  <c r="BO2027" i="1"/>
  <c r="BN2027" i="1"/>
  <c r="BM2027" i="1"/>
  <c r="BL2027" i="1"/>
  <c r="BK2027" i="1"/>
  <c r="BJ2027" i="1"/>
  <c r="BI2027" i="1"/>
  <c r="BH2027" i="1"/>
  <c r="BP2026" i="1"/>
  <c r="BO2026" i="1"/>
  <c r="BN2026" i="1"/>
  <c r="BM2026" i="1"/>
  <c r="BL2026" i="1"/>
  <c r="BK2026" i="1"/>
  <c r="BJ2026" i="1"/>
  <c r="BI2026" i="1"/>
  <c r="BH2026" i="1"/>
  <c r="BP2025" i="1"/>
  <c r="BO2025" i="1"/>
  <c r="BN2025" i="1"/>
  <c r="BL2025" i="1"/>
  <c r="BK2025" i="1"/>
  <c r="BJ2025" i="1"/>
  <c r="BI2025" i="1"/>
  <c r="BH2025" i="1"/>
  <c r="AR2025" i="1"/>
  <c r="AN2025" i="1"/>
  <c r="BM2025" i="1" s="1"/>
  <c r="BP2024" i="1"/>
  <c r="BO2024" i="1"/>
  <c r="BN2024" i="1"/>
  <c r="BL2024" i="1"/>
  <c r="BK2024" i="1"/>
  <c r="BJ2024" i="1"/>
  <c r="BI2024" i="1"/>
  <c r="BH2024" i="1"/>
  <c r="AR2024" i="1"/>
  <c r="AN2024" i="1"/>
  <c r="BP2023" i="1"/>
  <c r="BO2023" i="1"/>
  <c r="BN2023" i="1"/>
  <c r="BL2023" i="1"/>
  <c r="BK2023" i="1"/>
  <c r="BJ2023" i="1"/>
  <c r="BI2023" i="1"/>
  <c r="BH2023" i="1"/>
  <c r="AP2023" i="1"/>
  <c r="BM2023" i="1" s="1"/>
  <c r="BP2022" i="1"/>
  <c r="BO2022" i="1"/>
  <c r="BN2022" i="1"/>
  <c r="BM2022" i="1"/>
  <c r="BL2022" i="1"/>
  <c r="BK2022" i="1"/>
  <c r="BJ2022" i="1"/>
  <c r="BI2022" i="1"/>
  <c r="BH2022" i="1"/>
  <c r="BP2021" i="1"/>
  <c r="BO2021" i="1"/>
  <c r="BN2021" i="1"/>
  <c r="BM2021" i="1"/>
  <c r="BL2021" i="1"/>
  <c r="BK2021" i="1"/>
  <c r="BJ2021" i="1"/>
  <c r="BI2021" i="1"/>
  <c r="BH2021" i="1"/>
  <c r="AY2021" i="1"/>
  <c r="BP2020" i="1"/>
  <c r="BO2020" i="1"/>
  <c r="BN2020" i="1"/>
  <c r="BL2020" i="1"/>
  <c r="BK2020" i="1"/>
  <c r="BJ2020" i="1"/>
  <c r="BI2020" i="1"/>
  <c r="BH2020" i="1"/>
  <c r="AQ2020" i="1"/>
  <c r="BM2020" i="1" s="1"/>
  <c r="BP2019" i="1"/>
  <c r="BO2019" i="1"/>
  <c r="BN2019" i="1"/>
  <c r="BM2019" i="1"/>
  <c r="BL2019" i="1"/>
  <c r="BK2019" i="1"/>
  <c r="BJ2019" i="1"/>
  <c r="BI2019" i="1"/>
  <c r="BH2019" i="1"/>
  <c r="AQ2019" i="1"/>
  <c r="BP2018" i="1"/>
  <c r="BO2018" i="1"/>
  <c r="BN2018" i="1"/>
  <c r="BM2018" i="1"/>
  <c r="BL2018" i="1"/>
  <c r="BK2018" i="1"/>
  <c r="BJ2018" i="1"/>
  <c r="BI2018" i="1"/>
  <c r="BH2018" i="1"/>
  <c r="BP2017" i="1"/>
  <c r="BO2017" i="1"/>
  <c r="BN2017" i="1"/>
  <c r="BM2017" i="1"/>
  <c r="BL2017" i="1"/>
  <c r="BK2017" i="1"/>
  <c r="BJ2017" i="1"/>
  <c r="BI2017" i="1"/>
  <c r="BH2017" i="1"/>
  <c r="BP2016" i="1"/>
  <c r="BO2016" i="1"/>
  <c r="BN2016" i="1"/>
  <c r="BL2016" i="1"/>
  <c r="BK2016" i="1"/>
  <c r="BJ2016" i="1"/>
  <c r="BI2016" i="1"/>
  <c r="BH2016" i="1"/>
  <c r="AR2016" i="1"/>
  <c r="AN2016" i="1"/>
  <c r="BM2016" i="1" s="1"/>
  <c r="BP2015" i="1"/>
  <c r="BO2015" i="1"/>
  <c r="BN2015" i="1"/>
  <c r="BM2015" i="1"/>
  <c r="BL2015" i="1"/>
  <c r="BK2015" i="1"/>
  <c r="BJ2015" i="1"/>
  <c r="BI2015" i="1"/>
  <c r="BH2015" i="1"/>
  <c r="AS2015" i="1"/>
  <c r="AN2015" i="1"/>
  <c r="BP2014" i="1"/>
  <c r="BO2014" i="1"/>
  <c r="BN2014" i="1"/>
  <c r="BL2014" i="1"/>
  <c r="BK2014" i="1"/>
  <c r="BJ2014" i="1"/>
  <c r="BI2014" i="1"/>
  <c r="BH2014" i="1"/>
  <c r="AS2014" i="1"/>
  <c r="BM2014" i="1" s="1"/>
  <c r="BP2013" i="1"/>
  <c r="BO2013" i="1"/>
  <c r="BN2013" i="1"/>
  <c r="BM2013" i="1"/>
  <c r="BL2013" i="1"/>
  <c r="BK2013" i="1"/>
  <c r="BJ2013" i="1"/>
  <c r="BI2013" i="1"/>
  <c r="BH2013" i="1"/>
  <c r="BP2012" i="1"/>
  <c r="BO2012" i="1"/>
  <c r="BN2012" i="1"/>
  <c r="BM2012" i="1"/>
  <c r="BL2012" i="1"/>
  <c r="BK2012" i="1"/>
  <c r="BJ2012" i="1"/>
  <c r="BI2012" i="1"/>
  <c r="BH2012" i="1"/>
  <c r="BP2011" i="1"/>
  <c r="BO2011" i="1"/>
  <c r="BN2011" i="1"/>
  <c r="BM2011" i="1"/>
  <c r="BL2011" i="1"/>
  <c r="BJ2011" i="1"/>
  <c r="BI2011" i="1"/>
  <c r="BH2011" i="1"/>
  <c r="V2011" i="1"/>
  <c r="BK2011" i="1" s="1"/>
  <c r="BP2010" i="1"/>
  <c r="BO2010" i="1"/>
  <c r="BN2010" i="1"/>
  <c r="BM2010" i="1"/>
  <c r="BL2010" i="1"/>
  <c r="BK2010" i="1"/>
  <c r="BJ2010" i="1"/>
  <c r="BI2010" i="1"/>
  <c r="BH2010" i="1"/>
  <c r="BP2009" i="1"/>
  <c r="BO2009" i="1"/>
  <c r="BN2009" i="1"/>
  <c r="BM2009" i="1"/>
  <c r="BL2009" i="1"/>
  <c r="BK2009" i="1"/>
  <c r="BJ2009" i="1"/>
  <c r="BI2009" i="1"/>
  <c r="BH2009" i="1"/>
  <c r="AQ2009" i="1"/>
  <c r="BP2008" i="1"/>
  <c r="BO2008" i="1"/>
  <c r="BN2008" i="1"/>
  <c r="BM2008" i="1"/>
  <c r="BL2008" i="1"/>
  <c r="BK2008" i="1"/>
  <c r="BJ2008" i="1"/>
  <c r="BI2008" i="1"/>
  <c r="BH2008" i="1"/>
  <c r="BP2007" i="1"/>
  <c r="BO2007" i="1"/>
  <c r="BN2007" i="1"/>
  <c r="BM2007" i="1"/>
  <c r="BL2007" i="1"/>
  <c r="BK2007" i="1"/>
  <c r="BJ2007" i="1"/>
  <c r="BI2007" i="1"/>
  <c r="BH2007" i="1"/>
  <c r="BP2006" i="1"/>
  <c r="BM2006" i="1"/>
  <c r="BJ2006" i="1"/>
  <c r="BG2006" i="1"/>
  <c r="AW2006" i="1"/>
  <c r="BO2006" i="1" s="1"/>
  <c r="AU2006" i="1"/>
  <c r="AT2006" i="1"/>
  <c r="BN2006" i="1" s="1"/>
  <c r="Z2006" i="1"/>
  <c r="BL2006" i="1" s="1"/>
  <c r="U2006" i="1"/>
  <c r="BK2006" i="1" s="1"/>
  <c r="S2006" i="1"/>
  <c r="O2006" i="1"/>
  <c r="BI2006" i="1" s="1"/>
  <c r="E2006" i="1"/>
  <c r="D2006" i="1"/>
  <c r="C2006" i="1"/>
  <c r="BP2005" i="1"/>
  <c r="BO2005" i="1"/>
  <c r="BN2005" i="1"/>
  <c r="BM2005" i="1"/>
  <c r="BL2005" i="1"/>
  <c r="BK2005" i="1"/>
  <c r="BJ2005" i="1"/>
  <c r="BI2005" i="1"/>
  <c r="BH2005" i="1"/>
  <c r="AB2005" i="1"/>
  <c r="BP2004" i="1"/>
  <c r="BO2004" i="1"/>
  <c r="BN2004" i="1"/>
  <c r="BM2004" i="1"/>
  <c r="BL2004" i="1"/>
  <c r="BK2004" i="1"/>
  <c r="BJ2004" i="1"/>
  <c r="BI2004" i="1"/>
  <c r="BH2004" i="1"/>
  <c r="AA2004" i="1"/>
  <c r="BP2003" i="1"/>
  <c r="BO2003" i="1"/>
  <c r="BN2003" i="1"/>
  <c r="BL2003" i="1"/>
  <c r="BK2003" i="1"/>
  <c r="BJ2003" i="1"/>
  <c r="BI2003" i="1"/>
  <c r="BH2003" i="1"/>
  <c r="AQ2003" i="1"/>
  <c r="AB2003" i="1"/>
  <c r="BM2003" i="1" s="1"/>
  <c r="BP2002" i="1"/>
  <c r="BO2002" i="1"/>
  <c r="BN2002" i="1"/>
  <c r="BL2002" i="1"/>
  <c r="BK2002" i="1"/>
  <c r="BJ2002" i="1"/>
  <c r="BI2002" i="1"/>
  <c r="BH2002" i="1"/>
  <c r="AS2002" i="1"/>
  <c r="AN2002" i="1"/>
  <c r="BM2002" i="1" s="1"/>
  <c r="BP2001" i="1"/>
  <c r="BO2001" i="1"/>
  <c r="BN2001" i="1"/>
  <c r="BL2001" i="1"/>
  <c r="BK2001" i="1"/>
  <c r="BJ2001" i="1"/>
  <c r="BI2001" i="1"/>
  <c r="BH2001" i="1"/>
  <c r="AS2001" i="1"/>
  <c r="AN2001" i="1"/>
  <c r="BM2001" i="1" s="1"/>
  <c r="BP2000" i="1"/>
  <c r="BO2000" i="1"/>
  <c r="BN2000" i="1"/>
  <c r="BM2000" i="1"/>
  <c r="BL2000" i="1"/>
  <c r="BK2000" i="1"/>
  <c r="BJ2000" i="1"/>
  <c r="BI2000" i="1"/>
  <c r="BH2000" i="1"/>
  <c r="AS2000" i="1"/>
  <c r="BP1999" i="1"/>
  <c r="BO1999" i="1"/>
  <c r="BN1999" i="1"/>
  <c r="BM1999" i="1"/>
  <c r="BL1999" i="1"/>
  <c r="BK1999" i="1"/>
  <c r="BJ1999" i="1"/>
  <c r="BI1999" i="1"/>
  <c r="BH1999" i="1"/>
  <c r="BP1998" i="1"/>
  <c r="BO1998" i="1"/>
  <c r="BN1998" i="1"/>
  <c r="BM1998" i="1"/>
  <c r="BL1998" i="1"/>
  <c r="BK1998" i="1"/>
  <c r="BJ1998" i="1"/>
  <c r="BI1998" i="1"/>
  <c r="BH1998" i="1"/>
  <c r="BP1997" i="1"/>
  <c r="BO1997" i="1"/>
  <c r="BN1997" i="1"/>
  <c r="BM1997" i="1"/>
  <c r="BL1997" i="1"/>
  <c r="BK1997" i="1"/>
  <c r="BJ1997" i="1"/>
  <c r="BI1997" i="1"/>
  <c r="BH1997" i="1"/>
  <c r="BP1996" i="1"/>
  <c r="BN1996" i="1"/>
  <c r="BM1996" i="1"/>
  <c r="BL1996" i="1"/>
  <c r="BK1996" i="1"/>
  <c r="BJ1996" i="1"/>
  <c r="BI1996" i="1"/>
  <c r="BH1996" i="1"/>
  <c r="AY1996" i="1"/>
  <c r="BO1996" i="1" s="1"/>
  <c r="BP1995" i="1"/>
  <c r="BO1995" i="1"/>
  <c r="BN1995" i="1"/>
  <c r="BM1995" i="1"/>
  <c r="BL1995" i="1"/>
  <c r="BK1995" i="1"/>
  <c r="BJ1995" i="1"/>
  <c r="BI1995" i="1"/>
  <c r="BH1995" i="1"/>
  <c r="BP1994" i="1"/>
  <c r="BO1994" i="1"/>
  <c r="BN1994" i="1"/>
  <c r="BM1994" i="1"/>
  <c r="BL1994" i="1"/>
  <c r="BK1994" i="1"/>
  <c r="BJ1994" i="1"/>
  <c r="BI1994" i="1"/>
  <c r="BH1994" i="1"/>
  <c r="BP1993" i="1"/>
  <c r="BO1993" i="1"/>
  <c r="BN1993" i="1"/>
  <c r="BL1993" i="1"/>
  <c r="BK1993" i="1"/>
  <c r="BJ1993" i="1"/>
  <c r="BI1993" i="1"/>
  <c r="BH1993" i="1"/>
  <c r="AS1993" i="1"/>
  <c r="AN1993" i="1"/>
  <c r="BM1993" i="1" s="1"/>
  <c r="BP1992" i="1"/>
  <c r="BO1992" i="1"/>
  <c r="BN1992" i="1"/>
  <c r="BL1992" i="1"/>
  <c r="BK1992" i="1"/>
  <c r="BJ1992" i="1"/>
  <c r="BI1992" i="1"/>
  <c r="BH1992" i="1"/>
  <c r="AQ1992" i="1"/>
  <c r="BM1992" i="1" s="1"/>
  <c r="BP1991" i="1"/>
  <c r="BO1991" i="1"/>
  <c r="BN1991" i="1"/>
  <c r="BM1991" i="1"/>
  <c r="BL1991" i="1"/>
  <c r="BK1991" i="1"/>
  <c r="BJ1991" i="1"/>
  <c r="BI1991" i="1"/>
  <c r="BH1991" i="1"/>
  <c r="BP1990" i="1"/>
  <c r="BO1990" i="1"/>
  <c r="BN1990" i="1"/>
  <c r="BM1990" i="1"/>
  <c r="BL1990" i="1"/>
  <c r="BK1990" i="1"/>
  <c r="BJ1990" i="1"/>
  <c r="BI1990" i="1"/>
  <c r="BH1990" i="1"/>
  <c r="BP1989" i="1"/>
  <c r="BO1989" i="1"/>
  <c r="BN1989" i="1"/>
  <c r="BM1989" i="1"/>
  <c r="BL1989" i="1"/>
  <c r="BK1989" i="1"/>
  <c r="BJ1989" i="1"/>
  <c r="BI1989" i="1"/>
  <c r="BH1989" i="1"/>
  <c r="BP1988" i="1"/>
  <c r="BO1988" i="1"/>
  <c r="BN1988" i="1"/>
  <c r="BM1988" i="1"/>
  <c r="BL1988" i="1"/>
  <c r="BK1988" i="1"/>
  <c r="BJ1988" i="1"/>
  <c r="BI1988" i="1"/>
  <c r="BH1988" i="1"/>
  <c r="BP1987" i="1"/>
  <c r="BO1987" i="1"/>
  <c r="BN1987" i="1"/>
  <c r="BM1987" i="1"/>
  <c r="BL1987" i="1"/>
  <c r="BK1987" i="1"/>
  <c r="BJ1987" i="1"/>
  <c r="BI1987" i="1"/>
  <c r="BH1987" i="1"/>
  <c r="BP1986" i="1"/>
  <c r="BO1986" i="1"/>
  <c r="BN1986" i="1"/>
  <c r="BM1986" i="1"/>
  <c r="BL1986" i="1"/>
  <c r="BK1986" i="1"/>
  <c r="BJ1986" i="1"/>
  <c r="BI1986" i="1"/>
  <c r="BH1986" i="1"/>
  <c r="BP1985" i="1"/>
  <c r="BO1985" i="1"/>
  <c r="BN1985" i="1"/>
  <c r="BM1985" i="1"/>
  <c r="BL1985" i="1"/>
  <c r="BK1985" i="1"/>
  <c r="BJ1985" i="1"/>
  <c r="BI1985" i="1"/>
  <c r="BH1985" i="1"/>
  <c r="BP1984" i="1"/>
  <c r="BO1984" i="1"/>
  <c r="BN1984" i="1"/>
  <c r="BM1984" i="1"/>
  <c r="BL1984" i="1"/>
  <c r="BK1984" i="1"/>
  <c r="BJ1984" i="1"/>
  <c r="BI1984" i="1"/>
  <c r="BH1984" i="1"/>
  <c r="BP1983" i="1"/>
  <c r="BO1983" i="1"/>
  <c r="BN1983" i="1"/>
  <c r="BL1983" i="1"/>
  <c r="BK1983" i="1"/>
  <c r="BJ1983" i="1"/>
  <c r="BI1983" i="1"/>
  <c r="AJ1983" i="1"/>
  <c r="BM1983" i="1" s="1"/>
  <c r="J1983" i="1"/>
  <c r="BH1983" i="1" s="1"/>
  <c r="BP1982" i="1"/>
  <c r="BO1982" i="1"/>
  <c r="BN1982" i="1"/>
  <c r="BM1982" i="1"/>
  <c r="BL1982" i="1"/>
  <c r="BK1982" i="1"/>
  <c r="BJ1982" i="1"/>
  <c r="BI1982" i="1"/>
  <c r="BH1982" i="1"/>
  <c r="BP1981" i="1"/>
  <c r="BO1981" i="1"/>
  <c r="BN1981" i="1"/>
  <c r="BM1981" i="1"/>
  <c r="BL1981" i="1"/>
  <c r="BK1981" i="1"/>
  <c r="BJ1981" i="1"/>
  <c r="BI1981" i="1"/>
  <c r="BH1981" i="1"/>
  <c r="AB1981" i="1"/>
  <c r="BP1980" i="1"/>
  <c r="BO1980" i="1"/>
  <c r="BN1980" i="1"/>
  <c r="BM1980" i="1"/>
  <c r="BL1980" i="1"/>
  <c r="BK1980" i="1"/>
  <c r="BJ1980" i="1"/>
  <c r="BI1980" i="1"/>
  <c r="BH1980" i="1"/>
  <c r="BP1979" i="1"/>
  <c r="BO1979" i="1"/>
  <c r="BN1979" i="1"/>
  <c r="BL1979" i="1"/>
  <c r="BK1979" i="1"/>
  <c r="BJ1979" i="1"/>
  <c r="BI1979" i="1"/>
  <c r="BH1979" i="1"/>
  <c r="AS1979" i="1"/>
  <c r="BM1979" i="1" s="1"/>
  <c r="BP1978" i="1"/>
  <c r="BO1978" i="1"/>
  <c r="BN1978" i="1"/>
  <c r="BL1978" i="1"/>
  <c r="BK1978" i="1"/>
  <c r="BJ1978" i="1"/>
  <c r="BI1978" i="1"/>
  <c r="BH1978" i="1"/>
  <c r="AS1978" i="1"/>
  <c r="BM1978" i="1" s="1"/>
  <c r="BP1977" i="1"/>
  <c r="BO1977" i="1"/>
  <c r="BN1977" i="1"/>
  <c r="BL1977" i="1"/>
  <c r="BK1977" i="1"/>
  <c r="BJ1977" i="1"/>
  <c r="BI1977" i="1"/>
  <c r="BH1977" i="1"/>
  <c r="AR1977" i="1"/>
  <c r="AN1977" i="1"/>
  <c r="BM1977" i="1" s="1"/>
  <c r="BP1976" i="1"/>
  <c r="BO1976" i="1"/>
  <c r="BN1976" i="1"/>
  <c r="BM1976" i="1"/>
  <c r="BL1976" i="1"/>
  <c r="BK1976" i="1"/>
  <c r="BJ1976" i="1"/>
  <c r="BI1976" i="1"/>
  <c r="BH1976" i="1"/>
  <c r="AR1976" i="1"/>
  <c r="AN1976" i="1"/>
  <c r="BP1975" i="1"/>
  <c r="BO1975" i="1"/>
  <c r="BN1975" i="1"/>
  <c r="BM1975" i="1"/>
  <c r="BL1975" i="1"/>
  <c r="BK1975" i="1"/>
  <c r="BJ1975" i="1"/>
  <c r="BI1975" i="1"/>
  <c r="BH1975" i="1"/>
  <c r="BP1974" i="1"/>
  <c r="BO1974" i="1"/>
  <c r="BN1974" i="1"/>
  <c r="BM1974" i="1"/>
  <c r="BL1974" i="1"/>
  <c r="BK1974" i="1"/>
  <c r="BJ1974" i="1"/>
  <c r="BI1974" i="1"/>
  <c r="BH1974" i="1"/>
  <c r="BP1973" i="1"/>
  <c r="BO1973" i="1"/>
  <c r="BN1973" i="1"/>
  <c r="BL1973" i="1"/>
  <c r="BK1973" i="1"/>
  <c r="BJ1973" i="1"/>
  <c r="BI1973" i="1"/>
  <c r="BH1973" i="1"/>
  <c r="AS1973" i="1"/>
  <c r="AN1973" i="1"/>
  <c r="BM1973" i="1" s="1"/>
  <c r="BP1972" i="1"/>
  <c r="BO1972" i="1"/>
  <c r="BN1972" i="1"/>
  <c r="BL1972" i="1"/>
  <c r="BK1972" i="1"/>
  <c r="BJ1972" i="1"/>
  <c r="BI1972" i="1"/>
  <c r="BH1972" i="1"/>
  <c r="AR1972" i="1"/>
  <c r="AN1972" i="1"/>
  <c r="BM1972" i="1" s="1"/>
  <c r="BP1971" i="1"/>
  <c r="BO1971" i="1"/>
  <c r="BN1971" i="1"/>
  <c r="BL1971" i="1"/>
  <c r="BK1971" i="1"/>
  <c r="BJ1971" i="1"/>
  <c r="BI1971" i="1"/>
  <c r="BH1971" i="1"/>
  <c r="AR1971" i="1"/>
  <c r="AN1971" i="1"/>
  <c r="BP1970" i="1"/>
  <c r="BO1970" i="1"/>
  <c r="BN1970" i="1"/>
  <c r="BM1970" i="1"/>
  <c r="BL1970" i="1"/>
  <c r="BK1970" i="1"/>
  <c r="BJ1970" i="1"/>
  <c r="BI1970" i="1"/>
  <c r="BH1970" i="1"/>
  <c r="BP1969" i="1"/>
  <c r="BO1969" i="1"/>
  <c r="BN1969" i="1"/>
  <c r="BL1969" i="1"/>
  <c r="BK1969" i="1"/>
  <c r="BJ1969" i="1"/>
  <c r="BI1969" i="1"/>
  <c r="BH1969" i="1"/>
  <c r="AP1969" i="1"/>
  <c r="BM1969" i="1" s="1"/>
  <c r="BP1968" i="1"/>
  <c r="BO1968" i="1"/>
  <c r="BN1968" i="1"/>
  <c r="BM1968" i="1"/>
  <c r="BL1968" i="1"/>
  <c r="BK1968" i="1"/>
  <c r="BJ1968" i="1"/>
  <c r="BI1968" i="1"/>
  <c r="BH1968" i="1"/>
  <c r="BN1967" i="1"/>
  <c r="BM1967" i="1"/>
  <c r="BL1967" i="1"/>
  <c r="BK1967" i="1"/>
  <c r="BG1967" i="1"/>
  <c r="BF1967" i="1"/>
  <c r="BP1967" i="1" s="1"/>
  <c r="AY1967" i="1"/>
  <c r="BO1967" i="1" s="1"/>
  <c r="AT1967" i="1"/>
  <c r="AC1967" i="1"/>
  <c r="U1967" i="1"/>
  <c r="S1967" i="1"/>
  <c r="BJ1967" i="1" s="1"/>
  <c r="M1967" i="1"/>
  <c r="BI1967" i="1" s="1"/>
  <c r="H1967" i="1"/>
  <c r="BH1967" i="1" s="1"/>
  <c r="D1967" i="1"/>
  <c r="C1967" i="1"/>
  <c r="BP1966" i="1"/>
  <c r="BO1966" i="1"/>
  <c r="BN1966" i="1"/>
  <c r="BM1966" i="1"/>
  <c r="BL1966" i="1"/>
  <c r="BK1966" i="1"/>
  <c r="BJ1966" i="1"/>
  <c r="BI1966" i="1"/>
  <c r="BH1966" i="1"/>
  <c r="BP1965" i="1"/>
  <c r="BO1965" i="1"/>
  <c r="BN1965" i="1"/>
  <c r="BM1965" i="1"/>
  <c r="BL1965" i="1"/>
  <c r="BK1965" i="1"/>
  <c r="BJ1965" i="1"/>
  <c r="BI1965" i="1"/>
  <c r="BH1965" i="1"/>
  <c r="V1965" i="1"/>
  <c r="BP1964" i="1"/>
  <c r="BO1964" i="1"/>
  <c r="BN1964" i="1"/>
  <c r="BM1964" i="1"/>
  <c r="BL1964" i="1"/>
  <c r="BK1964" i="1"/>
  <c r="BJ1964" i="1"/>
  <c r="BI1964" i="1"/>
  <c r="BH1964" i="1"/>
  <c r="BN1963" i="1"/>
  <c r="BM1963" i="1"/>
  <c r="BK1963" i="1"/>
  <c r="BJ1963" i="1"/>
  <c r="BI1963" i="1"/>
  <c r="BG1963" i="1"/>
  <c r="BF1963" i="1"/>
  <c r="BP1963" i="1" s="1"/>
  <c r="AW1963" i="1"/>
  <c r="BO1963" i="1" s="1"/>
  <c r="AT1963" i="1"/>
  <c r="AQ1963" i="1"/>
  <c r="AF1963" i="1"/>
  <c r="Z1963" i="1"/>
  <c r="BL1963" i="1" s="1"/>
  <c r="U1963" i="1"/>
  <c r="S1963" i="1"/>
  <c r="O1963" i="1"/>
  <c r="C1963" i="1"/>
  <c r="BH1963" i="1" s="1"/>
  <c r="BP1962" i="1"/>
  <c r="BO1962" i="1"/>
  <c r="BN1962" i="1"/>
  <c r="BM1962" i="1"/>
  <c r="BL1962" i="1"/>
  <c r="BK1962" i="1"/>
  <c r="BJ1962" i="1"/>
  <c r="BI1962" i="1"/>
  <c r="BH1962" i="1"/>
  <c r="BP1961" i="1"/>
  <c r="BO1961" i="1"/>
  <c r="BN1961" i="1"/>
  <c r="BM1961" i="1"/>
  <c r="BL1961" i="1"/>
  <c r="BK1961" i="1"/>
  <c r="BJ1961" i="1"/>
  <c r="BI1961" i="1"/>
  <c r="BH1961" i="1"/>
  <c r="BP1960" i="1"/>
  <c r="BO1960" i="1"/>
  <c r="BN1960" i="1"/>
  <c r="BM1960" i="1"/>
  <c r="BL1960" i="1"/>
  <c r="BK1960" i="1"/>
  <c r="BJ1960" i="1"/>
  <c r="BI1960" i="1"/>
  <c r="BH1960" i="1"/>
  <c r="AY1960" i="1"/>
  <c r="BP1959" i="1"/>
  <c r="BO1959" i="1"/>
  <c r="BN1959" i="1"/>
  <c r="BM1959" i="1"/>
  <c r="BL1959" i="1"/>
  <c r="BK1959" i="1"/>
  <c r="BJ1959" i="1"/>
  <c r="BI1959" i="1"/>
  <c r="BH1959" i="1"/>
  <c r="AB1959" i="1"/>
  <c r="BP1958" i="1"/>
  <c r="BO1958" i="1"/>
  <c r="BN1958" i="1"/>
  <c r="BL1958" i="1"/>
  <c r="BK1958" i="1"/>
  <c r="BJ1958" i="1"/>
  <c r="BI1958" i="1"/>
  <c r="BH1958" i="1"/>
  <c r="AS1958" i="1"/>
  <c r="BM1958" i="1" s="1"/>
  <c r="BP1957" i="1"/>
  <c r="BO1957" i="1"/>
  <c r="BN1957" i="1"/>
  <c r="BM1957" i="1"/>
  <c r="BL1957" i="1"/>
  <c r="BK1957" i="1"/>
  <c r="BJ1957" i="1"/>
  <c r="BI1957" i="1"/>
  <c r="BH1957" i="1"/>
  <c r="AS1957" i="1"/>
  <c r="BP1956" i="1"/>
  <c r="BO1956" i="1"/>
  <c r="BN1956" i="1"/>
  <c r="BL1956" i="1"/>
  <c r="BK1956" i="1"/>
  <c r="BJ1956" i="1"/>
  <c r="BI1956" i="1"/>
  <c r="BH1956" i="1"/>
  <c r="AP1956" i="1"/>
  <c r="BM1956" i="1" s="1"/>
  <c r="BP1955" i="1"/>
  <c r="BO1955" i="1"/>
  <c r="BN1955" i="1"/>
  <c r="BM1955" i="1"/>
  <c r="BL1955" i="1"/>
  <c r="BK1955" i="1"/>
  <c r="BJ1955" i="1"/>
  <c r="BI1955" i="1"/>
  <c r="BH1955" i="1"/>
  <c r="BP1954" i="1"/>
  <c r="BO1954" i="1"/>
  <c r="BN1954" i="1"/>
  <c r="BM1954" i="1"/>
  <c r="BL1954" i="1"/>
  <c r="BK1954" i="1"/>
  <c r="BJ1954" i="1"/>
  <c r="BI1954" i="1"/>
  <c r="BH1954" i="1"/>
  <c r="BP1953" i="1"/>
  <c r="BO1953" i="1"/>
  <c r="BN1953" i="1"/>
  <c r="BL1953" i="1"/>
  <c r="BK1953" i="1"/>
  <c r="BJ1953" i="1"/>
  <c r="BI1953" i="1"/>
  <c r="BH1953" i="1"/>
  <c r="AB1953" i="1"/>
  <c r="BM1953" i="1" s="1"/>
  <c r="BP1952" i="1"/>
  <c r="BO1952" i="1"/>
  <c r="BN1952" i="1"/>
  <c r="BM1952" i="1"/>
  <c r="BL1952" i="1"/>
  <c r="BK1952" i="1"/>
  <c r="BJ1952" i="1"/>
  <c r="BI1952" i="1"/>
  <c r="BH1952" i="1"/>
  <c r="BP1951" i="1"/>
  <c r="BO1951" i="1"/>
  <c r="BN1951" i="1"/>
  <c r="BM1951" i="1"/>
  <c r="BL1951" i="1"/>
  <c r="BK1951" i="1"/>
  <c r="BJ1951" i="1"/>
  <c r="BI1951" i="1"/>
  <c r="BH1951" i="1"/>
  <c r="BP1950" i="1"/>
  <c r="BO1950" i="1"/>
  <c r="BN1950" i="1"/>
  <c r="BM1950" i="1"/>
  <c r="BL1950" i="1"/>
  <c r="BK1950" i="1"/>
  <c r="BJ1950" i="1"/>
  <c r="BI1950" i="1"/>
  <c r="BH1950" i="1"/>
  <c r="BP1949" i="1"/>
  <c r="BO1949" i="1"/>
  <c r="BN1949" i="1"/>
  <c r="BM1949" i="1"/>
  <c r="BL1949" i="1"/>
  <c r="BK1949" i="1"/>
  <c r="BJ1949" i="1"/>
  <c r="BI1949" i="1"/>
  <c r="BH1949" i="1"/>
  <c r="V1949" i="1"/>
  <c r="BP1948" i="1"/>
  <c r="BM1948" i="1"/>
  <c r="BL1948" i="1"/>
  <c r="BK1948" i="1"/>
  <c r="BJ1948" i="1"/>
  <c r="BI1948" i="1"/>
  <c r="BG1948" i="1"/>
  <c r="BF1948" i="1"/>
  <c r="AW1948" i="1"/>
  <c r="BO1948" i="1" s="1"/>
  <c r="AT1948" i="1"/>
  <c r="BN1948" i="1" s="1"/>
  <c r="U1948" i="1"/>
  <c r="S1948" i="1"/>
  <c r="M1948" i="1"/>
  <c r="G1948" i="1"/>
  <c r="C1948" i="1"/>
  <c r="BH1948" i="1" s="1"/>
  <c r="BP1947" i="1"/>
  <c r="BO1947" i="1"/>
  <c r="BN1947" i="1"/>
  <c r="BM1947" i="1"/>
  <c r="BL1947" i="1"/>
  <c r="BK1947" i="1"/>
  <c r="BJ1947" i="1"/>
  <c r="BI1947" i="1"/>
  <c r="BH1947" i="1"/>
  <c r="AQ1947" i="1"/>
  <c r="AB1947" i="1"/>
  <c r="BP1946" i="1"/>
  <c r="BO1946" i="1"/>
  <c r="BN1946" i="1"/>
  <c r="BM1946" i="1"/>
  <c r="BL1946" i="1"/>
  <c r="BK1946" i="1"/>
  <c r="BJ1946" i="1"/>
  <c r="BI1946" i="1"/>
  <c r="BH1946" i="1"/>
  <c r="AQ1946" i="1"/>
  <c r="BP1945" i="1"/>
  <c r="BO1945" i="1"/>
  <c r="BN1945" i="1"/>
  <c r="BM1945" i="1"/>
  <c r="BL1945" i="1"/>
  <c r="BK1945" i="1"/>
  <c r="BJ1945" i="1"/>
  <c r="BI1945" i="1"/>
  <c r="BH1945" i="1"/>
  <c r="AQ1945" i="1"/>
  <c r="BP1944" i="1"/>
  <c r="BO1944" i="1"/>
  <c r="BN1944" i="1"/>
  <c r="BL1944" i="1"/>
  <c r="BK1944" i="1"/>
  <c r="BJ1944" i="1"/>
  <c r="BI1944" i="1"/>
  <c r="BH1944" i="1"/>
  <c r="AR1944" i="1"/>
  <c r="AN1944" i="1"/>
  <c r="BM1944" i="1" s="1"/>
  <c r="BP1943" i="1"/>
  <c r="BO1943" i="1"/>
  <c r="BN1943" i="1"/>
  <c r="BL1943" i="1"/>
  <c r="BK1943" i="1"/>
  <c r="BJ1943" i="1"/>
  <c r="BI1943" i="1"/>
  <c r="BH1943" i="1"/>
  <c r="AR1943" i="1"/>
  <c r="AN1943" i="1"/>
  <c r="BM1943" i="1" s="1"/>
  <c r="BP1942" i="1"/>
  <c r="BO1942" i="1"/>
  <c r="BN1942" i="1"/>
  <c r="BM1942" i="1"/>
  <c r="BL1942" i="1"/>
  <c r="BK1942" i="1"/>
  <c r="BJ1942" i="1"/>
  <c r="BI1942" i="1"/>
  <c r="BH1942" i="1"/>
  <c r="BP1941" i="1"/>
  <c r="BN1941" i="1"/>
  <c r="BM1941" i="1"/>
  <c r="BL1941" i="1"/>
  <c r="BK1941" i="1"/>
  <c r="BJ1941" i="1"/>
  <c r="BI1941" i="1"/>
  <c r="BH1941" i="1"/>
  <c r="AY1941" i="1"/>
  <c r="BO1941" i="1" s="1"/>
  <c r="BP1940" i="1"/>
  <c r="BO1940" i="1"/>
  <c r="BN1940" i="1"/>
  <c r="BM1940" i="1"/>
  <c r="BL1940" i="1"/>
  <c r="BK1940" i="1"/>
  <c r="BJ1940" i="1"/>
  <c r="BI1940" i="1"/>
  <c r="BH1940" i="1"/>
  <c r="BP1939" i="1"/>
  <c r="BO1939" i="1"/>
  <c r="BN1939" i="1"/>
  <c r="BL1939" i="1"/>
  <c r="BK1939" i="1"/>
  <c r="BJ1939" i="1"/>
  <c r="BI1939" i="1"/>
  <c r="BH1939" i="1"/>
  <c r="AR1939" i="1"/>
  <c r="AN1939" i="1"/>
  <c r="BP1938" i="1"/>
  <c r="BO1938" i="1"/>
  <c r="BN1938" i="1"/>
  <c r="BL1938" i="1"/>
  <c r="BK1938" i="1"/>
  <c r="BJ1938" i="1"/>
  <c r="BI1938" i="1"/>
  <c r="BH1938" i="1"/>
  <c r="AS1938" i="1"/>
  <c r="AR1938" i="1"/>
  <c r="BM1938" i="1" s="1"/>
  <c r="AQ1938" i="1"/>
  <c r="BP1937" i="1"/>
  <c r="BO1937" i="1"/>
  <c r="BN1937" i="1"/>
  <c r="BL1937" i="1"/>
  <c r="BK1937" i="1"/>
  <c r="BJ1937" i="1"/>
  <c r="BI1937" i="1"/>
  <c r="BH1937" i="1"/>
  <c r="AS1937" i="1"/>
  <c r="AN1937" i="1"/>
  <c r="BM1937" i="1" s="1"/>
  <c r="BP1936" i="1"/>
  <c r="BO1936" i="1"/>
  <c r="BN1936" i="1"/>
  <c r="BL1936" i="1"/>
  <c r="BK1936" i="1"/>
  <c r="BJ1936" i="1"/>
  <c r="BI1936" i="1"/>
  <c r="BH1936" i="1"/>
  <c r="AS1936" i="1"/>
  <c r="BM1936" i="1" s="1"/>
  <c r="BP1935" i="1"/>
  <c r="BO1935" i="1"/>
  <c r="BN1935" i="1"/>
  <c r="BM1935" i="1"/>
  <c r="BK1935" i="1"/>
  <c r="BJ1935" i="1"/>
  <c r="BI1935" i="1"/>
  <c r="BH1935" i="1"/>
  <c r="AA1935" i="1"/>
  <c r="BL1935" i="1" s="1"/>
  <c r="BP1934" i="1"/>
  <c r="BO1934" i="1"/>
  <c r="BN1934" i="1"/>
  <c r="BM1934" i="1"/>
  <c r="BL1934" i="1"/>
  <c r="BK1934" i="1"/>
  <c r="BJ1934" i="1"/>
  <c r="BI1934" i="1"/>
  <c r="BH1934" i="1"/>
  <c r="BP1933" i="1"/>
  <c r="BO1933" i="1"/>
  <c r="BN1933" i="1"/>
  <c r="BM1933" i="1"/>
  <c r="BL1933" i="1"/>
  <c r="BK1933" i="1"/>
  <c r="BJ1933" i="1"/>
  <c r="BI1933" i="1"/>
  <c r="BH1933" i="1"/>
  <c r="BP1932" i="1"/>
  <c r="BO1932" i="1"/>
  <c r="BN1932" i="1"/>
  <c r="BM1932" i="1"/>
  <c r="BL1932" i="1"/>
  <c r="BK1932" i="1"/>
  <c r="BJ1932" i="1"/>
  <c r="BI1932" i="1"/>
  <c r="BH1932" i="1"/>
  <c r="BP1931" i="1"/>
  <c r="BO1931" i="1"/>
  <c r="BN1931" i="1"/>
  <c r="BM1931" i="1"/>
  <c r="BL1931" i="1"/>
  <c r="BK1931" i="1"/>
  <c r="BJ1931" i="1"/>
  <c r="BI1931" i="1"/>
  <c r="BH1931" i="1"/>
  <c r="BP1930" i="1"/>
  <c r="BO1930" i="1"/>
  <c r="BN1930" i="1"/>
  <c r="BM1930" i="1"/>
  <c r="BL1930" i="1"/>
  <c r="BK1930" i="1"/>
  <c r="BJ1930" i="1"/>
  <c r="BI1930" i="1"/>
  <c r="BH1930" i="1"/>
  <c r="BP1929" i="1"/>
  <c r="BO1929" i="1"/>
  <c r="BN1929" i="1"/>
  <c r="BM1929" i="1"/>
  <c r="BL1929" i="1"/>
  <c r="BK1929" i="1"/>
  <c r="BJ1929" i="1"/>
  <c r="BI1929" i="1"/>
  <c r="BH1929" i="1"/>
  <c r="BP1928" i="1"/>
  <c r="BO1928" i="1"/>
  <c r="BN1928" i="1"/>
  <c r="BM1928" i="1"/>
  <c r="BL1928" i="1"/>
  <c r="BK1928" i="1"/>
  <c r="BJ1928" i="1"/>
  <c r="BI1928" i="1"/>
  <c r="BH1928" i="1"/>
  <c r="BP1927" i="1"/>
  <c r="BN1927" i="1"/>
  <c r="BL1927" i="1"/>
  <c r="BI1927" i="1"/>
  <c r="BH1927" i="1"/>
  <c r="BG1927" i="1"/>
  <c r="BC1927" i="1"/>
  <c r="BO1927" i="1" s="1"/>
  <c r="AU1927" i="1"/>
  <c r="AG1927" i="1"/>
  <c r="BM1927" i="1" s="1"/>
  <c r="U1927" i="1"/>
  <c r="BK1927" i="1" s="1"/>
  <c r="S1927" i="1"/>
  <c r="BJ1927" i="1" s="1"/>
  <c r="Q1927" i="1"/>
  <c r="D1927" i="1"/>
  <c r="BP1926" i="1"/>
  <c r="BO1926" i="1"/>
  <c r="BN1926" i="1"/>
  <c r="BM1926" i="1"/>
  <c r="BL1926" i="1"/>
  <c r="BK1926" i="1"/>
  <c r="BJ1926" i="1"/>
  <c r="BI1926" i="1"/>
  <c r="BH1926" i="1"/>
  <c r="V1926" i="1"/>
  <c r="BP1925" i="1"/>
  <c r="BO1925" i="1"/>
  <c r="BN1925" i="1"/>
  <c r="BM1925" i="1"/>
  <c r="BL1925" i="1"/>
  <c r="BK1925" i="1"/>
  <c r="BJ1925" i="1"/>
  <c r="BI1925" i="1"/>
  <c r="BH1925" i="1"/>
  <c r="BP1924" i="1"/>
  <c r="BO1924" i="1"/>
  <c r="BK1924" i="1"/>
  <c r="BI1924" i="1"/>
  <c r="BG1924" i="1"/>
  <c r="BF1924" i="1"/>
  <c r="AW1924" i="1"/>
  <c r="AT1924" i="1"/>
  <c r="BN1924" i="1" s="1"/>
  <c r="AQ1924" i="1"/>
  <c r="AF1924" i="1"/>
  <c r="BM1924" i="1" s="1"/>
  <c r="Z1924" i="1"/>
  <c r="BL1924" i="1" s="1"/>
  <c r="U1924" i="1"/>
  <c r="S1924" i="1"/>
  <c r="BJ1924" i="1" s="1"/>
  <c r="O1924" i="1"/>
  <c r="C1924" i="1"/>
  <c r="BH1924" i="1" s="1"/>
  <c r="BP1923" i="1"/>
  <c r="BO1923" i="1"/>
  <c r="BN1923" i="1"/>
  <c r="BL1923" i="1"/>
  <c r="BK1923" i="1"/>
  <c r="BJ1923" i="1"/>
  <c r="BI1923" i="1"/>
  <c r="BH1923" i="1"/>
  <c r="AR1923" i="1"/>
  <c r="AN1923" i="1"/>
  <c r="BM1923" i="1" s="1"/>
  <c r="BP1922" i="1"/>
  <c r="BO1922" i="1"/>
  <c r="BN1922" i="1"/>
  <c r="BM1922" i="1"/>
  <c r="BL1922" i="1"/>
  <c r="BK1922" i="1"/>
  <c r="BJ1922" i="1"/>
  <c r="BI1922" i="1"/>
  <c r="BH1922" i="1"/>
  <c r="AQ1922" i="1"/>
  <c r="BP1921" i="1"/>
  <c r="BO1921" i="1"/>
  <c r="BN1921" i="1"/>
  <c r="BM1921" i="1"/>
  <c r="BL1921" i="1"/>
  <c r="BK1921" i="1"/>
  <c r="BJ1921" i="1"/>
  <c r="BI1921" i="1"/>
  <c r="BH1921" i="1"/>
  <c r="BP1920" i="1"/>
  <c r="BO1920" i="1"/>
  <c r="BN1920" i="1"/>
  <c r="BM1920" i="1"/>
  <c r="BL1920" i="1"/>
  <c r="BK1920" i="1"/>
  <c r="BJ1920" i="1"/>
  <c r="BI1920" i="1"/>
  <c r="BH1920" i="1"/>
  <c r="BP1919" i="1"/>
  <c r="BO1919" i="1"/>
  <c r="BN1919" i="1"/>
  <c r="BM1919" i="1"/>
  <c r="BL1919" i="1"/>
  <c r="BK1919" i="1"/>
  <c r="BJ1919" i="1"/>
  <c r="BI1919" i="1"/>
  <c r="BH1919" i="1"/>
  <c r="BP1918" i="1"/>
  <c r="BO1918" i="1"/>
  <c r="BN1918" i="1"/>
  <c r="BL1918" i="1"/>
  <c r="BK1918" i="1"/>
  <c r="BJ1918" i="1"/>
  <c r="BI1918" i="1"/>
  <c r="BH1918" i="1"/>
  <c r="AP1918" i="1"/>
  <c r="BM1918" i="1" s="1"/>
  <c r="BP1917" i="1"/>
  <c r="BO1917" i="1"/>
  <c r="BN1917" i="1"/>
  <c r="BM1917" i="1"/>
  <c r="BL1917" i="1"/>
  <c r="BK1917" i="1"/>
  <c r="BJ1917" i="1"/>
  <c r="BI1917" i="1"/>
  <c r="BH1917" i="1"/>
  <c r="X1917" i="1"/>
  <c r="BP1916" i="1"/>
  <c r="BO1916" i="1"/>
  <c r="BN1916" i="1"/>
  <c r="BM1916" i="1"/>
  <c r="BL1916" i="1"/>
  <c r="BJ1916" i="1"/>
  <c r="BI1916" i="1"/>
  <c r="BH1916" i="1"/>
  <c r="X1916" i="1"/>
  <c r="BK1916" i="1" s="1"/>
  <c r="BP1915" i="1"/>
  <c r="BO1915" i="1"/>
  <c r="BN1915" i="1"/>
  <c r="BM1915" i="1"/>
  <c r="BL1915" i="1"/>
  <c r="BK1915" i="1"/>
  <c r="BJ1915" i="1"/>
  <c r="BI1915" i="1"/>
  <c r="BH1915" i="1"/>
  <c r="AS1915" i="1"/>
  <c r="BP1914" i="1"/>
  <c r="BO1914" i="1"/>
  <c r="BL1914" i="1"/>
  <c r="BI1914" i="1"/>
  <c r="BH1914" i="1"/>
  <c r="BG1914" i="1"/>
  <c r="AV1914" i="1"/>
  <c r="AT1914" i="1"/>
  <c r="BN1914" i="1" s="1"/>
  <c r="AC1914" i="1"/>
  <c r="BM1914" i="1" s="1"/>
  <c r="U1914" i="1"/>
  <c r="BK1914" i="1" s="1"/>
  <c r="S1914" i="1"/>
  <c r="BJ1914" i="1" s="1"/>
  <c r="M1914" i="1"/>
  <c r="H1914" i="1"/>
  <c r="C1914" i="1"/>
  <c r="BP1913" i="1"/>
  <c r="BO1913" i="1"/>
  <c r="BN1913" i="1"/>
  <c r="BM1913" i="1"/>
  <c r="BL1913" i="1"/>
  <c r="BK1913" i="1"/>
  <c r="BJ1913" i="1"/>
  <c r="BI1913" i="1"/>
  <c r="BH1913" i="1"/>
  <c r="BP1912" i="1"/>
  <c r="BO1912" i="1"/>
  <c r="BN1912" i="1"/>
  <c r="BM1912" i="1"/>
  <c r="BL1912" i="1"/>
  <c r="BK1912" i="1"/>
  <c r="BJ1912" i="1"/>
  <c r="BI1912" i="1"/>
  <c r="BH1912" i="1"/>
  <c r="BP1911" i="1"/>
  <c r="BO1911" i="1"/>
  <c r="BN1911" i="1"/>
  <c r="BL1911" i="1"/>
  <c r="BK1911" i="1"/>
  <c r="BI1911" i="1"/>
  <c r="BH1911" i="1"/>
  <c r="BG1911" i="1"/>
  <c r="AU1911" i="1"/>
  <c r="AT1911" i="1"/>
  <c r="AM1911" i="1"/>
  <c r="BM1911" i="1" s="1"/>
  <c r="U1911" i="1"/>
  <c r="S1911" i="1"/>
  <c r="BJ1911" i="1" s="1"/>
  <c r="M1911" i="1"/>
  <c r="D1911" i="1"/>
  <c r="C1911" i="1"/>
  <c r="BP1910" i="1"/>
  <c r="BO1910" i="1"/>
  <c r="BN1910" i="1"/>
  <c r="BM1910" i="1"/>
  <c r="BL1910" i="1"/>
  <c r="BK1910" i="1"/>
  <c r="BJ1910" i="1"/>
  <c r="BI1910" i="1"/>
  <c r="BH1910" i="1"/>
  <c r="AJ1910" i="1"/>
  <c r="J1910" i="1"/>
  <c r="BP1909" i="1"/>
  <c r="BO1909" i="1"/>
  <c r="BN1909" i="1"/>
  <c r="BL1909" i="1"/>
  <c r="BK1909" i="1"/>
  <c r="BJ1909" i="1"/>
  <c r="BI1909" i="1"/>
  <c r="BH1909" i="1"/>
  <c r="AS1909" i="1"/>
  <c r="BM1909" i="1" s="1"/>
  <c r="AN1909" i="1"/>
  <c r="BP1908" i="1"/>
  <c r="BO1908" i="1"/>
  <c r="BN1908" i="1"/>
  <c r="BL1908" i="1"/>
  <c r="BK1908" i="1"/>
  <c r="BJ1908" i="1"/>
  <c r="BI1908" i="1"/>
  <c r="BH1908" i="1"/>
  <c r="AR1908" i="1"/>
  <c r="AN1908" i="1"/>
  <c r="BM1908" i="1" s="1"/>
  <c r="BP1907" i="1"/>
  <c r="BO1907" i="1"/>
  <c r="BN1907" i="1"/>
  <c r="BM1907" i="1"/>
  <c r="BL1907" i="1"/>
  <c r="BK1907" i="1"/>
  <c r="BJ1907" i="1"/>
  <c r="BI1907" i="1"/>
  <c r="BH1907" i="1"/>
  <c r="BP1906" i="1"/>
  <c r="BN1906" i="1"/>
  <c r="BM1906" i="1"/>
  <c r="BL1906" i="1"/>
  <c r="BK1906" i="1"/>
  <c r="BJ1906" i="1"/>
  <c r="BI1906" i="1"/>
  <c r="BH1906" i="1"/>
  <c r="AY1906" i="1"/>
  <c r="BO1906" i="1" s="1"/>
  <c r="BP1905" i="1"/>
  <c r="BO1905" i="1"/>
  <c r="BN1905" i="1"/>
  <c r="BM1905" i="1"/>
  <c r="BL1905" i="1"/>
  <c r="BK1905" i="1"/>
  <c r="BJ1905" i="1"/>
  <c r="BI1905" i="1"/>
  <c r="BH1905" i="1"/>
  <c r="BP1904" i="1"/>
  <c r="BO1904" i="1"/>
  <c r="BN1904" i="1"/>
  <c r="BM1904" i="1"/>
  <c r="BL1904" i="1"/>
  <c r="BK1904" i="1"/>
  <c r="BJ1904" i="1"/>
  <c r="BI1904" i="1"/>
  <c r="BH1904" i="1"/>
  <c r="X1904" i="1"/>
  <c r="BP1903" i="1"/>
  <c r="BO1903" i="1"/>
  <c r="BN1903" i="1"/>
  <c r="BL1903" i="1"/>
  <c r="BK1903" i="1"/>
  <c r="BJ1903" i="1"/>
  <c r="BI1903" i="1"/>
  <c r="BH1903" i="1"/>
  <c r="AS1903" i="1"/>
  <c r="BM1903" i="1" s="1"/>
  <c r="BP1902" i="1"/>
  <c r="BO1902" i="1"/>
  <c r="BN1902" i="1"/>
  <c r="BL1902" i="1"/>
  <c r="BK1902" i="1"/>
  <c r="BJ1902" i="1"/>
  <c r="BI1902" i="1"/>
  <c r="BH1902" i="1"/>
  <c r="AS1902" i="1"/>
  <c r="BM1902" i="1" s="1"/>
  <c r="BP1901" i="1"/>
  <c r="BO1901" i="1"/>
  <c r="BN1901" i="1"/>
  <c r="BL1901" i="1"/>
  <c r="BK1901" i="1"/>
  <c r="BJ1901" i="1"/>
  <c r="BI1901" i="1"/>
  <c r="BH1901" i="1"/>
  <c r="AS1901" i="1"/>
  <c r="BM1901" i="1" s="1"/>
  <c r="BP1900" i="1"/>
  <c r="BO1900" i="1"/>
  <c r="BN1900" i="1"/>
  <c r="BL1900" i="1"/>
  <c r="BK1900" i="1"/>
  <c r="BJ1900" i="1"/>
  <c r="BI1900" i="1"/>
  <c r="BH1900" i="1"/>
  <c r="AR1900" i="1"/>
  <c r="AN1900" i="1"/>
  <c r="BP1899" i="1"/>
  <c r="BO1899" i="1"/>
  <c r="BN1899" i="1"/>
  <c r="BL1899" i="1"/>
  <c r="BK1899" i="1"/>
  <c r="BJ1899" i="1"/>
  <c r="BI1899" i="1"/>
  <c r="BH1899" i="1"/>
  <c r="AR1899" i="1"/>
  <c r="AN1899" i="1"/>
  <c r="BM1899" i="1" s="1"/>
  <c r="BP1898" i="1"/>
  <c r="BO1898" i="1"/>
  <c r="BN1898" i="1"/>
  <c r="BL1898" i="1"/>
  <c r="BK1898" i="1"/>
  <c r="BJ1898" i="1"/>
  <c r="BI1898" i="1"/>
  <c r="BH1898" i="1"/>
  <c r="AS1898" i="1"/>
  <c r="AR1898" i="1"/>
  <c r="AQ1898" i="1"/>
  <c r="BM1898" i="1" s="1"/>
  <c r="BP1897" i="1"/>
  <c r="BO1897" i="1"/>
  <c r="BN1897" i="1"/>
  <c r="BL1897" i="1"/>
  <c r="BK1897" i="1"/>
  <c r="BJ1897" i="1"/>
  <c r="BI1897" i="1"/>
  <c r="BH1897" i="1"/>
  <c r="AR1897" i="1"/>
  <c r="AN1897" i="1"/>
  <c r="BP1896" i="1"/>
  <c r="BO1896" i="1"/>
  <c r="BN1896" i="1"/>
  <c r="BL1896" i="1"/>
  <c r="BK1896" i="1"/>
  <c r="BJ1896" i="1"/>
  <c r="BI1896" i="1"/>
  <c r="BH1896" i="1"/>
  <c r="AP1896" i="1"/>
  <c r="BM1896" i="1" s="1"/>
  <c r="BP1895" i="1"/>
  <c r="BO1895" i="1"/>
  <c r="BN1895" i="1"/>
  <c r="BM1895" i="1"/>
  <c r="BL1895" i="1"/>
  <c r="BK1895" i="1"/>
  <c r="BJ1895" i="1"/>
  <c r="BI1895" i="1"/>
  <c r="BH1895" i="1"/>
  <c r="BP1894" i="1"/>
  <c r="BO1894" i="1"/>
  <c r="BN1894" i="1"/>
  <c r="BM1894" i="1"/>
  <c r="BL1894" i="1"/>
  <c r="BK1894" i="1"/>
  <c r="BJ1894" i="1"/>
  <c r="BI1894" i="1"/>
  <c r="BH1894" i="1"/>
  <c r="BP1893" i="1"/>
  <c r="BO1893" i="1"/>
  <c r="BN1893" i="1"/>
  <c r="BM1893" i="1"/>
  <c r="BL1893" i="1"/>
  <c r="BK1893" i="1"/>
  <c r="BJ1893" i="1"/>
  <c r="BI1893" i="1"/>
  <c r="BH1893" i="1"/>
  <c r="BP1892" i="1"/>
  <c r="BO1892" i="1"/>
  <c r="BN1892" i="1"/>
  <c r="BM1892" i="1"/>
  <c r="BL1892" i="1"/>
  <c r="BK1892" i="1"/>
  <c r="BJ1892" i="1"/>
  <c r="BI1892" i="1"/>
  <c r="BH1892" i="1"/>
  <c r="BP1891" i="1"/>
  <c r="BO1891" i="1"/>
  <c r="BN1891" i="1"/>
  <c r="BM1891" i="1"/>
  <c r="BL1891" i="1"/>
  <c r="BK1891" i="1"/>
  <c r="BJ1891" i="1"/>
  <c r="BI1891" i="1"/>
  <c r="BH1891" i="1"/>
  <c r="BP1890" i="1"/>
  <c r="BO1890" i="1"/>
  <c r="BN1890" i="1"/>
  <c r="BM1890" i="1"/>
  <c r="BL1890" i="1"/>
  <c r="BK1890" i="1"/>
  <c r="BJ1890" i="1"/>
  <c r="BI1890" i="1"/>
  <c r="BH1890" i="1"/>
  <c r="BP1889" i="1"/>
  <c r="BO1889" i="1"/>
  <c r="BN1889" i="1"/>
  <c r="BM1889" i="1"/>
  <c r="BL1889" i="1"/>
  <c r="BK1889" i="1"/>
  <c r="BJ1889" i="1"/>
  <c r="BI1889" i="1"/>
  <c r="BH1889" i="1"/>
  <c r="BP1888" i="1"/>
  <c r="BO1888" i="1"/>
  <c r="BN1888" i="1"/>
  <c r="BM1888" i="1"/>
  <c r="BL1888" i="1"/>
  <c r="BK1888" i="1"/>
  <c r="BJ1888" i="1"/>
  <c r="BI1888" i="1"/>
  <c r="BH1888" i="1"/>
  <c r="BP1887" i="1"/>
  <c r="BN1887" i="1"/>
  <c r="BM1887" i="1"/>
  <c r="BI1887" i="1"/>
  <c r="BH1887" i="1"/>
  <c r="BG1887" i="1"/>
  <c r="BF1887" i="1"/>
  <c r="AW1887" i="1"/>
  <c r="BO1887" i="1" s="1"/>
  <c r="AT1887" i="1"/>
  <c r="AF1887" i="1"/>
  <c r="Z1887" i="1"/>
  <c r="BL1887" i="1" s="1"/>
  <c r="U1887" i="1"/>
  <c r="BK1887" i="1" s="1"/>
  <c r="S1887" i="1"/>
  <c r="BJ1887" i="1" s="1"/>
  <c r="O1887" i="1"/>
  <c r="C1887" i="1"/>
  <c r="BP1886" i="1"/>
  <c r="BO1886" i="1"/>
  <c r="BN1886" i="1"/>
  <c r="BM1886" i="1"/>
  <c r="BL1886" i="1"/>
  <c r="BK1886" i="1"/>
  <c r="BJ1886" i="1"/>
  <c r="BI1886" i="1"/>
  <c r="BH1886" i="1"/>
  <c r="BP1885" i="1"/>
  <c r="BO1885" i="1"/>
  <c r="BN1885" i="1"/>
  <c r="BM1885" i="1"/>
  <c r="BL1885" i="1"/>
  <c r="BK1885" i="1"/>
  <c r="BJ1885" i="1"/>
  <c r="BI1885" i="1"/>
  <c r="BH1885" i="1"/>
  <c r="BP1884" i="1"/>
  <c r="BO1884" i="1"/>
  <c r="BN1884" i="1"/>
  <c r="BM1884" i="1"/>
  <c r="BL1884" i="1"/>
  <c r="BK1884" i="1"/>
  <c r="BJ1884" i="1"/>
  <c r="BI1884" i="1"/>
  <c r="BH1884" i="1"/>
  <c r="BP1883" i="1"/>
  <c r="BO1883" i="1"/>
  <c r="BN1883" i="1"/>
  <c r="BM1883" i="1"/>
  <c r="BL1883" i="1"/>
  <c r="BK1883" i="1"/>
  <c r="BJ1883" i="1"/>
  <c r="BI1883" i="1"/>
  <c r="BH1883" i="1"/>
  <c r="BP1882" i="1"/>
  <c r="BO1882" i="1"/>
  <c r="BN1882" i="1"/>
  <c r="BM1882" i="1"/>
  <c r="BL1882" i="1"/>
  <c r="BK1882" i="1"/>
  <c r="BJ1882" i="1"/>
  <c r="BI1882" i="1"/>
  <c r="BH1882" i="1"/>
  <c r="BP1881" i="1"/>
  <c r="BO1881" i="1"/>
  <c r="BN1881" i="1"/>
  <c r="BM1881" i="1"/>
  <c r="BL1881" i="1"/>
  <c r="BK1881" i="1"/>
  <c r="BJ1881" i="1"/>
  <c r="BI1881" i="1"/>
  <c r="BH1881" i="1"/>
  <c r="BP1880" i="1"/>
  <c r="BO1880" i="1"/>
  <c r="BN1880" i="1"/>
  <c r="BM1880" i="1"/>
  <c r="BL1880" i="1"/>
  <c r="BK1880" i="1"/>
  <c r="BJ1880" i="1"/>
  <c r="BI1880" i="1"/>
  <c r="BH1880" i="1"/>
  <c r="BP1879" i="1"/>
  <c r="BO1879" i="1"/>
  <c r="BN1879" i="1"/>
  <c r="BM1879" i="1"/>
  <c r="BL1879" i="1"/>
  <c r="BK1879" i="1"/>
  <c r="BJ1879" i="1"/>
  <c r="BI1879" i="1"/>
  <c r="BH1879" i="1"/>
  <c r="BP1878" i="1"/>
  <c r="BO1878" i="1"/>
  <c r="BN1878" i="1"/>
  <c r="BM1878" i="1"/>
  <c r="BL1878" i="1"/>
  <c r="BK1878" i="1"/>
  <c r="BJ1878" i="1"/>
  <c r="BI1878" i="1"/>
  <c r="BH1878" i="1"/>
  <c r="BP1877" i="1"/>
  <c r="BO1877" i="1"/>
  <c r="BN1877" i="1"/>
  <c r="BM1877" i="1"/>
  <c r="BL1877" i="1"/>
  <c r="BK1877" i="1"/>
  <c r="BJ1877" i="1"/>
  <c r="BI1877" i="1"/>
  <c r="BH1877" i="1"/>
  <c r="BP1876" i="1"/>
  <c r="BO1876" i="1"/>
  <c r="BN1876" i="1"/>
  <c r="BM1876" i="1"/>
  <c r="BL1876" i="1"/>
  <c r="BK1876" i="1"/>
  <c r="BJ1876" i="1"/>
  <c r="BI1876" i="1"/>
  <c r="BH1876" i="1"/>
  <c r="AB1876" i="1"/>
  <c r="BP1875" i="1"/>
  <c r="BO1875" i="1"/>
  <c r="BN1875" i="1"/>
  <c r="BM1875" i="1"/>
  <c r="BL1875" i="1"/>
  <c r="BK1875" i="1"/>
  <c r="BJ1875" i="1"/>
  <c r="BI1875" i="1"/>
  <c r="BH1875" i="1"/>
  <c r="AQ1875" i="1"/>
  <c r="BP1874" i="1"/>
  <c r="BO1874" i="1"/>
  <c r="BN1874" i="1"/>
  <c r="BM1874" i="1"/>
  <c r="BL1874" i="1"/>
  <c r="BK1874" i="1"/>
  <c r="BJ1874" i="1"/>
  <c r="BI1874" i="1"/>
  <c r="BH1874" i="1"/>
  <c r="BP1873" i="1"/>
  <c r="BO1873" i="1"/>
  <c r="BN1873" i="1"/>
  <c r="BM1873" i="1"/>
  <c r="BL1873" i="1"/>
  <c r="BK1873" i="1"/>
  <c r="BJ1873" i="1"/>
  <c r="BI1873" i="1"/>
  <c r="BH1873" i="1"/>
  <c r="BP1872" i="1"/>
  <c r="BO1872" i="1"/>
  <c r="BN1872" i="1"/>
  <c r="BM1872" i="1"/>
  <c r="BL1872" i="1"/>
  <c r="BK1872" i="1"/>
  <c r="BJ1872" i="1"/>
  <c r="BI1872" i="1"/>
  <c r="BH1872" i="1"/>
  <c r="BP1871" i="1"/>
  <c r="BO1871" i="1"/>
  <c r="BN1871" i="1"/>
  <c r="BM1871" i="1"/>
  <c r="BL1871" i="1"/>
  <c r="BK1871" i="1"/>
  <c r="BJ1871" i="1"/>
  <c r="BI1871" i="1"/>
  <c r="BH1871" i="1"/>
  <c r="AY1871" i="1"/>
  <c r="BP1870" i="1"/>
  <c r="BO1870" i="1"/>
  <c r="BN1870" i="1"/>
  <c r="BM1870" i="1"/>
  <c r="BL1870" i="1"/>
  <c r="BK1870" i="1"/>
  <c r="BJ1870" i="1"/>
  <c r="BI1870" i="1"/>
  <c r="BH1870" i="1"/>
  <c r="BP1869" i="1"/>
  <c r="BO1869" i="1"/>
  <c r="BN1869" i="1"/>
  <c r="BL1869" i="1"/>
  <c r="BK1869" i="1"/>
  <c r="BJ1869" i="1"/>
  <c r="BI1869" i="1"/>
  <c r="BH1869" i="1"/>
  <c r="AQ1869" i="1"/>
  <c r="BM1869" i="1" s="1"/>
  <c r="BP1868" i="1"/>
  <c r="BO1868" i="1"/>
  <c r="BN1868" i="1"/>
  <c r="BM1868" i="1"/>
  <c r="BL1868" i="1"/>
  <c r="BK1868" i="1"/>
  <c r="BJ1868" i="1"/>
  <c r="BI1868" i="1"/>
  <c r="BH1868" i="1"/>
  <c r="AS1868" i="1"/>
  <c r="AN1868" i="1"/>
  <c r="BP1867" i="1"/>
  <c r="BO1867" i="1"/>
  <c r="BN1867" i="1"/>
  <c r="BL1867" i="1"/>
  <c r="BK1867" i="1"/>
  <c r="BJ1867" i="1"/>
  <c r="BI1867" i="1"/>
  <c r="BH1867" i="1"/>
  <c r="AS1867" i="1"/>
  <c r="BM1867" i="1" s="1"/>
  <c r="BP1866" i="1"/>
  <c r="BO1866" i="1"/>
  <c r="BN1866" i="1"/>
  <c r="BM1866" i="1"/>
  <c r="BL1866" i="1"/>
  <c r="BK1866" i="1"/>
  <c r="BJ1866" i="1"/>
  <c r="BI1866" i="1"/>
  <c r="BH1866" i="1"/>
  <c r="AS1866" i="1"/>
  <c r="BP1865" i="1"/>
  <c r="BO1865" i="1"/>
  <c r="BN1865" i="1"/>
  <c r="BM1865" i="1"/>
  <c r="BL1865" i="1"/>
  <c r="BK1865" i="1"/>
  <c r="BJ1865" i="1"/>
  <c r="BI1865" i="1"/>
  <c r="BH1865" i="1"/>
  <c r="BP1864" i="1"/>
  <c r="BO1864" i="1"/>
  <c r="BN1864" i="1"/>
  <c r="BM1864" i="1"/>
  <c r="BL1864" i="1"/>
  <c r="BK1864" i="1"/>
  <c r="BJ1864" i="1"/>
  <c r="BI1864" i="1"/>
  <c r="BH1864" i="1"/>
  <c r="AQ1864" i="1"/>
  <c r="BP1863" i="1"/>
  <c r="BO1863" i="1"/>
  <c r="BN1863" i="1"/>
  <c r="BM1863" i="1"/>
  <c r="BL1863" i="1"/>
  <c r="BK1863" i="1"/>
  <c r="BJ1863" i="1"/>
  <c r="BI1863" i="1"/>
  <c r="BH1863" i="1"/>
  <c r="BP1862" i="1"/>
  <c r="BO1862" i="1"/>
  <c r="BN1862" i="1"/>
  <c r="BM1862" i="1"/>
  <c r="BL1862" i="1"/>
  <c r="BK1862" i="1"/>
  <c r="BJ1862" i="1"/>
  <c r="BI1862" i="1"/>
  <c r="BH1862" i="1"/>
  <c r="BP1861" i="1"/>
  <c r="BO1861" i="1"/>
  <c r="BN1861" i="1"/>
  <c r="BM1861" i="1"/>
  <c r="BL1861" i="1"/>
  <c r="BK1861" i="1"/>
  <c r="BJ1861" i="1"/>
  <c r="BI1861" i="1"/>
  <c r="BH1861" i="1"/>
  <c r="BP1860" i="1"/>
  <c r="BO1860" i="1"/>
  <c r="BN1860" i="1"/>
  <c r="BM1860" i="1"/>
  <c r="BL1860" i="1"/>
  <c r="BK1860" i="1"/>
  <c r="BJ1860" i="1"/>
  <c r="BI1860" i="1"/>
  <c r="BH1860" i="1"/>
  <c r="V1860" i="1"/>
  <c r="BP1859" i="1"/>
  <c r="BO1859" i="1"/>
  <c r="BN1859" i="1"/>
  <c r="BM1859" i="1"/>
  <c r="BL1859" i="1"/>
  <c r="BK1859" i="1"/>
  <c r="BJ1859" i="1"/>
  <c r="BI1859" i="1"/>
  <c r="BH1859" i="1"/>
  <c r="BP1858" i="1"/>
  <c r="BM1858" i="1"/>
  <c r="BL1858" i="1"/>
  <c r="BJ1858" i="1"/>
  <c r="BI1858" i="1"/>
  <c r="BH1858" i="1"/>
  <c r="BG1858" i="1"/>
  <c r="AV1858" i="1"/>
  <c r="BO1858" i="1" s="1"/>
  <c r="AU1858" i="1"/>
  <c r="AT1858" i="1"/>
  <c r="BN1858" i="1" s="1"/>
  <c r="U1858" i="1"/>
  <c r="BK1858" i="1" s="1"/>
  <c r="S1858" i="1"/>
  <c r="M1858" i="1"/>
  <c r="I1858" i="1"/>
  <c r="D1858" i="1"/>
  <c r="BP1857" i="1"/>
  <c r="BO1857" i="1"/>
  <c r="BN1857" i="1"/>
  <c r="BM1857" i="1"/>
  <c r="BL1857" i="1"/>
  <c r="BK1857" i="1"/>
  <c r="BJ1857" i="1"/>
  <c r="BI1857" i="1"/>
  <c r="BH1857" i="1"/>
  <c r="AR1857" i="1"/>
  <c r="AN1857" i="1"/>
  <c r="BP1856" i="1"/>
  <c r="BO1856" i="1"/>
  <c r="BN1856" i="1"/>
  <c r="BM1856" i="1"/>
  <c r="BL1856" i="1"/>
  <c r="BK1856" i="1"/>
  <c r="BJ1856" i="1"/>
  <c r="BI1856" i="1"/>
  <c r="BH1856" i="1"/>
  <c r="AR1856" i="1"/>
  <c r="AN1856" i="1"/>
  <c r="BP1855" i="1"/>
  <c r="BO1855" i="1"/>
  <c r="BN1855" i="1"/>
  <c r="BM1855" i="1"/>
  <c r="BL1855" i="1"/>
  <c r="BK1855" i="1"/>
  <c r="BJ1855" i="1"/>
  <c r="BI1855" i="1"/>
  <c r="BH1855" i="1"/>
  <c r="AR1855" i="1"/>
  <c r="AN1855" i="1"/>
  <c r="BP1854" i="1"/>
  <c r="BO1854" i="1"/>
  <c r="BN1854" i="1"/>
  <c r="BM1854" i="1"/>
  <c r="BL1854" i="1"/>
  <c r="BK1854" i="1"/>
  <c r="BJ1854" i="1"/>
  <c r="BI1854" i="1"/>
  <c r="BH1854" i="1"/>
  <c r="BP1853" i="1"/>
  <c r="BO1853" i="1"/>
  <c r="BN1853" i="1"/>
  <c r="BM1853" i="1"/>
  <c r="BL1853" i="1"/>
  <c r="BK1853" i="1"/>
  <c r="BJ1853" i="1"/>
  <c r="BI1853" i="1"/>
  <c r="BH1853" i="1"/>
  <c r="BP1852" i="1"/>
  <c r="BO1852" i="1"/>
  <c r="BN1852" i="1"/>
  <c r="BM1852" i="1"/>
  <c r="BL1852" i="1"/>
  <c r="BJ1852" i="1"/>
  <c r="BI1852" i="1"/>
  <c r="BH1852" i="1"/>
  <c r="X1852" i="1"/>
  <c r="BK1852" i="1" s="1"/>
  <c r="BP1851" i="1"/>
  <c r="BO1851" i="1"/>
  <c r="BN1851" i="1"/>
  <c r="BM1851" i="1"/>
  <c r="BL1851" i="1"/>
  <c r="BK1851" i="1"/>
  <c r="BJ1851" i="1"/>
  <c r="BI1851" i="1"/>
  <c r="BH1851" i="1"/>
  <c r="X1851" i="1"/>
  <c r="BP1850" i="1"/>
  <c r="BO1850" i="1"/>
  <c r="BN1850" i="1"/>
  <c r="BM1850" i="1"/>
  <c r="BL1850" i="1"/>
  <c r="BK1850" i="1"/>
  <c r="BJ1850" i="1"/>
  <c r="BI1850" i="1"/>
  <c r="BH1850" i="1"/>
  <c r="AQ1850" i="1"/>
  <c r="BP1849" i="1"/>
  <c r="BO1849" i="1"/>
  <c r="BL1849" i="1"/>
  <c r="BK1849" i="1"/>
  <c r="BJ1849" i="1"/>
  <c r="BG1849" i="1"/>
  <c r="AT1849" i="1"/>
  <c r="BN1849" i="1" s="1"/>
  <c r="AR1849" i="1"/>
  <c r="BM1849" i="1" s="1"/>
  <c r="AN1849" i="1"/>
  <c r="AM1849" i="1"/>
  <c r="W1849" i="1"/>
  <c r="S1849" i="1"/>
  <c r="N1849" i="1"/>
  <c r="BI1849" i="1" s="1"/>
  <c r="I1849" i="1"/>
  <c r="D1849" i="1"/>
  <c r="BP1848" i="1"/>
  <c r="BO1848" i="1"/>
  <c r="BN1848" i="1"/>
  <c r="BM1848" i="1"/>
  <c r="BL1848" i="1"/>
  <c r="BK1848" i="1"/>
  <c r="BJ1848" i="1"/>
  <c r="BI1848" i="1"/>
  <c r="BH1848" i="1"/>
  <c r="BP1847" i="1"/>
  <c r="BO1847" i="1"/>
  <c r="BN1847" i="1"/>
  <c r="BM1847" i="1"/>
  <c r="BL1847" i="1"/>
  <c r="BK1847" i="1"/>
  <c r="BJ1847" i="1"/>
  <c r="BI1847" i="1"/>
  <c r="BH1847" i="1"/>
  <c r="AP1847" i="1"/>
  <c r="BP1846" i="1"/>
  <c r="BO1846" i="1"/>
  <c r="BN1846" i="1"/>
  <c r="BM1846" i="1"/>
  <c r="BL1846" i="1"/>
  <c r="BK1846" i="1"/>
  <c r="BJ1846" i="1"/>
  <c r="BI1846" i="1"/>
  <c r="BH1846" i="1"/>
  <c r="BP1845" i="1"/>
  <c r="BO1845" i="1"/>
  <c r="BN1845" i="1"/>
  <c r="BM1845" i="1"/>
  <c r="BL1845" i="1"/>
  <c r="BK1845" i="1"/>
  <c r="BJ1845" i="1"/>
  <c r="BI1845" i="1"/>
  <c r="BH1845" i="1"/>
  <c r="BP1844" i="1"/>
  <c r="BO1844" i="1"/>
  <c r="BN1844" i="1"/>
  <c r="BL1844" i="1"/>
  <c r="BK1844" i="1"/>
  <c r="BJ1844" i="1"/>
  <c r="BI1844" i="1"/>
  <c r="BH1844" i="1"/>
  <c r="AQ1844" i="1"/>
  <c r="AB1844" i="1"/>
  <c r="BM1844" i="1" s="1"/>
  <c r="BP1843" i="1"/>
  <c r="BO1843" i="1"/>
  <c r="BN1843" i="1"/>
  <c r="BM1843" i="1"/>
  <c r="BL1843" i="1"/>
  <c r="BK1843" i="1"/>
  <c r="BJ1843" i="1"/>
  <c r="BI1843" i="1"/>
  <c r="BH1843" i="1"/>
  <c r="BP1842" i="1"/>
  <c r="BO1842" i="1"/>
  <c r="BN1842" i="1"/>
  <c r="BM1842" i="1"/>
  <c r="BL1842" i="1"/>
  <c r="BK1842" i="1"/>
  <c r="BJ1842" i="1"/>
  <c r="BI1842" i="1"/>
  <c r="BH1842" i="1"/>
  <c r="BP1841" i="1"/>
  <c r="BO1841" i="1"/>
  <c r="BN1841" i="1"/>
  <c r="BM1841" i="1"/>
  <c r="BL1841" i="1"/>
  <c r="BJ1841" i="1"/>
  <c r="BH1841" i="1"/>
  <c r="V1841" i="1"/>
  <c r="BK1841" i="1" s="1"/>
  <c r="M1841" i="1"/>
  <c r="BI1841" i="1" s="1"/>
  <c r="BP1840" i="1"/>
  <c r="BO1840" i="1"/>
  <c r="BN1840" i="1"/>
  <c r="BM1840" i="1"/>
  <c r="BL1840" i="1"/>
  <c r="BK1840" i="1"/>
  <c r="BJ1840" i="1"/>
  <c r="BI1840" i="1"/>
  <c r="BH1840" i="1"/>
  <c r="BP1839" i="1"/>
  <c r="BO1839" i="1"/>
  <c r="BN1839" i="1"/>
  <c r="BM1839" i="1"/>
  <c r="BL1839" i="1"/>
  <c r="BK1839" i="1"/>
  <c r="BJ1839" i="1"/>
  <c r="BI1839" i="1"/>
  <c r="J1839" i="1"/>
  <c r="BH1839" i="1" s="1"/>
  <c r="BP1838" i="1"/>
  <c r="BO1838" i="1"/>
  <c r="BN1838" i="1"/>
  <c r="BM1838" i="1"/>
  <c r="BL1838" i="1"/>
  <c r="BJ1838" i="1"/>
  <c r="BI1838" i="1"/>
  <c r="BH1838" i="1"/>
  <c r="X1838" i="1"/>
  <c r="BK1838" i="1" s="1"/>
  <c r="BP1837" i="1"/>
  <c r="BO1837" i="1"/>
  <c r="BN1837" i="1"/>
  <c r="BM1837" i="1"/>
  <c r="BL1837" i="1"/>
  <c r="BK1837" i="1"/>
  <c r="BJ1837" i="1"/>
  <c r="BI1837" i="1"/>
  <c r="BH1837" i="1"/>
  <c r="AQ1837" i="1"/>
  <c r="BP1836" i="1"/>
  <c r="BO1836" i="1"/>
  <c r="BN1836" i="1"/>
  <c r="BM1836" i="1"/>
  <c r="BL1836" i="1"/>
  <c r="BK1836" i="1"/>
  <c r="BJ1836" i="1"/>
  <c r="BI1836" i="1"/>
  <c r="BH1836" i="1"/>
  <c r="AS1836" i="1"/>
  <c r="AN1836" i="1"/>
  <c r="BP1835" i="1"/>
  <c r="BO1835" i="1"/>
  <c r="BN1835" i="1"/>
  <c r="BL1835" i="1"/>
  <c r="BK1835" i="1"/>
  <c r="BJ1835" i="1"/>
  <c r="BI1835" i="1"/>
  <c r="BH1835" i="1"/>
  <c r="AS1835" i="1"/>
  <c r="BM1835" i="1" s="1"/>
  <c r="BP1834" i="1"/>
  <c r="BO1834" i="1"/>
  <c r="BN1834" i="1"/>
  <c r="BL1834" i="1"/>
  <c r="BK1834" i="1"/>
  <c r="BJ1834" i="1"/>
  <c r="BI1834" i="1"/>
  <c r="BH1834" i="1"/>
  <c r="AS1834" i="1"/>
  <c r="BM1834" i="1" s="1"/>
  <c r="BP1833" i="1"/>
  <c r="BO1833" i="1"/>
  <c r="BN1833" i="1"/>
  <c r="BL1833" i="1"/>
  <c r="BK1833" i="1"/>
  <c r="BJ1833" i="1"/>
  <c r="BI1833" i="1"/>
  <c r="BH1833" i="1"/>
  <c r="AR1833" i="1"/>
  <c r="AN1833" i="1"/>
  <c r="BM1833" i="1" s="1"/>
  <c r="BP1832" i="1"/>
  <c r="BO1832" i="1"/>
  <c r="BN1832" i="1"/>
  <c r="BM1832" i="1"/>
  <c r="BL1832" i="1"/>
  <c r="BK1832" i="1"/>
  <c r="BJ1832" i="1"/>
  <c r="BI1832" i="1"/>
  <c r="BH1832" i="1"/>
  <c r="BP1831" i="1"/>
  <c r="BO1831" i="1"/>
  <c r="BN1831" i="1"/>
  <c r="BM1831" i="1"/>
  <c r="BL1831" i="1"/>
  <c r="BK1831" i="1"/>
  <c r="BJ1831" i="1"/>
  <c r="BI1831" i="1"/>
  <c r="BH1831" i="1"/>
  <c r="X1831" i="1"/>
  <c r="BP1830" i="1"/>
  <c r="BO1830" i="1"/>
  <c r="BN1830" i="1"/>
  <c r="BM1830" i="1"/>
  <c r="BL1830" i="1"/>
  <c r="BK1830" i="1"/>
  <c r="BJ1830" i="1"/>
  <c r="BI1830" i="1"/>
  <c r="BH1830" i="1"/>
  <c r="AR1830" i="1"/>
  <c r="AN1830" i="1"/>
  <c r="BP1829" i="1"/>
  <c r="BO1829" i="1"/>
  <c r="BN1829" i="1"/>
  <c r="BL1829" i="1"/>
  <c r="BK1829" i="1"/>
  <c r="BJ1829" i="1"/>
  <c r="BI1829" i="1"/>
  <c r="BH1829" i="1"/>
  <c r="AR1829" i="1"/>
  <c r="BM1829" i="1" s="1"/>
  <c r="AN1829" i="1"/>
  <c r="BP1828" i="1"/>
  <c r="BO1828" i="1"/>
  <c r="BN1828" i="1"/>
  <c r="BL1828" i="1"/>
  <c r="BK1828" i="1"/>
  <c r="BJ1828" i="1"/>
  <c r="BI1828" i="1"/>
  <c r="BH1828" i="1"/>
  <c r="AR1828" i="1"/>
  <c r="AN1828" i="1"/>
  <c r="BM1828" i="1" s="1"/>
  <c r="BP1827" i="1"/>
  <c r="BO1827" i="1"/>
  <c r="BN1827" i="1"/>
  <c r="BM1827" i="1"/>
  <c r="BL1827" i="1"/>
  <c r="BK1827" i="1"/>
  <c r="BJ1827" i="1"/>
  <c r="BI1827" i="1"/>
  <c r="BH1827" i="1"/>
  <c r="BP1826" i="1"/>
  <c r="BO1826" i="1"/>
  <c r="BN1826" i="1"/>
  <c r="BM1826" i="1"/>
  <c r="BL1826" i="1"/>
  <c r="BK1826" i="1"/>
  <c r="BJ1826" i="1"/>
  <c r="BI1826" i="1"/>
  <c r="BH1826" i="1"/>
  <c r="BP1825" i="1"/>
  <c r="BO1825" i="1"/>
  <c r="BN1825" i="1"/>
  <c r="BM1825" i="1"/>
  <c r="BL1825" i="1"/>
  <c r="BK1825" i="1"/>
  <c r="BJ1825" i="1"/>
  <c r="BH1825" i="1"/>
  <c r="V1825" i="1"/>
  <c r="M1825" i="1"/>
  <c r="BI1825" i="1" s="1"/>
  <c r="BP1824" i="1"/>
  <c r="BO1824" i="1"/>
  <c r="BN1824" i="1"/>
  <c r="BM1824" i="1"/>
  <c r="BL1824" i="1"/>
  <c r="BK1824" i="1"/>
  <c r="BJ1824" i="1"/>
  <c r="BH1824" i="1"/>
  <c r="M1824" i="1"/>
  <c r="BI1824" i="1" s="1"/>
  <c r="BP1823" i="1"/>
  <c r="BO1823" i="1"/>
  <c r="BN1823" i="1"/>
  <c r="BM1823" i="1"/>
  <c r="BL1823" i="1"/>
  <c r="BK1823" i="1"/>
  <c r="BJ1823" i="1"/>
  <c r="BI1823" i="1"/>
  <c r="BH1823" i="1"/>
  <c r="BP1822" i="1"/>
  <c r="BO1822" i="1"/>
  <c r="BN1822" i="1"/>
  <c r="BM1822" i="1"/>
  <c r="BL1822" i="1"/>
  <c r="BK1822" i="1"/>
  <c r="BJ1822" i="1"/>
  <c r="BI1822" i="1"/>
  <c r="BH1822" i="1"/>
  <c r="BP1821" i="1"/>
  <c r="BO1821" i="1"/>
  <c r="BN1821" i="1"/>
  <c r="BM1821" i="1"/>
  <c r="BL1821" i="1"/>
  <c r="BK1821" i="1"/>
  <c r="BJ1821" i="1"/>
  <c r="BI1821" i="1"/>
  <c r="BH1821" i="1"/>
  <c r="BP1820" i="1"/>
  <c r="BO1820" i="1"/>
  <c r="BN1820" i="1"/>
  <c r="BM1820" i="1"/>
  <c r="BL1820" i="1"/>
  <c r="BK1820" i="1"/>
  <c r="BJ1820" i="1"/>
  <c r="BI1820" i="1"/>
  <c r="BH1820" i="1"/>
  <c r="X1820" i="1"/>
  <c r="BP1819" i="1"/>
  <c r="BO1819" i="1"/>
  <c r="BN1819" i="1"/>
  <c r="BM1819" i="1"/>
  <c r="BL1819" i="1"/>
  <c r="BK1819" i="1"/>
  <c r="BJ1819" i="1"/>
  <c r="BI1819" i="1"/>
  <c r="BH1819" i="1"/>
  <c r="AQ1819" i="1"/>
  <c r="BP1818" i="1"/>
  <c r="BO1818" i="1"/>
  <c r="BN1818" i="1"/>
  <c r="BL1818" i="1"/>
  <c r="BK1818" i="1"/>
  <c r="BJ1818" i="1"/>
  <c r="BI1818" i="1"/>
  <c r="BH1818" i="1"/>
  <c r="AQ1818" i="1"/>
  <c r="BM1818" i="1" s="1"/>
  <c r="AB1818" i="1"/>
  <c r="BP1817" i="1"/>
  <c r="BO1817" i="1"/>
  <c r="BN1817" i="1"/>
  <c r="BL1817" i="1"/>
  <c r="BK1817" i="1"/>
  <c r="BJ1817" i="1"/>
  <c r="BI1817" i="1"/>
  <c r="BH1817" i="1"/>
  <c r="AS1817" i="1"/>
  <c r="AN1817" i="1"/>
  <c r="BM1817" i="1" s="1"/>
  <c r="BP1816" i="1"/>
  <c r="BO1816" i="1"/>
  <c r="BN1816" i="1"/>
  <c r="BL1816" i="1"/>
  <c r="BK1816" i="1"/>
  <c r="BJ1816" i="1"/>
  <c r="BI1816" i="1"/>
  <c r="BH1816" i="1"/>
  <c r="AR1816" i="1"/>
  <c r="AN1816" i="1"/>
  <c r="BM1816" i="1" s="1"/>
  <c r="BP1815" i="1"/>
  <c r="BO1815" i="1"/>
  <c r="BN1815" i="1"/>
  <c r="BM1815" i="1"/>
  <c r="BL1815" i="1"/>
  <c r="BK1815" i="1"/>
  <c r="BJ1815" i="1"/>
  <c r="BI1815" i="1"/>
  <c r="BH1815" i="1"/>
  <c r="BP1814" i="1"/>
  <c r="BO1814" i="1"/>
  <c r="BN1814" i="1"/>
  <c r="BM1814" i="1"/>
  <c r="BL1814" i="1"/>
  <c r="BK1814" i="1"/>
  <c r="BJ1814" i="1"/>
  <c r="BI1814" i="1"/>
  <c r="BH1814" i="1"/>
  <c r="BP1813" i="1"/>
  <c r="BO1813" i="1"/>
  <c r="BN1813" i="1"/>
  <c r="BM1813" i="1"/>
  <c r="BL1813" i="1"/>
  <c r="BK1813" i="1"/>
  <c r="BJ1813" i="1"/>
  <c r="BI1813" i="1"/>
  <c r="BH1813" i="1"/>
  <c r="BP1812" i="1"/>
  <c r="BO1812" i="1"/>
  <c r="BN1812" i="1"/>
  <c r="BM1812" i="1"/>
  <c r="BL1812" i="1"/>
  <c r="BK1812" i="1"/>
  <c r="BJ1812" i="1"/>
  <c r="BI1812" i="1"/>
  <c r="BH1812" i="1"/>
  <c r="BP1811" i="1"/>
  <c r="BO1811" i="1"/>
  <c r="BN1811" i="1"/>
  <c r="BM1811" i="1"/>
  <c r="BL1811" i="1"/>
  <c r="BK1811" i="1"/>
  <c r="BJ1811" i="1"/>
  <c r="BI1811" i="1"/>
  <c r="BH1811" i="1"/>
  <c r="BP1810" i="1"/>
  <c r="BO1810" i="1"/>
  <c r="BN1810" i="1"/>
  <c r="BM1810" i="1"/>
  <c r="BL1810" i="1"/>
  <c r="BK1810" i="1"/>
  <c r="BJ1810" i="1"/>
  <c r="BI1810" i="1"/>
  <c r="BH1810" i="1"/>
  <c r="AR1810" i="1"/>
  <c r="AN1810" i="1"/>
  <c r="BP1809" i="1"/>
  <c r="BO1809" i="1"/>
  <c r="BN1809" i="1"/>
  <c r="BL1809" i="1"/>
  <c r="BK1809" i="1"/>
  <c r="BJ1809" i="1"/>
  <c r="BI1809" i="1"/>
  <c r="BH1809" i="1"/>
  <c r="AS1809" i="1"/>
  <c r="AN1809" i="1"/>
  <c r="BP1808" i="1"/>
  <c r="BO1808" i="1"/>
  <c r="BN1808" i="1"/>
  <c r="BL1808" i="1"/>
  <c r="BK1808" i="1"/>
  <c r="BJ1808" i="1"/>
  <c r="BI1808" i="1"/>
  <c r="BH1808" i="1"/>
  <c r="AR1808" i="1"/>
  <c r="AN1808" i="1"/>
  <c r="BM1808" i="1" s="1"/>
  <c r="BP1807" i="1"/>
  <c r="BO1807" i="1"/>
  <c r="BN1807" i="1"/>
  <c r="BM1807" i="1"/>
  <c r="BL1807" i="1"/>
  <c r="BK1807" i="1"/>
  <c r="BJ1807" i="1"/>
  <c r="BI1807" i="1"/>
  <c r="BH1807" i="1"/>
  <c r="AR1807" i="1"/>
  <c r="AN1807" i="1"/>
  <c r="BP1806" i="1"/>
  <c r="BO1806" i="1"/>
  <c r="BN1806" i="1"/>
  <c r="BM1806" i="1"/>
  <c r="BL1806" i="1"/>
  <c r="BK1806" i="1"/>
  <c r="BJ1806" i="1"/>
  <c r="BI1806" i="1"/>
  <c r="BH1806" i="1"/>
  <c r="BP1805" i="1"/>
  <c r="BO1805" i="1"/>
  <c r="BN1805" i="1"/>
  <c r="BM1805" i="1"/>
  <c r="BL1805" i="1"/>
  <c r="BK1805" i="1"/>
  <c r="BJ1805" i="1"/>
  <c r="BI1805" i="1"/>
  <c r="BH1805" i="1"/>
  <c r="BP1804" i="1"/>
  <c r="BO1804" i="1"/>
  <c r="BN1804" i="1"/>
  <c r="BM1804" i="1"/>
  <c r="BK1804" i="1"/>
  <c r="BJ1804" i="1"/>
  <c r="BI1804" i="1"/>
  <c r="BH1804" i="1"/>
  <c r="AA1804" i="1"/>
  <c r="BL1804" i="1" s="1"/>
  <c r="BP1803" i="1"/>
  <c r="BO1803" i="1"/>
  <c r="BN1803" i="1"/>
  <c r="BM1803" i="1"/>
  <c r="BL1803" i="1"/>
  <c r="BK1803" i="1"/>
  <c r="BJ1803" i="1"/>
  <c r="BI1803" i="1"/>
  <c r="BH1803" i="1"/>
  <c r="BP1802" i="1"/>
  <c r="BO1802" i="1"/>
  <c r="BN1802" i="1"/>
  <c r="BM1802" i="1"/>
  <c r="BL1802" i="1"/>
  <c r="BK1802" i="1"/>
  <c r="BJ1802" i="1"/>
  <c r="BI1802" i="1"/>
  <c r="BH1802" i="1"/>
  <c r="BP1801" i="1"/>
  <c r="BO1801" i="1"/>
  <c r="BN1801" i="1"/>
  <c r="BM1801" i="1"/>
  <c r="BL1801" i="1"/>
  <c r="BJ1801" i="1"/>
  <c r="BI1801" i="1"/>
  <c r="BH1801" i="1"/>
  <c r="V1801" i="1"/>
  <c r="BK1801" i="1" s="1"/>
  <c r="M1801" i="1"/>
  <c r="BP1800" i="1"/>
  <c r="BO1800" i="1"/>
  <c r="BN1800" i="1"/>
  <c r="BM1800" i="1"/>
  <c r="BL1800" i="1"/>
  <c r="BK1800" i="1"/>
  <c r="BJ1800" i="1"/>
  <c r="BI1800" i="1"/>
  <c r="BH1800" i="1"/>
  <c r="X1800" i="1"/>
  <c r="BP1799" i="1"/>
  <c r="BO1799" i="1"/>
  <c r="BN1799" i="1"/>
  <c r="BL1799" i="1"/>
  <c r="BK1799" i="1"/>
  <c r="BJ1799" i="1"/>
  <c r="BI1799" i="1"/>
  <c r="BH1799" i="1"/>
  <c r="AB1799" i="1"/>
  <c r="BM1799" i="1" s="1"/>
  <c r="BP1798" i="1"/>
  <c r="BO1798" i="1"/>
  <c r="BN1798" i="1"/>
  <c r="BL1798" i="1"/>
  <c r="BK1798" i="1"/>
  <c r="BJ1798" i="1"/>
  <c r="BI1798" i="1"/>
  <c r="BH1798" i="1"/>
  <c r="AS1798" i="1"/>
  <c r="AR1798" i="1"/>
  <c r="AQ1798" i="1"/>
  <c r="BP1797" i="1"/>
  <c r="BO1797" i="1"/>
  <c r="BN1797" i="1"/>
  <c r="BL1797" i="1"/>
  <c r="BK1797" i="1"/>
  <c r="BJ1797" i="1"/>
  <c r="BI1797" i="1"/>
  <c r="BH1797" i="1"/>
  <c r="AR1797" i="1"/>
  <c r="AN1797" i="1"/>
  <c r="BM1797" i="1" s="1"/>
  <c r="BP1796" i="1"/>
  <c r="BO1796" i="1"/>
  <c r="BN1796" i="1"/>
  <c r="BM1796" i="1"/>
  <c r="BL1796" i="1"/>
  <c r="BK1796" i="1"/>
  <c r="BJ1796" i="1"/>
  <c r="BI1796" i="1"/>
  <c r="BH1796" i="1"/>
  <c r="AS1796" i="1"/>
  <c r="BP1795" i="1"/>
  <c r="BO1795" i="1"/>
  <c r="BN1795" i="1"/>
  <c r="BL1795" i="1"/>
  <c r="BK1795" i="1"/>
  <c r="BJ1795" i="1"/>
  <c r="BI1795" i="1"/>
  <c r="BH1795" i="1"/>
  <c r="AS1795" i="1"/>
  <c r="BM1795" i="1" s="1"/>
  <c r="BP1794" i="1"/>
  <c r="BO1794" i="1"/>
  <c r="BN1794" i="1"/>
  <c r="BM1794" i="1"/>
  <c r="BL1794" i="1"/>
  <c r="BK1794" i="1"/>
  <c r="BJ1794" i="1"/>
  <c r="BI1794" i="1"/>
  <c r="BH1794" i="1"/>
  <c r="X1794" i="1"/>
  <c r="BP1793" i="1"/>
  <c r="BO1793" i="1"/>
  <c r="BN1793" i="1"/>
  <c r="BM1793" i="1"/>
  <c r="BL1793" i="1"/>
  <c r="BK1793" i="1"/>
  <c r="BJ1793" i="1"/>
  <c r="BI1793" i="1"/>
  <c r="BH1793" i="1"/>
  <c r="X1793" i="1"/>
  <c r="BP1792" i="1"/>
  <c r="BO1792" i="1"/>
  <c r="BN1792" i="1"/>
  <c r="BM1792" i="1"/>
  <c r="BL1792" i="1"/>
  <c r="BK1792" i="1"/>
  <c r="BJ1792" i="1"/>
  <c r="BI1792" i="1"/>
  <c r="BH1792" i="1"/>
  <c r="BP1791" i="1"/>
  <c r="BO1791" i="1"/>
  <c r="BN1791" i="1"/>
  <c r="BM1791" i="1"/>
  <c r="BL1791" i="1"/>
  <c r="BK1791" i="1"/>
  <c r="BJ1791" i="1"/>
  <c r="BI1791" i="1"/>
  <c r="BH1791" i="1"/>
  <c r="BP1790" i="1"/>
  <c r="BO1790" i="1"/>
  <c r="BN1790" i="1"/>
  <c r="BL1790" i="1"/>
  <c r="BK1790" i="1"/>
  <c r="BJ1790" i="1"/>
  <c r="BI1790" i="1"/>
  <c r="BH1790" i="1"/>
  <c r="AQ1790" i="1"/>
  <c r="BM1790" i="1" s="1"/>
  <c r="BP1789" i="1"/>
  <c r="BO1789" i="1"/>
  <c r="BN1789" i="1"/>
  <c r="BM1789" i="1"/>
  <c r="BL1789" i="1"/>
  <c r="BK1789" i="1"/>
  <c r="BJ1789" i="1"/>
  <c r="BI1789" i="1"/>
  <c r="BH1789" i="1"/>
  <c r="AR1789" i="1"/>
  <c r="AN1789" i="1"/>
  <c r="BP1788" i="1"/>
  <c r="BO1788" i="1"/>
  <c r="BN1788" i="1"/>
  <c r="BM1788" i="1"/>
  <c r="BL1788" i="1"/>
  <c r="BK1788" i="1"/>
  <c r="BJ1788" i="1"/>
  <c r="BI1788" i="1"/>
  <c r="BH1788" i="1"/>
  <c r="AR1788" i="1"/>
  <c r="AN1788" i="1"/>
  <c r="BP1787" i="1"/>
  <c r="BO1787" i="1"/>
  <c r="BN1787" i="1"/>
  <c r="BM1787" i="1"/>
  <c r="BL1787" i="1"/>
  <c r="BK1787" i="1"/>
  <c r="BJ1787" i="1"/>
  <c r="BI1787" i="1"/>
  <c r="BH1787" i="1"/>
  <c r="BP1786" i="1"/>
  <c r="BO1786" i="1"/>
  <c r="BN1786" i="1"/>
  <c r="BM1786" i="1"/>
  <c r="BL1786" i="1"/>
  <c r="BK1786" i="1"/>
  <c r="BJ1786" i="1"/>
  <c r="BI1786" i="1"/>
  <c r="BH1786" i="1"/>
  <c r="BP1785" i="1"/>
  <c r="BO1785" i="1"/>
  <c r="BN1785" i="1"/>
  <c r="BM1785" i="1"/>
  <c r="BL1785" i="1"/>
  <c r="BK1785" i="1"/>
  <c r="BJ1785" i="1"/>
  <c r="BI1785" i="1"/>
  <c r="BH1785" i="1"/>
  <c r="AY1785" i="1"/>
  <c r="BP1784" i="1"/>
  <c r="BO1784" i="1"/>
  <c r="BN1784" i="1"/>
  <c r="BM1784" i="1"/>
  <c r="BL1784" i="1"/>
  <c r="BK1784" i="1"/>
  <c r="BJ1784" i="1"/>
  <c r="BI1784" i="1"/>
  <c r="BH1784" i="1"/>
  <c r="BP1783" i="1"/>
  <c r="BO1783" i="1"/>
  <c r="BN1783" i="1"/>
  <c r="BM1783" i="1"/>
  <c r="BL1783" i="1"/>
  <c r="BK1783" i="1"/>
  <c r="BJ1783" i="1"/>
  <c r="BI1783" i="1"/>
  <c r="BH1783" i="1"/>
  <c r="BP1782" i="1"/>
  <c r="BO1782" i="1"/>
  <c r="BN1782" i="1"/>
  <c r="BM1782" i="1"/>
  <c r="BL1782" i="1"/>
  <c r="BJ1782" i="1"/>
  <c r="BI1782" i="1"/>
  <c r="BH1782" i="1"/>
  <c r="V1782" i="1"/>
  <c r="BK1782" i="1" s="1"/>
  <c r="M1782" i="1"/>
  <c r="BP1781" i="1"/>
  <c r="BO1781" i="1"/>
  <c r="BN1781" i="1"/>
  <c r="BM1781" i="1"/>
  <c r="BL1781" i="1"/>
  <c r="BK1781" i="1"/>
  <c r="BJ1781" i="1"/>
  <c r="BI1781" i="1"/>
  <c r="BH1781" i="1"/>
  <c r="BP1780" i="1"/>
  <c r="BO1780" i="1"/>
  <c r="BN1780" i="1"/>
  <c r="BM1780" i="1"/>
  <c r="BL1780" i="1"/>
  <c r="BK1780" i="1"/>
  <c r="BJ1780" i="1"/>
  <c r="BI1780" i="1"/>
  <c r="BH1780" i="1"/>
  <c r="BP1779" i="1"/>
  <c r="BO1779" i="1"/>
  <c r="BN1779" i="1"/>
  <c r="BM1779" i="1"/>
  <c r="BL1779" i="1"/>
  <c r="BK1779" i="1"/>
  <c r="BJ1779" i="1"/>
  <c r="BI1779" i="1"/>
  <c r="BH1779" i="1"/>
  <c r="BP1778" i="1"/>
  <c r="BO1778" i="1"/>
  <c r="BN1778" i="1"/>
  <c r="BM1778" i="1"/>
  <c r="BL1778" i="1"/>
  <c r="BK1778" i="1"/>
  <c r="BJ1778" i="1"/>
  <c r="BI1778" i="1"/>
  <c r="BH1778" i="1"/>
  <c r="BP1777" i="1"/>
  <c r="BO1777" i="1"/>
  <c r="BN1777" i="1"/>
  <c r="BM1777" i="1"/>
  <c r="BL1777" i="1"/>
  <c r="BK1777" i="1"/>
  <c r="BJ1777" i="1"/>
  <c r="BI1777" i="1"/>
  <c r="BH1777" i="1"/>
  <c r="BP1776" i="1"/>
  <c r="BO1776" i="1"/>
  <c r="BN1776" i="1"/>
  <c r="BM1776" i="1"/>
  <c r="BL1776" i="1"/>
  <c r="BK1776" i="1"/>
  <c r="BJ1776" i="1"/>
  <c r="BI1776" i="1"/>
  <c r="BH1776" i="1"/>
  <c r="BP1775" i="1"/>
  <c r="BO1775" i="1"/>
  <c r="BN1775" i="1"/>
  <c r="BM1775" i="1"/>
  <c r="BL1775" i="1"/>
  <c r="BK1775" i="1"/>
  <c r="BJ1775" i="1"/>
  <c r="BI1775" i="1"/>
  <c r="BH1775" i="1"/>
  <c r="BP1774" i="1"/>
  <c r="BO1774" i="1"/>
  <c r="BN1774" i="1"/>
  <c r="BL1774" i="1"/>
  <c r="BK1774" i="1"/>
  <c r="BJ1774" i="1"/>
  <c r="BI1774" i="1"/>
  <c r="BH1774" i="1"/>
  <c r="AS1774" i="1"/>
  <c r="BM1774" i="1" s="1"/>
  <c r="AN1774" i="1"/>
  <c r="BP1773" i="1"/>
  <c r="BO1773" i="1"/>
  <c r="BN1773" i="1"/>
  <c r="BM1773" i="1"/>
  <c r="BL1773" i="1"/>
  <c r="BK1773" i="1"/>
  <c r="BJ1773" i="1"/>
  <c r="BI1773" i="1"/>
  <c r="BH1773" i="1"/>
  <c r="BP1772" i="1"/>
  <c r="BO1772" i="1"/>
  <c r="BN1772" i="1"/>
  <c r="BM1772" i="1"/>
  <c r="BL1772" i="1"/>
  <c r="BK1772" i="1"/>
  <c r="BJ1772" i="1"/>
  <c r="BI1772" i="1"/>
  <c r="BH1772" i="1"/>
  <c r="BP1771" i="1"/>
  <c r="BO1771" i="1"/>
  <c r="BN1771" i="1"/>
  <c r="BM1771" i="1"/>
  <c r="BL1771" i="1"/>
  <c r="BK1771" i="1"/>
  <c r="BJ1771" i="1"/>
  <c r="BI1771" i="1"/>
  <c r="BH1771" i="1"/>
  <c r="AY1771" i="1"/>
  <c r="BP1770" i="1"/>
  <c r="BO1770" i="1"/>
  <c r="BN1770" i="1"/>
  <c r="BM1770" i="1"/>
  <c r="BL1770" i="1"/>
  <c r="BK1770" i="1"/>
  <c r="BJ1770" i="1"/>
  <c r="BI1770" i="1"/>
  <c r="BH1770" i="1"/>
  <c r="BP1769" i="1"/>
  <c r="BO1769" i="1"/>
  <c r="BN1769" i="1"/>
  <c r="BM1769" i="1"/>
  <c r="BL1769" i="1"/>
  <c r="BK1769" i="1"/>
  <c r="BJ1769" i="1"/>
  <c r="BI1769" i="1"/>
  <c r="BH1769" i="1"/>
  <c r="BP1768" i="1"/>
  <c r="BO1768" i="1"/>
  <c r="BN1768" i="1"/>
  <c r="BM1768" i="1"/>
  <c r="BL1768" i="1"/>
  <c r="BJ1768" i="1"/>
  <c r="BI1768" i="1"/>
  <c r="BH1768" i="1"/>
  <c r="V1768" i="1"/>
  <c r="BK1768" i="1" s="1"/>
  <c r="M1768" i="1"/>
  <c r="BO1767" i="1"/>
  <c r="BM1767" i="1"/>
  <c r="BL1767" i="1"/>
  <c r="BJ1767" i="1"/>
  <c r="BI1767" i="1"/>
  <c r="BG1767" i="1"/>
  <c r="BF1767" i="1"/>
  <c r="BP1767" i="1" s="1"/>
  <c r="AW1767" i="1"/>
  <c r="AT1767" i="1"/>
  <c r="BN1767" i="1" s="1"/>
  <c r="U1767" i="1"/>
  <c r="BK1767" i="1" s="1"/>
  <c r="S1767" i="1"/>
  <c r="M1767" i="1"/>
  <c r="G1767" i="1"/>
  <c r="C1767" i="1"/>
  <c r="BP1766" i="1"/>
  <c r="BO1766" i="1"/>
  <c r="BN1766" i="1"/>
  <c r="BM1766" i="1"/>
  <c r="BL1766" i="1"/>
  <c r="BK1766" i="1"/>
  <c r="BJ1766" i="1"/>
  <c r="BI1766" i="1"/>
  <c r="BH1766" i="1"/>
  <c r="AR1766" i="1"/>
  <c r="AN1766" i="1"/>
  <c r="AI1766" i="1"/>
  <c r="BP1765" i="1"/>
  <c r="BO1765" i="1"/>
  <c r="BN1765" i="1"/>
  <c r="BM1765" i="1"/>
  <c r="BL1765" i="1"/>
  <c r="BK1765" i="1"/>
  <c r="BJ1765" i="1"/>
  <c r="BI1765" i="1"/>
  <c r="BH1765" i="1"/>
  <c r="AR1765" i="1"/>
  <c r="AN1765" i="1"/>
  <c r="BP1764" i="1"/>
  <c r="BO1764" i="1"/>
  <c r="BN1764" i="1"/>
  <c r="BM1764" i="1"/>
  <c r="BL1764" i="1"/>
  <c r="BK1764" i="1"/>
  <c r="BJ1764" i="1"/>
  <c r="BI1764" i="1"/>
  <c r="BH1764" i="1"/>
  <c r="AR1764" i="1"/>
  <c r="AN1764" i="1"/>
  <c r="BP1763" i="1"/>
  <c r="BO1763" i="1"/>
  <c r="BN1763" i="1"/>
  <c r="BL1763" i="1"/>
  <c r="BK1763" i="1"/>
  <c r="BJ1763" i="1"/>
  <c r="BI1763" i="1"/>
  <c r="BH1763" i="1"/>
  <c r="AR1763" i="1"/>
  <c r="BM1763" i="1" s="1"/>
  <c r="AN1763" i="1"/>
  <c r="BP1762" i="1"/>
  <c r="BO1762" i="1"/>
  <c r="BN1762" i="1"/>
  <c r="BL1762" i="1"/>
  <c r="BK1762" i="1"/>
  <c r="BJ1762" i="1"/>
  <c r="BI1762" i="1"/>
  <c r="BH1762" i="1"/>
  <c r="AR1762" i="1"/>
  <c r="AN1762" i="1"/>
  <c r="BM1762" i="1" s="1"/>
  <c r="BP1761" i="1"/>
  <c r="BO1761" i="1"/>
  <c r="BN1761" i="1"/>
  <c r="BM1761" i="1"/>
  <c r="BL1761" i="1"/>
  <c r="BK1761" i="1"/>
  <c r="BJ1761" i="1"/>
  <c r="BI1761" i="1"/>
  <c r="BH1761" i="1"/>
  <c r="BP1760" i="1"/>
  <c r="BO1760" i="1"/>
  <c r="BN1760" i="1"/>
  <c r="BM1760" i="1"/>
  <c r="BL1760" i="1"/>
  <c r="BK1760" i="1"/>
  <c r="BJ1760" i="1"/>
  <c r="BI1760" i="1"/>
  <c r="BH1760" i="1"/>
  <c r="BP1759" i="1"/>
  <c r="BO1759" i="1"/>
  <c r="BN1759" i="1"/>
  <c r="BM1759" i="1"/>
  <c r="BL1759" i="1"/>
  <c r="BK1759" i="1"/>
  <c r="BJ1759" i="1"/>
  <c r="BI1759" i="1"/>
  <c r="BH1759" i="1"/>
  <c r="AQ1759" i="1"/>
  <c r="BP1758" i="1"/>
  <c r="BO1758" i="1"/>
  <c r="BN1758" i="1"/>
  <c r="BM1758" i="1"/>
  <c r="BL1758" i="1"/>
  <c r="BK1758" i="1"/>
  <c r="BJ1758" i="1"/>
  <c r="BI1758" i="1"/>
  <c r="BH1758" i="1"/>
  <c r="AB1758" i="1"/>
  <c r="BP1757" i="1"/>
  <c r="BO1757" i="1"/>
  <c r="BN1757" i="1"/>
  <c r="BL1757" i="1"/>
  <c r="BK1757" i="1"/>
  <c r="BJ1757" i="1"/>
  <c r="BI1757" i="1"/>
  <c r="BH1757" i="1"/>
  <c r="AB1757" i="1"/>
  <c r="BM1757" i="1" s="1"/>
  <c r="BP1756" i="1"/>
  <c r="BO1756" i="1"/>
  <c r="BN1756" i="1"/>
  <c r="BM1756" i="1"/>
  <c r="BL1756" i="1"/>
  <c r="BK1756" i="1"/>
  <c r="BJ1756" i="1"/>
  <c r="BI1756" i="1"/>
  <c r="BH1756" i="1"/>
  <c r="BP1755" i="1"/>
  <c r="BO1755" i="1"/>
  <c r="BN1755" i="1"/>
  <c r="BM1755" i="1"/>
  <c r="BL1755" i="1"/>
  <c r="BK1755" i="1"/>
  <c r="BJ1755" i="1"/>
  <c r="BH1755" i="1"/>
  <c r="V1755" i="1"/>
  <c r="M1755" i="1"/>
  <c r="BI1755" i="1" s="1"/>
  <c r="BP1754" i="1"/>
  <c r="BO1754" i="1"/>
  <c r="BN1754" i="1"/>
  <c r="BM1754" i="1"/>
  <c r="BL1754" i="1"/>
  <c r="BK1754" i="1"/>
  <c r="BJ1754" i="1"/>
  <c r="BI1754" i="1"/>
  <c r="BH1754" i="1"/>
  <c r="M1754" i="1"/>
  <c r="BP1753" i="1"/>
  <c r="BO1753" i="1"/>
  <c r="BN1753" i="1"/>
  <c r="BL1753" i="1"/>
  <c r="BK1753" i="1"/>
  <c r="BJ1753" i="1"/>
  <c r="BI1753" i="1"/>
  <c r="BH1753" i="1"/>
  <c r="AQ1753" i="1"/>
  <c r="BM1753" i="1" s="1"/>
  <c r="BP1752" i="1"/>
  <c r="BO1752" i="1"/>
  <c r="BN1752" i="1"/>
  <c r="BL1752" i="1"/>
  <c r="BK1752" i="1"/>
  <c r="BJ1752" i="1"/>
  <c r="BI1752" i="1"/>
  <c r="BH1752" i="1"/>
  <c r="AS1752" i="1"/>
  <c r="AN1752" i="1"/>
  <c r="BM1752" i="1" s="1"/>
  <c r="BP1751" i="1"/>
  <c r="BO1751" i="1"/>
  <c r="BN1751" i="1"/>
  <c r="BM1751" i="1"/>
  <c r="BL1751" i="1"/>
  <c r="BK1751" i="1"/>
  <c r="BJ1751" i="1"/>
  <c r="BI1751" i="1"/>
  <c r="BH1751" i="1"/>
  <c r="AS1751" i="1"/>
  <c r="AN1751" i="1"/>
  <c r="BP1750" i="1"/>
  <c r="BO1750" i="1"/>
  <c r="BN1750" i="1"/>
  <c r="BL1750" i="1"/>
  <c r="BK1750" i="1"/>
  <c r="BJ1750" i="1"/>
  <c r="BI1750" i="1"/>
  <c r="BH1750" i="1"/>
  <c r="AS1750" i="1"/>
  <c r="BM1750" i="1" s="1"/>
  <c r="AN1750" i="1"/>
  <c r="BP1749" i="1"/>
  <c r="BO1749" i="1"/>
  <c r="BN1749" i="1"/>
  <c r="BM1749" i="1"/>
  <c r="BL1749" i="1"/>
  <c r="BK1749" i="1"/>
  <c r="BJ1749" i="1"/>
  <c r="BI1749" i="1"/>
  <c r="BH1749" i="1"/>
  <c r="AS1749" i="1"/>
  <c r="BP1748" i="1"/>
  <c r="BO1748" i="1"/>
  <c r="BN1748" i="1"/>
  <c r="BM1748" i="1"/>
  <c r="BL1748" i="1"/>
  <c r="BK1748" i="1"/>
  <c r="BJ1748" i="1"/>
  <c r="BI1748" i="1"/>
  <c r="BH1748" i="1"/>
  <c r="AS1748" i="1"/>
  <c r="BP1747" i="1"/>
  <c r="BO1747" i="1"/>
  <c r="BN1747" i="1"/>
  <c r="BM1747" i="1"/>
  <c r="BL1747" i="1"/>
  <c r="BK1747" i="1"/>
  <c r="BJ1747" i="1"/>
  <c r="BI1747" i="1"/>
  <c r="BH1747" i="1"/>
  <c r="X1747" i="1"/>
  <c r="BP1746" i="1"/>
  <c r="BO1746" i="1"/>
  <c r="BN1746" i="1"/>
  <c r="BM1746" i="1"/>
  <c r="BL1746" i="1"/>
  <c r="BK1746" i="1"/>
  <c r="BJ1746" i="1"/>
  <c r="BI1746" i="1"/>
  <c r="BH1746" i="1"/>
  <c r="BP1745" i="1"/>
  <c r="BO1745" i="1"/>
  <c r="BN1745" i="1"/>
  <c r="BM1745" i="1"/>
  <c r="BL1745" i="1"/>
  <c r="BK1745" i="1"/>
  <c r="BJ1745" i="1"/>
  <c r="BI1745" i="1"/>
  <c r="BH1745" i="1"/>
  <c r="BP1744" i="1"/>
  <c r="BO1744" i="1"/>
  <c r="BN1744" i="1"/>
  <c r="BM1744" i="1"/>
  <c r="BL1744" i="1"/>
  <c r="BK1744" i="1"/>
  <c r="BJ1744" i="1"/>
  <c r="BI1744" i="1"/>
  <c r="BH1744" i="1"/>
  <c r="AQ1744" i="1"/>
  <c r="BP1743" i="1"/>
  <c r="BO1743" i="1"/>
  <c r="BN1743" i="1"/>
  <c r="BM1743" i="1"/>
  <c r="BL1743" i="1"/>
  <c r="BK1743" i="1"/>
  <c r="BJ1743" i="1"/>
  <c r="BI1743" i="1"/>
  <c r="BH1743" i="1"/>
  <c r="AR1743" i="1"/>
  <c r="AN1743" i="1"/>
  <c r="BP1742" i="1"/>
  <c r="BO1742" i="1"/>
  <c r="BN1742" i="1"/>
  <c r="BL1742" i="1"/>
  <c r="BK1742" i="1"/>
  <c r="BJ1742" i="1"/>
  <c r="BI1742" i="1"/>
  <c r="BH1742" i="1"/>
  <c r="AR1742" i="1"/>
  <c r="AN1742" i="1"/>
  <c r="BM1742" i="1" s="1"/>
  <c r="BP1741" i="1"/>
  <c r="BO1741" i="1"/>
  <c r="BN1741" i="1"/>
  <c r="BM1741" i="1"/>
  <c r="BL1741" i="1"/>
  <c r="BK1741" i="1"/>
  <c r="BJ1741" i="1"/>
  <c r="BI1741" i="1"/>
  <c r="BH1741" i="1"/>
  <c r="BP1740" i="1"/>
  <c r="BO1740" i="1"/>
  <c r="BN1740" i="1"/>
  <c r="BM1740" i="1"/>
  <c r="BL1740" i="1"/>
  <c r="BK1740" i="1"/>
  <c r="BJ1740" i="1"/>
  <c r="BI1740" i="1"/>
  <c r="BH1740" i="1"/>
  <c r="BP1739" i="1"/>
  <c r="BO1739" i="1"/>
  <c r="BN1739" i="1"/>
  <c r="BM1739" i="1"/>
  <c r="BL1739" i="1"/>
  <c r="BK1739" i="1"/>
  <c r="BJ1739" i="1"/>
  <c r="BI1739" i="1"/>
  <c r="BH1739" i="1"/>
  <c r="V1739" i="1"/>
  <c r="M1739" i="1"/>
  <c r="BP1738" i="1"/>
  <c r="BO1738" i="1"/>
  <c r="BN1738" i="1"/>
  <c r="BM1738" i="1"/>
  <c r="BL1738" i="1"/>
  <c r="BK1738" i="1"/>
  <c r="BJ1738" i="1"/>
  <c r="BI1738" i="1"/>
  <c r="BH1738" i="1"/>
  <c r="AQ1738" i="1"/>
  <c r="BP1737" i="1"/>
  <c r="BO1737" i="1"/>
  <c r="BN1737" i="1"/>
  <c r="BM1737" i="1"/>
  <c r="BL1737" i="1"/>
  <c r="BK1737" i="1"/>
  <c r="BJ1737" i="1"/>
  <c r="BI1737" i="1"/>
  <c r="BH1737" i="1"/>
  <c r="BP1736" i="1"/>
  <c r="BO1736" i="1"/>
  <c r="BN1736" i="1"/>
  <c r="BL1736" i="1"/>
  <c r="BK1736" i="1"/>
  <c r="BJ1736" i="1"/>
  <c r="BI1736" i="1"/>
  <c r="BH1736" i="1"/>
  <c r="AS1736" i="1"/>
  <c r="AN1736" i="1"/>
  <c r="BP1735" i="1"/>
  <c r="BO1735" i="1"/>
  <c r="BN1735" i="1"/>
  <c r="BL1735" i="1"/>
  <c r="BK1735" i="1"/>
  <c r="BJ1735" i="1"/>
  <c r="BI1735" i="1"/>
  <c r="BH1735" i="1"/>
  <c r="AS1735" i="1"/>
  <c r="AN1735" i="1"/>
  <c r="BM1735" i="1" s="1"/>
  <c r="BP1734" i="1"/>
  <c r="BO1734" i="1"/>
  <c r="BN1734" i="1"/>
  <c r="BL1734" i="1"/>
  <c r="BK1734" i="1"/>
  <c r="BJ1734" i="1"/>
  <c r="BI1734" i="1"/>
  <c r="BH1734" i="1"/>
  <c r="AS1734" i="1"/>
  <c r="AN1734" i="1"/>
  <c r="BM1734" i="1" s="1"/>
  <c r="BP1733" i="1"/>
  <c r="BO1733" i="1"/>
  <c r="BN1733" i="1"/>
  <c r="BM1733" i="1"/>
  <c r="BL1733" i="1"/>
  <c r="BK1733" i="1"/>
  <c r="BJ1733" i="1"/>
  <c r="BI1733" i="1"/>
  <c r="BH1733" i="1"/>
  <c r="AS1733" i="1"/>
  <c r="BP1732" i="1"/>
  <c r="BO1732" i="1"/>
  <c r="BN1732" i="1"/>
  <c r="BM1732" i="1"/>
  <c r="BL1732" i="1"/>
  <c r="BK1732" i="1"/>
  <c r="BJ1732" i="1"/>
  <c r="BI1732" i="1"/>
  <c r="BH1732" i="1"/>
  <c r="AP1732" i="1"/>
  <c r="BP1731" i="1"/>
  <c r="BO1731" i="1"/>
  <c r="BN1731" i="1"/>
  <c r="BM1731" i="1"/>
  <c r="BL1731" i="1"/>
  <c r="BK1731" i="1"/>
  <c r="BJ1731" i="1"/>
  <c r="BI1731" i="1"/>
  <c r="BH1731" i="1"/>
  <c r="BP1730" i="1"/>
  <c r="BO1730" i="1"/>
  <c r="BN1730" i="1"/>
  <c r="BM1730" i="1"/>
  <c r="BL1730" i="1"/>
  <c r="BK1730" i="1"/>
  <c r="BJ1730" i="1"/>
  <c r="BI1730" i="1"/>
  <c r="BH1730" i="1"/>
  <c r="AQ1730" i="1"/>
  <c r="BP1729" i="1"/>
  <c r="BO1729" i="1"/>
  <c r="BN1729" i="1"/>
  <c r="BM1729" i="1"/>
  <c r="BK1729" i="1"/>
  <c r="BJ1729" i="1"/>
  <c r="BI1729" i="1"/>
  <c r="BH1729" i="1"/>
  <c r="AA1729" i="1"/>
  <c r="BL1729" i="1" s="1"/>
  <c r="BP1728" i="1"/>
  <c r="BO1728" i="1"/>
  <c r="BN1728" i="1"/>
  <c r="BM1728" i="1"/>
  <c r="BL1728" i="1"/>
  <c r="BJ1728" i="1"/>
  <c r="BI1728" i="1"/>
  <c r="BH1728" i="1"/>
  <c r="X1728" i="1"/>
  <c r="BK1728" i="1" s="1"/>
  <c r="BP1727" i="1"/>
  <c r="BO1727" i="1"/>
  <c r="BN1727" i="1"/>
  <c r="BM1727" i="1"/>
  <c r="BL1727" i="1"/>
  <c r="BJ1727" i="1"/>
  <c r="BI1727" i="1"/>
  <c r="BH1727" i="1"/>
  <c r="X1727" i="1"/>
  <c r="BK1727" i="1" s="1"/>
  <c r="BP1726" i="1"/>
  <c r="BO1726" i="1"/>
  <c r="BN1726" i="1"/>
  <c r="BM1726" i="1"/>
  <c r="BL1726" i="1"/>
  <c r="BK1726" i="1"/>
  <c r="BJ1726" i="1"/>
  <c r="BI1726" i="1"/>
  <c r="BH1726" i="1"/>
  <c r="AP1726" i="1"/>
  <c r="BP1725" i="1"/>
  <c r="BO1725" i="1"/>
  <c r="BN1725" i="1"/>
  <c r="BM1725" i="1"/>
  <c r="BL1725" i="1"/>
  <c r="BK1725" i="1"/>
  <c r="BJ1725" i="1"/>
  <c r="BI1725" i="1"/>
  <c r="BH1725" i="1"/>
  <c r="BP1724" i="1"/>
  <c r="BN1724" i="1"/>
  <c r="BM1724" i="1"/>
  <c r="BL1724" i="1"/>
  <c r="BK1724" i="1"/>
  <c r="BJ1724" i="1"/>
  <c r="BI1724" i="1"/>
  <c r="BH1724" i="1"/>
  <c r="AY1724" i="1"/>
  <c r="BO1724" i="1" s="1"/>
  <c r="BP1723" i="1"/>
  <c r="BO1723" i="1"/>
  <c r="BN1723" i="1"/>
  <c r="BM1723" i="1"/>
  <c r="BL1723" i="1"/>
  <c r="BK1723" i="1"/>
  <c r="BJ1723" i="1"/>
  <c r="BI1723" i="1"/>
  <c r="BH1723" i="1"/>
  <c r="BP1722" i="1"/>
  <c r="BO1722" i="1"/>
  <c r="BN1722" i="1"/>
  <c r="BM1722" i="1"/>
  <c r="BL1722" i="1"/>
  <c r="BK1722" i="1"/>
  <c r="BJ1722" i="1"/>
  <c r="BI1722" i="1"/>
  <c r="BH1722" i="1"/>
  <c r="BP1721" i="1"/>
  <c r="BO1721" i="1"/>
  <c r="BN1721" i="1"/>
  <c r="BM1721" i="1"/>
  <c r="BL1721" i="1"/>
  <c r="BK1721" i="1"/>
  <c r="BJ1721" i="1"/>
  <c r="BI1721" i="1"/>
  <c r="BH1721" i="1"/>
  <c r="BP1720" i="1"/>
  <c r="BO1720" i="1"/>
  <c r="BN1720" i="1"/>
  <c r="BM1720" i="1"/>
  <c r="BL1720" i="1"/>
  <c r="BK1720" i="1"/>
  <c r="BJ1720" i="1"/>
  <c r="BI1720" i="1"/>
  <c r="BH1720" i="1"/>
  <c r="BP1719" i="1"/>
  <c r="BO1719" i="1"/>
  <c r="BN1719" i="1"/>
  <c r="BM1719" i="1"/>
  <c r="BL1719" i="1"/>
  <c r="BK1719" i="1"/>
  <c r="BJ1719" i="1"/>
  <c r="BI1719" i="1"/>
  <c r="BH1719" i="1"/>
  <c r="BP1718" i="1"/>
  <c r="BO1718" i="1"/>
  <c r="BN1718" i="1"/>
  <c r="BM1718" i="1"/>
  <c r="BL1718" i="1"/>
  <c r="BK1718" i="1"/>
  <c r="BJ1718" i="1"/>
  <c r="BI1718" i="1"/>
  <c r="BH1718" i="1"/>
  <c r="BP1717" i="1"/>
  <c r="BO1717" i="1"/>
  <c r="BN1717" i="1"/>
  <c r="BM1717" i="1"/>
  <c r="BL1717" i="1"/>
  <c r="BK1717" i="1"/>
  <c r="BJ1717" i="1"/>
  <c r="BI1717" i="1"/>
  <c r="BH1717" i="1"/>
  <c r="V1717" i="1"/>
  <c r="M1717" i="1"/>
  <c r="BP1716" i="1"/>
  <c r="BO1716" i="1"/>
  <c r="BN1716" i="1"/>
  <c r="BM1716" i="1"/>
  <c r="BL1716" i="1"/>
  <c r="BK1716" i="1"/>
  <c r="BJ1716" i="1"/>
  <c r="BI1716" i="1"/>
  <c r="BH1716" i="1"/>
  <c r="AR1716" i="1"/>
  <c r="AN1716" i="1"/>
  <c r="BP1715" i="1"/>
  <c r="BO1715" i="1"/>
  <c r="BN1715" i="1"/>
  <c r="BM1715" i="1"/>
  <c r="BL1715" i="1"/>
  <c r="BK1715" i="1"/>
  <c r="BJ1715" i="1"/>
  <c r="BI1715" i="1"/>
  <c r="BH1715" i="1"/>
  <c r="AR1715" i="1"/>
  <c r="AN1715" i="1"/>
  <c r="BP1714" i="1"/>
  <c r="BO1714" i="1"/>
  <c r="BN1714" i="1"/>
  <c r="BL1714" i="1"/>
  <c r="BK1714" i="1"/>
  <c r="BJ1714" i="1"/>
  <c r="BI1714" i="1"/>
  <c r="BH1714" i="1"/>
  <c r="AS1714" i="1"/>
  <c r="BM1714" i="1" s="1"/>
  <c r="AN1714" i="1"/>
  <c r="BP1713" i="1"/>
  <c r="BO1713" i="1"/>
  <c r="BN1713" i="1"/>
  <c r="BL1713" i="1"/>
  <c r="BK1713" i="1"/>
  <c r="BJ1713" i="1"/>
  <c r="BI1713" i="1"/>
  <c r="BH1713" i="1"/>
  <c r="AS1713" i="1"/>
  <c r="BM1713" i="1" s="1"/>
  <c r="BP1712" i="1"/>
  <c r="BO1712" i="1"/>
  <c r="BN1712" i="1"/>
  <c r="BL1712" i="1"/>
  <c r="BK1712" i="1"/>
  <c r="BJ1712" i="1"/>
  <c r="BI1712" i="1"/>
  <c r="BH1712" i="1"/>
  <c r="AR1712" i="1"/>
  <c r="AN1712" i="1"/>
  <c r="BM1712" i="1" s="1"/>
  <c r="BP1711" i="1"/>
  <c r="BO1711" i="1"/>
  <c r="BN1711" i="1"/>
  <c r="BL1711" i="1"/>
  <c r="BK1711" i="1"/>
  <c r="BJ1711" i="1"/>
  <c r="BI1711" i="1"/>
  <c r="BH1711" i="1"/>
  <c r="AQ1711" i="1"/>
  <c r="AB1711" i="1"/>
  <c r="BM1711" i="1" s="1"/>
  <c r="BP1710" i="1"/>
  <c r="BO1710" i="1"/>
  <c r="BN1710" i="1"/>
  <c r="BM1710" i="1"/>
  <c r="BL1710" i="1"/>
  <c r="BJ1710" i="1"/>
  <c r="BI1710" i="1"/>
  <c r="BH1710" i="1"/>
  <c r="X1710" i="1"/>
  <c r="BK1710" i="1" s="1"/>
  <c r="BP1709" i="1"/>
  <c r="BO1709" i="1"/>
  <c r="BN1709" i="1"/>
  <c r="BM1709" i="1"/>
  <c r="BL1709" i="1"/>
  <c r="BK1709" i="1"/>
  <c r="BJ1709" i="1"/>
  <c r="BI1709" i="1"/>
  <c r="BH1709" i="1"/>
  <c r="BP1708" i="1"/>
  <c r="BO1708" i="1"/>
  <c r="BN1708" i="1"/>
  <c r="BM1708" i="1"/>
  <c r="BL1708" i="1"/>
  <c r="BK1708" i="1"/>
  <c r="BJ1708" i="1"/>
  <c r="BI1708" i="1"/>
  <c r="BH1708" i="1"/>
  <c r="AR1708" i="1"/>
  <c r="AN1708" i="1"/>
  <c r="BP1707" i="1"/>
  <c r="BO1707" i="1"/>
  <c r="BN1707" i="1"/>
  <c r="BM1707" i="1"/>
  <c r="BL1707" i="1"/>
  <c r="BK1707" i="1"/>
  <c r="BJ1707" i="1"/>
  <c r="BI1707" i="1"/>
  <c r="BH1707" i="1"/>
  <c r="BP1706" i="1"/>
  <c r="BO1706" i="1"/>
  <c r="BN1706" i="1"/>
  <c r="BM1706" i="1"/>
  <c r="BL1706" i="1"/>
  <c r="BK1706" i="1"/>
  <c r="BJ1706" i="1"/>
  <c r="BI1706" i="1"/>
  <c r="BH1706" i="1"/>
  <c r="BP1705" i="1"/>
  <c r="BO1705" i="1"/>
  <c r="BN1705" i="1"/>
  <c r="BM1705" i="1"/>
  <c r="BL1705" i="1"/>
  <c r="BK1705" i="1"/>
  <c r="BJ1705" i="1"/>
  <c r="BI1705" i="1"/>
  <c r="BH1705" i="1"/>
  <c r="AQ1705" i="1"/>
  <c r="BP1704" i="1"/>
  <c r="BO1704" i="1"/>
  <c r="BN1704" i="1"/>
  <c r="BM1704" i="1"/>
  <c r="BL1704" i="1"/>
  <c r="BK1704" i="1"/>
  <c r="BJ1704" i="1"/>
  <c r="BI1704" i="1"/>
  <c r="BH1704" i="1"/>
  <c r="BP1703" i="1"/>
  <c r="BO1703" i="1"/>
  <c r="BN1703" i="1"/>
  <c r="BM1703" i="1"/>
  <c r="BL1703" i="1"/>
  <c r="BK1703" i="1"/>
  <c r="BJ1703" i="1"/>
  <c r="BI1703" i="1"/>
  <c r="BH1703" i="1"/>
  <c r="BP1702" i="1"/>
  <c r="BO1702" i="1"/>
  <c r="BN1702" i="1"/>
  <c r="BL1702" i="1"/>
  <c r="BK1702" i="1"/>
  <c r="BJ1702" i="1"/>
  <c r="BI1702" i="1"/>
  <c r="AS1702" i="1"/>
  <c r="BM1702" i="1" s="1"/>
  <c r="AA1702" i="1"/>
  <c r="L1702" i="1"/>
  <c r="BH1702" i="1" s="1"/>
  <c r="BP1701" i="1"/>
  <c r="BO1701" i="1"/>
  <c r="BN1701" i="1"/>
  <c r="BM1701" i="1"/>
  <c r="BL1701" i="1"/>
  <c r="BK1701" i="1"/>
  <c r="BJ1701" i="1"/>
  <c r="BI1701" i="1"/>
  <c r="BH1701" i="1"/>
  <c r="BP1700" i="1"/>
  <c r="BO1700" i="1"/>
  <c r="BN1700" i="1"/>
  <c r="BM1700" i="1"/>
  <c r="BL1700" i="1"/>
  <c r="BK1700" i="1"/>
  <c r="BJ1700" i="1"/>
  <c r="BI1700" i="1"/>
  <c r="BH1700" i="1"/>
  <c r="BP1699" i="1"/>
  <c r="BO1699" i="1"/>
  <c r="BN1699" i="1"/>
  <c r="BM1699" i="1"/>
  <c r="BL1699" i="1"/>
  <c r="BK1699" i="1"/>
  <c r="BJ1699" i="1"/>
  <c r="BI1699" i="1"/>
  <c r="BH1699" i="1"/>
  <c r="AB1699" i="1"/>
  <c r="BP1698" i="1"/>
  <c r="BO1698" i="1"/>
  <c r="BN1698" i="1"/>
  <c r="BM1698" i="1"/>
  <c r="BL1698" i="1"/>
  <c r="BK1698" i="1"/>
  <c r="BJ1698" i="1"/>
  <c r="BI1698" i="1"/>
  <c r="BH1698" i="1"/>
  <c r="BP1697" i="1"/>
  <c r="BO1697" i="1"/>
  <c r="BN1697" i="1"/>
  <c r="BM1697" i="1"/>
  <c r="BL1697" i="1"/>
  <c r="BK1697" i="1"/>
  <c r="BJ1697" i="1"/>
  <c r="BI1697" i="1"/>
  <c r="BH1697" i="1"/>
  <c r="AS1697" i="1"/>
  <c r="AN1697" i="1"/>
  <c r="BP1696" i="1"/>
  <c r="BO1696" i="1"/>
  <c r="BN1696" i="1"/>
  <c r="BL1696" i="1"/>
  <c r="BK1696" i="1"/>
  <c r="BJ1696" i="1"/>
  <c r="BI1696" i="1"/>
  <c r="BH1696" i="1"/>
  <c r="AS1696" i="1"/>
  <c r="BM1696" i="1" s="1"/>
  <c r="BP1695" i="1"/>
  <c r="BO1695" i="1"/>
  <c r="BN1695" i="1"/>
  <c r="BM1695" i="1"/>
  <c r="BL1695" i="1"/>
  <c r="BK1695" i="1"/>
  <c r="BJ1695" i="1"/>
  <c r="BI1695" i="1"/>
  <c r="BH1695" i="1"/>
  <c r="AQ1695" i="1"/>
  <c r="BP1694" i="1"/>
  <c r="BO1694" i="1"/>
  <c r="BN1694" i="1"/>
  <c r="BM1694" i="1"/>
  <c r="BL1694" i="1"/>
  <c r="BJ1694" i="1"/>
  <c r="BI1694" i="1"/>
  <c r="BH1694" i="1"/>
  <c r="X1694" i="1"/>
  <c r="BK1694" i="1" s="1"/>
  <c r="BP1693" i="1"/>
  <c r="BO1693" i="1"/>
  <c r="BN1693" i="1"/>
  <c r="BM1693" i="1"/>
  <c r="BL1693" i="1"/>
  <c r="BK1693" i="1"/>
  <c r="BJ1693" i="1"/>
  <c r="BI1693" i="1"/>
  <c r="BH1693" i="1"/>
  <c r="X1693" i="1"/>
  <c r="BP1692" i="1"/>
  <c r="BO1692" i="1"/>
  <c r="BN1692" i="1"/>
  <c r="BM1692" i="1"/>
  <c r="BL1692" i="1"/>
  <c r="BJ1692" i="1"/>
  <c r="BI1692" i="1"/>
  <c r="BH1692" i="1"/>
  <c r="X1692" i="1"/>
  <c r="BK1692" i="1" s="1"/>
  <c r="BP1691" i="1"/>
  <c r="BO1691" i="1"/>
  <c r="BN1691" i="1"/>
  <c r="BM1691" i="1"/>
  <c r="BL1691" i="1"/>
  <c r="BK1691" i="1"/>
  <c r="BJ1691" i="1"/>
  <c r="BI1691" i="1"/>
  <c r="BH1691" i="1"/>
  <c r="BP1690" i="1"/>
  <c r="BO1690" i="1"/>
  <c r="BN1690" i="1"/>
  <c r="BM1690" i="1"/>
  <c r="BL1690" i="1"/>
  <c r="BK1690" i="1"/>
  <c r="BJ1690" i="1"/>
  <c r="BI1690" i="1"/>
  <c r="BH1690" i="1"/>
  <c r="BM1689" i="1"/>
  <c r="BL1689" i="1"/>
  <c r="BG1689" i="1"/>
  <c r="BF1689" i="1"/>
  <c r="BP1689" i="1" s="1"/>
  <c r="BA1689" i="1"/>
  <c r="BO1689" i="1" s="1"/>
  <c r="AT1689" i="1"/>
  <c r="BN1689" i="1" s="1"/>
  <c r="X1689" i="1"/>
  <c r="BK1689" i="1" s="1"/>
  <c r="S1689" i="1"/>
  <c r="BJ1689" i="1" s="1"/>
  <c r="Q1689" i="1"/>
  <c r="BI1689" i="1" s="1"/>
  <c r="C1689" i="1"/>
  <c r="BH1689" i="1" s="1"/>
  <c r="BP1688" i="1"/>
  <c r="BO1688" i="1"/>
  <c r="BN1688" i="1"/>
  <c r="BM1688" i="1"/>
  <c r="BL1688" i="1"/>
  <c r="BK1688" i="1"/>
  <c r="BJ1688" i="1"/>
  <c r="BI1688" i="1"/>
  <c r="BH1688" i="1"/>
  <c r="BP1687" i="1"/>
  <c r="BO1687" i="1"/>
  <c r="BN1687" i="1"/>
  <c r="BL1687" i="1"/>
  <c r="BK1687" i="1"/>
  <c r="BJ1687" i="1"/>
  <c r="BI1687" i="1"/>
  <c r="BH1687" i="1"/>
  <c r="AR1687" i="1"/>
  <c r="AN1687" i="1"/>
  <c r="BM1687" i="1" s="1"/>
  <c r="BP1686" i="1"/>
  <c r="BO1686" i="1"/>
  <c r="BN1686" i="1"/>
  <c r="BL1686" i="1"/>
  <c r="BK1686" i="1"/>
  <c r="BJ1686" i="1"/>
  <c r="BI1686" i="1"/>
  <c r="BH1686" i="1"/>
  <c r="AR1686" i="1"/>
  <c r="AN1686" i="1"/>
  <c r="BP1685" i="1"/>
  <c r="BO1685" i="1"/>
  <c r="BN1685" i="1"/>
  <c r="BM1685" i="1"/>
  <c r="BL1685" i="1"/>
  <c r="BK1685" i="1"/>
  <c r="BJ1685" i="1"/>
  <c r="BI1685" i="1"/>
  <c r="BH1685" i="1"/>
  <c r="BP1684" i="1"/>
  <c r="BO1684" i="1"/>
  <c r="BN1684" i="1"/>
  <c r="BM1684" i="1"/>
  <c r="BL1684" i="1"/>
  <c r="BK1684" i="1"/>
  <c r="BJ1684" i="1"/>
  <c r="BI1684" i="1"/>
  <c r="BH1684" i="1"/>
  <c r="AY1684" i="1"/>
  <c r="BP1683" i="1"/>
  <c r="BO1683" i="1"/>
  <c r="BN1683" i="1"/>
  <c r="BM1683" i="1"/>
  <c r="BL1683" i="1"/>
  <c r="BK1683" i="1"/>
  <c r="BJ1683" i="1"/>
  <c r="BI1683" i="1"/>
  <c r="BH1683" i="1"/>
  <c r="BP1682" i="1"/>
  <c r="BL1682" i="1"/>
  <c r="BK1682" i="1"/>
  <c r="BJ1682" i="1"/>
  <c r="BI1682" i="1"/>
  <c r="BH1682" i="1"/>
  <c r="BG1682" i="1"/>
  <c r="AV1682" i="1"/>
  <c r="BO1682" i="1" s="1"/>
  <c r="AT1682" i="1"/>
  <c r="BN1682" i="1" s="1"/>
  <c r="AC1682" i="1"/>
  <c r="BM1682" i="1" s="1"/>
  <c r="U1682" i="1"/>
  <c r="S1682" i="1"/>
  <c r="Q1682" i="1"/>
  <c r="H1682" i="1"/>
  <c r="C1682" i="1"/>
  <c r="BP1681" i="1"/>
  <c r="BO1681" i="1"/>
  <c r="BN1681" i="1"/>
  <c r="BM1681" i="1"/>
  <c r="BL1681" i="1"/>
  <c r="BK1681" i="1"/>
  <c r="BJ1681" i="1"/>
  <c r="BI1681" i="1"/>
  <c r="BH1681" i="1"/>
  <c r="BP1680" i="1"/>
  <c r="BO1680" i="1"/>
  <c r="BN1680" i="1"/>
  <c r="BM1680" i="1"/>
  <c r="BL1680" i="1"/>
  <c r="BK1680" i="1"/>
  <c r="BJ1680" i="1"/>
  <c r="BI1680" i="1"/>
  <c r="BH1680" i="1"/>
  <c r="BP1679" i="1"/>
  <c r="BO1679" i="1"/>
  <c r="BN1679" i="1"/>
  <c r="BM1679" i="1"/>
  <c r="BL1679" i="1"/>
  <c r="BK1679" i="1"/>
  <c r="BJ1679" i="1"/>
  <c r="BI1679" i="1"/>
  <c r="BH1679" i="1"/>
  <c r="BP1678" i="1"/>
  <c r="BO1678" i="1"/>
  <c r="BN1678" i="1"/>
  <c r="BM1678" i="1"/>
  <c r="BL1678" i="1"/>
  <c r="BJ1678" i="1"/>
  <c r="BI1678" i="1"/>
  <c r="BH1678" i="1"/>
  <c r="V1678" i="1"/>
  <c r="BK1678" i="1" s="1"/>
  <c r="M1678" i="1"/>
  <c r="BP1677" i="1"/>
  <c r="BO1677" i="1"/>
  <c r="BN1677" i="1"/>
  <c r="BM1677" i="1"/>
  <c r="BL1677" i="1"/>
  <c r="BK1677" i="1"/>
  <c r="BJ1677" i="1"/>
  <c r="BH1677" i="1"/>
  <c r="M1677" i="1"/>
  <c r="BI1677" i="1" s="1"/>
  <c r="BP1676" i="1"/>
  <c r="BO1676" i="1"/>
  <c r="BN1676" i="1"/>
  <c r="BM1676" i="1"/>
  <c r="BL1676" i="1"/>
  <c r="BK1676" i="1"/>
  <c r="BJ1676" i="1"/>
  <c r="BI1676" i="1"/>
  <c r="BH1676" i="1"/>
  <c r="AQ1676" i="1"/>
  <c r="BP1675" i="1"/>
  <c r="BO1675" i="1"/>
  <c r="BN1675" i="1"/>
  <c r="BL1675" i="1"/>
  <c r="BK1675" i="1"/>
  <c r="BJ1675" i="1"/>
  <c r="BI1675" i="1"/>
  <c r="BH1675" i="1"/>
  <c r="AS1675" i="1"/>
  <c r="BM1675" i="1" s="1"/>
  <c r="AN1675" i="1"/>
  <c r="BP1674" i="1"/>
  <c r="BO1674" i="1"/>
  <c r="BN1674" i="1"/>
  <c r="BL1674" i="1"/>
  <c r="BK1674" i="1"/>
  <c r="BJ1674" i="1"/>
  <c r="BI1674" i="1"/>
  <c r="BH1674" i="1"/>
  <c r="AS1674" i="1"/>
  <c r="AN1674" i="1"/>
  <c r="BM1674" i="1" s="1"/>
  <c r="BP1673" i="1"/>
  <c r="BO1673" i="1"/>
  <c r="BN1673" i="1"/>
  <c r="BL1673" i="1"/>
  <c r="BK1673" i="1"/>
  <c r="BJ1673" i="1"/>
  <c r="BI1673" i="1"/>
  <c r="BH1673" i="1"/>
  <c r="AS1673" i="1"/>
  <c r="AN1673" i="1"/>
  <c r="BM1673" i="1" s="1"/>
  <c r="BP1672" i="1"/>
  <c r="BO1672" i="1"/>
  <c r="BN1672" i="1"/>
  <c r="BL1672" i="1"/>
  <c r="BK1672" i="1"/>
  <c r="BJ1672" i="1"/>
  <c r="BI1672" i="1"/>
  <c r="BH1672" i="1"/>
  <c r="AS1672" i="1"/>
  <c r="BM1672" i="1" s="1"/>
  <c r="BP1671" i="1"/>
  <c r="BO1671" i="1"/>
  <c r="BN1671" i="1"/>
  <c r="BL1671" i="1"/>
  <c r="BK1671" i="1"/>
  <c r="BJ1671" i="1"/>
  <c r="BI1671" i="1"/>
  <c r="BH1671" i="1"/>
  <c r="AS1671" i="1"/>
  <c r="BM1671" i="1" s="1"/>
  <c r="BP1670" i="1"/>
  <c r="BO1670" i="1"/>
  <c r="BN1670" i="1"/>
  <c r="BM1670" i="1"/>
  <c r="BL1670" i="1"/>
  <c r="BK1670" i="1"/>
  <c r="BJ1670" i="1"/>
  <c r="BI1670" i="1"/>
  <c r="BH1670" i="1"/>
  <c r="BP1669" i="1"/>
  <c r="BO1669" i="1"/>
  <c r="BN1669" i="1"/>
  <c r="BM1669" i="1"/>
  <c r="BL1669" i="1"/>
  <c r="BK1669" i="1"/>
  <c r="BJ1669" i="1"/>
  <c r="BI1669" i="1"/>
  <c r="BH1669" i="1"/>
  <c r="BP1668" i="1"/>
  <c r="BO1668" i="1"/>
  <c r="BN1668" i="1"/>
  <c r="BL1668" i="1"/>
  <c r="BK1668" i="1"/>
  <c r="BJ1668" i="1"/>
  <c r="BI1668" i="1"/>
  <c r="BH1668" i="1"/>
  <c r="AR1668" i="1"/>
  <c r="AN1668" i="1"/>
  <c r="BM1668" i="1" s="1"/>
  <c r="BP1667" i="1"/>
  <c r="BO1667" i="1"/>
  <c r="BN1667" i="1"/>
  <c r="BL1667" i="1"/>
  <c r="BK1667" i="1"/>
  <c r="BJ1667" i="1"/>
  <c r="BI1667" i="1"/>
  <c r="BH1667" i="1"/>
  <c r="AR1667" i="1"/>
  <c r="AN1667" i="1"/>
  <c r="BM1667" i="1" s="1"/>
  <c r="BP1666" i="1"/>
  <c r="BO1666" i="1"/>
  <c r="BN1666" i="1"/>
  <c r="BM1666" i="1"/>
  <c r="BL1666" i="1"/>
  <c r="BK1666" i="1"/>
  <c r="BJ1666" i="1"/>
  <c r="BI1666" i="1"/>
  <c r="BH1666" i="1"/>
  <c r="AA1666" i="1"/>
  <c r="BP1665" i="1"/>
  <c r="BO1665" i="1"/>
  <c r="BN1665" i="1"/>
  <c r="BM1665" i="1"/>
  <c r="BL1665" i="1"/>
  <c r="BK1665" i="1"/>
  <c r="BJ1665" i="1"/>
  <c r="BI1665" i="1"/>
  <c r="BH1665" i="1"/>
  <c r="X1665" i="1"/>
  <c r="BP1664" i="1"/>
  <c r="BO1664" i="1"/>
  <c r="BN1664" i="1"/>
  <c r="BM1664" i="1"/>
  <c r="BL1664" i="1"/>
  <c r="BK1664" i="1"/>
  <c r="BJ1664" i="1"/>
  <c r="BI1664" i="1"/>
  <c r="BH1664" i="1"/>
  <c r="BP1663" i="1"/>
  <c r="BO1663" i="1"/>
  <c r="BN1663" i="1"/>
  <c r="BM1663" i="1"/>
  <c r="BL1663" i="1"/>
  <c r="BK1663" i="1"/>
  <c r="BJ1663" i="1"/>
  <c r="BI1663" i="1"/>
  <c r="BH1663" i="1"/>
  <c r="BP1662" i="1"/>
  <c r="BO1662" i="1"/>
  <c r="BN1662" i="1"/>
  <c r="BM1662" i="1"/>
  <c r="BL1662" i="1"/>
  <c r="BK1662" i="1"/>
  <c r="BJ1662" i="1"/>
  <c r="BI1662" i="1"/>
  <c r="BH1662" i="1"/>
  <c r="BP1661" i="1"/>
  <c r="BO1661" i="1"/>
  <c r="BN1661" i="1"/>
  <c r="BM1661" i="1"/>
  <c r="BL1661" i="1"/>
  <c r="BK1661" i="1"/>
  <c r="BJ1661" i="1"/>
  <c r="BI1661" i="1"/>
  <c r="BH1661" i="1"/>
  <c r="V1661" i="1"/>
  <c r="M1661" i="1"/>
  <c r="BP1660" i="1"/>
  <c r="BO1660" i="1"/>
  <c r="BN1660" i="1"/>
  <c r="BM1660" i="1"/>
  <c r="BL1660" i="1"/>
  <c r="BK1660" i="1"/>
  <c r="BJ1660" i="1"/>
  <c r="BI1660" i="1"/>
  <c r="BH1660" i="1"/>
  <c r="BP1659" i="1"/>
  <c r="BO1659" i="1"/>
  <c r="BN1659" i="1"/>
  <c r="BM1659" i="1"/>
  <c r="BL1659" i="1"/>
  <c r="BK1659" i="1"/>
  <c r="BJ1659" i="1"/>
  <c r="BI1659" i="1"/>
  <c r="BH1659" i="1"/>
  <c r="AQ1659" i="1"/>
  <c r="BP1658" i="1"/>
  <c r="BO1658" i="1"/>
  <c r="BN1658" i="1"/>
  <c r="BM1658" i="1"/>
  <c r="BL1658" i="1"/>
  <c r="BK1658" i="1"/>
  <c r="BJ1658" i="1"/>
  <c r="BI1658" i="1"/>
  <c r="BH1658" i="1"/>
  <c r="BP1657" i="1"/>
  <c r="BO1657" i="1"/>
  <c r="BN1657" i="1"/>
  <c r="BL1657" i="1"/>
  <c r="BK1657" i="1"/>
  <c r="BJ1657" i="1"/>
  <c r="BI1657" i="1"/>
  <c r="BH1657" i="1"/>
  <c r="AR1657" i="1"/>
  <c r="AN1657" i="1"/>
  <c r="BM1657" i="1" s="1"/>
  <c r="BP1656" i="1"/>
  <c r="BO1656" i="1"/>
  <c r="BN1656" i="1"/>
  <c r="BM1656" i="1"/>
  <c r="BL1656" i="1"/>
  <c r="BK1656" i="1"/>
  <c r="BJ1656" i="1"/>
  <c r="BI1656" i="1"/>
  <c r="BH1656" i="1"/>
  <c r="BP1655" i="1"/>
  <c r="BO1655" i="1"/>
  <c r="BN1655" i="1"/>
  <c r="BL1655" i="1"/>
  <c r="BK1655" i="1"/>
  <c r="BJ1655" i="1"/>
  <c r="BI1655" i="1"/>
  <c r="BH1655" i="1"/>
  <c r="AP1655" i="1"/>
  <c r="BM1655" i="1" s="1"/>
  <c r="BP1654" i="1"/>
  <c r="BO1654" i="1"/>
  <c r="BN1654" i="1"/>
  <c r="BM1654" i="1"/>
  <c r="BL1654" i="1"/>
  <c r="BK1654" i="1"/>
  <c r="BJ1654" i="1"/>
  <c r="BI1654" i="1"/>
  <c r="BH1654" i="1"/>
  <c r="BP1653" i="1"/>
  <c r="BO1653" i="1"/>
  <c r="BN1653" i="1"/>
  <c r="BM1653" i="1"/>
  <c r="BL1653" i="1"/>
  <c r="BK1653" i="1"/>
  <c r="BJ1653" i="1"/>
  <c r="BI1653" i="1"/>
  <c r="BH1653" i="1"/>
  <c r="BP1652" i="1"/>
  <c r="BO1652" i="1"/>
  <c r="BN1652" i="1"/>
  <c r="BM1652" i="1"/>
  <c r="BL1652" i="1"/>
  <c r="BK1652" i="1"/>
  <c r="BJ1652" i="1"/>
  <c r="BI1652" i="1"/>
  <c r="BH1652" i="1"/>
  <c r="BP1651" i="1"/>
  <c r="BO1651" i="1"/>
  <c r="BN1651" i="1"/>
  <c r="BL1651" i="1"/>
  <c r="BK1651" i="1"/>
  <c r="BJ1651" i="1"/>
  <c r="BI1651" i="1"/>
  <c r="BH1651" i="1"/>
  <c r="AS1651" i="1"/>
  <c r="BM1651" i="1" s="1"/>
  <c r="BP1650" i="1"/>
  <c r="BO1650" i="1"/>
  <c r="BN1650" i="1"/>
  <c r="BM1650" i="1"/>
  <c r="BL1650" i="1"/>
  <c r="BK1650" i="1"/>
  <c r="BJ1650" i="1"/>
  <c r="BI1650" i="1"/>
  <c r="BH1650" i="1"/>
  <c r="AS1650" i="1"/>
  <c r="AN1650" i="1"/>
  <c r="BP1649" i="1"/>
  <c r="BO1649" i="1"/>
  <c r="BN1649" i="1"/>
  <c r="BL1649" i="1"/>
  <c r="BK1649" i="1"/>
  <c r="BJ1649" i="1"/>
  <c r="BI1649" i="1"/>
  <c r="BH1649" i="1"/>
  <c r="AS1649" i="1"/>
  <c r="AN1649" i="1"/>
  <c r="BM1649" i="1" s="1"/>
  <c r="BP1648" i="1"/>
  <c r="BO1648" i="1"/>
  <c r="BN1648" i="1"/>
  <c r="BL1648" i="1"/>
  <c r="BK1648" i="1"/>
  <c r="BJ1648" i="1"/>
  <c r="BI1648" i="1"/>
  <c r="BH1648" i="1"/>
  <c r="AR1648" i="1"/>
  <c r="AN1648" i="1"/>
  <c r="BP1647" i="1"/>
  <c r="BO1647" i="1"/>
  <c r="BN1647" i="1"/>
  <c r="BM1647" i="1"/>
  <c r="BL1647" i="1"/>
  <c r="BK1647" i="1"/>
  <c r="BJ1647" i="1"/>
  <c r="BI1647" i="1"/>
  <c r="BH1647" i="1"/>
  <c r="BP1646" i="1"/>
  <c r="BO1646" i="1"/>
  <c r="BN1646" i="1"/>
  <c r="BM1646" i="1"/>
  <c r="BL1646" i="1"/>
  <c r="BK1646" i="1"/>
  <c r="BJ1646" i="1"/>
  <c r="BI1646" i="1"/>
  <c r="BH1646" i="1"/>
  <c r="X1646" i="1"/>
  <c r="BP1645" i="1"/>
  <c r="BN1645" i="1"/>
  <c r="BM1645" i="1"/>
  <c r="BL1645" i="1"/>
  <c r="BK1645" i="1"/>
  <c r="BJ1645" i="1"/>
  <c r="BI1645" i="1"/>
  <c r="BH1645" i="1"/>
  <c r="AY1645" i="1"/>
  <c r="BO1645" i="1" s="1"/>
  <c r="BP1644" i="1"/>
  <c r="BO1644" i="1"/>
  <c r="BN1644" i="1"/>
  <c r="BM1644" i="1"/>
  <c r="BL1644" i="1"/>
  <c r="BK1644" i="1"/>
  <c r="BJ1644" i="1"/>
  <c r="BI1644" i="1"/>
  <c r="BH1644" i="1"/>
  <c r="BP1643" i="1"/>
  <c r="BO1643" i="1"/>
  <c r="BN1643" i="1"/>
  <c r="BL1643" i="1"/>
  <c r="BK1643" i="1"/>
  <c r="BJ1643" i="1"/>
  <c r="BI1643" i="1"/>
  <c r="BH1643" i="1"/>
  <c r="AP1643" i="1"/>
  <c r="BM1643" i="1" s="1"/>
  <c r="BP1642" i="1"/>
  <c r="BO1642" i="1"/>
  <c r="BN1642" i="1"/>
  <c r="BM1642" i="1"/>
  <c r="BL1642" i="1"/>
  <c r="BK1642" i="1"/>
  <c r="BJ1642" i="1"/>
  <c r="BI1642" i="1"/>
  <c r="BH1642" i="1"/>
  <c r="AQ1642" i="1"/>
  <c r="AB1642" i="1"/>
  <c r="BP1641" i="1"/>
  <c r="BO1641" i="1"/>
  <c r="BN1641" i="1"/>
  <c r="BM1641" i="1"/>
  <c r="BL1641" i="1"/>
  <c r="BK1641" i="1"/>
  <c r="BJ1641" i="1"/>
  <c r="BI1641" i="1"/>
  <c r="BH1641" i="1"/>
  <c r="AQ1641" i="1"/>
  <c r="AB1641" i="1"/>
  <c r="BP1640" i="1"/>
  <c r="BO1640" i="1"/>
  <c r="BN1640" i="1"/>
  <c r="BM1640" i="1"/>
  <c r="BL1640" i="1"/>
  <c r="BK1640" i="1"/>
  <c r="BJ1640" i="1"/>
  <c r="BI1640" i="1"/>
  <c r="BH1640" i="1"/>
  <c r="M1640" i="1"/>
  <c r="C1640" i="1"/>
  <c r="BP1639" i="1"/>
  <c r="BO1639" i="1"/>
  <c r="BN1639" i="1"/>
  <c r="BM1639" i="1"/>
  <c r="BL1639" i="1"/>
  <c r="BK1639" i="1"/>
  <c r="BJ1639" i="1"/>
  <c r="BI1639" i="1"/>
  <c r="BH1639" i="1"/>
  <c r="V1639" i="1"/>
  <c r="M1639" i="1"/>
  <c r="C1639" i="1"/>
  <c r="BP1638" i="1"/>
  <c r="BO1638" i="1"/>
  <c r="BN1638" i="1"/>
  <c r="BM1638" i="1"/>
  <c r="BL1638" i="1"/>
  <c r="BK1638" i="1"/>
  <c r="BJ1638" i="1"/>
  <c r="BI1638" i="1"/>
  <c r="BH1638" i="1"/>
  <c r="V1638" i="1"/>
  <c r="BP1637" i="1"/>
  <c r="BO1637" i="1"/>
  <c r="BN1637" i="1"/>
  <c r="BM1637" i="1"/>
  <c r="BL1637" i="1"/>
  <c r="BJ1637" i="1"/>
  <c r="BI1637" i="1"/>
  <c r="BH1637" i="1"/>
  <c r="V1637" i="1"/>
  <c r="BK1637" i="1" s="1"/>
  <c r="M1637" i="1"/>
  <c r="BP1636" i="1"/>
  <c r="BO1636" i="1"/>
  <c r="BN1636" i="1"/>
  <c r="BM1636" i="1"/>
  <c r="BL1636" i="1"/>
  <c r="BK1636" i="1"/>
  <c r="BJ1636" i="1"/>
  <c r="BI1636" i="1"/>
  <c r="BH1636" i="1"/>
  <c r="BP1635" i="1"/>
  <c r="BO1635" i="1"/>
  <c r="BN1635" i="1"/>
  <c r="BM1635" i="1"/>
  <c r="BL1635" i="1"/>
  <c r="BK1635" i="1"/>
  <c r="BJ1635" i="1"/>
  <c r="BI1635" i="1"/>
  <c r="BH1635" i="1"/>
  <c r="BP1634" i="1"/>
  <c r="BO1634" i="1"/>
  <c r="BN1634" i="1"/>
  <c r="BM1634" i="1"/>
  <c r="BL1634" i="1"/>
  <c r="BK1634" i="1"/>
  <c r="BJ1634" i="1"/>
  <c r="BI1634" i="1"/>
  <c r="BH1634" i="1"/>
  <c r="BP1633" i="1"/>
  <c r="BO1633" i="1"/>
  <c r="BN1633" i="1"/>
  <c r="BM1633" i="1"/>
  <c r="BL1633" i="1"/>
  <c r="BK1633" i="1"/>
  <c r="BJ1633" i="1"/>
  <c r="BI1633" i="1"/>
  <c r="BH1633" i="1"/>
  <c r="BP1632" i="1"/>
  <c r="BO1632" i="1"/>
  <c r="BN1632" i="1"/>
  <c r="BM1632" i="1"/>
  <c r="BL1632" i="1"/>
  <c r="BK1632" i="1"/>
  <c r="BJ1632" i="1"/>
  <c r="BH1632" i="1"/>
  <c r="M1632" i="1"/>
  <c r="BI1632" i="1" s="1"/>
  <c r="BP1631" i="1"/>
  <c r="BO1631" i="1"/>
  <c r="BN1631" i="1"/>
  <c r="BL1631" i="1"/>
  <c r="BK1631" i="1"/>
  <c r="BJ1631" i="1"/>
  <c r="BI1631" i="1"/>
  <c r="BH1631" i="1"/>
  <c r="AB1631" i="1"/>
  <c r="BM1631" i="1" s="1"/>
  <c r="BP1630" i="1"/>
  <c r="BO1630" i="1"/>
  <c r="BN1630" i="1"/>
  <c r="BM1630" i="1"/>
  <c r="BL1630" i="1"/>
  <c r="BK1630" i="1"/>
  <c r="BJ1630" i="1"/>
  <c r="BI1630" i="1"/>
  <c r="BH1630" i="1"/>
  <c r="BP1629" i="1"/>
  <c r="BO1629" i="1"/>
  <c r="BN1629" i="1"/>
  <c r="BM1629" i="1"/>
  <c r="BL1629" i="1"/>
  <c r="BK1629" i="1"/>
  <c r="BJ1629" i="1"/>
  <c r="BI1629" i="1"/>
  <c r="BH1629" i="1"/>
  <c r="BP1628" i="1"/>
  <c r="BO1628" i="1"/>
  <c r="BN1628" i="1"/>
  <c r="BM1628" i="1"/>
  <c r="BL1628" i="1"/>
  <c r="BK1628" i="1"/>
  <c r="BJ1628" i="1"/>
  <c r="BI1628" i="1"/>
  <c r="BH1628" i="1"/>
  <c r="BP1627" i="1"/>
  <c r="BO1627" i="1"/>
  <c r="BN1627" i="1"/>
  <c r="BL1627" i="1"/>
  <c r="BK1627" i="1"/>
  <c r="BJ1627" i="1"/>
  <c r="BI1627" i="1"/>
  <c r="BH1627" i="1"/>
  <c r="AQ1627" i="1"/>
  <c r="BM1627" i="1" s="1"/>
  <c r="BP1626" i="1"/>
  <c r="BO1626" i="1"/>
  <c r="BN1626" i="1"/>
  <c r="BM1626" i="1"/>
  <c r="BL1626" i="1"/>
  <c r="BK1626" i="1"/>
  <c r="BJ1626" i="1"/>
  <c r="BI1626" i="1"/>
  <c r="BH1626" i="1"/>
  <c r="BP1625" i="1"/>
  <c r="BO1625" i="1"/>
  <c r="BN1625" i="1"/>
  <c r="BL1625" i="1"/>
  <c r="BK1625" i="1"/>
  <c r="BJ1625" i="1"/>
  <c r="BI1625" i="1"/>
  <c r="BH1625" i="1"/>
  <c r="AS1625" i="1"/>
  <c r="BM1625" i="1" s="1"/>
  <c r="BP1624" i="1"/>
  <c r="BO1624" i="1"/>
  <c r="BN1624" i="1"/>
  <c r="BM1624" i="1"/>
  <c r="BL1624" i="1"/>
  <c r="BK1624" i="1"/>
  <c r="BJ1624" i="1"/>
  <c r="BI1624" i="1"/>
  <c r="BH1624" i="1"/>
  <c r="AS1624" i="1"/>
  <c r="BP1623" i="1"/>
  <c r="BO1623" i="1"/>
  <c r="BN1623" i="1"/>
  <c r="BL1623" i="1"/>
  <c r="BK1623" i="1"/>
  <c r="BJ1623" i="1"/>
  <c r="BI1623" i="1"/>
  <c r="BH1623" i="1"/>
  <c r="AR1623" i="1"/>
  <c r="AN1623" i="1"/>
  <c r="BM1623" i="1" s="1"/>
  <c r="BP1622" i="1"/>
  <c r="BO1622" i="1"/>
  <c r="BN1622" i="1"/>
  <c r="BL1622" i="1"/>
  <c r="BK1622" i="1"/>
  <c r="BJ1622" i="1"/>
  <c r="BI1622" i="1"/>
  <c r="BH1622" i="1"/>
  <c r="AR1622" i="1"/>
  <c r="AN1622" i="1"/>
  <c r="BM1622" i="1" s="1"/>
  <c r="BP1621" i="1"/>
  <c r="BO1621" i="1"/>
  <c r="BN1621" i="1"/>
  <c r="BL1621" i="1"/>
  <c r="BK1621" i="1"/>
  <c r="BJ1621" i="1"/>
  <c r="BI1621" i="1"/>
  <c r="BH1621" i="1"/>
  <c r="AS1621" i="1"/>
  <c r="AN1621" i="1"/>
  <c r="BM1621" i="1" s="1"/>
  <c r="BP1620" i="1"/>
  <c r="BO1620" i="1"/>
  <c r="BN1620" i="1"/>
  <c r="BM1620" i="1"/>
  <c r="BL1620" i="1"/>
  <c r="BK1620" i="1"/>
  <c r="BJ1620" i="1"/>
  <c r="BI1620" i="1"/>
  <c r="BH1620" i="1"/>
  <c r="BP1619" i="1"/>
  <c r="BN1619" i="1"/>
  <c r="BM1619" i="1"/>
  <c r="BL1619" i="1"/>
  <c r="BK1619" i="1"/>
  <c r="BJ1619" i="1"/>
  <c r="BI1619" i="1"/>
  <c r="BH1619" i="1"/>
  <c r="AY1619" i="1"/>
  <c r="BO1619" i="1" s="1"/>
  <c r="BP1618" i="1"/>
  <c r="BO1618" i="1"/>
  <c r="BN1618" i="1"/>
  <c r="BL1618" i="1"/>
  <c r="BK1618" i="1"/>
  <c r="BJ1618" i="1"/>
  <c r="BI1618" i="1"/>
  <c r="BH1618" i="1"/>
  <c r="AS1618" i="1"/>
  <c r="AN1618" i="1"/>
  <c r="BM1618" i="1" s="1"/>
  <c r="BP1617" i="1"/>
  <c r="BO1617" i="1"/>
  <c r="BN1617" i="1"/>
  <c r="BM1617" i="1"/>
  <c r="BL1617" i="1"/>
  <c r="BK1617" i="1"/>
  <c r="BJ1617" i="1"/>
  <c r="BI1617" i="1"/>
  <c r="BH1617" i="1"/>
  <c r="BP1616" i="1"/>
  <c r="BO1616" i="1"/>
  <c r="BN1616" i="1"/>
  <c r="BM1616" i="1"/>
  <c r="BL1616" i="1"/>
  <c r="BK1616" i="1"/>
  <c r="BJ1616" i="1"/>
  <c r="BI1616" i="1"/>
  <c r="BH1616" i="1"/>
  <c r="BP1615" i="1"/>
  <c r="BO1615" i="1"/>
  <c r="BN1615" i="1"/>
  <c r="BM1615" i="1"/>
  <c r="BL1615" i="1"/>
  <c r="BK1615" i="1"/>
  <c r="BJ1615" i="1"/>
  <c r="BI1615" i="1"/>
  <c r="BH1615" i="1"/>
  <c r="AY1615" i="1"/>
  <c r="BP1614" i="1"/>
  <c r="BO1614" i="1"/>
  <c r="BN1614" i="1"/>
  <c r="BM1614" i="1"/>
  <c r="BL1614" i="1"/>
  <c r="BK1614" i="1"/>
  <c r="BJ1614" i="1"/>
  <c r="BI1614" i="1"/>
  <c r="BH1614" i="1"/>
  <c r="BP1613" i="1"/>
  <c r="BO1613" i="1"/>
  <c r="BN1613" i="1"/>
  <c r="BL1613" i="1"/>
  <c r="BK1613" i="1"/>
  <c r="BJ1613" i="1"/>
  <c r="BI1613" i="1"/>
  <c r="BH1613" i="1"/>
  <c r="AR1613" i="1"/>
  <c r="AN1613" i="1"/>
  <c r="BM1613" i="1" s="1"/>
  <c r="BP1612" i="1"/>
  <c r="BO1612" i="1"/>
  <c r="BM1612" i="1"/>
  <c r="BL1612" i="1"/>
  <c r="BJ1612" i="1"/>
  <c r="BI1612" i="1"/>
  <c r="BG1612" i="1"/>
  <c r="AW1612" i="1"/>
  <c r="AU1612" i="1"/>
  <c r="AT1612" i="1"/>
  <c r="BN1612" i="1" s="1"/>
  <c r="U1612" i="1"/>
  <c r="BK1612" i="1" s="1"/>
  <c r="S1612" i="1"/>
  <c r="Q1612" i="1"/>
  <c r="D1612" i="1"/>
  <c r="C1612" i="1"/>
  <c r="BP1611" i="1"/>
  <c r="BO1611" i="1"/>
  <c r="BL1611" i="1"/>
  <c r="BK1611" i="1"/>
  <c r="BJ1611" i="1"/>
  <c r="BH1611" i="1"/>
  <c r="BG1611" i="1"/>
  <c r="AT1611" i="1"/>
  <c r="BN1611" i="1" s="1"/>
  <c r="AR1611" i="1"/>
  <c r="AN1611" i="1"/>
  <c r="AM1611" i="1"/>
  <c r="BM1611" i="1" s="1"/>
  <c r="W1611" i="1"/>
  <c r="S1611" i="1"/>
  <c r="N1611" i="1"/>
  <c r="BI1611" i="1" s="1"/>
  <c r="I1611" i="1"/>
  <c r="D1611" i="1"/>
  <c r="BP1610" i="1"/>
  <c r="BO1610" i="1"/>
  <c r="BN1610" i="1"/>
  <c r="BM1610" i="1"/>
  <c r="BL1610" i="1"/>
  <c r="BK1610" i="1"/>
  <c r="BJ1610" i="1"/>
  <c r="BI1610" i="1"/>
  <c r="BH1610" i="1"/>
  <c r="BP1609" i="1"/>
  <c r="BO1609" i="1"/>
  <c r="BN1609" i="1"/>
  <c r="BM1609" i="1"/>
  <c r="BL1609" i="1"/>
  <c r="BK1609" i="1"/>
  <c r="BJ1609" i="1"/>
  <c r="BI1609" i="1"/>
  <c r="BH1609" i="1"/>
  <c r="BP1608" i="1"/>
  <c r="BO1608" i="1"/>
  <c r="BN1608" i="1"/>
  <c r="BM1608" i="1"/>
  <c r="BL1608" i="1"/>
  <c r="BK1608" i="1"/>
  <c r="BJ1608" i="1"/>
  <c r="BI1608" i="1"/>
  <c r="BH1608" i="1"/>
  <c r="BP1607" i="1"/>
  <c r="BO1607" i="1"/>
  <c r="BN1607" i="1"/>
  <c r="BM1607" i="1"/>
  <c r="BL1607" i="1"/>
  <c r="BK1607" i="1"/>
  <c r="BJ1607" i="1"/>
  <c r="BI1607" i="1"/>
  <c r="BH1607" i="1"/>
  <c r="BP1606" i="1"/>
  <c r="BO1606" i="1"/>
  <c r="BN1606" i="1"/>
  <c r="BM1606" i="1"/>
  <c r="BL1606" i="1"/>
  <c r="BK1606" i="1"/>
  <c r="BJ1606" i="1"/>
  <c r="BI1606" i="1"/>
  <c r="BH1606" i="1"/>
  <c r="BP1605" i="1"/>
  <c r="BO1605" i="1"/>
  <c r="BN1605" i="1"/>
  <c r="BM1605" i="1"/>
  <c r="BL1605" i="1"/>
  <c r="BK1605" i="1"/>
  <c r="BJ1605" i="1"/>
  <c r="BI1605" i="1"/>
  <c r="BH1605" i="1"/>
  <c r="BP1604" i="1"/>
  <c r="BO1604" i="1"/>
  <c r="BN1604" i="1"/>
  <c r="BM1604" i="1"/>
  <c r="BL1604" i="1"/>
  <c r="BK1604" i="1"/>
  <c r="BJ1604" i="1"/>
  <c r="BI1604" i="1"/>
  <c r="BH1604" i="1"/>
  <c r="BP1603" i="1"/>
  <c r="BO1603" i="1"/>
  <c r="BN1603" i="1"/>
  <c r="BM1603" i="1"/>
  <c r="BL1603" i="1"/>
  <c r="BK1603" i="1"/>
  <c r="BJ1603" i="1"/>
  <c r="BI1603" i="1"/>
  <c r="BH1603" i="1"/>
  <c r="BP1602" i="1"/>
  <c r="BO1602" i="1"/>
  <c r="BN1602" i="1"/>
  <c r="BM1602" i="1"/>
  <c r="BL1602" i="1"/>
  <c r="BK1602" i="1"/>
  <c r="BJ1602" i="1"/>
  <c r="BI1602" i="1"/>
  <c r="BH1602" i="1"/>
  <c r="BP1601" i="1"/>
  <c r="BO1601" i="1"/>
  <c r="BN1601" i="1"/>
  <c r="BM1601" i="1"/>
  <c r="BL1601" i="1"/>
  <c r="BK1601" i="1"/>
  <c r="BJ1601" i="1"/>
  <c r="BI1601" i="1"/>
  <c r="BH1601" i="1"/>
  <c r="BP1600" i="1"/>
  <c r="BO1600" i="1"/>
  <c r="BN1600" i="1"/>
  <c r="BM1600" i="1"/>
  <c r="BL1600" i="1"/>
  <c r="BK1600" i="1"/>
  <c r="BJ1600" i="1"/>
  <c r="BI1600" i="1"/>
  <c r="BH1600" i="1"/>
  <c r="BP1599" i="1"/>
  <c r="BO1599" i="1"/>
  <c r="BN1599" i="1"/>
  <c r="BL1599" i="1"/>
  <c r="BK1599" i="1"/>
  <c r="BJ1599" i="1"/>
  <c r="BI1599" i="1"/>
  <c r="BH1599" i="1"/>
  <c r="AR1599" i="1"/>
  <c r="AN1599" i="1"/>
  <c r="BM1599" i="1" s="1"/>
  <c r="BP1598" i="1"/>
  <c r="BO1598" i="1"/>
  <c r="BN1598" i="1"/>
  <c r="BL1598" i="1"/>
  <c r="BK1598" i="1"/>
  <c r="BJ1598" i="1"/>
  <c r="BI1598" i="1"/>
  <c r="BH1598" i="1"/>
  <c r="AR1598" i="1"/>
  <c r="AN1598" i="1"/>
  <c r="BM1598" i="1" s="1"/>
  <c r="BP1597" i="1"/>
  <c r="BO1597" i="1"/>
  <c r="BN1597" i="1"/>
  <c r="BM1597" i="1"/>
  <c r="BL1597" i="1"/>
  <c r="BK1597" i="1"/>
  <c r="BJ1597" i="1"/>
  <c r="BI1597" i="1"/>
  <c r="BH1597" i="1"/>
  <c r="AR1597" i="1"/>
  <c r="AN1597" i="1"/>
  <c r="BP1596" i="1"/>
  <c r="BO1596" i="1"/>
  <c r="BN1596" i="1"/>
  <c r="BM1596" i="1"/>
  <c r="BL1596" i="1"/>
  <c r="BJ1596" i="1"/>
  <c r="BI1596" i="1"/>
  <c r="BH1596" i="1"/>
  <c r="X1596" i="1"/>
  <c r="BK1596" i="1" s="1"/>
  <c r="BP1595" i="1"/>
  <c r="BO1595" i="1"/>
  <c r="BN1595" i="1"/>
  <c r="BM1595" i="1"/>
  <c r="BL1595" i="1"/>
  <c r="BK1595" i="1"/>
  <c r="BJ1595" i="1"/>
  <c r="BI1595" i="1"/>
  <c r="BH1595" i="1"/>
  <c r="V1595" i="1"/>
  <c r="M1595" i="1"/>
  <c r="BP1594" i="1"/>
  <c r="BO1594" i="1"/>
  <c r="BN1594" i="1"/>
  <c r="BM1594" i="1"/>
  <c r="BL1594" i="1"/>
  <c r="BK1594" i="1"/>
  <c r="BJ1594" i="1"/>
  <c r="BI1594" i="1"/>
  <c r="BH1594" i="1"/>
  <c r="BP1593" i="1"/>
  <c r="BO1593" i="1"/>
  <c r="BN1593" i="1"/>
  <c r="BM1593" i="1"/>
  <c r="BL1593" i="1"/>
  <c r="BK1593" i="1"/>
  <c r="BJ1593" i="1"/>
  <c r="BI1593" i="1"/>
  <c r="BH1593" i="1"/>
  <c r="BP1592" i="1"/>
  <c r="BO1592" i="1"/>
  <c r="BN1592" i="1"/>
  <c r="BM1592" i="1"/>
  <c r="BL1592" i="1"/>
  <c r="BK1592" i="1"/>
  <c r="BJ1592" i="1"/>
  <c r="BI1592" i="1"/>
  <c r="BH1592" i="1"/>
  <c r="BP1591" i="1"/>
  <c r="BO1591" i="1"/>
  <c r="BN1591" i="1"/>
  <c r="BM1591" i="1"/>
  <c r="BL1591" i="1"/>
  <c r="BK1591" i="1"/>
  <c r="BJ1591" i="1"/>
  <c r="BI1591" i="1"/>
  <c r="BH1591" i="1"/>
  <c r="BP1590" i="1"/>
  <c r="BO1590" i="1"/>
  <c r="BN1590" i="1"/>
  <c r="BM1590" i="1"/>
  <c r="BL1590" i="1"/>
  <c r="BK1590" i="1"/>
  <c r="BJ1590" i="1"/>
  <c r="BI1590" i="1"/>
  <c r="BH1590" i="1"/>
  <c r="V1590" i="1"/>
  <c r="M1590" i="1"/>
  <c r="BP1589" i="1"/>
  <c r="BO1589" i="1"/>
  <c r="BN1589" i="1"/>
  <c r="BM1589" i="1"/>
  <c r="BL1589" i="1"/>
  <c r="BK1589" i="1"/>
  <c r="BJ1589" i="1"/>
  <c r="BH1589" i="1"/>
  <c r="M1589" i="1"/>
  <c r="BI1589" i="1" s="1"/>
  <c r="BP1588" i="1"/>
  <c r="BO1588" i="1"/>
  <c r="BN1588" i="1"/>
  <c r="BM1588" i="1"/>
  <c r="BL1588" i="1"/>
  <c r="BK1588" i="1"/>
  <c r="BJ1588" i="1"/>
  <c r="BI1588" i="1"/>
  <c r="BH1588" i="1"/>
  <c r="BP1587" i="1"/>
  <c r="BO1587" i="1"/>
  <c r="BN1587" i="1"/>
  <c r="BL1587" i="1"/>
  <c r="BK1587" i="1"/>
  <c r="BJ1587" i="1"/>
  <c r="BI1587" i="1"/>
  <c r="BH1587" i="1"/>
  <c r="AQ1587" i="1"/>
  <c r="BM1587" i="1" s="1"/>
  <c r="BP1586" i="1"/>
  <c r="BO1586" i="1"/>
  <c r="BN1586" i="1"/>
  <c r="BM1586" i="1"/>
  <c r="BL1586" i="1"/>
  <c r="BK1586" i="1"/>
  <c r="BJ1586" i="1"/>
  <c r="BI1586" i="1"/>
  <c r="BH1586" i="1"/>
  <c r="AS1586" i="1"/>
  <c r="BP1585" i="1"/>
  <c r="BO1585" i="1"/>
  <c r="BN1585" i="1"/>
  <c r="BM1585" i="1"/>
  <c r="BL1585" i="1"/>
  <c r="BK1585" i="1"/>
  <c r="BJ1585" i="1"/>
  <c r="BI1585" i="1"/>
  <c r="BH1585" i="1"/>
  <c r="AS1585" i="1"/>
  <c r="BP1584" i="1"/>
  <c r="BO1584" i="1"/>
  <c r="BN1584" i="1"/>
  <c r="BM1584" i="1"/>
  <c r="BL1584" i="1"/>
  <c r="BK1584" i="1"/>
  <c r="BJ1584" i="1"/>
  <c r="BI1584" i="1"/>
  <c r="BH1584" i="1"/>
  <c r="AS1584" i="1"/>
  <c r="BP1583" i="1"/>
  <c r="BN1583" i="1"/>
  <c r="BM1583" i="1"/>
  <c r="BL1583" i="1"/>
  <c r="BK1583" i="1"/>
  <c r="BJ1583" i="1"/>
  <c r="BI1583" i="1"/>
  <c r="BH1583" i="1"/>
  <c r="AY1583" i="1"/>
  <c r="BO1583" i="1" s="1"/>
  <c r="BP1582" i="1"/>
  <c r="BO1582" i="1"/>
  <c r="BN1582" i="1"/>
  <c r="BM1582" i="1"/>
  <c r="BL1582" i="1"/>
  <c r="BK1582" i="1"/>
  <c r="BJ1582" i="1"/>
  <c r="BI1582" i="1"/>
  <c r="BH1582" i="1"/>
  <c r="BP1581" i="1"/>
  <c r="BO1581" i="1"/>
  <c r="BN1581" i="1"/>
  <c r="BM1581" i="1"/>
  <c r="BL1581" i="1"/>
  <c r="BK1581" i="1"/>
  <c r="BJ1581" i="1"/>
  <c r="BI1581" i="1"/>
  <c r="BH1581" i="1"/>
  <c r="BP1580" i="1"/>
  <c r="BO1580" i="1"/>
  <c r="BN1580" i="1"/>
  <c r="BM1580" i="1"/>
  <c r="BL1580" i="1"/>
  <c r="BK1580" i="1"/>
  <c r="BJ1580" i="1"/>
  <c r="BI1580" i="1"/>
  <c r="BH1580" i="1"/>
  <c r="AR1580" i="1"/>
  <c r="AN1580" i="1"/>
  <c r="BP1579" i="1"/>
  <c r="BO1579" i="1"/>
  <c r="BN1579" i="1"/>
  <c r="BM1579" i="1"/>
  <c r="BL1579" i="1"/>
  <c r="BK1579" i="1"/>
  <c r="BJ1579" i="1"/>
  <c r="BI1579" i="1"/>
  <c r="BH1579" i="1"/>
  <c r="AA1579" i="1"/>
  <c r="BP1578" i="1"/>
  <c r="BO1578" i="1"/>
  <c r="BN1578" i="1"/>
  <c r="BL1578" i="1"/>
  <c r="BK1578" i="1"/>
  <c r="BJ1578" i="1"/>
  <c r="BI1578" i="1"/>
  <c r="BH1578" i="1"/>
  <c r="AB1578" i="1"/>
  <c r="BM1578" i="1" s="1"/>
  <c r="BP1577" i="1"/>
  <c r="BO1577" i="1"/>
  <c r="BN1577" i="1"/>
  <c r="BM1577" i="1"/>
  <c r="BL1577" i="1"/>
  <c r="BJ1577" i="1"/>
  <c r="BI1577" i="1"/>
  <c r="BH1577" i="1"/>
  <c r="X1577" i="1"/>
  <c r="BK1577" i="1" s="1"/>
  <c r="BP1576" i="1"/>
  <c r="BO1576" i="1"/>
  <c r="BN1576" i="1"/>
  <c r="BM1576" i="1"/>
  <c r="BL1576" i="1"/>
  <c r="BK1576" i="1"/>
  <c r="BJ1576" i="1"/>
  <c r="BI1576" i="1"/>
  <c r="BH1576" i="1"/>
  <c r="BP1575" i="1"/>
  <c r="BO1575" i="1"/>
  <c r="BN1575" i="1"/>
  <c r="BM1575" i="1"/>
  <c r="BL1575" i="1"/>
  <c r="BK1575" i="1"/>
  <c r="BJ1575" i="1"/>
  <c r="BI1575" i="1"/>
  <c r="BH1575" i="1"/>
  <c r="AL1575" i="1"/>
  <c r="BP1574" i="1"/>
  <c r="BO1574" i="1"/>
  <c r="BN1574" i="1"/>
  <c r="BM1574" i="1"/>
  <c r="BL1574" i="1"/>
  <c r="BK1574" i="1"/>
  <c r="BJ1574" i="1"/>
  <c r="BI1574" i="1"/>
  <c r="BH1574" i="1"/>
  <c r="BP1573" i="1"/>
  <c r="BO1573" i="1"/>
  <c r="BN1573" i="1"/>
  <c r="BM1573" i="1"/>
  <c r="BL1573" i="1"/>
  <c r="BK1573" i="1"/>
  <c r="BJ1573" i="1"/>
  <c r="BI1573" i="1"/>
  <c r="BH1573" i="1"/>
  <c r="BP1572" i="1"/>
  <c r="BO1572" i="1"/>
  <c r="BN1572" i="1"/>
  <c r="BL1572" i="1"/>
  <c r="BK1572" i="1"/>
  <c r="BJ1572" i="1"/>
  <c r="BI1572" i="1"/>
  <c r="BH1572" i="1"/>
  <c r="AQ1572" i="1"/>
  <c r="BM1572" i="1" s="1"/>
  <c r="BP1571" i="1"/>
  <c r="BO1571" i="1"/>
  <c r="BN1571" i="1"/>
  <c r="BM1571" i="1"/>
  <c r="BK1571" i="1"/>
  <c r="BJ1571" i="1"/>
  <c r="BI1571" i="1"/>
  <c r="BH1571" i="1"/>
  <c r="AQ1571" i="1"/>
  <c r="AA1571" i="1"/>
  <c r="BL1571" i="1" s="1"/>
  <c r="L1571" i="1"/>
  <c r="BP1570" i="1"/>
  <c r="BO1570" i="1"/>
  <c r="BN1570" i="1"/>
  <c r="BM1570" i="1"/>
  <c r="BL1570" i="1"/>
  <c r="BK1570" i="1"/>
  <c r="BJ1570" i="1"/>
  <c r="BI1570" i="1"/>
  <c r="BH1570" i="1"/>
  <c r="BP1569" i="1"/>
  <c r="BO1569" i="1"/>
  <c r="BN1569" i="1"/>
  <c r="BM1569" i="1"/>
  <c r="BL1569" i="1"/>
  <c r="BK1569" i="1"/>
  <c r="BJ1569" i="1"/>
  <c r="BH1569" i="1"/>
  <c r="V1569" i="1"/>
  <c r="M1569" i="1"/>
  <c r="BI1569" i="1" s="1"/>
  <c r="BO1568" i="1"/>
  <c r="BN1568" i="1"/>
  <c r="BM1568" i="1"/>
  <c r="BL1568" i="1"/>
  <c r="BK1568" i="1"/>
  <c r="BI1568" i="1"/>
  <c r="BG1568" i="1"/>
  <c r="BF1568" i="1"/>
  <c r="BP1568" i="1" s="1"/>
  <c r="AW1568" i="1"/>
  <c r="AT1568" i="1"/>
  <c r="V1568" i="1"/>
  <c r="U1568" i="1"/>
  <c r="S1568" i="1"/>
  <c r="BJ1568" i="1" s="1"/>
  <c r="M1568" i="1"/>
  <c r="G1568" i="1"/>
  <c r="C1568" i="1"/>
  <c r="BH1568" i="1" s="1"/>
  <c r="BM1567" i="1"/>
  <c r="BL1567" i="1"/>
  <c r="BK1567" i="1"/>
  <c r="BJ1567" i="1"/>
  <c r="BG1567" i="1"/>
  <c r="BF1567" i="1"/>
  <c r="BP1567" i="1" s="1"/>
  <c r="AW1567" i="1"/>
  <c r="BO1567" i="1" s="1"/>
  <c r="AT1567" i="1"/>
  <c r="BN1567" i="1" s="1"/>
  <c r="U1567" i="1"/>
  <c r="S1567" i="1"/>
  <c r="M1567" i="1"/>
  <c r="BI1567" i="1" s="1"/>
  <c r="G1567" i="1"/>
  <c r="C1567" i="1"/>
  <c r="BH1567" i="1" s="1"/>
  <c r="BP1566" i="1"/>
  <c r="BN1566" i="1"/>
  <c r="BM1566" i="1"/>
  <c r="BL1566" i="1"/>
  <c r="BK1566" i="1"/>
  <c r="BJ1566" i="1"/>
  <c r="BI1566" i="1"/>
  <c r="BH1566" i="1"/>
  <c r="AY1566" i="1"/>
  <c r="BO1566" i="1" s="1"/>
  <c r="BP1565" i="1"/>
  <c r="BO1565" i="1"/>
  <c r="BN1565" i="1"/>
  <c r="BM1565" i="1"/>
  <c r="BL1565" i="1"/>
  <c r="BK1565" i="1"/>
  <c r="BJ1565" i="1"/>
  <c r="BI1565" i="1"/>
  <c r="BH1565" i="1"/>
  <c r="BP1564" i="1"/>
  <c r="BO1564" i="1"/>
  <c r="BN1564" i="1"/>
  <c r="BM1564" i="1"/>
  <c r="BL1564" i="1"/>
  <c r="BK1564" i="1"/>
  <c r="BJ1564" i="1"/>
  <c r="BI1564" i="1"/>
  <c r="BH1564" i="1"/>
  <c r="AP1564" i="1"/>
  <c r="BP1563" i="1"/>
  <c r="BO1563" i="1"/>
  <c r="BN1563" i="1"/>
  <c r="BM1563" i="1"/>
  <c r="BL1563" i="1"/>
  <c r="BK1563" i="1"/>
  <c r="BJ1563" i="1"/>
  <c r="BI1563" i="1"/>
  <c r="BH1563" i="1"/>
  <c r="BP1562" i="1"/>
  <c r="BO1562" i="1"/>
  <c r="BN1562" i="1"/>
  <c r="BM1562" i="1"/>
  <c r="BL1562" i="1"/>
  <c r="BK1562" i="1"/>
  <c r="BJ1562" i="1"/>
  <c r="BI1562" i="1"/>
  <c r="BH1562" i="1"/>
  <c r="BP1561" i="1"/>
  <c r="BO1561" i="1"/>
  <c r="BN1561" i="1"/>
  <c r="BL1561" i="1"/>
  <c r="BK1561" i="1"/>
  <c r="BJ1561" i="1"/>
  <c r="BI1561" i="1"/>
  <c r="BH1561" i="1"/>
  <c r="AS1561" i="1"/>
  <c r="AN1561" i="1"/>
  <c r="BM1561" i="1" s="1"/>
  <c r="BP1560" i="1"/>
  <c r="BO1560" i="1"/>
  <c r="BN1560" i="1"/>
  <c r="BM1560" i="1"/>
  <c r="BL1560" i="1"/>
  <c r="BK1560" i="1"/>
  <c r="BJ1560" i="1"/>
  <c r="BI1560" i="1"/>
  <c r="BH1560" i="1"/>
  <c r="BP1559" i="1"/>
  <c r="BO1559" i="1"/>
  <c r="BN1559" i="1"/>
  <c r="BM1559" i="1"/>
  <c r="BL1559" i="1"/>
  <c r="BK1559" i="1"/>
  <c r="BJ1559" i="1"/>
  <c r="BI1559" i="1"/>
  <c r="BH1559" i="1"/>
  <c r="BP1558" i="1"/>
  <c r="BO1558" i="1"/>
  <c r="BN1558" i="1"/>
  <c r="BM1558" i="1"/>
  <c r="BL1558" i="1"/>
  <c r="BK1558" i="1"/>
  <c r="BJ1558" i="1"/>
  <c r="BI1558" i="1"/>
  <c r="BH1558" i="1"/>
  <c r="BP1557" i="1"/>
  <c r="BO1557" i="1"/>
  <c r="BN1557" i="1"/>
  <c r="BL1557" i="1"/>
  <c r="BK1557" i="1"/>
  <c r="BJ1557" i="1"/>
  <c r="BI1557" i="1"/>
  <c r="BH1557" i="1"/>
  <c r="AB1557" i="1"/>
  <c r="BM1557" i="1" s="1"/>
  <c r="BP1556" i="1"/>
  <c r="BO1556" i="1"/>
  <c r="BN1556" i="1"/>
  <c r="BM1556" i="1"/>
  <c r="BL1556" i="1"/>
  <c r="BK1556" i="1"/>
  <c r="BJ1556" i="1"/>
  <c r="BI1556" i="1"/>
  <c r="BH1556" i="1"/>
  <c r="BP1555" i="1"/>
  <c r="BO1555" i="1"/>
  <c r="BN1555" i="1"/>
  <c r="BM1555" i="1"/>
  <c r="BL1555" i="1"/>
  <c r="BK1555" i="1"/>
  <c r="BJ1555" i="1"/>
  <c r="BI1555" i="1"/>
  <c r="BH1555" i="1"/>
  <c r="AR1555" i="1"/>
  <c r="AN1555" i="1"/>
  <c r="BP1554" i="1"/>
  <c r="BO1554" i="1"/>
  <c r="BN1554" i="1"/>
  <c r="BM1554" i="1"/>
  <c r="BL1554" i="1"/>
  <c r="BK1554" i="1"/>
  <c r="BJ1554" i="1"/>
  <c r="BI1554" i="1"/>
  <c r="BH1554" i="1"/>
  <c r="BP1553" i="1"/>
  <c r="BO1553" i="1"/>
  <c r="BN1553" i="1"/>
  <c r="BM1553" i="1"/>
  <c r="BL1553" i="1"/>
  <c r="BK1553" i="1"/>
  <c r="BJ1553" i="1"/>
  <c r="BI1553" i="1"/>
  <c r="BH1553" i="1"/>
  <c r="BP1552" i="1"/>
  <c r="BO1552" i="1"/>
  <c r="BN1552" i="1"/>
  <c r="BM1552" i="1"/>
  <c r="BL1552" i="1"/>
  <c r="BK1552" i="1"/>
  <c r="BJ1552" i="1"/>
  <c r="BI1552" i="1"/>
  <c r="BH1552" i="1"/>
  <c r="BP1551" i="1"/>
  <c r="BO1551" i="1"/>
  <c r="BN1551" i="1"/>
  <c r="BM1551" i="1"/>
  <c r="BL1551" i="1"/>
  <c r="BK1551" i="1"/>
  <c r="BJ1551" i="1"/>
  <c r="BI1551" i="1"/>
  <c r="BH1551" i="1"/>
  <c r="X1551" i="1"/>
  <c r="BP1550" i="1"/>
  <c r="BO1550" i="1"/>
  <c r="BN1550" i="1"/>
  <c r="BM1550" i="1"/>
  <c r="BL1550" i="1"/>
  <c r="BK1550" i="1"/>
  <c r="BJ1550" i="1"/>
  <c r="BI1550" i="1"/>
  <c r="BH1550" i="1"/>
  <c r="X1550" i="1"/>
  <c r="BP1549" i="1"/>
  <c r="BO1549" i="1"/>
  <c r="BN1549" i="1"/>
  <c r="BM1549" i="1"/>
  <c r="BL1549" i="1"/>
  <c r="BK1549" i="1"/>
  <c r="BJ1549" i="1"/>
  <c r="BI1549" i="1"/>
  <c r="BH1549" i="1"/>
  <c r="AR1549" i="1"/>
  <c r="AN1549" i="1"/>
  <c r="BP1548" i="1"/>
  <c r="BO1548" i="1"/>
  <c r="BN1548" i="1"/>
  <c r="BM1548" i="1"/>
  <c r="BL1548" i="1"/>
  <c r="BK1548" i="1"/>
  <c r="BJ1548" i="1"/>
  <c r="BI1548" i="1"/>
  <c r="BH1548" i="1"/>
  <c r="BP1547" i="1"/>
  <c r="BO1547" i="1"/>
  <c r="BN1547" i="1"/>
  <c r="BM1547" i="1"/>
  <c r="BL1547" i="1"/>
  <c r="BJ1547" i="1"/>
  <c r="BH1547" i="1"/>
  <c r="V1547" i="1"/>
  <c r="BK1547" i="1" s="1"/>
  <c r="M1547" i="1"/>
  <c r="BI1547" i="1" s="1"/>
  <c r="BP1546" i="1"/>
  <c r="BO1546" i="1"/>
  <c r="BN1546" i="1"/>
  <c r="BL1546" i="1"/>
  <c r="BK1546" i="1"/>
  <c r="BJ1546" i="1"/>
  <c r="BI1546" i="1"/>
  <c r="BH1546" i="1"/>
  <c r="AL1546" i="1"/>
  <c r="BM1546" i="1" s="1"/>
  <c r="BP1545" i="1"/>
  <c r="BO1545" i="1"/>
  <c r="BN1545" i="1"/>
  <c r="BM1545" i="1"/>
  <c r="BL1545" i="1"/>
  <c r="BK1545" i="1"/>
  <c r="BJ1545" i="1"/>
  <c r="BI1545" i="1"/>
  <c r="BH1545" i="1"/>
  <c r="AS1545" i="1"/>
  <c r="BP1544" i="1"/>
  <c r="BO1544" i="1"/>
  <c r="BN1544" i="1"/>
  <c r="BM1544" i="1"/>
  <c r="BL1544" i="1"/>
  <c r="BK1544" i="1"/>
  <c r="BJ1544" i="1"/>
  <c r="BI1544" i="1"/>
  <c r="BH1544" i="1"/>
  <c r="AB1544" i="1"/>
  <c r="BP1543" i="1"/>
  <c r="BO1543" i="1"/>
  <c r="BN1543" i="1"/>
  <c r="BM1543" i="1"/>
  <c r="BL1543" i="1"/>
  <c r="BK1543" i="1"/>
  <c r="BJ1543" i="1"/>
  <c r="BI1543" i="1"/>
  <c r="BH1543" i="1"/>
  <c r="AS1543" i="1"/>
  <c r="BP1542" i="1"/>
  <c r="BO1542" i="1"/>
  <c r="BN1542" i="1"/>
  <c r="BL1542" i="1"/>
  <c r="BK1542" i="1"/>
  <c r="BJ1542" i="1"/>
  <c r="BI1542" i="1"/>
  <c r="BH1542" i="1"/>
  <c r="AR1542" i="1"/>
  <c r="AN1542" i="1"/>
  <c r="BM1542" i="1" s="1"/>
  <c r="BP1541" i="1"/>
  <c r="BO1541" i="1"/>
  <c r="BN1541" i="1"/>
  <c r="BL1541" i="1"/>
  <c r="BK1541" i="1"/>
  <c r="BJ1541" i="1"/>
  <c r="BI1541" i="1"/>
  <c r="AJ1541" i="1"/>
  <c r="BM1541" i="1" s="1"/>
  <c r="J1541" i="1"/>
  <c r="BH1541" i="1" s="1"/>
  <c r="BP1540" i="1"/>
  <c r="BO1540" i="1"/>
  <c r="BN1540" i="1"/>
  <c r="BM1540" i="1"/>
  <c r="BL1540" i="1"/>
  <c r="BK1540" i="1"/>
  <c r="BJ1540" i="1"/>
  <c r="BI1540" i="1"/>
  <c r="BH1540" i="1"/>
  <c r="BP1539" i="1"/>
  <c r="BO1539" i="1"/>
  <c r="BN1539" i="1"/>
  <c r="BM1539" i="1"/>
  <c r="BL1539" i="1"/>
  <c r="BK1539" i="1"/>
  <c r="BJ1539" i="1"/>
  <c r="BI1539" i="1"/>
  <c r="BH1539" i="1"/>
  <c r="AY1539" i="1"/>
  <c r="BP1538" i="1"/>
  <c r="BO1538" i="1"/>
  <c r="BN1538" i="1"/>
  <c r="BM1538" i="1"/>
  <c r="BL1538" i="1"/>
  <c r="BK1538" i="1"/>
  <c r="BJ1538" i="1"/>
  <c r="BI1538" i="1"/>
  <c r="BH1538" i="1"/>
  <c r="BP1537" i="1"/>
  <c r="BO1537" i="1"/>
  <c r="BN1537" i="1"/>
  <c r="BM1537" i="1"/>
  <c r="BL1537" i="1"/>
  <c r="BK1537" i="1"/>
  <c r="BJ1537" i="1"/>
  <c r="BI1537" i="1"/>
  <c r="BH1537" i="1"/>
  <c r="BP1536" i="1"/>
  <c r="BO1536" i="1"/>
  <c r="BN1536" i="1"/>
  <c r="BM1536" i="1"/>
  <c r="BL1536" i="1"/>
  <c r="BK1536" i="1"/>
  <c r="BJ1536" i="1"/>
  <c r="BI1536" i="1"/>
  <c r="BH1536" i="1"/>
  <c r="BP1535" i="1"/>
  <c r="BO1535" i="1"/>
  <c r="BN1535" i="1"/>
  <c r="BM1535" i="1"/>
  <c r="BL1535" i="1"/>
  <c r="BK1535" i="1"/>
  <c r="BJ1535" i="1"/>
  <c r="BI1535" i="1"/>
  <c r="BH1535" i="1"/>
  <c r="BP1534" i="1"/>
  <c r="BO1534" i="1"/>
  <c r="BN1534" i="1"/>
  <c r="BM1534" i="1"/>
  <c r="BL1534" i="1"/>
  <c r="BK1534" i="1"/>
  <c r="BJ1534" i="1"/>
  <c r="BI1534" i="1"/>
  <c r="BH1534" i="1"/>
  <c r="BP1533" i="1"/>
  <c r="BO1533" i="1"/>
  <c r="BN1533" i="1"/>
  <c r="BM1533" i="1"/>
  <c r="BL1533" i="1"/>
  <c r="BK1533" i="1"/>
  <c r="BJ1533" i="1"/>
  <c r="BI1533" i="1"/>
  <c r="BH1533" i="1"/>
  <c r="BP1532" i="1"/>
  <c r="BO1532" i="1"/>
  <c r="BN1532" i="1"/>
  <c r="BL1532" i="1"/>
  <c r="BK1532" i="1"/>
  <c r="BJ1532" i="1"/>
  <c r="BI1532" i="1"/>
  <c r="BH1532" i="1"/>
  <c r="AQ1532" i="1"/>
  <c r="BM1532" i="1" s="1"/>
  <c r="BP1531" i="1"/>
  <c r="BO1531" i="1"/>
  <c r="BN1531" i="1"/>
  <c r="BM1531" i="1"/>
  <c r="BL1531" i="1"/>
  <c r="BK1531" i="1"/>
  <c r="BJ1531" i="1"/>
  <c r="BH1531" i="1"/>
  <c r="M1531" i="1"/>
  <c r="BI1531" i="1" s="1"/>
  <c r="BP1530" i="1"/>
  <c r="BO1530" i="1"/>
  <c r="BN1530" i="1"/>
  <c r="BM1530" i="1"/>
  <c r="BL1530" i="1"/>
  <c r="BJ1530" i="1"/>
  <c r="BH1530" i="1"/>
  <c r="V1530" i="1"/>
  <c r="BK1530" i="1" s="1"/>
  <c r="M1530" i="1"/>
  <c r="BI1530" i="1" s="1"/>
  <c r="BP1529" i="1"/>
  <c r="BO1529" i="1"/>
  <c r="BN1529" i="1"/>
  <c r="BM1529" i="1"/>
  <c r="BL1529" i="1"/>
  <c r="BK1529" i="1"/>
  <c r="BJ1529" i="1"/>
  <c r="BI1529" i="1"/>
  <c r="BH1529" i="1"/>
  <c r="BP1528" i="1"/>
  <c r="BO1528" i="1"/>
  <c r="BN1528" i="1"/>
  <c r="BM1528" i="1"/>
  <c r="BL1528" i="1"/>
  <c r="BK1528" i="1"/>
  <c r="BJ1528" i="1"/>
  <c r="BI1528" i="1"/>
  <c r="BH1528" i="1"/>
  <c r="BP1527" i="1"/>
  <c r="BO1527" i="1"/>
  <c r="BN1527" i="1"/>
  <c r="BM1527" i="1"/>
  <c r="BL1527" i="1"/>
  <c r="BK1527" i="1"/>
  <c r="BJ1527" i="1"/>
  <c r="BI1527" i="1"/>
  <c r="BH1527" i="1"/>
  <c r="BP1526" i="1"/>
  <c r="BO1526" i="1"/>
  <c r="BN1526" i="1"/>
  <c r="BM1526" i="1"/>
  <c r="BL1526" i="1"/>
  <c r="BK1526" i="1"/>
  <c r="BJ1526" i="1"/>
  <c r="BI1526" i="1"/>
  <c r="BH1526" i="1"/>
  <c r="BP1525" i="1"/>
  <c r="BO1525" i="1"/>
  <c r="BN1525" i="1"/>
  <c r="BM1525" i="1"/>
  <c r="BL1525" i="1"/>
  <c r="BK1525" i="1"/>
  <c r="BJ1525" i="1"/>
  <c r="BI1525" i="1"/>
  <c r="BH1525" i="1"/>
  <c r="BP1524" i="1"/>
  <c r="BO1524" i="1"/>
  <c r="BN1524" i="1"/>
  <c r="BL1524" i="1"/>
  <c r="BK1524" i="1"/>
  <c r="BJ1524" i="1"/>
  <c r="BI1524" i="1"/>
  <c r="BH1524" i="1"/>
  <c r="AS1524" i="1"/>
  <c r="AN1524" i="1"/>
  <c r="BM1524" i="1" s="1"/>
  <c r="BP1523" i="1"/>
  <c r="BO1523" i="1"/>
  <c r="BN1523" i="1"/>
  <c r="BL1523" i="1"/>
  <c r="BK1523" i="1"/>
  <c r="BJ1523" i="1"/>
  <c r="BI1523" i="1"/>
  <c r="BH1523" i="1"/>
  <c r="AS1523" i="1"/>
  <c r="AN1523" i="1"/>
  <c r="BM1523" i="1" s="1"/>
  <c r="BP1522" i="1"/>
  <c r="BO1522" i="1"/>
  <c r="BN1522" i="1"/>
  <c r="BM1522" i="1"/>
  <c r="BK1522" i="1"/>
  <c r="BJ1522" i="1"/>
  <c r="BI1522" i="1"/>
  <c r="BH1522" i="1"/>
  <c r="AA1522" i="1"/>
  <c r="BL1522" i="1" s="1"/>
  <c r="BP1521" i="1"/>
  <c r="BO1521" i="1"/>
  <c r="BN1521" i="1"/>
  <c r="BM1521" i="1"/>
  <c r="BL1521" i="1"/>
  <c r="BK1521" i="1"/>
  <c r="BJ1521" i="1"/>
  <c r="BI1521" i="1"/>
  <c r="BH1521" i="1"/>
  <c r="BP1520" i="1"/>
  <c r="BO1520" i="1"/>
  <c r="BN1520" i="1"/>
  <c r="BM1520" i="1"/>
  <c r="BL1520" i="1"/>
  <c r="BK1520" i="1"/>
  <c r="BJ1520" i="1"/>
  <c r="BI1520" i="1"/>
  <c r="BH1520" i="1"/>
  <c r="AY1520" i="1"/>
  <c r="BP1519" i="1"/>
  <c r="BO1519" i="1"/>
  <c r="BN1519" i="1"/>
  <c r="BM1519" i="1"/>
  <c r="BL1519" i="1"/>
  <c r="BK1519" i="1"/>
  <c r="BJ1519" i="1"/>
  <c r="BI1519" i="1"/>
  <c r="BH1519" i="1"/>
  <c r="BP1518" i="1"/>
  <c r="BO1518" i="1"/>
  <c r="BN1518" i="1"/>
  <c r="BM1518" i="1"/>
  <c r="BL1518" i="1"/>
  <c r="BK1518" i="1"/>
  <c r="BJ1518" i="1"/>
  <c r="BI1518" i="1"/>
  <c r="BH1518" i="1"/>
  <c r="BP1517" i="1"/>
  <c r="BO1517" i="1"/>
  <c r="BN1517" i="1"/>
  <c r="BL1517" i="1"/>
  <c r="BK1517" i="1"/>
  <c r="BJ1517" i="1"/>
  <c r="BI1517" i="1"/>
  <c r="BH1517" i="1"/>
  <c r="AR1517" i="1"/>
  <c r="AN1517" i="1"/>
  <c r="BM1517" i="1" s="1"/>
  <c r="BP1516" i="1"/>
  <c r="BO1516" i="1"/>
  <c r="BN1516" i="1"/>
  <c r="BL1516" i="1"/>
  <c r="BK1516" i="1"/>
  <c r="BJ1516" i="1"/>
  <c r="BI1516" i="1"/>
  <c r="BH1516" i="1"/>
  <c r="AQ1516" i="1"/>
  <c r="BM1516" i="1" s="1"/>
  <c r="BP1515" i="1"/>
  <c r="BO1515" i="1"/>
  <c r="BN1515" i="1"/>
  <c r="BM1515" i="1"/>
  <c r="BL1515" i="1"/>
  <c r="BK1515" i="1"/>
  <c r="BJ1515" i="1"/>
  <c r="BI1515" i="1"/>
  <c r="BH1515" i="1"/>
  <c r="AS1515" i="1"/>
  <c r="BP1514" i="1"/>
  <c r="BO1514" i="1"/>
  <c r="BN1514" i="1"/>
  <c r="BM1514" i="1"/>
  <c r="BL1514" i="1"/>
  <c r="BK1514" i="1"/>
  <c r="BJ1514" i="1"/>
  <c r="BH1514" i="1"/>
  <c r="V1514" i="1"/>
  <c r="M1514" i="1"/>
  <c r="BI1514" i="1" s="1"/>
  <c r="BP1513" i="1"/>
  <c r="BO1513" i="1"/>
  <c r="BN1513" i="1"/>
  <c r="BM1513" i="1"/>
  <c r="BL1513" i="1"/>
  <c r="BK1513" i="1"/>
  <c r="BJ1513" i="1"/>
  <c r="BI1513" i="1"/>
  <c r="BH1513" i="1"/>
  <c r="BP1512" i="1"/>
  <c r="BO1512" i="1"/>
  <c r="BN1512" i="1"/>
  <c r="BM1512" i="1"/>
  <c r="BL1512" i="1"/>
  <c r="BK1512" i="1"/>
  <c r="BJ1512" i="1"/>
  <c r="BI1512" i="1"/>
  <c r="BH1512" i="1"/>
  <c r="BP1511" i="1"/>
  <c r="BO1511" i="1"/>
  <c r="BN1511" i="1"/>
  <c r="BL1511" i="1"/>
  <c r="BK1511" i="1"/>
  <c r="BJ1511" i="1"/>
  <c r="BI1511" i="1"/>
  <c r="BH1511" i="1"/>
  <c r="AQ1511" i="1"/>
  <c r="BM1511" i="1" s="1"/>
  <c r="BP1510" i="1"/>
  <c r="BO1510" i="1"/>
  <c r="BN1510" i="1"/>
  <c r="BL1510" i="1"/>
  <c r="BK1510" i="1"/>
  <c r="BJ1510" i="1"/>
  <c r="BI1510" i="1"/>
  <c r="BH1510" i="1"/>
  <c r="AR1510" i="1"/>
  <c r="BM1510" i="1" s="1"/>
  <c r="AN1510" i="1"/>
  <c r="BP1509" i="1"/>
  <c r="BO1509" i="1"/>
  <c r="BN1509" i="1"/>
  <c r="BL1509" i="1"/>
  <c r="BK1509" i="1"/>
  <c r="BJ1509" i="1"/>
  <c r="BI1509" i="1"/>
  <c r="BH1509" i="1"/>
  <c r="AR1509" i="1"/>
  <c r="AN1509" i="1"/>
  <c r="BM1509" i="1" s="1"/>
  <c r="BP1508" i="1"/>
  <c r="BO1508" i="1"/>
  <c r="BN1508" i="1"/>
  <c r="BL1508" i="1"/>
  <c r="BK1508" i="1"/>
  <c r="BJ1508" i="1"/>
  <c r="BI1508" i="1"/>
  <c r="BH1508" i="1"/>
  <c r="AS1508" i="1"/>
  <c r="BM1508" i="1" s="1"/>
  <c r="BP1507" i="1"/>
  <c r="BO1507" i="1"/>
  <c r="BN1507" i="1"/>
  <c r="BL1507" i="1"/>
  <c r="BK1507" i="1"/>
  <c r="BJ1507" i="1"/>
  <c r="BI1507" i="1"/>
  <c r="BH1507" i="1"/>
  <c r="AS1507" i="1"/>
  <c r="AN1507" i="1"/>
  <c r="BM1507" i="1" s="1"/>
  <c r="BP1506" i="1"/>
  <c r="BO1506" i="1"/>
  <c r="BN1506" i="1"/>
  <c r="BM1506" i="1"/>
  <c r="BL1506" i="1"/>
  <c r="BK1506" i="1"/>
  <c r="BJ1506" i="1"/>
  <c r="BI1506" i="1"/>
  <c r="BH1506" i="1"/>
  <c r="AQ1506" i="1"/>
  <c r="BP1505" i="1"/>
  <c r="BO1505" i="1"/>
  <c r="BN1505" i="1"/>
  <c r="BM1505" i="1"/>
  <c r="BL1505" i="1"/>
  <c r="BK1505" i="1"/>
  <c r="BJ1505" i="1"/>
  <c r="BI1505" i="1"/>
  <c r="BH1505" i="1"/>
  <c r="BP1504" i="1"/>
  <c r="BO1504" i="1"/>
  <c r="BN1504" i="1"/>
  <c r="BM1504" i="1"/>
  <c r="BL1504" i="1"/>
  <c r="BK1504" i="1"/>
  <c r="BJ1504" i="1"/>
  <c r="BI1504" i="1"/>
  <c r="BH1504" i="1"/>
  <c r="BP1503" i="1"/>
  <c r="BO1503" i="1"/>
  <c r="BN1503" i="1"/>
  <c r="BL1503" i="1"/>
  <c r="BK1503" i="1"/>
  <c r="BJ1503" i="1"/>
  <c r="BI1503" i="1"/>
  <c r="BH1503" i="1"/>
  <c r="AS1503" i="1"/>
  <c r="AN1503" i="1"/>
  <c r="BM1503" i="1" s="1"/>
  <c r="BP1502" i="1"/>
  <c r="BO1502" i="1"/>
  <c r="BN1502" i="1"/>
  <c r="BL1502" i="1"/>
  <c r="BK1502" i="1"/>
  <c r="BJ1502" i="1"/>
  <c r="BI1502" i="1"/>
  <c r="BH1502" i="1"/>
  <c r="AS1502" i="1"/>
  <c r="AN1502" i="1"/>
  <c r="BM1502" i="1" s="1"/>
  <c r="BP1501" i="1"/>
  <c r="BO1501" i="1"/>
  <c r="BN1501" i="1"/>
  <c r="BL1501" i="1"/>
  <c r="BK1501" i="1"/>
  <c r="BJ1501" i="1"/>
  <c r="BI1501" i="1"/>
  <c r="BH1501" i="1"/>
  <c r="AR1501" i="1"/>
  <c r="AN1501" i="1"/>
  <c r="BM1501" i="1" s="1"/>
  <c r="BP1500" i="1"/>
  <c r="BO1500" i="1"/>
  <c r="BN1500" i="1"/>
  <c r="BL1500" i="1"/>
  <c r="BK1500" i="1"/>
  <c r="BJ1500" i="1"/>
  <c r="BH1500" i="1"/>
  <c r="AR1500" i="1"/>
  <c r="AQ1500" i="1"/>
  <c r="AI1500" i="1"/>
  <c r="BM1500" i="1" s="1"/>
  <c r="P1500" i="1"/>
  <c r="BI1500" i="1" s="1"/>
  <c r="BP1499" i="1"/>
  <c r="BN1499" i="1"/>
  <c r="BM1499" i="1"/>
  <c r="BL1499" i="1"/>
  <c r="BK1499" i="1"/>
  <c r="BJ1499" i="1"/>
  <c r="BI1499" i="1"/>
  <c r="BH1499" i="1"/>
  <c r="AY1499" i="1"/>
  <c r="BO1499" i="1" s="1"/>
  <c r="BP1498" i="1"/>
  <c r="BO1498" i="1"/>
  <c r="BN1498" i="1"/>
  <c r="BM1498" i="1"/>
  <c r="BL1498" i="1"/>
  <c r="BK1498" i="1"/>
  <c r="BJ1498" i="1"/>
  <c r="BI1498" i="1"/>
  <c r="BH1498" i="1"/>
  <c r="BP1497" i="1"/>
  <c r="BO1497" i="1"/>
  <c r="BN1497" i="1"/>
  <c r="BM1497" i="1"/>
  <c r="BL1497" i="1"/>
  <c r="BK1497" i="1"/>
  <c r="BJ1497" i="1"/>
  <c r="BI1497" i="1"/>
  <c r="BH1497" i="1"/>
  <c r="BP1496" i="1"/>
  <c r="BO1496" i="1"/>
  <c r="BN1496" i="1"/>
  <c r="BM1496" i="1"/>
  <c r="BL1496" i="1"/>
  <c r="BK1496" i="1"/>
  <c r="BJ1496" i="1"/>
  <c r="BI1496" i="1"/>
  <c r="BH1496" i="1"/>
  <c r="BP1495" i="1"/>
  <c r="BO1495" i="1"/>
  <c r="BN1495" i="1"/>
  <c r="BM1495" i="1"/>
  <c r="BL1495" i="1"/>
  <c r="BK1495" i="1"/>
  <c r="BJ1495" i="1"/>
  <c r="BI1495" i="1"/>
  <c r="BH1495" i="1"/>
  <c r="BP1494" i="1"/>
  <c r="BO1494" i="1"/>
  <c r="BN1494" i="1"/>
  <c r="BM1494" i="1"/>
  <c r="BL1494" i="1"/>
  <c r="BK1494" i="1"/>
  <c r="BJ1494" i="1"/>
  <c r="BI1494" i="1"/>
  <c r="BH1494" i="1"/>
  <c r="V1494" i="1"/>
  <c r="M1494" i="1"/>
  <c r="BP1493" i="1"/>
  <c r="BO1493" i="1"/>
  <c r="BN1493" i="1"/>
  <c r="BM1493" i="1"/>
  <c r="BL1493" i="1"/>
  <c r="BK1493" i="1"/>
  <c r="BJ1493" i="1"/>
  <c r="BI1493" i="1"/>
  <c r="BH1493" i="1"/>
  <c r="BP1492" i="1"/>
  <c r="BO1492" i="1"/>
  <c r="BN1492" i="1"/>
  <c r="BM1492" i="1"/>
  <c r="BL1492" i="1"/>
  <c r="BK1492" i="1"/>
  <c r="BJ1492" i="1"/>
  <c r="BI1492" i="1"/>
  <c r="BH1492" i="1"/>
  <c r="BP1491" i="1"/>
  <c r="BO1491" i="1"/>
  <c r="BN1491" i="1"/>
  <c r="BM1491" i="1"/>
  <c r="BL1491" i="1"/>
  <c r="BK1491" i="1"/>
  <c r="BJ1491" i="1"/>
  <c r="BI1491" i="1"/>
  <c r="BH1491" i="1"/>
  <c r="BP1490" i="1"/>
  <c r="BO1490" i="1"/>
  <c r="BN1490" i="1"/>
  <c r="BL1490" i="1"/>
  <c r="BK1490" i="1"/>
  <c r="BJ1490" i="1"/>
  <c r="BI1490" i="1"/>
  <c r="BH1490" i="1"/>
  <c r="AS1490" i="1"/>
  <c r="AN1490" i="1"/>
  <c r="BM1490" i="1" s="1"/>
  <c r="BP1489" i="1"/>
  <c r="BO1489" i="1"/>
  <c r="BN1489" i="1"/>
  <c r="BL1489" i="1"/>
  <c r="BK1489" i="1"/>
  <c r="BJ1489" i="1"/>
  <c r="BG1489" i="1"/>
  <c r="AT1489" i="1"/>
  <c r="AS1489" i="1"/>
  <c r="AM1489" i="1"/>
  <c r="BM1489" i="1" s="1"/>
  <c r="W1489" i="1"/>
  <c r="S1489" i="1"/>
  <c r="N1489" i="1"/>
  <c r="BI1489" i="1" s="1"/>
  <c r="I1489" i="1"/>
  <c r="D1489" i="1"/>
  <c r="BP1488" i="1"/>
  <c r="BO1488" i="1"/>
  <c r="BN1488" i="1"/>
  <c r="BL1488" i="1"/>
  <c r="BK1488" i="1"/>
  <c r="BJ1488" i="1"/>
  <c r="BI1488" i="1"/>
  <c r="BH1488" i="1"/>
  <c r="AR1488" i="1"/>
  <c r="AN1488" i="1"/>
  <c r="BM1488" i="1" s="1"/>
  <c r="BP1487" i="1"/>
  <c r="BO1487" i="1"/>
  <c r="BN1487" i="1"/>
  <c r="BL1487" i="1"/>
  <c r="BK1487" i="1"/>
  <c r="BJ1487" i="1"/>
  <c r="BI1487" i="1"/>
  <c r="BH1487" i="1"/>
  <c r="AQ1487" i="1"/>
  <c r="AB1487" i="1"/>
  <c r="BM1487" i="1" s="1"/>
  <c r="BP1486" i="1"/>
  <c r="BO1486" i="1"/>
  <c r="BN1486" i="1"/>
  <c r="BL1486" i="1"/>
  <c r="BK1486" i="1"/>
  <c r="BJ1486" i="1"/>
  <c r="BI1486" i="1"/>
  <c r="BH1486" i="1"/>
  <c r="AQ1486" i="1"/>
  <c r="BM1486" i="1" s="1"/>
  <c r="BP1485" i="1"/>
  <c r="BO1485" i="1"/>
  <c r="BN1485" i="1"/>
  <c r="BM1485" i="1"/>
  <c r="BL1485" i="1"/>
  <c r="BK1485" i="1"/>
  <c r="BJ1485" i="1"/>
  <c r="BI1485" i="1"/>
  <c r="BH1485" i="1"/>
  <c r="AR1485" i="1"/>
  <c r="AN1485" i="1"/>
  <c r="BP1484" i="1"/>
  <c r="BO1484" i="1"/>
  <c r="BN1484" i="1"/>
  <c r="BL1484" i="1"/>
  <c r="BK1484" i="1"/>
  <c r="BJ1484" i="1"/>
  <c r="BI1484" i="1"/>
  <c r="BH1484" i="1"/>
  <c r="AR1484" i="1"/>
  <c r="BM1484" i="1" s="1"/>
  <c r="AN1484" i="1"/>
  <c r="BP1483" i="1"/>
  <c r="BO1483" i="1"/>
  <c r="BN1483" i="1"/>
  <c r="BM1483" i="1"/>
  <c r="BL1483" i="1"/>
  <c r="BK1483" i="1"/>
  <c r="BJ1483" i="1"/>
  <c r="BI1483" i="1"/>
  <c r="BH1483" i="1"/>
  <c r="BP1482" i="1"/>
  <c r="BO1482" i="1"/>
  <c r="BN1482" i="1"/>
  <c r="BM1482" i="1"/>
  <c r="BL1482" i="1"/>
  <c r="BK1482" i="1"/>
  <c r="BJ1482" i="1"/>
  <c r="BI1482" i="1"/>
  <c r="BH1482" i="1"/>
  <c r="BP1481" i="1"/>
  <c r="BO1481" i="1"/>
  <c r="BN1481" i="1"/>
  <c r="BM1481" i="1"/>
  <c r="BL1481" i="1"/>
  <c r="BK1481" i="1"/>
  <c r="BJ1481" i="1"/>
  <c r="BI1481" i="1"/>
  <c r="BH1481" i="1"/>
  <c r="BP1480" i="1"/>
  <c r="BO1480" i="1"/>
  <c r="BN1480" i="1"/>
  <c r="BL1480" i="1"/>
  <c r="BK1480" i="1"/>
  <c r="BJ1480" i="1"/>
  <c r="BI1480" i="1"/>
  <c r="BH1480" i="1"/>
  <c r="AQ1480" i="1"/>
  <c r="AB1480" i="1"/>
  <c r="BP1479" i="1"/>
  <c r="BO1479" i="1"/>
  <c r="BN1479" i="1"/>
  <c r="BM1479" i="1"/>
  <c r="BL1479" i="1"/>
  <c r="BK1479" i="1"/>
  <c r="BJ1479" i="1"/>
  <c r="BI1479" i="1"/>
  <c r="BH1479" i="1"/>
  <c r="BP1478" i="1"/>
  <c r="BO1478" i="1"/>
  <c r="BN1478" i="1"/>
  <c r="BM1478" i="1"/>
  <c r="BL1478" i="1"/>
  <c r="BK1478" i="1"/>
  <c r="BJ1478" i="1"/>
  <c r="BI1478" i="1"/>
  <c r="BH1478" i="1"/>
  <c r="BP1477" i="1"/>
  <c r="BO1477" i="1"/>
  <c r="BN1477" i="1"/>
  <c r="BM1477" i="1"/>
  <c r="BL1477" i="1"/>
  <c r="BK1477" i="1"/>
  <c r="BJ1477" i="1"/>
  <c r="BI1477" i="1"/>
  <c r="BH1477" i="1"/>
  <c r="BP1476" i="1"/>
  <c r="BO1476" i="1"/>
  <c r="BN1476" i="1"/>
  <c r="BM1476" i="1"/>
  <c r="BL1476" i="1"/>
  <c r="BK1476" i="1"/>
  <c r="BJ1476" i="1"/>
  <c r="BI1476" i="1"/>
  <c r="BH1476" i="1"/>
  <c r="BP1475" i="1"/>
  <c r="BO1475" i="1"/>
  <c r="BN1475" i="1"/>
  <c r="BL1475" i="1"/>
  <c r="BK1475" i="1"/>
  <c r="BJ1475" i="1"/>
  <c r="BI1475" i="1"/>
  <c r="BH1475" i="1"/>
  <c r="AL1475" i="1"/>
  <c r="BM1475" i="1" s="1"/>
  <c r="BP1474" i="1"/>
  <c r="BO1474" i="1"/>
  <c r="BN1474" i="1"/>
  <c r="BM1474" i="1"/>
  <c r="BL1474" i="1"/>
  <c r="BK1474" i="1"/>
  <c r="BJ1474" i="1"/>
  <c r="BH1474" i="1"/>
  <c r="V1474" i="1"/>
  <c r="M1474" i="1"/>
  <c r="BI1474" i="1" s="1"/>
  <c r="BP1473" i="1"/>
  <c r="BO1473" i="1"/>
  <c r="BN1473" i="1"/>
  <c r="BM1473" i="1"/>
  <c r="BL1473" i="1"/>
  <c r="BK1473" i="1"/>
  <c r="BJ1473" i="1"/>
  <c r="BI1473" i="1"/>
  <c r="BH1473" i="1"/>
  <c r="BP1472" i="1"/>
  <c r="BO1472" i="1"/>
  <c r="BN1472" i="1"/>
  <c r="BM1472" i="1"/>
  <c r="BL1472" i="1"/>
  <c r="BK1472" i="1"/>
  <c r="BJ1472" i="1"/>
  <c r="BI1472" i="1"/>
  <c r="BH1472" i="1"/>
  <c r="BP1471" i="1"/>
  <c r="BO1471" i="1"/>
  <c r="BN1471" i="1"/>
  <c r="BL1471" i="1"/>
  <c r="BK1471" i="1"/>
  <c r="BJ1471" i="1"/>
  <c r="BI1471" i="1"/>
  <c r="BH1471" i="1"/>
  <c r="AQ1471" i="1"/>
  <c r="BM1471" i="1" s="1"/>
  <c r="BP1470" i="1"/>
  <c r="BO1470" i="1"/>
  <c r="BN1470" i="1"/>
  <c r="BL1470" i="1"/>
  <c r="BK1470" i="1"/>
  <c r="BJ1470" i="1"/>
  <c r="BI1470" i="1"/>
  <c r="BH1470" i="1"/>
  <c r="AR1470" i="1"/>
  <c r="AN1470" i="1"/>
  <c r="BM1470" i="1" s="1"/>
  <c r="BP1469" i="1"/>
  <c r="BO1469" i="1"/>
  <c r="BL1469" i="1"/>
  <c r="BG1469" i="1"/>
  <c r="AT1469" i="1"/>
  <c r="BN1469" i="1" s="1"/>
  <c r="AR1469" i="1"/>
  <c r="AN1469" i="1"/>
  <c r="AM1469" i="1"/>
  <c r="BM1469" i="1" s="1"/>
  <c r="W1469" i="1"/>
  <c r="BK1469" i="1" s="1"/>
  <c r="S1469" i="1"/>
  <c r="BJ1469" i="1" s="1"/>
  <c r="N1469" i="1"/>
  <c r="BI1469" i="1" s="1"/>
  <c r="I1469" i="1"/>
  <c r="BH1469" i="1" s="1"/>
  <c r="F1469" i="1"/>
  <c r="BP1468" i="1"/>
  <c r="BO1468" i="1"/>
  <c r="BN1468" i="1"/>
  <c r="BM1468" i="1"/>
  <c r="BL1468" i="1"/>
  <c r="BK1468" i="1"/>
  <c r="BJ1468" i="1"/>
  <c r="BI1468" i="1"/>
  <c r="BH1468" i="1"/>
  <c r="BP1467" i="1"/>
  <c r="BN1467" i="1"/>
  <c r="BM1467" i="1"/>
  <c r="BL1467" i="1"/>
  <c r="BK1467" i="1"/>
  <c r="BJ1467" i="1"/>
  <c r="BI1467" i="1"/>
  <c r="BH1467" i="1"/>
  <c r="AY1467" i="1"/>
  <c r="BO1467" i="1" s="1"/>
  <c r="BP1466" i="1"/>
  <c r="BO1466" i="1"/>
  <c r="BN1466" i="1"/>
  <c r="BM1466" i="1"/>
  <c r="BL1466" i="1"/>
  <c r="BK1466" i="1"/>
  <c r="BJ1466" i="1"/>
  <c r="BI1466" i="1"/>
  <c r="BH1466" i="1"/>
  <c r="BP1465" i="1"/>
  <c r="BO1465" i="1"/>
  <c r="BN1465" i="1"/>
  <c r="BM1465" i="1"/>
  <c r="BL1465" i="1"/>
  <c r="BK1465" i="1"/>
  <c r="BJ1465" i="1"/>
  <c r="BI1465" i="1"/>
  <c r="BH1465" i="1"/>
  <c r="AP1465" i="1"/>
  <c r="BP1464" i="1"/>
  <c r="BO1464" i="1"/>
  <c r="BN1464" i="1"/>
  <c r="BM1464" i="1"/>
  <c r="BL1464" i="1"/>
  <c r="BK1464" i="1"/>
  <c r="BJ1464" i="1"/>
  <c r="BI1464" i="1"/>
  <c r="BH1464" i="1"/>
  <c r="BP1463" i="1"/>
  <c r="BO1463" i="1"/>
  <c r="BN1463" i="1"/>
  <c r="BM1463" i="1"/>
  <c r="BL1463" i="1"/>
  <c r="BK1463" i="1"/>
  <c r="BJ1463" i="1"/>
  <c r="BI1463" i="1"/>
  <c r="BH1463" i="1"/>
  <c r="BP1462" i="1"/>
  <c r="BO1462" i="1"/>
  <c r="BN1462" i="1"/>
  <c r="BL1462" i="1"/>
  <c r="BK1462" i="1"/>
  <c r="BJ1462" i="1"/>
  <c r="BI1462" i="1"/>
  <c r="BH1462" i="1"/>
  <c r="AS1462" i="1"/>
  <c r="AN1462" i="1"/>
  <c r="BP1461" i="1"/>
  <c r="BO1461" i="1"/>
  <c r="BN1461" i="1"/>
  <c r="BL1461" i="1"/>
  <c r="BK1461" i="1"/>
  <c r="BJ1461" i="1"/>
  <c r="BI1461" i="1"/>
  <c r="BH1461" i="1"/>
  <c r="AS1461" i="1"/>
  <c r="AN1461" i="1"/>
  <c r="BM1461" i="1" s="1"/>
  <c r="BP1460" i="1"/>
  <c r="BO1460" i="1"/>
  <c r="BN1460" i="1"/>
  <c r="BM1460" i="1"/>
  <c r="BL1460" i="1"/>
  <c r="BK1460" i="1"/>
  <c r="BJ1460" i="1"/>
  <c r="BI1460" i="1"/>
  <c r="BH1460" i="1"/>
  <c r="AS1460" i="1"/>
  <c r="AN1460" i="1"/>
  <c r="BP1459" i="1"/>
  <c r="BO1459" i="1"/>
  <c r="BN1459" i="1"/>
  <c r="BM1459" i="1"/>
  <c r="BL1459" i="1"/>
  <c r="BK1459" i="1"/>
  <c r="BJ1459" i="1"/>
  <c r="BI1459" i="1"/>
  <c r="BH1459" i="1"/>
  <c r="AS1459" i="1"/>
  <c r="BP1458" i="1"/>
  <c r="BO1458" i="1"/>
  <c r="BN1458" i="1"/>
  <c r="BM1458" i="1"/>
  <c r="BL1458" i="1"/>
  <c r="BK1458" i="1"/>
  <c r="BJ1458" i="1"/>
  <c r="BI1458" i="1"/>
  <c r="BH1458" i="1"/>
  <c r="BP1457" i="1"/>
  <c r="BO1457" i="1"/>
  <c r="BN1457" i="1"/>
  <c r="BL1457" i="1"/>
  <c r="BK1457" i="1"/>
  <c r="BJ1457" i="1"/>
  <c r="BI1457" i="1"/>
  <c r="BH1457" i="1"/>
  <c r="AS1457" i="1"/>
  <c r="BM1457" i="1" s="1"/>
  <c r="BP1456" i="1"/>
  <c r="BO1456" i="1"/>
  <c r="BN1456" i="1"/>
  <c r="BM1456" i="1"/>
  <c r="BL1456" i="1"/>
  <c r="BK1456" i="1"/>
  <c r="BJ1456" i="1"/>
  <c r="BI1456" i="1"/>
  <c r="BH1456" i="1"/>
  <c r="BP1455" i="1"/>
  <c r="BO1455" i="1"/>
  <c r="BN1455" i="1"/>
  <c r="BM1455" i="1"/>
  <c r="BL1455" i="1"/>
  <c r="BK1455" i="1"/>
  <c r="BJ1455" i="1"/>
  <c r="BI1455" i="1"/>
  <c r="BH1455" i="1"/>
  <c r="BP1454" i="1"/>
  <c r="BO1454" i="1"/>
  <c r="BN1454" i="1"/>
  <c r="BM1454" i="1"/>
  <c r="BL1454" i="1"/>
  <c r="BK1454" i="1"/>
  <c r="BJ1454" i="1"/>
  <c r="BI1454" i="1"/>
  <c r="BH1454" i="1"/>
  <c r="AA1454" i="1"/>
  <c r="BP1453" i="1"/>
  <c r="BO1453" i="1"/>
  <c r="BN1453" i="1"/>
  <c r="BM1453" i="1"/>
  <c r="BL1453" i="1"/>
  <c r="BK1453" i="1"/>
  <c r="BJ1453" i="1"/>
  <c r="BI1453" i="1"/>
  <c r="BH1453" i="1"/>
  <c r="AB1453" i="1"/>
  <c r="BP1452" i="1"/>
  <c r="BN1452" i="1"/>
  <c r="BM1452" i="1"/>
  <c r="BL1452" i="1"/>
  <c r="BK1452" i="1"/>
  <c r="BJ1452" i="1"/>
  <c r="BG1452" i="1"/>
  <c r="BC1452" i="1"/>
  <c r="BO1452" i="1" s="1"/>
  <c r="AU1452" i="1"/>
  <c r="AG1452" i="1"/>
  <c r="U1452" i="1"/>
  <c r="S1452" i="1"/>
  <c r="Q1452" i="1"/>
  <c r="BI1452" i="1" s="1"/>
  <c r="D1452" i="1"/>
  <c r="BH1452" i="1" s="1"/>
  <c r="BP1451" i="1"/>
  <c r="BO1451" i="1"/>
  <c r="BN1451" i="1"/>
  <c r="BM1451" i="1"/>
  <c r="BL1451" i="1"/>
  <c r="BK1451" i="1"/>
  <c r="BJ1451" i="1"/>
  <c r="BH1451" i="1"/>
  <c r="M1451" i="1"/>
  <c r="BI1451" i="1" s="1"/>
  <c r="BP1450" i="1"/>
  <c r="BO1450" i="1"/>
  <c r="BN1450" i="1"/>
  <c r="BM1450" i="1"/>
  <c r="BL1450" i="1"/>
  <c r="BK1450" i="1"/>
  <c r="BJ1450" i="1"/>
  <c r="BI1450" i="1"/>
  <c r="BH1450" i="1"/>
  <c r="BP1449" i="1"/>
  <c r="BO1449" i="1"/>
  <c r="BN1449" i="1"/>
  <c r="BM1449" i="1"/>
  <c r="BL1449" i="1"/>
  <c r="BK1449" i="1"/>
  <c r="BJ1449" i="1"/>
  <c r="BI1449" i="1"/>
  <c r="BH1449" i="1"/>
  <c r="V1449" i="1"/>
  <c r="M1449" i="1"/>
  <c r="BP1448" i="1"/>
  <c r="BO1448" i="1"/>
  <c r="BN1448" i="1"/>
  <c r="BL1448" i="1"/>
  <c r="BK1448" i="1"/>
  <c r="BJ1448" i="1"/>
  <c r="BI1448" i="1"/>
  <c r="BH1448" i="1"/>
  <c r="AS1448" i="1"/>
  <c r="BM1448" i="1" s="1"/>
  <c r="BP1447" i="1"/>
  <c r="BO1447" i="1"/>
  <c r="BN1447" i="1"/>
  <c r="BL1447" i="1"/>
  <c r="BK1447" i="1"/>
  <c r="BJ1447" i="1"/>
  <c r="BI1447" i="1"/>
  <c r="BH1447" i="1"/>
  <c r="AS1447" i="1"/>
  <c r="BM1447" i="1" s="1"/>
  <c r="BP1446" i="1"/>
  <c r="BO1446" i="1"/>
  <c r="BN1446" i="1"/>
  <c r="BL1446" i="1"/>
  <c r="BK1446" i="1"/>
  <c r="BJ1446" i="1"/>
  <c r="BH1446" i="1"/>
  <c r="AR1446" i="1"/>
  <c r="AQ1446" i="1"/>
  <c r="BM1446" i="1" s="1"/>
  <c r="P1446" i="1"/>
  <c r="BI1446" i="1" s="1"/>
  <c r="BP1445" i="1"/>
  <c r="BO1445" i="1"/>
  <c r="BN1445" i="1"/>
  <c r="BL1445" i="1"/>
  <c r="BK1445" i="1"/>
  <c r="BJ1445" i="1"/>
  <c r="BI1445" i="1"/>
  <c r="BH1445" i="1"/>
  <c r="AR1445" i="1"/>
  <c r="AN1445" i="1"/>
  <c r="BM1445" i="1" s="1"/>
  <c r="BP1444" i="1"/>
  <c r="BO1444" i="1"/>
  <c r="BN1444" i="1"/>
  <c r="BM1444" i="1"/>
  <c r="BL1444" i="1"/>
  <c r="BK1444" i="1"/>
  <c r="BJ1444" i="1"/>
  <c r="BI1444" i="1"/>
  <c r="BH1444" i="1"/>
  <c r="AR1444" i="1"/>
  <c r="AN1444" i="1"/>
  <c r="BP1443" i="1"/>
  <c r="BN1443" i="1"/>
  <c r="BM1443" i="1"/>
  <c r="BL1443" i="1"/>
  <c r="BH1443" i="1"/>
  <c r="BE1443" i="1"/>
  <c r="BO1443" i="1" s="1"/>
  <c r="X1443" i="1"/>
  <c r="BK1443" i="1" s="1"/>
  <c r="S1443" i="1"/>
  <c r="BJ1443" i="1" s="1"/>
  <c r="R1443" i="1"/>
  <c r="BI1443" i="1" s="1"/>
  <c r="BP1442" i="1"/>
  <c r="BN1442" i="1"/>
  <c r="BM1442" i="1"/>
  <c r="BL1442" i="1"/>
  <c r="BK1442" i="1"/>
  <c r="BJ1442" i="1"/>
  <c r="BI1442" i="1"/>
  <c r="BH1442" i="1"/>
  <c r="AY1442" i="1"/>
  <c r="BO1442" i="1" s="1"/>
  <c r="BP1441" i="1"/>
  <c r="BO1441" i="1"/>
  <c r="BN1441" i="1"/>
  <c r="BM1441" i="1"/>
  <c r="BL1441" i="1"/>
  <c r="BK1441" i="1"/>
  <c r="BJ1441" i="1"/>
  <c r="BI1441" i="1"/>
  <c r="BH1441" i="1"/>
  <c r="BP1440" i="1"/>
  <c r="BO1440" i="1"/>
  <c r="BN1440" i="1"/>
  <c r="BM1440" i="1"/>
  <c r="BL1440" i="1"/>
  <c r="BK1440" i="1"/>
  <c r="BJ1440" i="1"/>
  <c r="BI1440" i="1"/>
  <c r="BH1440" i="1"/>
  <c r="BP1439" i="1"/>
  <c r="BO1439" i="1"/>
  <c r="BN1439" i="1"/>
  <c r="BM1439" i="1"/>
  <c r="BL1439" i="1"/>
  <c r="BK1439" i="1"/>
  <c r="BJ1439" i="1"/>
  <c r="BI1439" i="1"/>
  <c r="BH1439" i="1"/>
  <c r="BP1438" i="1"/>
  <c r="BO1438" i="1"/>
  <c r="BN1438" i="1"/>
  <c r="BM1438" i="1"/>
  <c r="BL1438" i="1"/>
  <c r="BJ1438" i="1"/>
  <c r="BI1438" i="1"/>
  <c r="BH1438" i="1"/>
  <c r="X1438" i="1"/>
  <c r="BK1438" i="1" s="1"/>
  <c r="BP1437" i="1"/>
  <c r="BO1437" i="1"/>
  <c r="BN1437" i="1"/>
  <c r="BM1437" i="1"/>
  <c r="BL1437" i="1"/>
  <c r="BK1437" i="1"/>
  <c r="BJ1437" i="1"/>
  <c r="BI1437" i="1"/>
  <c r="BH1437" i="1"/>
  <c r="X1437" i="1"/>
  <c r="BP1436" i="1"/>
  <c r="BO1436" i="1"/>
  <c r="BN1436" i="1"/>
  <c r="BM1436" i="1"/>
  <c r="BL1436" i="1"/>
  <c r="BK1436" i="1"/>
  <c r="BJ1436" i="1"/>
  <c r="BI1436" i="1"/>
  <c r="BH1436" i="1"/>
  <c r="AQ1436" i="1"/>
  <c r="BP1435" i="1"/>
  <c r="BO1435" i="1"/>
  <c r="BN1435" i="1"/>
  <c r="BM1435" i="1"/>
  <c r="BL1435" i="1"/>
  <c r="BJ1435" i="1"/>
  <c r="BI1435" i="1"/>
  <c r="BH1435" i="1"/>
  <c r="X1435" i="1"/>
  <c r="BK1435" i="1" s="1"/>
  <c r="BP1434" i="1"/>
  <c r="BO1434" i="1"/>
  <c r="BN1434" i="1"/>
  <c r="BM1434" i="1"/>
  <c r="BL1434" i="1"/>
  <c r="BK1434" i="1"/>
  <c r="BJ1434" i="1"/>
  <c r="BI1434" i="1"/>
  <c r="BH1434" i="1"/>
  <c r="AQ1434" i="1"/>
  <c r="BP1433" i="1"/>
  <c r="BO1433" i="1"/>
  <c r="BN1433" i="1"/>
  <c r="BM1433" i="1"/>
  <c r="BL1433" i="1"/>
  <c r="BK1433" i="1"/>
  <c r="BJ1433" i="1"/>
  <c r="BI1433" i="1"/>
  <c r="BH1433" i="1"/>
  <c r="BP1432" i="1"/>
  <c r="BO1432" i="1"/>
  <c r="BN1432" i="1"/>
  <c r="BM1432" i="1"/>
  <c r="BL1432" i="1"/>
  <c r="BJ1432" i="1"/>
  <c r="BI1432" i="1"/>
  <c r="BH1432" i="1"/>
  <c r="V1432" i="1"/>
  <c r="BK1432" i="1" s="1"/>
  <c r="M1432" i="1"/>
  <c r="BP1431" i="1"/>
  <c r="BO1431" i="1"/>
  <c r="BN1431" i="1"/>
  <c r="BM1431" i="1"/>
  <c r="BL1431" i="1"/>
  <c r="BJ1431" i="1"/>
  <c r="BI1431" i="1"/>
  <c r="BH1431" i="1"/>
  <c r="X1431" i="1"/>
  <c r="BK1431" i="1" s="1"/>
  <c r="BP1430" i="1"/>
  <c r="BO1430" i="1"/>
  <c r="BN1430" i="1"/>
  <c r="BM1430" i="1"/>
  <c r="BL1430" i="1"/>
  <c r="BK1430" i="1"/>
  <c r="BJ1430" i="1"/>
  <c r="BI1430" i="1"/>
  <c r="BH1430" i="1"/>
  <c r="BP1429" i="1"/>
  <c r="BO1429" i="1"/>
  <c r="BN1429" i="1"/>
  <c r="BM1429" i="1"/>
  <c r="BL1429" i="1"/>
  <c r="BK1429" i="1"/>
  <c r="BJ1429" i="1"/>
  <c r="BI1429" i="1"/>
  <c r="BH1429" i="1"/>
  <c r="BP1428" i="1"/>
  <c r="BO1428" i="1"/>
  <c r="BN1428" i="1"/>
  <c r="BL1428" i="1"/>
  <c r="BK1428" i="1"/>
  <c r="BJ1428" i="1"/>
  <c r="BI1428" i="1"/>
  <c r="BH1428" i="1"/>
  <c r="AR1428" i="1"/>
  <c r="AN1428" i="1"/>
  <c r="BM1428" i="1" s="1"/>
  <c r="BP1427" i="1"/>
  <c r="BO1427" i="1"/>
  <c r="BN1427" i="1"/>
  <c r="BL1427" i="1"/>
  <c r="BK1427" i="1"/>
  <c r="BJ1427" i="1"/>
  <c r="BI1427" i="1"/>
  <c r="BH1427" i="1"/>
  <c r="AR1427" i="1"/>
  <c r="AN1427" i="1"/>
  <c r="BM1427" i="1" s="1"/>
  <c r="BP1426" i="1"/>
  <c r="BO1426" i="1"/>
  <c r="BN1426" i="1"/>
  <c r="BM1426" i="1"/>
  <c r="BL1426" i="1"/>
  <c r="BK1426" i="1"/>
  <c r="BJ1426" i="1"/>
  <c r="BI1426" i="1"/>
  <c r="BH1426" i="1"/>
  <c r="BP1425" i="1"/>
  <c r="BN1425" i="1"/>
  <c r="BM1425" i="1"/>
  <c r="BL1425" i="1"/>
  <c r="BK1425" i="1"/>
  <c r="BJ1425" i="1"/>
  <c r="BI1425" i="1"/>
  <c r="BH1425" i="1"/>
  <c r="AY1425" i="1"/>
  <c r="BO1425" i="1" s="1"/>
  <c r="BP1424" i="1"/>
  <c r="BO1424" i="1"/>
  <c r="BN1424" i="1"/>
  <c r="BM1424" i="1"/>
  <c r="BL1424" i="1"/>
  <c r="BK1424" i="1"/>
  <c r="BJ1424" i="1"/>
  <c r="BI1424" i="1"/>
  <c r="BH1424" i="1"/>
  <c r="AS1424" i="1"/>
  <c r="AN1424" i="1"/>
  <c r="BP1423" i="1"/>
  <c r="BO1423" i="1"/>
  <c r="BN1423" i="1"/>
  <c r="BM1423" i="1"/>
  <c r="BL1423" i="1"/>
  <c r="BK1423" i="1"/>
  <c r="BJ1423" i="1"/>
  <c r="BI1423" i="1"/>
  <c r="BH1423" i="1"/>
  <c r="AS1423" i="1"/>
  <c r="AN1423" i="1"/>
  <c r="BP1422" i="1"/>
  <c r="BO1422" i="1"/>
  <c r="BN1422" i="1"/>
  <c r="BM1422" i="1"/>
  <c r="BL1422" i="1"/>
  <c r="BK1422" i="1"/>
  <c r="BJ1422" i="1"/>
  <c r="BI1422" i="1"/>
  <c r="BH1422" i="1"/>
  <c r="AS1422" i="1"/>
  <c r="BP1421" i="1"/>
  <c r="BO1421" i="1"/>
  <c r="BN1421" i="1"/>
  <c r="BM1421" i="1"/>
  <c r="BL1421" i="1"/>
  <c r="BK1421" i="1"/>
  <c r="BJ1421" i="1"/>
  <c r="BI1421" i="1"/>
  <c r="BH1421" i="1"/>
  <c r="X1421" i="1"/>
  <c r="BP1420" i="1"/>
  <c r="BO1420" i="1"/>
  <c r="BN1420" i="1"/>
  <c r="BM1420" i="1"/>
  <c r="BL1420" i="1"/>
  <c r="BK1420" i="1"/>
  <c r="BJ1420" i="1"/>
  <c r="BI1420" i="1"/>
  <c r="BH1420" i="1"/>
  <c r="X1420" i="1"/>
  <c r="BP1419" i="1"/>
  <c r="BO1419" i="1"/>
  <c r="BN1419" i="1"/>
  <c r="BM1419" i="1"/>
  <c r="BL1419" i="1"/>
  <c r="BJ1419" i="1"/>
  <c r="BI1419" i="1"/>
  <c r="BH1419" i="1"/>
  <c r="X1419" i="1"/>
  <c r="BK1419" i="1" s="1"/>
  <c r="BP1418" i="1"/>
  <c r="BO1418" i="1"/>
  <c r="BN1418" i="1"/>
  <c r="BM1418" i="1"/>
  <c r="BL1418" i="1"/>
  <c r="BK1418" i="1"/>
  <c r="BJ1418" i="1"/>
  <c r="BI1418" i="1"/>
  <c r="BH1418" i="1"/>
  <c r="BP1417" i="1"/>
  <c r="BO1417" i="1"/>
  <c r="BN1417" i="1"/>
  <c r="BM1417" i="1"/>
  <c r="BL1417" i="1"/>
  <c r="BK1417" i="1"/>
  <c r="BJ1417" i="1"/>
  <c r="BI1417" i="1"/>
  <c r="BH1417" i="1"/>
  <c r="BP1416" i="1"/>
  <c r="BO1416" i="1"/>
  <c r="BN1416" i="1"/>
  <c r="BM1416" i="1"/>
  <c r="BL1416" i="1"/>
  <c r="BK1416" i="1"/>
  <c r="BJ1416" i="1"/>
  <c r="BI1416" i="1"/>
  <c r="BH1416" i="1"/>
  <c r="BP1415" i="1"/>
  <c r="BO1415" i="1"/>
  <c r="BN1415" i="1"/>
  <c r="BM1415" i="1"/>
  <c r="BL1415" i="1"/>
  <c r="BK1415" i="1"/>
  <c r="BJ1415" i="1"/>
  <c r="BI1415" i="1"/>
  <c r="BH1415" i="1"/>
  <c r="BP1414" i="1"/>
  <c r="BO1414" i="1"/>
  <c r="BN1414" i="1"/>
  <c r="BM1414" i="1"/>
  <c r="BL1414" i="1"/>
  <c r="BK1414" i="1"/>
  <c r="BJ1414" i="1"/>
  <c r="BH1414" i="1"/>
  <c r="V1414" i="1"/>
  <c r="M1414" i="1"/>
  <c r="BI1414" i="1" s="1"/>
  <c r="BP1413" i="1"/>
  <c r="BO1413" i="1"/>
  <c r="BN1413" i="1"/>
  <c r="BM1413" i="1"/>
  <c r="BL1413" i="1"/>
  <c r="BK1413" i="1"/>
  <c r="BJ1413" i="1"/>
  <c r="BI1413" i="1"/>
  <c r="BH1413" i="1"/>
  <c r="M1413" i="1"/>
  <c r="BP1412" i="1"/>
  <c r="BO1412" i="1"/>
  <c r="BN1412" i="1"/>
  <c r="BM1412" i="1"/>
  <c r="BL1412" i="1"/>
  <c r="BK1412" i="1"/>
  <c r="BJ1412" i="1"/>
  <c r="BI1412" i="1"/>
  <c r="BH1412" i="1"/>
  <c r="BP1411" i="1"/>
  <c r="BO1411" i="1"/>
  <c r="BN1411" i="1"/>
  <c r="BM1411" i="1"/>
  <c r="BL1411" i="1"/>
  <c r="BK1411" i="1"/>
  <c r="BJ1411" i="1"/>
  <c r="BI1411" i="1"/>
  <c r="BH1411" i="1"/>
  <c r="BP1410" i="1"/>
  <c r="BO1410" i="1"/>
  <c r="BN1410" i="1"/>
  <c r="BM1410" i="1"/>
  <c r="BL1410" i="1"/>
  <c r="BJ1410" i="1"/>
  <c r="BI1410" i="1"/>
  <c r="BH1410" i="1"/>
  <c r="X1410" i="1"/>
  <c r="BK1410" i="1" s="1"/>
  <c r="BP1409" i="1"/>
  <c r="BO1409" i="1"/>
  <c r="BN1409" i="1"/>
  <c r="BM1409" i="1"/>
  <c r="BL1409" i="1"/>
  <c r="BK1409" i="1"/>
  <c r="BJ1409" i="1"/>
  <c r="BI1409" i="1"/>
  <c r="BH1409" i="1"/>
  <c r="X1409" i="1"/>
  <c r="BP1408" i="1"/>
  <c r="BO1408" i="1"/>
  <c r="BN1408" i="1"/>
  <c r="BM1408" i="1"/>
  <c r="BL1408" i="1"/>
  <c r="BK1408" i="1"/>
  <c r="BJ1408" i="1"/>
  <c r="BI1408" i="1"/>
  <c r="BH1408" i="1"/>
  <c r="BP1407" i="1"/>
  <c r="BO1407" i="1"/>
  <c r="BN1407" i="1"/>
  <c r="BM1407" i="1"/>
  <c r="BL1407" i="1"/>
  <c r="BK1407" i="1"/>
  <c r="BJ1407" i="1"/>
  <c r="BI1407" i="1"/>
  <c r="BH1407" i="1"/>
  <c r="BP1406" i="1"/>
  <c r="BO1406" i="1"/>
  <c r="BN1406" i="1"/>
  <c r="BL1406" i="1"/>
  <c r="BK1406" i="1"/>
  <c r="BJ1406" i="1"/>
  <c r="BI1406" i="1"/>
  <c r="BH1406" i="1"/>
  <c r="AS1406" i="1"/>
  <c r="AN1406" i="1"/>
  <c r="BM1406" i="1" s="1"/>
  <c r="BP1405" i="1"/>
  <c r="BO1405" i="1"/>
  <c r="BN1405" i="1"/>
  <c r="BL1405" i="1"/>
  <c r="BK1405" i="1"/>
  <c r="BJ1405" i="1"/>
  <c r="BI1405" i="1"/>
  <c r="BH1405" i="1"/>
  <c r="AS1405" i="1"/>
  <c r="BM1405" i="1" s="1"/>
  <c r="BP1404" i="1"/>
  <c r="BO1404" i="1"/>
  <c r="BN1404" i="1"/>
  <c r="BM1404" i="1"/>
  <c r="BL1404" i="1"/>
  <c r="BK1404" i="1"/>
  <c r="BJ1404" i="1"/>
  <c r="BI1404" i="1"/>
  <c r="BH1404" i="1"/>
  <c r="BP1403" i="1"/>
  <c r="BO1403" i="1"/>
  <c r="BN1403" i="1"/>
  <c r="BM1403" i="1"/>
  <c r="BL1403" i="1"/>
  <c r="BK1403" i="1"/>
  <c r="BJ1403" i="1"/>
  <c r="BI1403" i="1"/>
  <c r="BH1403" i="1"/>
  <c r="BP1402" i="1"/>
  <c r="BO1402" i="1"/>
  <c r="BN1402" i="1"/>
  <c r="BM1402" i="1"/>
  <c r="BL1402" i="1"/>
  <c r="BJ1402" i="1"/>
  <c r="BI1402" i="1"/>
  <c r="BH1402" i="1"/>
  <c r="X1402" i="1"/>
  <c r="BK1402" i="1" s="1"/>
  <c r="BP1401" i="1"/>
  <c r="BO1401" i="1"/>
  <c r="BN1401" i="1"/>
  <c r="BM1401" i="1"/>
  <c r="BL1401" i="1"/>
  <c r="BK1401" i="1"/>
  <c r="BJ1401" i="1"/>
  <c r="BH1401" i="1"/>
  <c r="AR1401" i="1"/>
  <c r="AQ1401" i="1"/>
  <c r="P1401" i="1"/>
  <c r="BI1401" i="1" s="1"/>
  <c r="BP1400" i="1"/>
  <c r="BM1400" i="1"/>
  <c r="BL1400" i="1"/>
  <c r="BK1400" i="1"/>
  <c r="BG1400" i="1"/>
  <c r="BF1400" i="1"/>
  <c r="AW1400" i="1"/>
  <c r="BO1400" i="1" s="1"/>
  <c r="AT1400" i="1"/>
  <c r="BN1400" i="1" s="1"/>
  <c r="AC1400" i="1"/>
  <c r="U1400" i="1"/>
  <c r="S1400" i="1"/>
  <c r="BJ1400" i="1" s="1"/>
  <c r="Q1400" i="1"/>
  <c r="BI1400" i="1" s="1"/>
  <c r="C1400" i="1"/>
  <c r="BH1400" i="1" s="1"/>
  <c r="BP1399" i="1"/>
  <c r="BO1399" i="1"/>
  <c r="BN1399" i="1"/>
  <c r="BM1399" i="1"/>
  <c r="BL1399" i="1"/>
  <c r="BK1399" i="1"/>
  <c r="BJ1399" i="1"/>
  <c r="BI1399" i="1"/>
  <c r="BH1399" i="1"/>
  <c r="BP1398" i="1"/>
  <c r="BO1398" i="1"/>
  <c r="BN1398" i="1"/>
  <c r="BM1398" i="1"/>
  <c r="BL1398" i="1"/>
  <c r="BK1398" i="1"/>
  <c r="BJ1398" i="1"/>
  <c r="BI1398" i="1"/>
  <c r="BH1398" i="1"/>
  <c r="BP1397" i="1"/>
  <c r="BO1397" i="1"/>
  <c r="BN1397" i="1"/>
  <c r="BM1397" i="1"/>
  <c r="BL1397" i="1"/>
  <c r="BK1397" i="1"/>
  <c r="BJ1397" i="1"/>
  <c r="BI1397" i="1"/>
  <c r="BH1397" i="1"/>
  <c r="BP1396" i="1"/>
  <c r="BO1396" i="1"/>
  <c r="BN1396" i="1"/>
  <c r="BM1396" i="1"/>
  <c r="BL1396" i="1"/>
  <c r="BK1396" i="1"/>
  <c r="BJ1396" i="1"/>
  <c r="BI1396" i="1"/>
  <c r="BH1396" i="1"/>
  <c r="AR1396" i="1"/>
  <c r="AN1396" i="1"/>
  <c r="BP1395" i="1"/>
  <c r="BO1395" i="1"/>
  <c r="BN1395" i="1"/>
  <c r="BL1395" i="1"/>
  <c r="BK1395" i="1"/>
  <c r="BJ1395" i="1"/>
  <c r="BI1395" i="1"/>
  <c r="BH1395" i="1"/>
  <c r="AB1395" i="1"/>
  <c r="BM1395" i="1" s="1"/>
  <c r="BP1394" i="1"/>
  <c r="BO1394" i="1"/>
  <c r="BN1394" i="1"/>
  <c r="BM1394" i="1"/>
  <c r="BK1394" i="1"/>
  <c r="BJ1394" i="1"/>
  <c r="BI1394" i="1"/>
  <c r="BH1394" i="1"/>
  <c r="AA1394" i="1"/>
  <c r="BL1394" i="1" s="1"/>
  <c r="BP1393" i="1"/>
  <c r="BO1393" i="1"/>
  <c r="BM1393" i="1"/>
  <c r="BL1393" i="1"/>
  <c r="BJ1393" i="1"/>
  <c r="BI1393" i="1"/>
  <c r="BG1393" i="1"/>
  <c r="AV1393" i="1"/>
  <c r="AU1393" i="1"/>
  <c r="AT1393" i="1"/>
  <c r="BN1393" i="1" s="1"/>
  <c r="U1393" i="1"/>
  <c r="BK1393" i="1" s="1"/>
  <c r="S1393" i="1"/>
  <c r="Q1393" i="1"/>
  <c r="I1393" i="1"/>
  <c r="BH1393" i="1" s="1"/>
  <c r="D1393" i="1"/>
  <c r="BP1392" i="1"/>
  <c r="BO1392" i="1"/>
  <c r="BL1392" i="1"/>
  <c r="BK1392" i="1"/>
  <c r="BJ1392" i="1"/>
  <c r="BI1392" i="1"/>
  <c r="BG1392" i="1"/>
  <c r="BF1392" i="1"/>
  <c r="AT1392" i="1"/>
  <c r="BN1392" i="1" s="1"/>
  <c r="AG1392" i="1"/>
  <c r="AC1392" i="1"/>
  <c r="U1392" i="1"/>
  <c r="S1392" i="1"/>
  <c r="Q1392" i="1"/>
  <c r="C1392" i="1"/>
  <c r="BH1392" i="1" s="1"/>
  <c r="BP1391" i="1"/>
  <c r="BO1391" i="1"/>
  <c r="BN1391" i="1"/>
  <c r="BM1391" i="1"/>
  <c r="BL1391" i="1"/>
  <c r="BK1391" i="1"/>
  <c r="BJ1391" i="1"/>
  <c r="BI1391" i="1"/>
  <c r="BH1391" i="1"/>
  <c r="BP1390" i="1"/>
  <c r="BO1390" i="1"/>
  <c r="BN1390" i="1"/>
  <c r="BM1390" i="1"/>
  <c r="BL1390" i="1"/>
  <c r="BK1390" i="1"/>
  <c r="BJ1390" i="1"/>
  <c r="BI1390" i="1"/>
  <c r="BH1390" i="1"/>
  <c r="BP1389" i="1"/>
  <c r="BO1389" i="1"/>
  <c r="BN1389" i="1"/>
  <c r="BL1389" i="1"/>
  <c r="BK1389" i="1"/>
  <c r="BJ1389" i="1"/>
  <c r="BI1389" i="1"/>
  <c r="BH1389" i="1"/>
  <c r="AR1389" i="1"/>
  <c r="AN1389" i="1"/>
  <c r="BP1388" i="1"/>
  <c r="BO1388" i="1"/>
  <c r="BN1388" i="1"/>
  <c r="BM1388" i="1"/>
  <c r="BL1388" i="1"/>
  <c r="BK1388" i="1"/>
  <c r="BJ1388" i="1"/>
  <c r="BI1388" i="1"/>
  <c r="BH1388" i="1"/>
  <c r="BP1387" i="1"/>
  <c r="BO1387" i="1"/>
  <c r="BN1387" i="1"/>
  <c r="BL1387" i="1"/>
  <c r="BK1387" i="1"/>
  <c r="BJ1387" i="1"/>
  <c r="BI1387" i="1"/>
  <c r="BH1387" i="1"/>
  <c r="AB1387" i="1"/>
  <c r="BM1387" i="1" s="1"/>
  <c r="BP1386" i="1"/>
  <c r="BO1386" i="1"/>
  <c r="BN1386" i="1"/>
  <c r="BM1386" i="1"/>
  <c r="BL1386" i="1"/>
  <c r="BH1386" i="1"/>
  <c r="BG1386" i="1"/>
  <c r="BF1386" i="1"/>
  <c r="AW1386" i="1"/>
  <c r="AT1386" i="1"/>
  <c r="U1386" i="1"/>
  <c r="BK1386" i="1" s="1"/>
  <c r="S1386" i="1"/>
  <c r="BJ1386" i="1" s="1"/>
  <c r="M1386" i="1"/>
  <c r="BI1386" i="1" s="1"/>
  <c r="G1386" i="1"/>
  <c r="C1386" i="1"/>
  <c r="BP1385" i="1"/>
  <c r="BO1385" i="1"/>
  <c r="BN1385" i="1"/>
  <c r="BL1385" i="1"/>
  <c r="BK1385" i="1"/>
  <c r="BJ1385" i="1"/>
  <c r="BI1385" i="1"/>
  <c r="BH1385" i="1"/>
  <c r="AQ1385" i="1"/>
  <c r="BM1385" i="1" s="1"/>
  <c r="BP1384" i="1"/>
  <c r="BO1384" i="1"/>
  <c r="BN1384" i="1"/>
  <c r="BM1384" i="1"/>
  <c r="BL1384" i="1"/>
  <c r="BJ1384" i="1"/>
  <c r="BH1384" i="1"/>
  <c r="V1384" i="1"/>
  <c r="BK1384" i="1" s="1"/>
  <c r="M1384" i="1"/>
  <c r="BI1384" i="1" s="1"/>
  <c r="BP1383" i="1"/>
  <c r="BO1383" i="1"/>
  <c r="BN1383" i="1"/>
  <c r="BL1383" i="1"/>
  <c r="BK1383" i="1"/>
  <c r="BJ1383" i="1"/>
  <c r="BI1383" i="1"/>
  <c r="BH1383" i="1"/>
  <c r="AS1383" i="1"/>
  <c r="AN1383" i="1"/>
  <c r="BP1382" i="1"/>
  <c r="BO1382" i="1"/>
  <c r="BN1382" i="1"/>
  <c r="BL1382" i="1"/>
  <c r="BK1382" i="1"/>
  <c r="BJ1382" i="1"/>
  <c r="BI1382" i="1"/>
  <c r="BH1382" i="1"/>
  <c r="AS1382" i="1"/>
  <c r="BM1382" i="1" s="1"/>
  <c r="BP1381" i="1"/>
  <c r="BO1381" i="1"/>
  <c r="BN1381" i="1"/>
  <c r="BM1381" i="1"/>
  <c r="BL1381" i="1"/>
  <c r="BK1381" i="1"/>
  <c r="BJ1381" i="1"/>
  <c r="BH1381" i="1"/>
  <c r="AR1381" i="1"/>
  <c r="AQ1381" i="1"/>
  <c r="P1381" i="1"/>
  <c r="BI1381" i="1" s="1"/>
  <c r="BP1380" i="1"/>
  <c r="BO1380" i="1"/>
  <c r="BN1380" i="1"/>
  <c r="BM1380" i="1"/>
  <c r="BL1380" i="1"/>
  <c r="BK1380" i="1"/>
  <c r="BJ1380" i="1"/>
  <c r="BI1380" i="1"/>
  <c r="BH1380" i="1"/>
  <c r="AR1380" i="1"/>
  <c r="AN1380" i="1"/>
  <c r="BP1379" i="1"/>
  <c r="BO1379" i="1"/>
  <c r="BN1379" i="1"/>
  <c r="BM1379" i="1"/>
  <c r="BL1379" i="1"/>
  <c r="BK1379" i="1"/>
  <c r="BJ1379" i="1"/>
  <c r="BI1379" i="1"/>
  <c r="BH1379" i="1"/>
  <c r="AY1379" i="1"/>
  <c r="BP1378" i="1"/>
  <c r="BO1378" i="1"/>
  <c r="BN1378" i="1"/>
  <c r="BM1378" i="1"/>
  <c r="BL1378" i="1"/>
  <c r="BK1378" i="1"/>
  <c r="BJ1378" i="1"/>
  <c r="BI1378" i="1"/>
  <c r="BH1378" i="1"/>
  <c r="BP1377" i="1"/>
  <c r="BO1377" i="1"/>
  <c r="BN1377" i="1"/>
  <c r="BM1377" i="1"/>
  <c r="BL1377" i="1"/>
  <c r="BK1377" i="1"/>
  <c r="BJ1377" i="1"/>
  <c r="BI1377" i="1"/>
  <c r="BH1377" i="1"/>
  <c r="BP1376" i="1"/>
  <c r="BO1376" i="1"/>
  <c r="BN1376" i="1"/>
  <c r="BL1376" i="1"/>
  <c r="BK1376" i="1"/>
  <c r="BJ1376" i="1"/>
  <c r="BI1376" i="1"/>
  <c r="BH1376" i="1"/>
  <c r="AP1376" i="1"/>
  <c r="BM1376" i="1" s="1"/>
  <c r="BP1375" i="1"/>
  <c r="BO1375" i="1"/>
  <c r="BN1375" i="1"/>
  <c r="BM1375" i="1"/>
  <c r="BL1375" i="1"/>
  <c r="BK1375" i="1"/>
  <c r="BJ1375" i="1"/>
  <c r="BI1375" i="1"/>
  <c r="BH1375" i="1"/>
  <c r="BP1374" i="1"/>
  <c r="BO1374" i="1"/>
  <c r="BN1374" i="1"/>
  <c r="BM1374" i="1"/>
  <c r="BL1374" i="1"/>
  <c r="BK1374" i="1"/>
  <c r="BJ1374" i="1"/>
  <c r="BI1374" i="1"/>
  <c r="BH1374" i="1"/>
  <c r="AQ1374" i="1"/>
  <c r="BP1373" i="1"/>
  <c r="BO1373" i="1"/>
  <c r="BN1373" i="1"/>
  <c r="BM1373" i="1"/>
  <c r="BL1373" i="1"/>
  <c r="BK1373" i="1"/>
  <c r="BJ1373" i="1"/>
  <c r="BI1373" i="1"/>
  <c r="BH1373" i="1"/>
  <c r="AA1373" i="1"/>
  <c r="BP1372" i="1"/>
  <c r="BO1372" i="1"/>
  <c r="BN1372" i="1"/>
  <c r="BM1372" i="1"/>
  <c r="BL1372" i="1"/>
  <c r="BK1372" i="1"/>
  <c r="BJ1372" i="1"/>
  <c r="BI1372" i="1"/>
  <c r="BH1372" i="1"/>
  <c r="BP1371" i="1"/>
  <c r="BO1371" i="1"/>
  <c r="BN1371" i="1"/>
  <c r="BL1371" i="1"/>
  <c r="BK1371" i="1"/>
  <c r="BJ1371" i="1"/>
  <c r="BI1371" i="1"/>
  <c r="BH1371" i="1"/>
  <c r="AQ1371" i="1"/>
  <c r="BM1371" i="1" s="1"/>
  <c r="BP1370" i="1"/>
  <c r="BO1370" i="1"/>
  <c r="BN1370" i="1"/>
  <c r="BL1370" i="1"/>
  <c r="BK1370" i="1"/>
  <c r="BJ1370" i="1"/>
  <c r="BI1370" i="1"/>
  <c r="BH1370" i="1"/>
  <c r="AQ1370" i="1"/>
  <c r="AB1370" i="1"/>
  <c r="BM1370" i="1" s="1"/>
  <c r="BP1369" i="1"/>
  <c r="BO1369" i="1"/>
  <c r="BN1369" i="1"/>
  <c r="BM1369" i="1"/>
  <c r="BL1369" i="1"/>
  <c r="BK1369" i="1"/>
  <c r="BJ1369" i="1"/>
  <c r="BI1369" i="1"/>
  <c r="BH1369" i="1"/>
  <c r="BP1368" i="1"/>
  <c r="BO1368" i="1"/>
  <c r="BN1368" i="1"/>
  <c r="BM1368" i="1"/>
  <c r="BL1368" i="1"/>
  <c r="BK1368" i="1"/>
  <c r="BJ1368" i="1"/>
  <c r="BI1368" i="1"/>
  <c r="BH1368" i="1"/>
  <c r="BP1367" i="1"/>
  <c r="BO1367" i="1"/>
  <c r="BN1367" i="1"/>
  <c r="BM1367" i="1"/>
  <c r="BL1367" i="1"/>
  <c r="BK1367" i="1"/>
  <c r="BJ1367" i="1"/>
  <c r="BI1367" i="1"/>
  <c r="BH1367" i="1"/>
  <c r="BP1366" i="1"/>
  <c r="BO1366" i="1"/>
  <c r="BN1366" i="1"/>
  <c r="BM1366" i="1"/>
  <c r="BL1366" i="1"/>
  <c r="BK1366" i="1"/>
  <c r="BJ1366" i="1"/>
  <c r="BI1366" i="1"/>
  <c r="BH1366" i="1"/>
  <c r="BP1365" i="1"/>
  <c r="BO1365" i="1"/>
  <c r="BN1365" i="1"/>
  <c r="BM1365" i="1"/>
  <c r="BL1365" i="1"/>
  <c r="BK1365" i="1"/>
  <c r="BJ1365" i="1"/>
  <c r="BI1365" i="1"/>
  <c r="BH1365" i="1"/>
  <c r="AR1365" i="1"/>
  <c r="AN1365" i="1"/>
  <c r="BP1364" i="1"/>
  <c r="BO1364" i="1"/>
  <c r="BN1364" i="1"/>
  <c r="BM1364" i="1"/>
  <c r="BL1364" i="1"/>
  <c r="BK1364" i="1"/>
  <c r="BJ1364" i="1"/>
  <c r="BI1364" i="1"/>
  <c r="BH1364" i="1"/>
  <c r="AN1364" i="1"/>
  <c r="BP1363" i="1"/>
  <c r="BO1363" i="1"/>
  <c r="BN1363" i="1"/>
  <c r="BM1363" i="1"/>
  <c r="BL1363" i="1"/>
  <c r="BK1363" i="1"/>
  <c r="BJ1363" i="1"/>
  <c r="BI1363" i="1"/>
  <c r="BH1363" i="1"/>
  <c r="AS1363" i="1"/>
  <c r="BP1362" i="1"/>
  <c r="BO1362" i="1"/>
  <c r="BN1362" i="1"/>
  <c r="BL1362" i="1"/>
  <c r="BK1362" i="1"/>
  <c r="BJ1362" i="1"/>
  <c r="BI1362" i="1"/>
  <c r="BH1362" i="1"/>
  <c r="AS1362" i="1"/>
  <c r="BM1362" i="1" s="1"/>
  <c r="BP1361" i="1"/>
  <c r="BN1361" i="1"/>
  <c r="BM1361" i="1"/>
  <c r="BL1361" i="1"/>
  <c r="BK1361" i="1"/>
  <c r="BJ1361" i="1"/>
  <c r="BI1361" i="1"/>
  <c r="BH1361" i="1"/>
  <c r="AY1361" i="1"/>
  <c r="BO1361" i="1" s="1"/>
  <c r="BP1360" i="1"/>
  <c r="BO1360" i="1"/>
  <c r="BN1360" i="1"/>
  <c r="BM1360" i="1"/>
  <c r="BL1360" i="1"/>
  <c r="BK1360" i="1"/>
  <c r="BJ1360" i="1"/>
  <c r="BI1360" i="1"/>
  <c r="BH1360" i="1"/>
  <c r="BP1359" i="1"/>
  <c r="BO1359" i="1"/>
  <c r="BN1359" i="1"/>
  <c r="BM1359" i="1"/>
  <c r="BL1359" i="1"/>
  <c r="BK1359" i="1"/>
  <c r="BJ1359" i="1"/>
  <c r="BI1359" i="1"/>
  <c r="BH1359" i="1"/>
  <c r="BP1358" i="1"/>
  <c r="BO1358" i="1"/>
  <c r="BN1358" i="1"/>
  <c r="BM1358" i="1"/>
  <c r="BL1358" i="1"/>
  <c r="BK1358" i="1"/>
  <c r="BJ1358" i="1"/>
  <c r="BI1358" i="1"/>
  <c r="BH1358" i="1"/>
  <c r="BP1357" i="1"/>
  <c r="BO1357" i="1"/>
  <c r="BN1357" i="1"/>
  <c r="BL1357" i="1"/>
  <c r="BK1357" i="1"/>
  <c r="BJ1357" i="1"/>
  <c r="BI1357" i="1"/>
  <c r="BH1357" i="1"/>
  <c r="AR1357" i="1"/>
  <c r="AN1357" i="1"/>
  <c r="BM1357" i="1" s="1"/>
  <c r="BP1356" i="1"/>
  <c r="BO1356" i="1"/>
  <c r="BN1356" i="1"/>
  <c r="BM1356" i="1"/>
  <c r="BL1356" i="1"/>
  <c r="BK1356" i="1"/>
  <c r="BJ1356" i="1"/>
  <c r="BI1356" i="1"/>
  <c r="BH1356" i="1"/>
  <c r="BP1355" i="1"/>
  <c r="BO1355" i="1"/>
  <c r="BN1355" i="1"/>
  <c r="BM1355" i="1"/>
  <c r="BL1355" i="1"/>
  <c r="BK1355" i="1"/>
  <c r="BJ1355" i="1"/>
  <c r="BI1355" i="1"/>
  <c r="BH1355" i="1"/>
  <c r="BP1354" i="1"/>
  <c r="BO1354" i="1"/>
  <c r="BN1354" i="1"/>
  <c r="BM1354" i="1"/>
  <c r="BL1354" i="1"/>
  <c r="BK1354" i="1"/>
  <c r="BJ1354" i="1"/>
  <c r="BI1354" i="1"/>
  <c r="BH1354" i="1"/>
  <c r="AQ1354" i="1"/>
  <c r="BP1353" i="1"/>
  <c r="BO1353" i="1"/>
  <c r="BN1353" i="1"/>
  <c r="BM1353" i="1"/>
  <c r="BL1353" i="1"/>
  <c r="BK1353" i="1"/>
  <c r="BJ1353" i="1"/>
  <c r="BI1353" i="1"/>
  <c r="BH1353" i="1"/>
  <c r="V1353" i="1"/>
  <c r="M1353" i="1"/>
  <c r="BP1352" i="1"/>
  <c r="BO1352" i="1"/>
  <c r="BN1352" i="1"/>
  <c r="BM1352" i="1"/>
  <c r="BL1352" i="1"/>
  <c r="BK1352" i="1"/>
  <c r="BJ1352" i="1"/>
  <c r="BI1352" i="1"/>
  <c r="BH1352" i="1"/>
  <c r="BP1351" i="1"/>
  <c r="BO1351" i="1"/>
  <c r="BN1351" i="1"/>
  <c r="BM1351" i="1"/>
  <c r="BL1351" i="1"/>
  <c r="BK1351" i="1"/>
  <c r="BJ1351" i="1"/>
  <c r="BI1351" i="1"/>
  <c r="BH1351" i="1"/>
  <c r="BP1350" i="1"/>
  <c r="BO1350" i="1"/>
  <c r="BN1350" i="1"/>
  <c r="BM1350" i="1"/>
  <c r="BL1350" i="1"/>
  <c r="BK1350" i="1"/>
  <c r="BJ1350" i="1"/>
  <c r="BI1350" i="1"/>
  <c r="BH1350" i="1"/>
  <c r="BP1349" i="1"/>
  <c r="BO1349" i="1"/>
  <c r="BN1349" i="1"/>
  <c r="BM1349" i="1"/>
  <c r="BL1349" i="1"/>
  <c r="BK1349" i="1"/>
  <c r="BJ1349" i="1"/>
  <c r="BI1349" i="1"/>
  <c r="BH1349" i="1"/>
  <c r="AR1349" i="1"/>
  <c r="AN1349" i="1"/>
  <c r="BP1348" i="1"/>
  <c r="BO1348" i="1"/>
  <c r="BN1348" i="1"/>
  <c r="BM1348" i="1"/>
  <c r="BL1348" i="1"/>
  <c r="BK1348" i="1"/>
  <c r="BJ1348" i="1"/>
  <c r="BI1348" i="1"/>
  <c r="BH1348" i="1"/>
  <c r="BL1347" i="1"/>
  <c r="BK1347" i="1"/>
  <c r="BJ1347" i="1"/>
  <c r="BI1347" i="1"/>
  <c r="BH1347" i="1"/>
  <c r="BG1347" i="1"/>
  <c r="BF1347" i="1"/>
  <c r="BP1347" i="1" s="1"/>
  <c r="AW1347" i="1"/>
  <c r="BO1347" i="1" s="1"/>
  <c r="AT1347" i="1"/>
  <c r="BN1347" i="1" s="1"/>
  <c r="AQ1347" i="1"/>
  <c r="AF1347" i="1"/>
  <c r="Z1347" i="1"/>
  <c r="U1347" i="1"/>
  <c r="S1347" i="1"/>
  <c r="O1347" i="1"/>
  <c r="C1347" i="1"/>
  <c r="BP1346" i="1"/>
  <c r="BO1346" i="1"/>
  <c r="BN1346" i="1"/>
  <c r="BM1346" i="1"/>
  <c r="BL1346" i="1"/>
  <c r="BK1346" i="1"/>
  <c r="BJ1346" i="1"/>
  <c r="BH1346" i="1"/>
  <c r="V1346" i="1"/>
  <c r="M1346" i="1"/>
  <c r="BI1346" i="1" s="1"/>
  <c r="BP1345" i="1"/>
  <c r="BO1345" i="1"/>
  <c r="BN1345" i="1"/>
  <c r="BM1345" i="1"/>
  <c r="BL1345" i="1"/>
  <c r="BK1345" i="1"/>
  <c r="BJ1345" i="1"/>
  <c r="BI1345" i="1"/>
  <c r="BH1345" i="1"/>
  <c r="BP1344" i="1"/>
  <c r="BO1344" i="1"/>
  <c r="BN1344" i="1"/>
  <c r="BL1344" i="1"/>
  <c r="BK1344" i="1"/>
  <c r="BJ1344" i="1"/>
  <c r="BI1344" i="1"/>
  <c r="BH1344" i="1"/>
  <c r="AQ1344" i="1"/>
  <c r="BM1344" i="1" s="1"/>
  <c r="AA1344" i="1"/>
  <c r="L1344" i="1"/>
  <c r="BP1343" i="1"/>
  <c r="BO1343" i="1"/>
  <c r="BN1343" i="1"/>
  <c r="BL1343" i="1"/>
  <c r="BK1343" i="1"/>
  <c r="BJ1343" i="1"/>
  <c r="BI1343" i="1"/>
  <c r="BH1343" i="1"/>
  <c r="AB1343" i="1"/>
  <c r="BM1343" i="1" s="1"/>
  <c r="BP1342" i="1"/>
  <c r="BO1342" i="1"/>
  <c r="BN1342" i="1"/>
  <c r="BM1342" i="1"/>
  <c r="BL1342" i="1"/>
  <c r="BK1342" i="1"/>
  <c r="BJ1342" i="1"/>
  <c r="BI1342" i="1"/>
  <c r="BH1342" i="1"/>
  <c r="X1342" i="1"/>
  <c r="BP1341" i="1"/>
  <c r="BO1341" i="1"/>
  <c r="BN1341" i="1"/>
  <c r="BM1341" i="1"/>
  <c r="BL1341" i="1"/>
  <c r="BK1341" i="1"/>
  <c r="BJ1341" i="1"/>
  <c r="BI1341" i="1"/>
  <c r="BH1341" i="1"/>
  <c r="BP1340" i="1"/>
  <c r="BO1340" i="1"/>
  <c r="BN1340" i="1"/>
  <c r="BM1340" i="1"/>
  <c r="BL1340" i="1"/>
  <c r="BK1340" i="1"/>
  <c r="BJ1340" i="1"/>
  <c r="BI1340" i="1"/>
  <c r="BH1340" i="1"/>
  <c r="AS1340" i="1"/>
  <c r="BP1339" i="1"/>
  <c r="BO1339" i="1"/>
  <c r="BN1339" i="1"/>
  <c r="BM1339" i="1"/>
  <c r="BL1339" i="1"/>
  <c r="BK1339" i="1"/>
  <c r="BJ1339" i="1"/>
  <c r="BI1339" i="1"/>
  <c r="BH1339" i="1"/>
  <c r="AR1339" i="1"/>
  <c r="AN1339" i="1"/>
  <c r="BP1338" i="1"/>
  <c r="BO1338" i="1"/>
  <c r="BN1338" i="1"/>
  <c r="BM1338" i="1"/>
  <c r="BL1338" i="1"/>
  <c r="BK1338" i="1"/>
  <c r="BJ1338" i="1"/>
  <c r="BI1338" i="1"/>
  <c r="BH1338" i="1"/>
  <c r="AR1338" i="1"/>
  <c r="AN1338" i="1"/>
  <c r="BP1337" i="1"/>
  <c r="BO1337" i="1"/>
  <c r="BN1337" i="1"/>
  <c r="BM1337" i="1"/>
  <c r="BL1337" i="1"/>
  <c r="BK1337" i="1"/>
  <c r="BJ1337" i="1"/>
  <c r="BI1337" i="1"/>
  <c r="BH1337" i="1"/>
  <c r="AY1337" i="1"/>
  <c r="BP1336" i="1"/>
  <c r="BO1336" i="1"/>
  <c r="BN1336" i="1"/>
  <c r="BM1336" i="1"/>
  <c r="BL1336" i="1"/>
  <c r="BK1336" i="1"/>
  <c r="BJ1336" i="1"/>
  <c r="BI1336" i="1"/>
  <c r="BH1336" i="1"/>
  <c r="BP1335" i="1"/>
  <c r="BO1335" i="1"/>
  <c r="BN1335" i="1"/>
  <c r="BM1335" i="1"/>
  <c r="BL1335" i="1"/>
  <c r="BK1335" i="1"/>
  <c r="BJ1335" i="1"/>
  <c r="BI1335" i="1"/>
  <c r="BH1335" i="1"/>
  <c r="BP1334" i="1"/>
  <c r="BO1334" i="1"/>
  <c r="BN1334" i="1"/>
  <c r="BM1334" i="1"/>
  <c r="BL1334" i="1"/>
  <c r="BK1334" i="1"/>
  <c r="BJ1334" i="1"/>
  <c r="BI1334" i="1"/>
  <c r="BH1334" i="1"/>
  <c r="BP1333" i="1"/>
  <c r="BO1333" i="1"/>
  <c r="BN1333" i="1"/>
  <c r="BM1333" i="1"/>
  <c r="BL1333" i="1"/>
  <c r="BK1333" i="1"/>
  <c r="BJ1333" i="1"/>
  <c r="BI1333" i="1"/>
  <c r="BH1333" i="1"/>
  <c r="BP1332" i="1"/>
  <c r="BO1332" i="1"/>
  <c r="BN1332" i="1"/>
  <c r="BL1332" i="1"/>
  <c r="BK1332" i="1"/>
  <c r="BJ1332" i="1"/>
  <c r="BI1332" i="1"/>
  <c r="BH1332" i="1"/>
  <c r="AL1332" i="1"/>
  <c r="BM1332" i="1" s="1"/>
  <c r="BP1331" i="1"/>
  <c r="BO1331" i="1"/>
  <c r="BN1331" i="1"/>
  <c r="BM1331" i="1"/>
  <c r="BL1331" i="1"/>
  <c r="BK1331" i="1"/>
  <c r="BJ1331" i="1"/>
  <c r="BI1331" i="1"/>
  <c r="BH1331" i="1"/>
  <c r="BP1330" i="1"/>
  <c r="BO1330" i="1"/>
  <c r="BN1330" i="1"/>
  <c r="BM1330" i="1"/>
  <c r="BL1330" i="1"/>
  <c r="BK1330" i="1"/>
  <c r="BJ1330" i="1"/>
  <c r="BI1330" i="1"/>
  <c r="BH1330" i="1"/>
  <c r="BP1329" i="1"/>
  <c r="BO1329" i="1"/>
  <c r="BN1329" i="1"/>
  <c r="BM1329" i="1"/>
  <c r="BL1329" i="1"/>
  <c r="BK1329" i="1"/>
  <c r="BJ1329" i="1"/>
  <c r="BI1329" i="1"/>
  <c r="BH1329" i="1"/>
  <c r="AP1329" i="1"/>
  <c r="BP1328" i="1"/>
  <c r="BO1328" i="1"/>
  <c r="BN1328" i="1"/>
  <c r="BM1328" i="1"/>
  <c r="BL1328" i="1"/>
  <c r="BK1328" i="1"/>
  <c r="BJ1328" i="1"/>
  <c r="BI1328" i="1"/>
  <c r="BH1328" i="1"/>
  <c r="AR1328" i="1"/>
  <c r="AN1328" i="1"/>
  <c r="BP1327" i="1"/>
  <c r="BO1327" i="1"/>
  <c r="BN1327" i="1"/>
  <c r="BL1327" i="1"/>
  <c r="BK1327" i="1"/>
  <c r="BJ1327" i="1"/>
  <c r="BI1327" i="1"/>
  <c r="BH1327" i="1"/>
  <c r="AR1327" i="1"/>
  <c r="BM1327" i="1" s="1"/>
  <c r="AN1327" i="1"/>
  <c r="BP1326" i="1"/>
  <c r="BO1326" i="1"/>
  <c r="BN1326" i="1"/>
  <c r="BL1326" i="1"/>
  <c r="BK1326" i="1"/>
  <c r="BJ1326" i="1"/>
  <c r="BI1326" i="1"/>
  <c r="BH1326" i="1"/>
  <c r="AR1326" i="1"/>
  <c r="AN1326" i="1"/>
  <c r="BM1326" i="1" s="1"/>
  <c r="BP1325" i="1"/>
  <c r="BO1325" i="1"/>
  <c r="BN1325" i="1"/>
  <c r="BL1325" i="1"/>
  <c r="BK1325" i="1"/>
  <c r="BJ1325" i="1"/>
  <c r="BI1325" i="1"/>
  <c r="BH1325" i="1"/>
  <c r="AS1325" i="1"/>
  <c r="BM1325" i="1" s="1"/>
  <c r="BP1324" i="1"/>
  <c r="BO1324" i="1"/>
  <c r="BN1324" i="1"/>
  <c r="BL1324" i="1"/>
  <c r="BK1324" i="1"/>
  <c r="BJ1324" i="1"/>
  <c r="BI1324" i="1"/>
  <c r="BH1324" i="1"/>
  <c r="AS1324" i="1"/>
  <c r="AN1324" i="1"/>
  <c r="BM1324" i="1" s="1"/>
  <c r="BP1323" i="1"/>
  <c r="BO1323" i="1"/>
  <c r="BN1323" i="1"/>
  <c r="BL1323" i="1"/>
  <c r="BK1323" i="1"/>
  <c r="BJ1323" i="1"/>
  <c r="BH1323" i="1"/>
  <c r="AR1323" i="1"/>
  <c r="AQ1323" i="1"/>
  <c r="BM1323" i="1" s="1"/>
  <c r="P1323" i="1"/>
  <c r="BI1323" i="1" s="1"/>
  <c r="BP1322" i="1"/>
  <c r="BO1322" i="1"/>
  <c r="BN1322" i="1"/>
  <c r="BL1322" i="1"/>
  <c r="BK1322" i="1"/>
  <c r="BJ1322" i="1"/>
  <c r="BI1322" i="1"/>
  <c r="AJ1322" i="1"/>
  <c r="BM1322" i="1" s="1"/>
  <c r="J1322" i="1"/>
  <c r="BH1322" i="1" s="1"/>
  <c r="BP1321" i="1"/>
  <c r="BO1321" i="1"/>
  <c r="BN1321" i="1"/>
  <c r="BM1321" i="1"/>
  <c r="BL1321" i="1"/>
  <c r="BK1321" i="1"/>
  <c r="BJ1321" i="1"/>
  <c r="BI1321" i="1"/>
  <c r="BH1321" i="1"/>
  <c r="BP1320" i="1"/>
  <c r="BO1320" i="1"/>
  <c r="BN1320" i="1"/>
  <c r="BL1320" i="1"/>
  <c r="BK1320" i="1"/>
  <c r="BJ1320" i="1"/>
  <c r="BI1320" i="1"/>
  <c r="BH1320" i="1"/>
  <c r="AQ1320" i="1"/>
  <c r="BM1320" i="1" s="1"/>
  <c r="BP1319" i="1"/>
  <c r="BO1319" i="1"/>
  <c r="BN1319" i="1"/>
  <c r="BM1319" i="1"/>
  <c r="BL1319" i="1"/>
  <c r="BK1319" i="1"/>
  <c r="BJ1319" i="1"/>
  <c r="BI1319" i="1"/>
  <c r="BH1319" i="1"/>
  <c r="BP1318" i="1"/>
  <c r="BO1318" i="1"/>
  <c r="BN1318" i="1"/>
  <c r="BM1318" i="1"/>
  <c r="BL1318" i="1"/>
  <c r="BK1318" i="1"/>
  <c r="BJ1318" i="1"/>
  <c r="BI1318" i="1"/>
  <c r="BH1318" i="1"/>
  <c r="BP1317" i="1"/>
  <c r="BO1317" i="1"/>
  <c r="BN1317" i="1"/>
  <c r="BL1317" i="1"/>
  <c r="BK1317" i="1"/>
  <c r="BJ1317" i="1"/>
  <c r="BI1317" i="1"/>
  <c r="BH1317" i="1"/>
  <c r="AR1317" i="1"/>
  <c r="AN1317" i="1"/>
  <c r="BM1317" i="1" s="1"/>
  <c r="BP1316" i="1"/>
  <c r="BO1316" i="1"/>
  <c r="BN1316" i="1"/>
  <c r="BL1316" i="1"/>
  <c r="BK1316" i="1"/>
  <c r="BJ1316" i="1"/>
  <c r="BI1316" i="1"/>
  <c r="BH1316" i="1"/>
  <c r="AS1316" i="1"/>
  <c r="BM1316" i="1" s="1"/>
  <c r="AN1316" i="1"/>
  <c r="BP1315" i="1"/>
  <c r="BO1315" i="1"/>
  <c r="BN1315" i="1"/>
  <c r="BL1315" i="1"/>
  <c r="BK1315" i="1"/>
  <c r="BJ1315" i="1"/>
  <c r="BI1315" i="1"/>
  <c r="BH1315" i="1"/>
  <c r="AS1315" i="1"/>
  <c r="AN1315" i="1"/>
  <c r="BM1315" i="1" s="1"/>
  <c r="BP1314" i="1"/>
  <c r="BO1314" i="1"/>
  <c r="BN1314" i="1"/>
  <c r="BL1314" i="1"/>
  <c r="BK1314" i="1"/>
  <c r="BJ1314" i="1"/>
  <c r="BI1314" i="1"/>
  <c r="BH1314" i="1"/>
  <c r="AS1314" i="1"/>
  <c r="AN1314" i="1"/>
  <c r="BM1314" i="1" s="1"/>
  <c r="BP1313" i="1"/>
  <c r="BO1313" i="1"/>
  <c r="BN1313" i="1"/>
  <c r="BM1313" i="1"/>
  <c r="BL1313" i="1"/>
  <c r="BJ1313" i="1"/>
  <c r="BH1313" i="1"/>
  <c r="V1313" i="1"/>
  <c r="BK1313" i="1" s="1"/>
  <c r="M1313" i="1"/>
  <c r="BI1313" i="1" s="1"/>
  <c r="BP1312" i="1"/>
  <c r="BO1312" i="1"/>
  <c r="BN1312" i="1"/>
  <c r="BM1312" i="1"/>
  <c r="BL1312" i="1"/>
  <c r="BK1312" i="1"/>
  <c r="BJ1312" i="1"/>
  <c r="BI1312" i="1"/>
  <c r="BH1312" i="1"/>
  <c r="AS1312" i="1"/>
  <c r="BP1311" i="1"/>
  <c r="BO1311" i="1"/>
  <c r="BN1311" i="1"/>
  <c r="BM1311" i="1"/>
  <c r="BL1311" i="1"/>
  <c r="BK1311" i="1"/>
  <c r="BJ1311" i="1"/>
  <c r="BI1311" i="1"/>
  <c r="BH1311" i="1"/>
  <c r="BP1310" i="1"/>
  <c r="BO1310" i="1"/>
  <c r="BN1310" i="1"/>
  <c r="BM1310" i="1"/>
  <c r="BL1310" i="1"/>
  <c r="BK1310" i="1"/>
  <c r="BJ1310" i="1"/>
  <c r="BI1310" i="1"/>
  <c r="BH1310" i="1"/>
  <c r="BM1309" i="1"/>
  <c r="BJ1309" i="1"/>
  <c r="BI1309" i="1"/>
  <c r="BH1309" i="1"/>
  <c r="BG1309" i="1"/>
  <c r="BF1309" i="1"/>
  <c r="BP1309" i="1" s="1"/>
  <c r="AW1309" i="1"/>
  <c r="BO1309" i="1" s="1"/>
  <c r="AT1309" i="1"/>
  <c r="BN1309" i="1" s="1"/>
  <c r="AQ1309" i="1"/>
  <c r="AF1309" i="1"/>
  <c r="Z1309" i="1"/>
  <c r="BL1309" i="1" s="1"/>
  <c r="U1309" i="1"/>
  <c r="BK1309" i="1" s="1"/>
  <c r="S1309" i="1"/>
  <c r="O1309" i="1"/>
  <c r="C1309" i="1"/>
  <c r="BP1308" i="1"/>
  <c r="BO1308" i="1"/>
  <c r="BN1308" i="1"/>
  <c r="BM1308" i="1"/>
  <c r="BL1308" i="1"/>
  <c r="BK1308" i="1"/>
  <c r="BJ1308" i="1"/>
  <c r="BI1308" i="1"/>
  <c r="BH1308" i="1"/>
  <c r="M1308" i="1"/>
  <c r="BP1307" i="1"/>
  <c r="BO1307" i="1"/>
  <c r="BN1307" i="1"/>
  <c r="BM1307" i="1"/>
  <c r="BL1307" i="1"/>
  <c r="BK1307" i="1"/>
  <c r="BJ1307" i="1"/>
  <c r="BI1307" i="1"/>
  <c r="BH1307" i="1"/>
  <c r="BP1306" i="1"/>
  <c r="BN1306" i="1"/>
  <c r="BM1306" i="1"/>
  <c r="BL1306" i="1"/>
  <c r="BK1306" i="1"/>
  <c r="BJ1306" i="1"/>
  <c r="BI1306" i="1"/>
  <c r="BH1306" i="1"/>
  <c r="AY1306" i="1"/>
  <c r="BO1306" i="1" s="1"/>
  <c r="BP1305" i="1"/>
  <c r="BO1305" i="1"/>
  <c r="BN1305" i="1"/>
  <c r="BM1305" i="1"/>
  <c r="BL1305" i="1"/>
  <c r="BK1305" i="1"/>
  <c r="BJ1305" i="1"/>
  <c r="BI1305" i="1"/>
  <c r="BH1305" i="1"/>
  <c r="BP1304" i="1"/>
  <c r="BO1304" i="1"/>
  <c r="BN1304" i="1"/>
  <c r="BM1304" i="1"/>
  <c r="BL1304" i="1"/>
  <c r="BK1304" i="1"/>
  <c r="BJ1304" i="1"/>
  <c r="BI1304" i="1"/>
  <c r="BH1304" i="1"/>
  <c r="BP1303" i="1"/>
  <c r="BO1303" i="1"/>
  <c r="BN1303" i="1"/>
  <c r="BM1303" i="1"/>
  <c r="BL1303" i="1"/>
  <c r="BK1303" i="1"/>
  <c r="BJ1303" i="1"/>
  <c r="BI1303" i="1"/>
  <c r="BH1303" i="1"/>
  <c r="AR1303" i="1"/>
  <c r="AN1303" i="1"/>
  <c r="BP1302" i="1"/>
  <c r="BO1302" i="1"/>
  <c r="BN1302" i="1"/>
  <c r="BM1302" i="1"/>
  <c r="BL1302" i="1"/>
  <c r="BK1302" i="1"/>
  <c r="BJ1302" i="1"/>
  <c r="BI1302" i="1"/>
  <c r="BH1302" i="1"/>
  <c r="BP1301" i="1"/>
  <c r="BO1301" i="1"/>
  <c r="BN1301" i="1"/>
  <c r="BL1301" i="1"/>
  <c r="BK1301" i="1"/>
  <c r="BJ1301" i="1"/>
  <c r="BI1301" i="1"/>
  <c r="BH1301" i="1"/>
  <c r="AQ1301" i="1"/>
  <c r="BM1301" i="1" s="1"/>
  <c r="BP1300" i="1"/>
  <c r="BO1300" i="1"/>
  <c r="BN1300" i="1"/>
  <c r="BL1300" i="1"/>
  <c r="BK1300" i="1"/>
  <c r="BJ1300" i="1"/>
  <c r="BI1300" i="1"/>
  <c r="BH1300" i="1"/>
  <c r="AQ1300" i="1"/>
  <c r="BM1300" i="1" s="1"/>
  <c r="BP1299" i="1"/>
  <c r="BO1299" i="1"/>
  <c r="BN1299" i="1"/>
  <c r="BM1299" i="1"/>
  <c r="BL1299" i="1"/>
  <c r="BK1299" i="1"/>
  <c r="BJ1299" i="1"/>
  <c r="BI1299" i="1"/>
  <c r="BH1299" i="1"/>
  <c r="BP1298" i="1"/>
  <c r="BO1298" i="1"/>
  <c r="BN1298" i="1"/>
  <c r="BM1298" i="1"/>
  <c r="BL1298" i="1"/>
  <c r="BK1298" i="1"/>
  <c r="BJ1298" i="1"/>
  <c r="BI1298" i="1"/>
  <c r="BH1298" i="1"/>
  <c r="BP1297" i="1"/>
  <c r="BO1297" i="1"/>
  <c r="BN1297" i="1"/>
  <c r="BL1297" i="1"/>
  <c r="BK1297" i="1"/>
  <c r="BJ1297" i="1"/>
  <c r="BI1297" i="1"/>
  <c r="BH1297" i="1"/>
  <c r="AS1297" i="1"/>
  <c r="BM1297" i="1" s="1"/>
  <c r="AN1297" i="1"/>
  <c r="BP1296" i="1"/>
  <c r="BO1296" i="1"/>
  <c r="BN1296" i="1"/>
  <c r="BL1296" i="1"/>
  <c r="BK1296" i="1"/>
  <c r="BJ1296" i="1"/>
  <c r="BI1296" i="1"/>
  <c r="BH1296" i="1"/>
  <c r="AS1296" i="1"/>
  <c r="BM1296" i="1" s="1"/>
  <c r="BP1295" i="1"/>
  <c r="BO1295" i="1"/>
  <c r="BN1295" i="1"/>
  <c r="BM1295" i="1"/>
  <c r="BL1295" i="1"/>
  <c r="BK1295" i="1"/>
  <c r="BJ1295" i="1"/>
  <c r="BI1295" i="1"/>
  <c r="BH1295" i="1"/>
  <c r="BP1294" i="1"/>
  <c r="BO1294" i="1"/>
  <c r="BN1294" i="1"/>
  <c r="BM1294" i="1"/>
  <c r="BL1294" i="1"/>
  <c r="BK1294" i="1"/>
  <c r="BJ1294" i="1"/>
  <c r="BI1294" i="1"/>
  <c r="BH1294" i="1"/>
  <c r="BP1293" i="1"/>
  <c r="BO1293" i="1"/>
  <c r="BN1293" i="1"/>
  <c r="BM1293" i="1"/>
  <c r="BL1293" i="1"/>
  <c r="BK1293" i="1"/>
  <c r="BJ1293" i="1"/>
  <c r="BI1293" i="1"/>
  <c r="BH1293" i="1"/>
  <c r="AY1293" i="1"/>
  <c r="BP1292" i="1"/>
  <c r="BO1292" i="1"/>
  <c r="BN1292" i="1"/>
  <c r="BM1292" i="1"/>
  <c r="BL1292" i="1"/>
  <c r="BK1292" i="1"/>
  <c r="BJ1292" i="1"/>
  <c r="BI1292" i="1"/>
  <c r="BH1292" i="1"/>
  <c r="BP1291" i="1"/>
  <c r="BO1291" i="1"/>
  <c r="BN1291" i="1"/>
  <c r="BM1291" i="1"/>
  <c r="BL1291" i="1"/>
  <c r="BK1291" i="1"/>
  <c r="BJ1291" i="1"/>
  <c r="BI1291" i="1"/>
  <c r="BH1291" i="1"/>
  <c r="BP1290" i="1"/>
  <c r="BO1290" i="1"/>
  <c r="BN1290" i="1"/>
  <c r="BM1290" i="1"/>
  <c r="BL1290" i="1"/>
  <c r="BJ1290" i="1"/>
  <c r="BI1290" i="1"/>
  <c r="BH1290" i="1"/>
  <c r="V1290" i="1"/>
  <c r="BK1290" i="1" s="1"/>
  <c r="BP1289" i="1"/>
  <c r="BO1289" i="1"/>
  <c r="BN1289" i="1"/>
  <c r="BM1289" i="1"/>
  <c r="BL1289" i="1"/>
  <c r="BK1289" i="1"/>
  <c r="BJ1289" i="1"/>
  <c r="BI1289" i="1"/>
  <c r="BH1289" i="1"/>
  <c r="AR1289" i="1"/>
  <c r="AN1289" i="1"/>
  <c r="BP1288" i="1"/>
  <c r="BO1288" i="1"/>
  <c r="BN1288" i="1"/>
  <c r="BM1288" i="1"/>
  <c r="BL1288" i="1"/>
  <c r="BK1288" i="1"/>
  <c r="BJ1288" i="1"/>
  <c r="BH1288" i="1"/>
  <c r="AR1288" i="1"/>
  <c r="AQ1288" i="1"/>
  <c r="P1288" i="1"/>
  <c r="BI1288" i="1" s="1"/>
  <c r="BP1287" i="1"/>
  <c r="BO1287" i="1"/>
  <c r="BN1287" i="1"/>
  <c r="BM1287" i="1"/>
  <c r="BL1287" i="1"/>
  <c r="BK1287" i="1"/>
  <c r="BJ1287" i="1"/>
  <c r="BI1287" i="1"/>
  <c r="BH1287" i="1"/>
  <c r="AR1287" i="1"/>
  <c r="AN1287" i="1"/>
  <c r="BP1286" i="1"/>
  <c r="BO1286" i="1"/>
  <c r="BN1286" i="1"/>
  <c r="BM1286" i="1"/>
  <c r="BL1286" i="1"/>
  <c r="BK1286" i="1"/>
  <c r="BJ1286" i="1"/>
  <c r="BI1286" i="1"/>
  <c r="BH1286" i="1"/>
  <c r="AS1286" i="1"/>
  <c r="AN1286" i="1"/>
  <c r="BP1285" i="1"/>
  <c r="BO1285" i="1"/>
  <c r="BN1285" i="1"/>
  <c r="BM1285" i="1"/>
  <c r="BL1285" i="1"/>
  <c r="BK1285" i="1"/>
  <c r="BJ1285" i="1"/>
  <c r="BI1285" i="1"/>
  <c r="BH1285" i="1"/>
  <c r="AQ1285" i="1"/>
  <c r="BP1284" i="1"/>
  <c r="BO1284" i="1"/>
  <c r="BN1284" i="1"/>
  <c r="BM1284" i="1"/>
  <c r="BL1284" i="1"/>
  <c r="BK1284" i="1"/>
  <c r="BJ1284" i="1"/>
  <c r="BI1284" i="1"/>
  <c r="BH1284" i="1"/>
  <c r="BP1283" i="1"/>
  <c r="BN1283" i="1"/>
  <c r="BM1283" i="1"/>
  <c r="BL1283" i="1"/>
  <c r="BK1283" i="1"/>
  <c r="BJ1283" i="1"/>
  <c r="BI1283" i="1"/>
  <c r="BH1283" i="1"/>
  <c r="AY1283" i="1"/>
  <c r="BO1283" i="1" s="1"/>
  <c r="BP1282" i="1"/>
  <c r="BO1282" i="1"/>
  <c r="BN1282" i="1"/>
  <c r="BM1282" i="1"/>
  <c r="BL1282" i="1"/>
  <c r="BK1282" i="1"/>
  <c r="BJ1282" i="1"/>
  <c r="BI1282" i="1"/>
  <c r="BH1282" i="1"/>
  <c r="AP1282" i="1"/>
  <c r="BP1281" i="1"/>
  <c r="BO1281" i="1"/>
  <c r="BN1281" i="1"/>
  <c r="BM1281" i="1"/>
  <c r="BL1281" i="1"/>
  <c r="BK1281" i="1"/>
  <c r="BJ1281" i="1"/>
  <c r="BI1281" i="1"/>
  <c r="BH1281" i="1"/>
  <c r="AQ1281" i="1"/>
  <c r="BP1280" i="1"/>
  <c r="BO1280" i="1"/>
  <c r="BN1280" i="1"/>
  <c r="BM1280" i="1"/>
  <c r="BL1280" i="1"/>
  <c r="BK1280" i="1"/>
  <c r="BJ1280" i="1"/>
  <c r="BI1280" i="1"/>
  <c r="BH1280" i="1"/>
  <c r="AS1280" i="1"/>
  <c r="AN1280" i="1"/>
  <c r="BP1279" i="1"/>
  <c r="BO1279" i="1"/>
  <c r="BN1279" i="1"/>
  <c r="BM1279" i="1"/>
  <c r="BL1279" i="1"/>
  <c r="BK1279" i="1"/>
  <c r="BJ1279" i="1"/>
  <c r="BI1279" i="1"/>
  <c r="BH1279" i="1"/>
  <c r="AS1279" i="1"/>
  <c r="BP1278" i="1"/>
  <c r="BO1278" i="1"/>
  <c r="BN1278" i="1"/>
  <c r="BL1278" i="1"/>
  <c r="BK1278" i="1"/>
  <c r="BJ1278" i="1"/>
  <c r="BI1278" i="1"/>
  <c r="BH1278" i="1"/>
  <c r="AS1278" i="1"/>
  <c r="AN1278" i="1"/>
  <c r="BM1278" i="1" s="1"/>
  <c r="BP1277" i="1"/>
  <c r="BO1277" i="1"/>
  <c r="BN1277" i="1"/>
  <c r="BL1277" i="1"/>
  <c r="BK1277" i="1"/>
  <c r="BJ1277" i="1"/>
  <c r="BI1277" i="1"/>
  <c r="BH1277" i="1"/>
  <c r="AS1277" i="1"/>
  <c r="BM1277" i="1" s="1"/>
  <c r="BP1276" i="1"/>
  <c r="BO1276" i="1"/>
  <c r="BN1276" i="1"/>
  <c r="BM1276" i="1"/>
  <c r="BL1276" i="1"/>
  <c r="BK1276" i="1"/>
  <c r="BJ1276" i="1"/>
  <c r="BI1276" i="1"/>
  <c r="BH1276" i="1"/>
  <c r="BP1275" i="1"/>
  <c r="BO1275" i="1"/>
  <c r="BN1275" i="1"/>
  <c r="BM1275" i="1"/>
  <c r="BL1275" i="1"/>
  <c r="BK1275" i="1"/>
  <c r="BJ1275" i="1"/>
  <c r="BI1275" i="1"/>
  <c r="BH1275" i="1"/>
  <c r="BP1274" i="1"/>
  <c r="BO1274" i="1"/>
  <c r="BN1274" i="1"/>
  <c r="BM1274" i="1"/>
  <c r="BL1274" i="1"/>
  <c r="BK1274" i="1"/>
  <c r="BJ1274" i="1"/>
  <c r="BI1274" i="1"/>
  <c r="BH1274" i="1"/>
  <c r="BP1273" i="1"/>
  <c r="BO1273" i="1"/>
  <c r="BN1273" i="1"/>
  <c r="BL1273" i="1"/>
  <c r="BK1273" i="1"/>
  <c r="BJ1273" i="1"/>
  <c r="BI1273" i="1"/>
  <c r="BH1273" i="1"/>
  <c r="AL1273" i="1"/>
  <c r="BM1273" i="1" s="1"/>
  <c r="BP1272" i="1"/>
  <c r="BO1272" i="1"/>
  <c r="BN1272" i="1"/>
  <c r="BM1272" i="1"/>
  <c r="BL1272" i="1"/>
  <c r="BJ1272" i="1"/>
  <c r="BI1272" i="1"/>
  <c r="BH1272" i="1"/>
  <c r="V1272" i="1"/>
  <c r="BK1272" i="1" s="1"/>
  <c r="BP1271" i="1"/>
  <c r="BO1271" i="1"/>
  <c r="BN1271" i="1"/>
  <c r="BM1271" i="1"/>
  <c r="BL1271" i="1"/>
  <c r="BK1271" i="1"/>
  <c r="BJ1271" i="1"/>
  <c r="BI1271" i="1"/>
  <c r="BH1271" i="1"/>
  <c r="BP1270" i="1"/>
  <c r="BO1270" i="1"/>
  <c r="BN1270" i="1"/>
  <c r="BM1270" i="1"/>
  <c r="BL1270" i="1"/>
  <c r="BK1270" i="1"/>
  <c r="BJ1270" i="1"/>
  <c r="BI1270" i="1"/>
  <c r="BH1270" i="1"/>
  <c r="AR1270" i="1"/>
  <c r="AN1270" i="1"/>
  <c r="BP1269" i="1"/>
  <c r="BO1269" i="1"/>
  <c r="BN1269" i="1"/>
  <c r="BM1269" i="1"/>
  <c r="BL1269" i="1"/>
  <c r="BK1269" i="1"/>
  <c r="BJ1269" i="1"/>
  <c r="BI1269" i="1"/>
  <c r="BH1269" i="1"/>
  <c r="X1269" i="1"/>
  <c r="BP1268" i="1"/>
  <c r="BO1268" i="1"/>
  <c r="BN1268" i="1"/>
  <c r="BM1268" i="1"/>
  <c r="BL1268" i="1"/>
  <c r="BK1268" i="1"/>
  <c r="BJ1268" i="1"/>
  <c r="BI1268" i="1"/>
  <c r="BH1268" i="1"/>
  <c r="X1268" i="1"/>
  <c r="BP1267" i="1"/>
  <c r="BO1267" i="1"/>
  <c r="BN1267" i="1"/>
  <c r="BM1267" i="1"/>
  <c r="BK1267" i="1"/>
  <c r="BJ1267" i="1"/>
  <c r="BI1267" i="1"/>
  <c r="BH1267" i="1"/>
  <c r="AA1267" i="1"/>
  <c r="BL1267" i="1" s="1"/>
  <c r="BP1266" i="1"/>
  <c r="BO1266" i="1"/>
  <c r="BN1266" i="1"/>
  <c r="BM1266" i="1"/>
  <c r="BL1266" i="1"/>
  <c r="BK1266" i="1"/>
  <c r="BJ1266" i="1"/>
  <c r="BI1266" i="1"/>
  <c r="BH1266" i="1"/>
  <c r="BP1265" i="1"/>
  <c r="BO1265" i="1"/>
  <c r="BN1265" i="1"/>
  <c r="BM1265" i="1"/>
  <c r="BL1265" i="1"/>
  <c r="BK1265" i="1"/>
  <c r="BJ1265" i="1"/>
  <c r="BI1265" i="1"/>
  <c r="BH1265" i="1"/>
  <c r="BP1264" i="1"/>
  <c r="BO1264" i="1"/>
  <c r="BN1264" i="1"/>
  <c r="BM1264" i="1"/>
  <c r="BL1264" i="1"/>
  <c r="BK1264" i="1"/>
  <c r="BJ1264" i="1"/>
  <c r="BI1264" i="1"/>
  <c r="BH1264" i="1"/>
  <c r="AQ1264" i="1"/>
  <c r="BP1263" i="1"/>
  <c r="BO1263" i="1"/>
  <c r="BN1263" i="1"/>
  <c r="BM1263" i="1"/>
  <c r="BL1263" i="1"/>
  <c r="BK1263" i="1"/>
  <c r="BJ1263" i="1"/>
  <c r="BI1263" i="1"/>
  <c r="BH1263" i="1"/>
  <c r="AB1263" i="1"/>
  <c r="BP1262" i="1"/>
  <c r="BO1262" i="1"/>
  <c r="BN1262" i="1"/>
  <c r="BM1262" i="1"/>
  <c r="BL1262" i="1"/>
  <c r="BK1262" i="1"/>
  <c r="BJ1262" i="1"/>
  <c r="BI1262" i="1"/>
  <c r="BH1262" i="1"/>
  <c r="BP1261" i="1"/>
  <c r="BO1261" i="1"/>
  <c r="BN1261" i="1"/>
  <c r="BM1261" i="1"/>
  <c r="BL1261" i="1"/>
  <c r="BK1261" i="1"/>
  <c r="BJ1261" i="1"/>
  <c r="BI1261" i="1"/>
  <c r="BH1261" i="1"/>
  <c r="BP1260" i="1"/>
  <c r="BO1260" i="1"/>
  <c r="BN1260" i="1"/>
  <c r="BM1260" i="1"/>
  <c r="BL1260" i="1"/>
  <c r="BK1260" i="1"/>
  <c r="BJ1260" i="1"/>
  <c r="BI1260" i="1"/>
  <c r="BH1260" i="1"/>
  <c r="BP1259" i="1"/>
  <c r="BO1259" i="1"/>
  <c r="BN1259" i="1"/>
  <c r="BM1259" i="1"/>
  <c r="BL1259" i="1"/>
  <c r="BK1259" i="1"/>
  <c r="BJ1259" i="1"/>
  <c r="BI1259" i="1"/>
  <c r="BH1259" i="1"/>
  <c r="BP1258" i="1"/>
  <c r="BO1258" i="1"/>
  <c r="BN1258" i="1"/>
  <c r="BL1258" i="1"/>
  <c r="BK1258" i="1"/>
  <c r="BJ1258" i="1"/>
  <c r="BI1258" i="1"/>
  <c r="BH1258" i="1"/>
  <c r="AR1258" i="1"/>
  <c r="AN1258" i="1"/>
  <c r="BM1258" i="1" s="1"/>
  <c r="BP1257" i="1"/>
  <c r="BO1257" i="1"/>
  <c r="BN1257" i="1"/>
  <c r="BM1257" i="1"/>
  <c r="BL1257" i="1"/>
  <c r="BJ1257" i="1"/>
  <c r="BI1257" i="1"/>
  <c r="BH1257" i="1"/>
  <c r="X1257" i="1"/>
  <c r="BK1257" i="1" s="1"/>
  <c r="BP1256" i="1"/>
  <c r="BO1256" i="1"/>
  <c r="BN1256" i="1"/>
  <c r="BL1256" i="1"/>
  <c r="BK1256" i="1"/>
  <c r="BJ1256" i="1"/>
  <c r="BI1256" i="1"/>
  <c r="BH1256" i="1"/>
  <c r="AS1256" i="1"/>
  <c r="AN1256" i="1"/>
  <c r="BM1256" i="1" s="1"/>
  <c r="BP1255" i="1"/>
  <c r="BO1255" i="1"/>
  <c r="BN1255" i="1"/>
  <c r="BL1255" i="1"/>
  <c r="BK1255" i="1"/>
  <c r="BJ1255" i="1"/>
  <c r="BI1255" i="1"/>
  <c r="BH1255" i="1"/>
  <c r="AN1255" i="1"/>
  <c r="BM1255" i="1" s="1"/>
  <c r="BP1254" i="1"/>
  <c r="BO1254" i="1"/>
  <c r="BN1254" i="1"/>
  <c r="BM1254" i="1"/>
  <c r="BL1254" i="1"/>
  <c r="BJ1254" i="1"/>
  <c r="BI1254" i="1"/>
  <c r="BH1254" i="1"/>
  <c r="X1254" i="1"/>
  <c r="BK1254" i="1" s="1"/>
  <c r="BP1253" i="1"/>
  <c r="BO1253" i="1"/>
  <c r="BN1253" i="1"/>
  <c r="BM1253" i="1"/>
  <c r="BL1253" i="1"/>
  <c r="BK1253" i="1"/>
  <c r="BJ1253" i="1"/>
  <c r="BI1253" i="1"/>
  <c r="BH1253" i="1"/>
  <c r="X1253" i="1"/>
  <c r="BP1252" i="1"/>
  <c r="BO1252" i="1"/>
  <c r="BN1252" i="1"/>
  <c r="BM1252" i="1"/>
  <c r="BL1252" i="1"/>
  <c r="BK1252" i="1"/>
  <c r="BJ1252" i="1"/>
  <c r="BI1252" i="1"/>
  <c r="BH1252" i="1"/>
  <c r="X1252" i="1"/>
  <c r="BP1251" i="1"/>
  <c r="BN1251" i="1"/>
  <c r="BM1251" i="1"/>
  <c r="BL1251" i="1"/>
  <c r="BI1251" i="1"/>
  <c r="BH1251" i="1"/>
  <c r="BG1251" i="1"/>
  <c r="AV1251" i="1"/>
  <c r="BO1251" i="1" s="1"/>
  <c r="AU1251" i="1"/>
  <c r="AT1251" i="1"/>
  <c r="U1251" i="1"/>
  <c r="BK1251" i="1" s="1"/>
  <c r="S1251" i="1"/>
  <c r="BJ1251" i="1" s="1"/>
  <c r="Q1251" i="1"/>
  <c r="I1251" i="1"/>
  <c r="D1251" i="1"/>
  <c r="BO1250" i="1"/>
  <c r="BN1250" i="1"/>
  <c r="BM1250" i="1"/>
  <c r="BL1250" i="1"/>
  <c r="BI1250" i="1"/>
  <c r="BH1250" i="1"/>
  <c r="BG1250" i="1"/>
  <c r="BF1250" i="1"/>
  <c r="BP1250" i="1" s="1"/>
  <c r="AW1250" i="1"/>
  <c r="AT1250" i="1"/>
  <c r="U1250" i="1"/>
  <c r="BK1250" i="1" s="1"/>
  <c r="S1250" i="1"/>
  <c r="BJ1250" i="1" s="1"/>
  <c r="G1250" i="1"/>
  <c r="C1250" i="1"/>
  <c r="BP1249" i="1"/>
  <c r="BO1249" i="1"/>
  <c r="BN1249" i="1"/>
  <c r="BM1249" i="1"/>
  <c r="BL1249" i="1"/>
  <c r="BK1249" i="1"/>
  <c r="BJ1249" i="1"/>
  <c r="BI1249" i="1"/>
  <c r="BH1249" i="1"/>
  <c r="BP1248" i="1"/>
  <c r="BO1248" i="1"/>
  <c r="BN1248" i="1"/>
  <c r="BM1248" i="1"/>
  <c r="BL1248" i="1"/>
  <c r="BK1248" i="1"/>
  <c r="BJ1248" i="1"/>
  <c r="BI1248" i="1"/>
  <c r="BH1248" i="1"/>
  <c r="BP1247" i="1"/>
  <c r="BO1247" i="1"/>
  <c r="BN1247" i="1"/>
  <c r="BM1247" i="1"/>
  <c r="BL1247" i="1"/>
  <c r="BK1247" i="1"/>
  <c r="BJ1247" i="1"/>
  <c r="BI1247" i="1"/>
  <c r="BH1247" i="1"/>
  <c r="BP1246" i="1"/>
  <c r="BO1246" i="1"/>
  <c r="BN1246" i="1"/>
  <c r="BM1246" i="1"/>
  <c r="BL1246" i="1"/>
  <c r="BK1246" i="1"/>
  <c r="BJ1246" i="1"/>
  <c r="BI1246" i="1"/>
  <c r="BH1246" i="1"/>
  <c r="BP1245" i="1"/>
  <c r="BO1245" i="1"/>
  <c r="BN1245" i="1"/>
  <c r="BM1245" i="1"/>
  <c r="BL1245" i="1"/>
  <c r="BK1245" i="1"/>
  <c r="BJ1245" i="1"/>
  <c r="BI1245" i="1"/>
  <c r="BH1245" i="1"/>
  <c r="BP1244" i="1"/>
  <c r="BO1244" i="1"/>
  <c r="BN1244" i="1"/>
  <c r="BM1244" i="1"/>
  <c r="BL1244" i="1"/>
  <c r="BK1244" i="1"/>
  <c r="BJ1244" i="1"/>
  <c r="BI1244" i="1"/>
  <c r="BH1244" i="1"/>
  <c r="BP1243" i="1"/>
  <c r="BO1243" i="1"/>
  <c r="BN1243" i="1"/>
  <c r="BM1243" i="1"/>
  <c r="BL1243" i="1"/>
  <c r="BK1243" i="1"/>
  <c r="BJ1243" i="1"/>
  <c r="BI1243" i="1"/>
  <c r="BH1243" i="1"/>
  <c r="BP1242" i="1"/>
  <c r="BO1242" i="1"/>
  <c r="BN1242" i="1"/>
  <c r="BM1242" i="1"/>
  <c r="BL1242" i="1"/>
  <c r="BK1242" i="1"/>
  <c r="BJ1242" i="1"/>
  <c r="BI1242" i="1"/>
  <c r="BH1242" i="1"/>
  <c r="BN1241" i="1"/>
  <c r="BM1241" i="1"/>
  <c r="BL1241" i="1"/>
  <c r="BK1241" i="1"/>
  <c r="BI1241" i="1"/>
  <c r="BG1241" i="1"/>
  <c r="BF1241" i="1"/>
  <c r="BP1241" i="1" s="1"/>
  <c r="AW1241" i="1"/>
  <c r="BO1241" i="1" s="1"/>
  <c r="AT1241" i="1"/>
  <c r="U1241" i="1"/>
  <c r="S1241" i="1"/>
  <c r="BJ1241" i="1" s="1"/>
  <c r="Q1241" i="1"/>
  <c r="G1241" i="1"/>
  <c r="C1241" i="1"/>
  <c r="BH1241" i="1" s="1"/>
  <c r="BP1240" i="1"/>
  <c r="BO1240" i="1"/>
  <c r="BN1240" i="1"/>
  <c r="BM1240" i="1"/>
  <c r="BL1240" i="1"/>
  <c r="BK1240" i="1"/>
  <c r="BJ1240" i="1"/>
  <c r="BI1240" i="1"/>
  <c r="BH1240" i="1"/>
  <c r="BP1239" i="1"/>
  <c r="BO1239" i="1"/>
  <c r="BN1239" i="1"/>
  <c r="BM1239" i="1"/>
  <c r="BL1239" i="1"/>
  <c r="BK1239" i="1"/>
  <c r="BJ1239" i="1"/>
  <c r="BI1239" i="1"/>
  <c r="BH1239" i="1"/>
  <c r="BP1238" i="1"/>
  <c r="BO1238" i="1"/>
  <c r="BN1238" i="1"/>
  <c r="BM1238" i="1"/>
  <c r="BL1238" i="1"/>
  <c r="BK1238" i="1"/>
  <c r="BJ1238" i="1"/>
  <c r="BI1238" i="1"/>
  <c r="BH1238" i="1"/>
  <c r="BP1237" i="1"/>
  <c r="BO1237" i="1"/>
  <c r="BN1237" i="1"/>
  <c r="BM1237" i="1"/>
  <c r="BL1237" i="1"/>
  <c r="BK1237" i="1"/>
  <c r="BJ1237" i="1"/>
  <c r="BI1237" i="1"/>
  <c r="BH1237" i="1"/>
  <c r="BP1236" i="1"/>
  <c r="BO1236" i="1"/>
  <c r="BN1236" i="1"/>
  <c r="BM1236" i="1"/>
  <c r="BL1236" i="1"/>
  <c r="BK1236" i="1"/>
  <c r="BJ1236" i="1"/>
  <c r="BI1236" i="1"/>
  <c r="BH1236" i="1"/>
  <c r="BP1235" i="1"/>
  <c r="BO1235" i="1"/>
  <c r="BN1235" i="1"/>
  <c r="BM1235" i="1"/>
  <c r="BL1235" i="1"/>
  <c r="BK1235" i="1"/>
  <c r="BJ1235" i="1"/>
  <c r="BI1235" i="1"/>
  <c r="BH1235" i="1"/>
  <c r="BP1234" i="1"/>
  <c r="BO1234" i="1"/>
  <c r="BN1234" i="1"/>
  <c r="BM1234" i="1"/>
  <c r="BL1234" i="1"/>
  <c r="BK1234" i="1"/>
  <c r="BJ1234" i="1"/>
  <c r="BI1234" i="1"/>
  <c r="BH1234" i="1"/>
  <c r="BP1233" i="1"/>
  <c r="BO1233" i="1"/>
  <c r="BN1233" i="1"/>
  <c r="BM1233" i="1"/>
  <c r="BL1233" i="1"/>
  <c r="BK1233" i="1"/>
  <c r="BJ1233" i="1"/>
  <c r="BI1233" i="1"/>
  <c r="BH1233" i="1"/>
  <c r="BP1232" i="1"/>
  <c r="BO1232" i="1"/>
  <c r="BN1232" i="1"/>
  <c r="BM1232" i="1"/>
  <c r="BL1232" i="1"/>
  <c r="BK1232" i="1"/>
  <c r="BJ1232" i="1"/>
  <c r="BI1232" i="1"/>
  <c r="BH1232" i="1"/>
  <c r="BP1231" i="1"/>
  <c r="BO1231" i="1"/>
  <c r="BN1231" i="1"/>
  <c r="BM1231" i="1"/>
  <c r="BL1231" i="1"/>
  <c r="BK1231" i="1"/>
  <c r="BJ1231" i="1"/>
  <c r="BI1231" i="1"/>
  <c r="BH1231" i="1"/>
  <c r="BP1230" i="1"/>
  <c r="BO1230" i="1"/>
  <c r="BN1230" i="1"/>
  <c r="BM1230" i="1"/>
  <c r="BL1230" i="1"/>
  <c r="BK1230" i="1"/>
  <c r="BJ1230" i="1"/>
  <c r="BI1230" i="1"/>
  <c r="BH1230" i="1"/>
  <c r="BP1229" i="1"/>
  <c r="BO1229" i="1"/>
  <c r="BN1229" i="1"/>
  <c r="BM1229" i="1"/>
  <c r="BL1229" i="1"/>
  <c r="BK1229" i="1"/>
  <c r="BJ1229" i="1"/>
  <c r="BI1229" i="1"/>
  <c r="BH1229" i="1"/>
  <c r="BP1228" i="1"/>
  <c r="BO1228" i="1"/>
  <c r="BN1228" i="1"/>
  <c r="BM1228" i="1"/>
  <c r="BL1228" i="1"/>
  <c r="BK1228" i="1"/>
  <c r="BJ1228" i="1"/>
  <c r="BI1228" i="1"/>
  <c r="BH1228" i="1"/>
  <c r="BP1227" i="1"/>
  <c r="BO1227" i="1"/>
  <c r="BN1227" i="1"/>
  <c r="BM1227" i="1"/>
  <c r="BL1227" i="1"/>
  <c r="BK1227" i="1"/>
  <c r="BJ1227" i="1"/>
  <c r="BI1227" i="1"/>
  <c r="BH1227" i="1"/>
  <c r="BP1226" i="1"/>
  <c r="BO1226" i="1"/>
  <c r="BN1226" i="1"/>
  <c r="BM1226" i="1"/>
  <c r="BL1226" i="1"/>
  <c r="BK1226" i="1"/>
  <c r="BJ1226" i="1"/>
  <c r="BI1226" i="1"/>
  <c r="BH1226" i="1"/>
  <c r="BP1225" i="1"/>
  <c r="BO1225" i="1"/>
  <c r="BN1225" i="1"/>
  <c r="BM1225" i="1"/>
  <c r="BL1225" i="1"/>
  <c r="BK1225" i="1"/>
  <c r="BJ1225" i="1"/>
  <c r="BI1225" i="1"/>
  <c r="BH1225" i="1"/>
  <c r="BP1224" i="1"/>
  <c r="BO1224" i="1"/>
  <c r="BN1224" i="1"/>
  <c r="BM1224" i="1"/>
  <c r="BL1224" i="1"/>
  <c r="BK1224" i="1"/>
  <c r="BJ1224" i="1"/>
  <c r="BI1224" i="1"/>
  <c r="BH1224" i="1"/>
  <c r="BP1223" i="1"/>
  <c r="BO1223" i="1"/>
  <c r="BN1223" i="1"/>
  <c r="BM1223" i="1"/>
  <c r="BL1223" i="1"/>
  <c r="BK1223" i="1"/>
  <c r="BJ1223" i="1"/>
  <c r="BI1223" i="1"/>
  <c r="BH1223" i="1"/>
  <c r="BP1222" i="1"/>
  <c r="BO1222" i="1"/>
  <c r="BN1222" i="1"/>
  <c r="BM1222" i="1"/>
  <c r="BL1222" i="1"/>
  <c r="BK1222" i="1"/>
  <c r="BJ1222" i="1"/>
  <c r="BI1222" i="1"/>
  <c r="BH1222" i="1"/>
  <c r="BP1221" i="1"/>
  <c r="BO1221" i="1"/>
  <c r="BN1221" i="1"/>
  <c r="BM1221" i="1"/>
  <c r="BL1221" i="1"/>
  <c r="BK1221" i="1"/>
  <c r="BJ1221" i="1"/>
  <c r="BI1221" i="1"/>
  <c r="BH1221" i="1"/>
  <c r="BP1220" i="1"/>
  <c r="BO1220" i="1"/>
  <c r="BN1220" i="1"/>
  <c r="BM1220" i="1"/>
  <c r="BL1220" i="1"/>
  <c r="BK1220" i="1"/>
  <c r="BJ1220" i="1"/>
  <c r="BI1220" i="1"/>
  <c r="BH1220" i="1"/>
  <c r="BP1219" i="1"/>
  <c r="BO1219" i="1"/>
  <c r="BN1219" i="1"/>
  <c r="BM1219" i="1"/>
  <c r="BL1219" i="1"/>
  <c r="BK1219" i="1"/>
  <c r="BJ1219" i="1"/>
  <c r="BI1219" i="1"/>
  <c r="BH1219" i="1"/>
  <c r="BN1218" i="1"/>
  <c r="BM1218" i="1"/>
  <c r="BL1218" i="1"/>
  <c r="BK1218" i="1"/>
  <c r="BJ1218" i="1"/>
  <c r="BI1218" i="1"/>
  <c r="BH1218" i="1"/>
  <c r="BG1218" i="1"/>
  <c r="BF1218" i="1"/>
  <c r="BP1218" i="1" s="1"/>
  <c r="AW1218" i="1"/>
  <c r="BO1218" i="1" s="1"/>
  <c r="AT1218" i="1"/>
  <c r="AF1218" i="1"/>
  <c r="Z1218" i="1"/>
  <c r="U1218" i="1"/>
  <c r="S1218" i="1"/>
  <c r="O1218" i="1"/>
  <c r="C1218" i="1"/>
  <c r="BP1217" i="1"/>
  <c r="BO1217" i="1"/>
  <c r="BN1217" i="1"/>
  <c r="BM1217" i="1"/>
  <c r="BL1217" i="1"/>
  <c r="BK1217" i="1"/>
  <c r="BJ1217" i="1"/>
  <c r="BI1217" i="1"/>
  <c r="BH1217" i="1"/>
  <c r="BP1216" i="1"/>
  <c r="BO1216" i="1"/>
  <c r="BN1216" i="1"/>
  <c r="BM1216" i="1"/>
  <c r="BL1216" i="1"/>
  <c r="BK1216" i="1"/>
  <c r="BJ1216" i="1"/>
  <c r="BI1216" i="1"/>
  <c r="BH1216" i="1"/>
  <c r="BP1215" i="1"/>
  <c r="BO1215" i="1"/>
  <c r="BN1215" i="1"/>
  <c r="BM1215" i="1"/>
  <c r="BL1215" i="1"/>
  <c r="BK1215" i="1"/>
  <c r="BJ1215" i="1"/>
  <c r="BI1215" i="1"/>
  <c r="BH1215" i="1"/>
  <c r="BP1214" i="1"/>
  <c r="BO1214" i="1"/>
  <c r="BN1214" i="1"/>
  <c r="BM1214" i="1"/>
  <c r="BL1214" i="1"/>
  <c r="BK1214" i="1"/>
  <c r="BJ1214" i="1"/>
  <c r="BI1214" i="1"/>
  <c r="BH1214" i="1"/>
  <c r="BP1213" i="1"/>
  <c r="BO1213" i="1"/>
  <c r="BN1213" i="1"/>
  <c r="BM1213" i="1"/>
  <c r="BL1213" i="1"/>
  <c r="BK1213" i="1"/>
  <c r="BJ1213" i="1"/>
  <c r="BI1213" i="1"/>
  <c r="BH1213" i="1"/>
  <c r="BP1212" i="1"/>
  <c r="BO1212" i="1"/>
  <c r="BN1212" i="1"/>
  <c r="BM1212" i="1"/>
  <c r="BL1212" i="1"/>
  <c r="BK1212" i="1"/>
  <c r="BJ1212" i="1"/>
  <c r="BI1212" i="1"/>
  <c r="BH1212" i="1"/>
  <c r="BP1211" i="1"/>
  <c r="BO1211" i="1"/>
  <c r="BN1211" i="1"/>
  <c r="BM1211" i="1"/>
  <c r="BL1211" i="1"/>
  <c r="BK1211" i="1"/>
  <c r="BJ1211" i="1"/>
  <c r="BI1211" i="1"/>
  <c r="BH1211" i="1"/>
  <c r="BP1210" i="1"/>
  <c r="BO1210" i="1"/>
  <c r="BN1210" i="1"/>
  <c r="BM1210" i="1"/>
  <c r="BL1210" i="1"/>
  <c r="BK1210" i="1"/>
  <c r="BJ1210" i="1"/>
  <c r="BI1210" i="1"/>
  <c r="BH1210" i="1"/>
  <c r="BP1209" i="1"/>
  <c r="BO1209" i="1"/>
  <c r="BN1209" i="1"/>
  <c r="BM1209" i="1"/>
  <c r="BL1209" i="1"/>
  <c r="BK1209" i="1"/>
  <c r="BJ1209" i="1"/>
  <c r="BI1209" i="1"/>
  <c r="BH1209" i="1"/>
  <c r="BP1208" i="1"/>
  <c r="BO1208" i="1"/>
  <c r="BN1208" i="1"/>
  <c r="BM1208" i="1"/>
  <c r="BL1208" i="1"/>
  <c r="BK1208" i="1"/>
  <c r="BJ1208" i="1"/>
  <c r="BI1208" i="1"/>
  <c r="BH1208" i="1"/>
  <c r="BP1207" i="1"/>
  <c r="BO1207" i="1"/>
  <c r="BN1207" i="1"/>
  <c r="BM1207" i="1"/>
  <c r="BL1207" i="1"/>
  <c r="BK1207" i="1"/>
  <c r="BJ1207" i="1"/>
  <c r="BI1207" i="1"/>
  <c r="BH1207" i="1"/>
  <c r="BP1206" i="1"/>
  <c r="BO1206" i="1"/>
  <c r="BN1206" i="1"/>
  <c r="BM1206" i="1"/>
  <c r="BL1206" i="1"/>
  <c r="BK1206" i="1"/>
  <c r="BJ1206" i="1"/>
  <c r="BI1206" i="1"/>
  <c r="BH1206" i="1"/>
  <c r="BP1205" i="1"/>
  <c r="BO1205" i="1"/>
  <c r="BN1205" i="1"/>
  <c r="BM1205" i="1"/>
  <c r="BL1205" i="1"/>
  <c r="BK1205" i="1"/>
  <c r="BJ1205" i="1"/>
  <c r="BI1205" i="1"/>
  <c r="BH1205" i="1"/>
  <c r="BN1204" i="1"/>
  <c r="BM1204" i="1"/>
  <c r="BL1204" i="1"/>
  <c r="BK1204" i="1"/>
  <c r="BG1204" i="1"/>
  <c r="BF1204" i="1"/>
  <c r="BP1204" i="1" s="1"/>
  <c r="AW1204" i="1"/>
  <c r="BO1204" i="1" s="1"/>
  <c r="AT1204" i="1"/>
  <c r="U1204" i="1"/>
  <c r="S1204" i="1"/>
  <c r="BJ1204" i="1" s="1"/>
  <c r="Q1204" i="1"/>
  <c r="BI1204" i="1" s="1"/>
  <c r="G1204" i="1"/>
  <c r="C1204" i="1"/>
  <c r="BH1204" i="1" s="1"/>
  <c r="BP1203" i="1"/>
  <c r="BO1203" i="1"/>
  <c r="BN1203" i="1"/>
  <c r="BM1203" i="1"/>
  <c r="BL1203" i="1"/>
  <c r="BK1203" i="1"/>
  <c r="BJ1203" i="1"/>
  <c r="BI1203" i="1"/>
  <c r="BH1203" i="1"/>
  <c r="BP1202" i="1"/>
  <c r="BO1202" i="1"/>
  <c r="BN1202" i="1"/>
  <c r="BM1202" i="1"/>
  <c r="BL1202" i="1"/>
  <c r="BK1202" i="1"/>
  <c r="BJ1202" i="1"/>
  <c r="BI1202" i="1"/>
  <c r="BH1202" i="1"/>
  <c r="BP1201" i="1"/>
  <c r="BO1201" i="1"/>
  <c r="BN1201" i="1"/>
  <c r="BM1201" i="1"/>
  <c r="BL1201" i="1"/>
  <c r="BK1201" i="1"/>
  <c r="BJ1201" i="1"/>
  <c r="BI1201" i="1"/>
  <c r="BH1201" i="1"/>
  <c r="BP1200" i="1"/>
  <c r="BO1200" i="1"/>
  <c r="BN1200" i="1"/>
  <c r="BM1200" i="1"/>
  <c r="BL1200" i="1"/>
  <c r="BK1200" i="1"/>
  <c r="BJ1200" i="1"/>
  <c r="BI1200" i="1"/>
  <c r="BH1200" i="1"/>
  <c r="BP1199" i="1"/>
  <c r="BO1199" i="1"/>
  <c r="BN1199" i="1"/>
  <c r="BM1199" i="1"/>
  <c r="BL1199" i="1"/>
  <c r="BK1199" i="1"/>
  <c r="BJ1199" i="1"/>
  <c r="BI1199" i="1"/>
  <c r="BH1199" i="1"/>
  <c r="BP1198" i="1"/>
  <c r="BO1198" i="1"/>
  <c r="BN1198" i="1"/>
  <c r="BM1198" i="1"/>
  <c r="BL1198" i="1"/>
  <c r="BK1198" i="1"/>
  <c r="BJ1198" i="1"/>
  <c r="BI1198" i="1"/>
  <c r="BH1198" i="1"/>
  <c r="BP1197" i="1"/>
  <c r="BO1197" i="1"/>
  <c r="BN1197" i="1"/>
  <c r="BM1197" i="1"/>
  <c r="BL1197" i="1"/>
  <c r="BK1197" i="1"/>
  <c r="BJ1197" i="1"/>
  <c r="BI1197" i="1"/>
  <c r="BH1197" i="1"/>
  <c r="BP1196" i="1"/>
  <c r="BO1196" i="1"/>
  <c r="BN1196" i="1"/>
  <c r="BM1196" i="1"/>
  <c r="BL1196" i="1"/>
  <c r="BK1196" i="1"/>
  <c r="BJ1196" i="1"/>
  <c r="BI1196" i="1"/>
  <c r="BH1196" i="1"/>
  <c r="BP1195" i="1"/>
  <c r="BO1195" i="1"/>
  <c r="BN1195" i="1"/>
  <c r="BM1195" i="1"/>
  <c r="BL1195" i="1"/>
  <c r="BK1195" i="1"/>
  <c r="BJ1195" i="1"/>
  <c r="BI1195" i="1"/>
  <c r="BH1195" i="1"/>
  <c r="BP1194" i="1"/>
  <c r="BO1194" i="1"/>
  <c r="BN1194" i="1"/>
  <c r="BM1194" i="1"/>
  <c r="BL1194" i="1"/>
  <c r="BK1194" i="1"/>
  <c r="BJ1194" i="1"/>
  <c r="BI1194" i="1"/>
  <c r="BH1194" i="1"/>
  <c r="BP1193" i="1"/>
  <c r="BO1193" i="1"/>
  <c r="BN1193" i="1"/>
  <c r="BM1193" i="1"/>
  <c r="BL1193" i="1"/>
  <c r="BK1193" i="1"/>
  <c r="BJ1193" i="1"/>
  <c r="BI1193" i="1"/>
  <c r="BH1193" i="1"/>
  <c r="BP1192" i="1"/>
  <c r="BO1192" i="1"/>
  <c r="BN1192" i="1"/>
  <c r="BM1192" i="1"/>
  <c r="BL1192" i="1"/>
  <c r="BK1192" i="1"/>
  <c r="BJ1192" i="1"/>
  <c r="BI1192" i="1"/>
  <c r="BH1192" i="1"/>
  <c r="BP1191" i="1"/>
  <c r="BO1191" i="1"/>
  <c r="BN1191" i="1"/>
  <c r="BM1191" i="1"/>
  <c r="BL1191" i="1"/>
  <c r="BK1191" i="1"/>
  <c r="BJ1191" i="1"/>
  <c r="BI1191" i="1"/>
  <c r="BH1191" i="1"/>
  <c r="BP1190" i="1"/>
  <c r="BO1190" i="1"/>
  <c r="BN1190" i="1"/>
  <c r="BM1190" i="1"/>
  <c r="BL1190" i="1"/>
  <c r="BK1190" i="1"/>
  <c r="BJ1190" i="1"/>
  <c r="BI1190" i="1"/>
  <c r="BH1190" i="1"/>
  <c r="BP1189" i="1"/>
  <c r="BO1189" i="1"/>
  <c r="BN1189" i="1"/>
  <c r="BM1189" i="1"/>
  <c r="BL1189" i="1"/>
  <c r="BK1189" i="1"/>
  <c r="BJ1189" i="1"/>
  <c r="BI1189" i="1"/>
  <c r="BH1189" i="1"/>
  <c r="BP1188" i="1"/>
  <c r="BO1188" i="1"/>
  <c r="BN1188" i="1"/>
  <c r="BM1188" i="1"/>
  <c r="BL1188" i="1"/>
  <c r="BK1188" i="1"/>
  <c r="BJ1188" i="1"/>
  <c r="BI1188" i="1"/>
  <c r="BH1188" i="1"/>
  <c r="BP1187" i="1"/>
  <c r="BO1187" i="1"/>
  <c r="BN1187" i="1"/>
  <c r="BM1187" i="1"/>
  <c r="BL1187" i="1"/>
  <c r="BK1187" i="1"/>
  <c r="BJ1187" i="1"/>
  <c r="BI1187" i="1"/>
  <c r="BH1187" i="1"/>
  <c r="BP1186" i="1"/>
  <c r="BO1186" i="1"/>
  <c r="BN1186" i="1"/>
  <c r="BM1186" i="1"/>
  <c r="BL1186" i="1"/>
  <c r="BK1186" i="1"/>
  <c r="BJ1186" i="1"/>
  <c r="BI1186" i="1"/>
  <c r="BH1186" i="1"/>
  <c r="BP1185" i="1"/>
  <c r="BO1185" i="1"/>
  <c r="BN1185" i="1"/>
  <c r="BM1185" i="1"/>
  <c r="BL1185" i="1"/>
  <c r="BK1185" i="1"/>
  <c r="BJ1185" i="1"/>
  <c r="BI1185" i="1"/>
  <c r="BH1185" i="1"/>
  <c r="BP1184" i="1"/>
  <c r="BO1184" i="1"/>
  <c r="BN1184" i="1"/>
  <c r="BM1184" i="1"/>
  <c r="BL1184" i="1"/>
  <c r="BK1184" i="1"/>
  <c r="BJ1184" i="1"/>
  <c r="BI1184" i="1"/>
  <c r="BH1184" i="1"/>
  <c r="BP1183" i="1"/>
  <c r="BO1183" i="1"/>
  <c r="BN1183" i="1"/>
  <c r="BM1183" i="1"/>
  <c r="BL1183" i="1"/>
  <c r="BK1183" i="1"/>
  <c r="BJ1183" i="1"/>
  <c r="BI1183" i="1"/>
  <c r="BH1183" i="1"/>
  <c r="BP1182" i="1"/>
  <c r="BO1182" i="1"/>
  <c r="BN1182" i="1"/>
  <c r="BM1182" i="1"/>
  <c r="BL1182" i="1"/>
  <c r="BK1182" i="1"/>
  <c r="BJ1182" i="1"/>
  <c r="BI1182" i="1"/>
  <c r="BH1182" i="1"/>
  <c r="BP1181" i="1"/>
  <c r="BO1181" i="1"/>
  <c r="BN1181" i="1"/>
  <c r="BM1181" i="1"/>
  <c r="BL1181" i="1"/>
  <c r="BK1181" i="1"/>
  <c r="BJ1181" i="1"/>
  <c r="BI1181" i="1"/>
  <c r="BH1181" i="1"/>
  <c r="BP1180" i="1"/>
  <c r="BO1180" i="1"/>
  <c r="BN1180" i="1"/>
  <c r="BM1180" i="1"/>
  <c r="BL1180" i="1"/>
  <c r="BK1180" i="1"/>
  <c r="BJ1180" i="1"/>
  <c r="BI1180" i="1"/>
  <c r="BH1180" i="1"/>
  <c r="BP1179" i="1"/>
  <c r="BO1179" i="1"/>
  <c r="BN1179" i="1"/>
  <c r="BM1179" i="1"/>
  <c r="BL1179" i="1"/>
  <c r="BK1179" i="1"/>
  <c r="BJ1179" i="1"/>
  <c r="BI1179" i="1"/>
  <c r="BH1179" i="1"/>
  <c r="BP1178" i="1"/>
  <c r="BO1178" i="1"/>
  <c r="BN1178" i="1"/>
  <c r="BM1178" i="1"/>
  <c r="BL1178" i="1"/>
  <c r="BK1178" i="1"/>
  <c r="BJ1178" i="1"/>
  <c r="BI1178" i="1"/>
  <c r="BH1178" i="1"/>
  <c r="BP1177" i="1"/>
  <c r="BO1177" i="1"/>
  <c r="BN1177" i="1"/>
  <c r="BM1177" i="1"/>
  <c r="BL1177" i="1"/>
  <c r="BK1177" i="1"/>
  <c r="BJ1177" i="1"/>
  <c r="BI1177" i="1"/>
  <c r="BH1177" i="1"/>
  <c r="BP1176" i="1"/>
  <c r="BO1176" i="1"/>
  <c r="BN1176" i="1"/>
  <c r="BM1176" i="1"/>
  <c r="BL1176" i="1"/>
  <c r="BK1176" i="1"/>
  <c r="BJ1176" i="1"/>
  <c r="BI1176" i="1"/>
  <c r="BH1176" i="1"/>
  <c r="BP1175" i="1"/>
  <c r="BO1175" i="1"/>
  <c r="BN1175" i="1"/>
  <c r="BM1175" i="1"/>
  <c r="BL1175" i="1"/>
  <c r="BK1175" i="1"/>
  <c r="BJ1175" i="1"/>
  <c r="BI1175" i="1"/>
  <c r="BH1175" i="1"/>
  <c r="BP1174" i="1"/>
  <c r="BO1174" i="1"/>
  <c r="BN1174" i="1"/>
  <c r="BM1174" i="1"/>
  <c r="BL1174" i="1"/>
  <c r="BK1174" i="1"/>
  <c r="BJ1174" i="1"/>
  <c r="BI1174" i="1"/>
  <c r="BH1174" i="1"/>
  <c r="BP1173" i="1"/>
  <c r="BO1173" i="1"/>
  <c r="BN1173" i="1"/>
  <c r="BM1173" i="1"/>
  <c r="BL1173" i="1"/>
  <c r="BK1173" i="1"/>
  <c r="BJ1173" i="1"/>
  <c r="BI1173" i="1"/>
  <c r="BH1173" i="1"/>
  <c r="BP1172" i="1"/>
  <c r="BO1172" i="1"/>
  <c r="BN1172" i="1"/>
  <c r="BM1172" i="1"/>
  <c r="BL1172" i="1"/>
  <c r="BK1172" i="1"/>
  <c r="BJ1172" i="1"/>
  <c r="BI1172" i="1"/>
  <c r="BH1172" i="1"/>
  <c r="BP1171" i="1"/>
  <c r="BO1171" i="1"/>
  <c r="BN1171" i="1"/>
  <c r="BM1171" i="1"/>
  <c r="BL1171" i="1"/>
  <c r="BK1171" i="1"/>
  <c r="BJ1171" i="1"/>
  <c r="BI1171" i="1"/>
  <c r="BH1171" i="1"/>
  <c r="BP1170" i="1"/>
  <c r="BO1170" i="1"/>
  <c r="BN1170" i="1"/>
  <c r="BM1170" i="1"/>
  <c r="BL1170" i="1"/>
  <c r="BK1170" i="1"/>
  <c r="BJ1170" i="1"/>
  <c r="BI1170" i="1"/>
  <c r="BH1170" i="1"/>
  <c r="BP1169" i="1"/>
  <c r="BO1169" i="1"/>
  <c r="BN1169" i="1"/>
  <c r="BM1169" i="1"/>
  <c r="BL1169" i="1"/>
  <c r="BK1169" i="1"/>
  <c r="BJ1169" i="1"/>
  <c r="BI1169" i="1"/>
  <c r="BH1169" i="1"/>
  <c r="BP1168" i="1"/>
  <c r="BO1168" i="1"/>
  <c r="BN1168" i="1"/>
  <c r="BM1168" i="1"/>
  <c r="BL1168" i="1"/>
  <c r="BK1168" i="1"/>
  <c r="BJ1168" i="1"/>
  <c r="BI1168" i="1"/>
  <c r="BH1168" i="1"/>
  <c r="BP1167" i="1"/>
  <c r="BO1167" i="1"/>
  <c r="BN1167" i="1"/>
  <c r="BM1167" i="1"/>
  <c r="BL1167" i="1"/>
  <c r="BK1167" i="1"/>
  <c r="BJ1167" i="1"/>
  <c r="BI1167" i="1"/>
  <c r="BH1167" i="1"/>
  <c r="BP1166" i="1"/>
  <c r="BO1166" i="1"/>
  <c r="BN1166" i="1"/>
  <c r="BM1166" i="1"/>
  <c r="BL1166" i="1"/>
  <c r="BK1166" i="1"/>
  <c r="BJ1166" i="1"/>
  <c r="BI1166" i="1"/>
  <c r="BH1166" i="1"/>
  <c r="BP1165" i="1"/>
  <c r="BO1165" i="1"/>
  <c r="BN1165" i="1"/>
  <c r="BM1165" i="1"/>
  <c r="BL1165" i="1"/>
  <c r="BK1165" i="1"/>
  <c r="BJ1165" i="1"/>
  <c r="BI1165" i="1"/>
  <c r="BH1165" i="1"/>
  <c r="BP1164" i="1"/>
  <c r="BO1164" i="1"/>
  <c r="BN1164" i="1"/>
  <c r="BM1164" i="1"/>
  <c r="BL1164" i="1"/>
  <c r="BK1164" i="1"/>
  <c r="BJ1164" i="1"/>
  <c r="BI1164" i="1"/>
  <c r="BH1164" i="1"/>
  <c r="BP1163" i="1"/>
  <c r="BO1163" i="1"/>
  <c r="BN1163" i="1"/>
  <c r="BM1163" i="1"/>
  <c r="BL1163" i="1"/>
  <c r="BK1163" i="1"/>
  <c r="BJ1163" i="1"/>
  <c r="BI1163" i="1"/>
  <c r="BH1163" i="1"/>
  <c r="BP1162" i="1"/>
  <c r="BO1162" i="1"/>
  <c r="BN1162" i="1"/>
  <c r="BM1162" i="1"/>
  <c r="BL1162" i="1"/>
  <c r="BK1162" i="1"/>
  <c r="BJ1162" i="1"/>
  <c r="BI1162" i="1"/>
  <c r="BH1162" i="1"/>
  <c r="BP1161" i="1"/>
  <c r="BO1161" i="1"/>
  <c r="BN1161" i="1"/>
  <c r="BM1161" i="1"/>
  <c r="BL1161" i="1"/>
  <c r="BK1161" i="1"/>
  <c r="BJ1161" i="1"/>
  <c r="BI1161" i="1"/>
  <c r="BH1161" i="1"/>
  <c r="BO1160" i="1"/>
  <c r="BN1160" i="1"/>
  <c r="BM1160" i="1"/>
  <c r="BL1160" i="1"/>
  <c r="BK1160" i="1"/>
  <c r="BG1160" i="1"/>
  <c r="BF1160" i="1"/>
  <c r="BP1160" i="1" s="1"/>
  <c r="AT1160" i="1"/>
  <c r="U1160" i="1"/>
  <c r="S1160" i="1"/>
  <c r="BJ1160" i="1" s="1"/>
  <c r="Q1160" i="1"/>
  <c r="BI1160" i="1" s="1"/>
  <c r="G1160" i="1"/>
  <c r="BH1160" i="1" s="1"/>
  <c r="C1160" i="1"/>
  <c r="BP1159" i="1"/>
  <c r="BO1159" i="1"/>
  <c r="BN1159" i="1"/>
  <c r="BM1159" i="1"/>
  <c r="BL1159" i="1"/>
  <c r="BK1159" i="1"/>
  <c r="BJ1159" i="1"/>
  <c r="BI1159" i="1"/>
  <c r="BH1159" i="1"/>
  <c r="BP1158" i="1"/>
  <c r="BO1158" i="1"/>
  <c r="BN1158" i="1"/>
  <c r="BM1158" i="1"/>
  <c r="BL1158" i="1"/>
  <c r="BK1158" i="1"/>
  <c r="BJ1158" i="1"/>
  <c r="BI1158" i="1"/>
  <c r="BH1158" i="1"/>
  <c r="BP1157" i="1"/>
  <c r="BO1157" i="1"/>
  <c r="BN1157" i="1"/>
  <c r="BM1157" i="1"/>
  <c r="BL1157" i="1"/>
  <c r="BK1157" i="1"/>
  <c r="BJ1157" i="1"/>
  <c r="BI1157" i="1"/>
  <c r="BH1157" i="1"/>
  <c r="BP1156" i="1"/>
  <c r="BO1156" i="1"/>
  <c r="BN1156" i="1"/>
  <c r="BM1156" i="1"/>
  <c r="BL1156" i="1"/>
  <c r="BK1156" i="1"/>
  <c r="BJ1156" i="1"/>
  <c r="BI1156" i="1"/>
  <c r="BH1156" i="1"/>
  <c r="BP1155" i="1"/>
  <c r="BO1155" i="1"/>
  <c r="BN1155" i="1"/>
  <c r="BM1155" i="1"/>
  <c r="BL1155" i="1"/>
  <c r="BK1155" i="1"/>
  <c r="BJ1155" i="1"/>
  <c r="BI1155" i="1"/>
  <c r="BH1155" i="1"/>
  <c r="BP1154" i="1"/>
  <c r="BO1154" i="1"/>
  <c r="BN1154" i="1"/>
  <c r="BM1154" i="1"/>
  <c r="BL1154" i="1"/>
  <c r="BK1154" i="1"/>
  <c r="BJ1154" i="1"/>
  <c r="BI1154" i="1"/>
  <c r="BH1154" i="1"/>
  <c r="BP1153" i="1"/>
  <c r="BO1153" i="1"/>
  <c r="BN1153" i="1"/>
  <c r="BM1153" i="1"/>
  <c r="BL1153" i="1"/>
  <c r="BK1153" i="1"/>
  <c r="BJ1153" i="1"/>
  <c r="BI1153" i="1"/>
  <c r="BH1153" i="1"/>
  <c r="BP1152" i="1"/>
  <c r="BO1152" i="1"/>
  <c r="BN1152" i="1"/>
  <c r="BM1152" i="1"/>
  <c r="BL1152" i="1"/>
  <c r="BK1152" i="1"/>
  <c r="BJ1152" i="1"/>
  <c r="BI1152" i="1"/>
  <c r="BH1152" i="1"/>
  <c r="BP1151" i="1"/>
  <c r="BO1151" i="1"/>
  <c r="BN1151" i="1"/>
  <c r="BM1151" i="1"/>
  <c r="BL1151" i="1"/>
  <c r="BK1151" i="1"/>
  <c r="BJ1151" i="1"/>
  <c r="BI1151" i="1"/>
  <c r="BH1151" i="1"/>
  <c r="BP1150" i="1"/>
  <c r="BO1150" i="1"/>
  <c r="BN1150" i="1"/>
  <c r="BM1150" i="1"/>
  <c r="BL1150" i="1"/>
  <c r="BK1150" i="1"/>
  <c r="BJ1150" i="1"/>
  <c r="BI1150" i="1"/>
  <c r="BH1150" i="1"/>
  <c r="BP1149" i="1"/>
  <c r="BO1149" i="1"/>
  <c r="BN1149" i="1"/>
  <c r="BM1149" i="1"/>
  <c r="BL1149" i="1"/>
  <c r="BK1149" i="1"/>
  <c r="BJ1149" i="1"/>
  <c r="BI1149" i="1"/>
  <c r="BH1149" i="1"/>
  <c r="BP1148" i="1"/>
  <c r="BO1148" i="1"/>
  <c r="BN1148" i="1"/>
  <c r="BM1148" i="1"/>
  <c r="BL1148" i="1"/>
  <c r="BK1148" i="1"/>
  <c r="BJ1148" i="1"/>
  <c r="BI1148" i="1"/>
  <c r="BH1148" i="1"/>
  <c r="BP1147" i="1"/>
  <c r="BO1147" i="1"/>
  <c r="BN1147" i="1"/>
  <c r="BM1147" i="1"/>
  <c r="BL1147" i="1"/>
  <c r="BK1147" i="1"/>
  <c r="BJ1147" i="1"/>
  <c r="BI1147" i="1"/>
  <c r="BH1147" i="1"/>
  <c r="BP1146" i="1"/>
  <c r="BO1146" i="1"/>
  <c r="BN1146" i="1"/>
  <c r="BM1146" i="1"/>
  <c r="BL1146" i="1"/>
  <c r="BK1146" i="1"/>
  <c r="BJ1146" i="1"/>
  <c r="BI1146" i="1"/>
  <c r="BH1146" i="1"/>
  <c r="BP1145" i="1"/>
  <c r="BO1145" i="1"/>
  <c r="BN1145" i="1"/>
  <c r="BM1145" i="1"/>
  <c r="BL1145" i="1"/>
  <c r="BK1145" i="1"/>
  <c r="BJ1145" i="1"/>
  <c r="BI1145" i="1"/>
  <c r="BH1145" i="1"/>
  <c r="BP1144" i="1"/>
  <c r="BO1144" i="1"/>
  <c r="BN1144" i="1"/>
  <c r="BM1144" i="1"/>
  <c r="BL1144" i="1"/>
  <c r="BK1144" i="1"/>
  <c r="BJ1144" i="1"/>
  <c r="BI1144" i="1"/>
  <c r="BH1144" i="1"/>
  <c r="BP1143" i="1"/>
  <c r="BO1143" i="1"/>
  <c r="BN1143" i="1"/>
  <c r="BM1143" i="1"/>
  <c r="BL1143" i="1"/>
  <c r="BK1143" i="1"/>
  <c r="BJ1143" i="1"/>
  <c r="BI1143" i="1"/>
  <c r="BH1143" i="1"/>
  <c r="BP1142" i="1"/>
  <c r="BO1142" i="1"/>
  <c r="BN1142" i="1"/>
  <c r="BM1142" i="1"/>
  <c r="BL1142" i="1"/>
  <c r="BK1142" i="1"/>
  <c r="BJ1142" i="1"/>
  <c r="BI1142" i="1"/>
  <c r="BH1142" i="1"/>
  <c r="BP1141" i="1"/>
  <c r="BO1141" i="1"/>
  <c r="BN1141" i="1"/>
  <c r="BM1141" i="1"/>
  <c r="BL1141" i="1"/>
  <c r="BK1141" i="1"/>
  <c r="BJ1141" i="1"/>
  <c r="BI1141" i="1"/>
  <c r="BH1141" i="1"/>
  <c r="BP1140" i="1"/>
  <c r="BO1140" i="1"/>
  <c r="BN1140" i="1"/>
  <c r="BM1140" i="1"/>
  <c r="BL1140" i="1"/>
  <c r="BK1140" i="1"/>
  <c r="BJ1140" i="1"/>
  <c r="BI1140" i="1"/>
  <c r="BH1140" i="1"/>
  <c r="BP1139" i="1"/>
  <c r="BO1139" i="1"/>
  <c r="BN1139" i="1"/>
  <c r="BM1139" i="1"/>
  <c r="BL1139" i="1"/>
  <c r="BK1139" i="1"/>
  <c r="BJ1139" i="1"/>
  <c r="BI1139" i="1"/>
  <c r="BH1139" i="1"/>
  <c r="BP1138" i="1"/>
  <c r="BO1138" i="1"/>
  <c r="BN1138" i="1"/>
  <c r="BM1138" i="1"/>
  <c r="BL1138" i="1"/>
  <c r="BK1138" i="1"/>
  <c r="BJ1138" i="1"/>
  <c r="BI1138" i="1"/>
  <c r="BH1138" i="1"/>
  <c r="BP1137" i="1"/>
  <c r="BO1137" i="1"/>
  <c r="BN1137" i="1"/>
  <c r="BM1137" i="1"/>
  <c r="BL1137" i="1"/>
  <c r="BK1137" i="1"/>
  <c r="BJ1137" i="1"/>
  <c r="BI1137" i="1"/>
  <c r="BH1137" i="1"/>
  <c r="BP1136" i="1"/>
  <c r="BO1136" i="1"/>
  <c r="BN1136" i="1"/>
  <c r="BM1136" i="1"/>
  <c r="BL1136" i="1"/>
  <c r="BK1136" i="1"/>
  <c r="BJ1136" i="1"/>
  <c r="BI1136" i="1"/>
  <c r="BH1136" i="1"/>
  <c r="BP1135" i="1"/>
  <c r="BO1135" i="1"/>
  <c r="BN1135" i="1"/>
  <c r="BM1135" i="1"/>
  <c r="BL1135" i="1"/>
  <c r="BK1135" i="1"/>
  <c r="BJ1135" i="1"/>
  <c r="BI1135" i="1"/>
  <c r="BH1135" i="1"/>
  <c r="BP1134" i="1"/>
  <c r="BO1134" i="1"/>
  <c r="BN1134" i="1"/>
  <c r="BM1134" i="1"/>
  <c r="BL1134" i="1"/>
  <c r="BK1134" i="1"/>
  <c r="BJ1134" i="1"/>
  <c r="BI1134" i="1"/>
  <c r="BH1134" i="1"/>
  <c r="BP1133" i="1"/>
  <c r="BO1133" i="1"/>
  <c r="BN1133" i="1"/>
  <c r="BM1133" i="1"/>
  <c r="BL1133" i="1"/>
  <c r="BK1133" i="1"/>
  <c r="BJ1133" i="1"/>
  <c r="BI1133" i="1"/>
  <c r="BH1133" i="1"/>
  <c r="BP1132" i="1"/>
  <c r="BO1132" i="1"/>
  <c r="BN1132" i="1"/>
  <c r="BM1132" i="1"/>
  <c r="BL1132" i="1"/>
  <c r="BK1132" i="1"/>
  <c r="BJ1132" i="1"/>
  <c r="BI1132" i="1"/>
  <c r="BH1132" i="1"/>
  <c r="BP1131" i="1"/>
  <c r="BO1131" i="1"/>
  <c r="BN1131" i="1"/>
  <c r="BM1131" i="1"/>
  <c r="BL1131" i="1"/>
  <c r="BK1131" i="1"/>
  <c r="BJ1131" i="1"/>
  <c r="BI1131" i="1"/>
  <c r="BH1131" i="1"/>
  <c r="BP1130" i="1"/>
  <c r="BO1130" i="1"/>
  <c r="BN1130" i="1"/>
  <c r="BM1130" i="1"/>
  <c r="BL1130" i="1"/>
  <c r="BK1130" i="1"/>
  <c r="BJ1130" i="1"/>
  <c r="BI1130" i="1"/>
  <c r="BH1130" i="1"/>
  <c r="BP1129" i="1"/>
  <c r="BO1129" i="1"/>
  <c r="BN1129" i="1"/>
  <c r="BM1129" i="1"/>
  <c r="BL1129" i="1"/>
  <c r="BK1129" i="1"/>
  <c r="BJ1129" i="1"/>
  <c r="BI1129" i="1"/>
  <c r="BH1129" i="1"/>
  <c r="BP1128" i="1"/>
  <c r="BO1128" i="1"/>
  <c r="BN1128" i="1"/>
  <c r="BM1128" i="1"/>
  <c r="BL1128" i="1"/>
  <c r="BK1128" i="1"/>
  <c r="BJ1128" i="1"/>
  <c r="BI1128" i="1"/>
  <c r="BH1128" i="1"/>
  <c r="BP1127" i="1"/>
  <c r="BO1127" i="1"/>
  <c r="BN1127" i="1"/>
  <c r="BM1127" i="1"/>
  <c r="BL1127" i="1"/>
  <c r="BK1127" i="1"/>
  <c r="BJ1127" i="1"/>
  <c r="BI1127" i="1"/>
  <c r="BH1127" i="1"/>
  <c r="BP1126" i="1"/>
  <c r="BO1126" i="1"/>
  <c r="BN1126" i="1"/>
  <c r="BM1126" i="1"/>
  <c r="BL1126" i="1"/>
  <c r="BK1126" i="1"/>
  <c r="BJ1126" i="1"/>
  <c r="BI1126" i="1"/>
  <c r="BH1126" i="1"/>
  <c r="BP1125" i="1"/>
  <c r="BO1125" i="1"/>
  <c r="BN1125" i="1"/>
  <c r="BM1125" i="1"/>
  <c r="BL1125" i="1"/>
  <c r="BK1125" i="1"/>
  <c r="BJ1125" i="1"/>
  <c r="BI1125" i="1"/>
  <c r="BH1125" i="1"/>
  <c r="BP1124" i="1"/>
  <c r="BO1124" i="1"/>
  <c r="BN1124" i="1"/>
  <c r="BM1124" i="1"/>
  <c r="BL1124" i="1"/>
  <c r="BK1124" i="1"/>
  <c r="BJ1124" i="1"/>
  <c r="BI1124" i="1"/>
  <c r="BH1124" i="1"/>
  <c r="BP1123" i="1"/>
  <c r="BO1123" i="1"/>
  <c r="BN1123" i="1"/>
  <c r="BM1123" i="1"/>
  <c r="BL1123" i="1"/>
  <c r="BK1123" i="1"/>
  <c r="BJ1123" i="1"/>
  <c r="BI1123" i="1"/>
  <c r="BH1123" i="1"/>
  <c r="BP1122" i="1"/>
  <c r="BO1122" i="1"/>
  <c r="BN1122" i="1"/>
  <c r="BM1122" i="1"/>
  <c r="BL1122" i="1"/>
  <c r="BK1122" i="1"/>
  <c r="BJ1122" i="1"/>
  <c r="BI1122" i="1"/>
  <c r="BH1122" i="1"/>
  <c r="BP1121" i="1"/>
  <c r="BM1121" i="1"/>
  <c r="BL1121" i="1"/>
  <c r="BK1121" i="1"/>
  <c r="BJ1121" i="1"/>
  <c r="BG1121" i="1"/>
  <c r="AX1121" i="1"/>
  <c r="BO1121" i="1" s="1"/>
  <c r="AT1121" i="1"/>
  <c r="BN1121" i="1" s="1"/>
  <c r="AC1121" i="1"/>
  <c r="U1121" i="1"/>
  <c r="S1121" i="1"/>
  <c r="M1121" i="1"/>
  <c r="BI1121" i="1" s="1"/>
  <c r="C1121" i="1"/>
  <c r="BH1121" i="1" s="1"/>
  <c r="BP1120" i="1"/>
  <c r="BO1120" i="1"/>
  <c r="BN1120" i="1"/>
  <c r="BM1120" i="1"/>
  <c r="BL1120" i="1"/>
  <c r="BK1120" i="1"/>
  <c r="BJ1120" i="1"/>
  <c r="BI1120" i="1"/>
  <c r="BH1120" i="1"/>
  <c r="BP1119" i="1"/>
  <c r="BO1119" i="1"/>
  <c r="BN1119" i="1"/>
  <c r="BM1119" i="1"/>
  <c r="BL1119" i="1"/>
  <c r="BK1119" i="1"/>
  <c r="BJ1119" i="1"/>
  <c r="BI1119" i="1"/>
  <c r="BH1119" i="1"/>
  <c r="BP1118" i="1"/>
  <c r="BO1118" i="1"/>
  <c r="BN1118" i="1"/>
  <c r="BM1118" i="1"/>
  <c r="BL1118" i="1"/>
  <c r="BK1118" i="1"/>
  <c r="BJ1118" i="1"/>
  <c r="BI1118" i="1"/>
  <c r="BH1118" i="1"/>
  <c r="BP1117" i="1"/>
  <c r="BO1117" i="1"/>
  <c r="BN1117" i="1"/>
  <c r="BM1117" i="1"/>
  <c r="BL1117" i="1"/>
  <c r="BK1117" i="1"/>
  <c r="BJ1117" i="1"/>
  <c r="BI1117" i="1"/>
  <c r="BH1117" i="1"/>
  <c r="BP1116" i="1"/>
  <c r="BO1116" i="1"/>
  <c r="BN1116" i="1"/>
  <c r="BM1116" i="1"/>
  <c r="BL1116" i="1"/>
  <c r="BK1116" i="1"/>
  <c r="BJ1116" i="1"/>
  <c r="BG1116" i="1"/>
  <c r="AT1116" i="1"/>
  <c r="AM1116" i="1"/>
  <c r="S1116" i="1"/>
  <c r="N1116" i="1"/>
  <c r="BI1116" i="1" s="1"/>
  <c r="I1116" i="1"/>
  <c r="D1116" i="1"/>
  <c r="BH1116" i="1" s="1"/>
  <c r="BP1115" i="1"/>
  <c r="BO1115" i="1"/>
  <c r="BN1115" i="1"/>
  <c r="BM1115" i="1"/>
  <c r="BL1115" i="1"/>
  <c r="BK1115" i="1"/>
  <c r="BJ1115" i="1"/>
  <c r="BI1115" i="1"/>
  <c r="BH1115" i="1"/>
  <c r="BP1114" i="1"/>
  <c r="BO1114" i="1"/>
  <c r="BN1114" i="1"/>
  <c r="BM1114" i="1"/>
  <c r="BL1114" i="1"/>
  <c r="BK1114" i="1"/>
  <c r="BJ1114" i="1"/>
  <c r="BI1114" i="1"/>
  <c r="BH1114" i="1"/>
  <c r="BP1113" i="1"/>
  <c r="BO1113" i="1"/>
  <c r="BN1113" i="1"/>
  <c r="BM1113" i="1"/>
  <c r="BL1113" i="1"/>
  <c r="BK1113" i="1"/>
  <c r="BJ1113" i="1"/>
  <c r="BI1113" i="1"/>
  <c r="BH1113" i="1"/>
  <c r="BP1112" i="1"/>
  <c r="BO1112" i="1"/>
  <c r="BN1112" i="1"/>
  <c r="BM1112" i="1"/>
  <c r="BL1112" i="1"/>
  <c r="BK1112" i="1"/>
  <c r="BJ1112" i="1"/>
  <c r="BI1112" i="1"/>
  <c r="BH1112" i="1"/>
  <c r="BP1111" i="1"/>
  <c r="BO1111" i="1"/>
  <c r="BN1111" i="1"/>
  <c r="BM1111" i="1"/>
  <c r="BL1111" i="1"/>
  <c r="BK1111" i="1"/>
  <c r="BJ1111" i="1"/>
  <c r="BI1111" i="1"/>
  <c r="BH1111" i="1"/>
  <c r="BP1110" i="1"/>
  <c r="BO1110" i="1"/>
  <c r="BN1110" i="1"/>
  <c r="BM1110" i="1"/>
  <c r="BL1110" i="1"/>
  <c r="BK1110" i="1"/>
  <c r="BJ1110" i="1"/>
  <c r="BI1110" i="1"/>
  <c r="BH1110" i="1"/>
  <c r="BP1109" i="1"/>
  <c r="BO1109" i="1"/>
  <c r="BN1109" i="1"/>
  <c r="BM1109" i="1"/>
  <c r="BL1109" i="1"/>
  <c r="BK1109" i="1"/>
  <c r="BJ1109" i="1"/>
  <c r="BI1109" i="1"/>
  <c r="BH1109" i="1"/>
  <c r="BP1108" i="1"/>
  <c r="BO1108" i="1"/>
  <c r="BN1108" i="1"/>
  <c r="BM1108" i="1"/>
  <c r="BL1108" i="1"/>
  <c r="BK1108" i="1"/>
  <c r="BJ1108" i="1"/>
  <c r="BI1108" i="1"/>
  <c r="BH1108" i="1"/>
  <c r="BP1107" i="1"/>
  <c r="BO1107" i="1"/>
  <c r="BN1107" i="1"/>
  <c r="BM1107" i="1"/>
  <c r="BL1107" i="1"/>
  <c r="BK1107" i="1"/>
  <c r="BJ1107" i="1"/>
  <c r="BI1107" i="1"/>
  <c r="BH1107" i="1"/>
  <c r="BP1106" i="1"/>
  <c r="BO1106" i="1"/>
  <c r="BN1106" i="1"/>
  <c r="BM1106" i="1"/>
  <c r="BL1106" i="1"/>
  <c r="BK1106" i="1"/>
  <c r="BJ1106" i="1"/>
  <c r="BI1106" i="1"/>
  <c r="BH1106" i="1"/>
  <c r="BP1105" i="1"/>
  <c r="BO1105" i="1"/>
  <c r="BN1105" i="1"/>
  <c r="BM1105" i="1"/>
  <c r="BL1105" i="1"/>
  <c r="BK1105" i="1"/>
  <c r="BJ1105" i="1"/>
  <c r="BI1105" i="1"/>
  <c r="BH1105" i="1"/>
  <c r="BP1104" i="1"/>
  <c r="BO1104" i="1"/>
  <c r="BN1104" i="1"/>
  <c r="BM1104" i="1"/>
  <c r="BL1104" i="1"/>
  <c r="BK1104" i="1"/>
  <c r="BJ1104" i="1"/>
  <c r="BI1104" i="1"/>
  <c r="BH1104" i="1"/>
  <c r="BP1103" i="1"/>
  <c r="BO1103" i="1"/>
  <c r="BN1103" i="1"/>
  <c r="BM1103" i="1"/>
  <c r="BL1103" i="1"/>
  <c r="BK1103" i="1"/>
  <c r="BJ1103" i="1"/>
  <c r="BI1103" i="1"/>
  <c r="BH1103" i="1"/>
  <c r="BP1102" i="1"/>
  <c r="BO1102" i="1"/>
  <c r="BN1102" i="1"/>
  <c r="BM1102" i="1"/>
  <c r="BL1102" i="1"/>
  <c r="BK1102" i="1"/>
  <c r="BJ1102" i="1"/>
  <c r="BI1102" i="1"/>
  <c r="BH1102" i="1"/>
  <c r="BP1101" i="1"/>
  <c r="BO1101" i="1"/>
  <c r="BN1101" i="1"/>
  <c r="BM1101" i="1"/>
  <c r="BL1101" i="1"/>
  <c r="BK1101" i="1"/>
  <c r="BJ1101" i="1"/>
  <c r="BI1101" i="1"/>
  <c r="BH1101" i="1"/>
  <c r="BP1100" i="1"/>
  <c r="BO1100" i="1"/>
  <c r="BN1100" i="1"/>
  <c r="BM1100" i="1"/>
  <c r="BL1100" i="1"/>
  <c r="BK1100" i="1"/>
  <c r="BJ1100" i="1"/>
  <c r="BI1100" i="1"/>
  <c r="BH1100" i="1"/>
  <c r="BP1099" i="1"/>
  <c r="BO1099" i="1"/>
  <c r="BN1099" i="1"/>
  <c r="BM1099" i="1"/>
  <c r="BL1099" i="1"/>
  <c r="BK1099" i="1"/>
  <c r="BJ1099" i="1"/>
  <c r="BI1099" i="1"/>
  <c r="BH1099" i="1"/>
  <c r="BP1098" i="1"/>
  <c r="BO1098" i="1"/>
  <c r="BN1098" i="1"/>
  <c r="BM1098" i="1"/>
  <c r="BL1098" i="1"/>
  <c r="BK1098" i="1"/>
  <c r="BJ1098" i="1"/>
  <c r="BI1098" i="1"/>
  <c r="BH1098" i="1"/>
  <c r="BP1097" i="1"/>
  <c r="BO1097" i="1"/>
  <c r="BN1097" i="1"/>
  <c r="BM1097" i="1"/>
  <c r="BL1097" i="1"/>
  <c r="BK1097" i="1"/>
  <c r="BJ1097" i="1"/>
  <c r="BI1097" i="1"/>
  <c r="BH1097" i="1"/>
  <c r="BP1096" i="1"/>
  <c r="BO1096" i="1"/>
  <c r="BN1096" i="1"/>
  <c r="BM1096" i="1"/>
  <c r="BL1096" i="1"/>
  <c r="BK1096" i="1"/>
  <c r="BJ1096" i="1"/>
  <c r="BI1096" i="1"/>
  <c r="BH1096" i="1"/>
  <c r="BP1095" i="1"/>
  <c r="BO1095" i="1"/>
  <c r="BN1095" i="1"/>
  <c r="BM1095" i="1"/>
  <c r="BL1095" i="1"/>
  <c r="BK1095" i="1"/>
  <c r="BJ1095" i="1"/>
  <c r="BI1095" i="1"/>
  <c r="BH1095" i="1"/>
  <c r="BP1094" i="1"/>
  <c r="BO1094" i="1"/>
  <c r="BN1094" i="1"/>
  <c r="BM1094" i="1"/>
  <c r="BL1094" i="1"/>
  <c r="BK1094" i="1"/>
  <c r="BJ1094" i="1"/>
  <c r="BI1094" i="1"/>
  <c r="BH1094" i="1"/>
  <c r="BP1093" i="1"/>
  <c r="BO1093" i="1"/>
  <c r="BN1093" i="1"/>
  <c r="BM1093" i="1"/>
  <c r="BL1093" i="1"/>
  <c r="BK1093" i="1"/>
  <c r="BJ1093" i="1"/>
  <c r="BI1093" i="1"/>
  <c r="BH1093" i="1"/>
  <c r="BP1092" i="1"/>
  <c r="BO1092" i="1"/>
  <c r="BN1092" i="1"/>
  <c r="BM1092" i="1"/>
  <c r="BL1092" i="1"/>
  <c r="BK1092" i="1"/>
  <c r="BJ1092" i="1"/>
  <c r="BI1092" i="1"/>
  <c r="BH1092" i="1"/>
  <c r="BP1091" i="1"/>
  <c r="BO1091" i="1"/>
  <c r="BN1091" i="1"/>
  <c r="BM1091" i="1"/>
  <c r="BL1091" i="1"/>
  <c r="BK1091" i="1"/>
  <c r="BJ1091" i="1"/>
  <c r="BI1091" i="1"/>
  <c r="BH1091" i="1"/>
  <c r="BP1090" i="1"/>
  <c r="BO1090" i="1"/>
  <c r="BN1090" i="1"/>
  <c r="BM1090" i="1"/>
  <c r="BL1090" i="1"/>
  <c r="BK1090" i="1"/>
  <c r="BJ1090" i="1"/>
  <c r="BI1090" i="1"/>
  <c r="BH1090" i="1"/>
  <c r="BP1089" i="1"/>
  <c r="BO1089" i="1"/>
  <c r="BN1089" i="1"/>
  <c r="BM1089" i="1"/>
  <c r="BL1089" i="1"/>
  <c r="BK1089" i="1"/>
  <c r="BJ1089" i="1"/>
  <c r="BI1089" i="1"/>
  <c r="BH1089" i="1"/>
  <c r="BP1088" i="1"/>
  <c r="BO1088" i="1"/>
  <c r="BN1088" i="1"/>
  <c r="BM1088" i="1"/>
  <c r="BL1088" i="1"/>
  <c r="BK1088" i="1"/>
  <c r="BJ1088" i="1"/>
  <c r="BI1088" i="1"/>
  <c r="BH1088" i="1"/>
  <c r="BP1087" i="1"/>
  <c r="BO1087" i="1"/>
  <c r="BN1087" i="1"/>
  <c r="BM1087" i="1"/>
  <c r="BL1087" i="1"/>
  <c r="BK1087" i="1"/>
  <c r="BJ1087" i="1"/>
  <c r="BI1087" i="1"/>
  <c r="BH1087" i="1"/>
  <c r="BP1086" i="1"/>
  <c r="BO1086" i="1"/>
  <c r="BN1086" i="1"/>
  <c r="BM1086" i="1"/>
  <c r="BL1086" i="1"/>
  <c r="BK1086" i="1"/>
  <c r="BJ1086" i="1"/>
  <c r="BI1086" i="1"/>
  <c r="BH1086" i="1"/>
  <c r="BP1085" i="1"/>
  <c r="BO1085" i="1"/>
  <c r="BN1085" i="1"/>
  <c r="BM1085" i="1"/>
  <c r="BL1085" i="1"/>
  <c r="BK1085" i="1"/>
  <c r="BJ1085" i="1"/>
  <c r="BI1085" i="1"/>
  <c r="BH1085" i="1"/>
  <c r="BP1084" i="1"/>
  <c r="BO1084" i="1"/>
  <c r="BN1084" i="1"/>
  <c r="BM1084" i="1"/>
  <c r="BL1084" i="1"/>
  <c r="BK1084" i="1"/>
  <c r="BJ1084" i="1"/>
  <c r="BI1084" i="1"/>
  <c r="BH1084" i="1"/>
  <c r="BP1083" i="1"/>
  <c r="BO1083" i="1"/>
  <c r="BN1083" i="1"/>
  <c r="BM1083" i="1"/>
  <c r="BL1083" i="1"/>
  <c r="BK1083" i="1"/>
  <c r="BJ1083" i="1"/>
  <c r="BI1083" i="1"/>
  <c r="BH1083" i="1"/>
  <c r="BP1082" i="1"/>
  <c r="BO1082" i="1"/>
  <c r="BN1082" i="1"/>
  <c r="BM1082" i="1"/>
  <c r="BL1082" i="1"/>
  <c r="BK1082" i="1"/>
  <c r="BJ1082" i="1"/>
  <c r="BI1082" i="1"/>
  <c r="BH1082" i="1"/>
  <c r="BP1081" i="1"/>
  <c r="BO1081" i="1"/>
  <c r="BN1081" i="1"/>
  <c r="BM1081" i="1"/>
  <c r="BL1081" i="1"/>
  <c r="BK1081" i="1"/>
  <c r="BJ1081" i="1"/>
  <c r="BI1081" i="1"/>
  <c r="BH1081" i="1"/>
  <c r="BP1080" i="1"/>
  <c r="BO1080" i="1"/>
  <c r="BN1080" i="1"/>
  <c r="BM1080" i="1"/>
  <c r="BL1080" i="1"/>
  <c r="BK1080" i="1"/>
  <c r="BJ1080" i="1"/>
  <c r="BI1080" i="1"/>
  <c r="BH1080" i="1"/>
  <c r="BP1079" i="1"/>
  <c r="BM1079" i="1"/>
  <c r="BL1079" i="1"/>
  <c r="BH1079" i="1"/>
  <c r="BG1079" i="1"/>
  <c r="BA1079" i="1"/>
  <c r="BO1079" i="1" s="1"/>
  <c r="AT1079" i="1"/>
  <c r="BN1079" i="1" s="1"/>
  <c r="X1079" i="1"/>
  <c r="BK1079" i="1" s="1"/>
  <c r="S1079" i="1"/>
  <c r="BJ1079" i="1" s="1"/>
  <c r="M1079" i="1"/>
  <c r="BI1079" i="1" s="1"/>
  <c r="D1079" i="1"/>
  <c r="C1079" i="1"/>
  <c r="BP1078" i="1"/>
  <c r="BO1078" i="1"/>
  <c r="BN1078" i="1"/>
  <c r="BM1078" i="1"/>
  <c r="BL1078" i="1"/>
  <c r="BK1078" i="1"/>
  <c r="BJ1078" i="1"/>
  <c r="BI1078" i="1"/>
  <c r="BH1078" i="1"/>
  <c r="BP1077" i="1"/>
  <c r="BO1077" i="1"/>
  <c r="BN1077" i="1"/>
  <c r="BM1077" i="1"/>
  <c r="BL1077" i="1"/>
  <c r="BK1077" i="1"/>
  <c r="BJ1077" i="1"/>
  <c r="BI1077" i="1"/>
  <c r="BH1077" i="1"/>
  <c r="BP1076" i="1"/>
  <c r="BO1076" i="1"/>
  <c r="BN1076" i="1"/>
  <c r="BM1076" i="1"/>
  <c r="BL1076" i="1"/>
  <c r="BK1076" i="1"/>
  <c r="BJ1076" i="1"/>
  <c r="BI1076" i="1"/>
  <c r="BH1076" i="1"/>
  <c r="BP1075" i="1"/>
  <c r="BO1075" i="1"/>
  <c r="BN1075" i="1"/>
  <c r="BM1075" i="1"/>
  <c r="BL1075" i="1"/>
  <c r="BK1075" i="1"/>
  <c r="BJ1075" i="1"/>
  <c r="BI1075" i="1"/>
  <c r="BH1075" i="1"/>
  <c r="BP1074" i="1"/>
  <c r="BO1074" i="1"/>
  <c r="BN1074" i="1"/>
  <c r="BM1074" i="1"/>
  <c r="BL1074" i="1"/>
  <c r="BK1074" i="1"/>
  <c r="BJ1074" i="1"/>
  <c r="BI1074" i="1"/>
  <c r="BH1074" i="1"/>
  <c r="BP1073" i="1"/>
  <c r="BO1073" i="1"/>
  <c r="BN1073" i="1"/>
  <c r="BM1073" i="1"/>
  <c r="BL1073" i="1"/>
  <c r="BK1073" i="1"/>
  <c r="BJ1073" i="1"/>
  <c r="BI1073" i="1"/>
  <c r="BH1073" i="1"/>
  <c r="BP1072" i="1"/>
  <c r="BO1072" i="1"/>
  <c r="BN1072" i="1"/>
  <c r="BM1072" i="1"/>
  <c r="BL1072" i="1"/>
  <c r="BK1072" i="1"/>
  <c r="BJ1072" i="1"/>
  <c r="BI1072" i="1"/>
  <c r="BH1072" i="1"/>
  <c r="BP1071" i="1"/>
  <c r="BO1071" i="1"/>
  <c r="BN1071" i="1"/>
  <c r="BM1071" i="1"/>
  <c r="BL1071" i="1"/>
  <c r="BK1071" i="1"/>
  <c r="BJ1071" i="1"/>
  <c r="BI1071" i="1"/>
  <c r="BH1071" i="1"/>
  <c r="BP1070" i="1"/>
  <c r="BO1070" i="1"/>
  <c r="BN1070" i="1"/>
  <c r="BM1070" i="1"/>
  <c r="BL1070" i="1"/>
  <c r="BK1070" i="1"/>
  <c r="BJ1070" i="1"/>
  <c r="BI1070" i="1"/>
  <c r="BH1070" i="1"/>
  <c r="BP1069" i="1"/>
  <c r="BO1069" i="1"/>
  <c r="BN1069" i="1"/>
  <c r="BM1069" i="1"/>
  <c r="BL1069" i="1"/>
  <c r="BK1069" i="1"/>
  <c r="BJ1069" i="1"/>
  <c r="BI1069" i="1"/>
  <c r="BH1069" i="1"/>
  <c r="BP1068" i="1"/>
  <c r="BO1068" i="1"/>
  <c r="BN1068" i="1"/>
  <c r="BM1068" i="1"/>
  <c r="BL1068" i="1"/>
  <c r="BK1068" i="1"/>
  <c r="BJ1068" i="1"/>
  <c r="BI1068" i="1"/>
  <c r="BH1068" i="1"/>
  <c r="BP1067" i="1"/>
  <c r="BO1067" i="1"/>
  <c r="BN1067" i="1"/>
  <c r="BM1067" i="1"/>
  <c r="BL1067" i="1"/>
  <c r="BK1067" i="1"/>
  <c r="BJ1067" i="1"/>
  <c r="BI1067" i="1"/>
  <c r="BH1067" i="1"/>
  <c r="BP1066" i="1"/>
  <c r="BO1066" i="1"/>
  <c r="BN1066" i="1"/>
  <c r="BM1066" i="1"/>
  <c r="BL1066" i="1"/>
  <c r="BJ1066" i="1"/>
  <c r="BI1066" i="1"/>
  <c r="BH1066" i="1"/>
  <c r="BG1066" i="1"/>
  <c r="AT1066" i="1"/>
  <c r="AM1066" i="1"/>
  <c r="T1066" i="1"/>
  <c r="BK1066" i="1" s="1"/>
  <c r="S1066" i="1"/>
  <c r="N1066" i="1"/>
  <c r="I1066" i="1"/>
  <c r="D1066" i="1"/>
  <c r="BP1065" i="1"/>
  <c r="BO1065" i="1"/>
  <c r="BN1065" i="1"/>
  <c r="BM1065" i="1"/>
  <c r="BL1065" i="1"/>
  <c r="BK1065" i="1"/>
  <c r="BJ1065" i="1"/>
  <c r="BI1065" i="1"/>
  <c r="BH1065" i="1"/>
  <c r="BP1064" i="1"/>
  <c r="BO1064" i="1"/>
  <c r="BN1064" i="1"/>
  <c r="BM1064" i="1"/>
  <c r="BL1064" i="1"/>
  <c r="BK1064" i="1"/>
  <c r="BJ1064" i="1"/>
  <c r="BI1064" i="1"/>
  <c r="BH1064" i="1"/>
  <c r="BP1063" i="1"/>
  <c r="BO1063" i="1"/>
  <c r="BN1063" i="1"/>
  <c r="BM1063" i="1"/>
  <c r="BL1063" i="1"/>
  <c r="BK1063" i="1"/>
  <c r="BJ1063" i="1"/>
  <c r="BI1063" i="1"/>
  <c r="BH1063" i="1"/>
  <c r="BP1062" i="1"/>
  <c r="BO1062" i="1"/>
  <c r="BN1062" i="1"/>
  <c r="BM1062" i="1"/>
  <c r="BL1062" i="1"/>
  <c r="BK1062" i="1"/>
  <c r="BJ1062" i="1"/>
  <c r="BI1062" i="1"/>
  <c r="BH1062" i="1"/>
  <c r="BP1061" i="1"/>
  <c r="BO1061" i="1"/>
  <c r="BN1061" i="1"/>
  <c r="BM1061" i="1"/>
  <c r="BL1061" i="1"/>
  <c r="BK1061" i="1"/>
  <c r="BJ1061" i="1"/>
  <c r="BI1061" i="1"/>
  <c r="BH1061" i="1"/>
  <c r="BP1060" i="1"/>
  <c r="BO1060" i="1"/>
  <c r="BN1060" i="1"/>
  <c r="BM1060" i="1"/>
  <c r="BL1060" i="1"/>
  <c r="BK1060" i="1"/>
  <c r="BJ1060" i="1"/>
  <c r="BI1060" i="1"/>
  <c r="BH1060" i="1"/>
  <c r="BP1059" i="1"/>
  <c r="BO1059" i="1"/>
  <c r="BN1059" i="1"/>
  <c r="BM1059" i="1"/>
  <c r="BL1059" i="1"/>
  <c r="BK1059" i="1"/>
  <c r="BJ1059" i="1"/>
  <c r="BI1059" i="1"/>
  <c r="BH1059" i="1"/>
  <c r="BP1058" i="1"/>
  <c r="BO1058" i="1"/>
  <c r="BN1058" i="1"/>
  <c r="BM1058" i="1"/>
  <c r="BL1058" i="1"/>
  <c r="BK1058" i="1"/>
  <c r="BJ1058" i="1"/>
  <c r="BI1058" i="1"/>
  <c r="BH1058" i="1"/>
  <c r="BP1057" i="1"/>
  <c r="BO1057" i="1"/>
  <c r="BN1057" i="1"/>
  <c r="BM1057" i="1"/>
  <c r="BL1057" i="1"/>
  <c r="BK1057" i="1"/>
  <c r="BJ1057" i="1"/>
  <c r="BI1057" i="1"/>
  <c r="BH1057" i="1"/>
  <c r="BP1056" i="1"/>
  <c r="BO1056" i="1"/>
  <c r="BN1056" i="1"/>
  <c r="BM1056" i="1"/>
  <c r="BL1056" i="1"/>
  <c r="BK1056" i="1"/>
  <c r="BJ1056" i="1"/>
  <c r="BI1056" i="1"/>
  <c r="BG1056" i="1"/>
  <c r="AU1056" i="1"/>
  <c r="AT1056" i="1"/>
  <c r="Y1056" i="1"/>
  <c r="N1056" i="1"/>
  <c r="F1056" i="1"/>
  <c r="BH1056" i="1" s="1"/>
  <c r="BP1055" i="1"/>
  <c r="BO1055" i="1"/>
  <c r="BN1055" i="1"/>
  <c r="BM1055" i="1"/>
  <c r="BL1055" i="1"/>
  <c r="BK1055" i="1"/>
  <c r="BJ1055" i="1"/>
  <c r="BI1055" i="1"/>
  <c r="BH1055" i="1"/>
  <c r="BP1054" i="1"/>
  <c r="BO1054" i="1"/>
  <c r="BN1054" i="1"/>
  <c r="BM1054" i="1"/>
  <c r="BL1054" i="1"/>
  <c r="BK1054" i="1"/>
  <c r="BJ1054" i="1"/>
  <c r="BI1054" i="1"/>
  <c r="BH1054" i="1"/>
  <c r="BP1053" i="1"/>
  <c r="BO1053" i="1"/>
  <c r="BN1053" i="1"/>
  <c r="BM1053" i="1"/>
  <c r="BL1053" i="1"/>
  <c r="BK1053" i="1"/>
  <c r="BJ1053" i="1"/>
  <c r="BI1053" i="1"/>
  <c r="BH1053" i="1"/>
  <c r="BP1052" i="1"/>
  <c r="BO1052" i="1"/>
  <c r="BN1052" i="1"/>
  <c r="BM1052" i="1"/>
  <c r="BL1052" i="1"/>
  <c r="BK1052" i="1"/>
  <c r="BJ1052" i="1"/>
  <c r="BI1052" i="1"/>
  <c r="BH1052" i="1"/>
  <c r="BP1051" i="1"/>
  <c r="BO1051" i="1"/>
  <c r="BN1051" i="1"/>
  <c r="BM1051" i="1"/>
  <c r="BL1051" i="1"/>
  <c r="BK1051" i="1"/>
  <c r="BJ1051" i="1"/>
  <c r="BI1051" i="1"/>
  <c r="BH1051" i="1"/>
  <c r="BP1050" i="1"/>
  <c r="BO1050" i="1"/>
  <c r="BN1050" i="1"/>
  <c r="BM1050" i="1"/>
  <c r="BL1050" i="1"/>
  <c r="BK1050" i="1"/>
  <c r="BJ1050" i="1"/>
  <c r="BI1050" i="1"/>
  <c r="BH1050" i="1"/>
  <c r="BP1049" i="1"/>
  <c r="BO1049" i="1"/>
  <c r="BN1049" i="1"/>
  <c r="BM1049" i="1"/>
  <c r="BL1049" i="1"/>
  <c r="BK1049" i="1"/>
  <c r="BJ1049" i="1"/>
  <c r="BI1049" i="1"/>
  <c r="BH1049" i="1"/>
  <c r="BP1048" i="1"/>
  <c r="BO1048" i="1"/>
  <c r="BN1048" i="1"/>
  <c r="BM1048" i="1"/>
  <c r="BL1048" i="1"/>
  <c r="BK1048" i="1"/>
  <c r="BJ1048" i="1"/>
  <c r="BI1048" i="1"/>
  <c r="BH1048" i="1"/>
  <c r="BP1047" i="1"/>
  <c r="BO1047" i="1"/>
  <c r="BN1047" i="1"/>
  <c r="BM1047" i="1"/>
  <c r="BL1047" i="1"/>
  <c r="BK1047" i="1"/>
  <c r="BJ1047" i="1"/>
  <c r="BI1047" i="1"/>
  <c r="BH1047" i="1"/>
  <c r="BP1046" i="1"/>
  <c r="BO1046" i="1"/>
  <c r="BN1046" i="1"/>
  <c r="BM1046" i="1"/>
  <c r="BL1046" i="1"/>
  <c r="BK1046" i="1"/>
  <c r="BJ1046" i="1"/>
  <c r="BI1046" i="1"/>
  <c r="BH1046" i="1"/>
  <c r="BP1045" i="1"/>
  <c r="BO1045" i="1"/>
  <c r="BN1045" i="1"/>
  <c r="BM1045" i="1"/>
  <c r="BL1045" i="1"/>
  <c r="BK1045" i="1"/>
  <c r="BJ1045" i="1"/>
  <c r="BI1045" i="1"/>
  <c r="BH1045" i="1"/>
  <c r="BP1044" i="1"/>
  <c r="BO1044" i="1"/>
  <c r="BN1044" i="1"/>
  <c r="BM1044" i="1"/>
  <c r="BL1044" i="1"/>
  <c r="BK1044" i="1"/>
  <c r="BJ1044" i="1"/>
  <c r="BI1044" i="1"/>
  <c r="BH1044" i="1"/>
  <c r="BP1043" i="1"/>
  <c r="BO1043" i="1"/>
  <c r="BN1043" i="1"/>
  <c r="BM1043" i="1"/>
  <c r="BL1043" i="1"/>
  <c r="BK1043" i="1"/>
  <c r="BJ1043" i="1"/>
  <c r="BI1043" i="1"/>
  <c r="BH1043" i="1"/>
  <c r="BP1042" i="1"/>
  <c r="BO1042" i="1"/>
  <c r="BN1042" i="1"/>
  <c r="BM1042" i="1"/>
  <c r="BL1042" i="1"/>
  <c r="BK1042" i="1"/>
  <c r="BJ1042" i="1"/>
  <c r="BI1042" i="1"/>
  <c r="BH1042" i="1"/>
  <c r="BP1041" i="1"/>
  <c r="BO1041" i="1"/>
  <c r="BN1041" i="1"/>
  <c r="BM1041" i="1"/>
  <c r="BL1041" i="1"/>
  <c r="BK1041" i="1"/>
  <c r="BJ1041" i="1"/>
  <c r="BI1041" i="1"/>
  <c r="BH1041" i="1"/>
  <c r="BP1040" i="1"/>
  <c r="BO1040" i="1"/>
  <c r="BN1040" i="1"/>
  <c r="BM1040" i="1"/>
  <c r="BL1040" i="1"/>
  <c r="BK1040" i="1"/>
  <c r="BJ1040" i="1"/>
  <c r="BI1040" i="1"/>
  <c r="BH1040" i="1"/>
  <c r="BP1039" i="1"/>
  <c r="BO1039" i="1"/>
  <c r="BN1039" i="1"/>
  <c r="BM1039" i="1"/>
  <c r="BL1039" i="1"/>
  <c r="BK1039" i="1"/>
  <c r="BJ1039" i="1"/>
  <c r="BI1039" i="1"/>
  <c r="BH1039" i="1"/>
  <c r="BP1038" i="1"/>
  <c r="BO1038" i="1"/>
  <c r="BN1038" i="1"/>
  <c r="BM1038" i="1"/>
  <c r="BL1038" i="1"/>
  <c r="BK1038" i="1"/>
  <c r="BJ1038" i="1"/>
  <c r="BI1038" i="1"/>
  <c r="BH1038" i="1"/>
  <c r="BP1037" i="1"/>
  <c r="BO1037" i="1"/>
  <c r="BN1037" i="1"/>
  <c r="BM1037" i="1"/>
  <c r="BL1037" i="1"/>
  <c r="BK1037" i="1"/>
  <c r="BJ1037" i="1"/>
  <c r="BI1037" i="1"/>
  <c r="BH1037" i="1"/>
  <c r="BP1036" i="1"/>
  <c r="BO1036" i="1"/>
  <c r="BN1036" i="1"/>
  <c r="BM1036" i="1"/>
  <c r="BL1036" i="1"/>
  <c r="BK1036" i="1"/>
  <c r="BJ1036" i="1"/>
  <c r="BI1036" i="1"/>
  <c r="BH1036" i="1"/>
  <c r="BP1035" i="1"/>
  <c r="BO1035" i="1"/>
  <c r="BN1035" i="1"/>
  <c r="BM1035" i="1"/>
  <c r="BL1035" i="1"/>
  <c r="BK1035" i="1"/>
  <c r="BJ1035" i="1"/>
  <c r="BI1035" i="1"/>
  <c r="BH1035" i="1"/>
  <c r="BP1034" i="1"/>
  <c r="BO1034" i="1"/>
  <c r="BN1034" i="1"/>
  <c r="BM1034" i="1"/>
  <c r="BL1034" i="1"/>
  <c r="BK1034" i="1"/>
  <c r="BJ1034" i="1"/>
  <c r="BI1034" i="1"/>
  <c r="BH1034" i="1"/>
  <c r="BP1033" i="1"/>
  <c r="BO1033" i="1"/>
  <c r="BN1033" i="1"/>
  <c r="BM1033" i="1"/>
  <c r="BL1033" i="1"/>
  <c r="BK1033" i="1"/>
  <c r="BJ1033" i="1"/>
  <c r="BI1033" i="1"/>
  <c r="BH1033" i="1"/>
  <c r="BP1032" i="1"/>
  <c r="BO1032" i="1"/>
  <c r="BN1032" i="1"/>
  <c r="BM1032" i="1"/>
  <c r="BL1032" i="1"/>
  <c r="BK1032" i="1"/>
  <c r="BJ1032" i="1"/>
  <c r="BI1032" i="1"/>
  <c r="BH1032" i="1"/>
  <c r="BP1031" i="1"/>
  <c r="BO1031" i="1"/>
  <c r="BN1031" i="1"/>
  <c r="BM1031" i="1"/>
  <c r="BL1031" i="1"/>
  <c r="BK1031" i="1"/>
  <c r="BJ1031" i="1"/>
  <c r="BI1031" i="1"/>
  <c r="BH1031" i="1"/>
  <c r="BP1030" i="1"/>
  <c r="BO1030" i="1"/>
  <c r="BN1030" i="1"/>
  <c r="BM1030" i="1"/>
  <c r="BL1030" i="1"/>
  <c r="BK1030" i="1"/>
  <c r="BJ1030" i="1"/>
  <c r="BI1030" i="1"/>
  <c r="BH1030" i="1"/>
  <c r="BP1029" i="1"/>
  <c r="BO1029" i="1"/>
  <c r="BN1029" i="1"/>
  <c r="BM1029" i="1"/>
  <c r="BL1029" i="1"/>
  <c r="BK1029" i="1"/>
  <c r="BJ1029" i="1"/>
  <c r="BI1029" i="1"/>
  <c r="BH1029" i="1"/>
  <c r="BP1028" i="1"/>
  <c r="BO1028" i="1"/>
  <c r="BN1028" i="1"/>
  <c r="BM1028" i="1"/>
  <c r="BL1028" i="1"/>
  <c r="BK1028" i="1"/>
  <c r="BJ1028" i="1"/>
  <c r="BI1028" i="1"/>
  <c r="BH1028" i="1"/>
  <c r="BP1027" i="1"/>
  <c r="BO1027" i="1"/>
  <c r="BN1027" i="1"/>
  <c r="BM1027" i="1"/>
  <c r="BL1027" i="1"/>
  <c r="BK1027" i="1"/>
  <c r="BJ1027" i="1"/>
  <c r="BI1027" i="1"/>
  <c r="BH1027" i="1"/>
  <c r="BP1026" i="1"/>
  <c r="BO1026" i="1"/>
  <c r="BN1026" i="1"/>
  <c r="BM1026" i="1"/>
  <c r="BL1026" i="1"/>
  <c r="BK1026" i="1"/>
  <c r="BJ1026" i="1"/>
  <c r="BI1026" i="1"/>
  <c r="BG1026" i="1"/>
  <c r="AT1026" i="1"/>
  <c r="AM1026" i="1"/>
  <c r="S1026" i="1"/>
  <c r="N1026" i="1"/>
  <c r="I1026" i="1"/>
  <c r="F1026" i="1"/>
  <c r="D1026" i="1"/>
  <c r="BH1026" i="1" s="1"/>
  <c r="BP1025" i="1"/>
  <c r="BO1025" i="1"/>
  <c r="BN1025" i="1"/>
  <c r="BM1025" i="1"/>
  <c r="BL1025" i="1"/>
  <c r="BK1025" i="1"/>
  <c r="BJ1025" i="1"/>
  <c r="BI1025" i="1"/>
  <c r="BH1025" i="1"/>
  <c r="BP1024" i="1"/>
  <c r="BO1024" i="1"/>
  <c r="BN1024" i="1"/>
  <c r="BM1024" i="1"/>
  <c r="BL1024" i="1"/>
  <c r="BK1024" i="1"/>
  <c r="BJ1024" i="1"/>
  <c r="BI1024" i="1"/>
  <c r="BH1024" i="1"/>
  <c r="BP1023" i="1"/>
  <c r="BO1023" i="1"/>
  <c r="BN1023" i="1"/>
  <c r="BM1023" i="1"/>
  <c r="BL1023" i="1"/>
  <c r="BK1023" i="1"/>
  <c r="BJ1023" i="1"/>
  <c r="BI1023" i="1"/>
  <c r="BH1023" i="1"/>
  <c r="BP1022" i="1"/>
  <c r="BO1022" i="1"/>
  <c r="BN1022" i="1"/>
  <c r="BM1022" i="1"/>
  <c r="BL1022" i="1"/>
  <c r="BK1022" i="1"/>
  <c r="BJ1022" i="1"/>
  <c r="BI1022" i="1"/>
  <c r="BH1022" i="1"/>
  <c r="BP1021" i="1"/>
  <c r="BO1021" i="1"/>
  <c r="BN1021" i="1"/>
  <c r="BM1021" i="1"/>
  <c r="BL1021" i="1"/>
  <c r="BK1021" i="1"/>
  <c r="BJ1021" i="1"/>
  <c r="BI1021" i="1"/>
  <c r="BH1021" i="1"/>
  <c r="BP1020" i="1"/>
  <c r="BO1020" i="1"/>
  <c r="BN1020" i="1"/>
  <c r="BM1020" i="1"/>
  <c r="BL1020" i="1"/>
  <c r="BK1020" i="1"/>
  <c r="BJ1020" i="1"/>
  <c r="BI1020" i="1"/>
  <c r="BH1020" i="1"/>
  <c r="BP1019" i="1"/>
  <c r="BO1019" i="1"/>
  <c r="BN1019" i="1"/>
  <c r="BM1019" i="1"/>
  <c r="BL1019" i="1"/>
  <c r="BK1019" i="1"/>
  <c r="BJ1019" i="1"/>
  <c r="BI1019" i="1"/>
  <c r="BH1019" i="1"/>
  <c r="BP1018" i="1"/>
  <c r="BO1018" i="1"/>
  <c r="BN1018" i="1"/>
  <c r="BM1018" i="1"/>
  <c r="BL1018" i="1"/>
  <c r="BK1018" i="1"/>
  <c r="BJ1018" i="1"/>
  <c r="BI1018" i="1"/>
  <c r="BH1018" i="1"/>
  <c r="BP1017" i="1"/>
  <c r="BO1017" i="1"/>
  <c r="BN1017" i="1"/>
  <c r="BM1017" i="1"/>
  <c r="BL1017" i="1"/>
  <c r="BK1017" i="1"/>
  <c r="BJ1017" i="1"/>
  <c r="BI1017" i="1"/>
  <c r="BH1017" i="1"/>
  <c r="BP1016" i="1"/>
  <c r="BO1016" i="1"/>
  <c r="BN1016" i="1"/>
  <c r="BM1016" i="1"/>
  <c r="BL1016" i="1"/>
  <c r="BK1016" i="1"/>
  <c r="BJ1016" i="1"/>
  <c r="BI1016" i="1"/>
  <c r="BH1016" i="1"/>
  <c r="BP1015" i="1"/>
  <c r="BO1015" i="1"/>
  <c r="BN1015" i="1"/>
  <c r="BM1015" i="1"/>
  <c r="BL1015" i="1"/>
  <c r="BK1015" i="1"/>
  <c r="BJ1015" i="1"/>
  <c r="BI1015" i="1"/>
  <c r="BH1015" i="1"/>
  <c r="BP1014" i="1"/>
  <c r="BO1014" i="1"/>
  <c r="BN1014" i="1"/>
  <c r="BM1014" i="1"/>
  <c r="BL1014" i="1"/>
  <c r="BK1014" i="1"/>
  <c r="BJ1014" i="1"/>
  <c r="BI1014" i="1"/>
  <c r="BH1014" i="1"/>
  <c r="BP1013" i="1"/>
  <c r="BO1013" i="1"/>
  <c r="BN1013" i="1"/>
  <c r="BM1013" i="1"/>
  <c r="BL1013" i="1"/>
  <c r="BK1013" i="1"/>
  <c r="BJ1013" i="1"/>
  <c r="BI1013" i="1"/>
  <c r="BH1013" i="1"/>
  <c r="BP1012" i="1"/>
  <c r="BO1012" i="1"/>
  <c r="BN1012" i="1"/>
  <c r="BM1012" i="1"/>
  <c r="BL1012" i="1"/>
  <c r="BK1012" i="1"/>
  <c r="BJ1012" i="1"/>
  <c r="BI1012" i="1"/>
  <c r="BH1012" i="1"/>
  <c r="BP1011" i="1"/>
  <c r="BO1011" i="1"/>
  <c r="BN1011" i="1"/>
  <c r="BM1011" i="1"/>
  <c r="BL1011" i="1"/>
  <c r="BK1011" i="1"/>
  <c r="BJ1011" i="1"/>
  <c r="BI1011" i="1"/>
  <c r="BH1011" i="1"/>
  <c r="BP1010" i="1"/>
  <c r="BO1010" i="1"/>
  <c r="BN1010" i="1"/>
  <c r="BM1010" i="1"/>
  <c r="BL1010" i="1"/>
  <c r="BK1010" i="1"/>
  <c r="BJ1010" i="1"/>
  <c r="BI1010" i="1"/>
  <c r="BH1010" i="1"/>
  <c r="BP1009" i="1"/>
  <c r="BO1009" i="1"/>
  <c r="BN1009" i="1"/>
  <c r="BM1009" i="1"/>
  <c r="BL1009" i="1"/>
  <c r="BK1009" i="1"/>
  <c r="BJ1009" i="1"/>
  <c r="BI1009" i="1"/>
  <c r="BH1009" i="1"/>
  <c r="BP1008" i="1"/>
  <c r="BO1008" i="1"/>
  <c r="BN1008" i="1"/>
  <c r="BM1008" i="1"/>
  <c r="BL1008" i="1"/>
  <c r="BK1008" i="1"/>
  <c r="BJ1008" i="1"/>
  <c r="BI1008" i="1"/>
  <c r="BH1008" i="1"/>
  <c r="BP1007" i="1"/>
  <c r="BO1007" i="1"/>
  <c r="BN1007" i="1"/>
  <c r="BM1007" i="1"/>
  <c r="BL1007" i="1"/>
  <c r="BK1007" i="1"/>
  <c r="BJ1007" i="1"/>
  <c r="BI1007" i="1"/>
  <c r="BH1007" i="1"/>
  <c r="BP1006" i="1"/>
  <c r="BO1006" i="1"/>
  <c r="BN1006" i="1"/>
  <c r="BM1006" i="1"/>
  <c r="BL1006" i="1"/>
  <c r="BK1006" i="1"/>
  <c r="BJ1006" i="1"/>
  <c r="BI1006" i="1"/>
  <c r="BH1006" i="1"/>
  <c r="BP1005" i="1"/>
  <c r="BO1005" i="1"/>
  <c r="BN1005" i="1"/>
  <c r="BM1005" i="1"/>
  <c r="BL1005" i="1"/>
  <c r="BK1005" i="1"/>
  <c r="BJ1005" i="1"/>
  <c r="BI1005" i="1"/>
  <c r="BH1005" i="1"/>
  <c r="BP1004" i="1"/>
  <c r="BO1004" i="1"/>
  <c r="BN1004" i="1"/>
  <c r="BM1004" i="1"/>
  <c r="BL1004" i="1"/>
  <c r="BK1004" i="1"/>
  <c r="BJ1004" i="1"/>
  <c r="BI1004" i="1"/>
  <c r="BH1004" i="1"/>
  <c r="BP1003" i="1"/>
  <c r="BO1003" i="1"/>
  <c r="BN1003" i="1"/>
  <c r="BM1003" i="1"/>
  <c r="BL1003" i="1"/>
  <c r="BK1003" i="1"/>
  <c r="BJ1003" i="1"/>
  <c r="BI1003" i="1"/>
  <c r="BH1003" i="1"/>
  <c r="BP1002" i="1"/>
  <c r="BO1002" i="1"/>
  <c r="BN1002" i="1"/>
  <c r="BM1002" i="1"/>
  <c r="BL1002" i="1"/>
  <c r="BK1002" i="1"/>
  <c r="BJ1002" i="1"/>
  <c r="BI1002" i="1"/>
  <c r="BH1002" i="1"/>
  <c r="BP1001" i="1"/>
  <c r="BO1001" i="1"/>
  <c r="BN1001" i="1"/>
  <c r="BM1001" i="1"/>
  <c r="BL1001" i="1"/>
  <c r="BK1001" i="1"/>
  <c r="BJ1001" i="1"/>
  <c r="BI1001" i="1"/>
  <c r="BH1001" i="1"/>
  <c r="BP1000" i="1"/>
  <c r="BO1000" i="1"/>
  <c r="BN1000" i="1"/>
  <c r="BM1000" i="1"/>
  <c r="BL1000" i="1"/>
  <c r="BK1000" i="1"/>
  <c r="BJ1000" i="1"/>
  <c r="BI1000" i="1"/>
  <c r="BH1000" i="1"/>
  <c r="BP999" i="1"/>
  <c r="BO999" i="1"/>
  <c r="BN999" i="1"/>
  <c r="BM999" i="1"/>
  <c r="BL999" i="1"/>
  <c r="BK999" i="1"/>
  <c r="BJ999" i="1"/>
  <c r="BI999" i="1"/>
  <c r="BH999" i="1"/>
  <c r="BP998" i="1"/>
  <c r="BO998" i="1"/>
  <c r="BN998" i="1"/>
  <c r="BM998" i="1"/>
  <c r="BL998" i="1"/>
  <c r="BK998" i="1"/>
  <c r="BJ998" i="1"/>
  <c r="BI998" i="1"/>
  <c r="BH998" i="1"/>
  <c r="BP997" i="1"/>
  <c r="BO997" i="1"/>
  <c r="BN997" i="1"/>
  <c r="BM997" i="1"/>
  <c r="BL997" i="1"/>
  <c r="BK997" i="1"/>
  <c r="BJ997" i="1"/>
  <c r="BI997" i="1"/>
  <c r="BH997" i="1"/>
  <c r="BP996" i="1"/>
  <c r="BO996" i="1"/>
  <c r="BN996" i="1"/>
  <c r="BM996" i="1"/>
  <c r="BL996" i="1"/>
  <c r="BK996" i="1"/>
  <c r="BJ996" i="1"/>
  <c r="BI996" i="1"/>
  <c r="BH996" i="1"/>
  <c r="BP995" i="1"/>
  <c r="BO995" i="1"/>
  <c r="BN995" i="1"/>
  <c r="BM995" i="1"/>
  <c r="BL995" i="1"/>
  <c r="BK995" i="1"/>
  <c r="BJ995" i="1"/>
  <c r="BI995" i="1"/>
  <c r="BH995" i="1"/>
  <c r="BP994" i="1"/>
  <c r="BO994" i="1"/>
  <c r="BN994" i="1"/>
  <c r="BM994" i="1"/>
  <c r="BL994" i="1"/>
  <c r="BK994" i="1"/>
  <c r="BJ994" i="1"/>
  <c r="BI994" i="1"/>
  <c r="BH994" i="1"/>
  <c r="BP993" i="1"/>
  <c r="BO993" i="1"/>
  <c r="BN993" i="1"/>
  <c r="BM993" i="1"/>
  <c r="BL993" i="1"/>
  <c r="BK993" i="1"/>
  <c r="BJ993" i="1"/>
  <c r="BI993" i="1"/>
  <c r="BH993" i="1"/>
  <c r="BP992" i="1"/>
  <c r="BO992" i="1"/>
  <c r="BN992" i="1"/>
  <c r="BM992" i="1"/>
  <c r="BL992" i="1"/>
  <c r="BK992" i="1"/>
  <c r="BJ992" i="1"/>
  <c r="BI992" i="1"/>
  <c r="BH992" i="1"/>
  <c r="BP991" i="1"/>
  <c r="BO991" i="1"/>
  <c r="BN991" i="1"/>
  <c r="BM991" i="1"/>
  <c r="BL991" i="1"/>
  <c r="BK991" i="1"/>
  <c r="BJ991" i="1"/>
  <c r="BI991" i="1"/>
  <c r="BH991" i="1"/>
  <c r="BP990" i="1"/>
  <c r="BO990" i="1"/>
  <c r="BN990" i="1"/>
  <c r="BM990" i="1"/>
  <c r="BL990" i="1"/>
  <c r="BK990" i="1"/>
  <c r="BJ990" i="1"/>
  <c r="BI990" i="1"/>
  <c r="BH990" i="1"/>
  <c r="BP989" i="1"/>
  <c r="BO989" i="1"/>
  <c r="BN989" i="1"/>
  <c r="BM989" i="1"/>
  <c r="BL989" i="1"/>
  <c r="BK989" i="1"/>
  <c r="BJ989" i="1"/>
  <c r="BI989" i="1"/>
  <c r="BH989" i="1"/>
  <c r="BP988" i="1"/>
  <c r="BO988" i="1"/>
  <c r="BN988" i="1"/>
  <c r="BM988" i="1"/>
  <c r="BL988" i="1"/>
  <c r="BK988" i="1"/>
  <c r="BJ988" i="1"/>
  <c r="BI988" i="1"/>
  <c r="BH988" i="1"/>
  <c r="BP987" i="1"/>
  <c r="BO987" i="1"/>
  <c r="BN987" i="1"/>
  <c r="BM987" i="1"/>
  <c r="BL987" i="1"/>
  <c r="BK987" i="1"/>
  <c r="BJ987" i="1"/>
  <c r="BI987" i="1"/>
  <c r="BH987" i="1"/>
  <c r="BP986" i="1"/>
  <c r="BO986" i="1"/>
  <c r="BN986" i="1"/>
  <c r="BM986" i="1"/>
  <c r="BL986" i="1"/>
  <c r="BK986" i="1"/>
  <c r="BJ986" i="1"/>
  <c r="BI986" i="1"/>
  <c r="BH986" i="1"/>
  <c r="BP985" i="1"/>
  <c r="BO985" i="1"/>
  <c r="BN985" i="1"/>
  <c r="BM985" i="1"/>
  <c r="BL985" i="1"/>
  <c r="BK985" i="1"/>
  <c r="BJ985" i="1"/>
  <c r="BI985" i="1"/>
  <c r="BH985" i="1"/>
  <c r="BP984" i="1"/>
  <c r="BO984" i="1"/>
  <c r="BN984" i="1"/>
  <c r="BM984" i="1"/>
  <c r="BL984" i="1"/>
  <c r="BK984" i="1"/>
  <c r="BJ984" i="1"/>
  <c r="BI984" i="1"/>
  <c r="BH984" i="1"/>
  <c r="BP983" i="1"/>
  <c r="BO983" i="1"/>
  <c r="BN983" i="1"/>
  <c r="BM983" i="1"/>
  <c r="BL983" i="1"/>
  <c r="BK983" i="1"/>
  <c r="BJ983" i="1"/>
  <c r="BI983" i="1"/>
  <c r="BH983" i="1"/>
  <c r="BP982" i="1"/>
  <c r="BO982" i="1"/>
  <c r="BN982" i="1"/>
  <c r="BM982" i="1"/>
  <c r="BL982" i="1"/>
  <c r="BK982" i="1"/>
  <c r="BJ982" i="1"/>
  <c r="BI982" i="1"/>
  <c r="BH982" i="1"/>
  <c r="BP981" i="1"/>
  <c r="BO981" i="1"/>
  <c r="BN981" i="1"/>
  <c r="BM981" i="1"/>
  <c r="BL981" i="1"/>
  <c r="BK981" i="1"/>
  <c r="BJ981" i="1"/>
  <c r="BI981" i="1"/>
  <c r="BH981" i="1"/>
  <c r="BP980" i="1"/>
  <c r="BO980" i="1"/>
  <c r="BN980" i="1"/>
  <c r="BM980" i="1"/>
  <c r="BL980" i="1"/>
  <c r="BK980" i="1"/>
  <c r="BJ980" i="1"/>
  <c r="BI980" i="1"/>
  <c r="BH980" i="1"/>
  <c r="BP979" i="1"/>
  <c r="BO979" i="1"/>
  <c r="BN979" i="1"/>
  <c r="BM979" i="1"/>
  <c r="BL979" i="1"/>
  <c r="BK979" i="1"/>
  <c r="BJ979" i="1"/>
  <c r="BI979" i="1"/>
  <c r="BH979" i="1"/>
  <c r="BP978" i="1"/>
  <c r="BO978" i="1"/>
  <c r="BN978" i="1"/>
  <c r="BM978" i="1"/>
  <c r="BL978" i="1"/>
  <c r="BK978" i="1"/>
  <c r="BJ978" i="1"/>
  <c r="BI978" i="1"/>
  <c r="BH978" i="1"/>
  <c r="BP977" i="1"/>
  <c r="BO977" i="1"/>
  <c r="BN977" i="1"/>
  <c r="BM977" i="1"/>
  <c r="BL977" i="1"/>
  <c r="BK977" i="1"/>
  <c r="BJ977" i="1"/>
  <c r="BI977" i="1"/>
  <c r="BH977" i="1"/>
  <c r="BP976" i="1"/>
  <c r="BO976" i="1"/>
  <c r="BN976" i="1"/>
  <c r="BM976" i="1"/>
  <c r="BL976" i="1"/>
  <c r="BK976" i="1"/>
  <c r="BJ976" i="1"/>
  <c r="BI976" i="1"/>
  <c r="BH976" i="1"/>
  <c r="BP975" i="1"/>
  <c r="BO975" i="1"/>
  <c r="BN975" i="1"/>
  <c r="BM975" i="1"/>
  <c r="BL975" i="1"/>
  <c r="BK975" i="1"/>
  <c r="BJ975" i="1"/>
  <c r="BI975" i="1"/>
  <c r="BH975" i="1"/>
  <c r="BP974" i="1"/>
  <c r="BO974" i="1"/>
  <c r="BN974" i="1"/>
  <c r="BM974" i="1"/>
  <c r="BL974" i="1"/>
  <c r="BK974" i="1"/>
  <c r="BJ974" i="1"/>
  <c r="BI974" i="1"/>
  <c r="BH974" i="1"/>
  <c r="BP973" i="1"/>
  <c r="BO973" i="1"/>
  <c r="BN973" i="1"/>
  <c r="BM973" i="1"/>
  <c r="BL973" i="1"/>
  <c r="BK973" i="1"/>
  <c r="BJ973" i="1"/>
  <c r="BI973" i="1"/>
  <c r="BH973" i="1"/>
  <c r="BP972" i="1"/>
  <c r="BO972" i="1"/>
  <c r="BN972" i="1"/>
  <c r="BM972" i="1"/>
  <c r="BL972" i="1"/>
  <c r="BK972" i="1"/>
  <c r="BJ972" i="1"/>
  <c r="BI972" i="1"/>
  <c r="BH972" i="1"/>
  <c r="BP971" i="1"/>
  <c r="BO971" i="1"/>
  <c r="BN971" i="1"/>
  <c r="BM971" i="1"/>
  <c r="BL971" i="1"/>
  <c r="BK971" i="1"/>
  <c r="BJ971" i="1"/>
  <c r="BI971" i="1"/>
  <c r="BH971" i="1"/>
  <c r="BP970" i="1"/>
  <c r="BO970" i="1"/>
  <c r="BN970" i="1"/>
  <c r="BM970" i="1"/>
  <c r="BL970" i="1"/>
  <c r="BK970" i="1"/>
  <c r="BJ970" i="1"/>
  <c r="BI970" i="1"/>
  <c r="BH970" i="1"/>
  <c r="BP969" i="1"/>
  <c r="BO969" i="1"/>
  <c r="BN969" i="1"/>
  <c r="BM969" i="1"/>
  <c r="BL969" i="1"/>
  <c r="BK969" i="1"/>
  <c r="BJ969" i="1"/>
  <c r="BI969" i="1"/>
  <c r="BH969" i="1"/>
  <c r="BP968" i="1"/>
  <c r="BO968" i="1"/>
  <c r="BN968" i="1"/>
  <c r="BM968" i="1"/>
  <c r="BL968" i="1"/>
  <c r="BK968" i="1"/>
  <c r="BJ968" i="1"/>
  <c r="BI968" i="1"/>
  <c r="BH968" i="1"/>
  <c r="BP967" i="1"/>
  <c r="BO967" i="1"/>
  <c r="BN967" i="1"/>
  <c r="BM967" i="1"/>
  <c r="BL967" i="1"/>
  <c r="BK967" i="1"/>
  <c r="BJ967" i="1"/>
  <c r="BI967" i="1"/>
  <c r="BH967" i="1"/>
  <c r="BP966" i="1"/>
  <c r="BO966" i="1"/>
  <c r="BN966" i="1"/>
  <c r="BM966" i="1"/>
  <c r="BL966" i="1"/>
  <c r="BK966" i="1"/>
  <c r="BJ966" i="1"/>
  <c r="BI966" i="1"/>
  <c r="BH966" i="1"/>
  <c r="BP965" i="1"/>
  <c r="BO965" i="1"/>
  <c r="BN965" i="1"/>
  <c r="BM965" i="1"/>
  <c r="BL965" i="1"/>
  <c r="BK965" i="1"/>
  <c r="BJ965" i="1"/>
  <c r="BI965" i="1"/>
  <c r="BH965" i="1"/>
  <c r="BP964" i="1"/>
  <c r="BO964" i="1"/>
  <c r="BN964" i="1"/>
  <c r="BM964" i="1"/>
  <c r="BL964" i="1"/>
  <c r="BK964" i="1"/>
  <c r="BJ964" i="1"/>
  <c r="BI964" i="1"/>
  <c r="BH964" i="1"/>
  <c r="BP963" i="1"/>
  <c r="BO963" i="1"/>
  <c r="BN963" i="1"/>
  <c r="BM963" i="1"/>
  <c r="BL963" i="1"/>
  <c r="BK963" i="1"/>
  <c r="BJ963" i="1"/>
  <c r="BI963" i="1"/>
  <c r="BH963" i="1"/>
  <c r="BP962" i="1"/>
  <c r="BO962" i="1"/>
  <c r="BN962" i="1"/>
  <c r="BM962" i="1"/>
  <c r="BL962" i="1"/>
  <c r="BK962" i="1"/>
  <c r="BJ962" i="1"/>
  <c r="BI962" i="1"/>
  <c r="BH962" i="1"/>
  <c r="BP961" i="1"/>
  <c r="BO961" i="1"/>
  <c r="BN961" i="1"/>
  <c r="BM961" i="1"/>
  <c r="BL961" i="1"/>
  <c r="BK961" i="1"/>
  <c r="BJ961" i="1"/>
  <c r="BI961" i="1"/>
  <c r="BH961" i="1"/>
  <c r="BP960" i="1"/>
  <c r="BO960" i="1"/>
  <c r="BN960" i="1"/>
  <c r="BM960" i="1"/>
  <c r="BL960" i="1"/>
  <c r="BK960" i="1"/>
  <c r="BJ960" i="1"/>
  <c r="BI960" i="1"/>
  <c r="BH960" i="1"/>
  <c r="BP959" i="1"/>
  <c r="BO959" i="1"/>
  <c r="BN959" i="1"/>
  <c r="BM959" i="1"/>
  <c r="BL959" i="1"/>
  <c r="BK959" i="1"/>
  <c r="BJ959" i="1"/>
  <c r="BI959" i="1"/>
  <c r="BH959" i="1"/>
  <c r="BP958" i="1"/>
  <c r="BL958" i="1"/>
  <c r="BK958" i="1"/>
  <c r="BJ958" i="1"/>
  <c r="BI958" i="1"/>
  <c r="BH958" i="1"/>
  <c r="BG958" i="1"/>
  <c r="BF958" i="1"/>
  <c r="AW958" i="1"/>
  <c r="BO958" i="1" s="1"/>
  <c r="AT958" i="1"/>
  <c r="BN958" i="1" s="1"/>
  <c r="AF958" i="1"/>
  <c r="BM958" i="1" s="1"/>
  <c r="Z958" i="1"/>
  <c r="U958" i="1"/>
  <c r="S958" i="1"/>
  <c r="O958" i="1"/>
  <c r="C958" i="1"/>
  <c r="BP957" i="1"/>
  <c r="BO957" i="1"/>
  <c r="BN957" i="1"/>
  <c r="BM957" i="1"/>
  <c r="BL957" i="1"/>
  <c r="BK957" i="1"/>
  <c r="BJ957" i="1"/>
  <c r="BI957" i="1"/>
  <c r="BH957" i="1"/>
  <c r="BP956" i="1"/>
  <c r="BO956" i="1"/>
  <c r="BN956" i="1"/>
  <c r="BM956" i="1"/>
  <c r="BL956" i="1"/>
  <c r="BK956" i="1"/>
  <c r="BJ956" i="1"/>
  <c r="BI956" i="1"/>
  <c r="BH956" i="1"/>
  <c r="BP955" i="1"/>
  <c r="BO955" i="1"/>
  <c r="BN955" i="1"/>
  <c r="BM955" i="1"/>
  <c r="BL955" i="1"/>
  <c r="BK955" i="1"/>
  <c r="BJ955" i="1"/>
  <c r="BI955" i="1"/>
  <c r="BH955" i="1"/>
  <c r="BP954" i="1"/>
  <c r="BO954" i="1"/>
  <c r="BN954" i="1"/>
  <c r="BM954" i="1"/>
  <c r="BL954" i="1"/>
  <c r="BK954" i="1"/>
  <c r="BJ954" i="1"/>
  <c r="BI954" i="1"/>
  <c r="BH954" i="1"/>
  <c r="BP953" i="1"/>
  <c r="BO953" i="1"/>
  <c r="BN953" i="1"/>
  <c r="BM953" i="1"/>
  <c r="BL953" i="1"/>
  <c r="BK953" i="1"/>
  <c r="BJ953" i="1"/>
  <c r="BI953" i="1"/>
  <c r="BH953" i="1"/>
  <c r="BP952" i="1"/>
  <c r="BO952" i="1"/>
  <c r="BN952" i="1"/>
  <c r="BM952" i="1"/>
  <c r="BL952" i="1"/>
  <c r="BK952" i="1"/>
  <c r="BJ952" i="1"/>
  <c r="BI952" i="1"/>
  <c r="BH952" i="1"/>
  <c r="BP951" i="1"/>
  <c r="BO951" i="1"/>
  <c r="BN951" i="1"/>
  <c r="BM951" i="1"/>
  <c r="BL951" i="1"/>
  <c r="BK951" i="1"/>
  <c r="BJ951" i="1"/>
  <c r="BI951" i="1"/>
  <c r="BH951" i="1"/>
  <c r="BP950" i="1"/>
  <c r="BO950" i="1"/>
  <c r="BN950" i="1"/>
  <c r="BM950" i="1"/>
  <c r="BL950" i="1"/>
  <c r="BK950" i="1"/>
  <c r="BJ950" i="1"/>
  <c r="BI950" i="1"/>
  <c r="BH950" i="1"/>
  <c r="BP949" i="1"/>
  <c r="BO949" i="1"/>
  <c r="BN949" i="1"/>
  <c r="BM949" i="1"/>
  <c r="BL949" i="1"/>
  <c r="BK949" i="1"/>
  <c r="BJ949" i="1"/>
  <c r="BI949" i="1"/>
  <c r="BH949" i="1"/>
  <c r="BP948" i="1"/>
  <c r="BO948" i="1"/>
  <c r="BN948" i="1"/>
  <c r="BM948" i="1"/>
  <c r="BL948" i="1"/>
  <c r="BK948" i="1"/>
  <c r="BJ948" i="1"/>
  <c r="BI948" i="1"/>
  <c r="BH948" i="1"/>
  <c r="BP947" i="1"/>
  <c r="BO947" i="1"/>
  <c r="BN947" i="1"/>
  <c r="BM947" i="1"/>
  <c r="BL947" i="1"/>
  <c r="BK947" i="1"/>
  <c r="BJ947" i="1"/>
  <c r="BI947" i="1"/>
  <c r="BH947" i="1"/>
  <c r="BP946" i="1"/>
  <c r="BO946" i="1"/>
  <c r="BN946" i="1"/>
  <c r="BM946" i="1"/>
  <c r="BL946" i="1"/>
  <c r="BK946" i="1"/>
  <c r="BJ946" i="1"/>
  <c r="BI946" i="1"/>
  <c r="BH946" i="1"/>
  <c r="BP945" i="1"/>
  <c r="BO945" i="1"/>
  <c r="BN945" i="1"/>
  <c r="BM945" i="1"/>
  <c r="BL945" i="1"/>
  <c r="BK945" i="1"/>
  <c r="BJ945" i="1"/>
  <c r="BI945" i="1"/>
  <c r="BH945" i="1"/>
  <c r="BP944" i="1"/>
  <c r="BO944" i="1"/>
  <c r="BN944" i="1"/>
  <c r="BM944" i="1"/>
  <c r="BL944" i="1"/>
  <c r="BK944" i="1"/>
  <c r="BJ944" i="1"/>
  <c r="BI944" i="1"/>
  <c r="BH944" i="1"/>
  <c r="BP943" i="1"/>
  <c r="BO943" i="1"/>
  <c r="BN943" i="1"/>
  <c r="BM943" i="1"/>
  <c r="BL943" i="1"/>
  <c r="BK943" i="1"/>
  <c r="BJ943" i="1"/>
  <c r="BI943" i="1"/>
  <c r="BH943" i="1"/>
  <c r="BP942" i="1"/>
  <c r="BO942" i="1"/>
  <c r="BN942" i="1"/>
  <c r="BM942" i="1"/>
  <c r="BL942" i="1"/>
  <c r="BK942" i="1"/>
  <c r="BJ942" i="1"/>
  <c r="BI942" i="1"/>
  <c r="BH942" i="1"/>
  <c r="BP941" i="1"/>
  <c r="BO941" i="1"/>
  <c r="BN941" i="1"/>
  <c r="BM941" i="1"/>
  <c r="BL941" i="1"/>
  <c r="BK941" i="1"/>
  <c r="BJ941" i="1"/>
  <c r="BI941" i="1"/>
  <c r="BH941" i="1"/>
  <c r="BP940" i="1"/>
  <c r="BO940" i="1"/>
  <c r="BN940" i="1"/>
  <c r="BM940" i="1"/>
  <c r="BL940" i="1"/>
  <c r="BK940" i="1"/>
  <c r="BJ940" i="1"/>
  <c r="BI940" i="1"/>
  <c r="BH940" i="1"/>
  <c r="BP939" i="1"/>
  <c r="BO939" i="1"/>
  <c r="BN939" i="1"/>
  <c r="BM939" i="1"/>
  <c r="BL939" i="1"/>
  <c r="BK939" i="1"/>
  <c r="BJ939" i="1"/>
  <c r="BI939" i="1"/>
  <c r="BH939" i="1"/>
  <c r="BP938" i="1"/>
  <c r="BO938" i="1"/>
  <c r="BN938" i="1"/>
  <c r="BM938" i="1"/>
  <c r="BL938" i="1"/>
  <c r="BK938" i="1"/>
  <c r="BJ938" i="1"/>
  <c r="BI938" i="1"/>
  <c r="BH938" i="1"/>
  <c r="BP937" i="1"/>
  <c r="BO937" i="1"/>
  <c r="BN937" i="1"/>
  <c r="BM937" i="1"/>
  <c r="BL937" i="1"/>
  <c r="BK937" i="1"/>
  <c r="BJ937" i="1"/>
  <c r="BI937" i="1"/>
  <c r="BH937" i="1"/>
  <c r="BP936" i="1"/>
  <c r="BO936" i="1"/>
  <c r="BN936" i="1"/>
  <c r="BM936" i="1"/>
  <c r="BL936" i="1"/>
  <c r="BK936" i="1"/>
  <c r="BJ936" i="1"/>
  <c r="BI936" i="1"/>
  <c r="BH936" i="1"/>
  <c r="BP935" i="1"/>
  <c r="BO935" i="1"/>
  <c r="BN935" i="1"/>
  <c r="BM935" i="1"/>
  <c r="BL935" i="1"/>
  <c r="BK935" i="1"/>
  <c r="BJ935" i="1"/>
  <c r="BI935" i="1"/>
  <c r="BH935" i="1"/>
  <c r="BP934" i="1"/>
  <c r="BO934" i="1"/>
  <c r="BN934" i="1"/>
  <c r="BM934" i="1"/>
  <c r="BL934" i="1"/>
  <c r="BK934" i="1"/>
  <c r="BJ934" i="1"/>
  <c r="BI934" i="1"/>
  <c r="BH934" i="1"/>
  <c r="BP933" i="1"/>
  <c r="BO933" i="1"/>
  <c r="BL933" i="1"/>
  <c r="BK933" i="1"/>
  <c r="BG933" i="1"/>
  <c r="AT933" i="1"/>
  <c r="BN933" i="1" s="1"/>
  <c r="AM933" i="1"/>
  <c r="BM933" i="1" s="1"/>
  <c r="S933" i="1"/>
  <c r="BJ933" i="1" s="1"/>
  <c r="N933" i="1"/>
  <c r="BI933" i="1" s="1"/>
  <c r="I933" i="1"/>
  <c r="F933" i="1"/>
  <c r="D933" i="1"/>
  <c r="BH933" i="1" s="1"/>
  <c r="BP932" i="1"/>
  <c r="BO932" i="1"/>
  <c r="BN932" i="1"/>
  <c r="BM932" i="1"/>
  <c r="BL932" i="1"/>
  <c r="BK932" i="1"/>
  <c r="BJ932" i="1"/>
  <c r="BI932" i="1"/>
  <c r="BH932" i="1"/>
  <c r="BP931" i="1"/>
  <c r="BO931" i="1"/>
  <c r="BN931" i="1"/>
  <c r="BM931" i="1"/>
  <c r="BL931" i="1"/>
  <c r="BK931" i="1"/>
  <c r="BJ931" i="1"/>
  <c r="BI931" i="1"/>
  <c r="BH931" i="1"/>
  <c r="BP930" i="1"/>
  <c r="BO930" i="1"/>
  <c r="BN930" i="1"/>
  <c r="BM930" i="1"/>
  <c r="BL930" i="1"/>
  <c r="BK930" i="1"/>
  <c r="BJ930" i="1"/>
  <c r="BI930" i="1"/>
  <c r="BH930" i="1"/>
  <c r="BP929" i="1"/>
  <c r="BO929" i="1"/>
  <c r="BN929" i="1"/>
  <c r="BM929" i="1"/>
  <c r="BL929" i="1"/>
  <c r="BK929" i="1"/>
  <c r="BJ929" i="1"/>
  <c r="BI929" i="1"/>
  <c r="BH929" i="1"/>
  <c r="BP928" i="1"/>
  <c r="BO928" i="1"/>
  <c r="BN928" i="1"/>
  <c r="BM928" i="1"/>
  <c r="BL928" i="1"/>
  <c r="BK928" i="1"/>
  <c r="BJ928" i="1"/>
  <c r="BI928" i="1"/>
  <c r="BH928" i="1"/>
  <c r="BP927" i="1"/>
  <c r="BO927" i="1"/>
  <c r="BN927" i="1"/>
  <c r="BM927" i="1"/>
  <c r="BL927" i="1"/>
  <c r="BK927" i="1"/>
  <c r="BJ927" i="1"/>
  <c r="BI927" i="1"/>
  <c r="BH927" i="1"/>
  <c r="BP926" i="1"/>
  <c r="BO926" i="1"/>
  <c r="BN926" i="1"/>
  <c r="BM926" i="1"/>
  <c r="BL926" i="1"/>
  <c r="BK926" i="1"/>
  <c r="BJ926" i="1"/>
  <c r="BI926" i="1"/>
  <c r="BH926" i="1"/>
  <c r="BP925" i="1"/>
  <c r="BO925" i="1"/>
  <c r="BN925" i="1"/>
  <c r="BM925" i="1"/>
  <c r="BL925" i="1"/>
  <c r="BK925" i="1"/>
  <c r="BJ925" i="1"/>
  <c r="BI925" i="1"/>
  <c r="BH925" i="1"/>
  <c r="BP924" i="1"/>
  <c r="BO924" i="1"/>
  <c r="BN924" i="1"/>
  <c r="BM924" i="1"/>
  <c r="BL924" i="1"/>
  <c r="BK924" i="1"/>
  <c r="BJ924" i="1"/>
  <c r="BI924" i="1"/>
  <c r="BH924" i="1"/>
  <c r="BP923" i="1"/>
  <c r="BO923" i="1"/>
  <c r="BN923" i="1"/>
  <c r="BM923" i="1"/>
  <c r="BL923" i="1"/>
  <c r="BK923" i="1"/>
  <c r="BJ923" i="1"/>
  <c r="BI923" i="1"/>
  <c r="BH923" i="1"/>
  <c r="BP922" i="1"/>
  <c r="BO922" i="1"/>
  <c r="BN922" i="1"/>
  <c r="BM922" i="1"/>
  <c r="BL922" i="1"/>
  <c r="BK922" i="1"/>
  <c r="BJ922" i="1"/>
  <c r="BI922" i="1"/>
  <c r="BH922" i="1"/>
  <c r="BP921" i="1"/>
  <c r="BO921" i="1"/>
  <c r="BN921" i="1"/>
  <c r="BM921" i="1"/>
  <c r="BL921" i="1"/>
  <c r="BK921" i="1"/>
  <c r="BJ921" i="1"/>
  <c r="BI921" i="1"/>
  <c r="BH921" i="1"/>
  <c r="BP920" i="1"/>
  <c r="BO920" i="1"/>
  <c r="BN920" i="1"/>
  <c r="BM920" i="1"/>
  <c r="BL920" i="1"/>
  <c r="BK920" i="1"/>
  <c r="BJ920" i="1"/>
  <c r="BI920" i="1"/>
  <c r="BH920" i="1"/>
  <c r="BP919" i="1"/>
  <c r="BO919" i="1"/>
  <c r="BN919" i="1"/>
  <c r="BM919" i="1"/>
  <c r="BL919" i="1"/>
  <c r="BK919" i="1"/>
  <c r="BJ919" i="1"/>
  <c r="BI919" i="1"/>
  <c r="BH919" i="1"/>
  <c r="BP918" i="1"/>
  <c r="BO918" i="1"/>
  <c r="BN918" i="1"/>
  <c r="BM918" i="1"/>
  <c r="BL918" i="1"/>
  <c r="BK918" i="1"/>
  <c r="BJ918" i="1"/>
  <c r="BI918" i="1"/>
  <c r="BH918" i="1"/>
  <c r="BP917" i="1"/>
  <c r="BO917" i="1"/>
  <c r="BN917" i="1"/>
  <c r="BM917" i="1"/>
  <c r="BL917" i="1"/>
  <c r="BK917" i="1"/>
  <c r="BJ917" i="1"/>
  <c r="BI917" i="1"/>
  <c r="BH917" i="1"/>
  <c r="BP916" i="1"/>
  <c r="BO916" i="1"/>
  <c r="BN916" i="1"/>
  <c r="BM916" i="1"/>
  <c r="BL916" i="1"/>
  <c r="BK916" i="1"/>
  <c r="BJ916" i="1"/>
  <c r="BI916" i="1"/>
  <c r="BH916" i="1"/>
  <c r="S916" i="1"/>
  <c r="BP915" i="1"/>
  <c r="BO915" i="1"/>
  <c r="BN915" i="1"/>
  <c r="BM915" i="1"/>
  <c r="BL915" i="1"/>
  <c r="BK915" i="1"/>
  <c r="BJ915" i="1"/>
  <c r="BI915" i="1"/>
  <c r="BH915" i="1"/>
  <c r="BP914" i="1"/>
  <c r="BO914" i="1"/>
  <c r="BN914" i="1"/>
  <c r="BM914" i="1"/>
  <c r="BL914" i="1"/>
  <c r="BK914" i="1"/>
  <c r="BJ914" i="1"/>
  <c r="BI914" i="1"/>
  <c r="BH914" i="1"/>
  <c r="BP913" i="1"/>
  <c r="BO913" i="1"/>
  <c r="BN913" i="1"/>
  <c r="BM913" i="1"/>
  <c r="BL913" i="1"/>
  <c r="BK913" i="1"/>
  <c r="BJ913" i="1"/>
  <c r="BI913" i="1"/>
  <c r="BH913" i="1"/>
  <c r="BP912" i="1"/>
  <c r="BO912" i="1"/>
  <c r="BN912" i="1"/>
  <c r="BM912" i="1"/>
  <c r="BL912" i="1"/>
  <c r="BK912" i="1"/>
  <c r="BJ912" i="1"/>
  <c r="BI912" i="1"/>
  <c r="BH912" i="1"/>
  <c r="BP911" i="1"/>
  <c r="BO911" i="1"/>
  <c r="BN911" i="1"/>
  <c r="BL911" i="1"/>
  <c r="BK911" i="1"/>
  <c r="BG911" i="1"/>
  <c r="AT911" i="1"/>
  <c r="AM911" i="1"/>
  <c r="BM911" i="1" s="1"/>
  <c r="S911" i="1"/>
  <c r="BJ911" i="1" s="1"/>
  <c r="N911" i="1"/>
  <c r="BI911" i="1" s="1"/>
  <c r="I911" i="1"/>
  <c r="BH911" i="1" s="1"/>
  <c r="F911" i="1"/>
  <c r="D911" i="1"/>
  <c r="BP910" i="1"/>
  <c r="BO910" i="1"/>
  <c r="BN910" i="1"/>
  <c r="BM910" i="1"/>
  <c r="BL910" i="1"/>
  <c r="BK910" i="1"/>
  <c r="BJ910" i="1"/>
  <c r="BI910" i="1"/>
  <c r="BH910" i="1"/>
  <c r="BP909" i="1"/>
  <c r="BO909" i="1"/>
  <c r="BN909" i="1"/>
  <c r="BM909" i="1"/>
  <c r="BL909" i="1"/>
  <c r="BK909" i="1"/>
  <c r="BJ909" i="1"/>
  <c r="BI909" i="1"/>
  <c r="BH909" i="1"/>
  <c r="BP908" i="1"/>
  <c r="BO908" i="1"/>
  <c r="BN908" i="1"/>
  <c r="BM908" i="1"/>
  <c r="BL908" i="1"/>
  <c r="BK908" i="1"/>
  <c r="BJ908" i="1"/>
  <c r="BI908" i="1"/>
  <c r="BH908" i="1"/>
  <c r="BP907" i="1"/>
  <c r="BO907" i="1"/>
  <c r="BN907" i="1"/>
  <c r="BM907" i="1"/>
  <c r="BL907" i="1"/>
  <c r="BK907" i="1"/>
  <c r="BJ907" i="1"/>
  <c r="BI907" i="1"/>
  <c r="BH907" i="1"/>
  <c r="BP906" i="1"/>
  <c r="BO906" i="1"/>
  <c r="BN906" i="1"/>
  <c r="BM906" i="1"/>
  <c r="BL906" i="1"/>
  <c r="BK906" i="1"/>
  <c r="BJ906" i="1"/>
  <c r="BI906" i="1"/>
  <c r="BH906" i="1"/>
  <c r="BP905" i="1"/>
  <c r="BO905" i="1"/>
  <c r="BN905" i="1"/>
  <c r="BM905" i="1"/>
  <c r="BL905" i="1"/>
  <c r="BK905" i="1"/>
  <c r="BJ905" i="1"/>
  <c r="BI905" i="1"/>
  <c r="BH905" i="1"/>
  <c r="BP904" i="1"/>
  <c r="BO904" i="1"/>
  <c r="BN904" i="1"/>
  <c r="BM904" i="1"/>
  <c r="BL904" i="1"/>
  <c r="BK904" i="1"/>
  <c r="BJ904" i="1"/>
  <c r="BI904" i="1"/>
  <c r="BH904" i="1"/>
  <c r="BP903" i="1"/>
  <c r="BO903" i="1"/>
  <c r="BN903" i="1"/>
  <c r="BM903" i="1"/>
  <c r="BL903" i="1"/>
  <c r="BK903" i="1"/>
  <c r="BJ903" i="1"/>
  <c r="BI903" i="1"/>
  <c r="BH903" i="1"/>
  <c r="BP902" i="1"/>
  <c r="BO902" i="1"/>
  <c r="BN902" i="1"/>
  <c r="BM902" i="1"/>
  <c r="BL902" i="1"/>
  <c r="BK902" i="1"/>
  <c r="BJ902" i="1"/>
  <c r="BI902" i="1"/>
  <c r="BH902" i="1"/>
  <c r="BP901" i="1"/>
  <c r="BO901" i="1"/>
  <c r="BN901" i="1"/>
  <c r="BM901" i="1"/>
  <c r="BL901" i="1"/>
  <c r="BK901" i="1"/>
  <c r="BJ901" i="1"/>
  <c r="BI901" i="1"/>
  <c r="BH901" i="1"/>
  <c r="BP900" i="1"/>
  <c r="BO900" i="1"/>
  <c r="BN900" i="1"/>
  <c r="BM900" i="1"/>
  <c r="BL900" i="1"/>
  <c r="BK900" i="1"/>
  <c r="BJ900" i="1"/>
  <c r="BI900" i="1"/>
  <c r="BH900" i="1"/>
  <c r="BP899" i="1"/>
  <c r="BO899" i="1"/>
  <c r="BN899" i="1"/>
  <c r="BM899" i="1"/>
  <c r="BL899" i="1"/>
  <c r="BJ899" i="1"/>
  <c r="BG899" i="1"/>
  <c r="BF899" i="1"/>
  <c r="AW899" i="1"/>
  <c r="AT899" i="1"/>
  <c r="U899" i="1"/>
  <c r="BK899" i="1" s="1"/>
  <c r="S899" i="1"/>
  <c r="M899" i="1"/>
  <c r="BI899" i="1" s="1"/>
  <c r="G899" i="1"/>
  <c r="C899" i="1"/>
  <c r="BH899" i="1" s="1"/>
  <c r="BP898" i="1"/>
  <c r="BO898" i="1"/>
  <c r="BN898" i="1"/>
  <c r="BM898" i="1"/>
  <c r="BL898" i="1"/>
  <c r="BK898" i="1"/>
  <c r="BJ898" i="1"/>
  <c r="BI898" i="1"/>
  <c r="BH898" i="1"/>
  <c r="BP897" i="1"/>
  <c r="BO897" i="1"/>
  <c r="BN897" i="1"/>
  <c r="BM897" i="1"/>
  <c r="BL897" i="1"/>
  <c r="BK897" i="1"/>
  <c r="BJ897" i="1"/>
  <c r="BI897" i="1"/>
  <c r="BH897" i="1"/>
  <c r="BP896" i="1"/>
  <c r="BO896" i="1"/>
  <c r="BN896" i="1"/>
  <c r="BM896" i="1"/>
  <c r="BL896" i="1"/>
  <c r="BK896" i="1"/>
  <c r="BJ896" i="1"/>
  <c r="BI896" i="1"/>
  <c r="BH896" i="1"/>
  <c r="BP895" i="1"/>
  <c r="BO895" i="1"/>
  <c r="BN895" i="1"/>
  <c r="BM895" i="1"/>
  <c r="BL895" i="1"/>
  <c r="BK895" i="1"/>
  <c r="BJ895" i="1"/>
  <c r="BI895" i="1"/>
  <c r="BH895" i="1"/>
  <c r="BP894" i="1"/>
  <c r="BO894" i="1"/>
  <c r="BN894" i="1"/>
  <c r="BM894" i="1"/>
  <c r="BL894" i="1"/>
  <c r="BK894" i="1"/>
  <c r="BJ894" i="1"/>
  <c r="BI894" i="1"/>
  <c r="BH894" i="1"/>
  <c r="BP893" i="1"/>
  <c r="BO893" i="1"/>
  <c r="BN893" i="1"/>
  <c r="BM893" i="1"/>
  <c r="BL893" i="1"/>
  <c r="BK893" i="1"/>
  <c r="BJ893" i="1"/>
  <c r="BI893" i="1"/>
  <c r="BH893" i="1"/>
  <c r="BP892" i="1"/>
  <c r="BO892" i="1"/>
  <c r="BN892" i="1"/>
  <c r="BM892" i="1"/>
  <c r="BL892" i="1"/>
  <c r="BK892" i="1"/>
  <c r="BJ892" i="1"/>
  <c r="BI892" i="1"/>
  <c r="BH892" i="1"/>
  <c r="BP891" i="1"/>
  <c r="BO891" i="1"/>
  <c r="BN891" i="1"/>
  <c r="BM891" i="1"/>
  <c r="BL891" i="1"/>
  <c r="BK891" i="1"/>
  <c r="BJ891" i="1"/>
  <c r="BI891" i="1"/>
  <c r="BH891" i="1"/>
  <c r="BP890" i="1"/>
  <c r="BO890" i="1"/>
  <c r="BN890" i="1"/>
  <c r="BM890" i="1"/>
  <c r="BL890" i="1"/>
  <c r="BK890" i="1"/>
  <c r="BJ890" i="1"/>
  <c r="BI890" i="1"/>
  <c r="BH890" i="1"/>
  <c r="BP889" i="1"/>
  <c r="BO889" i="1"/>
  <c r="BN889" i="1"/>
  <c r="BM889" i="1"/>
  <c r="BL889" i="1"/>
  <c r="BK889" i="1"/>
  <c r="BJ889" i="1"/>
  <c r="BI889" i="1"/>
  <c r="BH889" i="1"/>
  <c r="BP888" i="1"/>
  <c r="BO888" i="1"/>
  <c r="BN888" i="1"/>
  <c r="BM888" i="1"/>
  <c r="BL888" i="1"/>
  <c r="BK888" i="1"/>
  <c r="BJ888" i="1"/>
  <c r="BI888" i="1"/>
  <c r="BH888" i="1"/>
  <c r="BP887" i="1"/>
  <c r="BO887" i="1"/>
  <c r="BN887" i="1"/>
  <c r="BM887" i="1"/>
  <c r="BL887" i="1"/>
  <c r="BK887" i="1"/>
  <c r="BJ887" i="1"/>
  <c r="BI887" i="1"/>
  <c r="BH887" i="1"/>
  <c r="BP886" i="1"/>
  <c r="BO886" i="1"/>
  <c r="BM886" i="1"/>
  <c r="BL886" i="1"/>
  <c r="BI886" i="1"/>
  <c r="BH886" i="1"/>
  <c r="BG886" i="1"/>
  <c r="AT886" i="1"/>
  <c r="BN886" i="1" s="1"/>
  <c r="T886" i="1"/>
  <c r="BK886" i="1" s="1"/>
  <c r="S886" i="1"/>
  <c r="BJ886" i="1" s="1"/>
  <c r="N886" i="1"/>
  <c r="I886" i="1"/>
  <c r="F886" i="1"/>
  <c r="D886" i="1"/>
  <c r="BP885" i="1"/>
  <c r="BO885" i="1"/>
  <c r="BN885" i="1"/>
  <c r="BM885" i="1"/>
  <c r="BL885" i="1"/>
  <c r="BK885" i="1"/>
  <c r="BJ885" i="1"/>
  <c r="BI885" i="1"/>
  <c r="BH885" i="1"/>
  <c r="BP884" i="1"/>
  <c r="BO884" i="1"/>
  <c r="BN884" i="1"/>
  <c r="BM884" i="1"/>
  <c r="BL884" i="1"/>
  <c r="BK884" i="1"/>
  <c r="BJ884" i="1"/>
  <c r="BI884" i="1"/>
  <c r="BH884" i="1"/>
  <c r="BP883" i="1"/>
  <c r="BO883" i="1"/>
  <c r="BN883" i="1"/>
  <c r="BM883" i="1"/>
  <c r="BL883" i="1"/>
  <c r="BK883" i="1"/>
  <c r="BJ883" i="1"/>
  <c r="BI883" i="1"/>
  <c r="BH883" i="1"/>
  <c r="BP882" i="1"/>
  <c r="BO882" i="1"/>
  <c r="BN882" i="1"/>
  <c r="BM882" i="1"/>
  <c r="BL882" i="1"/>
  <c r="BK882" i="1"/>
  <c r="BJ882" i="1"/>
  <c r="BI882" i="1"/>
  <c r="BH882" i="1"/>
  <c r="BP881" i="1"/>
  <c r="BO881" i="1"/>
  <c r="BN881" i="1"/>
  <c r="BM881" i="1"/>
  <c r="BL881" i="1"/>
  <c r="BK881" i="1"/>
  <c r="BJ881" i="1"/>
  <c r="BI881" i="1"/>
  <c r="BH881" i="1"/>
  <c r="BP880" i="1"/>
  <c r="BO880" i="1"/>
  <c r="BN880" i="1"/>
  <c r="BM880" i="1"/>
  <c r="BL880" i="1"/>
  <c r="BK880" i="1"/>
  <c r="BJ880" i="1"/>
  <c r="BI880" i="1"/>
  <c r="BH880" i="1"/>
  <c r="BP879" i="1"/>
  <c r="BO879" i="1"/>
  <c r="BN879" i="1"/>
  <c r="BM879" i="1"/>
  <c r="BL879" i="1"/>
  <c r="BK879" i="1"/>
  <c r="BJ879" i="1"/>
  <c r="BI879" i="1"/>
  <c r="BH879" i="1"/>
  <c r="BP878" i="1"/>
  <c r="BO878" i="1"/>
  <c r="BN878" i="1"/>
  <c r="BM878" i="1"/>
  <c r="BL878" i="1"/>
  <c r="BK878" i="1"/>
  <c r="BJ878" i="1"/>
  <c r="BI878" i="1"/>
  <c r="BH878" i="1"/>
  <c r="BP877" i="1"/>
  <c r="BO877" i="1"/>
  <c r="BN877" i="1"/>
  <c r="BM877" i="1"/>
  <c r="BJ877" i="1"/>
  <c r="BI877" i="1"/>
  <c r="BG877" i="1"/>
  <c r="BF877" i="1"/>
  <c r="AW877" i="1"/>
  <c r="AT877" i="1"/>
  <c r="AF877" i="1"/>
  <c r="Z877" i="1"/>
  <c r="BL877" i="1" s="1"/>
  <c r="U877" i="1"/>
  <c r="BK877" i="1" s="1"/>
  <c r="S877" i="1"/>
  <c r="O877" i="1"/>
  <c r="C877" i="1"/>
  <c r="BH877" i="1" s="1"/>
  <c r="BP876" i="1"/>
  <c r="BO876" i="1"/>
  <c r="BN876" i="1"/>
  <c r="BM876" i="1"/>
  <c r="BL876" i="1"/>
  <c r="BK876" i="1"/>
  <c r="BJ876" i="1"/>
  <c r="BI876" i="1"/>
  <c r="BH876" i="1"/>
  <c r="BP875" i="1"/>
  <c r="BO875" i="1"/>
  <c r="BN875" i="1"/>
  <c r="BM875" i="1"/>
  <c r="BL875" i="1"/>
  <c r="BK875" i="1"/>
  <c r="BJ875" i="1"/>
  <c r="BI875" i="1"/>
  <c r="BH875" i="1"/>
  <c r="BP874" i="1"/>
  <c r="BO874" i="1"/>
  <c r="BN874" i="1"/>
  <c r="BM874" i="1"/>
  <c r="BL874" i="1"/>
  <c r="BK874" i="1"/>
  <c r="BJ874" i="1"/>
  <c r="BI874" i="1"/>
  <c r="BH874" i="1"/>
  <c r="BP873" i="1"/>
  <c r="BO873" i="1"/>
  <c r="BN873" i="1"/>
  <c r="BM873" i="1"/>
  <c r="BL873" i="1"/>
  <c r="BK873" i="1"/>
  <c r="BJ873" i="1"/>
  <c r="BI873" i="1"/>
  <c r="BH873" i="1"/>
  <c r="BP872" i="1"/>
  <c r="BO872" i="1"/>
  <c r="BN872" i="1"/>
  <c r="BM872" i="1"/>
  <c r="BL872" i="1"/>
  <c r="BK872" i="1"/>
  <c r="BJ872" i="1"/>
  <c r="BI872" i="1"/>
  <c r="BH872" i="1"/>
  <c r="BP871" i="1"/>
  <c r="BO871" i="1"/>
  <c r="BN871" i="1"/>
  <c r="BM871" i="1"/>
  <c r="BL871" i="1"/>
  <c r="BK871" i="1"/>
  <c r="BJ871" i="1"/>
  <c r="BI871" i="1"/>
  <c r="BH871" i="1"/>
  <c r="BP870" i="1"/>
  <c r="BO870" i="1"/>
  <c r="BN870" i="1"/>
  <c r="BM870" i="1"/>
  <c r="BL870" i="1"/>
  <c r="BK870" i="1"/>
  <c r="BJ870" i="1"/>
  <c r="BI870" i="1"/>
  <c r="BH870" i="1"/>
  <c r="BP869" i="1"/>
  <c r="BO869" i="1"/>
  <c r="BN869" i="1"/>
  <c r="BM869" i="1"/>
  <c r="BL869" i="1"/>
  <c r="BK869" i="1"/>
  <c r="BJ869" i="1"/>
  <c r="BI869" i="1"/>
  <c r="BH869" i="1"/>
  <c r="BP868" i="1"/>
  <c r="BO868" i="1"/>
  <c r="BN868" i="1"/>
  <c r="BM868" i="1"/>
  <c r="BL868" i="1"/>
  <c r="BK868" i="1"/>
  <c r="BJ868" i="1"/>
  <c r="BI868" i="1"/>
  <c r="BH868" i="1"/>
  <c r="BP867" i="1"/>
  <c r="BO867" i="1"/>
  <c r="BN867" i="1"/>
  <c r="BM867" i="1"/>
  <c r="BL867" i="1"/>
  <c r="BK867" i="1"/>
  <c r="BJ867" i="1"/>
  <c r="BI867" i="1"/>
  <c r="BH867" i="1"/>
  <c r="BP866" i="1"/>
  <c r="BO866" i="1"/>
  <c r="BN866" i="1"/>
  <c r="BM866" i="1"/>
  <c r="BL866" i="1"/>
  <c r="BK866" i="1"/>
  <c r="BJ866" i="1"/>
  <c r="BI866" i="1"/>
  <c r="BH866" i="1"/>
  <c r="BP865" i="1"/>
  <c r="BO865" i="1"/>
  <c r="BN865" i="1"/>
  <c r="BM865" i="1"/>
  <c r="BL865" i="1"/>
  <c r="BK865" i="1"/>
  <c r="BJ865" i="1"/>
  <c r="BI865" i="1"/>
  <c r="BH865" i="1"/>
  <c r="BP864" i="1"/>
  <c r="BO864" i="1"/>
  <c r="BN864" i="1"/>
  <c r="BM864" i="1"/>
  <c r="BL864" i="1"/>
  <c r="BK864" i="1"/>
  <c r="BJ864" i="1"/>
  <c r="BI864" i="1"/>
  <c r="BH864" i="1"/>
  <c r="BP863" i="1"/>
  <c r="BO863" i="1"/>
  <c r="BN863" i="1"/>
  <c r="BM863" i="1"/>
  <c r="BL863" i="1"/>
  <c r="BK863" i="1"/>
  <c r="BJ863" i="1"/>
  <c r="BI863" i="1"/>
  <c r="BH863" i="1"/>
  <c r="BP862" i="1"/>
  <c r="BO862" i="1"/>
  <c r="BN862" i="1"/>
  <c r="BM862" i="1"/>
  <c r="BL862" i="1"/>
  <c r="BK862" i="1"/>
  <c r="BJ862" i="1"/>
  <c r="BI862" i="1"/>
  <c r="BH862" i="1"/>
  <c r="BP861" i="1"/>
  <c r="BO861" i="1"/>
  <c r="BN861" i="1"/>
  <c r="BM861" i="1"/>
  <c r="BL861" i="1"/>
  <c r="BK861" i="1"/>
  <c r="BJ861" i="1"/>
  <c r="BI861" i="1"/>
  <c r="BH861" i="1"/>
  <c r="BP860" i="1"/>
  <c r="BO860" i="1"/>
  <c r="BN860" i="1"/>
  <c r="BM860" i="1"/>
  <c r="BL860" i="1"/>
  <c r="BK860" i="1"/>
  <c r="BJ860" i="1"/>
  <c r="BI860" i="1"/>
  <c r="BH860" i="1"/>
  <c r="BP859" i="1"/>
  <c r="BO859" i="1"/>
  <c r="BN859" i="1"/>
  <c r="BM859" i="1"/>
  <c r="BL859" i="1"/>
  <c r="BK859" i="1"/>
  <c r="BJ859" i="1"/>
  <c r="BI859" i="1"/>
  <c r="BH859" i="1"/>
  <c r="BP858" i="1"/>
  <c r="BO858" i="1"/>
  <c r="BN858" i="1"/>
  <c r="BM858" i="1"/>
  <c r="BL858" i="1"/>
  <c r="BK858" i="1"/>
  <c r="BJ858" i="1"/>
  <c r="BI858" i="1"/>
  <c r="BH858" i="1"/>
  <c r="BP857" i="1"/>
  <c r="BO857" i="1"/>
  <c r="BN857" i="1"/>
  <c r="BM857" i="1"/>
  <c r="BL857" i="1"/>
  <c r="BK857" i="1"/>
  <c r="BJ857" i="1"/>
  <c r="BI857" i="1"/>
  <c r="BH857" i="1"/>
  <c r="BP856" i="1"/>
  <c r="BO856" i="1"/>
  <c r="BN856" i="1"/>
  <c r="BM856" i="1"/>
  <c r="BL856" i="1"/>
  <c r="BK856" i="1"/>
  <c r="BJ856" i="1"/>
  <c r="BI856" i="1"/>
  <c r="BH856" i="1"/>
  <c r="BP855" i="1"/>
  <c r="BO855" i="1"/>
  <c r="BN855" i="1"/>
  <c r="BM855" i="1"/>
  <c r="BL855" i="1"/>
  <c r="BK855" i="1"/>
  <c r="BJ855" i="1"/>
  <c r="BI855" i="1"/>
  <c r="BH855" i="1"/>
  <c r="BP854" i="1"/>
  <c r="BO854" i="1"/>
  <c r="BN854" i="1"/>
  <c r="BM854" i="1"/>
  <c r="BL854" i="1"/>
  <c r="BK854" i="1"/>
  <c r="BJ854" i="1"/>
  <c r="BI854" i="1"/>
  <c r="BH854" i="1"/>
  <c r="BP853" i="1"/>
  <c r="BO853" i="1"/>
  <c r="BN853" i="1"/>
  <c r="BM853" i="1"/>
  <c r="BL853" i="1"/>
  <c r="BK853" i="1"/>
  <c r="BJ853" i="1"/>
  <c r="BI853" i="1"/>
  <c r="BH853" i="1"/>
  <c r="BP852" i="1"/>
  <c r="BO852" i="1"/>
  <c r="BN852" i="1"/>
  <c r="BM852" i="1"/>
  <c r="BL852" i="1"/>
  <c r="BK852" i="1"/>
  <c r="BJ852" i="1"/>
  <c r="BI852" i="1"/>
  <c r="BH852" i="1"/>
  <c r="BP851" i="1"/>
  <c r="BO851" i="1"/>
  <c r="BN851" i="1"/>
  <c r="BM851" i="1"/>
  <c r="BL851" i="1"/>
  <c r="BK851" i="1"/>
  <c r="BJ851" i="1"/>
  <c r="BH851" i="1"/>
  <c r="Q851" i="1"/>
  <c r="BI851" i="1" s="1"/>
  <c r="BP850" i="1"/>
  <c r="BO850" i="1"/>
  <c r="BN850" i="1"/>
  <c r="BM850" i="1"/>
  <c r="BL850" i="1"/>
  <c r="BK850" i="1"/>
  <c r="BJ850" i="1"/>
  <c r="BI850" i="1"/>
  <c r="BH850" i="1"/>
  <c r="BP849" i="1"/>
  <c r="BO849" i="1"/>
  <c r="BN849" i="1"/>
  <c r="BM849" i="1"/>
  <c r="BL849" i="1"/>
  <c r="BK849" i="1"/>
  <c r="BJ849" i="1"/>
  <c r="BI849" i="1"/>
  <c r="BH849" i="1"/>
  <c r="BP848" i="1"/>
  <c r="BO848" i="1"/>
  <c r="BN848" i="1"/>
  <c r="BM848" i="1"/>
  <c r="BL848" i="1"/>
  <c r="BK848" i="1"/>
  <c r="BJ848" i="1"/>
  <c r="BI848" i="1"/>
  <c r="BH848" i="1"/>
  <c r="BP847" i="1"/>
  <c r="BO847" i="1"/>
  <c r="BN847" i="1"/>
  <c r="BM847" i="1"/>
  <c r="BL847" i="1"/>
  <c r="BK847" i="1"/>
  <c r="BJ847" i="1"/>
  <c r="BI847" i="1"/>
  <c r="BH847" i="1"/>
  <c r="BP846" i="1"/>
  <c r="BO846" i="1"/>
  <c r="BN846" i="1"/>
  <c r="BM846" i="1"/>
  <c r="BL846" i="1"/>
  <c r="BK846" i="1"/>
  <c r="BJ846" i="1"/>
  <c r="BI846" i="1"/>
  <c r="BH846" i="1"/>
  <c r="BP845" i="1"/>
  <c r="BO845" i="1"/>
  <c r="BN845" i="1"/>
  <c r="BM845" i="1"/>
  <c r="BL845" i="1"/>
  <c r="BK845" i="1"/>
  <c r="BJ845" i="1"/>
  <c r="BI845" i="1"/>
  <c r="BH845" i="1"/>
  <c r="BP844" i="1"/>
  <c r="BO844" i="1"/>
  <c r="BN844" i="1"/>
  <c r="BM844" i="1"/>
  <c r="BL844" i="1"/>
  <c r="BK844" i="1"/>
  <c r="BJ844" i="1"/>
  <c r="BI844" i="1"/>
  <c r="BH844" i="1"/>
  <c r="BP843" i="1"/>
  <c r="BO843" i="1"/>
  <c r="BN843" i="1"/>
  <c r="BM843" i="1"/>
  <c r="BL843" i="1"/>
  <c r="BK843" i="1"/>
  <c r="BJ843" i="1"/>
  <c r="BI843" i="1"/>
  <c r="BH843" i="1"/>
  <c r="BP842" i="1"/>
  <c r="BO842" i="1"/>
  <c r="BN842" i="1"/>
  <c r="BM842" i="1"/>
  <c r="BL842" i="1"/>
  <c r="BK842" i="1"/>
  <c r="BJ842" i="1"/>
  <c r="BI842" i="1"/>
  <c r="BH842" i="1"/>
  <c r="BP841" i="1"/>
  <c r="BO841" i="1"/>
  <c r="BN841" i="1"/>
  <c r="BM841" i="1"/>
  <c r="BL841" i="1"/>
  <c r="BI841" i="1"/>
  <c r="BH841" i="1"/>
  <c r="BG841" i="1"/>
  <c r="BF841" i="1"/>
  <c r="BA841" i="1"/>
  <c r="AT841" i="1"/>
  <c r="AC841" i="1"/>
  <c r="U841" i="1"/>
  <c r="T841" i="1"/>
  <c r="BK841" i="1" s="1"/>
  <c r="S841" i="1"/>
  <c r="BJ841" i="1" s="1"/>
  <c r="M841" i="1"/>
  <c r="H841" i="1"/>
  <c r="C841" i="1"/>
  <c r="BP840" i="1"/>
  <c r="BO840" i="1"/>
  <c r="BN840" i="1"/>
  <c r="BM840" i="1"/>
  <c r="BL840" i="1"/>
  <c r="BK840" i="1"/>
  <c r="BJ840" i="1"/>
  <c r="BI840" i="1"/>
  <c r="BH840" i="1"/>
  <c r="BP839" i="1"/>
  <c r="BO839" i="1"/>
  <c r="BN839" i="1"/>
  <c r="BM839" i="1"/>
  <c r="BL839" i="1"/>
  <c r="BK839" i="1"/>
  <c r="BJ839" i="1"/>
  <c r="BI839" i="1"/>
  <c r="BH839" i="1"/>
  <c r="BP838" i="1"/>
  <c r="BO838" i="1"/>
  <c r="BN838" i="1"/>
  <c r="BM838" i="1"/>
  <c r="BL838" i="1"/>
  <c r="BK838" i="1"/>
  <c r="BJ838" i="1"/>
  <c r="BI838" i="1"/>
  <c r="BH838" i="1"/>
  <c r="BP837" i="1"/>
  <c r="BO837" i="1"/>
  <c r="BN837" i="1"/>
  <c r="BM837" i="1"/>
  <c r="BL837" i="1"/>
  <c r="BK837" i="1"/>
  <c r="BJ837" i="1"/>
  <c r="BI837" i="1"/>
  <c r="BH837" i="1"/>
  <c r="BP836" i="1"/>
  <c r="BO836" i="1"/>
  <c r="BN836" i="1"/>
  <c r="BM836" i="1"/>
  <c r="BL836" i="1"/>
  <c r="BK836" i="1"/>
  <c r="BJ836" i="1"/>
  <c r="BI836" i="1"/>
  <c r="BH836" i="1"/>
  <c r="BP835" i="1"/>
  <c r="BO835" i="1"/>
  <c r="BN835" i="1"/>
  <c r="BM835" i="1"/>
  <c r="BL835" i="1"/>
  <c r="BK835" i="1"/>
  <c r="BJ835" i="1"/>
  <c r="BI835" i="1"/>
  <c r="BH835" i="1"/>
  <c r="BP834" i="1"/>
  <c r="BO834" i="1"/>
  <c r="BN834" i="1"/>
  <c r="BM834" i="1"/>
  <c r="BL834" i="1"/>
  <c r="BK834" i="1"/>
  <c r="BJ834" i="1"/>
  <c r="BI834" i="1"/>
  <c r="BH834" i="1"/>
  <c r="BP833" i="1"/>
  <c r="BO833" i="1"/>
  <c r="BN833" i="1"/>
  <c r="BM833" i="1"/>
  <c r="BL833" i="1"/>
  <c r="BK833" i="1"/>
  <c r="BJ833" i="1"/>
  <c r="BI833" i="1"/>
  <c r="BH833" i="1"/>
  <c r="BP832" i="1"/>
  <c r="BO832" i="1"/>
  <c r="BN832" i="1"/>
  <c r="BM832" i="1"/>
  <c r="BL832" i="1"/>
  <c r="BK832" i="1"/>
  <c r="BJ832" i="1"/>
  <c r="BI832" i="1"/>
  <c r="BH832" i="1"/>
  <c r="BP831" i="1"/>
  <c r="BO831" i="1"/>
  <c r="BN831" i="1"/>
  <c r="BM831" i="1"/>
  <c r="BL831" i="1"/>
  <c r="BK831" i="1"/>
  <c r="BJ831" i="1"/>
  <c r="BI831" i="1"/>
  <c r="BH831" i="1"/>
  <c r="BP830" i="1"/>
  <c r="BO830" i="1"/>
  <c r="BN830" i="1"/>
  <c r="BM830" i="1"/>
  <c r="BL830" i="1"/>
  <c r="BK830" i="1"/>
  <c r="BJ830" i="1"/>
  <c r="BI830" i="1"/>
  <c r="BH830" i="1"/>
  <c r="BP829" i="1"/>
  <c r="BO829" i="1"/>
  <c r="BN829" i="1"/>
  <c r="BM829" i="1"/>
  <c r="BL829" i="1"/>
  <c r="BK829" i="1"/>
  <c r="BJ829" i="1"/>
  <c r="BI829" i="1"/>
  <c r="BH829" i="1"/>
  <c r="BP828" i="1"/>
  <c r="BO828" i="1"/>
  <c r="BN828" i="1"/>
  <c r="BM828" i="1"/>
  <c r="BL828" i="1"/>
  <c r="BK828" i="1"/>
  <c r="BJ828" i="1"/>
  <c r="BI828" i="1"/>
  <c r="BH828" i="1"/>
  <c r="BP827" i="1"/>
  <c r="BO827" i="1"/>
  <c r="BN827" i="1"/>
  <c r="BM827" i="1"/>
  <c r="BL827" i="1"/>
  <c r="BK827" i="1"/>
  <c r="BJ827" i="1"/>
  <c r="BI827" i="1"/>
  <c r="BH827" i="1"/>
  <c r="BP826" i="1"/>
  <c r="BO826" i="1"/>
  <c r="BN826" i="1"/>
  <c r="BM826" i="1"/>
  <c r="BL826" i="1"/>
  <c r="BK826" i="1"/>
  <c r="BJ826" i="1"/>
  <c r="BI826" i="1"/>
  <c r="BH826" i="1"/>
  <c r="BP825" i="1"/>
  <c r="BO825" i="1"/>
  <c r="BN825" i="1"/>
  <c r="BM825" i="1"/>
  <c r="BL825" i="1"/>
  <c r="BK825" i="1"/>
  <c r="BJ825" i="1"/>
  <c r="BI825" i="1"/>
  <c r="BH825" i="1"/>
  <c r="BP824" i="1"/>
  <c r="BO824" i="1"/>
  <c r="BN824" i="1"/>
  <c r="BM824" i="1"/>
  <c r="BL824" i="1"/>
  <c r="BK824" i="1"/>
  <c r="BJ824" i="1"/>
  <c r="BI824" i="1"/>
  <c r="BH824" i="1"/>
  <c r="BP823" i="1"/>
  <c r="BO823" i="1"/>
  <c r="BN823" i="1"/>
  <c r="BM823" i="1"/>
  <c r="BL823" i="1"/>
  <c r="BK823" i="1"/>
  <c r="BJ823" i="1"/>
  <c r="BI823" i="1"/>
  <c r="BH823" i="1"/>
  <c r="BP822" i="1"/>
  <c r="BO822" i="1"/>
  <c r="BN822" i="1"/>
  <c r="BM822" i="1"/>
  <c r="BL822" i="1"/>
  <c r="BK822" i="1"/>
  <c r="BJ822" i="1"/>
  <c r="BI822" i="1"/>
  <c r="BH822" i="1"/>
  <c r="BP821" i="1"/>
  <c r="BO821" i="1"/>
  <c r="BN821" i="1"/>
  <c r="BM821" i="1"/>
  <c r="BL821" i="1"/>
  <c r="BK821" i="1"/>
  <c r="BJ821" i="1"/>
  <c r="BI821" i="1"/>
  <c r="BH821" i="1"/>
  <c r="BP820" i="1"/>
  <c r="BO820" i="1"/>
  <c r="BN820" i="1"/>
  <c r="BM820" i="1"/>
  <c r="BL820" i="1"/>
  <c r="BK820" i="1"/>
  <c r="BJ820" i="1"/>
  <c r="BI820" i="1"/>
  <c r="BH820" i="1"/>
  <c r="BP819" i="1"/>
  <c r="BO819" i="1"/>
  <c r="BN819" i="1"/>
  <c r="BM819" i="1"/>
  <c r="BL819" i="1"/>
  <c r="BK819" i="1"/>
  <c r="BJ819" i="1"/>
  <c r="BI819" i="1"/>
  <c r="BH819" i="1"/>
  <c r="BP818" i="1"/>
  <c r="BO818" i="1"/>
  <c r="BN818" i="1"/>
  <c r="BM818" i="1"/>
  <c r="BL818" i="1"/>
  <c r="BK818" i="1"/>
  <c r="BJ818" i="1"/>
  <c r="BI818" i="1"/>
  <c r="BH818" i="1"/>
  <c r="BP817" i="1"/>
  <c r="BO817" i="1"/>
  <c r="BN817" i="1"/>
  <c r="BM817" i="1"/>
  <c r="BL817" i="1"/>
  <c r="BK817" i="1"/>
  <c r="BJ817" i="1"/>
  <c r="BI817" i="1"/>
  <c r="BH817" i="1"/>
  <c r="BP816" i="1"/>
  <c r="BO816" i="1"/>
  <c r="BN816" i="1"/>
  <c r="BM816" i="1"/>
  <c r="BL816" i="1"/>
  <c r="BK816" i="1"/>
  <c r="BJ816" i="1"/>
  <c r="BI816" i="1"/>
  <c r="BH816" i="1"/>
  <c r="BP815" i="1"/>
  <c r="BO815" i="1"/>
  <c r="BN815" i="1"/>
  <c r="BM815" i="1"/>
  <c r="BL815" i="1"/>
  <c r="BK815" i="1"/>
  <c r="BJ815" i="1"/>
  <c r="BI815" i="1"/>
  <c r="BH815" i="1"/>
  <c r="BP814" i="1"/>
  <c r="BO814" i="1"/>
  <c r="BN814" i="1"/>
  <c r="BM814" i="1"/>
  <c r="BL814" i="1"/>
  <c r="BK814" i="1"/>
  <c r="BJ814" i="1"/>
  <c r="BI814" i="1"/>
  <c r="BH814" i="1"/>
  <c r="BP813" i="1"/>
  <c r="BO813" i="1"/>
  <c r="BN813" i="1"/>
  <c r="BM813" i="1"/>
  <c r="BL813" i="1"/>
  <c r="BK813" i="1"/>
  <c r="BJ813" i="1"/>
  <c r="BI813" i="1"/>
  <c r="BH813" i="1"/>
  <c r="BP812" i="1"/>
  <c r="BO812" i="1"/>
  <c r="BN812" i="1"/>
  <c r="BM812" i="1"/>
  <c r="BL812" i="1"/>
  <c r="BK812" i="1"/>
  <c r="BJ812" i="1"/>
  <c r="BI812" i="1"/>
  <c r="BH812" i="1"/>
  <c r="BP811" i="1"/>
  <c r="BO811" i="1"/>
  <c r="BN811" i="1"/>
  <c r="BM811" i="1"/>
  <c r="BL811" i="1"/>
  <c r="BK811" i="1"/>
  <c r="BJ811" i="1"/>
  <c r="BI811" i="1"/>
  <c r="BH811" i="1"/>
  <c r="BP810" i="1"/>
  <c r="BO810" i="1"/>
  <c r="BN810" i="1"/>
  <c r="BM810" i="1"/>
  <c r="BL810" i="1"/>
  <c r="BK810" i="1"/>
  <c r="BJ810" i="1"/>
  <c r="BI810" i="1"/>
  <c r="BH810" i="1"/>
  <c r="BP809" i="1"/>
  <c r="BO809" i="1"/>
  <c r="BN809" i="1"/>
  <c r="BM809" i="1"/>
  <c r="BL809" i="1"/>
  <c r="BK809" i="1"/>
  <c r="BJ809" i="1"/>
  <c r="BI809" i="1"/>
  <c r="BH809" i="1"/>
  <c r="BP808" i="1"/>
  <c r="BO808" i="1"/>
  <c r="BN808" i="1"/>
  <c r="BM808" i="1"/>
  <c r="BL808" i="1"/>
  <c r="BK808" i="1"/>
  <c r="BJ808" i="1"/>
  <c r="BI808" i="1"/>
  <c r="BH808" i="1"/>
  <c r="BP807" i="1"/>
  <c r="BO807" i="1"/>
  <c r="BN807" i="1"/>
  <c r="BM807" i="1"/>
  <c r="BL807" i="1"/>
  <c r="BK807" i="1"/>
  <c r="BJ807" i="1"/>
  <c r="BI807" i="1"/>
  <c r="BH807" i="1"/>
  <c r="BP806" i="1"/>
  <c r="BO806" i="1"/>
  <c r="BN806" i="1"/>
  <c r="BM806" i="1"/>
  <c r="BL806" i="1"/>
  <c r="BK806" i="1"/>
  <c r="BJ806" i="1"/>
  <c r="BI806" i="1"/>
  <c r="BH806" i="1"/>
  <c r="BP805" i="1"/>
  <c r="BO805" i="1"/>
  <c r="BN805" i="1"/>
  <c r="BM805" i="1"/>
  <c r="BL805" i="1"/>
  <c r="BK805" i="1"/>
  <c r="BJ805" i="1"/>
  <c r="BI805" i="1"/>
  <c r="BH805" i="1"/>
  <c r="BP804" i="1"/>
  <c r="BO804" i="1"/>
  <c r="BN804" i="1"/>
  <c r="BM804" i="1"/>
  <c r="BL804" i="1"/>
  <c r="BK804" i="1"/>
  <c r="BJ804" i="1"/>
  <c r="BI804" i="1"/>
  <c r="BH804" i="1"/>
  <c r="BP803" i="1"/>
  <c r="BO803" i="1"/>
  <c r="BN803" i="1"/>
  <c r="BM803" i="1"/>
  <c r="BL803" i="1"/>
  <c r="BK803" i="1"/>
  <c r="BJ803" i="1"/>
  <c r="BI803" i="1"/>
  <c r="BH803" i="1"/>
  <c r="BP802" i="1"/>
  <c r="BO802" i="1"/>
  <c r="BN802" i="1"/>
  <c r="BM802" i="1"/>
  <c r="BL802" i="1"/>
  <c r="BK802" i="1"/>
  <c r="BJ802" i="1"/>
  <c r="BI802" i="1"/>
  <c r="BH802" i="1"/>
  <c r="BP801" i="1"/>
  <c r="BO801" i="1"/>
  <c r="BN801" i="1"/>
  <c r="BM801" i="1"/>
  <c r="BL801" i="1"/>
  <c r="BK801" i="1"/>
  <c r="BJ801" i="1"/>
  <c r="BI801" i="1"/>
  <c r="BH801" i="1"/>
  <c r="BP800" i="1"/>
  <c r="BO800" i="1"/>
  <c r="BN800" i="1"/>
  <c r="BM800" i="1"/>
  <c r="BL800" i="1"/>
  <c r="BK800" i="1"/>
  <c r="BJ800" i="1"/>
  <c r="BI800" i="1"/>
  <c r="BH800" i="1"/>
  <c r="BP799" i="1"/>
  <c r="BO799" i="1"/>
  <c r="BN799" i="1"/>
  <c r="BM799" i="1"/>
  <c r="BL799" i="1"/>
  <c r="BK799" i="1"/>
  <c r="BJ799" i="1"/>
  <c r="BI799" i="1"/>
  <c r="BH799" i="1"/>
  <c r="BP798" i="1"/>
  <c r="BO798" i="1"/>
  <c r="BN798" i="1"/>
  <c r="BM798" i="1"/>
  <c r="BL798" i="1"/>
  <c r="BK798" i="1"/>
  <c r="BJ798" i="1"/>
  <c r="BG798" i="1"/>
  <c r="AV798" i="1"/>
  <c r="AT798" i="1"/>
  <c r="T798" i="1"/>
  <c r="S798" i="1"/>
  <c r="M798" i="1"/>
  <c r="BI798" i="1" s="1"/>
  <c r="C798" i="1"/>
  <c r="BH798" i="1" s="1"/>
  <c r="BP797" i="1"/>
  <c r="BO797" i="1"/>
  <c r="BN797" i="1"/>
  <c r="BM797" i="1"/>
  <c r="BL797" i="1"/>
  <c r="BK797" i="1"/>
  <c r="BJ797" i="1"/>
  <c r="BI797" i="1"/>
  <c r="BH797" i="1"/>
  <c r="BP796" i="1"/>
  <c r="BO796" i="1"/>
  <c r="BN796" i="1"/>
  <c r="BM796" i="1"/>
  <c r="BL796" i="1"/>
  <c r="BK796" i="1"/>
  <c r="BJ796" i="1"/>
  <c r="BI796" i="1"/>
  <c r="BH796" i="1"/>
  <c r="BP795" i="1"/>
  <c r="BO795" i="1"/>
  <c r="BN795" i="1"/>
  <c r="BM795" i="1"/>
  <c r="BL795" i="1"/>
  <c r="BK795" i="1"/>
  <c r="BJ795" i="1"/>
  <c r="BI795" i="1"/>
  <c r="BH795" i="1"/>
  <c r="BP794" i="1"/>
  <c r="BO794" i="1"/>
  <c r="BN794" i="1"/>
  <c r="BM794" i="1"/>
  <c r="BL794" i="1"/>
  <c r="BK794" i="1"/>
  <c r="BJ794" i="1"/>
  <c r="BI794" i="1"/>
  <c r="BH794" i="1"/>
  <c r="BP793" i="1"/>
  <c r="BO793" i="1"/>
  <c r="BN793" i="1"/>
  <c r="BM793" i="1"/>
  <c r="BL793" i="1"/>
  <c r="BK793" i="1"/>
  <c r="BJ793" i="1"/>
  <c r="BI793" i="1"/>
  <c r="BH793" i="1"/>
  <c r="BP792" i="1"/>
  <c r="BO792" i="1"/>
  <c r="BN792" i="1"/>
  <c r="BM792" i="1"/>
  <c r="BL792" i="1"/>
  <c r="BK792" i="1"/>
  <c r="BJ792" i="1"/>
  <c r="BI792" i="1"/>
  <c r="BH792" i="1"/>
  <c r="BP791" i="1"/>
  <c r="BO791" i="1"/>
  <c r="BN791" i="1"/>
  <c r="BM791" i="1"/>
  <c r="BL791" i="1"/>
  <c r="BK791" i="1"/>
  <c r="BJ791" i="1"/>
  <c r="BI791" i="1"/>
  <c r="BH791" i="1"/>
  <c r="BP790" i="1"/>
  <c r="BN790" i="1"/>
  <c r="BM790" i="1"/>
  <c r="BL790" i="1"/>
  <c r="BK790" i="1"/>
  <c r="BJ790" i="1"/>
  <c r="BI790" i="1"/>
  <c r="BH790" i="1"/>
  <c r="BD790" i="1"/>
  <c r="BO790" i="1" s="1"/>
  <c r="S790" i="1"/>
  <c r="BP789" i="1"/>
  <c r="BO789" i="1"/>
  <c r="BN789" i="1"/>
  <c r="BM789" i="1"/>
  <c r="BL789" i="1"/>
  <c r="BK789" i="1"/>
  <c r="BJ789" i="1"/>
  <c r="BI789" i="1"/>
  <c r="BH789" i="1"/>
  <c r="BP788" i="1"/>
  <c r="BO788" i="1"/>
  <c r="BN788" i="1"/>
  <c r="BM788" i="1"/>
  <c r="BL788" i="1"/>
  <c r="BK788" i="1"/>
  <c r="BJ788" i="1"/>
  <c r="BI788" i="1"/>
  <c r="BH788" i="1"/>
  <c r="BP787" i="1"/>
  <c r="BO787" i="1"/>
  <c r="BN787" i="1"/>
  <c r="BM787" i="1"/>
  <c r="BL787" i="1"/>
  <c r="BK787" i="1"/>
  <c r="BJ787" i="1"/>
  <c r="BI787" i="1"/>
  <c r="BH787" i="1"/>
  <c r="BP786" i="1"/>
  <c r="BO786" i="1"/>
  <c r="BN786" i="1"/>
  <c r="BM786" i="1"/>
  <c r="BL786" i="1"/>
  <c r="BK786" i="1"/>
  <c r="BJ786" i="1"/>
  <c r="BI786" i="1"/>
  <c r="BH786" i="1"/>
  <c r="BP785" i="1"/>
  <c r="BO785" i="1"/>
  <c r="BN785" i="1"/>
  <c r="BM785" i="1"/>
  <c r="BL785" i="1"/>
  <c r="BK785" i="1"/>
  <c r="BJ785" i="1"/>
  <c r="BI785" i="1"/>
  <c r="BH785" i="1"/>
  <c r="BP784" i="1"/>
  <c r="BO784" i="1"/>
  <c r="BN784" i="1"/>
  <c r="BM784" i="1"/>
  <c r="BL784" i="1"/>
  <c r="BK784" i="1"/>
  <c r="BJ784" i="1"/>
  <c r="BI784" i="1"/>
  <c r="BH784" i="1"/>
  <c r="BP783" i="1"/>
  <c r="BO783" i="1"/>
  <c r="BN783" i="1"/>
  <c r="BM783" i="1"/>
  <c r="BL783" i="1"/>
  <c r="BK783" i="1"/>
  <c r="BJ783" i="1"/>
  <c r="BI783" i="1"/>
  <c r="BH783" i="1"/>
  <c r="BP782" i="1"/>
  <c r="BO782" i="1"/>
  <c r="BN782" i="1"/>
  <c r="BM782" i="1"/>
  <c r="BL782" i="1"/>
  <c r="BK782" i="1"/>
  <c r="BJ782" i="1"/>
  <c r="BI782" i="1"/>
  <c r="BH782" i="1"/>
  <c r="BP781" i="1"/>
  <c r="BO781" i="1"/>
  <c r="BN781" i="1"/>
  <c r="BM781" i="1"/>
  <c r="BL781" i="1"/>
  <c r="BK781" i="1"/>
  <c r="BJ781" i="1"/>
  <c r="BI781" i="1"/>
  <c r="BH781" i="1"/>
  <c r="BP780" i="1"/>
  <c r="BO780" i="1"/>
  <c r="BN780" i="1"/>
  <c r="BM780" i="1"/>
  <c r="BL780" i="1"/>
  <c r="BK780" i="1"/>
  <c r="BJ780" i="1"/>
  <c r="BI780" i="1"/>
  <c r="BH780" i="1"/>
  <c r="BP779" i="1"/>
  <c r="BO779" i="1"/>
  <c r="BN779" i="1"/>
  <c r="BM779" i="1"/>
  <c r="BL779" i="1"/>
  <c r="BK779" i="1"/>
  <c r="BJ779" i="1"/>
  <c r="BI779" i="1"/>
  <c r="BH779" i="1"/>
  <c r="BP778" i="1"/>
  <c r="BO778" i="1"/>
  <c r="BN778" i="1"/>
  <c r="BM778" i="1"/>
  <c r="BL778" i="1"/>
  <c r="BK778" i="1"/>
  <c r="BJ778" i="1"/>
  <c r="BI778" i="1"/>
  <c r="BH778" i="1"/>
  <c r="BP777" i="1"/>
  <c r="BO777" i="1"/>
  <c r="BN777" i="1"/>
  <c r="BM777" i="1"/>
  <c r="BL777" i="1"/>
  <c r="BK777" i="1"/>
  <c r="BJ777" i="1"/>
  <c r="BI777" i="1"/>
  <c r="BH777" i="1"/>
  <c r="BP776" i="1"/>
  <c r="BO776" i="1"/>
  <c r="BN776" i="1"/>
  <c r="BM776" i="1"/>
  <c r="BL776" i="1"/>
  <c r="BK776" i="1"/>
  <c r="BJ776" i="1"/>
  <c r="BI776" i="1"/>
  <c r="BH776" i="1"/>
  <c r="BP775" i="1"/>
  <c r="BO775" i="1"/>
  <c r="BN775" i="1"/>
  <c r="BM775" i="1"/>
  <c r="BL775" i="1"/>
  <c r="BK775" i="1"/>
  <c r="BJ775" i="1"/>
  <c r="BI775" i="1"/>
  <c r="BH775" i="1"/>
  <c r="BP774" i="1"/>
  <c r="BO774" i="1"/>
  <c r="BN774" i="1"/>
  <c r="BM774" i="1"/>
  <c r="BL774" i="1"/>
  <c r="BK774" i="1"/>
  <c r="BJ774" i="1"/>
  <c r="BI774" i="1"/>
  <c r="BH774" i="1"/>
  <c r="BP773" i="1"/>
  <c r="BO773" i="1"/>
  <c r="BN773" i="1"/>
  <c r="BM773" i="1"/>
  <c r="BL773" i="1"/>
  <c r="BK773" i="1"/>
  <c r="BJ773" i="1"/>
  <c r="BI773" i="1"/>
  <c r="BH773" i="1"/>
  <c r="BP772" i="1"/>
  <c r="BO772" i="1"/>
  <c r="BN772" i="1"/>
  <c r="BM772" i="1"/>
  <c r="BL772" i="1"/>
  <c r="BK772" i="1"/>
  <c r="BJ772" i="1"/>
  <c r="BI772" i="1"/>
  <c r="BH772" i="1"/>
  <c r="BP771" i="1"/>
  <c r="BO771" i="1"/>
  <c r="BN771" i="1"/>
  <c r="BM771" i="1"/>
  <c r="BL771" i="1"/>
  <c r="BK771" i="1"/>
  <c r="BJ771" i="1"/>
  <c r="BI771" i="1"/>
  <c r="BH771" i="1"/>
  <c r="BP770" i="1"/>
  <c r="BO770" i="1"/>
  <c r="BN770" i="1"/>
  <c r="BM770" i="1"/>
  <c r="BL770" i="1"/>
  <c r="BK770" i="1"/>
  <c r="BJ770" i="1"/>
  <c r="BI770" i="1"/>
  <c r="BH770" i="1"/>
  <c r="BP769" i="1"/>
  <c r="BO769" i="1"/>
  <c r="BN769" i="1"/>
  <c r="BM769" i="1"/>
  <c r="BL769" i="1"/>
  <c r="BK769" i="1"/>
  <c r="BJ769" i="1"/>
  <c r="BI769" i="1"/>
  <c r="BH769" i="1"/>
  <c r="BP768" i="1"/>
  <c r="BO768" i="1"/>
  <c r="BN768" i="1"/>
  <c r="BM768" i="1"/>
  <c r="BL768" i="1"/>
  <c r="BK768" i="1"/>
  <c r="BJ768" i="1"/>
  <c r="BI768" i="1"/>
  <c r="BH768" i="1"/>
  <c r="BP767" i="1"/>
  <c r="BO767" i="1"/>
  <c r="BN767" i="1"/>
  <c r="BM767" i="1"/>
  <c r="BL767" i="1"/>
  <c r="BK767" i="1"/>
  <c r="BJ767" i="1"/>
  <c r="BI767" i="1"/>
  <c r="BH767" i="1"/>
  <c r="BP766" i="1"/>
  <c r="BO766" i="1"/>
  <c r="BN766" i="1"/>
  <c r="BM766" i="1"/>
  <c r="BL766" i="1"/>
  <c r="BK766" i="1"/>
  <c r="BJ766" i="1"/>
  <c r="BI766" i="1"/>
  <c r="BH766" i="1"/>
  <c r="BP765" i="1"/>
  <c r="BO765" i="1"/>
  <c r="BN765" i="1"/>
  <c r="BM765" i="1"/>
  <c r="BL765" i="1"/>
  <c r="BK765" i="1"/>
  <c r="BJ765" i="1"/>
  <c r="BI765" i="1"/>
  <c r="BH765" i="1"/>
  <c r="BP764" i="1"/>
  <c r="BO764" i="1"/>
  <c r="BN764" i="1"/>
  <c r="BM764" i="1"/>
  <c r="BL764" i="1"/>
  <c r="BK764" i="1"/>
  <c r="BJ764" i="1"/>
  <c r="BI764" i="1"/>
  <c r="BH764" i="1"/>
  <c r="BP763" i="1"/>
  <c r="BO763" i="1"/>
  <c r="BN763" i="1"/>
  <c r="BM763" i="1"/>
  <c r="BL763" i="1"/>
  <c r="BK763" i="1"/>
  <c r="BJ763" i="1"/>
  <c r="BI763" i="1"/>
  <c r="BH763" i="1"/>
  <c r="BP762" i="1"/>
  <c r="BO762" i="1"/>
  <c r="BN762" i="1"/>
  <c r="BM762" i="1"/>
  <c r="BL762" i="1"/>
  <c r="BK762" i="1"/>
  <c r="BJ762" i="1"/>
  <c r="BI762" i="1"/>
  <c r="BH762" i="1"/>
  <c r="BP761" i="1"/>
  <c r="BO761" i="1"/>
  <c r="BN761" i="1"/>
  <c r="BM761" i="1"/>
  <c r="BL761" i="1"/>
  <c r="BK761" i="1"/>
  <c r="BJ761" i="1"/>
  <c r="BI761" i="1"/>
  <c r="BH761" i="1"/>
  <c r="BP760" i="1"/>
  <c r="BO760" i="1"/>
  <c r="BN760" i="1"/>
  <c r="BM760" i="1"/>
  <c r="BL760" i="1"/>
  <c r="BK760" i="1"/>
  <c r="BJ760" i="1"/>
  <c r="BI760" i="1"/>
  <c r="BH760" i="1"/>
  <c r="BP759" i="1"/>
  <c r="BO759" i="1"/>
  <c r="BN759" i="1"/>
  <c r="BM759" i="1"/>
  <c r="BL759" i="1"/>
  <c r="BK759" i="1"/>
  <c r="BJ759" i="1"/>
  <c r="BI759" i="1"/>
  <c r="BH759" i="1"/>
  <c r="BP758" i="1"/>
  <c r="BO758" i="1"/>
  <c r="BN758" i="1"/>
  <c r="BM758" i="1"/>
  <c r="BL758" i="1"/>
  <c r="BK758" i="1"/>
  <c r="BJ758" i="1"/>
  <c r="BI758" i="1"/>
  <c r="BH758" i="1"/>
  <c r="BP757" i="1"/>
  <c r="BO757" i="1"/>
  <c r="BN757" i="1"/>
  <c r="BM757" i="1"/>
  <c r="BL757" i="1"/>
  <c r="BK757" i="1"/>
  <c r="BJ757" i="1"/>
  <c r="BI757" i="1"/>
  <c r="BH757" i="1"/>
  <c r="BP756" i="1"/>
  <c r="BO756" i="1"/>
  <c r="BN756" i="1"/>
  <c r="BM756" i="1"/>
  <c r="BL756" i="1"/>
  <c r="BK756" i="1"/>
  <c r="BJ756" i="1"/>
  <c r="BI756" i="1"/>
  <c r="BH756" i="1"/>
  <c r="BP755" i="1"/>
  <c r="BO755" i="1"/>
  <c r="BN755" i="1"/>
  <c r="BM755" i="1"/>
  <c r="BL755" i="1"/>
  <c r="BK755" i="1"/>
  <c r="BJ755" i="1"/>
  <c r="BI755" i="1"/>
  <c r="BH755" i="1"/>
  <c r="BP754" i="1"/>
  <c r="BO754" i="1"/>
  <c r="BN754" i="1"/>
  <c r="BM754" i="1"/>
  <c r="BL754" i="1"/>
  <c r="BK754" i="1"/>
  <c r="BJ754" i="1"/>
  <c r="BI754" i="1"/>
  <c r="BH754" i="1"/>
  <c r="BP753" i="1"/>
  <c r="BO753" i="1"/>
  <c r="BN753" i="1"/>
  <c r="BM753" i="1"/>
  <c r="BL753" i="1"/>
  <c r="BK753" i="1"/>
  <c r="BJ753" i="1"/>
  <c r="BI753" i="1"/>
  <c r="BH753" i="1"/>
  <c r="BP752" i="1"/>
  <c r="BO752" i="1"/>
  <c r="BN752" i="1"/>
  <c r="BM752" i="1"/>
  <c r="BL752" i="1"/>
  <c r="BK752" i="1"/>
  <c r="BJ752" i="1"/>
  <c r="BI752" i="1"/>
  <c r="BH752" i="1"/>
  <c r="BP751" i="1"/>
  <c r="BO751" i="1"/>
  <c r="BN751" i="1"/>
  <c r="BL751" i="1"/>
  <c r="BJ751" i="1"/>
  <c r="BG751" i="1"/>
  <c r="AT751" i="1"/>
  <c r="AS751" i="1"/>
  <c r="AM751" i="1"/>
  <c r="BM751" i="1" s="1"/>
  <c r="W751" i="1"/>
  <c r="BK751" i="1" s="1"/>
  <c r="S751" i="1"/>
  <c r="N751" i="1"/>
  <c r="BI751" i="1" s="1"/>
  <c r="I751" i="1"/>
  <c r="D751" i="1"/>
  <c r="BH751" i="1" s="1"/>
  <c r="BP750" i="1"/>
  <c r="BO750" i="1"/>
  <c r="BN750" i="1"/>
  <c r="BM750" i="1"/>
  <c r="BL750" i="1"/>
  <c r="BK750" i="1"/>
  <c r="BJ750" i="1"/>
  <c r="BI750" i="1"/>
  <c r="BH750" i="1"/>
  <c r="BP749" i="1"/>
  <c r="BO749" i="1"/>
  <c r="BN749" i="1"/>
  <c r="BM749" i="1"/>
  <c r="BL749" i="1"/>
  <c r="BK749" i="1"/>
  <c r="BJ749" i="1"/>
  <c r="BI749" i="1"/>
  <c r="BH749" i="1"/>
  <c r="BP748" i="1"/>
  <c r="BO748" i="1"/>
  <c r="BN748" i="1"/>
  <c r="BM748" i="1"/>
  <c r="BL748" i="1"/>
  <c r="BK748" i="1"/>
  <c r="BJ748" i="1"/>
  <c r="BI748" i="1"/>
  <c r="BH748" i="1"/>
  <c r="BP747" i="1"/>
  <c r="BO747" i="1"/>
  <c r="BN747" i="1"/>
  <c r="BM747" i="1"/>
  <c r="BL747" i="1"/>
  <c r="BK747" i="1"/>
  <c r="BJ747" i="1"/>
  <c r="BI747" i="1"/>
  <c r="BH747" i="1"/>
  <c r="BP746" i="1"/>
  <c r="BO746" i="1"/>
  <c r="BN746" i="1"/>
  <c r="BM746" i="1"/>
  <c r="BL746" i="1"/>
  <c r="BK746" i="1"/>
  <c r="BJ746" i="1"/>
  <c r="BI746" i="1"/>
  <c r="BH746" i="1"/>
  <c r="BP745" i="1"/>
  <c r="BO745" i="1"/>
  <c r="BN745" i="1"/>
  <c r="BM745" i="1"/>
  <c r="BL745" i="1"/>
  <c r="BK745" i="1"/>
  <c r="BJ745" i="1"/>
  <c r="BI745" i="1"/>
  <c r="BH745" i="1"/>
  <c r="BP744" i="1"/>
  <c r="BO744" i="1"/>
  <c r="BN744" i="1"/>
  <c r="BM744" i="1"/>
  <c r="BL744" i="1"/>
  <c r="BK744" i="1"/>
  <c r="BJ744" i="1"/>
  <c r="BI744" i="1"/>
  <c r="BH744" i="1"/>
  <c r="BP743" i="1"/>
  <c r="BO743" i="1"/>
  <c r="BN743" i="1"/>
  <c r="BM743" i="1"/>
  <c r="BL743" i="1"/>
  <c r="BK743" i="1"/>
  <c r="BJ743" i="1"/>
  <c r="BI743" i="1"/>
  <c r="BH743" i="1"/>
  <c r="BP742" i="1"/>
  <c r="BO742" i="1"/>
  <c r="BN742" i="1"/>
  <c r="BM742" i="1"/>
  <c r="BL742" i="1"/>
  <c r="BK742" i="1"/>
  <c r="BJ742" i="1"/>
  <c r="BI742" i="1"/>
  <c r="BH742" i="1"/>
  <c r="BP741" i="1"/>
  <c r="BO741" i="1"/>
  <c r="BN741" i="1"/>
  <c r="BM741" i="1"/>
  <c r="BL741" i="1"/>
  <c r="BK741" i="1"/>
  <c r="BJ741" i="1"/>
  <c r="BI741" i="1"/>
  <c r="BH741" i="1"/>
  <c r="BP740" i="1"/>
  <c r="BO740" i="1"/>
  <c r="BN740" i="1"/>
  <c r="BM740" i="1"/>
  <c r="BL740" i="1"/>
  <c r="BK740" i="1"/>
  <c r="BJ740" i="1"/>
  <c r="BI740" i="1"/>
  <c r="BH740" i="1"/>
  <c r="BP739" i="1"/>
  <c r="BO739" i="1"/>
  <c r="BN739" i="1"/>
  <c r="BM739" i="1"/>
  <c r="BL739" i="1"/>
  <c r="BK739" i="1"/>
  <c r="BJ739" i="1"/>
  <c r="BI739" i="1"/>
  <c r="BH739" i="1"/>
  <c r="BP738" i="1"/>
  <c r="BO738" i="1"/>
  <c r="BN738" i="1"/>
  <c r="BM738" i="1"/>
  <c r="BL738" i="1"/>
  <c r="BK738" i="1"/>
  <c r="BJ738" i="1"/>
  <c r="BI738" i="1"/>
  <c r="BH738" i="1"/>
  <c r="BP737" i="1"/>
  <c r="BO737" i="1"/>
  <c r="BN737" i="1"/>
  <c r="BM737" i="1"/>
  <c r="BL737" i="1"/>
  <c r="BK737" i="1"/>
  <c r="BJ737" i="1"/>
  <c r="BI737" i="1"/>
  <c r="BH737" i="1"/>
  <c r="BP736" i="1"/>
  <c r="BO736" i="1"/>
  <c r="BN736" i="1"/>
  <c r="BM736" i="1"/>
  <c r="BL736" i="1"/>
  <c r="BK736" i="1"/>
  <c r="BJ736" i="1"/>
  <c r="BI736" i="1"/>
  <c r="BH736" i="1"/>
  <c r="BP735" i="1"/>
  <c r="BO735" i="1"/>
  <c r="BN735" i="1"/>
  <c r="BM735" i="1"/>
  <c r="BL735" i="1"/>
  <c r="BK735" i="1"/>
  <c r="BJ735" i="1"/>
  <c r="BI735" i="1"/>
  <c r="BH735" i="1"/>
  <c r="BP734" i="1"/>
  <c r="BO734" i="1"/>
  <c r="BN734" i="1"/>
  <c r="BM734" i="1"/>
  <c r="BL734" i="1"/>
  <c r="BK734" i="1"/>
  <c r="BJ734" i="1"/>
  <c r="BI734" i="1"/>
  <c r="BH734" i="1"/>
  <c r="BP733" i="1"/>
  <c r="BO733" i="1"/>
  <c r="BN733" i="1"/>
  <c r="BM733" i="1"/>
  <c r="BL733" i="1"/>
  <c r="BK733" i="1"/>
  <c r="BJ733" i="1"/>
  <c r="BI733" i="1"/>
  <c r="BH733" i="1"/>
  <c r="BP732" i="1"/>
  <c r="BO732" i="1"/>
  <c r="BN732" i="1"/>
  <c r="BM732" i="1"/>
  <c r="BL732" i="1"/>
  <c r="BK732" i="1"/>
  <c r="BJ732" i="1"/>
  <c r="BI732" i="1"/>
  <c r="BH732" i="1"/>
  <c r="BP731" i="1"/>
  <c r="BO731" i="1"/>
  <c r="BN731" i="1"/>
  <c r="BM731" i="1"/>
  <c r="BL731" i="1"/>
  <c r="BK731" i="1"/>
  <c r="BJ731" i="1"/>
  <c r="BI731" i="1"/>
  <c r="BH731" i="1"/>
  <c r="BP730" i="1"/>
  <c r="BO730" i="1"/>
  <c r="BN730" i="1"/>
  <c r="BM730" i="1"/>
  <c r="BL730" i="1"/>
  <c r="BK730" i="1"/>
  <c r="BJ730" i="1"/>
  <c r="BI730" i="1"/>
  <c r="BH730" i="1"/>
  <c r="BP729" i="1"/>
  <c r="BO729" i="1"/>
  <c r="BN729" i="1"/>
  <c r="BM729" i="1"/>
  <c r="BL729" i="1"/>
  <c r="BK729" i="1"/>
  <c r="BJ729" i="1"/>
  <c r="BI729" i="1"/>
  <c r="BH729" i="1"/>
  <c r="BP728" i="1"/>
  <c r="BO728" i="1"/>
  <c r="BN728" i="1"/>
  <c r="BM728" i="1"/>
  <c r="BL728" i="1"/>
  <c r="BK728" i="1"/>
  <c r="BJ728" i="1"/>
  <c r="BI728" i="1"/>
  <c r="BH728" i="1"/>
  <c r="BP727" i="1"/>
  <c r="BO727" i="1"/>
  <c r="BN727" i="1"/>
  <c r="BM727" i="1"/>
  <c r="BL727" i="1"/>
  <c r="BK727" i="1"/>
  <c r="BJ727" i="1"/>
  <c r="BI727" i="1"/>
  <c r="BH727" i="1"/>
  <c r="BP726" i="1"/>
  <c r="BO726" i="1"/>
  <c r="BN726" i="1"/>
  <c r="BM726" i="1"/>
  <c r="BL726" i="1"/>
  <c r="BK726" i="1"/>
  <c r="BJ726" i="1"/>
  <c r="BI726" i="1"/>
  <c r="BH726" i="1"/>
  <c r="BP725" i="1"/>
  <c r="BO725" i="1"/>
  <c r="BN725" i="1"/>
  <c r="BM725" i="1"/>
  <c r="BL725" i="1"/>
  <c r="BK725" i="1"/>
  <c r="BJ725" i="1"/>
  <c r="BI725" i="1"/>
  <c r="BH725" i="1"/>
  <c r="BP724" i="1"/>
  <c r="BO724" i="1"/>
  <c r="BN724" i="1"/>
  <c r="BM724" i="1"/>
  <c r="BL724" i="1"/>
  <c r="BK724" i="1"/>
  <c r="BJ724" i="1"/>
  <c r="BI724" i="1"/>
  <c r="BH724" i="1"/>
  <c r="BP723" i="1"/>
  <c r="BO723" i="1"/>
  <c r="BN723" i="1"/>
  <c r="BM723" i="1"/>
  <c r="BL723" i="1"/>
  <c r="BK723" i="1"/>
  <c r="BJ723" i="1"/>
  <c r="BI723" i="1"/>
  <c r="BH723" i="1"/>
  <c r="BP722" i="1"/>
  <c r="BO722" i="1"/>
  <c r="BN722" i="1"/>
  <c r="BM722" i="1"/>
  <c r="BL722" i="1"/>
  <c r="BK722" i="1"/>
  <c r="BJ722" i="1"/>
  <c r="BI722" i="1"/>
  <c r="BH722" i="1"/>
  <c r="BP721" i="1"/>
  <c r="BO721" i="1"/>
  <c r="BN721" i="1"/>
  <c r="BM721" i="1"/>
  <c r="BL721" i="1"/>
  <c r="BK721" i="1"/>
  <c r="BJ721" i="1"/>
  <c r="BI721" i="1"/>
  <c r="BH721" i="1"/>
  <c r="BP720" i="1"/>
  <c r="BO720" i="1"/>
  <c r="BN720" i="1"/>
  <c r="BM720" i="1"/>
  <c r="BL720" i="1"/>
  <c r="BK720" i="1"/>
  <c r="BJ720" i="1"/>
  <c r="BI720" i="1"/>
  <c r="BH720" i="1"/>
  <c r="BP719" i="1"/>
  <c r="BO719" i="1"/>
  <c r="BN719" i="1"/>
  <c r="BM719" i="1"/>
  <c r="BL719" i="1"/>
  <c r="BK719" i="1"/>
  <c r="BJ719" i="1"/>
  <c r="BI719" i="1"/>
  <c r="BH719" i="1"/>
  <c r="BP718" i="1"/>
  <c r="BO718" i="1"/>
  <c r="BN718" i="1"/>
  <c r="BM718" i="1"/>
  <c r="BL718" i="1"/>
  <c r="BK718" i="1"/>
  <c r="BJ718" i="1"/>
  <c r="BI718" i="1"/>
  <c r="BH718" i="1"/>
  <c r="BP717" i="1"/>
  <c r="BO717" i="1"/>
  <c r="BN717" i="1"/>
  <c r="BM717" i="1"/>
  <c r="BL717" i="1"/>
  <c r="BK717" i="1"/>
  <c r="BJ717" i="1"/>
  <c r="BI717" i="1"/>
  <c r="BH717" i="1"/>
  <c r="BP716" i="1"/>
  <c r="BO716" i="1"/>
  <c r="BN716" i="1"/>
  <c r="BM716" i="1"/>
  <c r="BL716" i="1"/>
  <c r="BK716" i="1"/>
  <c r="BJ716" i="1"/>
  <c r="BI716" i="1"/>
  <c r="BH716" i="1"/>
  <c r="BP715" i="1"/>
  <c r="BO715" i="1"/>
  <c r="BN715" i="1"/>
  <c r="BM715" i="1"/>
  <c r="BL715" i="1"/>
  <c r="BK715" i="1"/>
  <c r="BJ715" i="1"/>
  <c r="BI715" i="1"/>
  <c r="BH715" i="1"/>
  <c r="BP714" i="1"/>
  <c r="BO714" i="1"/>
  <c r="BN714" i="1"/>
  <c r="BM714" i="1"/>
  <c r="BL714" i="1"/>
  <c r="BK714" i="1"/>
  <c r="BJ714" i="1"/>
  <c r="BI714" i="1"/>
  <c r="BH714" i="1"/>
  <c r="BP713" i="1"/>
  <c r="BO713" i="1"/>
  <c r="BN713" i="1"/>
  <c r="BM713" i="1"/>
  <c r="BL713" i="1"/>
  <c r="BK713" i="1"/>
  <c r="BJ713" i="1"/>
  <c r="BI713" i="1"/>
  <c r="BH713" i="1"/>
  <c r="BP712" i="1"/>
  <c r="BO712" i="1"/>
  <c r="BN712" i="1"/>
  <c r="BM712" i="1"/>
  <c r="BL712" i="1"/>
  <c r="BK712" i="1"/>
  <c r="BJ712" i="1"/>
  <c r="BI712" i="1"/>
  <c r="BH712" i="1"/>
  <c r="BP711" i="1"/>
  <c r="BO711" i="1"/>
  <c r="BN711" i="1"/>
  <c r="BM711" i="1"/>
  <c r="BL711" i="1"/>
  <c r="BK711" i="1"/>
  <c r="BJ711" i="1"/>
  <c r="BI711" i="1"/>
  <c r="BH711" i="1"/>
  <c r="BP710" i="1"/>
  <c r="BO710" i="1"/>
  <c r="BN710" i="1"/>
  <c r="BM710" i="1"/>
  <c r="BL710" i="1"/>
  <c r="BK710" i="1"/>
  <c r="BJ710" i="1"/>
  <c r="BI710" i="1"/>
  <c r="BH710" i="1"/>
  <c r="BP709" i="1"/>
  <c r="BO709" i="1"/>
  <c r="BN709" i="1"/>
  <c r="BM709" i="1"/>
  <c r="BL709" i="1"/>
  <c r="BK709" i="1"/>
  <c r="BJ709" i="1"/>
  <c r="BI709" i="1"/>
  <c r="BH709" i="1"/>
  <c r="BP708" i="1"/>
  <c r="BO708" i="1"/>
  <c r="BN708" i="1"/>
  <c r="BM708" i="1"/>
  <c r="BL708" i="1"/>
  <c r="BK708" i="1"/>
  <c r="BJ708" i="1"/>
  <c r="BI708" i="1"/>
  <c r="BH708" i="1"/>
  <c r="BP707" i="1"/>
  <c r="BO707" i="1"/>
  <c r="BN707" i="1"/>
  <c r="BM707" i="1"/>
  <c r="BL707" i="1"/>
  <c r="BK707" i="1"/>
  <c r="BJ707" i="1"/>
  <c r="BI707" i="1"/>
  <c r="BH707" i="1"/>
  <c r="BP706" i="1"/>
  <c r="BO706" i="1"/>
  <c r="BN706" i="1"/>
  <c r="BM706" i="1"/>
  <c r="BL706" i="1"/>
  <c r="BK706" i="1"/>
  <c r="BJ706" i="1"/>
  <c r="BI706" i="1"/>
  <c r="BH706" i="1"/>
  <c r="BP705" i="1"/>
  <c r="BO705" i="1"/>
  <c r="BN705" i="1"/>
  <c r="BM705" i="1"/>
  <c r="BL705" i="1"/>
  <c r="BK705" i="1"/>
  <c r="BJ705" i="1"/>
  <c r="BI705" i="1"/>
  <c r="BH705" i="1"/>
  <c r="BP704" i="1"/>
  <c r="BO704" i="1"/>
  <c r="BN704" i="1"/>
  <c r="BM704" i="1"/>
  <c r="BL704" i="1"/>
  <c r="BK704" i="1"/>
  <c r="BJ704" i="1"/>
  <c r="BI704" i="1"/>
  <c r="BH704" i="1"/>
  <c r="BP703" i="1"/>
  <c r="BO703" i="1"/>
  <c r="BN703" i="1"/>
  <c r="BM703" i="1"/>
  <c r="BL703" i="1"/>
  <c r="BK703" i="1"/>
  <c r="BJ703" i="1"/>
  <c r="BI703" i="1"/>
  <c r="BH703" i="1"/>
  <c r="BP702" i="1"/>
  <c r="BO702" i="1"/>
  <c r="BN702" i="1"/>
  <c r="BM702" i="1"/>
  <c r="BL702" i="1"/>
  <c r="BK702" i="1"/>
  <c r="BJ702" i="1"/>
  <c r="BI702" i="1"/>
  <c r="BH702" i="1"/>
  <c r="BP701" i="1"/>
  <c r="BO701" i="1"/>
  <c r="BN701" i="1"/>
  <c r="BM701" i="1"/>
  <c r="BL701" i="1"/>
  <c r="BK701" i="1"/>
  <c r="BJ701" i="1"/>
  <c r="BI701" i="1"/>
  <c r="BH701" i="1"/>
  <c r="BP700" i="1"/>
  <c r="BO700" i="1"/>
  <c r="BN700" i="1"/>
  <c r="BM700" i="1"/>
  <c r="BL700" i="1"/>
  <c r="BK700" i="1"/>
  <c r="BJ700" i="1"/>
  <c r="BI700" i="1"/>
  <c r="BH700" i="1"/>
  <c r="BP699" i="1"/>
  <c r="BO699" i="1"/>
  <c r="BN699" i="1"/>
  <c r="BM699" i="1"/>
  <c r="BL699" i="1"/>
  <c r="BK699" i="1"/>
  <c r="BJ699" i="1"/>
  <c r="BI699" i="1"/>
  <c r="BH699" i="1"/>
  <c r="BP698" i="1"/>
  <c r="BO698" i="1"/>
  <c r="BN698" i="1"/>
  <c r="BM698" i="1"/>
  <c r="BL698" i="1"/>
  <c r="BK698" i="1"/>
  <c r="BJ698" i="1"/>
  <c r="BI698" i="1"/>
  <c r="BH698" i="1"/>
  <c r="BP697" i="1"/>
  <c r="BO697" i="1"/>
  <c r="BN697" i="1"/>
  <c r="BM697" i="1"/>
  <c r="BL697" i="1"/>
  <c r="BK697" i="1"/>
  <c r="BJ697" i="1"/>
  <c r="BI697" i="1"/>
  <c r="BH697" i="1"/>
  <c r="BP696" i="1"/>
  <c r="BO696" i="1"/>
  <c r="BN696" i="1"/>
  <c r="BM696" i="1"/>
  <c r="BL696" i="1"/>
  <c r="BK696" i="1"/>
  <c r="BJ696" i="1"/>
  <c r="BI696" i="1"/>
  <c r="BH696" i="1"/>
  <c r="BP695" i="1"/>
  <c r="BO695" i="1"/>
  <c r="BN695" i="1"/>
  <c r="BM695" i="1"/>
  <c r="BL695" i="1"/>
  <c r="BK695" i="1"/>
  <c r="BJ695" i="1"/>
  <c r="BI695" i="1"/>
  <c r="BH695" i="1"/>
  <c r="BP694" i="1"/>
  <c r="BO694" i="1"/>
  <c r="BN694" i="1"/>
  <c r="BM694" i="1"/>
  <c r="BL694" i="1"/>
  <c r="BK694" i="1"/>
  <c r="BJ694" i="1"/>
  <c r="BI694" i="1"/>
  <c r="BH694" i="1"/>
  <c r="BP693" i="1"/>
  <c r="BO693" i="1"/>
  <c r="BN693" i="1"/>
  <c r="BM693" i="1"/>
  <c r="BL693" i="1"/>
  <c r="BK693" i="1"/>
  <c r="BJ693" i="1"/>
  <c r="BI693" i="1"/>
  <c r="BH693" i="1"/>
  <c r="BP692" i="1"/>
  <c r="BO692" i="1"/>
  <c r="BN692" i="1"/>
  <c r="BM692" i="1"/>
  <c r="BL692" i="1"/>
  <c r="BK692" i="1"/>
  <c r="BJ692" i="1"/>
  <c r="BI692" i="1"/>
  <c r="BH692" i="1"/>
  <c r="BP691" i="1"/>
  <c r="BO691" i="1"/>
  <c r="BN691" i="1"/>
  <c r="BM691" i="1"/>
  <c r="BL691" i="1"/>
  <c r="BK691" i="1"/>
  <c r="BJ691" i="1"/>
  <c r="BI691" i="1"/>
  <c r="BH691" i="1"/>
  <c r="BP690" i="1"/>
  <c r="BO690" i="1"/>
  <c r="BN690" i="1"/>
  <c r="BM690" i="1"/>
  <c r="BL690" i="1"/>
  <c r="BK690" i="1"/>
  <c r="BJ690" i="1"/>
  <c r="BI690" i="1"/>
  <c r="BH690" i="1"/>
  <c r="BP689" i="1"/>
  <c r="BO689" i="1"/>
  <c r="BN689" i="1"/>
  <c r="BM689" i="1"/>
  <c r="BL689" i="1"/>
  <c r="BK689" i="1"/>
  <c r="BJ689" i="1"/>
  <c r="BI689" i="1"/>
  <c r="BH689" i="1"/>
  <c r="BP688" i="1"/>
  <c r="BO688" i="1"/>
  <c r="BN688" i="1"/>
  <c r="BM688" i="1"/>
  <c r="BL688" i="1"/>
  <c r="BK688" i="1"/>
  <c r="BJ688" i="1"/>
  <c r="BI688" i="1"/>
  <c r="BH688" i="1"/>
  <c r="BP687" i="1"/>
  <c r="BO687" i="1"/>
  <c r="BN687" i="1"/>
  <c r="BM687" i="1"/>
  <c r="BL687" i="1"/>
  <c r="BK687" i="1"/>
  <c r="BJ687" i="1"/>
  <c r="BI687" i="1"/>
  <c r="BH687" i="1"/>
  <c r="BP686" i="1"/>
  <c r="BM686" i="1"/>
  <c r="BL686" i="1"/>
  <c r="BK686" i="1"/>
  <c r="BJ686" i="1"/>
  <c r="BI686" i="1"/>
  <c r="BH686" i="1"/>
  <c r="BG686" i="1"/>
  <c r="BF686" i="1"/>
  <c r="AW686" i="1"/>
  <c r="BO686" i="1" s="1"/>
  <c r="AT686" i="1"/>
  <c r="BN686" i="1" s="1"/>
  <c r="V686" i="1"/>
  <c r="U686" i="1"/>
  <c r="S686" i="1"/>
  <c r="M686" i="1"/>
  <c r="G686" i="1"/>
  <c r="C686" i="1"/>
  <c r="BP685" i="1"/>
  <c r="BO685" i="1"/>
  <c r="BN685" i="1"/>
  <c r="BM685" i="1"/>
  <c r="BL685" i="1"/>
  <c r="BK685" i="1"/>
  <c r="BJ685" i="1"/>
  <c r="BI685" i="1"/>
  <c r="BH685" i="1"/>
  <c r="BP684" i="1"/>
  <c r="BO684" i="1"/>
  <c r="BN684" i="1"/>
  <c r="BM684" i="1"/>
  <c r="BL684" i="1"/>
  <c r="BK684" i="1"/>
  <c r="BJ684" i="1"/>
  <c r="BI684" i="1"/>
  <c r="BH684" i="1"/>
  <c r="BP683" i="1"/>
  <c r="BO683" i="1"/>
  <c r="BN683" i="1"/>
  <c r="BM683" i="1"/>
  <c r="BL683" i="1"/>
  <c r="BK683" i="1"/>
  <c r="BJ683" i="1"/>
  <c r="BI683" i="1"/>
  <c r="BH683" i="1"/>
  <c r="BP682" i="1"/>
  <c r="BO682" i="1"/>
  <c r="BN682" i="1"/>
  <c r="BM682" i="1"/>
  <c r="BL682" i="1"/>
  <c r="BK682" i="1"/>
  <c r="BJ682" i="1"/>
  <c r="BI682" i="1"/>
  <c r="BH682" i="1"/>
  <c r="BP681" i="1"/>
  <c r="BO681" i="1"/>
  <c r="BN681" i="1"/>
  <c r="BM681" i="1"/>
  <c r="BL681" i="1"/>
  <c r="BK681" i="1"/>
  <c r="BJ681" i="1"/>
  <c r="BI681" i="1"/>
  <c r="BH681" i="1"/>
  <c r="BP680" i="1"/>
  <c r="BO680" i="1"/>
  <c r="BN680" i="1"/>
  <c r="BM680" i="1"/>
  <c r="BL680" i="1"/>
  <c r="BK680" i="1"/>
  <c r="BJ680" i="1"/>
  <c r="BI680" i="1"/>
  <c r="BH680" i="1"/>
  <c r="BP679" i="1"/>
  <c r="BO679" i="1"/>
  <c r="BN679" i="1"/>
  <c r="BM679" i="1"/>
  <c r="BL679" i="1"/>
  <c r="BK679" i="1"/>
  <c r="BJ679" i="1"/>
  <c r="BI679" i="1"/>
  <c r="BH679" i="1"/>
  <c r="BP678" i="1"/>
  <c r="BO678" i="1"/>
  <c r="BN678" i="1"/>
  <c r="BM678" i="1"/>
  <c r="BL678" i="1"/>
  <c r="BK678" i="1"/>
  <c r="BJ678" i="1"/>
  <c r="BI678" i="1"/>
  <c r="BH678" i="1"/>
  <c r="BP677" i="1"/>
  <c r="BO677" i="1"/>
  <c r="BN677" i="1"/>
  <c r="BM677" i="1"/>
  <c r="BL677" i="1"/>
  <c r="BK677" i="1"/>
  <c r="BJ677" i="1"/>
  <c r="BI677" i="1"/>
  <c r="BH677" i="1"/>
  <c r="BP676" i="1"/>
  <c r="BO676" i="1"/>
  <c r="BN676" i="1"/>
  <c r="BM676" i="1"/>
  <c r="BL676" i="1"/>
  <c r="BK676" i="1"/>
  <c r="BJ676" i="1"/>
  <c r="BI676" i="1"/>
  <c r="BH676" i="1"/>
  <c r="BP675" i="1"/>
  <c r="BO675" i="1"/>
  <c r="BN675" i="1"/>
  <c r="BM675" i="1"/>
  <c r="BL675" i="1"/>
  <c r="BK675" i="1"/>
  <c r="BJ675" i="1"/>
  <c r="BI675" i="1"/>
  <c r="BH675" i="1"/>
  <c r="BP674" i="1"/>
  <c r="BO674" i="1"/>
  <c r="BN674" i="1"/>
  <c r="BM674" i="1"/>
  <c r="BL674" i="1"/>
  <c r="BK674" i="1"/>
  <c r="BJ674" i="1"/>
  <c r="BI674" i="1"/>
  <c r="BH674" i="1"/>
  <c r="BP673" i="1"/>
  <c r="BO673" i="1"/>
  <c r="BN673" i="1"/>
  <c r="BM673" i="1"/>
  <c r="BL673" i="1"/>
  <c r="BK673" i="1"/>
  <c r="BJ673" i="1"/>
  <c r="BI673" i="1"/>
  <c r="BH673" i="1"/>
  <c r="BP672" i="1"/>
  <c r="BO672" i="1"/>
  <c r="BN672" i="1"/>
  <c r="BM672" i="1"/>
  <c r="BL672" i="1"/>
  <c r="BK672" i="1"/>
  <c r="BJ672" i="1"/>
  <c r="BI672" i="1"/>
  <c r="BH672" i="1"/>
  <c r="BP671" i="1"/>
  <c r="BO671" i="1"/>
  <c r="BN671" i="1"/>
  <c r="BM671" i="1"/>
  <c r="BL671" i="1"/>
  <c r="BK671" i="1"/>
  <c r="BJ671" i="1"/>
  <c r="BI671" i="1"/>
  <c r="BH671" i="1"/>
  <c r="BP670" i="1"/>
  <c r="BO670" i="1"/>
  <c r="BN670" i="1"/>
  <c r="BM670" i="1"/>
  <c r="BL670" i="1"/>
  <c r="BK670" i="1"/>
  <c r="BJ670" i="1"/>
  <c r="BI670" i="1"/>
  <c r="BH670" i="1"/>
  <c r="BP669" i="1"/>
  <c r="BO669" i="1"/>
  <c r="BN669" i="1"/>
  <c r="BM669" i="1"/>
  <c r="BL669" i="1"/>
  <c r="BK669" i="1"/>
  <c r="BJ669" i="1"/>
  <c r="BI669" i="1"/>
  <c r="BH669" i="1"/>
  <c r="BP668" i="1"/>
  <c r="BO668" i="1"/>
  <c r="BN668" i="1"/>
  <c r="BM668" i="1"/>
  <c r="BL668" i="1"/>
  <c r="BK668" i="1"/>
  <c r="BJ668" i="1"/>
  <c r="BI668" i="1"/>
  <c r="BH668" i="1"/>
  <c r="BP667" i="1"/>
  <c r="BO667" i="1"/>
  <c r="BN667" i="1"/>
  <c r="BM667" i="1"/>
  <c r="BL667" i="1"/>
  <c r="BK667" i="1"/>
  <c r="BJ667" i="1"/>
  <c r="BI667" i="1"/>
  <c r="BH667" i="1"/>
  <c r="BO666" i="1"/>
  <c r="BN666" i="1"/>
  <c r="BM666" i="1"/>
  <c r="BL666" i="1"/>
  <c r="BJ666" i="1"/>
  <c r="BI666" i="1"/>
  <c r="BH666" i="1"/>
  <c r="BG666" i="1"/>
  <c r="BF666" i="1"/>
  <c r="BP666" i="1" s="1"/>
  <c r="AW666" i="1"/>
  <c r="AT666" i="1"/>
  <c r="V666" i="1"/>
  <c r="U666" i="1"/>
  <c r="BK666" i="1" s="1"/>
  <c r="S666" i="1"/>
  <c r="M666" i="1"/>
  <c r="G666" i="1"/>
  <c r="C666" i="1"/>
  <c r="BP665" i="1"/>
  <c r="BO665" i="1"/>
  <c r="BN665" i="1"/>
  <c r="BM665" i="1"/>
  <c r="BL665" i="1"/>
  <c r="BK665" i="1"/>
  <c r="BJ665" i="1"/>
  <c r="BI665" i="1"/>
  <c r="BH665" i="1"/>
  <c r="BP664" i="1"/>
  <c r="BO664" i="1"/>
  <c r="BN664" i="1"/>
  <c r="BM664" i="1"/>
  <c r="BL664" i="1"/>
  <c r="BK664" i="1"/>
  <c r="BJ664" i="1"/>
  <c r="BI664" i="1"/>
  <c r="BH664" i="1"/>
  <c r="BP663" i="1"/>
  <c r="BO663" i="1"/>
  <c r="BN663" i="1"/>
  <c r="BM663" i="1"/>
  <c r="BL663" i="1"/>
  <c r="BK663" i="1"/>
  <c r="BJ663" i="1"/>
  <c r="BI663" i="1"/>
  <c r="BH663" i="1"/>
  <c r="BP662" i="1"/>
  <c r="BO662" i="1"/>
  <c r="BN662" i="1"/>
  <c r="BM662" i="1"/>
  <c r="BL662" i="1"/>
  <c r="BK662" i="1"/>
  <c r="BJ662" i="1"/>
  <c r="BI662" i="1"/>
  <c r="BH662" i="1"/>
  <c r="BP661" i="1"/>
  <c r="BO661" i="1"/>
  <c r="BN661" i="1"/>
  <c r="BM661" i="1"/>
  <c r="BL661" i="1"/>
  <c r="BK661" i="1"/>
  <c r="BJ661" i="1"/>
  <c r="BI661" i="1"/>
  <c r="BH661" i="1"/>
  <c r="BP660" i="1"/>
  <c r="BO660" i="1"/>
  <c r="BN660" i="1"/>
  <c r="BM660" i="1"/>
  <c r="BL660" i="1"/>
  <c r="BK660" i="1"/>
  <c r="BJ660" i="1"/>
  <c r="BI660" i="1"/>
  <c r="BH660" i="1"/>
  <c r="BP659" i="1"/>
  <c r="BO659" i="1"/>
  <c r="BN659" i="1"/>
  <c r="BM659" i="1"/>
  <c r="BL659" i="1"/>
  <c r="BK659" i="1"/>
  <c r="BJ659" i="1"/>
  <c r="BI659" i="1"/>
  <c r="BH659" i="1"/>
  <c r="BP658" i="1"/>
  <c r="BO658" i="1"/>
  <c r="BN658" i="1"/>
  <c r="BM658" i="1"/>
  <c r="BL658" i="1"/>
  <c r="BK658" i="1"/>
  <c r="BJ658" i="1"/>
  <c r="BI658" i="1"/>
  <c r="BH658" i="1"/>
  <c r="BP657" i="1"/>
  <c r="BO657" i="1"/>
  <c r="BN657" i="1"/>
  <c r="BM657" i="1"/>
  <c r="BL657" i="1"/>
  <c r="BK657" i="1"/>
  <c r="BJ657" i="1"/>
  <c r="BI657" i="1"/>
  <c r="BH657" i="1"/>
  <c r="BP656" i="1"/>
  <c r="BO656" i="1"/>
  <c r="BN656" i="1"/>
  <c r="BM656" i="1"/>
  <c r="BL656" i="1"/>
  <c r="BK656" i="1"/>
  <c r="BJ656" i="1"/>
  <c r="BI656" i="1"/>
  <c r="BH656" i="1"/>
  <c r="BP655" i="1"/>
  <c r="BO655" i="1"/>
  <c r="BN655" i="1"/>
  <c r="BM655" i="1"/>
  <c r="BL655" i="1"/>
  <c r="BK655" i="1"/>
  <c r="BJ655" i="1"/>
  <c r="BI655" i="1"/>
  <c r="BH655" i="1"/>
  <c r="BP654" i="1"/>
  <c r="BO654" i="1"/>
  <c r="BN654" i="1"/>
  <c r="BM654" i="1"/>
  <c r="BL654" i="1"/>
  <c r="BK654" i="1"/>
  <c r="BJ654" i="1"/>
  <c r="BI654" i="1"/>
  <c r="BH654" i="1"/>
  <c r="BP653" i="1"/>
  <c r="BO653" i="1"/>
  <c r="BN653" i="1"/>
  <c r="BM653" i="1"/>
  <c r="BL653" i="1"/>
  <c r="BK653" i="1"/>
  <c r="BJ653" i="1"/>
  <c r="BI653" i="1"/>
  <c r="BH653" i="1"/>
  <c r="BP652" i="1"/>
  <c r="BO652" i="1"/>
  <c r="BN652" i="1"/>
  <c r="BM652" i="1"/>
  <c r="BL652" i="1"/>
  <c r="BK652" i="1"/>
  <c r="BJ652" i="1"/>
  <c r="BI652" i="1"/>
  <c r="BH652" i="1"/>
  <c r="BP651" i="1"/>
  <c r="BO651" i="1"/>
  <c r="BN651" i="1"/>
  <c r="BM651" i="1"/>
  <c r="BL651" i="1"/>
  <c r="BK651" i="1"/>
  <c r="BJ651" i="1"/>
  <c r="BI651" i="1"/>
  <c r="BH651" i="1"/>
  <c r="BP650" i="1"/>
  <c r="BO650" i="1"/>
  <c r="BN650" i="1"/>
  <c r="BM650" i="1"/>
  <c r="BL650" i="1"/>
  <c r="BK650" i="1"/>
  <c r="BJ650" i="1"/>
  <c r="BI650" i="1"/>
  <c r="BH650" i="1"/>
  <c r="BP649" i="1"/>
  <c r="BO649" i="1"/>
  <c r="BN649" i="1"/>
  <c r="BM649" i="1"/>
  <c r="BL649" i="1"/>
  <c r="BK649" i="1"/>
  <c r="BJ649" i="1"/>
  <c r="BI649" i="1"/>
  <c r="BH649" i="1"/>
  <c r="BP648" i="1"/>
  <c r="BO648" i="1"/>
  <c r="BN648" i="1"/>
  <c r="BM648" i="1"/>
  <c r="BL648" i="1"/>
  <c r="BK648" i="1"/>
  <c r="BJ648" i="1"/>
  <c r="BI648" i="1"/>
  <c r="BH648" i="1"/>
  <c r="BP647" i="1"/>
  <c r="BO647" i="1"/>
  <c r="BN647" i="1"/>
  <c r="BM647" i="1"/>
  <c r="BL647" i="1"/>
  <c r="BK647" i="1"/>
  <c r="BJ647" i="1"/>
  <c r="BI647" i="1"/>
  <c r="BH647" i="1"/>
  <c r="BP646" i="1"/>
  <c r="BO646" i="1"/>
  <c r="BN646" i="1"/>
  <c r="BM646" i="1"/>
  <c r="BL646" i="1"/>
  <c r="BK646" i="1"/>
  <c r="BJ646" i="1"/>
  <c r="BI646" i="1"/>
  <c r="BH646" i="1"/>
  <c r="BP645" i="1"/>
  <c r="BO645" i="1"/>
  <c r="BN645" i="1"/>
  <c r="BM645" i="1"/>
  <c r="BL645" i="1"/>
  <c r="BK645" i="1"/>
  <c r="BJ645" i="1"/>
  <c r="BI645" i="1"/>
  <c r="BH645" i="1"/>
  <c r="BP644" i="1"/>
  <c r="BO644" i="1"/>
  <c r="BN644" i="1"/>
  <c r="BM644" i="1"/>
  <c r="BL644" i="1"/>
  <c r="BK644" i="1"/>
  <c r="BJ644" i="1"/>
  <c r="BI644" i="1"/>
  <c r="BH644" i="1"/>
  <c r="BP643" i="1"/>
  <c r="BO643" i="1"/>
  <c r="BN643" i="1"/>
  <c r="BM643" i="1"/>
  <c r="BL643" i="1"/>
  <c r="BK643" i="1"/>
  <c r="BJ643" i="1"/>
  <c r="BI643" i="1"/>
  <c r="BH643" i="1"/>
  <c r="BP642" i="1"/>
  <c r="BO642" i="1"/>
  <c r="BN642" i="1"/>
  <c r="BM642" i="1"/>
  <c r="BL642" i="1"/>
  <c r="BK642" i="1"/>
  <c r="BJ642" i="1"/>
  <c r="BI642" i="1"/>
  <c r="BH642" i="1"/>
  <c r="BP641" i="1"/>
  <c r="BO641" i="1"/>
  <c r="BN641" i="1"/>
  <c r="BM641" i="1"/>
  <c r="BL641" i="1"/>
  <c r="BK641" i="1"/>
  <c r="BJ641" i="1"/>
  <c r="BI641" i="1"/>
  <c r="BH641" i="1"/>
  <c r="BP640" i="1"/>
  <c r="BO640" i="1"/>
  <c r="BN640" i="1"/>
  <c r="BM640" i="1"/>
  <c r="BL640" i="1"/>
  <c r="BK640" i="1"/>
  <c r="BJ640" i="1"/>
  <c r="BI640" i="1"/>
  <c r="BH640" i="1"/>
  <c r="BP639" i="1"/>
  <c r="BO639" i="1"/>
  <c r="BN639" i="1"/>
  <c r="BM639" i="1"/>
  <c r="BL639" i="1"/>
  <c r="BK639" i="1"/>
  <c r="BJ639" i="1"/>
  <c r="BI639" i="1"/>
  <c r="BH639" i="1"/>
  <c r="BP638" i="1"/>
  <c r="BO638" i="1"/>
  <c r="BN638" i="1"/>
  <c r="BM638" i="1"/>
  <c r="BL638" i="1"/>
  <c r="BK638" i="1"/>
  <c r="BJ638" i="1"/>
  <c r="BI638" i="1"/>
  <c r="BH638" i="1"/>
  <c r="BP637" i="1"/>
  <c r="BO637" i="1"/>
  <c r="BN637" i="1"/>
  <c r="BM637" i="1"/>
  <c r="BL637" i="1"/>
  <c r="BK637" i="1"/>
  <c r="BJ637" i="1"/>
  <c r="BI637" i="1"/>
  <c r="BH637" i="1"/>
  <c r="BP636" i="1"/>
  <c r="BO636" i="1"/>
  <c r="BN636" i="1"/>
  <c r="BM636" i="1"/>
  <c r="BL636" i="1"/>
  <c r="BK636" i="1"/>
  <c r="BJ636" i="1"/>
  <c r="BI636" i="1"/>
  <c r="BH636" i="1"/>
  <c r="BP635" i="1"/>
  <c r="BO635" i="1"/>
  <c r="BN635" i="1"/>
  <c r="BM635" i="1"/>
  <c r="BL635" i="1"/>
  <c r="BK635" i="1"/>
  <c r="BJ635" i="1"/>
  <c r="BI635" i="1"/>
  <c r="BH635" i="1"/>
  <c r="BP634" i="1"/>
  <c r="BO634" i="1"/>
  <c r="BN634" i="1"/>
  <c r="BM634" i="1"/>
  <c r="BL634" i="1"/>
  <c r="BK634" i="1"/>
  <c r="BJ634" i="1"/>
  <c r="BI634" i="1"/>
  <c r="BH634" i="1"/>
  <c r="BP633" i="1"/>
  <c r="BO633" i="1"/>
  <c r="BN633" i="1"/>
  <c r="BM633" i="1"/>
  <c r="BL633" i="1"/>
  <c r="BK633" i="1"/>
  <c r="BJ633" i="1"/>
  <c r="BI633" i="1"/>
  <c r="BH633" i="1"/>
  <c r="AR633" i="1"/>
  <c r="AN633" i="1"/>
  <c r="BP632" i="1"/>
  <c r="BO632" i="1"/>
  <c r="BN632" i="1"/>
  <c r="BM632" i="1"/>
  <c r="BL632" i="1"/>
  <c r="BK632" i="1"/>
  <c r="BJ632" i="1"/>
  <c r="BI632" i="1"/>
  <c r="BH632" i="1"/>
  <c r="BP631" i="1"/>
  <c r="BO631" i="1"/>
  <c r="BN631" i="1"/>
  <c r="BM631" i="1"/>
  <c r="BL631" i="1"/>
  <c r="BK631" i="1"/>
  <c r="BJ631" i="1"/>
  <c r="BI631" i="1"/>
  <c r="BH631" i="1"/>
  <c r="BP630" i="1"/>
  <c r="BO630" i="1"/>
  <c r="BN630" i="1"/>
  <c r="BL630" i="1"/>
  <c r="BK630" i="1"/>
  <c r="BJ630" i="1"/>
  <c r="BI630" i="1"/>
  <c r="BH630" i="1"/>
  <c r="AE630" i="1"/>
  <c r="BM630" i="1" s="1"/>
  <c r="BP629" i="1"/>
  <c r="BO629" i="1"/>
  <c r="BN629" i="1"/>
  <c r="BM629" i="1"/>
  <c r="BL629" i="1"/>
  <c r="BK629" i="1"/>
  <c r="BJ629" i="1"/>
  <c r="BI629" i="1"/>
  <c r="BH629" i="1"/>
  <c r="AE629" i="1"/>
  <c r="BP628" i="1"/>
  <c r="BO628" i="1"/>
  <c r="BN628" i="1"/>
  <c r="BM628" i="1"/>
  <c r="BL628" i="1"/>
  <c r="BK628" i="1"/>
  <c r="BJ628" i="1"/>
  <c r="BI628" i="1"/>
  <c r="BH628" i="1"/>
  <c r="BP627" i="1"/>
  <c r="BO627" i="1"/>
  <c r="BN627" i="1"/>
  <c r="BM627" i="1"/>
  <c r="BL627" i="1"/>
  <c r="BJ627" i="1"/>
  <c r="BI627" i="1"/>
  <c r="BH627" i="1"/>
  <c r="X627" i="1"/>
  <c r="BK627" i="1" s="1"/>
  <c r="BP626" i="1"/>
  <c r="BN626" i="1"/>
  <c r="BM626" i="1"/>
  <c r="BL626" i="1"/>
  <c r="BK626" i="1"/>
  <c r="BJ626" i="1"/>
  <c r="BI626" i="1"/>
  <c r="BH626" i="1"/>
  <c r="AY626" i="1"/>
  <c r="BO626" i="1" s="1"/>
  <c r="BP625" i="1"/>
  <c r="BO625" i="1"/>
  <c r="BN625" i="1"/>
  <c r="BM625" i="1"/>
  <c r="BL625" i="1"/>
  <c r="BK625" i="1"/>
  <c r="BJ625" i="1"/>
  <c r="BI625" i="1"/>
  <c r="BH625" i="1"/>
  <c r="BP624" i="1"/>
  <c r="BO624" i="1"/>
  <c r="BN624" i="1"/>
  <c r="BM624" i="1"/>
  <c r="BL624" i="1"/>
  <c r="BK624" i="1"/>
  <c r="BJ624" i="1"/>
  <c r="BI624" i="1"/>
  <c r="BH624" i="1"/>
  <c r="BP623" i="1"/>
  <c r="BO623" i="1"/>
  <c r="BN623" i="1"/>
  <c r="BM623" i="1"/>
  <c r="BL623" i="1"/>
  <c r="BK623" i="1"/>
  <c r="BJ623" i="1"/>
  <c r="BI623" i="1"/>
  <c r="BH623" i="1"/>
  <c r="BP622" i="1"/>
  <c r="BO622" i="1"/>
  <c r="BN622" i="1"/>
  <c r="BL622" i="1"/>
  <c r="BK622" i="1"/>
  <c r="BJ622" i="1"/>
  <c r="BI622" i="1"/>
  <c r="BH622" i="1"/>
  <c r="AR622" i="1"/>
  <c r="AN622" i="1"/>
  <c r="BM622" i="1" s="1"/>
  <c r="BP621" i="1"/>
  <c r="BO621" i="1"/>
  <c r="BN621" i="1"/>
  <c r="BL621" i="1"/>
  <c r="BK621" i="1"/>
  <c r="BJ621" i="1"/>
  <c r="BI621" i="1"/>
  <c r="BH621" i="1"/>
  <c r="AR621" i="1"/>
  <c r="AN621" i="1"/>
  <c r="AI621" i="1"/>
  <c r="BM621" i="1" s="1"/>
  <c r="BP620" i="1"/>
  <c r="BO620" i="1"/>
  <c r="BN620" i="1"/>
  <c r="BL620" i="1"/>
  <c r="BJ620" i="1"/>
  <c r="BI620" i="1"/>
  <c r="BH620" i="1"/>
  <c r="AR620" i="1"/>
  <c r="AN620" i="1"/>
  <c r="BM620" i="1" s="1"/>
  <c r="W620" i="1"/>
  <c r="BK620" i="1" s="1"/>
  <c r="BP619" i="1"/>
  <c r="BO619" i="1"/>
  <c r="BN619" i="1"/>
  <c r="BM619" i="1"/>
  <c r="BL619" i="1"/>
  <c r="BK619" i="1"/>
  <c r="BJ619" i="1"/>
  <c r="BI619" i="1"/>
  <c r="BH619" i="1"/>
  <c r="BP618" i="1"/>
  <c r="BO618" i="1"/>
  <c r="BN618" i="1"/>
  <c r="BM618" i="1"/>
  <c r="BL618" i="1"/>
  <c r="BK618" i="1"/>
  <c r="BJ618" i="1"/>
  <c r="BI618" i="1"/>
  <c r="BH618" i="1"/>
  <c r="BP617" i="1"/>
  <c r="BO617" i="1"/>
  <c r="BN617" i="1"/>
  <c r="BM617" i="1"/>
  <c r="BL617" i="1"/>
  <c r="BK617" i="1"/>
  <c r="BJ617" i="1"/>
  <c r="BI617" i="1"/>
  <c r="BH617" i="1"/>
  <c r="X617" i="1"/>
  <c r="BP616" i="1"/>
  <c r="BO616" i="1"/>
  <c r="BN616" i="1"/>
  <c r="BM616" i="1"/>
  <c r="BL616" i="1"/>
  <c r="BK616" i="1"/>
  <c r="BJ616" i="1"/>
  <c r="BI616" i="1"/>
  <c r="BH616" i="1"/>
  <c r="AR616" i="1"/>
  <c r="AN616" i="1"/>
  <c r="AM616" i="1"/>
  <c r="BP615" i="1"/>
  <c r="BO615" i="1"/>
  <c r="BN615" i="1"/>
  <c r="BM615" i="1"/>
  <c r="BL615" i="1"/>
  <c r="BK615" i="1"/>
  <c r="BJ615" i="1"/>
  <c r="BI615" i="1"/>
  <c r="BH615" i="1"/>
  <c r="AS615" i="1"/>
  <c r="AN615" i="1"/>
  <c r="AM615" i="1"/>
  <c r="W615" i="1"/>
  <c r="BP614" i="1"/>
  <c r="BO614" i="1"/>
  <c r="BN614" i="1"/>
  <c r="BM614" i="1"/>
  <c r="BL614" i="1"/>
  <c r="BJ614" i="1"/>
  <c r="BG614" i="1"/>
  <c r="BF614" i="1"/>
  <c r="AW614" i="1"/>
  <c r="AT614" i="1"/>
  <c r="V614" i="1"/>
  <c r="U614" i="1"/>
  <c r="BK614" i="1" s="1"/>
  <c r="S614" i="1"/>
  <c r="M614" i="1"/>
  <c r="BI614" i="1" s="1"/>
  <c r="G614" i="1"/>
  <c r="C614" i="1"/>
  <c r="BH614" i="1" s="1"/>
  <c r="BP613" i="1"/>
  <c r="BO613" i="1"/>
  <c r="BN613" i="1"/>
  <c r="BM613" i="1"/>
  <c r="BL613" i="1"/>
  <c r="BK613" i="1"/>
  <c r="BJ613" i="1"/>
  <c r="BI613" i="1"/>
  <c r="BH613" i="1"/>
  <c r="BP612" i="1"/>
  <c r="BO612" i="1"/>
  <c r="BN612" i="1"/>
  <c r="BL612" i="1"/>
  <c r="BK612" i="1"/>
  <c r="BJ612" i="1"/>
  <c r="BI612" i="1"/>
  <c r="BH612" i="1"/>
  <c r="AL612" i="1"/>
  <c r="BM612" i="1" s="1"/>
  <c r="BP611" i="1"/>
  <c r="BO611" i="1"/>
  <c r="BN611" i="1"/>
  <c r="BM611" i="1"/>
  <c r="BL611" i="1"/>
  <c r="BK611" i="1"/>
  <c r="BJ611" i="1"/>
  <c r="BI611" i="1"/>
  <c r="BH611" i="1"/>
  <c r="BP610" i="1"/>
  <c r="BO610" i="1"/>
  <c r="BN610" i="1"/>
  <c r="BM610" i="1"/>
  <c r="BL610" i="1"/>
  <c r="BK610" i="1"/>
  <c r="BJ610" i="1"/>
  <c r="BI610" i="1"/>
  <c r="BH610" i="1"/>
  <c r="BP609" i="1"/>
  <c r="BO609" i="1"/>
  <c r="BN609" i="1"/>
  <c r="BM609" i="1"/>
  <c r="BL609" i="1"/>
  <c r="BK609" i="1"/>
  <c r="BJ609" i="1"/>
  <c r="BI609" i="1"/>
  <c r="BH609" i="1"/>
  <c r="BP608" i="1"/>
  <c r="BO608" i="1"/>
  <c r="BN608" i="1"/>
  <c r="BL608" i="1"/>
  <c r="BK608" i="1"/>
  <c r="BJ608" i="1"/>
  <c r="BI608" i="1"/>
  <c r="BH608" i="1"/>
  <c r="AR608" i="1"/>
  <c r="AN608" i="1"/>
  <c r="AM608" i="1"/>
  <c r="BM608" i="1" s="1"/>
  <c r="BP607" i="1"/>
  <c r="BO607" i="1"/>
  <c r="BN607" i="1"/>
  <c r="BL607" i="1"/>
  <c r="BK607" i="1"/>
  <c r="BJ607" i="1"/>
  <c r="BI607" i="1"/>
  <c r="BH607" i="1"/>
  <c r="AR607" i="1"/>
  <c r="AN607" i="1"/>
  <c r="AM607" i="1"/>
  <c r="BM607" i="1" s="1"/>
  <c r="BP606" i="1"/>
  <c r="BO606" i="1"/>
  <c r="BN606" i="1"/>
  <c r="BL606" i="1"/>
  <c r="BK606" i="1"/>
  <c r="BJ606" i="1"/>
  <c r="BH606" i="1"/>
  <c r="AR606" i="1"/>
  <c r="AQ606" i="1"/>
  <c r="AI606" i="1"/>
  <c r="BM606" i="1" s="1"/>
  <c r="P606" i="1"/>
  <c r="BI606" i="1" s="1"/>
  <c r="BP605" i="1"/>
  <c r="BO605" i="1"/>
  <c r="BN605" i="1"/>
  <c r="BL605" i="1"/>
  <c r="BJ605" i="1"/>
  <c r="BI605" i="1"/>
  <c r="BH605" i="1"/>
  <c r="AR605" i="1"/>
  <c r="AN605" i="1"/>
  <c r="AM605" i="1"/>
  <c r="BM605" i="1" s="1"/>
  <c r="W605" i="1"/>
  <c r="BK605" i="1" s="1"/>
  <c r="BP604" i="1"/>
  <c r="BO604" i="1"/>
  <c r="BN604" i="1"/>
  <c r="BL604" i="1"/>
  <c r="BK604" i="1"/>
  <c r="BJ604" i="1"/>
  <c r="BI604" i="1"/>
  <c r="BH604" i="1"/>
  <c r="AS604" i="1"/>
  <c r="AN604" i="1"/>
  <c r="AM604" i="1"/>
  <c r="BM604" i="1" s="1"/>
  <c r="W604" i="1"/>
  <c r="BP603" i="1"/>
  <c r="BO603" i="1"/>
  <c r="BN603" i="1"/>
  <c r="BL603" i="1"/>
  <c r="BK603" i="1"/>
  <c r="BJ603" i="1"/>
  <c r="BI603" i="1"/>
  <c r="BH603" i="1"/>
  <c r="AS603" i="1"/>
  <c r="AN603" i="1"/>
  <c r="BM603" i="1" s="1"/>
  <c r="AM603" i="1"/>
  <c r="W603" i="1"/>
  <c r="BP602" i="1"/>
  <c r="BO602" i="1"/>
  <c r="BN602" i="1"/>
  <c r="BM602" i="1"/>
  <c r="BL602" i="1"/>
  <c r="BK602" i="1"/>
  <c r="BJ602" i="1"/>
  <c r="BI602" i="1"/>
  <c r="BH602" i="1"/>
  <c r="BP601" i="1"/>
  <c r="BO601" i="1"/>
  <c r="BN601" i="1"/>
  <c r="BM601" i="1"/>
  <c r="BL601" i="1"/>
  <c r="BK601" i="1"/>
  <c r="BJ601" i="1"/>
  <c r="BI601" i="1"/>
  <c r="BH601" i="1"/>
  <c r="BP600" i="1"/>
  <c r="BN600" i="1"/>
  <c r="BM600" i="1"/>
  <c r="BL600" i="1"/>
  <c r="BK600" i="1"/>
  <c r="BJ600" i="1"/>
  <c r="BI600" i="1"/>
  <c r="BH600" i="1"/>
  <c r="AY600" i="1"/>
  <c r="BO600" i="1" s="1"/>
  <c r="BP599" i="1"/>
  <c r="BO599" i="1"/>
  <c r="BN599" i="1"/>
  <c r="BM599" i="1"/>
  <c r="BL599" i="1"/>
  <c r="BK599" i="1"/>
  <c r="BJ599" i="1"/>
  <c r="BI599" i="1"/>
  <c r="BH599" i="1"/>
  <c r="X599" i="1"/>
  <c r="BP598" i="1"/>
  <c r="BO598" i="1"/>
  <c r="BN598" i="1"/>
  <c r="BM598" i="1"/>
  <c r="BL598" i="1"/>
  <c r="BK598" i="1"/>
  <c r="BJ598" i="1"/>
  <c r="BI598" i="1"/>
  <c r="BH598" i="1"/>
  <c r="AE598" i="1"/>
  <c r="BP597" i="1"/>
  <c r="BO597" i="1"/>
  <c r="BN597" i="1"/>
  <c r="BM597" i="1"/>
  <c r="BL597" i="1"/>
  <c r="BK597" i="1"/>
  <c r="BJ597" i="1"/>
  <c r="BI597" i="1"/>
  <c r="BH597" i="1"/>
  <c r="BP596" i="1"/>
  <c r="BO596" i="1"/>
  <c r="BN596" i="1"/>
  <c r="BL596" i="1"/>
  <c r="BK596" i="1"/>
  <c r="BJ596" i="1"/>
  <c r="BI596" i="1"/>
  <c r="BH596" i="1"/>
  <c r="AB596" i="1"/>
  <c r="BM596" i="1" s="1"/>
  <c r="BP595" i="1"/>
  <c r="BO595" i="1"/>
  <c r="BN595" i="1"/>
  <c r="BM595" i="1"/>
  <c r="BL595" i="1"/>
  <c r="BK595" i="1"/>
  <c r="BJ595" i="1"/>
  <c r="BI595" i="1"/>
  <c r="BH595" i="1"/>
  <c r="BP594" i="1"/>
  <c r="BO594" i="1"/>
  <c r="BN594" i="1"/>
  <c r="BM594" i="1"/>
  <c r="BL594" i="1"/>
  <c r="BK594" i="1"/>
  <c r="BJ594" i="1"/>
  <c r="BI594" i="1"/>
  <c r="BH594" i="1"/>
  <c r="BP593" i="1"/>
  <c r="BO593" i="1"/>
  <c r="BN593" i="1"/>
  <c r="BM593" i="1"/>
  <c r="BL593" i="1"/>
  <c r="BK593" i="1"/>
  <c r="BJ593" i="1"/>
  <c r="BI593" i="1"/>
  <c r="BH593" i="1"/>
  <c r="BP592" i="1"/>
  <c r="BO592" i="1"/>
  <c r="BN592" i="1"/>
  <c r="BM592" i="1"/>
  <c r="BL592" i="1"/>
  <c r="BK592" i="1"/>
  <c r="BJ592" i="1"/>
  <c r="BI592" i="1"/>
  <c r="BH592" i="1"/>
  <c r="BP591" i="1"/>
  <c r="BO591" i="1"/>
  <c r="BN591" i="1"/>
  <c r="BL591" i="1"/>
  <c r="BK591" i="1"/>
  <c r="BJ591" i="1"/>
  <c r="BI591" i="1"/>
  <c r="BH591" i="1"/>
  <c r="AR591" i="1"/>
  <c r="AN591" i="1"/>
  <c r="AM591" i="1"/>
  <c r="BM591" i="1" s="1"/>
  <c r="BP590" i="1"/>
  <c r="BO590" i="1"/>
  <c r="BN590" i="1"/>
  <c r="BL590" i="1"/>
  <c r="BJ590" i="1"/>
  <c r="BI590" i="1"/>
  <c r="BH590" i="1"/>
  <c r="AS590" i="1"/>
  <c r="AM590" i="1"/>
  <c r="BM590" i="1" s="1"/>
  <c r="W590" i="1"/>
  <c r="BK590" i="1" s="1"/>
  <c r="BP589" i="1"/>
  <c r="BO589" i="1"/>
  <c r="BN589" i="1"/>
  <c r="BL589" i="1"/>
  <c r="BJ589" i="1"/>
  <c r="BI589" i="1"/>
  <c r="BH589" i="1"/>
  <c r="AS589" i="1"/>
  <c r="AM589" i="1"/>
  <c r="BM589" i="1" s="1"/>
  <c r="W589" i="1"/>
  <c r="BK589" i="1" s="1"/>
  <c r="BP588" i="1"/>
  <c r="BO588" i="1"/>
  <c r="BN588" i="1"/>
  <c r="BL588" i="1"/>
  <c r="BJ588" i="1"/>
  <c r="BI588" i="1"/>
  <c r="BH588" i="1"/>
  <c r="AS588" i="1"/>
  <c r="AM588" i="1"/>
  <c r="BM588" i="1" s="1"/>
  <c r="W588" i="1"/>
  <c r="BK588" i="1" s="1"/>
  <c r="BP587" i="1"/>
  <c r="BO587" i="1"/>
  <c r="BN587" i="1"/>
  <c r="BL587" i="1"/>
  <c r="BJ587" i="1"/>
  <c r="BI587" i="1"/>
  <c r="BH587" i="1"/>
  <c r="AS587" i="1"/>
  <c r="AN587" i="1"/>
  <c r="AM587" i="1"/>
  <c r="BM587" i="1" s="1"/>
  <c r="W587" i="1"/>
  <c r="BK587" i="1" s="1"/>
  <c r="BP586" i="1"/>
  <c r="BO586" i="1"/>
  <c r="BN586" i="1"/>
  <c r="BM586" i="1"/>
  <c r="BL586" i="1"/>
  <c r="BK586" i="1"/>
  <c r="BJ586" i="1"/>
  <c r="BI586" i="1"/>
  <c r="BH586" i="1"/>
  <c r="BP585" i="1"/>
  <c r="BO585" i="1"/>
  <c r="BN585" i="1"/>
  <c r="BM585" i="1"/>
  <c r="BL585" i="1"/>
  <c r="BJ585" i="1"/>
  <c r="BI585" i="1"/>
  <c r="BH585" i="1"/>
  <c r="X585" i="1"/>
  <c r="BK585" i="1" s="1"/>
  <c r="BP584" i="1"/>
  <c r="BO584" i="1"/>
  <c r="BN584" i="1"/>
  <c r="BM584" i="1"/>
  <c r="BL584" i="1"/>
  <c r="BK584" i="1"/>
  <c r="BJ584" i="1"/>
  <c r="BH584" i="1"/>
  <c r="BE584" i="1"/>
  <c r="X584" i="1"/>
  <c r="S584" i="1"/>
  <c r="R584" i="1"/>
  <c r="BI584" i="1" s="1"/>
  <c r="BP583" i="1"/>
  <c r="BO583" i="1"/>
  <c r="BN583" i="1"/>
  <c r="BM583" i="1"/>
  <c r="BL583" i="1"/>
  <c r="BK583" i="1"/>
  <c r="BJ583" i="1"/>
  <c r="BI583" i="1"/>
  <c r="BH583" i="1"/>
  <c r="AY583" i="1"/>
  <c r="BP582" i="1"/>
  <c r="BO582" i="1"/>
  <c r="BN582" i="1"/>
  <c r="BM582" i="1"/>
  <c r="BL582" i="1"/>
  <c r="BK582" i="1"/>
  <c r="BJ582" i="1"/>
  <c r="BI582" i="1"/>
  <c r="BH582" i="1"/>
  <c r="BP581" i="1"/>
  <c r="BO581" i="1"/>
  <c r="BN581" i="1"/>
  <c r="BL581" i="1"/>
  <c r="BK581" i="1"/>
  <c r="BJ581" i="1"/>
  <c r="BI581" i="1"/>
  <c r="BH581" i="1"/>
  <c r="AR581" i="1"/>
  <c r="AN581" i="1"/>
  <c r="BM581" i="1" s="1"/>
  <c r="AM581" i="1"/>
  <c r="BP580" i="1"/>
  <c r="BO580" i="1"/>
  <c r="BN580" i="1"/>
  <c r="BL580" i="1"/>
  <c r="BK580" i="1"/>
  <c r="BJ580" i="1"/>
  <c r="BI580" i="1"/>
  <c r="BH580" i="1"/>
  <c r="AR580" i="1"/>
  <c r="AN580" i="1"/>
  <c r="BM580" i="1" s="1"/>
  <c r="AM580" i="1"/>
  <c r="W580" i="1"/>
  <c r="BP579" i="1"/>
  <c r="BO579" i="1"/>
  <c r="BN579" i="1"/>
  <c r="BM579" i="1"/>
  <c r="BK579" i="1"/>
  <c r="BJ579" i="1"/>
  <c r="BI579" i="1"/>
  <c r="BH579" i="1"/>
  <c r="AA579" i="1"/>
  <c r="BL579" i="1" s="1"/>
  <c r="BP578" i="1"/>
  <c r="BO578" i="1"/>
  <c r="BN578" i="1"/>
  <c r="BM578" i="1"/>
  <c r="BL578" i="1"/>
  <c r="BK578" i="1"/>
  <c r="BJ578" i="1"/>
  <c r="BI578" i="1"/>
  <c r="BH578" i="1"/>
  <c r="BP577" i="1"/>
  <c r="BO577" i="1"/>
  <c r="BN577" i="1"/>
  <c r="BM577" i="1"/>
  <c r="BL577" i="1"/>
  <c r="BJ577" i="1"/>
  <c r="BI577" i="1"/>
  <c r="BH577" i="1"/>
  <c r="V577" i="1"/>
  <c r="BK577" i="1" s="1"/>
  <c r="BP576" i="1"/>
  <c r="BO576" i="1"/>
  <c r="BN576" i="1"/>
  <c r="BM576" i="1"/>
  <c r="BL576" i="1"/>
  <c r="BK576" i="1"/>
  <c r="BJ576" i="1"/>
  <c r="BI576" i="1"/>
  <c r="AJ576" i="1"/>
  <c r="J576" i="1"/>
  <c r="BH576" i="1" s="1"/>
  <c r="BP575" i="1"/>
  <c r="BO575" i="1"/>
  <c r="BM575" i="1"/>
  <c r="BL575" i="1"/>
  <c r="BK575" i="1"/>
  <c r="BG575" i="1"/>
  <c r="BF575" i="1"/>
  <c r="AW575" i="1"/>
  <c r="AT575" i="1"/>
  <c r="BN575" i="1" s="1"/>
  <c r="U575" i="1"/>
  <c r="S575" i="1"/>
  <c r="BJ575" i="1" s="1"/>
  <c r="M575" i="1"/>
  <c r="BI575" i="1" s="1"/>
  <c r="G575" i="1"/>
  <c r="C575" i="1"/>
  <c r="BH575" i="1" s="1"/>
  <c r="BP574" i="1"/>
  <c r="BO574" i="1"/>
  <c r="BN574" i="1"/>
  <c r="BM574" i="1"/>
  <c r="BL574" i="1"/>
  <c r="BK574" i="1"/>
  <c r="BJ574" i="1"/>
  <c r="BI574" i="1"/>
  <c r="BH574" i="1"/>
  <c r="X574" i="1"/>
  <c r="BP573" i="1"/>
  <c r="BO573" i="1"/>
  <c r="BN573" i="1"/>
  <c r="BM573" i="1"/>
  <c r="BL573" i="1"/>
  <c r="BK573" i="1"/>
  <c r="BJ573" i="1"/>
  <c r="BI573" i="1"/>
  <c r="BH573" i="1"/>
  <c r="BP572" i="1"/>
  <c r="BO572" i="1"/>
  <c r="BN572" i="1"/>
  <c r="BM572" i="1"/>
  <c r="BL572" i="1"/>
  <c r="BK572" i="1"/>
  <c r="BJ572" i="1"/>
  <c r="BI572" i="1"/>
  <c r="BH572" i="1"/>
  <c r="BP571" i="1"/>
  <c r="BO571" i="1"/>
  <c r="BN571" i="1"/>
  <c r="BM571" i="1"/>
  <c r="BL571" i="1"/>
  <c r="BK571" i="1"/>
  <c r="BJ571" i="1"/>
  <c r="BI571" i="1"/>
  <c r="BH571" i="1"/>
  <c r="BP570" i="1"/>
  <c r="BO570" i="1"/>
  <c r="BN570" i="1"/>
  <c r="BL570" i="1"/>
  <c r="BK570" i="1"/>
  <c r="BJ570" i="1"/>
  <c r="BI570" i="1"/>
  <c r="BH570" i="1"/>
  <c r="AR570" i="1"/>
  <c r="AN570" i="1"/>
  <c r="BM570" i="1" s="1"/>
  <c r="AM570" i="1"/>
  <c r="BP569" i="1"/>
  <c r="BO569" i="1"/>
  <c r="BN569" i="1"/>
  <c r="BL569" i="1"/>
  <c r="BK569" i="1"/>
  <c r="BJ569" i="1"/>
  <c r="BI569" i="1"/>
  <c r="BH569" i="1"/>
  <c r="AR569" i="1"/>
  <c r="AN569" i="1"/>
  <c r="BM569" i="1" s="1"/>
  <c r="AM569" i="1"/>
  <c r="BP568" i="1"/>
  <c r="BO568" i="1"/>
  <c r="BN568" i="1"/>
  <c r="BL568" i="1"/>
  <c r="BK568" i="1"/>
  <c r="BJ568" i="1"/>
  <c r="BI568" i="1"/>
  <c r="BH568" i="1"/>
  <c r="AR568" i="1"/>
  <c r="AN568" i="1"/>
  <c r="BM568" i="1" s="1"/>
  <c r="AM568" i="1"/>
  <c r="W568" i="1"/>
  <c r="BP567" i="1"/>
  <c r="BO567" i="1"/>
  <c r="BN567" i="1"/>
  <c r="BL567" i="1"/>
  <c r="BK567" i="1"/>
  <c r="BJ567" i="1"/>
  <c r="BI567" i="1"/>
  <c r="BH567" i="1"/>
  <c r="AR567" i="1"/>
  <c r="BM567" i="1" s="1"/>
  <c r="AN567" i="1"/>
  <c r="AI567" i="1"/>
  <c r="BP566" i="1"/>
  <c r="BO566" i="1"/>
  <c r="BN566" i="1"/>
  <c r="BL566" i="1"/>
  <c r="BK566" i="1"/>
  <c r="BJ566" i="1"/>
  <c r="BI566" i="1"/>
  <c r="BH566" i="1"/>
  <c r="AS566" i="1"/>
  <c r="BM566" i="1" s="1"/>
  <c r="AN566" i="1"/>
  <c r="AM566" i="1"/>
  <c r="W566" i="1"/>
  <c r="BP565" i="1"/>
  <c r="BO565" i="1"/>
  <c r="BN565" i="1"/>
  <c r="BM565" i="1"/>
  <c r="BL565" i="1"/>
  <c r="BJ565" i="1"/>
  <c r="BI565" i="1"/>
  <c r="BH565" i="1"/>
  <c r="AS565" i="1"/>
  <c r="AN565" i="1"/>
  <c r="AM565" i="1"/>
  <c r="W565" i="1"/>
  <c r="BK565" i="1" s="1"/>
  <c r="BP564" i="1"/>
  <c r="BO564" i="1"/>
  <c r="BN564" i="1"/>
  <c r="BM564" i="1"/>
  <c r="BL564" i="1"/>
  <c r="BK564" i="1"/>
  <c r="BJ564" i="1"/>
  <c r="BI564" i="1"/>
  <c r="BH564" i="1"/>
  <c r="AS564" i="1"/>
  <c r="AN564" i="1"/>
  <c r="AM564" i="1"/>
  <c r="W564" i="1"/>
  <c r="BP563" i="1"/>
  <c r="BO563" i="1"/>
  <c r="BN563" i="1"/>
  <c r="BM563" i="1"/>
  <c r="BL563" i="1"/>
  <c r="BK563" i="1"/>
  <c r="BJ563" i="1"/>
  <c r="BI563" i="1"/>
  <c r="BH563" i="1"/>
  <c r="BP562" i="1"/>
  <c r="BO562" i="1"/>
  <c r="BN562" i="1"/>
  <c r="BM562" i="1"/>
  <c r="BL562" i="1"/>
  <c r="BK562" i="1"/>
  <c r="BJ562" i="1"/>
  <c r="BI562" i="1"/>
  <c r="BH562" i="1"/>
  <c r="BP561" i="1"/>
  <c r="BO561" i="1"/>
  <c r="BN561" i="1"/>
  <c r="BM561" i="1"/>
  <c r="BL561" i="1"/>
  <c r="BK561" i="1"/>
  <c r="BJ561" i="1"/>
  <c r="BI561" i="1"/>
  <c r="BH561" i="1"/>
  <c r="BP560" i="1"/>
  <c r="BO560" i="1"/>
  <c r="BN560" i="1"/>
  <c r="BM560" i="1"/>
  <c r="BL560" i="1"/>
  <c r="BK560" i="1"/>
  <c r="BJ560" i="1"/>
  <c r="BI560" i="1"/>
  <c r="BH560" i="1"/>
  <c r="BP559" i="1"/>
  <c r="BO559" i="1"/>
  <c r="BN559" i="1"/>
  <c r="BM559" i="1"/>
  <c r="BL559" i="1"/>
  <c r="BK559" i="1"/>
  <c r="BJ559" i="1"/>
  <c r="BI559" i="1"/>
  <c r="BH559" i="1"/>
  <c r="V559" i="1"/>
  <c r="BP558" i="1"/>
  <c r="BO558" i="1"/>
  <c r="BN558" i="1"/>
  <c r="BM558" i="1"/>
  <c r="BL558" i="1"/>
  <c r="BK558" i="1"/>
  <c r="BJ558" i="1"/>
  <c r="BI558" i="1"/>
  <c r="BH558" i="1"/>
  <c r="AY558" i="1"/>
  <c r="BP557" i="1"/>
  <c r="BO557" i="1"/>
  <c r="BN557" i="1"/>
  <c r="BM557" i="1"/>
  <c r="BL557" i="1"/>
  <c r="BK557" i="1"/>
  <c r="BJ557" i="1"/>
  <c r="BI557" i="1"/>
  <c r="BH557" i="1"/>
  <c r="BP556" i="1"/>
  <c r="BO556" i="1"/>
  <c r="BN556" i="1"/>
  <c r="BM556" i="1"/>
  <c r="BL556" i="1"/>
  <c r="BK556" i="1"/>
  <c r="BJ556" i="1"/>
  <c r="BI556" i="1"/>
  <c r="BH556" i="1"/>
  <c r="BP555" i="1"/>
  <c r="BO555" i="1"/>
  <c r="BN555" i="1"/>
  <c r="BM555" i="1"/>
  <c r="BL555" i="1"/>
  <c r="BK555" i="1"/>
  <c r="BJ555" i="1"/>
  <c r="BI555" i="1"/>
  <c r="BH555" i="1"/>
  <c r="BP554" i="1"/>
  <c r="BO554" i="1"/>
  <c r="BN554" i="1"/>
  <c r="BM554" i="1"/>
  <c r="BL554" i="1"/>
  <c r="BK554" i="1"/>
  <c r="BJ554" i="1"/>
  <c r="BI554" i="1"/>
  <c r="BH554" i="1"/>
  <c r="X554" i="1"/>
  <c r="BP553" i="1"/>
  <c r="BO553" i="1"/>
  <c r="BN553" i="1"/>
  <c r="BL553" i="1"/>
  <c r="BK553" i="1"/>
  <c r="BJ553" i="1"/>
  <c r="BI553" i="1"/>
  <c r="BH553" i="1"/>
  <c r="AE553" i="1"/>
  <c r="BM553" i="1" s="1"/>
  <c r="BP552" i="1"/>
  <c r="BO552" i="1"/>
  <c r="BN552" i="1"/>
  <c r="BM552" i="1"/>
  <c r="BL552" i="1"/>
  <c r="BK552" i="1"/>
  <c r="BJ552" i="1"/>
  <c r="BI552" i="1"/>
  <c r="BH552" i="1"/>
  <c r="BP551" i="1"/>
  <c r="BO551" i="1"/>
  <c r="BN551" i="1"/>
  <c r="BM551" i="1"/>
  <c r="BL551" i="1"/>
  <c r="BK551" i="1"/>
  <c r="BJ551" i="1"/>
  <c r="BI551" i="1"/>
  <c r="BH551" i="1"/>
  <c r="BP550" i="1"/>
  <c r="BO550" i="1"/>
  <c r="BN550" i="1"/>
  <c r="BM550" i="1"/>
  <c r="BL550" i="1"/>
  <c r="BK550" i="1"/>
  <c r="BJ550" i="1"/>
  <c r="BI550" i="1"/>
  <c r="BH550" i="1"/>
  <c r="AY550" i="1"/>
  <c r="BP549" i="1"/>
  <c r="BO549" i="1"/>
  <c r="BN549" i="1"/>
  <c r="BM549" i="1"/>
  <c r="BL549" i="1"/>
  <c r="BK549" i="1"/>
  <c r="BJ549" i="1"/>
  <c r="BI549" i="1"/>
  <c r="BH549" i="1"/>
  <c r="BP548" i="1"/>
  <c r="BO548" i="1"/>
  <c r="BN548" i="1"/>
  <c r="BM548" i="1"/>
  <c r="BL548" i="1"/>
  <c r="BK548" i="1"/>
  <c r="BJ548" i="1"/>
  <c r="BI548" i="1"/>
  <c r="BH548" i="1"/>
  <c r="BP547" i="1"/>
  <c r="BO547" i="1"/>
  <c r="BN547" i="1"/>
  <c r="BM547" i="1"/>
  <c r="BL547" i="1"/>
  <c r="BK547" i="1"/>
  <c r="BJ547" i="1"/>
  <c r="BI547" i="1"/>
  <c r="BH547" i="1"/>
  <c r="BP546" i="1"/>
  <c r="BO546" i="1"/>
  <c r="BN546" i="1"/>
  <c r="BL546" i="1"/>
  <c r="BK546" i="1"/>
  <c r="BJ546" i="1"/>
  <c r="BI546" i="1"/>
  <c r="BH546" i="1"/>
  <c r="AR546" i="1"/>
  <c r="AN546" i="1"/>
  <c r="AM546" i="1"/>
  <c r="BM546" i="1" s="1"/>
  <c r="BP545" i="1"/>
  <c r="BO545" i="1"/>
  <c r="BN545" i="1"/>
  <c r="BM545" i="1"/>
  <c r="BL545" i="1"/>
  <c r="BJ545" i="1"/>
  <c r="BI545" i="1"/>
  <c r="BH545" i="1"/>
  <c r="V545" i="1"/>
  <c r="BK545" i="1" s="1"/>
  <c r="BP544" i="1"/>
  <c r="BO544" i="1"/>
  <c r="BN544" i="1"/>
  <c r="BL544" i="1"/>
  <c r="BK544" i="1"/>
  <c r="BJ544" i="1"/>
  <c r="BG544" i="1"/>
  <c r="AW544" i="1"/>
  <c r="AU544" i="1"/>
  <c r="AT544" i="1"/>
  <c r="AE544" i="1"/>
  <c r="AB544" i="1"/>
  <c r="BM544" i="1" s="1"/>
  <c r="Z544" i="1"/>
  <c r="U544" i="1"/>
  <c r="S544" i="1"/>
  <c r="O544" i="1"/>
  <c r="BI544" i="1" s="1"/>
  <c r="E544" i="1"/>
  <c r="D544" i="1"/>
  <c r="C544" i="1"/>
  <c r="BH544" i="1" s="1"/>
  <c r="BP543" i="1"/>
  <c r="BO543" i="1"/>
  <c r="BN543" i="1"/>
  <c r="BM543" i="1"/>
  <c r="BL543" i="1"/>
  <c r="BK543" i="1"/>
  <c r="BJ543" i="1"/>
  <c r="BI543" i="1"/>
  <c r="BH543" i="1"/>
  <c r="AM543" i="1"/>
  <c r="BP542" i="1"/>
  <c r="BO542" i="1"/>
  <c r="BN542" i="1"/>
  <c r="BL542" i="1"/>
  <c r="BK542" i="1"/>
  <c r="BJ542" i="1"/>
  <c r="BI542" i="1"/>
  <c r="BH542" i="1"/>
  <c r="AB542" i="1"/>
  <c r="BM542" i="1" s="1"/>
  <c r="BP541" i="1"/>
  <c r="BO541" i="1"/>
  <c r="BN541" i="1"/>
  <c r="BM541" i="1"/>
  <c r="BL541" i="1"/>
  <c r="BK541" i="1"/>
  <c r="BJ541" i="1"/>
  <c r="BI541" i="1"/>
  <c r="BH541" i="1"/>
  <c r="BP540" i="1"/>
  <c r="BO540" i="1"/>
  <c r="BN540" i="1"/>
  <c r="BM540" i="1"/>
  <c r="BL540" i="1"/>
  <c r="BK540" i="1"/>
  <c r="BJ540" i="1"/>
  <c r="BI540" i="1"/>
  <c r="BH540" i="1"/>
  <c r="BP539" i="1"/>
  <c r="BO539" i="1"/>
  <c r="BN539" i="1"/>
  <c r="BM539" i="1"/>
  <c r="BL539" i="1"/>
  <c r="BK539" i="1"/>
  <c r="BJ539" i="1"/>
  <c r="BI539" i="1"/>
  <c r="BH539" i="1"/>
  <c r="AE539" i="1"/>
  <c r="BP538" i="1"/>
  <c r="BO538" i="1"/>
  <c r="BN538" i="1"/>
  <c r="BM538" i="1"/>
  <c r="BL538" i="1"/>
  <c r="BJ538" i="1"/>
  <c r="BI538" i="1"/>
  <c r="BH538" i="1"/>
  <c r="AS538" i="1"/>
  <c r="AN538" i="1"/>
  <c r="AM538" i="1"/>
  <c r="W538" i="1"/>
  <c r="BK538" i="1" s="1"/>
  <c r="BP537" i="1"/>
  <c r="BO537" i="1"/>
  <c r="BN537" i="1"/>
  <c r="BM537" i="1"/>
  <c r="BL537" i="1"/>
  <c r="BK537" i="1"/>
  <c r="BJ537" i="1"/>
  <c r="BI537" i="1"/>
  <c r="BH537" i="1"/>
  <c r="AS537" i="1"/>
  <c r="AM537" i="1"/>
  <c r="W537" i="1"/>
  <c r="BP536" i="1"/>
  <c r="BO536" i="1"/>
  <c r="BN536" i="1"/>
  <c r="BM536" i="1"/>
  <c r="BL536" i="1"/>
  <c r="BK536" i="1"/>
  <c r="BJ536" i="1"/>
  <c r="BI536" i="1"/>
  <c r="BH536" i="1"/>
  <c r="P536" i="1"/>
  <c r="BP535" i="1"/>
  <c r="BO535" i="1"/>
  <c r="BN535" i="1"/>
  <c r="BM535" i="1"/>
  <c r="BL535" i="1"/>
  <c r="BK535" i="1"/>
  <c r="BG535" i="1"/>
  <c r="AT535" i="1"/>
  <c r="AS535" i="1"/>
  <c r="AN535" i="1"/>
  <c r="AM535" i="1"/>
  <c r="W535" i="1"/>
  <c r="S535" i="1"/>
  <c r="BJ535" i="1" s="1"/>
  <c r="N535" i="1"/>
  <c r="BI535" i="1" s="1"/>
  <c r="I535" i="1"/>
  <c r="BH535" i="1" s="1"/>
  <c r="D535" i="1"/>
  <c r="BO534" i="1"/>
  <c r="BN534" i="1"/>
  <c r="BM534" i="1"/>
  <c r="BL534" i="1"/>
  <c r="BI534" i="1"/>
  <c r="BH534" i="1"/>
  <c r="BG534" i="1"/>
  <c r="BF534" i="1"/>
  <c r="BP534" i="1" s="1"/>
  <c r="BA534" i="1"/>
  <c r="AT534" i="1"/>
  <c r="X534" i="1"/>
  <c r="BK534" i="1" s="1"/>
  <c r="S534" i="1"/>
  <c r="BJ534" i="1" s="1"/>
  <c r="M534" i="1"/>
  <c r="C534" i="1"/>
  <c r="BP533" i="1"/>
  <c r="BO533" i="1"/>
  <c r="BN533" i="1"/>
  <c r="BL533" i="1"/>
  <c r="BK533" i="1"/>
  <c r="BJ533" i="1"/>
  <c r="BI533" i="1"/>
  <c r="BH533" i="1"/>
  <c r="AE533" i="1"/>
  <c r="BM533" i="1" s="1"/>
  <c r="BP532" i="1"/>
  <c r="BO532" i="1"/>
  <c r="BN532" i="1"/>
  <c r="BM532" i="1"/>
  <c r="BL532" i="1"/>
  <c r="BK532" i="1"/>
  <c r="BJ532" i="1"/>
  <c r="BI532" i="1"/>
  <c r="BH532" i="1"/>
  <c r="BP531" i="1"/>
  <c r="BO531" i="1"/>
  <c r="BN531" i="1"/>
  <c r="BL531" i="1"/>
  <c r="BK531" i="1"/>
  <c r="BJ531" i="1"/>
  <c r="BI531" i="1"/>
  <c r="BH531" i="1"/>
  <c r="AR531" i="1"/>
  <c r="AN531" i="1"/>
  <c r="AM531" i="1"/>
  <c r="BM531" i="1" s="1"/>
  <c r="BP530" i="1"/>
  <c r="BO530" i="1"/>
  <c r="BN530" i="1"/>
  <c r="BL530" i="1"/>
  <c r="BJ530" i="1"/>
  <c r="BI530" i="1"/>
  <c r="BH530" i="1"/>
  <c r="AR530" i="1"/>
  <c r="AN530" i="1"/>
  <c r="AM530" i="1"/>
  <c r="BM530" i="1" s="1"/>
  <c r="W530" i="1"/>
  <c r="BK530" i="1" s="1"/>
  <c r="BP529" i="1"/>
  <c r="BO529" i="1"/>
  <c r="BN529" i="1"/>
  <c r="BL529" i="1"/>
  <c r="BJ529" i="1"/>
  <c r="BI529" i="1"/>
  <c r="BH529" i="1"/>
  <c r="AS529" i="1"/>
  <c r="AN529" i="1"/>
  <c r="AM529" i="1"/>
  <c r="BM529" i="1" s="1"/>
  <c r="W529" i="1"/>
  <c r="BK529" i="1" s="1"/>
  <c r="BP528" i="1"/>
  <c r="BO528" i="1"/>
  <c r="BN528" i="1"/>
  <c r="BM528" i="1"/>
  <c r="BL528" i="1"/>
  <c r="BK528" i="1"/>
  <c r="BJ528" i="1"/>
  <c r="BI528" i="1"/>
  <c r="BH528" i="1"/>
  <c r="BP527" i="1"/>
  <c r="BO527" i="1"/>
  <c r="BN527" i="1"/>
  <c r="BM527" i="1"/>
  <c r="BL527" i="1"/>
  <c r="BJ527" i="1"/>
  <c r="BI527" i="1"/>
  <c r="BH527" i="1"/>
  <c r="V527" i="1"/>
  <c r="BK527" i="1" s="1"/>
  <c r="BP526" i="1"/>
  <c r="BO526" i="1"/>
  <c r="BN526" i="1"/>
  <c r="BM526" i="1"/>
  <c r="BL526" i="1"/>
  <c r="BK526" i="1"/>
  <c r="BJ526" i="1"/>
  <c r="BI526" i="1"/>
  <c r="BH526" i="1"/>
  <c r="BP525" i="1"/>
  <c r="BO525" i="1"/>
  <c r="BN525" i="1"/>
  <c r="BM525" i="1"/>
  <c r="BL525" i="1"/>
  <c r="BK525" i="1"/>
  <c r="BJ525" i="1"/>
  <c r="BI525" i="1"/>
  <c r="BH525" i="1"/>
  <c r="BP524" i="1"/>
  <c r="BO524" i="1"/>
  <c r="BN524" i="1"/>
  <c r="BL524" i="1"/>
  <c r="BK524" i="1"/>
  <c r="BJ524" i="1"/>
  <c r="BI524" i="1"/>
  <c r="BH524" i="1"/>
  <c r="AE524" i="1"/>
  <c r="BM524" i="1" s="1"/>
  <c r="BP523" i="1"/>
  <c r="BO523" i="1"/>
  <c r="BN523" i="1"/>
  <c r="BM523" i="1"/>
  <c r="BL523" i="1"/>
  <c r="BK523" i="1"/>
  <c r="BJ523" i="1"/>
  <c r="BI523" i="1"/>
  <c r="BH523" i="1"/>
  <c r="BP522" i="1"/>
  <c r="BO522" i="1"/>
  <c r="BN522" i="1"/>
  <c r="BM522" i="1"/>
  <c r="BL522" i="1"/>
  <c r="BK522" i="1"/>
  <c r="BJ522" i="1"/>
  <c r="BI522" i="1"/>
  <c r="BH522" i="1"/>
  <c r="BP521" i="1"/>
  <c r="BO521" i="1"/>
  <c r="BN521" i="1"/>
  <c r="BM521" i="1"/>
  <c r="BL521" i="1"/>
  <c r="BK521" i="1"/>
  <c r="BJ521" i="1"/>
  <c r="BI521" i="1"/>
  <c r="BH521" i="1"/>
  <c r="BP520" i="1"/>
  <c r="BO520" i="1"/>
  <c r="BN520" i="1"/>
  <c r="BM520" i="1"/>
  <c r="BL520" i="1"/>
  <c r="BK520" i="1"/>
  <c r="BJ520" i="1"/>
  <c r="BI520" i="1"/>
  <c r="BH520" i="1"/>
  <c r="BP519" i="1"/>
  <c r="BO519" i="1"/>
  <c r="BN519" i="1"/>
  <c r="BM519" i="1"/>
  <c r="BL519" i="1"/>
  <c r="BK519" i="1"/>
  <c r="BJ519" i="1"/>
  <c r="BI519" i="1"/>
  <c r="BH519" i="1"/>
  <c r="BP518" i="1"/>
  <c r="BO518" i="1"/>
  <c r="BN518" i="1"/>
  <c r="BM518" i="1"/>
  <c r="BL518" i="1"/>
  <c r="BK518" i="1"/>
  <c r="BJ518" i="1"/>
  <c r="BI518" i="1"/>
  <c r="BH518" i="1"/>
  <c r="BP517" i="1"/>
  <c r="BO517" i="1"/>
  <c r="BN517" i="1"/>
  <c r="BM517" i="1"/>
  <c r="BL517" i="1"/>
  <c r="BK517" i="1"/>
  <c r="BJ517" i="1"/>
  <c r="BI517" i="1"/>
  <c r="BH517" i="1"/>
  <c r="AR517" i="1"/>
  <c r="AN517" i="1"/>
  <c r="AM517" i="1"/>
  <c r="BP516" i="1"/>
  <c r="BO516" i="1"/>
  <c r="BN516" i="1"/>
  <c r="BM516" i="1"/>
  <c r="BL516" i="1"/>
  <c r="BK516" i="1"/>
  <c r="BJ516" i="1"/>
  <c r="BI516" i="1"/>
  <c r="BH516" i="1"/>
  <c r="BP515" i="1"/>
  <c r="BO515" i="1"/>
  <c r="BN515" i="1"/>
  <c r="BM515" i="1"/>
  <c r="BL515" i="1"/>
  <c r="BK515" i="1"/>
  <c r="BJ515" i="1"/>
  <c r="BI515" i="1"/>
  <c r="BH515" i="1"/>
  <c r="BP514" i="1"/>
  <c r="BO514" i="1"/>
  <c r="BN514" i="1"/>
  <c r="BM514" i="1"/>
  <c r="BL514" i="1"/>
  <c r="BK514" i="1"/>
  <c r="BJ514" i="1"/>
  <c r="BI514" i="1"/>
  <c r="BH514" i="1"/>
  <c r="BP513" i="1"/>
  <c r="BO513" i="1"/>
  <c r="BN513" i="1"/>
  <c r="BM513" i="1"/>
  <c r="BL513" i="1"/>
  <c r="BK513" i="1"/>
  <c r="BJ513" i="1"/>
  <c r="BI513" i="1"/>
  <c r="BH513" i="1"/>
  <c r="BP512" i="1"/>
  <c r="BO512" i="1"/>
  <c r="BN512" i="1"/>
  <c r="BM512" i="1"/>
  <c r="BL512" i="1"/>
  <c r="BK512" i="1"/>
  <c r="BJ512" i="1"/>
  <c r="BI512" i="1"/>
  <c r="BH512" i="1"/>
  <c r="BP511" i="1"/>
  <c r="BO511" i="1"/>
  <c r="BN511" i="1"/>
  <c r="BM511" i="1"/>
  <c r="BL511" i="1"/>
  <c r="BK511" i="1"/>
  <c r="BJ511" i="1"/>
  <c r="BI511" i="1"/>
  <c r="BH511" i="1"/>
  <c r="BP510" i="1"/>
  <c r="BO510" i="1"/>
  <c r="BN510" i="1"/>
  <c r="BM510" i="1"/>
  <c r="BL510" i="1"/>
  <c r="BK510" i="1"/>
  <c r="BJ510" i="1"/>
  <c r="BI510" i="1"/>
  <c r="BH510" i="1"/>
  <c r="BP509" i="1"/>
  <c r="BM509" i="1"/>
  <c r="BL509" i="1"/>
  <c r="BG509" i="1"/>
  <c r="BF509" i="1"/>
  <c r="BA509" i="1"/>
  <c r="BO509" i="1" s="1"/>
  <c r="AT509" i="1"/>
  <c r="BN509" i="1" s="1"/>
  <c r="X509" i="1"/>
  <c r="BK509" i="1" s="1"/>
  <c r="S509" i="1"/>
  <c r="BJ509" i="1" s="1"/>
  <c r="M509" i="1"/>
  <c r="BI509" i="1" s="1"/>
  <c r="C509" i="1"/>
  <c r="BH509" i="1" s="1"/>
  <c r="BP508" i="1"/>
  <c r="BO508" i="1"/>
  <c r="BN508" i="1"/>
  <c r="BM508" i="1"/>
  <c r="BL508" i="1"/>
  <c r="BK508" i="1"/>
  <c r="BJ508" i="1"/>
  <c r="BI508" i="1"/>
  <c r="BH508" i="1"/>
  <c r="BP507" i="1"/>
  <c r="BO507" i="1"/>
  <c r="BN507" i="1"/>
  <c r="BM507" i="1"/>
  <c r="BL507" i="1"/>
  <c r="BK507" i="1"/>
  <c r="BJ507" i="1"/>
  <c r="BI507" i="1"/>
  <c r="BH507" i="1"/>
  <c r="BP506" i="1"/>
  <c r="BO506" i="1"/>
  <c r="BN506" i="1"/>
  <c r="BM506" i="1"/>
  <c r="BL506" i="1"/>
  <c r="BK506" i="1"/>
  <c r="BJ506" i="1"/>
  <c r="BI506" i="1"/>
  <c r="BH506" i="1"/>
  <c r="BP505" i="1"/>
  <c r="BO505" i="1"/>
  <c r="BN505" i="1"/>
  <c r="BM505" i="1"/>
  <c r="BL505" i="1"/>
  <c r="BK505" i="1"/>
  <c r="BJ505" i="1"/>
  <c r="BI505" i="1"/>
  <c r="BH505" i="1"/>
  <c r="AB505" i="1"/>
  <c r="BP504" i="1"/>
  <c r="BO504" i="1"/>
  <c r="BN504" i="1"/>
  <c r="BL504" i="1"/>
  <c r="BK504" i="1"/>
  <c r="BJ504" i="1"/>
  <c r="BI504" i="1"/>
  <c r="BH504" i="1"/>
  <c r="AS504" i="1"/>
  <c r="AM504" i="1"/>
  <c r="BM504" i="1" s="1"/>
  <c r="W504" i="1"/>
  <c r="BP503" i="1"/>
  <c r="BO503" i="1"/>
  <c r="BN503" i="1"/>
  <c r="BL503" i="1"/>
  <c r="BK503" i="1"/>
  <c r="BJ503" i="1"/>
  <c r="BI503" i="1"/>
  <c r="BH503" i="1"/>
  <c r="AS503" i="1"/>
  <c r="AM503" i="1"/>
  <c r="BM503" i="1" s="1"/>
  <c r="W503" i="1"/>
  <c r="BP502" i="1"/>
  <c r="BO502" i="1"/>
  <c r="BN502" i="1"/>
  <c r="BL502" i="1"/>
  <c r="BK502" i="1"/>
  <c r="BJ502" i="1"/>
  <c r="BI502" i="1"/>
  <c r="BH502" i="1"/>
  <c r="AS502" i="1"/>
  <c r="AN502" i="1"/>
  <c r="BM502" i="1" s="1"/>
  <c r="AM502" i="1"/>
  <c r="W502" i="1"/>
  <c r="BP501" i="1"/>
  <c r="BO501" i="1"/>
  <c r="BN501" i="1"/>
  <c r="BL501" i="1"/>
  <c r="BK501" i="1"/>
  <c r="BJ501" i="1"/>
  <c r="BI501" i="1"/>
  <c r="BH501" i="1"/>
  <c r="AR501" i="1"/>
  <c r="BM501" i="1" s="1"/>
  <c r="AN501" i="1"/>
  <c r="AM501" i="1"/>
  <c r="BP500" i="1"/>
  <c r="BO500" i="1"/>
  <c r="BN500" i="1"/>
  <c r="BM500" i="1"/>
  <c r="BL500" i="1"/>
  <c r="BK500" i="1"/>
  <c r="BJ500" i="1"/>
  <c r="BI500" i="1"/>
  <c r="BH500" i="1"/>
  <c r="BP499" i="1"/>
  <c r="BO499" i="1"/>
  <c r="BN499" i="1"/>
  <c r="BM499" i="1"/>
  <c r="BL499" i="1"/>
  <c r="BK499" i="1"/>
  <c r="BJ499" i="1"/>
  <c r="BI499" i="1"/>
  <c r="BH499" i="1"/>
  <c r="BP498" i="1"/>
  <c r="BO498" i="1"/>
  <c r="BN498" i="1"/>
  <c r="BM498" i="1"/>
  <c r="BL498" i="1"/>
  <c r="BK498" i="1"/>
  <c r="BJ498" i="1"/>
  <c r="BI498" i="1"/>
  <c r="BH498" i="1"/>
  <c r="BP497" i="1"/>
  <c r="BO497" i="1"/>
  <c r="BN497" i="1"/>
  <c r="BM497" i="1"/>
  <c r="BL497" i="1"/>
  <c r="BK497" i="1"/>
  <c r="BJ497" i="1"/>
  <c r="BI497" i="1"/>
  <c r="BH497" i="1"/>
  <c r="BP496" i="1"/>
  <c r="BO496" i="1"/>
  <c r="BN496" i="1"/>
  <c r="BM496" i="1"/>
  <c r="BL496" i="1"/>
  <c r="BK496" i="1"/>
  <c r="BG496" i="1"/>
  <c r="AW496" i="1"/>
  <c r="AU496" i="1"/>
  <c r="AT496" i="1"/>
  <c r="Z496" i="1"/>
  <c r="U496" i="1"/>
  <c r="S496" i="1"/>
  <c r="BJ496" i="1" s="1"/>
  <c r="O496" i="1"/>
  <c r="BI496" i="1" s="1"/>
  <c r="E496" i="1"/>
  <c r="BH496" i="1" s="1"/>
  <c r="D496" i="1"/>
  <c r="C496" i="1"/>
  <c r="BP495" i="1"/>
  <c r="BO495" i="1"/>
  <c r="BN495" i="1"/>
  <c r="BM495" i="1"/>
  <c r="BL495" i="1"/>
  <c r="BK495" i="1"/>
  <c r="BJ495" i="1"/>
  <c r="BI495" i="1"/>
  <c r="BH495" i="1"/>
  <c r="BP494" i="1"/>
  <c r="BO494" i="1"/>
  <c r="BN494" i="1"/>
  <c r="BL494" i="1"/>
  <c r="BK494" i="1"/>
  <c r="BJ494" i="1"/>
  <c r="BI494" i="1"/>
  <c r="BH494" i="1"/>
  <c r="AR494" i="1"/>
  <c r="AN494" i="1"/>
  <c r="AM494" i="1"/>
  <c r="BM494" i="1" s="1"/>
  <c r="BP493" i="1"/>
  <c r="BO493" i="1"/>
  <c r="BN493" i="1"/>
  <c r="BM493" i="1"/>
  <c r="BL493" i="1"/>
  <c r="BK493" i="1"/>
  <c r="BJ493" i="1"/>
  <c r="BI493" i="1"/>
  <c r="BH493" i="1"/>
  <c r="BP492" i="1"/>
  <c r="BO492" i="1"/>
  <c r="BN492" i="1"/>
  <c r="BM492" i="1"/>
  <c r="BL492" i="1"/>
  <c r="BK492" i="1"/>
  <c r="BJ492" i="1"/>
  <c r="BI492" i="1"/>
  <c r="BH492" i="1"/>
  <c r="BP491" i="1"/>
  <c r="BO491" i="1"/>
  <c r="BN491" i="1"/>
  <c r="BM491" i="1"/>
  <c r="BL491" i="1"/>
  <c r="BK491" i="1"/>
  <c r="BJ491" i="1"/>
  <c r="BI491" i="1"/>
  <c r="BH491" i="1"/>
  <c r="BP490" i="1"/>
  <c r="BO490" i="1"/>
  <c r="BM490" i="1"/>
  <c r="BL490" i="1"/>
  <c r="BI490" i="1"/>
  <c r="BH490" i="1"/>
  <c r="BG490" i="1"/>
  <c r="BA490" i="1"/>
  <c r="AT490" i="1"/>
  <c r="BN490" i="1" s="1"/>
  <c r="T490" i="1"/>
  <c r="BK490" i="1" s="1"/>
  <c r="S490" i="1"/>
  <c r="BJ490" i="1" s="1"/>
  <c r="M490" i="1"/>
  <c r="C490" i="1"/>
  <c r="BP489" i="1"/>
  <c r="BO489" i="1"/>
  <c r="BN489" i="1"/>
  <c r="BL489" i="1"/>
  <c r="BK489" i="1"/>
  <c r="BJ489" i="1"/>
  <c r="BI489" i="1"/>
  <c r="BH489" i="1"/>
  <c r="AE489" i="1"/>
  <c r="BM489" i="1" s="1"/>
  <c r="BP488" i="1"/>
  <c r="BO488" i="1"/>
  <c r="BN488" i="1"/>
  <c r="BL488" i="1"/>
  <c r="BK488" i="1"/>
  <c r="BJ488" i="1"/>
  <c r="BI488" i="1"/>
  <c r="BH488" i="1"/>
  <c r="AE488" i="1"/>
  <c r="BM488" i="1" s="1"/>
  <c r="BP487" i="1"/>
  <c r="BO487" i="1"/>
  <c r="BN487" i="1"/>
  <c r="BM487" i="1"/>
  <c r="BL487" i="1"/>
  <c r="BJ487" i="1"/>
  <c r="BI487" i="1"/>
  <c r="BH487" i="1"/>
  <c r="X487" i="1"/>
  <c r="BK487" i="1" s="1"/>
  <c r="BP486" i="1"/>
  <c r="BN486" i="1"/>
  <c r="BM486" i="1"/>
  <c r="BL486" i="1"/>
  <c r="BK486" i="1"/>
  <c r="BJ486" i="1"/>
  <c r="BI486" i="1"/>
  <c r="BH486" i="1"/>
  <c r="AY486" i="1"/>
  <c r="BO486" i="1" s="1"/>
  <c r="BP485" i="1"/>
  <c r="BO485" i="1"/>
  <c r="BN485" i="1"/>
  <c r="BM485" i="1"/>
  <c r="BL485" i="1"/>
  <c r="BK485" i="1"/>
  <c r="BJ485" i="1"/>
  <c r="BI485" i="1"/>
  <c r="BH485" i="1"/>
  <c r="BP484" i="1"/>
  <c r="BO484" i="1"/>
  <c r="BN484" i="1"/>
  <c r="BM484" i="1"/>
  <c r="BL484" i="1"/>
  <c r="BK484" i="1"/>
  <c r="BJ484" i="1"/>
  <c r="BI484" i="1"/>
  <c r="BH484" i="1"/>
  <c r="BP483" i="1"/>
  <c r="BO483" i="1"/>
  <c r="BN483" i="1"/>
  <c r="BM483" i="1"/>
  <c r="BL483" i="1"/>
  <c r="BK483" i="1"/>
  <c r="BJ483" i="1"/>
  <c r="BI483" i="1"/>
  <c r="BH483" i="1"/>
  <c r="BP482" i="1"/>
  <c r="BO482" i="1"/>
  <c r="BN482" i="1"/>
  <c r="BL482" i="1"/>
  <c r="BK482" i="1"/>
  <c r="BJ482" i="1"/>
  <c r="BH482" i="1"/>
  <c r="AR482" i="1"/>
  <c r="AN482" i="1"/>
  <c r="AM482" i="1"/>
  <c r="BM482" i="1" s="1"/>
  <c r="P482" i="1"/>
  <c r="BI482" i="1" s="1"/>
  <c r="BP481" i="1"/>
  <c r="BO481" i="1"/>
  <c r="BN481" i="1"/>
  <c r="BL481" i="1"/>
  <c r="BK481" i="1"/>
  <c r="BJ481" i="1"/>
  <c r="BI481" i="1"/>
  <c r="BH481" i="1"/>
  <c r="AR481" i="1"/>
  <c r="AQ481" i="1"/>
  <c r="AI481" i="1"/>
  <c r="BM481" i="1" s="1"/>
  <c r="BP480" i="1"/>
  <c r="BO480" i="1"/>
  <c r="BN480" i="1"/>
  <c r="BM480" i="1"/>
  <c r="BK480" i="1"/>
  <c r="BJ480" i="1"/>
  <c r="BI480" i="1"/>
  <c r="BH480" i="1"/>
  <c r="AA480" i="1"/>
  <c r="BL480" i="1" s="1"/>
  <c r="BP479" i="1"/>
  <c r="BO479" i="1"/>
  <c r="BN479" i="1"/>
  <c r="BM479" i="1"/>
  <c r="BL479" i="1"/>
  <c r="BK479" i="1"/>
  <c r="BJ479" i="1"/>
  <c r="BI479" i="1"/>
  <c r="BH479" i="1"/>
  <c r="AB479" i="1"/>
  <c r="BP478" i="1"/>
  <c r="BO478" i="1"/>
  <c r="BN478" i="1"/>
  <c r="BM478" i="1"/>
  <c r="BL478" i="1"/>
  <c r="BK478" i="1"/>
  <c r="BJ478" i="1"/>
  <c r="BI478" i="1"/>
  <c r="BH478" i="1"/>
  <c r="BP477" i="1"/>
  <c r="BO477" i="1"/>
  <c r="BN477" i="1"/>
  <c r="BM477" i="1"/>
  <c r="BL477" i="1"/>
  <c r="BK477" i="1"/>
  <c r="BJ477" i="1"/>
  <c r="BI477" i="1"/>
  <c r="BH477" i="1"/>
  <c r="BP476" i="1"/>
  <c r="BO476" i="1"/>
  <c r="BN476" i="1"/>
  <c r="BM476" i="1"/>
  <c r="BL476" i="1"/>
  <c r="BK476" i="1"/>
  <c r="BJ476" i="1"/>
  <c r="BI476" i="1"/>
  <c r="BH476" i="1"/>
  <c r="BP475" i="1"/>
  <c r="BO475" i="1"/>
  <c r="BN475" i="1"/>
  <c r="BM475" i="1"/>
  <c r="BL475" i="1"/>
  <c r="BK475" i="1"/>
  <c r="BJ475" i="1"/>
  <c r="BI475" i="1"/>
  <c r="BH475" i="1"/>
  <c r="BP474" i="1"/>
  <c r="BO474" i="1"/>
  <c r="BN474" i="1"/>
  <c r="BM474" i="1"/>
  <c r="BL474" i="1"/>
  <c r="BK474" i="1"/>
  <c r="BJ474" i="1"/>
  <c r="BI474" i="1"/>
  <c r="BH474" i="1"/>
  <c r="BP473" i="1"/>
  <c r="BO473" i="1"/>
  <c r="BN473" i="1"/>
  <c r="BM473" i="1"/>
  <c r="BL473" i="1"/>
  <c r="BK473" i="1"/>
  <c r="BJ473" i="1"/>
  <c r="BI473" i="1"/>
  <c r="BH473" i="1"/>
  <c r="BP472" i="1"/>
  <c r="BO472" i="1"/>
  <c r="BN472" i="1"/>
  <c r="BM472" i="1"/>
  <c r="BL472" i="1"/>
  <c r="BK472" i="1"/>
  <c r="BJ472" i="1"/>
  <c r="BI472" i="1"/>
  <c r="BH472" i="1"/>
  <c r="BP471" i="1"/>
  <c r="BO471" i="1"/>
  <c r="BN471" i="1"/>
  <c r="BM471" i="1"/>
  <c r="BL471" i="1"/>
  <c r="BK471" i="1"/>
  <c r="BJ471" i="1"/>
  <c r="BI471" i="1"/>
  <c r="BH471" i="1"/>
  <c r="BP470" i="1"/>
  <c r="BO470" i="1"/>
  <c r="BN470" i="1"/>
  <c r="BM470" i="1"/>
  <c r="BL470" i="1"/>
  <c r="BK470" i="1"/>
  <c r="BJ470" i="1"/>
  <c r="BI470" i="1"/>
  <c r="BH470" i="1"/>
  <c r="BP469" i="1"/>
  <c r="BO469" i="1"/>
  <c r="BN469" i="1"/>
  <c r="BM469" i="1"/>
  <c r="BL469" i="1"/>
  <c r="BK469" i="1"/>
  <c r="BJ469" i="1"/>
  <c r="BI469" i="1"/>
  <c r="BH469" i="1"/>
  <c r="BP468" i="1"/>
  <c r="BO468" i="1"/>
  <c r="BN468" i="1"/>
  <c r="BM468" i="1"/>
  <c r="BL468" i="1"/>
  <c r="BK468" i="1"/>
  <c r="BJ468" i="1"/>
  <c r="BI468" i="1"/>
  <c r="BH468" i="1"/>
  <c r="BP467" i="1"/>
  <c r="BO467" i="1"/>
  <c r="BN467" i="1"/>
  <c r="BM467" i="1"/>
  <c r="BL467" i="1"/>
  <c r="BK467" i="1"/>
  <c r="BJ467" i="1"/>
  <c r="BI467" i="1"/>
  <c r="BH467" i="1"/>
  <c r="BP466" i="1"/>
  <c r="BO466" i="1"/>
  <c r="BN466" i="1"/>
  <c r="BM466" i="1"/>
  <c r="BL466" i="1"/>
  <c r="BK466" i="1"/>
  <c r="BJ466" i="1"/>
  <c r="BI466" i="1"/>
  <c r="BH466" i="1"/>
  <c r="BP465" i="1"/>
  <c r="BO465" i="1"/>
  <c r="BN465" i="1"/>
  <c r="BM465" i="1"/>
  <c r="BL465" i="1"/>
  <c r="BK465" i="1"/>
  <c r="BJ465" i="1"/>
  <c r="BI465" i="1"/>
  <c r="BH465" i="1"/>
  <c r="BP464" i="1"/>
  <c r="BO464" i="1"/>
  <c r="BN464" i="1"/>
  <c r="BM464" i="1"/>
  <c r="BL464" i="1"/>
  <c r="BK464" i="1"/>
  <c r="BJ464" i="1"/>
  <c r="BI464" i="1"/>
  <c r="BH464" i="1"/>
  <c r="BP463" i="1"/>
  <c r="BO463" i="1"/>
  <c r="BN463" i="1"/>
  <c r="BM463" i="1"/>
  <c r="BL463" i="1"/>
  <c r="BK463" i="1"/>
  <c r="BJ463" i="1"/>
  <c r="BI463" i="1"/>
  <c r="BH463" i="1"/>
  <c r="BP462" i="1"/>
  <c r="BO462" i="1"/>
  <c r="BN462" i="1"/>
  <c r="BM462" i="1"/>
  <c r="BL462" i="1"/>
  <c r="BK462" i="1"/>
  <c r="BJ462" i="1"/>
  <c r="BI462" i="1"/>
  <c r="BH462" i="1"/>
  <c r="BP461" i="1"/>
  <c r="BO461" i="1"/>
  <c r="BN461" i="1"/>
  <c r="BM461" i="1"/>
  <c r="BL461" i="1"/>
  <c r="BK461" i="1"/>
  <c r="BJ461" i="1"/>
  <c r="BI461" i="1"/>
  <c r="BH461" i="1"/>
  <c r="BP460" i="1"/>
  <c r="BO460" i="1"/>
  <c r="BN460" i="1"/>
  <c r="BM460" i="1"/>
  <c r="BL460" i="1"/>
  <c r="BK460" i="1"/>
  <c r="BJ460" i="1"/>
  <c r="BI460" i="1"/>
  <c r="BH460" i="1"/>
  <c r="BP459" i="1"/>
  <c r="BO459" i="1"/>
  <c r="BN459" i="1"/>
  <c r="BM459" i="1"/>
  <c r="BL459" i="1"/>
  <c r="BK459" i="1"/>
  <c r="BJ459" i="1"/>
  <c r="BI459" i="1"/>
  <c r="BH459" i="1"/>
  <c r="BP458" i="1"/>
  <c r="BO458" i="1"/>
  <c r="BN458" i="1"/>
  <c r="BM458" i="1"/>
  <c r="BL458" i="1"/>
  <c r="BK458" i="1"/>
  <c r="BJ458" i="1"/>
  <c r="BI458" i="1"/>
  <c r="BH458" i="1"/>
  <c r="BP457" i="1"/>
  <c r="BO457" i="1"/>
  <c r="BN457" i="1"/>
  <c r="BM457" i="1"/>
  <c r="BL457" i="1"/>
  <c r="BK457" i="1"/>
  <c r="BJ457" i="1"/>
  <c r="BI457" i="1"/>
  <c r="BH457" i="1"/>
  <c r="BP456" i="1"/>
  <c r="BO456" i="1"/>
  <c r="BN456" i="1"/>
  <c r="BM456" i="1"/>
  <c r="BL456" i="1"/>
  <c r="BK456" i="1"/>
  <c r="BJ456" i="1"/>
  <c r="BI456" i="1"/>
  <c r="BH456" i="1"/>
  <c r="BP455" i="1"/>
  <c r="BO455" i="1"/>
  <c r="BN455" i="1"/>
  <c r="BM455" i="1"/>
  <c r="BL455" i="1"/>
  <c r="BK455" i="1"/>
  <c r="BJ455" i="1"/>
  <c r="BI455" i="1"/>
  <c r="BH455" i="1"/>
  <c r="BP454" i="1"/>
  <c r="BO454" i="1"/>
  <c r="BN454" i="1"/>
  <c r="BM454" i="1"/>
  <c r="BL454" i="1"/>
  <c r="BK454" i="1"/>
  <c r="BJ454" i="1"/>
  <c r="BI454" i="1"/>
  <c r="BH454" i="1"/>
  <c r="BP453" i="1"/>
  <c r="BO453" i="1"/>
  <c r="BN453" i="1"/>
  <c r="BM453" i="1"/>
  <c r="BL453" i="1"/>
  <c r="BK453" i="1"/>
  <c r="BJ453" i="1"/>
  <c r="BI453" i="1"/>
  <c r="BH453" i="1"/>
  <c r="BP452" i="1"/>
  <c r="BO452" i="1"/>
  <c r="BN452" i="1"/>
  <c r="BM452" i="1"/>
  <c r="BL452" i="1"/>
  <c r="BK452" i="1"/>
  <c r="BJ452" i="1"/>
  <c r="BI452" i="1"/>
  <c r="BH452" i="1"/>
  <c r="BP451" i="1"/>
  <c r="BO451" i="1"/>
  <c r="BN451" i="1"/>
  <c r="BM451" i="1"/>
  <c r="BL451" i="1"/>
  <c r="BK451" i="1"/>
  <c r="BJ451" i="1"/>
  <c r="BI451" i="1"/>
  <c r="BH451" i="1"/>
  <c r="BP450" i="1"/>
  <c r="BO450" i="1"/>
  <c r="BN450" i="1"/>
  <c r="BM450" i="1"/>
  <c r="BL450" i="1"/>
  <c r="BK450" i="1"/>
  <c r="BJ450" i="1"/>
  <c r="BI450" i="1"/>
  <c r="BH450" i="1"/>
  <c r="BP449" i="1"/>
  <c r="BO449" i="1"/>
  <c r="BN449" i="1"/>
  <c r="BM449" i="1"/>
  <c r="BL449" i="1"/>
  <c r="BK449" i="1"/>
  <c r="BJ449" i="1"/>
  <c r="BI449" i="1"/>
  <c r="BH449" i="1"/>
  <c r="BP448" i="1"/>
  <c r="BO448" i="1"/>
  <c r="BN448" i="1"/>
  <c r="BM448" i="1"/>
  <c r="BL448" i="1"/>
  <c r="BK448" i="1"/>
  <c r="BJ448" i="1"/>
  <c r="BI448" i="1"/>
  <c r="BH448" i="1"/>
  <c r="BP447" i="1"/>
  <c r="BO447" i="1"/>
  <c r="BN447" i="1"/>
  <c r="BM447" i="1"/>
  <c r="BL447" i="1"/>
  <c r="BK447" i="1"/>
  <c r="BJ447" i="1"/>
  <c r="BI447" i="1"/>
  <c r="BH447" i="1"/>
  <c r="BP446" i="1"/>
  <c r="BO446" i="1"/>
  <c r="BN446" i="1"/>
  <c r="BM446" i="1"/>
  <c r="BL446" i="1"/>
  <c r="BK446" i="1"/>
  <c r="BJ446" i="1"/>
  <c r="BI446" i="1"/>
  <c r="BH446" i="1"/>
  <c r="BP445" i="1"/>
  <c r="BO445" i="1"/>
  <c r="BN445" i="1"/>
  <c r="BM445" i="1"/>
  <c r="BL445" i="1"/>
  <c r="BK445" i="1"/>
  <c r="BJ445" i="1"/>
  <c r="BI445" i="1"/>
  <c r="BH445" i="1"/>
  <c r="BP444" i="1"/>
  <c r="BO444" i="1"/>
  <c r="BN444" i="1"/>
  <c r="BM444" i="1"/>
  <c r="BL444" i="1"/>
  <c r="BK444" i="1"/>
  <c r="BJ444" i="1"/>
  <c r="BI444" i="1"/>
  <c r="BH444" i="1"/>
  <c r="BP443" i="1"/>
  <c r="BO443" i="1"/>
  <c r="BN443" i="1"/>
  <c r="BM443" i="1"/>
  <c r="BL443" i="1"/>
  <c r="BK443" i="1"/>
  <c r="BJ443" i="1"/>
  <c r="BI443" i="1"/>
  <c r="BH443" i="1"/>
  <c r="BP442" i="1"/>
  <c r="BO442" i="1"/>
  <c r="BN442" i="1"/>
  <c r="BM442" i="1"/>
  <c r="BL442" i="1"/>
  <c r="BK442" i="1"/>
  <c r="BJ442" i="1"/>
  <c r="BI442" i="1"/>
  <c r="BH442" i="1"/>
  <c r="BP441" i="1"/>
  <c r="BO441" i="1"/>
  <c r="BN441" i="1"/>
  <c r="BM441" i="1"/>
  <c r="BL441" i="1"/>
  <c r="BK441" i="1"/>
  <c r="BJ441" i="1"/>
  <c r="BI441" i="1"/>
  <c r="BH441" i="1"/>
  <c r="BP440" i="1"/>
  <c r="BO440" i="1"/>
  <c r="BN440" i="1"/>
  <c r="BM440" i="1"/>
  <c r="BL440" i="1"/>
  <c r="BK440" i="1"/>
  <c r="BJ440" i="1"/>
  <c r="BI440" i="1"/>
  <c r="BH440" i="1"/>
  <c r="BP439" i="1"/>
  <c r="BO439" i="1"/>
  <c r="BN439" i="1"/>
  <c r="BM439" i="1"/>
  <c r="BL439" i="1"/>
  <c r="BK439" i="1"/>
  <c r="BJ439" i="1"/>
  <c r="BI439" i="1"/>
  <c r="BH439" i="1"/>
  <c r="BP438" i="1"/>
  <c r="BO438" i="1"/>
  <c r="BN438" i="1"/>
  <c r="BM438" i="1"/>
  <c r="BL438" i="1"/>
  <c r="BK438" i="1"/>
  <c r="BJ438" i="1"/>
  <c r="BI438" i="1"/>
  <c r="BH438" i="1"/>
  <c r="BP437" i="1"/>
  <c r="BO437" i="1"/>
  <c r="BN437" i="1"/>
  <c r="BM437" i="1"/>
  <c r="BL437" i="1"/>
  <c r="BK437" i="1"/>
  <c r="BJ437" i="1"/>
  <c r="BI437" i="1"/>
  <c r="BH437" i="1"/>
  <c r="BP436" i="1"/>
  <c r="BO436" i="1"/>
  <c r="BN436" i="1"/>
  <c r="BM436" i="1"/>
  <c r="BL436" i="1"/>
  <c r="BK436" i="1"/>
  <c r="BJ436" i="1"/>
  <c r="BI436" i="1"/>
  <c r="BH436" i="1"/>
  <c r="BP435" i="1"/>
  <c r="BO435" i="1"/>
  <c r="BN435" i="1"/>
  <c r="BM435" i="1"/>
  <c r="BL435" i="1"/>
  <c r="BK435" i="1"/>
  <c r="BJ435" i="1"/>
  <c r="BI435" i="1"/>
  <c r="BH435" i="1"/>
  <c r="BP434" i="1"/>
  <c r="BO434" i="1"/>
  <c r="BN434" i="1"/>
  <c r="BM434" i="1"/>
  <c r="BL434" i="1"/>
  <c r="BK434" i="1"/>
  <c r="BJ434" i="1"/>
  <c r="BI434" i="1"/>
  <c r="BH434" i="1"/>
  <c r="BP433" i="1"/>
  <c r="BO433" i="1"/>
  <c r="BN433" i="1"/>
  <c r="BM433" i="1"/>
  <c r="BL433" i="1"/>
  <c r="BK433" i="1"/>
  <c r="BJ433" i="1"/>
  <c r="BI433" i="1"/>
  <c r="BH433" i="1"/>
  <c r="BP432" i="1"/>
  <c r="BO432" i="1"/>
  <c r="BN432" i="1"/>
  <c r="BM432" i="1"/>
  <c r="BL432" i="1"/>
  <c r="BK432" i="1"/>
  <c r="BJ432" i="1"/>
  <c r="BI432" i="1"/>
  <c r="BH432" i="1"/>
  <c r="BP431" i="1"/>
  <c r="BO431" i="1"/>
  <c r="BN431" i="1"/>
  <c r="BM431" i="1"/>
  <c r="BL431" i="1"/>
  <c r="BK431" i="1"/>
  <c r="BJ431" i="1"/>
  <c r="BI431" i="1"/>
  <c r="BH431" i="1"/>
  <c r="BP430" i="1"/>
  <c r="BO430" i="1"/>
  <c r="BN430" i="1"/>
  <c r="BM430" i="1"/>
  <c r="BL430" i="1"/>
  <c r="BK430" i="1"/>
  <c r="BJ430" i="1"/>
  <c r="BI430" i="1"/>
  <c r="BH430" i="1"/>
  <c r="BP429" i="1"/>
  <c r="BO429" i="1"/>
  <c r="BN429" i="1"/>
  <c r="BM429" i="1"/>
  <c r="BL429" i="1"/>
  <c r="BK429" i="1"/>
  <c r="BJ429" i="1"/>
  <c r="BI429" i="1"/>
  <c r="BH429" i="1"/>
  <c r="BP428" i="1"/>
  <c r="BO428" i="1"/>
  <c r="BN428" i="1"/>
  <c r="BM428" i="1"/>
  <c r="BL428" i="1"/>
  <c r="BK428" i="1"/>
  <c r="BJ428" i="1"/>
  <c r="BI428" i="1"/>
  <c r="BH428" i="1"/>
  <c r="BP427" i="1"/>
  <c r="BO427" i="1"/>
  <c r="BN427" i="1"/>
  <c r="BM427" i="1"/>
  <c r="BL427" i="1"/>
  <c r="BK427" i="1"/>
  <c r="BJ427" i="1"/>
  <c r="BI427" i="1"/>
  <c r="BH427" i="1"/>
  <c r="BP426" i="1"/>
  <c r="BO426" i="1"/>
  <c r="BN426" i="1"/>
  <c r="BM426" i="1"/>
  <c r="BL426" i="1"/>
  <c r="BK426" i="1"/>
  <c r="BJ426" i="1"/>
  <c r="BI426" i="1"/>
  <c r="BH426" i="1"/>
  <c r="BP425" i="1"/>
  <c r="BO425" i="1"/>
  <c r="BN425" i="1"/>
  <c r="BM425" i="1"/>
  <c r="BL425" i="1"/>
  <c r="BK425" i="1"/>
  <c r="BJ425" i="1"/>
  <c r="BI425" i="1"/>
  <c r="BH425" i="1"/>
  <c r="BP424" i="1"/>
  <c r="BO424" i="1"/>
  <c r="BN424" i="1"/>
  <c r="BM424" i="1"/>
  <c r="BL424" i="1"/>
  <c r="BK424" i="1"/>
  <c r="BJ424" i="1"/>
  <c r="BI424" i="1"/>
  <c r="BH424" i="1"/>
  <c r="BP423" i="1"/>
  <c r="BO423" i="1"/>
  <c r="BN423" i="1"/>
  <c r="BM423" i="1"/>
  <c r="BL423" i="1"/>
  <c r="BK423" i="1"/>
  <c r="BJ423" i="1"/>
  <c r="BI423" i="1"/>
  <c r="BH423" i="1"/>
  <c r="BP422" i="1"/>
  <c r="BO422" i="1"/>
  <c r="BN422" i="1"/>
  <c r="BM422" i="1"/>
  <c r="BL422" i="1"/>
  <c r="BK422" i="1"/>
  <c r="BJ422" i="1"/>
  <c r="BI422" i="1"/>
  <c r="BH422" i="1"/>
  <c r="BP421" i="1"/>
  <c r="BO421" i="1"/>
  <c r="BN421" i="1"/>
  <c r="BM421" i="1"/>
  <c r="BL421" i="1"/>
  <c r="BK421" i="1"/>
  <c r="BJ421" i="1"/>
  <c r="BI421" i="1"/>
  <c r="BH421" i="1"/>
  <c r="BP420" i="1"/>
  <c r="BO420" i="1"/>
  <c r="BN420" i="1"/>
  <c r="BM420" i="1"/>
  <c r="BL420" i="1"/>
  <c r="BK420" i="1"/>
  <c r="BJ420" i="1"/>
  <c r="BI420" i="1"/>
  <c r="BH420" i="1"/>
  <c r="BP419" i="1"/>
  <c r="BO419" i="1"/>
  <c r="BN419" i="1"/>
  <c r="BM419" i="1"/>
  <c r="BL419" i="1"/>
  <c r="BK419" i="1"/>
  <c r="BJ419" i="1"/>
  <c r="BI419" i="1"/>
  <c r="BH419" i="1"/>
  <c r="BP418" i="1"/>
  <c r="BO418" i="1"/>
  <c r="BN418" i="1"/>
  <c r="BM418" i="1"/>
  <c r="BL418" i="1"/>
  <c r="BK418" i="1"/>
  <c r="BJ418" i="1"/>
  <c r="BI418" i="1"/>
  <c r="BH418" i="1"/>
  <c r="BP417" i="1"/>
  <c r="BO417" i="1"/>
  <c r="BN417" i="1"/>
  <c r="BM417" i="1"/>
  <c r="BL417" i="1"/>
  <c r="BK417" i="1"/>
  <c r="BJ417" i="1"/>
  <c r="BI417" i="1"/>
  <c r="BH417" i="1"/>
  <c r="BP416" i="1"/>
  <c r="BO416" i="1"/>
  <c r="BN416" i="1"/>
  <c r="BM416" i="1"/>
  <c r="BL416" i="1"/>
  <c r="BK416" i="1"/>
  <c r="BJ416" i="1"/>
  <c r="BI416" i="1"/>
  <c r="BH416" i="1"/>
  <c r="BP415" i="1"/>
  <c r="BO415" i="1"/>
  <c r="BN415" i="1"/>
  <c r="BM415" i="1"/>
  <c r="BL415" i="1"/>
  <c r="BK415" i="1"/>
  <c r="BJ415" i="1"/>
  <c r="BI415" i="1"/>
  <c r="BH415" i="1"/>
  <c r="BP414" i="1"/>
  <c r="BO414" i="1"/>
  <c r="BN414" i="1"/>
  <c r="BM414" i="1"/>
  <c r="BL414" i="1"/>
  <c r="BK414" i="1"/>
  <c r="BJ414" i="1"/>
  <c r="BI414" i="1"/>
  <c r="BH414" i="1"/>
  <c r="BP413" i="1"/>
  <c r="BO413" i="1"/>
  <c r="BN413" i="1"/>
  <c r="BM413" i="1"/>
  <c r="BL413" i="1"/>
  <c r="BK413" i="1"/>
  <c r="BJ413" i="1"/>
  <c r="BI413" i="1"/>
  <c r="BH413" i="1"/>
  <c r="BP412" i="1"/>
  <c r="BO412" i="1"/>
  <c r="BN412" i="1"/>
  <c r="BM412" i="1"/>
  <c r="BL412" i="1"/>
  <c r="BK412" i="1"/>
  <c r="BJ412" i="1"/>
  <c r="BI412" i="1"/>
  <c r="BH412" i="1"/>
  <c r="BP411" i="1"/>
  <c r="BO411" i="1"/>
  <c r="BN411" i="1"/>
  <c r="BM411" i="1"/>
  <c r="BL411" i="1"/>
  <c r="BK411" i="1"/>
  <c r="BJ411" i="1"/>
  <c r="BI411" i="1"/>
  <c r="BH411" i="1"/>
  <c r="BP410" i="1"/>
  <c r="BO410" i="1"/>
  <c r="BN410" i="1"/>
  <c r="BM410" i="1"/>
  <c r="BL410" i="1"/>
  <c r="BK410" i="1"/>
  <c r="BJ410" i="1"/>
  <c r="BI410" i="1"/>
  <c r="BH410" i="1"/>
  <c r="BP409" i="1"/>
  <c r="BO409" i="1"/>
  <c r="BN409" i="1"/>
  <c r="BM409" i="1"/>
  <c r="BL409" i="1"/>
  <c r="BK409" i="1"/>
  <c r="BJ409" i="1"/>
  <c r="BI409" i="1"/>
  <c r="BH409" i="1"/>
  <c r="BP408" i="1"/>
  <c r="BM408" i="1"/>
  <c r="BL408" i="1"/>
  <c r="BK408" i="1"/>
  <c r="BJ408" i="1"/>
  <c r="BI408" i="1"/>
  <c r="BG408" i="1"/>
  <c r="AW408" i="1"/>
  <c r="BO408" i="1" s="1"/>
  <c r="AT408" i="1"/>
  <c r="BN408" i="1" s="1"/>
  <c r="AB408" i="1"/>
  <c r="Z408" i="1"/>
  <c r="U408" i="1"/>
  <c r="T408" i="1"/>
  <c r="S408" i="1"/>
  <c r="O408" i="1"/>
  <c r="E408" i="1"/>
  <c r="D408" i="1"/>
  <c r="BH408" i="1" s="1"/>
  <c r="BP407" i="1"/>
  <c r="BO407" i="1"/>
  <c r="BN407" i="1"/>
  <c r="BM407" i="1"/>
  <c r="BL407" i="1"/>
  <c r="BK407" i="1"/>
  <c r="BJ407" i="1"/>
  <c r="BI407" i="1"/>
  <c r="BH407" i="1"/>
  <c r="BP406" i="1"/>
  <c r="BO406" i="1"/>
  <c r="BN406" i="1"/>
  <c r="BM406" i="1"/>
  <c r="BL406" i="1"/>
  <c r="BK406" i="1"/>
  <c r="BJ406" i="1"/>
  <c r="BI406" i="1"/>
  <c r="BH406" i="1"/>
  <c r="BP405" i="1"/>
  <c r="BO405" i="1"/>
  <c r="BN405" i="1"/>
  <c r="BM405" i="1"/>
  <c r="BL405" i="1"/>
  <c r="BK405" i="1"/>
  <c r="BJ405" i="1"/>
  <c r="BI405" i="1"/>
  <c r="BH405" i="1"/>
  <c r="BP404" i="1"/>
  <c r="BO404" i="1"/>
  <c r="BN404" i="1"/>
  <c r="BM404" i="1"/>
  <c r="BL404" i="1"/>
  <c r="BK404" i="1"/>
  <c r="BJ404" i="1"/>
  <c r="BI404" i="1"/>
  <c r="BH404" i="1"/>
  <c r="BP403" i="1"/>
  <c r="BO403" i="1"/>
  <c r="BN403" i="1"/>
  <c r="BM403" i="1"/>
  <c r="BL403" i="1"/>
  <c r="BK403" i="1"/>
  <c r="BJ403" i="1"/>
  <c r="BI403" i="1"/>
  <c r="BH403" i="1"/>
  <c r="BP402" i="1"/>
  <c r="BO402" i="1"/>
  <c r="BN402" i="1"/>
  <c r="BM402" i="1"/>
  <c r="BL402" i="1"/>
  <c r="BK402" i="1"/>
  <c r="BJ402" i="1"/>
  <c r="BI402" i="1"/>
  <c r="BH402" i="1"/>
  <c r="BP401" i="1"/>
  <c r="BO401" i="1"/>
  <c r="BN401" i="1"/>
  <c r="BM401" i="1"/>
  <c r="BL401" i="1"/>
  <c r="BK401" i="1"/>
  <c r="BJ401" i="1"/>
  <c r="BI401" i="1"/>
  <c r="BH401" i="1"/>
  <c r="BP400" i="1"/>
  <c r="BO400" i="1"/>
  <c r="BN400" i="1"/>
  <c r="BM400" i="1"/>
  <c r="BL400" i="1"/>
  <c r="BK400" i="1"/>
  <c r="BJ400" i="1"/>
  <c r="BI400" i="1"/>
  <c r="BH400" i="1"/>
  <c r="BP399" i="1"/>
  <c r="BO399" i="1"/>
  <c r="BN399" i="1"/>
  <c r="BM399" i="1"/>
  <c r="BL399" i="1"/>
  <c r="BK399" i="1"/>
  <c r="BJ399" i="1"/>
  <c r="BI399" i="1"/>
  <c r="BH399" i="1"/>
  <c r="BP398" i="1"/>
  <c r="BO398" i="1"/>
  <c r="BN398" i="1"/>
  <c r="BM398" i="1"/>
  <c r="BL398" i="1"/>
  <c r="BK398" i="1"/>
  <c r="BJ398" i="1"/>
  <c r="BI398" i="1"/>
  <c r="BH398" i="1"/>
  <c r="BP397" i="1"/>
  <c r="BO397" i="1"/>
  <c r="BN397" i="1"/>
  <c r="BM397" i="1"/>
  <c r="BL397" i="1"/>
  <c r="BK397" i="1"/>
  <c r="BJ397" i="1"/>
  <c r="BI397" i="1"/>
  <c r="BH397" i="1"/>
  <c r="BP396" i="1"/>
  <c r="BM396" i="1"/>
  <c r="BL396" i="1"/>
  <c r="BK396" i="1"/>
  <c r="BJ396" i="1"/>
  <c r="BI396" i="1"/>
  <c r="BH396" i="1"/>
  <c r="BG396" i="1"/>
  <c r="BF396" i="1"/>
  <c r="BA396" i="1"/>
  <c r="BO396" i="1" s="1"/>
  <c r="AT396" i="1"/>
  <c r="BN396" i="1" s="1"/>
  <c r="X396" i="1"/>
  <c r="S396" i="1"/>
  <c r="M396" i="1"/>
  <c r="C396" i="1"/>
  <c r="BP395" i="1"/>
  <c r="BO395" i="1"/>
  <c r="BN395" i="1"/>
  <c r="BM395" i="1"/>
  <c r="BL395" i="1"/>
  <c r="BK395" i="1"/>
  <c r="BJ395" i="1"/>
  <c r="BI395" i="1"/>
  <c r="BH395" i="1"/>
  <c r="BP394" i="1"/>
  <c r="BO394" i="1"/>
  <c r="BN394" i="1"/>
  <c r="BM394" i="1"/>
  <c r="BL394" i="1"/>
  <c r="BK394" i="1"/>
  <c r="BJ394" i="1"/>
  <c r="BI394" i="1"/>
  <c r="BH394" i="1"/>
  <c r="BP393" i="1"/>
  <c r="BO393" i="1"/>
  <c r="BN393" i="1"/>
  <c r="BM393" i="1"/>
  <c r="BL393" i="1"/>
  <c r="BK393" i="1"/>
  <c r="BJ393" i="1"/>
  <c r="BI393" i="1"/>
  <c r="BH393" i="1"/>
  <c r="BP392" i="1"/>
  <c r="BO392" i="1"/>
  <c r="BN392" i="1"/>
  <c r="BM392" i="1"/>
  <c r="BL392" i="1"/>
  <c r="BK392" i="1"/>
  <c r="BJ392" i="1"/>
  <c r="BI392" i="1"/>
  <c r="BH392" i="1"/>
  <c r="BP391" i="1"/>
  <c r="BO391" i="1"/>
  <c r="BN391" i="1"/>
  <c r="BM391" i="1"/>
  <c r="BL391" i="1"/>
  <c r="BK391" i="1"/>
  <c r="BJ391" i="1"/>
  <c r="BI391" i="1"/>
  <c r="BH391" i="1"/>
  <c r="BP390" i="1"/>
  <c r="BO390" i="1"/>
  <c r="BN390" i="1"/>
  <c r="BM390" i="1"/>
  <c r="BL390" i="1"/>
  <c r="BK390" i="1"/>
  <c r="BJ390" i="1"/>
  <c r="BI390" i="1"/>
  <c r="BH390" i="1"/>
  <c r="BP389" i="1"/>
  <c r="BO389" i="1"/>
  <c r="BN389" i="1"/>
  <c r="BM389" i="1"/>
  <c r="BL389" i="1"/>
  <c r="BK389" i="1"/>
  <c r="BJ389" i="1"/>
  <c r="BI389" i="1"/>
  <c r="BH389" i="1"/>
  <c r="BP388" i="1"/>
  <c r="BO388" i="1"/>
  <c r="BN388" i="1"/>
  <c r="BM388" i="1"/>
  <c r="BL388" i="1"/>
  <c r="BK388" i="1"/>
  <c r="BJ388" i="1"/>
  <c r="BI388" i="1"/>
  <c r="BH388" i="1"/>
  <c r="BP387" i="1"/>
  <c r="BO387" i="1"/>
  <c r="BN387" i="1"/>
  <c r="BM387" i="1"/>
  <c r="BL387" i="1"/>
  <c r="BK387" i="1"/>
  <c r="BJ387" i="1"/>
  <c r="BI387" i="1"/>
  <c r="BH387" i="1"/>
  <c r="BP386" i="1"/>
  <c r="BO386" i="1"/>
  <c r="BN386" i="1"/>
  <c r="BM386" i="1"/>
  <c r="BL386" i="1"/>
  <c r="BK386" i="1"/>
  <c r="BJ386" i="1"/>
  <c r="BI386" i="1"/>
  <c r="BH386" i="1"/>
  <c r="BP385" i="1"/>
  <c r="BO385" i="1"/>
  <c r="BN385" i="1"/>
  <c r="BM385" i="1"/>
  <c r="BL385" i="1"/>
  <c r="BK385" i="1"/>
  <c r="BJ385" i="1"/>
  <c r="BI385" i="1"/>
  <c r="BH385" i="1"/>
  <c r="BP384" i="1"/>
  <c r="BO384" i="1"/>
  <c r="BN384" i="1"/>
  <c r="BM384" i="1"/>
  <c r="BL384" i="1"/>
  <c r="BK384" i="1"/>
  <c r="BJ384" i="1"/>
  <c r="BI384" i="1"/>
  <c r="BH384" i="1"/>
  <c r="BP383" i="1"/>
  <c r="BO383" i="1"/>
  <c r="BN383" i="1"/>
  <c r="BM383" i="1"/>
  <c r="BL383" i="1"/>
  <c r="BK383" i="1"/>
  <c r="BJ383" i="1"/>
  <c r="BI383" i="1"/>
  <c r="BH383" i="1"/>
  <c r="BP382" i="1"/>
  <c r="BO382" i="1"/>
  <c r="BN382" i="1"/>
  <c r="BM382" i="1"/>
  <c r="BL382" i="1"/>
  <c r="BK382" i="1"/>
  <c r="BJ382" i="1"/>
  <c r="BI382" i="1"/>
  <c r="BH382" i="1"/>
  <c r="BP381" i="1"/>
  <c r="BO381" i="1"/>
  <c r="BN381" i="1"/>
  <c r="BM381" i="1"/>
  <c r="BL381" i="1"/>
  <c r="BK381" i="1"/>
  <c r="BJ381" i="1"/>
  <c r="BI381" i="1"/>
  <c r="BH381" i="1"/>
  <c r="BP380" i="1"/>
  <c r="BO380" i="1"/>
  <c r="BN380" i="1"/>
  <c r="BM380" i="1"/>
  <c r="BL380" i="1"/>
  <c r="BK380" i="1"/>
  <c r="BJ380" i="1"/>
  <c r="BI380" i="1"/>
  <c r="BH380" i="1"/>
  <c r="BP379" i="1"/>
  <c r="BO379" i="1"/>
  <c r="BN379" i="1"/>
  <c r="BM379" i="1"/>
  <c r="BL379" i="1"/>
  <c r="BK379" i="1"/>
  <c r="BJ379" i="1"/>
  <c r="BI379" i="1"/>
  <c r="BH379" i="1"/>
  <c r="BP378" i="1"/>
  <c r="BO378" i="1"/>
  <c r="BN378" i="1"/>
  <c r="BM378" i="1"/>
  <c r="BL378" i="1"/>
  <c r="BK378" i="1"/>
  <c r="BJ378" i="1"/>
  <c r="BI378" i="1"/>
  <c r="BH378" i="1"/>
  <c r="BP377" i="1"/>
  <c r="BO377" i="1"/>
  <c r="BN377" i="1"/>
  <c r="BM377" i="1"/>
  <c r="BL377" i="1"/>
  <c r="BK377" i="1"/>
  <c r="BJ377" i="1"/>
  <c r="BI377" i="1"/>
  <c r="BH377" i="1"/>
  <c r="BP376" i="1"/>
  <c r="BO376" i="1"/>
  <c r="BN376" i="1"/>
  <c r="BM376" i="1"/>
  <c r="BL376" i="1"/>
  <c r="BK376" i="1"/>
  <c r="BJ376" i="1"/>
  <c r="BI376" i="1"/>
  <c r="BH376" i="1"/>
  <c r="BP375" i="1"/>
  <c r="BO375" i="1"/>
  <c r="BN375" i="1"/>
  <c r="BM375" i="1"/>
  <c r="BL375" i="1"/>
  <c r="BK375" i="1"/>
  <c r="BJ375" i="1"/>
  <c r="BI375" i="1"/>
  <c r="BH375" i="1"/>
  <c r="BP374" i="1"/>
  <c r="BO374" i="1"/>
  <c r="BN374" i="1"/>
  <c r="BM374" i="1"/>
  <c r="BL374" i="1"/>
  <c r="BK374" i="1"/>
  <c r="BJ374" i="1"/>
  <c r="BI374" i="1"/>
  <c r="BH374" i="1"/>
  <c r="BP373" i="1"/>
  <c r="BO373" i="1"/>
  <c r="BN373" i="1"/>
  <c r="BM373" i="1"/>
  <c r="BL373" i="1"/>
  <c r="BK373" i="1"/>
  <c r="BJ373" i="1"/>
  <c r="BI373" i="1"/>
  <c r="BH373" i="1"/>
  <c r="BP372" i="1"/>
  <c r="BO372" i="1"/>
  <c r="BN372" i="1"/>
  <c r="BM372" i="1"/>
  <c r="BL372" i="1"/>
  <c r="BK372" i="1"/>
  <c r="BJ372" i="1"/>
  <c r="BI372" i="1"/>
  <c r="BH372" i="1"/>
  <c r="BP371" i="1"/>
  <c r="BO371" i="1"/>
  <c r="BN371" i="1"/>
  <c r="BM371" i="1"/>
  <c r="BL371" i="1"/>
  <c r="BK371" i="1"/>
  <c r="BJ371" i="1"/>
  <c r="BI371" i="1"/>
  <c r="BH371" i="1"/>
  <c r="BP370" i="1"/>
  <c r="BO370" i="1"/>
  <c r="BN370" i="1"/>
  <c r="BM370" i="1"/>
  <c r="BL370" i="1"/>
  <c r="BK370" i="1"/>
  <c r="BJ370" i="1"/>
  <c r="BI370" i="1"/>
  <c r="BH370" i="1"/>
  <c r="BP369" i="1"/>
  <c r="BO369" i="1"/>
  <c r="BN369" i="1"/>
  <c r="BM369" i="1"/>
  <c r="BL369" i="1"/>
  <c r="BK369" i="1"/>
  <c r="BJ369" i="1"/>
  <c r="BI369" i="1"/>
  <c r="BH369" i="1"/>
  <c r="BP368" i="1"/>
  <c r="BO368" i="1"/>
  <c r="BN368" i="1"/>
  <c r="BM368" i="1"/>
  <c r="BL368" i="1"/>
  <c r="BK368" i="1"/>
  <c r="BJ368" i="1"/>
  <c r="BI368" i="1"/>
  <c r="BH368" i="1"/>
  <c r="BP367" i="1"/>
  <c r="BO367" i="1"/>
  <c r="BN367" i="1"/>
  <c r="BM367" i="1"/>
  <c r="BL367" i="1"/>
  <c r="BK367" i="1"/>
  <c r="BJ367" i="1"/>
  <c r="BI367" i="1"/>
  <c r="BH367" i="1"/>
  <c r="BP366" i="1"/>
  <c r="BO366" i="1"/>
  <c r="BN366" i="1"/>
  <c r="BM366" i="1"/>
  <c r="BL366" i="1"/>
  <c r="BK366" i="1"/>
  <c r="BJ366" i="1"/>
  <c r="BI366" i="1"/>
  <c r="BH366" i="1"/>
  <c r="BP365" i="1"/>
  <c r="BO365" i="1"/>
  <c r="BN365" i="1"/>
  <c r="BM365" i="1"/>
  <c r="BL365" i="1"/>
  <c r="BK365" i="1"/>
  <c r="BJ365" i="1"/>
  <c r="BI365" i="1"/>
  <c r="BH365" i="1"/>
  <c r="BP364" i="1"/>
  <c r="BO364" i="1"/>
  <c r="BN364" i="1"/>
  <c r="BM364" i="1"/>
  <c r="BL364" i="1"/>
  <c r="BK364" i="1"/>
  <c r="BJ364" i="1"/>
  <c r="BI364" i="1"/>
  <c r="BH364" i="1"/>
  <c r="BP363" i="1"/>
  <c r="BO363" i="1"/>
  <c r="BN363" i="1"/>
  <c r="BM363" i="1"/>
  <c r="BL363" i="1"/>
  <c r="BK363" i="1"/>
  <c r="BJ363" i="1"/>
  <c r="BI363" i="1"/>
  <c r="BH363" i="1"/>
  <c r="BP362" i="1"/>
  <c r="BO362" i="1"/>
  <c r="BN362" i="1"/>
  <c r="BM362" i="1"/>
  <c r="BL362" i="1"/>
  <c r="BK362" i="1"/>
  <c r="BJ362" i="1"/>
  <c r="BI362" i="1"/>
  <c r="BH362" i="1"/>
  <c r="BP361" i="1"/>
  <c r="BO361" i="1"/>
  <c r="BN361" i="1"/>
  <c r="BM361" i="1"/>
  <c r="BL361" i="1"/>
  <c r="BK361" i="1"/>
  <c r="BJ361" i="1"/>
  <c r="BI361" i="1"/>
  <c r="BH361" i="1"/>
  <c r="BP360" i="1"/>
  <c r="BO360" i="1"/>
  <c r="BN360" i="1"/>
  <c r="BM360" i="1"/>
  <c r="BL360" i="1"/>
  <c r="BK360" i="1"/>
  <c r="BJ360" i="1"/>
  <c r="BI360" i="1"/>
  <c r="BH360" i="1"/>
  <c r="BP359" i="1"/>
  <c r="BO359" i="1"/>
  <c r="BN359" i="1"/>
  <c r="BM359" i="1"/>
  <c r="BL359" i="1"/>
  <c r="BK359" i="1"/>
  <c r="BJ359" i="1"/>
  <c r="BI359" i="1"/>
  <c r="BH359" i="1"/>
  <c r="BP358" i="1"/>
  <c r="BO358" i="1"/>
  <c r="BN358" i="1"/>
  <c r="BM358" i="1"/>
  <c r="BL358" i="1"/>
  <c r="BK358" i="1"/>
  <c r="BJ358" i="1"/>
  <c r="BI358" i="1"/>
  <c r="BH358" i="1"/>
  <c r="BP357" i="1"/>
  <c r="BO357" i="1"/>
  <c r="BN357" i="1"/>
  <c r="BM357" i="1"/>
  <c r="BL357" i="1"/>
  <c r="BK357" i="1"/>
  <c r="BJ357" i="1"/>
  <c r="BI357" i="1"/>
  <c r="BH357" i="1"/>
  <c r="BP356" i="1"/>
  <c r="BO356" i="1"/>
  <c r="BN356" i="1"/>
  <c r="BM356" i="1"/>
  <c r="BL356" i="1"/>
  <c r="BK356" i="1"/>
  <c r="BJ356" i="1"/>
  <c r="BI356" i="1"/>
  <c r="BH356" i="1"/>
  <c r="BP355" i="1"/>
  <c r="BO355" i="1"/>
  <c r="BN355" i="1"/>
  <c r="BM355" i="1"/>
  <c r="BL355" i="1"/>
  <c r="BK355" i="1"/>
  <c r="BJ355" i="1"/>
  <c r="BI355" i="1"/>
  <c r="BH355" i="1"/>
  <c r="BP354" i="1"/>
  <c r="BO354" i="1"/>
  <c r="BN354" i="1"/>
  <c r="BM354" i="1"/>
  <c r="BL354" i="1"/>
  <c r="BK354" i="1"/>
  <c r="BJ354" i="1"/>
  <c r="BI354" i="1"/>
  <c r="BH354" i="1"/>
  <c r="BP353" i="1"/>
  <c r="BO353" i="1"/>
  <c r="BN353" i="1"/>
  <c r="BM353" i="1"/>
  <c r="BL353" i="1"/>
  <c r="BK353" i="1"/>
  <c r="BJ353" i="1"/>
  <c r="BI353" i="1"/>
  <c r="BH353" i="1"/>
  <c r="BP352" i="1"/>
  <c r="BO352" i="1"/>
  <c r="BN352" i="1"/>
  <c r="BM352" i="1"/>
  <c r="BL352" i="1"/>
  <c r="BK352" i="1"/>
  <c r="BJ352" i="1"/>
  <c r="BI352" i="1"/>
  <c r="BH352" i="1"/>
  <c r="BP351" i="1"/>
  <c r="BO351" i="1"/>
  <c r="BN351" i="1"/>
  <c r="BM351" i="1"/>
  <c r="BL351" i="1"/>
  <c r="BK351" i="1"/>
  <c r="BJ351" i="1"/>
  <c r="BI351" i="1"/>
  <c r="BH351" i="1"/>
  <c r="BP350" i="1"/>
  <c r="BO350" i="1"/>
  <c r="BN350" i="1"/>
  <c r="BM350" i="1"/>
  <c r="BL350" i="1"/>
  <c r="BK350" i="1"/>
  <c r="BJ350" i="1"/>
  <c r="BI350" i="1"/>
  <c r="BH350" i="1"/>
  <c r="BP349" i="1"/>
  <c r="BO349" i="1"/>
  <c r="BN349" i="1"/>
  <c r="BM349" i="1"/>
  <c r="BL349" i="1"/>
  <c r="BK349" i="1"/>
  <c r="BJ349" i="1"/>
  <c r="BI349" i="1"/>
  <c r="BH349" i="1"/>
  <c r="BP348" i="1"/>
  <c r="BO348" i="1"/>
  <c r="BN348" i="1"/>
  <c r="BM348" i="1"/>
  <c r="BL348" i="1"/>
  <c r="BK348" i="1"/>
  <c r="BJ348" i="1"/>
  <c r="BI348" i="1"/>
  <c r="BH348" i="1"/>
  <c r="BP347" i="1"/>
  <c r="BO347" i="1"/>
  <c r="BN347" i="1"/>
  <c r="BM347" i="1"/>
  <c r="BL347" i="1"/>
  <c r="BK347" i="1"/>
  <c r="BJ347" i="1"/>
  <c r="BI347" i="1"/>
  <c r="BH347" i="1"/>
  <c r="BP346" i="1"/>
  <c r="BO346" i="1"/>
  <c r="BN346" i="1"/>
  <c r="BM346" i="1"/>
  <c r="BL346" i="1"/>
  <c r="BK346" i="1"/>
  <c r="BJ346" i="1"/>
  <c r="BI346" i="1"/>
  <c r="BH346" i="1"/>
  <c r="BP345" i="1"/>
  <c r="BO345" i="1"/>
  <c r="BN345" i="1"/>
  <c r="BM345" i="1"/>
  <c r="BL345" i="1"/>
  <c r="BK345" i="1"/>
  <c r="BJ345" i="1"/>
  <c r="BI345" i="1"/>
  <c r="BH345" i="1"/>
  <c r="BP344" i="1"/>
  <c r="BO344" i="1"/>
  <c r="BN344" i="1"/>
  <c r="BM344" i="1"/>
  <c r="BL344" i="1"/>
  <c r="BK344" i="1"/>
  <c r="BJ344" i="1"/>
  <c r="BI344" i="1"/>
  <c r="BH344" i="1"/>
  <c r="BP343" i="1"/>
  <c r="BO343" i="1"/>
  <c r="BN343" i="1"/>
  <c r="BM343" i="1"/>
  <c r="BL343" i="1"/>
  <c r="BK343" i="1"/>
  <c r="BJ343" i="1"/>
  <c r="BI343" i="1"/>
  <c r="BH343" i="1"/>
  <c r="BP342" i="1"/>
  <c r="BO342" i="1"/>
  <c r="BN342" i="1"/>
  <c r="BM342" i="1"/>
  <c r="BL342" i="1"/>
  <c r="BK342" i="1"/>
  <c r="BJ342" i="1"/>
  <c r="BI342" i="1"/>
  <c r="BH342" i="1"/>
  <c r="BP341" i="1"/>
  <c r="BO341" i="1"/>
  <c r="BM341" i="1"/>
  <c r="BL341" i="1"/>
  <c r="BJ341" i="1"/>
  <c r="BI341" i="1"/>
  <c r="BH341" i="1"/>
  <c r="BG341" i="1"/>
  <c r="BF341" i="1"/>
  <c r="AW341" i="1"/>
  <c r="AT341" i="1"/>
  <c r="BN341" i="1" s="1"/>
  <c r="V341" i="1"/>
  <c r="BK341" i="1" s="1"/>
  <c r="U341" i="1"/>
  <c r="S341" i="1"/>
  <c r="M341" i="1"/>
  <c r="G341" i="1"/>
  <c r="C341" i="1"/>
  <c r="BP340" i="1"/>
  <c r="BO340" i="1"/>
  <c r="BN340" i="1"/>
  <c r="BM340" i="1"/>
  <c r="BL340" i="1"/>
  <c r="BK340" i="1"/>
  <c r="BJ340" i="1"/>
  <c r="BI340" i="1"/>
  <c r="BH340" i="1"/>
  <c r="BP339" i="1"/>
  <c r="BO339" i="1"/>
  <c r="BN339" i="1"/>
  <c r="BM339" i="1"/>
  <c r="BL339" i="1"/>
  <c r="BK339" i="1"/>
  <c r="BJ339" i="1"/>
  <c r="BI339" i="1"/>
  <c r="BH339" i="1"/>
  <c r="BP338" i="1"/>
  <c r="BO338" i="1"/>
  <c r="BN338" i="1"/>
  <c r="BM338" i="1"/>
  <c r="BL338" i="1"/>
  <c r="BK338" i="1"/>
  <c r="BJ338" i="1"/>
  <c r="BI338" i="1"/>
  <c r="BH338" i="1"/>
  <c r="BP337" i="1"/>
  <c r="BO337" i="1"/>
  <c r="BN337" i="1"/>
  <c r="BM337" i="1"/>
  <c r="BL337" i="1"/>
  <c r="BK337" i="1"/>
  <c r="BJ337" i="1"/>
  <c r="BI337" i="1"/>
  <c r="BH337" i="1"/>
  <c r="BP336" i="1"/>
  <c r="BO336" i="1"/>
  <c r="BN336" i="1"/>
  <c r="BM336" i="1"/>
  <c r="BL336" i="1"/>
  <c r="BK336" i="1"/>
  <c r="BJ336" i="1"/>
  <c r="BI336" i="1"/>
  <c r="BH336" i="1"/>
  <c r="BP335" i="1"/>
  <c r="BO335" i="1"/>
  <c r="BN335" i="1"/>
  <c r="BM335" i="1"/>
  <c r="BL335" i="1"/>
  <c r="BK335" i="1"/>
  <c r="BJ335" i="1"/>
  <c r="BI335" i="1"/>
  <c r="BH335" i="1"/>
  <c r="BP334" i="1"/>
  <c r="BO334" i="1"/>
  <c r="BN334" i="1"/>
  <c r="BM334" i="1"/>
  <c r="BL334" i="1"/>
  <c r="BK334" i="1"/>
  <c r="BJ334" i="1"/>
  <c r="BI334" i="1"/>
  <c r="BH334" i="1"/>
  <c r="BP333" i="1"/>
  <c r="BO333" i="1"/>
  <c r="BN333" i="1"/>
  <c r="BM333" i="1"/>
  <c r="BL333" i="1"/>
  <c r="BK333" i="1"/>
  <c r="BJ333" i="1"/>
  <c r="BI333" i="1"/>
  <c r="BH333" i="1"/>
  <c r="BP332" i="1"/>
  <c r="BO332" i="1"/>
  <c r="BN332" i="1"/>
  <c r="BM332" i="1"/>
  <c r="BL332" i="1"/>
  <c r="BK332" i="1"/>
  <c r="BJ332" i="1"/>
  <c r="BI332" i="1"/>
  <c r="BH332" i="1"/>
  <c r="BP331" i="1"/>
  <c r="BO331" i="1"/>
  <c r="BN331" i="1"/>
  <c r="BM331" i="1"/>
  <c r="BL331" i="1"/>
  <c r="BK331" i="1"/>
  <c r="BJ331" i="1"/>
  <c r="BI331" i="1"/>
  <c r="BH331" i="1"/>
  <c r="BP330" i="1"/>
  <c r="BO330" i="1"/>
  <c r="BN330" i="1"/>
  <c r="BM330" i="1"/>
  <c r="BL330" i="1"/>
  <c r="BK330" i="1"/>
  <c r="BJ330" i="1"/>
  <c r="BI330" i="1"/>
  <c r="BH330" i="1"/>
  <c r="BP329" i="1"/>
  <c r="BO329" i="1"/>
  <c r="BN329" i="1"/>
  <c r="BM329" i="1"/>
  <c r="BL329" i="1"/>
  <c r="BK329" i="1"/>
  <c r="BJ329" i="1"/>
  <c r="BI329" i="1"/>
  <c r="BH329" i="1"/>
  <c r="BP328" i="1"/>
  <c r="BO328" i="1"/>
  <c r="BN328" i="1"/>
  <c r="BM328" i="1"/>
  <c r="BL328" i="1"/>
  <c r="BK328" i="1"/>
  <c r="BJ328" i="1"/>
  <c r="BI328" i="1"/>
  <c r="BH328" i="1"/>
  <c r="BP327" i="1"/>
  <c r="BO327" i="1"/>
  <c r="BN327" i="1"/>
  <c r="BM327" i="1"/>
  <c r="BL327" i="1"/>
  <c r="BK327" i="1"/>
  <c r="BJ327" i="1"/>
  <c r="BI327" i="1"/>
  <c r="BH327" i="1"/>
  <c r="BP326" i="1"/>
  <c r="BO326" i="1"/>
  <c r="BN326" i="1"/>
  <c r="BM326" i="1"/>
  <c r="BL326" i="1"/>
  <c r="BK326" i="1"/>
  <c r="BJ326" i="1"/>
  <c r="BI326" i="1"/>
  <c r="BH326" i="1"/>
  <c r="BP325" i="1"/>
  <c r="BO325" i="1"/>
  <c r="BN325" i="1"/>
  <c r="BM325" i="1"/>
  <c r="BL325" i="1"/>
  <c r="BK325" i="1"/>
  <c r="BJ325" i="1"/>
  <c r="BI325" i="1"/>
  <c r="BH325" i="1"/>
  <c r="BP324" i="1"/>
  <c r="BO324" i="1"/>
  <c r="BN324" i="1"/>
  <c r="BM324" i="1"/>
  <c r="BL324" i="1"/>
  <c r="BK324" i="1"/>
  <c r="BJ324" i="1"/>
  <c r="BI324" i="1"/>
  <c r="BH324" i="1"/>
  <c r="BP323" i="1"/>
  <c r="BO323" i="1"/>
  <c r="BN323" i="1"/>
  <c r="BM323" i="1"/>
  <c r="BL323" i="1"/>
  <c r="BK323" i="1"/>
  <c r="BJ323" i="1"/>
  <c r="BI323" i="1"/>
  <c r="BH323" i="1"/>
  <c r="BP322" i="1"/>
  <c r="BO322" i="1"/>
  <c r="BN322" i="1"/>
  <c r="BM322" i="1"/>
  <c r="BL322" i="1"/>
  <c r="BK322" i="1"/>
  <c r="BJ322" i="1"/>
  <c r="BI322" i="1"/>
  <c r="BH322" i="1"/>
  <c r="BP321" i="1"/>
  <c r="BO321" i="1"/>
  <c r="BN321" i="1"/>
  <c r="BM321" i="1"/>
  <c r="BL321" i="1"/>
  <c r="BK321" i="1"/>
  <c r="BJ321" i="1"/>
  <c r="BI321" i="1"/>
  <c r="BH321" i="1"/>
  <c r="BP320" i="1"/>
  <c r="BO320" i="1"/>
  <c r="BN320" i="1"/>
  <c r="BM320" i="1"/>
  <c r="BL320" i="1"/>
  <c r="BK320" i="1"/>
  <c r="BJ320" i="1"/>
  <c r="BI320" i="1"/>
  <c r="BH320" i="1"/>
  <c r="BP319" i="1"/>
  <c r="BO319" i="1"/>
  <c r="BN319" i="1"/>
  <c r="BM319" i="1"/>
  <c r="BL319" i="1"/>
  <c r="BK319" i="1"/>
  <c r="BJ319" i="1"/>
  <c r="BI319" i="1"/>
  <c r="BH319" i="1"/>
  <c r="BP318" i="1"/>
  <c r="BO318" i="1"/>
  <c r="BN318" i="1"/>
  <c r="BM318" i="1"/>
  <c r="BL318" i="1"/>
  <c r="BK318" i="1"/>
  <c r="BJ318" i="1"/>
  <c r="BI318" i="1"/>
  <c r="BH318" i="1"/>
  <c r="BP317" i="1"/>
  <c r="BO317" i="1"/>
  <c r="BN317" i="1"/>
  <c r="BM317" i="1"/>
  <c r="BL317" i="1"/>
  <c r="BK317" i="1"/>
  <c r="BJ317" i="1"/>
  <c r="BI317" i="1"/>
  <c r="BH317" i="1"/>
  <c r="BP316" i="1"/>
  <c r="BO316" i="1"/>
  <c r="BN316" i="1"/>
  <c r="BM316" i="1"/>
  <c r="BL316" i="1"/>
  <c r="BK316" i="1"/>
  <c r="BJ316" i="1"/>
  <c r="BI316" i="1"/>
  <c r="BH316" i="1"/>
  <c r="BP315" i="1"/>
  <c r="BO315" i="1"/>
  <c r="BN315" i="1"/>
  <c r="BM315" i="1"/>
  <c r="BL315" i="1"/>
  <c r="BK315" i="1"/>
  <c r="BJ315" i="1"/>
  <c r="BI315" i="1"/>
  <c r="BH315" i="1"/>
  <c r="BP314" i="1"/>
  <c r="BO314" i="1"/>
  <c r="BN314" i="1"/>
  <c r="BM314" i="1"/>
  <c r="BL314" i="1"/>
  <c r="BK314" i="1"/>
  <c r="BJ314" i="1"/>
  <c r="BI314" i="1"/>
  <c r="BH314" i="1"/>
  <c r="BP313" i="1"/>
  <c r="BO313" i="1"/>
  <c r="BN313" i="1"/>
  <c r="BM313" i="1"/>
  <c r="BL313" i="1"/>
  <c r="BK313" i="1"/>
  <c r="BJ313" i="1"/>
  <c r="BI313" i="1"/>
  <c r="BH313" i="1"/>
  <c r="BP312" i="1"/>
  <c r="BO312" i="1"/>
  <c r="BN312" i="1"/>
  <c r="BM312" i="1"/>
  <c r="BL312" i="1"/>
  <c r="BK312" i="1"/>
  <c r="BJ312" i="1"/>
  <c r="BI312" i="1"/>
  <c r="BH312" i="1"/>
  <c r="BP311" i="1"/>
  <c r="BO311" i="1"/>
  <c r="BN311" i="1"/>
  <c r="BM311" i="1"/>
  <c r="BL311" i="1"/>
  <c r="BK311" i="1"/>
  <c r="BJ311" i="1"/>
  <c r="BI311" i="1"/>
  <c r="BH311" i="1"/>
  <c r="BP310" i="1"/>
  <c r="BO310" i="1"/>
  <c r="BN310" i="1"/>
  <c r="BM310" i="1"/>
  <c r="BL310" i="1"/>
  <c r="BK310" i="1"/>
  <c r="BJ310" i="1"/>
  <c r="BI310" i="1"/>
  <c r="BH310" i="1"/>
  <c r="BP309" i="1"/>
  <c r="BO309" i="1"/>
  <c r="BN309" i="1"/>
  <c r="BM309" i="1"/>
  <c r="BL309" i="1"/>
  <c r="BK309" i="1"/>
  <c r="BJ309" i="1"/>
  <c r="BI309" i="1"/>
  <c r="BH309" i="1"/>
  <c r="BP308" i="1"/>
  <c r="BO308" i="1"/>
  <c r="BN308" i="1"/>
  <c r="BM308" i="1"/>
  <c r="BL308" i="1"/>
  <c r="BK308" i="1"/>
  <c r="BJ308" i="1"/>
  <c r="BI308" i="1"/>
  <c r="BH308" i="1"/>
  <c r="BP307" i="1"/>
  <c r="BO307" i="1"/>
  <c r="BN307" i="1"/>
  <c r="BM307" i="1"/>
  <c r="BL307" i="1"/>
  <c r="BK307" i="1"/>
  <c r="BJ307" i="1"/>
  <c r="BI307" i="1"/>
  <c r="BH307" i="1"/>
  <c r="BP306" i="1"/>
  <c r="BO306" i="1"/>
  <c r="BN306" i="1"/>
  <c r="BM306" i="1"/>
  <c r="BL306" i="1"/>
  <c r="BK306" i="1"/>
  <c r="BJ306" i="1"/>
  <c r="BI306" i="1"/>
  <c r="BH306" i="1"/>
  <c r="BP305" i="1"/>
  <c r="BO305" i="1"/>
  <c r="BN305" i="1"/>
  <c r="BM305" i="1"/>
  <c r="BL305" i="1"/>
  <c r="BK305" i="1"/>
  <c r="BJ305" i="1"/>
  <c r="BI305" i="1"/>
  <c r="BH305" i="1"/>
  <c r="BP304" i="1"/>
  <c r="BO304" i="1"/>
  <c r="BN304" i="1"/>
  <c r="BM304" i="1"/>
  <c r="BL304" i="1"/>
  <c r="BK304" i="1"/>
  <c r="BJ304" i="1"/>
  <c r="BI304" i="1"/>
  <c r="BH304" i="1"/>
  <c r="BP303" i="1"/>
  <c r="BO303" i="1"/>
  <c r="BN303" i="1"/>
  <c r="BM303" i="1"/>
  <c r="BL303" i="1"/>
  <c r="BK303" i="1"/>
  <c r="BJ303" i="1"/>
  <c r="BI303" i="1"/>
  <c r="BH303" i="1"/>
  <c r="BP302" i="1"/>
  <c r="BO302" i="1"/>
  <c r="BN302" i="1"/>
  <c r="BM302" i="1"/>
  <c r="BL302" i="1"/>
  <c r="BK302" i="1"/>
  <c r="BJ302" i="1"/>
  <c r="BI302" i="1"/>
  <c r="BH302" i="1"/>
  <c r="BP301" i="1"/>
  <c r="BO301" i="1"/>
  <c r="BN301" i="1"/>
  <c r="BM301" i="1"/>
  <c r="BL301" i="1"/>
  <c r="BK301" i="1"/>
  <c r="BJ301" i="1"/>
  <c r="BI301" i="1"/>
  <c r="BH301" i="1"/>
  <c r="BP300" i="1"/>
  <c r="BO300" i="1"/>
  <c r="BN300" i="1"/>
  <c r="BM300" i="1"/>
  <c r="BL300" i="1"/>
  <c r="BK300" i="1"/>
  <c r="BJ300" i="1"/>
  <c r="BI300" i="1"/>
  <c r="BH300" i="1"/>
  <c r="BP299" i="1"/>
  <c r="BO299" i="1"/>
  <c r="BN299" i="1"/>
  <c r="BM299" i="1"/>
  <c r="BL299" i="1"/>
  <c r="BK299" i="1"/>
  <c r="BJ299" i="1"/>
  <c r="BI299" i="1"/>
  <c r="BH299" i="1"/>
  <c r="BP298" i="1"/>
  <c r="BO298" i="1"/>
  <c r="BN298" i="1"/>
  <c r="BM298" i="1"/>
  <c r="BL298" i="1"/>
  <c r="BK298" i="1"/>
  <c r="BJ298" i="1"/>
  <c r="BI298" i="1"/>
  <c r="BH298" i="1"/>
  <c r="BP297" i="1"/>
  <c r="BO297" i="1"/>
  <c r="BN297" i="1"/>
  <c r="BM297" i="1"/>
  <c r="BL297" i="1"/>
  <c r="BK297" i="1"/>
  <c r="BJ297" i="1"/>
  <c r="BI297" i="1"/>
  <c r="BH297" i="1"/>
  <c r="BP296" i="1"/>
  <c r="BO296" i="1"/>
  <c r="BN296" i="1"/>
  <c r="BM296" i="1"/>
  <c r="BL296" i="1"/>
  <c r="BK296" i="1"/>
  <c r="BJ296" i="1"/>
  <c r="BI296" i="1"/>
  <c r="BH296" i="1"/>
  <c r="BP295" i="1"/>
  <c r="BO295" i="1"/>
  <c r="BN295" i="1"/>
  <c r="BM295" i="1"/>
  <c r="BL295" i="1"/>
  <c r="BK295" i="1"/>
  <c r="BJ295" i="1"/>
  <c r="BI295" i="1"/>
  <c r="BH295" i="1"/>
  <c r="BP294" i="1"/>
  <c r="BO294" i="1"/>
  <c r="BN294" i="1"/>
  <c r="BM294" i="1"/>
  <c r="BL294" i="1"/>
  <c r="BK294" i="1"/>
  <c r="BJ294" i="1"/>
  <c r="BI294" i="1"/>
  <c r="BH294" i="1"/>
  <c r="BP293" i="1"/>
  <c r="BO293" i="1"/>
  <c r="BN293" i="1"/>
  <c r="BM293" i="1"/>
  <c r="BL293" i="1"/>
  <c r="BK293" i="1"/>
  <c r="BJ293" i="1"/>
  <c r="BI293" i="1"/>
  <c r="BH293" i="1"/>
  <c r="BP292" i="1"/>
  <c r="BO292" i="1"/>
  <c r="BN292" i="1"/>
  <c r="BM292" i="1"/>
  <c r="BL292" i="1"/>
  <c r="BK292" i="1"/>
  <c r="BJ292" i="1"/>
  <c r="BI292" i="1"/>
  <c r="BH292" i="1"/>
  <c r="BP291" i="1"/>
  <c r="BO291" i="1"/>
  <c r="BN291" i="1"/>
  <c r="BM291" i="1"/>
  <c r="BL291" i="1"/>
  <c r="BK291" i="1"/>
  <c r="BJ291" i="1"/>
  <c r="BI291" i="1"/>
  <c r="BH291" i="1"/>
  <c r="BP290" i="1"/>
  <c r="BO290" i="1"/>
  <c r="BN290" i="1"/>
  <c r="BM290" i="1"/>
  <c r="BL290" i="1"/>
  <c r="BK290" i="1"/>
  <c r="BJ290" i="1"/>
  <c r="BI290" i="1"/>
  <c r="BH290" i="1"/>
  <c r="BP289" i="1"/>
  <c r="BO289" i="1"/>
  <c r="BN289" i="1"/>
  <c r="BM289" i="1"/>
  <c r="BL289" i="1"/>
  <c r="BK289" i="1"/>
  <c r="BJ289" i="1"/>
  <c r="BI289" i="1"/>
  <c r="BH289" i="1"/>
  <c r="BP288" i="1"/>
  <c r="BO288" i="1"/>
  <c r="BN288" i="1"/>
  <c r="BM288" i="1"/>
  <c r="BL288" i="1"/>
  <c r="BK288" i="1"/>
  <c r="BJ288" i="1"/>
  <c r="BI288" i="1"/>
  <c r="BH288" i="1"/>
  <c r="BP287" i="1"/>
  <c r="BO287" i="1"/>
  <c r="BN287" i="1"/>
  <c r="BM287" i="1"/>
  <c r="BL287" i="1"/>
  <c r="BK287" i="1"/>
  <c r="BJ287" i="1"/>
  <c r="BI287" i="1"/>
  <c r="BH287" i="1"/>
  <c r="BP286" i="1"/>
  <c r="BO286" i="1"/>
  <c r="BN286" i="1"/>
  <c r="BM286" i="1"/>
  <c r="BL286" i="1"/>
  <c r="BK286" i="1"/>
  <c r="BJ286" i="1"/>
  <c r="BI286" i="1"/>
  <c r="BH286" i="1"/>
  <c r="BP285" i="1"/>
  <c r="BO285" i="1"/>
  <c r="BN285" i="1"/>
  <c r="BM285" i="1"/>
  <c r="BL285" i="1"/>
  <c r="BK285" i="1"/>
  <c r="BJ285" i="1"/>
  <c r="BI285" i="1"/>
  <c r="BH285" i="1"/>
  <c r="BP284" i="1"/>
  <c r="BO284" i="1"/>
  <c r="BN284" i="1"/>
  <c r="BM284" i="1"/>
  <c r="BL284" i="1"/>
  <c r="BK284" i="1"/>
  <c r="BJ284" i="1"/>
  <c r="BI284" i="1"/>
  <c r="BH284" i="1"/>
  <c r="BP283" i="1"/>
  <c r="BO283" i="1"/>
  <c r="BN283" i="1"/>
  <c r="BM283" i="1"/>
  <c r="BL283" i="1"/>
  <c r="BK283" i="1"/>
  <c r="BJ283" i="1"/>
  <c r="BI283" i="1"/>
  <c r="BH283" i="1"/>
  <c r="BP282" i="1"/>
  <c r="BO282" i="1"/>
  <c r="BN282" i="1"/>
  <c r="BM282" i="1"/>
  <c r="BL282" i="1"/>
  <c r="BK282" i="1"/>
  <c r="BJ282" i="1"/>
  <c r="BI282" i="1"/>
  <c r="BH282" i="1"/>
  <c r="BP281" i="1"/>
  <c r="BO281" i="1"/>
  <c r="BN281" i="1"/>
  <c r="BM281" i="1"/>
  <c r="BL281" i="1"/>
  <c r="BK281" i="1"/>
  <c r="BJ281" i="1"/>
  <c r="BI281" i="1"/>
  <c r="BH281" i="1"/>
  <c r="BP280" i="1"/>
  <c r="BO280" i="1"/>
  <c r="BN280" i="1"/>
  <c r="BM280" i="1"/>
  <c r="BL280" i="1"/>
  <c r="BK280" i="1"/>
  <c r="BJ280" i="1"/>
  <c r="BI280" i="1"/>
  <c r="BH280" i="1"/>
  <c r="BP279" i="1"/>
  <c r="BO279" i="1"/>
  <c r="BN279" i="1"/>
  <c r="BM279" i="1"/>
  <c r="BL279" i="1"/>
  <c r="BK279" i="1"/>
  <c r="BJ279" i="1"/>
  <c r="BI279" i="1"/>
  <c r="BH279" i="1"/>
  <c r="BP278" i="1"/>
  <c r="BO278" i="1"/>
  <c r="BN278" i="1"/>
  <c r="BM278" i="1"/>
  <c r="BL278" i="1"/>
  <c r="BK278" i="1"/>
  <c r="BJ278" i="1"/>
  <c r="BI278" i="1"/>
  <c r="BH278" i="1"/>
  <c r="BP277" i="1"/>
  <c r="BO277" i="1"/>
  <c r="BN277" i="1"/>
  <c r="BM277" i="1"/>
  <c r="BL277" i="1"/>
  <c r="BK277" i="1"/>
  <c r="BJ277" i="1"/>
  <c r="BI277" i="1"/>
  <c r="BH277" i="1"/>
  <c r="BP276" i="1"/>
  <c r="BO276" i="1"/>
  <c r="BN276" i="1"/>
  <c r="BM276" i="1"/>
  <c r="BL276" i="1"/>
  <c r="BK276" i="1"/>
  <c r="BJ276" i="1"/>
  <c r="BI276" i="1"/>
  <c r="BH276" i="1"/>
  <c r="BP275" i="1"/>
  <c r="BO275" i="1"/>
  <c r="BN275" i="1"/>
  <c r="BM275" i="1"/>
  <c r="BL275" i="1"/>
  <c r="BK275" i="1"/>
  <c r="BJ275" i="1"/>
  <c r="BI275" i="1"/>
  <c r="BH275" i="1"/>
  <c r="BP274" i="1"/>
  <c r="BO274" i="1"/>
  <c r="BN274" i="1"/>
  <c r="BM274" i="1"/>
  <c r="BL274" i="1"/>
  <c r="BK274" i="1"/>
  <c r="BJ274" i="1"/>
  <c r="BI274" i="1"/>
  <c r="BH274" i="1"/>
  <c r="BP273" i="1"/>
  <c r="BO273" i="1"/>
  <c r="BN273" i="1"/>
  <c r="BM273" i="1"/>
  <c r="BL273" i="1"/>
  <c r="BK273" i="1"/>
  <c r="BJ273" i="1"/>
  <c r="BI273" i="1"/>
  <c r="BH273" i="1"/>
  <c r="BP272" i="1"/>
  <c r="BO272" i="1"/>
  <c r="BN272" i="1"/>
  <c r="BM272" i="1"/>
  <c r="BL272" i="1"/>
  <c r="BK272" i="1"/>
  <c r="BJ272" i="1"/>
  <c r="BI272" i="1"/>
  <c r="BH272" i="1"/>
  <c r="BP271" i="1"/>
  <c r="BO271" i="1"/>
  <c r="BN271" i="1"/>
  <c r="BM271" i="1"/>
  <c r="BL271" i="1"/>
  <c r="BK271" i="1"/>
  <c r="BJ271" i="1"/>
  <c r="BI271" i="1"/>
  <c r="BH271" i="1"/>
  <c r="BP270" i="1"/>
  <c r="BO270" i="1"/>
  <c r="BN270" i="1"/>
  <c r="BM270" i="1"/>
  <c r="BL270" i="1"/>
  <c r="BK270" i="1"/>
  <c r="BJ270" i="1"/>
  <c r="BI270" i="1"/>
  <c r="BH270" i="1"/>
  <c r="BP269" i="1"/>
  <c r="BO269" i="1"/>
  <c r="BN269" i="1"/>
  <c r="BM269" i="1"/>
  <c r="BL269" i="1"/>
  <c r="BK269" i="1"/>
  <c r="BJ269" i="1"/>
  <c r="BI269" i="1"/>
  <c r="BH269" i="1"/>
  <c r="BP268" i="1"/>
  <c r="BO268" i="1"/>
  <c r="BN268" i="1"/>
  <c r="BM268" i="1"/>
  <c r="BL268" i="1"/>
  <c r="BK268" i="1"/>
  <c r="BJ268" i="1"/>
  <c r="BI268" i="1"/>
  <c r="BH268" i="1"/>
  <c r="BP267" i="1"/>
  <c r="BO267" i="1"/>
  <c r="BN267" i="1"/>
  <c r="BM267" i="1"/>
  <c r="BL267" i="1"/>
  <c r="BK267" i="1"/>
  <c r="BJ267" i="1"/>
  <c r="BI267" i="1"/>
  <c r="BH267" i="1"/>
  <c r="BP266" i="1"/>
  <c r="BO266" i="1"/>
  <c r="BN266" i="1"/>
  <c r="BM266" i="1"/>
  <c r="BL266" i="1"/>
  <c r="BK266" i="1"/>
  <c r="BJ266" i="1"/>
  <c r="BI266" i="1"/>
  <c r="BH266" i="1"/>
  <c r="BP265" i="1"/>
  <c r="BO265" i="1"/>
  <c r="BN265" i="1"/>
  <c r="BM265" i="1"/>
  <c r="BL265" i="1"/>
  <c r="BK265" i="1"/>
  <c r="BJ265" i="1"/>
  <c r="BI265" i="1"/>
  <c r="BH265" i="1"/>
  <c r="BP264" i="1"/>
  <c r="BO264" i="1"/>
  <c r="BN264" i="1"/>
  <c r="BM264" i="1"/>
  <c r="BL264" i="1"/>
  <c r="BK264" i="1"/>
  <c r="BJ264" i="1"/>
  <c r="BI264" i="1"/>
  <c r="BH264" i="1"/>
  <c r="BP263" i="1"/>
  <c r="BO263" i="1"/>
  <c r="BN263" i="1"/>
  <c r="BM263" i="1"/>
  <c r="BL263" i="1"/>
  <c r="BK263" i="1"/>
  <c r="BJ263" i="1"/>
  <c r="BI263" i="1"/>
  <c r="BH263" i="1"/>
  <c r="BP262" i="1"/>
  <c r="BO262" i="1"/>
  <c r="BN262" i="1"/>
  <c r="BM262" i="1"/>
  <c r="BL262" i="1"/>
  <c r="BK262" i="1"/>
  <c r="BJ262" i="1"/>
  <c r="BI262" i="1"/>
  <c r="BH262" i="1"/>
  <c r="BP261" i="1"/>
  <c r="BO261" i="1"/>
  <c r="BN261" i="1"/>
  <c r="BM261" i="1"/>
  <c r="BL261" i="1"/>
  <c r="BK261" i="1"/>
  <c r="BJ261" i="1"/>
  <c r="BI261" i="1"/>
  <c r="BH261" i="1"/>
  <c r="BP260" i="1"/>
  <c r="BO260" i="1"/>
  <c r="BN260" i="1"/>
  <c r="BM260" i="1"/>
  <c r="BL260" i="1"/>
  <c r="BK260" i="1"/>
  <c r="BJ260" i="1"/>
  <c r="BI260" i="1"/>
  <c r="BH260" i="1"/>
  <c r="BP259" i="1"/>
  <c r="BO259" i="1"/>
  <c r="BN259" i="1"/>
  <c r="BM259" i="1"/>
  <c r="BL259" i="1"/>
  <c r="BK259" i="1"/>
  <c r="BJ259" i="1"/>
  <c r="BI259" i="1"/>
  <c r="BH259" i="1"/>
  <c r="BP258" i="1"/>
  <c r="BO258" i="1"/>
  <c r="BN258" i="1"/>
  <c r="BM258" i="1"/>
  <c r="BL258" i="1"/>
  <c r="BK258" i="1"/>
  <c r="BJ258" i="1"/>
  <c r="BI258" i="1"/>
  <c r="BH258" i="1"/>
  <c r="BP257" i="1"/>
  <c r="BO257" i="1"/>
  <c r="BN257" i="1"/>
  <c r="BM257" i="1"/>
  <c r="BL257" i="1"/>
  <c r="BK257" i="1"/>
  <c r="BJ257" i="1"/>
  <c r="BI257" i="1"/>
  <c r="BH257" i="1"/>
  <c r="BP256" i="1"/>
  <c r="BO256" i="1"/>
  <c r="BN256" i="1"/>
  <c r="BM256" i="1"/>
  <c r="BL256" i="1"/>
  <c r="BK256" i="1"/>
  <c r="BJ256" i="1"/>
  <c r="BI256" i="1"/>
  <c r="BH256" i="1"/>
  <c r="BP255" i="1"/>
  <c r="BO255" i="1"/>
  <c r="BN255" i="1"/>
  <c r="BM255" i="1"/>
  <c r="BL255" i="1"/>
  <c r="BK255" i="1"/>
  <c r="BJ255" i="1"/>
  <c r="BI255" i="1"/>
  <c r="BH255" i="1"/>
  <c r="BP254" i="1"/>
  <c r="BO254" i="1"/>
  <c r="BN254" i="1"/>
  <c r="BM254" i="1"/>
  <c r="BL254" i="1"/>
  <c r="BK254" i="1"/>
  <c r="BJ254" i="1"/>
  <c r="BI254" i="1"/>
  <c r="BH254" i="1"/>
  <c r="BP253" i="1"/>
  <c r="BO253" i="1"/>
  <c r="BN253" i="1"/>
  <c r="BM253" i="1"/>
  <c r="BL253" i="1"/>
  <c r="BK253" i="1"/>
  <c r="BJ253" i="1"/>
  <c r="BI253" i="1"/>
  <c r="BH253" i="1"/>
  <c r="BP252" i="1"/>
  <c r="BO252" i="1"/>
  <c r="BN252" i="1"/>
  <c r="BM252" i="1"/>
  <c r="BL252" i="1"/>
  <c r="BK252" i="1"/>
  <c r="BJ252" i="1"/>
  <c r="BI252" i="1"/>
  <c r="BH252" i="1"/>
  <c r="BP251" i="1"/>
  <c r="BO251" i="1"/>
  <c r="BN251" i="1"/>
  <c r="BM251" i="1"/>
  <c r="BL251" i="1"/>
  <c r="BK251" i="1"/>
  <c r="BJ251" i="1"/>
  <c r="BI251" i="1"/>
  <c r="BH251" i="1"/>
  <c r="BP250" i="1"/>
  <c r="BO250" i="1"/>
  <c r="BN250" i="1"/>
  <c r="BM250" i="1"/>
  <c r="BL250" i="1"/>
  <c r="BK250" i="1"/>
  <c r="BJ250" i="1"/>
  <c r="BI250" i="1"/>
  <c r="BH250" i="1"/>
  <c r="BP249" i="1"/>
  <c r="BO249" i="1"/>
  <c r="BN249" i="1"/>
  <c r="BM249" i="1"/>
  <c r="BL249" i="1"/>
  <c r="BK249" i="1"/>
  <c r="BJ249" i="1"/>
  <c r="BI249" i="1"/>
  <c r="BH249" i="1"/>
  <c r="BP248" i="1"/>
  <c r="BO248" i="1"/>
  <c r="BN248" i="1"/>
  <c r="BM248" i="1"/>
  <c r="BL248" i="1"/>
  <c r="BK248" i="1"/>
  <c r="BJ248" i="1"/>
  <c r="BI248" i="1"/>
  <c r="BH248" i="1"/>
  <c r="BP247" i="1"/>
  <c r="BO247" i="1"/>
  <c r="BN247" i="1"/>
  <c r="BM247" i="1"/>
  <c r="BL247" i="1"/>
  <c r="BK247" i="1"/>
  <c r="BJ247" i="1"/>
  <c r="BI247" i="1"/>
  <c r="BH247" i="1"/>
  <c r="BP246" i="1"/>
  <c r="BO246" i="1"/>
  <c r="BN246" i="1"/>
  <c r="BM246" i="1"/>
  <c r="BL246" i="1"/>
  <c r="BK246" i="1"/>
  <c r="BJ246" i="1"/>
  <c r="BI246" i="1"/>
  <c r="BH246" i="1"/>
  <c r="BP245" i="1"/>
  <c r="BO245" i="1"/>
  <c r="BN245" i="1"/>
  <c r="BM245" i="1"/>
  <c r="BL245" i="1"/>
  <c r="BK245" i="1"/>
  <c r="BJ245" i="1"/>
  <c r="BI245" i="1"/>
  <c r="BH245" i="1"/>
  <c r="BP244" i="1"/>
  <c r="BO244" i="1"/>
  <c r="BN244" i="1"/>
  <c r="BM244" i="1"/>
  <c r="BL244" i="1"/>
  <c r="BK244" i="1"/>
  <c r="BJ244" i="1"/>
  <c r="BI244" i="1"/>
  <c r="BH244" i="1"/>
  <c r="BP243" i="1"/>
  <c r="BO243" i="1"/>
  <c r="BN243" i="1"/>
  <c r="BM243" i="1"/>
  <c r="BL243" i="1"/>
  <c r="BK243" i="1"/>
  <c r="BJ243" i="1"/>
  <c r="BI243" i="1"/>
  <c r="BH243" i="1"/>
  <c r="BP242" i="1"/>
  <c r="BO242" i="1"/>
  <c r="BN242" i="1"/>
  <c r="BM242" i="1"/>
  <c r="BL242" i="1"/>
  <c r="BK242" i="1"/>
  <c r="BJ242" i="1"/>
  <c r="BI242" i="1"/>
  <c r="BH242" i="1"/>
  <c r="BP241" i="1"/>
  <c r="BO241" i="1"/>
  <c r="BN241" i="1"/>
  <c r="BM241" i="1"/>
  <c r="BL241" i="1"/>
  <c r="BK241" i="1"/>
  <c r="BJ241" i="1"/>
  <c r="BI241" i="1"/>
  <c r="BH241" i="1"/>
  <c r="BP240" i="1"/>
  <c r="BO240" i="1"/>
  <c r="BN240" i="1"/>
  <c r="BM240" i="1"/>
  <c r="BL240" i="1"/>
  <c r="BK240" i="1"/>
  <c r="BJ240" i="1"/>
  <c r="BI240" i="1"/>
  <c r="BH240" i="1"/>
  <c r="BP239" i="1"/>
  <c r="BO239" i="1"/>
  <c r="BN239" i="1"/>
  <c r="BM239" i="1"/>
  <c r="BL239" i="1"/>
  <c r="BK239" i="1"/>
  <c r="BJ239" i="1"/>
  <c r="BI239" i="1"/>
  <c r="BH239" i="1"/>
  <c r="BP238" i="1"/>
  <c r="BO238" i="1"/>
  <c r="BN238" i="1"/>
  <c r="BM238" i="1"/>
  <c r="BL238" i="1"/>
  <c r="BK238" i="1"/>
  <c r="BJ238" i="1"/>
  <c r="BI238" i="1"/>
  <c r="BH238" i="1"/>
  <c r="BP237" i="1"/>
  <c r="BO237" i="1"/>
  <c r="BN237" i="1"/>
  <c r="BM237" i="1"/>
  <c r="BL237" i="1"/>
  <c r="BK237" i="1"/>
  <c r="BJ237" i="1"/>
  <c r="BI237" i="1"/>
  <c r="BH237" i="1"/>
  <c r="BP236" i="1"/>
  <c r="BO236" i="1"/>
  <c r="BN236" i="1"/>
  <c r="BM236" i="1"/>
  <c r="BL236" i="1"/>
  <c r="BK236" i="1"/>
  <c r="BJ236" i="1"/>
  <c r="BI236" i="1"/>
  <c r="BH236" i="1"/>
  <c r="BP235" i="1"/>
  <c r="BO235" i="1"/>
  <c r="BN235" i="1"/>
  <c r="BM235" i="1"/>
  <c r="BL235" i="1"/>
  <c r="BK235" i="1"/>
  <c r="BJ235" i="1"/>
  <c r="BI235" i="1"/>
  <c r="BH235" i="1"/>
  <c r="BP234" i="1"/>
  <c r="BO234" i="1"/>
  <c r="BN234" i="1"/>
  <c r="BM234" i="1"/>
  <c r="BL234" i="1"/>
  <c r="BK234" i="1"/>
  <c r="BJ234" i="1"/>
  <c r="BI234" i="1"/>
  <c r="BH234" i="1"/>
  <c r="BP233" i="1"/>
  <c r="BO233" i="1"/>
  <c r="BN233" i="1"/>
  <c r="BM233" i="1"/>
  <c r="BL233" i="1"/>
  <c r="BK233" i="1"/>
  <c r="BJ233" i="1"/>
  <c r="BI233" i="1"/>
  <c r="BH233" i="1"/>
  <c r="BP232" i="1"/>
  <c r="BO232" i="1"/>
  <c r="BN232" i="1"/>
  <c r="BM232" i="1"/>
  <c r="BL232" i="1"/>
  <c r="BK232" i="1"/>
  <c r="BJ232" i="1"/>
  <c r="BI232" i="1"/>
  <c r="BH232" i="1"/>
  <c r="BP231" i="1"/>
  <c r="BO231" i="1"/>
  <c r="BN231" i="1"/>
  <c r="BM231" i="1"/>
  <c r="BL231" i="1"/>
  <c r="BK231" i="1"/>
  <c r="BJ231" i="1"/>
  <c r="BI231" i="1"/>
  <c r="BH231" i="1"/>
  <c r="BP230" i="1"/>
  <c r="BO230" i="1"/>
  <c r="BN230" i="1"/>
  <c r="BM230" i="1"/>
  <c r="BL230" i="1"/>
  <c r="BK230" i="1"/>
  <c r="BJ230" i="1"/>
  <c r="BI230" i="1"/>
  <c r="BH230" i="1"/>
  <c r="BP229" i="1"/>
  <c r="BO229" i="1"/>
  <c r="BN229" i="1"/>
  <c r="BM229" i="1"/>
  <c r="BL229" i="1"/>
  <c r="BK229" i="1"/>
  <c r="BJ229" i="1"/>
  <c r="BI229" i="1"/>
  <c r="BH229" i="1"/>
  <c r="BP228" i="1"/>
  <c r="BO228" i="1"/>
  <c r="BN228" i="1"/>
  <c r="BM228" i="1"/>
  <c r="BL228" i="1"/>
  <c r="BK228" i="1"/>
  <c r="BJ228" i="1"/>
  <c r="BI228" i="1"/>
  <c r="BH228" i="1"/>
  <c r="BP227" i="1"/>
  <c r="BO227" i="1"/>
  <c r="BN227" i="1"/>
  <c r="BM227" i="1"/>
  <c r="BL227" i="1"/>
  <c r="BK227" i="1"/>
  <c r="BJ227" i="1"/>
  <c r="BI227" i="1"/>
  <c r="BH227" i="1"/>
  <c r="BP226" i="1"/>
  <c r="BO226" i="1"/>
  <c r="BN226" i="1"/>
  <c r="BM226" i="1"/>
  <c r="BL226" i="1"/>
  <c r="BK226" i="1"/>
  <c r="BJ226" i="1"/>
  <c r="BI226" i="1"/>
  <c r="BH226" i="1"/>
  <c r="BP225" i="1"/>
  <c r="BO225" i="1"/>
  <c r="BN225" i="1"/>
  <c r="BM225" i="1"/>
  <c r="BL225" i="1"/>
  <c r="BK225" i="1"/>
  <c r="BJ225" i="1"/>
  <c r="BI225" i="1"/>
  <c r="BH225" i="1"/>
  <c r="BP224" i="1"/>
  <c r="BO224" i="1"/>
  <c r="BN224" i="1"/>
  <c r="BM224" i="1"/>
  <c r="BL224" i="1"/>
  <c r="BK224" i="1"/>
  <c r="BJ224" i="1"/>
  <c r="BI224" i="1"/>
  <c r="BH224" i="1"/>
  <c r="BP223" i="1"/>
  <c r="BO223" i="1"/>
  <c r="BN223" i="1"/>
  <c r="BM223" i="1"/>
  <c r="BL223" i="1"/>
  <c r="BK223" i="1"/>
  <c r="BJ223" i="1"/>
  <c r="BI223" i="1"/>
  <c r="BH223" i="1"/>
  <c r="BP222" i="1"/>
  <c r="BO222" i="1"/>
  <c r="BN222" i="1"/>
  <c r="BM222" i="1"/>
  <c r="BL222" i="1"/>
  <c r="BK222" i="1"/>
  <c r="BJ222" i="1"/>
  <c r="BI222" i="1"/>
  <c r="BH222" i="1"/>
  <c r="BP221" i="1"/>
  <c r="BO221" i="1"/>
  <c r="BN221" i="1"/>
  <c r="BM221" i="1"/>
  <c r="BL221" i="1"/>
  <c r="BK221" i="1"/>
  <c r="BJ221" i="1"/>
  <c r="BI221" i="1"/>
  <c r="BH221" i="1"/>
  <c r="BP220" i="1"/>
  <c r="BO220" i="1"/>
  <c r="BN220" i="1"/>
  <c r="BM220" i="1"/>
  <c r="BL220" i="1"/>
  <c r="BK220" i="1"/>
  <c r="BJ220" i="1"/>
  <c r="BI220" i="1"/>
  <c r="BH220" i="1"/>
  <c r="BP219" i="1"/>
  <c r="BO219" i="1"/>
  <c r="BN219" i="1"/>
  <c r="BM219" i="1"/>
  <c r="BL219" i="1"/>
  <c r="BK219" i="1"/>
  <c r="BJ219" i="1"/>
  <c r="BI219" i="1"/>
  <c r="BH219" i="1"/>
  <c r="BP218" i="1"/>
  <c r="BO218" i="1"/>
  <c r="BN218" i="1"/>
  <c r="BM218" i="1"/>
  <c r="BL218" i="1"/>
  <c r="BK218" i="1"/>
  <c r="BJ218" i="1"/>
  <c r="BI218" i="1"/>
  <c r="BH218" i="1"/>
  <c r="BP217" i="1"/>
  <c r="BO217" i="1"/>
  <c r="BN217" i="1"/>
  <c r="BM217" i="1"/>
  <c r="BL217" i="1"/>
  <c r="BK217" i="1"/>
  <c r="BJ217" i="1"/>
  <c r="BI217" i="1"/>
  <c r="BH217" i="1"/>
  <c r="BP216" i="1"/>
  <c r="BO216" i="1"/>
  <c r="BN216" i="1"/>
  <c r="BM216" i="1"/>
  <c r="BL216" i="1"/>
  <c r="BK216" i="1"/>
  <c r="BJ216" i="1"/>
  <c r="BI216" i="1"/>
  <c r="BH216" i="1"/>
  <c r="BP215" i="1"/>
  <c r="BO215" i="1"/>
  <c r="BN215" i="1"/>
  <c r="BM215" i="1"/>
  <c r="BL215" i="1"/>
  <c r="BK215" i="1"/>
  <c r="BJ215" i="1"/>
  <c r="BI215" i="1"/>
  <c r="BH215" i="1"/>
  <c r="BP214" i="1"/>
  <c r="BO214" i="1"/>
  <c r="BN214" i="1"/>
  <c r="BM214" i="1"/>
  <c r="BL214" i="1"/>
  <c r="BK214" i="1"/>
  <c r="BJ214" i="1"/>
  <c r="BI214" i="1"/>
  <c r="BH214" i="1"/>
  <c r="BP213" i="1"/>
  <c r="BO213" i="1"/>
  <c r="BN213" i="1"/>
  <c r="BM213" i="1"/>
  <c r="BL213" i="1"/>
  <c r="BK213" i="1"/>
  <c r="BJ213" i="1"/>
  <c r="BI213" i="1"/>
  <c r="BH213" i="1"/>
  <c r="BP212" i="1"/>
  <c r="BO212" i="1"/>
  <c r="BN212" i="1"/>
  <c r="BM212" i="1"/>
  <c r="BL212" i="1"/>
  <c r="BK212" i="1"/>
  <c r="BJ212" i="1"/>
  <c r="BI212" i="1"/>
  <c r="BH212" i="1"/>
  <c r="BP211" i="1"/>
  <c r="BO211" i="1"/>
  <c r="BN211" i="1"/>
  <c r="BM211" i="1"/>
  <c r="BL211" i="1"/>
  <c r="BK211" i="1"/>
  <c r="BJ211" i="1"/>
  <c r="BI211" i="1"/>
  <c r="BH211" i="1"/>
  <c r="BP210" i="1"/>
  <c r="BO210" i="1"/>
  <c r="BN210" i="1"/>
  <c r="BM210" i="1"/>
  <c r="BL210" i="1"/>
  <c r="BK210" i="1"/>
  <c r="BJ210" i="1"/>
  <c r="BI210" i="1"/>
  <c r="BH210" i="1"/>
  <c r="BP209" i="1"/>
  <c r="BO209" i="1"/>
  <c r="BN209" i="1"/>
  <c r="BM209" i="1"/>
  <c r="BL209" i="1"/>
  <c r="BK209" i="1"/>
  <c r="BJ209" i="1"/>
  <c r="BI209" i="1"/>
  <c r="BH209" i="1"/>
  <c r="BP208" i="1"/>
  <c r="BO208" i="1"/>
  <c r="BN208" i="1"/>
  <c r="BM208" i="1"/>
  <c r="BL208" i="1"/>
  <c r="BK208" i="1"/>
  <c r="BJ208" i="1"/>
  <c r="BI208" i="1"/>
  <c r="BH208" i="1"/>
  <c r="BP207" i="1"/>
  <c r="BO207" i="1"/>
  <c r="BN207" i="1"/>
  <c r="BM207" i="1"/>
  <c r="BL207" i="1"/>
  <c r="BK207" i="1"/>
  <c r="BJ207" i="1"/>
  <c r="BI207" i="1"/>
  <c r="BH207" i="1"/>
  <c r="BP206" i="1"/>
  <c r="BO206" i="1"/>
  <c r="BN206" i="1"/>
  <c r="BM206" i="1"/>
  <c r="BL206" i="1"/>
  <c r="BK206" i="1"/>
  <c r="BJ206" i="1"/>
  <c r="BI206" i="1"/>
  <c r="BH206" i="1"/>
  <c r="BP205" i="1"/>
  <c r="BO205" i="1"/>
  <c r="BN205" i="1"/>
  <c r="BM205" i="1"/>
  <c r="BL205" i="1"/>
  <c r="BK205" i="1"/>
  <c r="BJ205" i="1"/>
  <c r="BI205" i="1"/>
  <c r="BH205" i="1"/>
  <c r="BP204" i="1"/>
  <c r="BO204" i="1"/>
  <c r="BN204" i="1"/>
  <c r="BM204" i="1"/>
  <c r="BL204" i="1"/>
  <c r="BK204" i="1"/>
  <c r="BJ204" i="1"/>
  <c r="BI204" i="1"/>
  <c r="BH204" i="1"/>
  <c r="BP203" i="1"/>
  <c r="BO203" i="1"/>
  <c r="BN203" i="1"/>
  <c r="BM203" i="1"/>
  <c r="BL203" i="1"/>
  <c r="BK203" i="1"/>
  <c r="BJ203" i="1"/>
  <c r="BI203" i="1"/>
  <c r="BH203" i="1"/>
  <c r="BP202" i="1"/>
  <c r="BO202" i="1"/>
  <c r="BN202" i="1"/>
  <c r="BM202" i="1"/>
  <c r="BL202" i="1"/>
  <c r="BK202" i="1"/>
  <c r="BJ202" i="1"/>
  <c r="BI202" i="1"/>
  <c r="BH202" i="1"/>
  <c r="BP201" i="1"/>
  <c r="BO201" i="1"/>
  <c r="BN201" i="1"/>
  <c r="BM201" i="1"/>
  <c r="BL201" i="1"/>
  <c r="BK201" i="1"/>
  <c r="BJ201" i="1"/>
  <c r="BI201" i="1"/>
  <c r="BH201" i="1"/>
  <c r="BP200" i="1"/>
  <c r="BO200" i="1"/>
  <c r="BN200" i="1"/>
  <c r="BM200" i="1"/>
  <c r="BL200" i="1"/>
  <c r="BK200" i="1"/>
  <c r="BJ200" i="1"/>
  <c r="BI200" i="1"/>
  <c r="BH200" i="1"/>
  <c r="BP199" i="1"/>
  <c r="BO199" i="1"/>
  <c r="BN199" i="1"/>
  <c r="BM199" i="1"/>
  <c r="BL199" i="1"/>
  <c r="BK199" i="1"/>
  <c r="BJ199" i="1"/>
  <c r="BI199" i="1"/>
  <c r="BH199" i="1"/>
  <c r="BP198" i="1"/>
  <c r="BO198" i="1"/>
  <c r="BN198" i="1"/>
  <c r="BM198" i="1"/>
  <c r="BL198" i="1"/>
  <c r="BK198" i="1"/>
  <c r="BJ198" i="1"/>
  <c r="BI198" i="1"/>
  <c r="BH198" i="1"/>
  <c r="BP197" i="1"/>
  <c r="BO197" i="1"/>
  <c r="BN197" i="1"/>
  <c r="BM197" i="1"/>
  <c r="BL197" i="1"/>
  <c r="BK197" i="1"/>
  <c r="BJ197" i="1"/>
  <c r="BI197" i="1"/>
  <c r="BH197" i="1"/>
  <c r="BP196" i="1"/>
  <c r="BO196" i="1"/>
  <c r="BN196" i="1"/>
  <c r="BM196" i="1"/>
  <c r="BL196" i="1"/>
  <c r="BK196" i="1"/>
  <c r="BJ196" i="1"/>
  <c r="BI196" i="1"/>
  <c r="BH196" i="1"/>
  <c r="BP195" i="1"/>
  <c r="BO195" i="1"/>
  <c r="BN195" i="1"/>
  <c r="BM195" i="1"/>
  <c r="BL195" i="1"/>
  <c r="BK195" i="1"/>
  <c r="BJ195" i="1"/>
  <c r="BI195" i="1"/>
  <c r="BH195" i="1"/>
  <c r="BP194" i="1"/>
  <c r="BO194" i="1"/>
  <c r="BN194" i="1"/>
  <c r="BM194" i="1"/>
  <c r="BL194" i="1"/>
  <c r="BK194" i="1"/>
  <c r="BJ194" i="1"/>
  <c r="BI194" i="1"/>
  <c r="BH194" i="1"/>
  <c r="BP193" i="1"/>
  <c r="BO193" i="1"/>
  <c r="BN193" i="1"/>
  <c r="BM193" i="1"/>
  <c r="BL193" i="1"/>
  <c r="BK193" i="1"/>
  <c r="BJ193" i="1"/>
  <c r="BI193" i="1"/>
  <c r="BH193" i="1"/>
  <c r="BP192" i="1"/>
  <c r="BO192" i="1"/>
  <c r="BN192" i="1"/>
  <c r="BM192" i="1"/>
  <c r="BL192" i="1"/>
  <c r="BK192" i="1"/>
  <c r="BJ192" i="1"/>
  <c r="BI192" i="1"/>
  <c r="BH192" i="1"/>
  <c r="BP191" i="1"/>
  <c r="BO191" i="1"/>
  <c r="BN191" i="1"/>
  <c r="BM191" i="1"/>
  <c r="BL191" i="1"/>
  <c r="BK191" i="1"/>
  <c r="BJ191" i="1"/>
  <c r="BI191" i="1"/>
  <c r="BH191" i="1"/>
  <c r="BP190" i="1"/>
  <c r="BO190" i="1"/>
  <c r="BN190" i="1"/>
  <c r="BM190" i="1"/>
  <c r="BL190" i="1"/>
  <c r="BK190" i="1"/>
  <c r="BJ190" i="1"/>
  <c r="BI190" i="1"/>
  <c r="BH190" i="1"/>
  <c r="BP189" i="1"/>
  <c r="BO189" i="1"/>
  <c r="BN189" i="1"/>
  <c r="BM189" i="1"/>
  <c r="BL189" i="1"/>
  <c r="BK189" i="1"/>
  <c r="BJ189" i="1"/>
  <c r="BI189" i="1"/>
  <c r="BH189" i="1"/>
  <c r="BP188" i="1"/>
  <c r="BO188" i="1"/>
  <c r="BN188" i="1"/>
  <c r="BM188" i="1"/>
  <c r="BL188" i="1"/>
  <c r="BK188" i="1"/>
  <c r="BJ188" i="1"/>
  <c r="BI188" i="1"/>
  <c r="BH188" i="1"/>
  <c r="BP187" i="1"/>
  <c r="BO187" i="1"/>
  <c r="BN187" i="1"/>
  <c r="BM187" i="1"/>
  <c r="BL187" i="1"/>
  <c r="BK187" i="1"/>
  <c r="BJ187" i="1"/>
  <c r="BI187" i="1"/>
  <c r="BH187" i="1"/>
  <c r="BP186" i="1"/>
  <c r="BO186" i="1"/>
  <c r="BN186" i="1"/>
  <c r="BM186" i="1"/>
  <c r="BL186" i="1"/>
  <c r="BK186" i="1"/>
  <c r="BJ186" i="1"/>
  <c r="BI186" i="1"/>
  <c r="BH186" i="1"/>
  <c r="BP185" i="1"/>
  <c r="BO185" i="1"/>
  <c r="BN185" i="1"/>
  <c r="BM185" i="1"/>
  <c r="BL185" i="1"/>
  <c r="BK185" i="1"/>
  <c r="BJ185" i="1"/>
  <c r="BI185" i="1"/>
  <c r="BH185" i="1"/>
  <c r="BP184" i="1"/>
  <c r="BO184" i="1"/>
  <c r="BN184" i="1"/>
  <c r="BM184" i="1"/>
  <c r="BL184" i="1"/>
  <c r="BK184" i="1"/>
  <c r="BJ184" i="1"/>
  <c r="BI184" i="1"/>
  <c r="BH184" i="1"/>
  <c r="BP183" i="1"/>
  <c r="BO183" i="1"/>
  <c r="BN183" i="1"/>
  <c r="BM183" i="1"/>
  <c r="BL183" i="1"/>
  <c r="BK183" i="1"/>
  <c r="BJ183" i="1"/>
  <c r="BI183" i="1"/>
  <c r="BH183" i="1"/>
  <c r="BP182" i="1"/>
  <c r="BO182" i="1"/>
  <c r="BN182" i="1"/>
  <c r="BM182" i="1"/>
  <c r="BL182" i="1"/>
  <c r="BK182" i="1"/>
  <c r="BJ182" i="1"/>
  <c r="BI182" i="1"/>
  <c r="BH182" i="1"/>
  <c r="BP181" i="1"/>
  <c r="BO181" i="1"/>
  <c r="BN181" i="1"/>
  <c r="BM181" i="1"/>
  <c r="BL181" i="1"/>
  <c r="BK181" i="1"/>
  <c r="BJ181" i="1"/>
  <c r="BI181" i="1"/>
  <c r="BH181" i="1"/>
  <c r="BP180" i="1"/>
  <c r="BO180" i="1"/>
  <c r="BN180" i="1"/>
  <c r="BM180" i="1"/>
  <c r="BL180" i="1"/>
  <c r="BK180" i="1"/>
  <c r="BJ180" i="1"/>
  <c r="BI180" i="1"/>
  <c r="BH180" i="1"/>
  <c r="BP179" i="1"/>
  <c r="BO179" i="1"/>
  <c r="BN179" i="1"/>
  <c r="BM179" i="1"/>
  <c r="BL179" i="1"/>
  <c r="BK179" i="1"/>
  <c r="BJ179" i="1"/>
  <c r="BI179" i="1"/>
  <c r="BH179" i="1"/>
  <c r="BP178" i="1"/>
  <c r="BO178" i="1"/>
  <c r="BN178" i="1"/>
  <c r="BM178" i="1"/>
  <c r="BL178" i="1"/>
  <c r="BK178" i="1"/>
  <c r="BJ178" i="1"/>
  <c r="BI178" i="1"/>
  <c r="BH178" i="1"/>
  <c r="BP177" i="1"/>
  <c r="BO177" i="1"/>
  <c r="BN177" i="1"/>
  <c r="BM177" i="1"/>
  <c r="BL177" i="1"/>
  <c r="BK177" i="1"/>
  <c r="BJ177" i="1"/>
  <c r="BI177" i="1"/>
  <c r="BH177" i="1"/>
  <c r="BP176" i="1"/>
  <c r="BO176" i="1"/>
  <c r="BN176" i="1"/>
  <c r="BM176" i="1"/>
  <c r="BL176" i="1"/>
  <c r="BK176" i="1"/>
  <c r="BJ176" i="1"/>
  <c r="BI176" i="1"/>
  <c r="BH176" i="1"/>
  <c r="BP175" i="1"/>
  <c r="BO175" i="1"/>
  <c r="BN175" i="1"/>
  <c r="BM175" i="1"/>
  <c r="BL175" i="1"/>
  <c r="BK175" i="1"/>
  <c r="BJ175" i="1"/>
  <c r="BI175" i="1"/>
  <c r="BH175" i="1"/>
  <c r="BP174" i="1"/>
  <c r="BO174" i="1"/>
  <c r="BN174" i="1"/>
  <c r="BM174" i="1"/>
  <c r="BL174" i="1"/>
  <c r="BK174" i="1"/>
  <c r="BJ174" i="1"/>
  <c r="BI174" i="1"/>
  <c r="BH174" i="1"/>
  <c r="BP173" i="1"/>
  <c r="BO173" i="1"/>
  <c r="BN173" i="1"/>
  <c r="BM173" i="1"/>
  <c r="BL173" i="1"/>
  <c r="BK173" i="1"/>
  <c r="BJ173" i="1"/>
  <c r="BI173" i="1"/>
  <c r="BH173" i="1"/>
  <c r="BP172" i="1"/>
  <c r="BO172" i="1"/>
  <c r="BN172" i="1"/>
  <c r="BM172" i="1"/>
  <c r="BL172" i="1"/>
  <c r="BK172" i="1"/>
  <c r="BJ172" i="1"/>
  <c r="BI172" i="1"/>
  <c r="BH172" i="1"/>
  <c r="BP171" i="1"/>
  <c r="BO171" i="1"/>
  <c r="BN171" i="1"/>
  <c r="BM171" i="1"/>
  <c r="BL171" i="1"/>
  <c r="BK171" i="1"/>
  <c r="BJ171" i="1"/>
  <c r="BI171" i="1"/>
  <c r="BH171" i="1"/>
  <c r="BP170" i="1"/>
  <c r="BO170" i="1"/>
  <c r="BN170" i="1"/>
  <c r="BM170" i="1"/>
  <c r="BL170" i="1"/>
  <c r="BK170" i="1"/>
  <c r="BJ170" i="1"/>
  <c r="BI170" i="1"/>
  <c r="BH170" i="1"/>
  <c r="BP169" i="1"/>
  <c r="BO169" i="1"/>
  <c r="BN169" i="1"/>
  <c r="BM169" i="1"/>
  <c r="BL169" i="1"/>
  <c r="BK169" i="1"/>
  <c r="BJ169" i="1"/>
  <c r="BI169" i="1"/>
  <c r="BH169" i="1"/>
  <c r="BP168" i="1"/>
  <c r="BO168" i="1"/>
  <c r="BN168" i="1"/>
  <c r="BM168" i="1"/>
  <c r="BL168" i="1"/>
  <c r="BK168" i="1"/>
  <c r="BJ168" i="1"/>
  <c r="BI168" i="1"/>
  <c r="BH168" i="1"/>
  <c r="BP167" i="1"/>
  <c r="BO167" i="1"/>
  <c r="BN167" i="1"/>
  <c r="BM167" i="1"/>
  <c r="BL167" i="1"/>
  <c r="BK167" i="1"/>
  <c r="BJ167" i="1"/>
  <c r="BI167" i="1"/>
  <c r="BH167" i="1"/>
  <c r="BP166" i="1"/>
  <c r="BO166" i="1"/>
  <c r="BN166" i="1"/>
  <c r="BM166" i="1"/>
  <c r="BL166" i="1"/>
  <c r="BK166" i="1"/>
  <c r="BJ166" i="1"/>
  <c r="BI166" i="1"/>
  <c r="BH166" i="1"/>
  <c r="BP165" i="1"/>
  <c r="BO165" i="1"/>
  <c r="BN165" i="1"/>
  <c r="BM165" i="1"/>
  <c r="BL165" i="1"/>
  <c r="BK165" i="1"/>
  <c r="BJ165" i="1"/>
  <c r="BI165" i="1"/>
  <c r="BH165" i="1"/>
  <c r="BP164" i="1"/>
  <c r="BO164" i="1"/>
  <c r="BN164" i="1"/>
  <c r="BM164" i="1"/>
  <c r="BL164" i="1"/>
  <c r="BK164" i="1"/>
  <c r="BJ164" i="1"/>
  <c r="BI164" i="1"/>
  <c r="BH164" i="1"/>
  <c r="BP163" i="1"/>
  <c r="BO163" i="1"/>
  <c r="BN163" i="1"/>
  <c r="BM163" i="1"/>
  <c r="BL163" i="1"/>
  <c r="BK163" i="1"/>
  <c r="BJ163" i="1"/>
  <c r="BI163" i="1"/>
  <c r="BH163" i="1"/>
  <c r="BP162" i="1"/>
  <c r="BO162" i="1"/>
  <c r="BN162" i="1"/>
  <c r="BM162" i="1"/>
  <c r="BL162" i="1"/>
  <c r="BK162" i="1"/>
  <c r="BJ162" i="1"/>
  <c r="BI162" i="1"/>
  <c r="BH162" i="1"/>
  <c r="BP161" i="1"/>
  <c r="BO161" i="1"/>
  <c r="BN161" i="1"/>
  <c r="BM161" i="1"/>
  <c r="BL161" i="1"/>
  <c r="BK161" i="1"/>
  <c r="BJ161" i="1"/>
  <c r="BI161" i="1"/>
  <c r="BH161" i="1"/>
  <c r="BP160" i="1"/>
  <c r="BO160" i="1"/>
  <c r="BN160" i="1"/>
  <c r="BM160" i="1"/>
  <c r="BL160" i="1"/>
  <c r="BK160" i="1"/>
  <c r="BJ160" i="1"/>
  <c r="BI160" i="1"/>
  <c r="BH160" i="1"/>
  <c r="BP159" i="1"/>
  <c r="BO159" i="1"/>
  <c r="BN159" i="1"/>
  <c r="BM159" i="1"/>
  <c r="BL159" i="1"/>
  <c r="BK159" i="1"/>
  <c r="BJ159" i="1"/>
  <c r="BI159" i="1"/>
  <c r="BH159" i="1"/>
  <c r="BP158" i="1"/>
  <c r="BO158" i="1"/>
  <c r="BN158" i="1"/>
  <c r="BM158" i="1"/>
  <c r="BL158" i="1"/>
  <c r="BK158" i="1"/>
  <c r="BJ158" i="1"/>
  <c r="BI158" i="1"/>
  <c r="BH158" i="1"/>
  <c r="BP157" i="1"/>
  <c r="BM157" i="1"/>
  <c r="BL157" i="1"/>
  <c r="BH157" i="1"/>
  <c r="BG157" i="1"/>
  <c r="AV157" i="1"/>
  <c r="BO157" i="1" s="1"/>
  <c r="AT157" i="1"/>
  <c r="BN157" i="1" s="1"/>
  <c r="AC157" i="1"/>
  <c r="T157" i="1"/>
  <c r="BK157" i="1" s="1"/>
  <c r="S157" i="1"/>
  <c r="BJ157" i="1" s="1"/>
  <c r="N157" i="1"/>
  <c r="BI157" i="1" s="1"/>
  <c r="M157" i="1"/>
  <c r="C157" i="1"/>
  <c r="BP156" i="1"/>
  <c r="BO156" i="1"/>
  <c r="BN156" i="1"/>
  <c r="BM156" i="1"/>
  <c r="BL156" i="1"/>
  <c r="BK156" i="1"/>
  <c r="BJ156" i="1"/>
  <c r="BI156" i="1"/>
  <c r="BH156" i="1"/>
  <c r="BP155" i="1"/>
  <c r="BO155" i="1"/>
  <c r="BN155" i="1"/>
  <c r="BM155" i="1"/>
  <c r="BL155" i="1"/>
  <c r="BK155" i="1"/>
  <c r="BJ155" i="1"/>
  <c r="BI155" i="1"/>
  <c r="BH155" i="1"/>
  <c r="BP154" i="1"/>
  <c r="BO154" i="1"/>
  <c r="BN154" i="1"/>
  <c r="BM154" i="1"/>
  <c r="BL154" i="1"/>
  <c r="BK154" i="1"/>
  <c r="BJ154" i="1"/>
  <c r="BI154" i="1"/>
  <c r="BH154" i="1"/>
  <c r="BP153" i="1"/>
  <c r="BO153" i="1"/>
  <c r="BN153" i="1"/>
  <c r="BM153" i="1"/>
  <c r="BL153" i="1"/>
  <c r="BK153" i="1"/>
  <c r="BJ153" i="1"/>
  <c r="BI153" i="1"/>
  <c r="BH153" i="1"/>
  <c r="BP152" i="1"/>
  <c r="BO152" i="1"/>
  <c r="BN152" i="1"/>
  <c r="BM152" i="1"/>
  <c r="BL152" i="1"/>
  <c r="BK152" i="1"/>
  <c r="BJ152" i="1"/>
  <c r="BI152" i="1"/>
  <c r="BH152" i="1"/>
  <c r="BP151" i="1"/>
  <c r="BO151" i="1"/>
  <c r="BN151" i="1"/>
  <c r="BM151" i="1"/>
  <c r="BL151" i="1"/>
  <c r="BK151" i="1"/>
  <c r="BJ151" i="1"/>
  <c r="BI151" i="1"/>
  <c r="BH151" i="1"/>
  <c r="BP150" i="1"/>
  <c r="BO150" i="1"/>
  <c r="BN150" i="1"/>
  <c r="BM150" i="1"/>
  <c r="BL150" i="1"/>
  <c r="BK150" i="1"/>
  <c r="BJ150" i="1"/>
  <c r="BI150" i="1"/>
  <c r="BH150" i="1"/>
  <c r="BP149" i="1"/>
  <c r="BO149" i="1"/>
  <c r="BN149" i="1"/>
  <c r="BM149" i="1"/>
  <c r="BL149" i="1"/>
  <c r="BK149" i="1"/>
  <c r="BJ149" i="1"/>
  <c r="BI149" i="1"/>
  <c r="BH149" i="1"/>
  <c r="BP148" i="1"/>
  <c r="BO148" i="1"/>
  <c r="BN148" i="1"/>
  <c r="BM148" i="1"/>
  <c r="BL148" i="1"/>
  <c r="BK148" i="1"/>
  <c r="BJ148" i="1"/>
  <c r="BI148" i="1"/>
  <c r="BH148" i="1"/>
  <c r="BP147" i="1"/>
  <c r="BO147" i="1"/>
  <c r="BN147" i="1"/>
  <c r="BM147" i="1"/>
  <c r="BL147" i="1"/>
  <c r="BK147" i="1"/>
  <c r="BJ147" i="1"/>
  <c r="BI147" i="1"/>
  <c r="BH147" i="1"/>
  <c r="BP146" i="1"/>
  <c r="BO146" i="1"/>
  <c r="BN146" i="1"/>
  <c r="BM146" i="1"/>
  <c r="BL146" i="1"/>
  <c r="BK146" i="1"/>
  <c r="BJ146" i="1"/>
  <c r="BI146" i="1"/>
  <c r="BH146" i="1"/>
  <c r="BP145" i="1"/>
  <c r="BO145" i="1"/>
  <c r="BN145" i="1"/>
  <c r="BM145" i="1"/>
  <c r="BL145" i="1"/>
  <c r="BK145" i="1"/>
  <c r="BJ145" i="1"/>
  <c r="BI145" i="1"/>
  <c r="BH145" i="1"/>
  <c r="BP144" i="1"/>
  <c r="BO144" i="1"/>
  <c r="BN144" i="1"/>
  <c r="BM144" i="1"/>
  <c r="BL144" i="1"/>
  <c r="BK144" i="1"/>
  <c r="BJ144" i="1"/>
  <c r="BI144" i="1"/>
  <c r="BH144" i="1"/>
  <c r="BP143" i="1"/>
  <c r="BO143" i="1"/>
  <c r="BN143" i="1"/>
  <c r="BM143" i="1"/>
  <c r="BL143" i="1"/>
  <c r="BK143" i="1"/>
  <c r="BJ143" i="1"/>
  <c r="BI143" i="1"/>
  <c r="BH143" i="1"/>
  <c r="BP142" i="1"/>
  <c r="BO142" i="1"/>
  <c r="BN142" i="1"/>
  <c r="BM142" i="1"/>
  <c r="BL142" i="1"/>
  <c r="BK142" i="1"/>
  <c r="BJ142" i="1"/>
  <c r="BI142" i="1"/>
  <c r="BH142" i="1"/>
  <c r="BP141" i="1"/>
  <c r="BO141" i="1"/>
  <c r="BN141" i="1"/>
  <c r="BM141" i="1"/>
  <c r="BL141" i="1"/>
  <c r="BK141" i="1"/>
  <c r="BJ141" i="1"/>
  <c r="BI141" i="1"/>
  <c r="BH141" i="1"/>
  <c r="BP140" i="1"/>
  <c r="BO140" i="1"/>
  <c r="BN140" i="1"/>
  <c r="BM140" i="1"/>
  <c r="BL140" i="1"/>
  <c r="BK140" i="1"/>
  <c r="BJ140" i="1"/>
  <c r="BI140" i="1"/>
  <c r="BH140" i="1"/>
  <c r="BP139" i="1"/>
  <c r="BO139" i="1"/>
  <c r="BN139" i="1"/>
  <c r="BM139" i="1"/>
  <c r="BL139" i="1"/>
  <c r="BK139" i="1"/>
  <c r="BJ139" i="1"/>
  <c r="BI139" i="1"/>
  <c r="BH139" i="1"/>
  <c r="BP138" i="1"/>
  <c r="BO138" i="1"/>
  <c r="BN138" i="1"/>
  <c r="BM138" i="1"/>
  <c r="BL138" i="1"/>
  <c r="BK138" i="1"/>
  <c r="BJ138" i="1"/>
  <c r="BI138" i="1"/>
  <c r="BH138" i="1"/>
  <c r="BP137" i="1"/>
  <c r="BO137" i="1"/>
  <c r="BN137" i="1"/>
  <c r="BM137" i="1"/>
  <c r="BL137" i="1"/>
  <c r="BK137" i="1"/>
  <c r="BJ137" i="1"/>
  <c r="BI137" i="1"/>
  <c r="BH137" i="1"/>
  <c r="BP136" i="1"/>
  <c r="BO136" i="1"/>
  <c r="BN136" i="1"/>
  <c r="BM136" i="1"/>
  <c r="BL136" i="1"/>
  <c r="BK136" i="1"/>
  <c r="BJ136" i="1"/>
  <c r="BI136" i="1"/>
  <c r="BH136" i="1"/>
  <c r="BP135" i="1"/>
  <c r="BO135" i="1"/>
  <c r="BN135" i="1"/>
  <c r="BM135" i="1"/>
  <c r="BL135" i="1"/>
  <c r="BK135" i="1"/>
  <c r="BJ135" i="1"/>
  <c r="BI135" i="1"/>
  <c r="BH135" i="1"/>
  <c r="BP134" i="1"/>
  <c r="BO134" i="1"/>
  <c r="BN134" i="1"/>
  <c r="BM134" i="1"/>
  <c r="BL134" i="1"/>
  <c r="BK134" i="1"/>
  <c r="BJ134" i="1"/>
  <c r="BI134" i="1"/>
  <c r="BH134" i="1"/>
  <c r="BP133" i="1"/>
  <c r="BO133" i="1"/>
  <c r="BN133" i="1"/>
  <c r="BM133" i="1"/>
  <c r="BL133" i="1"/>
  <c r="BK133" i="1"/>
  <c r="BJ133" i="1"/>
  <c r="BI133" i="1"/>
  <c r="BH133" i="1"/>
  <c r="BP132" i="1"/>
  <c r="BO132" i="1"/>
  <c r="BN132" i="1"/>
  <c r="BM132" i="1"/>
  <c r="BL132" i="1"/>
  <c r="BK132" i="1"/>
  <c r="BJ132" i="1"/>
  <c r="BI132" i="1"/>
  <c r="BH132" i="1"/>
  <c r="BP131" i="1"/>
  <c r="BO131" i="1"/>
  <c r="BN131" i="1"/>
  <c r="BM131" i="1"/>
  <c r="BL131" i="1"/>
  <c r="BK131" i="1"/>
  <c r="BJ131" i="1"/>
  <c r="BI131" i="1"/>
  <c r="BH131" i="1"/>
  <c r="BP130" i="1"/>
  <c r="BM130" i="1"/>
  <c r="BI130" i="1"/>
  <c r="BG130" i="1"/>
  <c r="AW130" i="1"/>
  <c r="BO130" i="1" s="1"/>
  <c r="AU130" i="1"/>
  <c r="BN130" i="1" s="1"/>
  <c r="AT130" i="1"/>
  <c r="AE130" i="1"/>
  <c r="AB130" i="1"/>
  <c r="Z130" i="1"/>
  <c r="BL130" i="1" s="1"/>
  <c r="U130" i="1"/>
  <c r="BK130" i="1" s="1"/>
  <c r="S130" i="1"/>
  <c r="BJ130" i="1" s="1"/>
  <c r="O130" i="1"/>
  <c r="E130" i="1"/>
  <c r="D130" i="1"/>
  <c r="C130" i="1"/>
  <c r="BH130" i="1" s="1"/>
  <c r="BP129" i="1"/>
  <c r="BO129" i="1"/>
  <c r="BN129" i="1"/>
  <c r="BM129" i="1"/>
  <c r="BL129" i="1"/>
  <c r="BK129" i="1"/>
  <c r="BJ129" i="1"/>
  <c r="BI129" i="1"/>
  <c r="BH129" i="1"/>
  <c r="BP128" i="1"/>
  <c r="BO128" i="1"/>
  <c r="BN128" i="1"/>
  <c r="BM128" i="1"/>
  <c r="BL128" i="1"/>
  <c r="BK128" i="1"/>
  <c r="BJ128" i="1"/>
  <c r="BI128" i="1"/>
  <c r="BH128" i="1"/>
  <c r="BP127" i="1"/>
  <c r="BO127" i="1"/>
  <c r="BN127" i="1"/>
  <c r="BM127" i="1"/>
  <c r="BL127" i="1"/>
  <c r="BK127" i="1"/>
  <c r="BJ127" i="1"/>
  <c r="BI127" i="1"/>
  <c r="BH127" i="1"/>
  <c r="BP126" i="1"/>
  <c r="BO126" i="1"/>
  <c r="BN126" i="1"/>
  <c r="BM126" i="1"/>
  <c r="BL126" i="1"/>
  <c r="BK126" i="1"/>
  <c r="BJ126" i="1"/>
  <c r="BI126" i="1"/>
  <c r="BH126" i="1"/>
  <c r="BP125" i="1"/>
  <c r="BO125" i="1"/>
  <c r="BN125" i="1"/>
  <c r="BM125" i="1"/>
  <c r="BL125" i="1"/>
  <c r="BK125" i="1"/>
  <c r="BJ125" i="1"/>
  <c r="BI125" i="1"/>
  <c r="BH125" i="1"/>
  <c r="BP124" i="1"/>
  <c r="BO124" i="1"/>
  <c r="BN124" i="1"/>
  <c r="BM124" i="1"/>
  <c r="BL124" i="1"/>
  <c r="BK124" i="1"/>
  <c r="BJ124" i="1"/>
  <c r="BI124" i="1"/>
  <c r="BH124" i="1"/>
  <c r="BP123" i="1"/>
  <c r="BO123" i="1"/>
  <c r="BN123" i="1"/>
  <c r="BM123" i="1"/>
  <c r="BL123" i="1"/>
  <c r="BK123" i="1"/>
  <c r="BJ123" i="1"/>
  <c r="BI123" i="1"/>
  <c r="BH123" i="1"/>
  <c r="BP122" i="1"/>
  <c r="BO122" i="1"/>
  <c r="BN122" i="1"/>
  <c r="BM122" i="1"/>
  <c r="BL122" i="1"/>
  <c r="BK122" i="1"/>
  <c r="BJ122" i="1"/>
  <c r="BI122" i="1"/>
  <c r="BH122" i="1"/>
  <c r="BP121" i="1"/>
  <c r="BO121" i="1"/>
  <c r="BN121" i="1"/>
  <c r="BM121" i="1"/>
  <c r="BL121" i="1"/>
  <c r="BK121" i="1"/>
  <c r="BJ121" i="1"/>
  <c r="BI121" i="1"/>
  <c r="BH121" i="1"/>
  <c r="BP120" i="1"/>
  <c r="BO120" i="1"/>
  <c r="BN120" i="1"/>
  <c r="BM120" i="1"/>
  <c r="BL120" i="1"/>
  <c r="BK120" i="1"/>
  <c r="BJ120" i="1"/>
  <c r="BI120" i="1"/>
  <c r="BH120" i="1"/>
  <c r="BP119" i="1"/>
  <c r="BO119" i="1"/>
  <c r="BN119" i="1"/>
  <c r="BM119" i="1"/>
  <c r="BL119" i="1"/>
  <c r="BK119" i="1"/>
  <c r="BJ119" i="1"/>
  <c r="BI119" i="1"/>
  <c r="BH119" i="1"/>
  <c r="BP118" i="1"/>
  <c r="BO118" i="1"/>
  <c r="BN118" i="1"/>
  <c r="BM118" i="1"/>
  <c r="BL118" i="1"/>
  <c r="BK118" i="1"/>
  <c r="BJ118" i="1"/>
  <c r="BI118" i="1"/>
  <c r="BH118" i="1"/>
  <c r="BP117" i="1"/>
  <c r="BO117" i="1"/>
  <c r="BN117" i="1"/>
  <c r="BM117" i="1"/>
  <c r="BL117" i="1"/>
  <c r="BK117" i="1"/>
  <c r="BJ117" i="1"/>
  <c r="BI117" i="1"/>
  <c r="BH117" i="1"/>
  <c r="BP116" i="1"/>
  <c r="BO116" i="1"/>
  <c r="BN116" i="1"/>
  <c r="BM116" i="1"/>
  <c r="BL116" i="1"/>
  <c r="BK116" i="1"/>
  <c r="BJ116" i="1"/>
  <c r="BI116" i="1"/>
  <c r="BH116" i="1"/>
  <c r="BP115" i="1"/>
  <c r="BO115" i="1"/>
  <c r="BN115" i="1"/>
  <c r="BM115" i="1"/>
  <c r="BL115" i="1"/>
  <c r="BK115" i="1"/>
  <c r="BJ115" i="1"/>
  <c r="BI115" i="1"/>
  <c r="BH115" i="1"/>
  <c r="BP114" i="1"/>
  <c r="BO114" i="1"/>
  <c r="BN114" i="1"/>
  <c r="BM114" i="1"/>
  <c r="BL114" i="1"/>
  <c r="BK114" i="1"/>
  <c r="BJ114" i="1"/>
  <c r="BI114" i="1"/>
  <c r="BH114" i="1"/>
  <c r="BP113" i="1"/>
  <c r="BO113" i="1"/>
  <c r="BN113" i="1"/>
  <c r="BM113" i="1"/>
  <c r="BL113" i="1"/>
  <c r="BK113" i="1"/>
  <c r="BJ113" i="1"/>
  <c r="BI113" i="1"/>
  <c r="BH113" i="1"/>
  <c r="BP112" i="1"/>
  <c r="BO112" i="1"/>
  <c r="BN112" i="1"/>
  <c r="BM112" i="1"/>
  <c r="BL112" i="1"/>
  <c r="BK112" i="1"/>
  <c r="BJ112" i="1"/>
  <c r="BI112" i="1"/>
  <c r="BH112" i="1"/>
  <c r="BP111" i="1"/>
  <c r="BO111" i="1"/>
  <c r="BN111" i="1"/>
  <c r="BM111" i="1"/>
  <c r="BL111" i="1"/>
  <c r="BK111" i="1"/>
  <c r="BJ111" i="1"/>
  <c r="BI111" i="1"/>
  <c r="BH111" i="1"/>
  <c r="BP110" i="1"/>
  <c r="BO110" i="1"/>
  <c r="BN110" i="1"/>
  <c r="BM110" i="1"/>
  <c r="BL110" i="1"/>
  <c r="BK110" i="1"/>
  <c r="BJ110" i="1"/>
  <c r="BI110" i="1"/>
  <c r="BH110" i="1"/>
  <c r="BP109" i="1"/>
  <c r="BO109" i="1"/>
  <c r="BN109" i="1"/>
  <c r="BM109" i="1"/>
  <c r="BL109" i="1"/>
  <c r="BK109" i="1"/>
  <c r="BJ109" i="1"/>
  <c r="BI109" i="1"/>
  <c r="BH109" i="1"/>
  <c r="BP108" i="1"/>
  <c r="BO108" i="1"/>
  <c r="BN108" i="1"/>
  <c r="BM108" i="1"/>
  <c r="BL108" i="1"/>
  <c r="BK108" i="1"/>
  <c r="BJ108" i="1"/>
  <c r="BI108" i="1"/>
  <c r="BH108" i="1"/>
  <c r="BP107" i="1"/>
  <c r="BO107" i="1"/>
  <c r="BN107" i="1"/>
  <c r="BM107" i="1"/>
  <c r="BL107" i="1"/>
  <c r="BK107" i="1"/>
  <c r="BJ107" i="1"/>
  <c r="BI107" i="1"/>
  <c r="BH107" i="1"/>
  <c r="BP106" i="1"/>
  <c r="BO106" i="1"/>
  <c r="BN106" i="1"/>
  <c r="BM106" i="1"/>
  <c r="BL106" i="1"/>
  <c r="BK106" i="1"/>
  <c r="BJ106" i="1"/>
  <c r="BI106" i="1"/>
  <c r="BH106" i="1"/>
  <c r="BP105" i="1"/>
  <c r="BO105" i="1"/>
  <c r="BN105" i="1"/>
  <c r="BM105" i="1"/>
  <c r="BL105" i="1"/>
  <c r="BK105" i="1"/>
  <c r="BJ105" i="1"/>
  <c r="BI105" i="1"/>
  <c r="BH105" i="1"/>
  <c r="BP104" i="1"/>
  <c r="BO104" i="1"/>
  <c r="BN104" i="1"/>
  <c r="BM104" i="1"/>
  <c r="BL104" i="1"/>
  <c r="BK104" i="1"/>
  <c r="BJ104" i="1"/>
  <c r="BI104" i="1"/>
  <c r="BH104" i="1"/>
  <c r="BP103" i="1"/>
  <c r="BO103" i="1"/>
  <c r="BN103" i="1"/>
  <c r="BM103" i="1"/>
  <c r="BL103" i="1"/>
  <c r="BK103" i="1"/>
  <c r="BJ103" i="1"/>
  <c r="BI103" i="1"/>
  <c r="BH103" i="1"/>
  <c r="BP102" i="1"/>
  <c r="BO102" i="1"/>
  <c r="BN102" i="1"/>
  <c r="BM102" i="1"/>
  <c r="BL102" i="1"/>
  <c r="BK102" i="1"/>
  <c r="BJ102" i="1"/>
  <c r="BI102" i="1"/>
  <c r="BH102" i="1"/>
  <c r="BP101" i="1"/>
  <c r="BO101" i="1"/>
  <c r="BN101" i="1"/>
  <c r="BM101" i="1"/>
  <c r="BL101" i="1"/>
  <c r="BK101" i="1"/>
  <c r="BJ101" i="1"/>
  <c r="BI101" i="1"/>
  <c r="BH101" i="1"/>
  <c r="BP100" i="1"/>
  <c r="BO100" i="1"/>
  <c r="BN100" i="1"/>
  <c r="BM100" i="1"/>
  <c r="BL100" i="1"/>
  <c r="BK100" i="1"/>
  <c r="BJ100" i="1"/>
  <c r="BI100" i="1"/>
  <c r="BH100" i="1"/>
  <c r="BP99" i="1"/>
  <c r="BO99" i="1"/>
  <c r="BN99" i="1"/>
  <c r="BM99" i="1"/>
  <c r="BL99" i="1"/>
  <c r="BK99" i="1"/>
  <c r="BJ99" i="1"/>
  <c r="BI99" i="1"/>
  <c r="BH99" i="1"/>
  <c r="BP98" i="1"/>
  <c r="BO98" i="1"/>
  <c r="BN98" i="1"/>
  <c r="BM98" i="1"/>
  <c r="BL98" i="1"/>
  <c r="BK98" i="1"/>
  <c r="BJ98" i="1"/>
  <c r="BI98" i="1"/>
  <c r="BH98" i="1"/>
  <c r="BP97" i="1"/>
  <c r="BO97" i="1"/>
  <c r="BN97" i="1"/>
  <c r="BM97" i="1"/>
  <c r="BL97" i="1"/>
  <c r="BK97" i="1"/>
  <c r="BJ97" i="1"/>
  <c r="BI97" i="1"/>
  <c r="BH97" i="1"/>
  <c r="BP96" i="1"/>
  <c r="BO96" i="1"/>
  <c r="BN96" i="1"/>
  <c r="BM96" i="1"/>
  <c r="BL96" i="1"/>
  <c r="BK96" i="1"/>
  <c r="BJ96" i="1"/>
  <c r="BI96" i="1"/>
  <c r="BH96" i="1"/>
  <c r="BP95" i="1"/>
  <c r="BO95" i="1"/>
  <c r="BN95" i="1"/>
  <c r="BM95" i="1"/>
  <c r="BL95" i="1"/>
  <c r="BK95" i="1"/>
  <c r="BJ95" i="1"/>
  <c r="BI95" i="1"/>
  <c r="BH95" i="1"/>
  <c r="BP94" i="1"/>
  <c r="BO94" i="1"/>
  <c r="BN94" i="1"/>
  <c r="BM94" i="1"/>
  <c r="BL94" i="1"/>
  <c r="BK94" i="1"/>
  <c r="BJ94" i="1"/>
  <c r="BI94" i="1"/>
  <c r="BH94" i="1"/>
  <c r="BP93" i="1"/>
  <c r="BO93" i="1"/>
  <c r="BN93" i="1"/>
  <c r="BM93" i="1"/>
  <c r="BL93" i="1"/>
  <c r="BK93" i="1"/>
  <c r="BJ93" i="1"/>
  <c r="BI93" i="1"/>
  <c r="BH93" i="1"/>
  <c r="BP92" i="1"/>
  <c r="BO92" i="1"/>
  <c r="BN92" i="1"/>
  <c r="BM92" i="1"/>
  <c r="BL92" i="1"/>
  <c r="BK92" i="1"/>
  <c r="BJ92" i="1"/>
  <c r="BI92" i="1"/>
  <c r="BH92" i="1"/>
  <c r="BP91" i="1"/>
  <c r="BO91" i="1"/>
  <c r="BN91" i="1"/>
  <c r="BM91" i="1"/>
  <c r="BL91" i="1"/>
  <c r="BK91" i="1"/>
  <c r="BJ91" i="1"/>
  <c r="BI91" i="1"/>
  <c r="BH91" i="1"/>
  <c r="BP90" i="1"/>
  <c r="BO90" i="1"/>
  <c r="BN90" i="1"/>
  <c r="BM90" i="1"/>
  <c r="BL90" i="1"/>
  <c r="BK90" i="1"/>
  <c r="BJ90" i="1"/>
  <c r="BI90" i="1"/>
  <c r="BH90" i="1"/>
  <c r="BP89" i="1"/>
  <c r="BO89" i="1"/>
  <c r="BN89" i="1"/>
  <c r="BM89" i="1"/>
  <c r="BL89" i="1"/>
  <c r="BK89" i="1"/>
  <c r="BJ89" i="1"/>
  <c r="BI89" i="1"/>
  <c r="BH89" i="1"/>
  <c r="BP88" i="1"/>
  <c r="BO88" i="1"/>
  <c r="BN88" i="1"/>
  <c r="BM88" i="1"/>
  <c r="BL88" i="1"/>
  <c r="BK88" i="1"/>
  <c r="BJ88" i="1"/>
  <c r="BI88" i="1"/>
  <c r="BH88" i="1"/>
  <c r="BP87" i="1"/>
  <c r="BO87" i="1"/>
  <c r="BN87" i="1"/>
  <c r="BM87" i="1"/>
  <c r="BL87" i="1"/>
  <c r="BK87" i="1"/>
  <c r="BJ87" i="1"/>
  <c r="BI87" i="1"/>
  <c r="BH87" i="1"/>
  <c r="BP86" i="1"/>
  <c r="BO86" i="1"/>
  <c r="BN86" i="1"/>
  <c r="BM86" i="1"/>
  <c r="BL86" i="1"/>
  <c r="BK86" i="1"/>
  <c r="BJ86" i="1"/>
  <c r="BI86" i="1"/>
  <c r="BH86" i="1"/>
  <c r="BP85" i="1"/>
  <c r="BO85" i="1"/>
  <c r="BN85" i="1"/>
  <c r="BM85" i="1"/>
  <c r="BL85" i="1"/>
  <c r="BK85" i="1"/>
  <c r="BJ85" i="1"/>
  <c r="BI85" i="1"/>
  <c r="BH85" i="1"/>
  <c r="BP84" i="1"/>
  <c r="BO84" i="1"/>
  <c r="BN84" i="1"/>
  <c r="BM84" i="1"/>
  <c r="BL84" i="1"/>
  <c r="BK84" i="1"/>
  <c r="BJ84" i="1"/>
  <c r="BI84" i="1"/>
  <c r="BH84" i="1"/>
  <c r="BP83" i="1"/>
  <c r="BO83" i="1"/>
  <c r="BN83" i="1"/>
  <c r="BM83" i="1"/>
  <c r="BL83" i="1"/>
  <c r="BK83" i="1"/>
  <c r="BJ83" i="1"/>
  <c r="BI83" i="1"/>
  <c r="BH83" i="1"/>
  <c r="BP82" i="1"/>
  <c r="BO82" i="1"/>
  <c r="BN82" i="1"/>
  <c r="BM82" i="1"/>
  <c r="BL82" i="1"/>
  <c r="BK82" i="1"/>
  <c r="BJ82" i="1"/>
  <c r="BI82" i="1"/>
  <c r="BH82" i="1"/>
  <c r="BP81" i="1"/>
  <c r="BO81" i="1"/>
  <c r="BM81" i="1"/>
  <c r="BL81" i="1"/>
  <c r="BK81" i="1"/>
  <c r="BG81" i="1"/>
  <c r="BE81" i="1"/>
  <c r="BD81" i="1"/>
  <c r="AU81" i="1"/>
  <c r="AT81" i="1"/>
  <c r="BN81" i="1" s="1"/>
  <c r="X81" i="1"/>
  <c r="S81" i="1"/>
  <c r="BJ81" i="1" s="1"/>
  <c r="R81" i="1"/>
  <c r="BI81" i="1" s="1"/>
  <c r="C81" i="1"/>
  <c r="BH81" i="1" s="1"/>
  <c r="BP80" i="1"/>
  <c r="BO80" i="1"/>
  <c r="BN80" i="1"/>
  <c r="BM80" i="1"/>
  <c r="BL80" i="1"/>
  <c r="BK80" i="1"/>
  <c r="BJ80" i="1"/>
  <c r="BI80" i="1"/>
  <c r="BH80" i="1"/>
  <c r="BO79" i="1"/>
  <c r="BN79" i="1"/>
  <c r="BL79" i="1"/>
  <c r="BJ79" i="1"/>
  <c r="BI79" i="1"/>
  <c r="BH79" i="1"/>
  <c r="BG79" i="1"/>
  <c r="BF79" i="1"/>
  <c r="BP79" i="1" s="1"/>
  <c r="BA79" i="1"/>
  <c r="AT79" i="1"/>
  <c r="AC79" i="1"/>
  <c r="BM79" i="1" s="1"/>
  <c r="U79" i="1"/>
  <c r="T79" i="1"/>
  <c r="BK79" i="1" s="1"/>
  <c r="S79" i="1"/>
  <c r="M79" i="1"/>
  <c r="H79" i="1"/>
  <c r="C79" i="1"/>
  <c r="BP78" i="1"/>
  <c r="BO78" i="1"/>
  <c r="BN78" i="1"/>
  <c r="BM78" i="1"/>
  <c r="BL78" i="1"/>
  <c r="BK78" i="1"/>
  <c r="BJ78" i="1"/>
  <c r="BI78" i="1"/>
  <c r="BH78" i="1"/>
  <c r="BP77" i="1"/>
  <c r="BO77" i="1"/>
  <c r="BN77" i="1"/>
  <c r="BM77" i="1"/>
  <c r="BL77" i="1"/>
  <c r="BK77" i="1"/>
  <c r="BJ77" i="1"/>
  <c r="BI77" i="1"/>
  <c r="BH77" i="1"/>
  <c r="BP76" i="1"/>
  <c r="BO76" i="1"/>
  <c r="BN76" i="1"/>
  <c r="BM76" i="1"/>
  <c r="BL76" i="1"/>
  <c r="BK76" i="1"/>
  <c r="BJ76" i="1"/>
  <c r="BI76" i="1"/>
  <c r="BH76" i="1"/>
  <c r="BP75" i="1"/>
  <c r="BO75" i="1"/>
  <c r="BN75" i="1"/>
  <c r="BM75" i="1"/>
  <c r="BL75" i="1"/>
  <c r="BK75" i="1"/>
  <c r="BJ75" i="1"/>
  <c r="BI75" i="1"/>
  <c r="BH75" i="1"/>
  <c r="BP74" i="1"/>
  <c r="BO74" i="1"/>
  <c r="BN74" i="1"/>
  <c r="BM74" i="1"/>
  <c r="BL74" i="1"/>
  <c r="BK74" i="1"/>
  <c r="BJ74" i="1"/>
  <c r="BI74" i="1"/>
  <c r="BH74" i="1"/>
  <c r="BP73" i="1"/>
  <c r="BO73" i="1"/>
  <c r="BN73" i="1"/>
  <c r="BM73" i="1"/>
  <c r="BL73" i="1"/>
  <c r="BK73" i="1"/>
  <c r="BJ73" i="1"/>
  <c r="BI73" i="1"/>
  <c r="BH73" i="1"/>
  <c r="BP72" i="1"/>
  <c r="BO72" i="1"/>
  <c r="BN72" i="1"/>
  <c r="BM72" i="1"/>
  <c r="BL72" i="1"/>
  <c r="BK72" i="1"/>
  <c r="BJ72" i="1"/>
  <c r="BI72" i="1"/>
  <c r="BH72" i="1"/>
  <c r="BP71" i="1"/>
  <c r="BO71" i="1"/>
  <c r="BN71" i="1"/>
  <c r="BM71" i="1"/>
  <c r="BL71" i="1"/>
  <c r="BK71" i="1"/>
  <c r="BJ71" i="1"/>
  <c r="BI71" i="1"/>
  <c r="BH71" i="1"/>
  <c r="BP70" i="1"/>
  <c r="BO70" i="1"/>
  <c r="BN70" i="1"/>
  <c r="BM70" i="1"/>
  <c r="BL70" i="1"/>
  <c r="BK70" i="1"/>
  <c r="BJ70" i="1"/>
  <c r="BI70" i="1"/>
  <c r="BH70" i="1"/>
  <c r="BP69" i="1"/>
  <c r="BO69" i="1"/>
  <c r="BN69" i="1"/>
  <c r="BM69" i="1"/>
  <c r="BL69" i="1"/>
  <c r="BK69" i="1"/>
  <c r="BH69" i="1"/>
  <c r="BG69" i="1"/>
  <c r="AW69" i="1"/>
  <c r="AT69" i="1"/>
  <c r="AB69" i="1"/>
  <c r="Z69" i="1"/>
  <c r="U69" i="1"/>
  <c r="T69" i="1"/>
  <c r="S69" i="1"/>
  <c r="BJ69" i="1" s="1"/>
  <c r="O69" i="1"/>
  <c r="BI69" i="1" s="1"/>
  <c r="E69" i="1"/>
  <c r="D69" i="1"/>
  <c r="BP68" i="1"/>
  <c r="BO68" i="1"/>
  <c r="BN68" i="1"/>
  <c r="BM68" i="1"/>
  <c r="BL68" i="1"/>
  <c r="BK68" i="1"/>
  <c r="BJ68" i="1"/>
  <c r="BI68" i="1"/>
  <c r="BH68" i="1"/>
  <c r="BP67" i="1"/>
  <c r="BO67" i="1"/>
  <c r="BN67" i="1"/>
  <c r="BM67" i="1"/>
  <c r="BL67" i="1"/>
  <c r="BK67" i="1"/>
  <c r="BJ67" i="1"/>
  <c r="BI67" i="1"/>
  <c r="BH67" i="1"/>
  <c r="BP66" i="1"/>
  <c r="BO66" i="1"/>
  <c r="BN66" i="1"/>
  <c r="BM66" i="1"/>
  <c r="BL66" i="1"/>
  <c r="BK66" i="1"/>
  <c r="BJ66" i="1"/>
  <c r="BI66" i="1"/>
  <c r="BH66" i="1"/>
  <c r="BP65" i="1"/>
  <c r="BO65" i="1"/>
  <c r="BN65" i="1"/>
  <c r="BM65" i="1"/>
  <c r="BL65" i="1"/>
  <c r="BK65" i="1"/>
  <c r="BJ65" i="1"/>
  <c r="BI65" i="1"/>
  <c r="BH65" i="1"/>
  <c r="BP64" i="1"/>
  <c r="BO64" i="1"/>
  <c r="BN64" i="1"/>
  <c r="BM64" i="1"/>
  <c r="BL64" i="1"/>
  <c r="BK64" i="1"/>
  <c r="BJ64" i="1"/>
  <c r="BI64" i="1"/>
  <c r="BH64" i="1"/>
  <c r="BP63" i="1"/>
  <c r="BO63" i="1"/>
  <c r="BN63" i="1"/>
  <c r="BM63" i="1"/>
  <c r="BL63" i="1"/>
  <c r="BK63" i="1"/>
  <c r="BJ63" i="1"/>
  <c r="BI63" i="1"/>
  <c r="BH63" i="1"/>
  <c r="BP62" i="1"/>
  <c r="BO62" i="1"/>
  <c r="BN62" i="1"/>
  <c r="BM62" i="1"/>
  <c r="BL62" i="1"/>
  <c r="BK62" i="1"/>
  <c r="BJ62" i="1"/>
  <c r="BI62" i="1"/>
  <c r="BH62" i="1"/>
  <c r="BP61" i="1"/>
  <c r="BO61" i="1"/>
  <c r="BM61" i="1"/>
  <c r="BL61" i="1"/>
  <c r="BK61" i="1"/>
  <c r="BJ61" i="1"/>
  <c r="BG61" i="1"/>
  <c r="AT61" i="1"/>
  <c r="BN61" i="1" s="1"/>
  <c r="AR61" i="1"/>
  <c r="AN61" i="1"/>
  <c r="AM61" i="1"/>
  <c r="T61" i="1"/>
  <c r="S61" i="1"/>
  <c r="N61" i="1"/>
  <c r="BI61" i="1" s="1"/>
  <c r="I61" i="1"/>
  <c r="D61" i="1"/>
  <c r="BH61" i="1" s="1"/>
  <c r="BP60" i="1"/>
  <c r="BO60" i="1"/>
  <c r="BN60" i="1"/>
  <c r="BM60" i="1"/>
  <c r="BL60" i="1"/>
  <c r="BK60" i="1"/>
  <c r="BJ60" i="1"/>
  <c r="BI60" i="1"/>
  <c r="BH60" i="1"/>
  <c r="BP59" i="1"/>
  <c r="BO59" i="1"/>
  <c r="BN59" i="1"/>
  <c r="BM59" i="1"/>
  <c r="BL59" i="1"/>
  <c r="BK59" i="1"/>
  <c r="BJ59" i="1"/>
  <c r="BI59" i="1"/>
  <c r="BH59" i="1"/>
  <c r="BP58" i="1"/>
  <c r="BO58" i="1"/>
  <c r="BN58" i="1"/>
  <c r="BM58" i="1"/>
  <c r="BL58" i="1"/>
  <c r="BK58" i="1"/>
  <c r="BJ58" i="1"/>
  <c r="BI58" i="1"/>
  <c r="BH58" i="1"/>
  <c r="BP57" i="1"/>
  <c r="BO57" i="1"/>
  <c r="BN57" i="1"/>
  <c r="BM57" i="1"/>
  <c r="BL57" i="1"/>
  <c r="BK57" i="1"/>
  <c r="BJ57" i="1"/>
  <c r="BI57" i="1"/>
  <c r="BH57" i="1"/>
  <c r="BP56" i="1"/>
  <c r="BO56" i="1"/>
  <c r="BN56" i="1"/>
  <c r="BM56" i="1"/>
  <c r="BL56" i="1"/>
  <c r="BK56" i="1"/>
  <c r="BJ56" i="1"/>
  <c r="BI56" i="1"/>
  <c r="BH56" i="1"/>
  <c r="BP55" i="1"/>
  <c r="BO55" i="1"/>
  <c r="BN55" i="1"/>
  <c r="BL55" i="1"/>
  <c r="BJ55" i="1"/>
  <c r="BG55" i="1"/>
  <c r="AT55" i="1"/>
  <c r="AR55" i="1"/>
  <c r="AN55" i="1"/>
  <c r="AM55" i="1"/>
  <c r="BM55" i="1" s="1"/>
  <c r="T55" i="1"/>
  <c r="BK55" i="1" s="1"/>
  <c r="S55" i="1"/>
  <c r="N55" i="1"/>
  <c r="BI55" i="1" s="1"/>
  <c r="I55" i="1"/>
  <c r="D55" i="1"/>
  <c r="BH55" i="1" s="1"/>
  <c r="BP54" i="1"/>
  <c r="BO54" i="1"/>
  <c r="BN54" i="1"/>
  <c r="BM54" i="1"/>
  <c r="BL54" i="1"/>
  <c r="BK54" i="1"/>
  <c r="BJ54" i="1"/>
  <c r="BI54" i="1"/>
  <c r="BH54" i="1"/>
  <c r="BP53" i="1"/>
  <c r="BO53" i="1"/>
  <c r="BN53" i="1"/>
  <c r="BM53" i="1"/>
  <c r="BL53" i="1"/>
  <c r="BK53" i="1"/>
  <c r="BJ53" i="1"/>
  <c r="BI53" i="1"/>
  <c r="BH53" i="1"/>
  <c r="BP52" i="1"/>
  <c r="BO52" i="1"/>
  <c r="BN52" i="1"/>
  <c r="BM52" i="1"/>
  <c r="BL52" i="1"/>
  <c r="BK52" i="1"/>
  <c r="BJ52" i="1"/>
  <c r="BI52" i="1"/>
  <c r="BH52" i="1"/>
  <c r="BP51" i="1"/>
  <c r="BO51" i="1"/>
  <c r="BN51" i="1"/>
  <c r="BM51" i="1"/>
  <c r="BL51" i="1"/>
  <c r="BK51" i="1"/>
  <c r="BJ51" i="1"/>
  <c r="BI51" i="1"/>
  <c r="BH51" i="1"/>
  <c r="BP50" i="1"/>
  <c r="BO50" i="1"/>
  <c r="BN50" i="1"/>
  <c r="BM50" i="1"/>
  <c r="BL50" i="1"/>
  <c r="BK50" i="1"/>
  <c r="BJ50" i="1"/>
  <c r="BI50" i="1"/>
  <c r="BH50" i="1"/>
  <c r="BP49" i="1"/>
  <c r="BO49" i="1"/>
  <c r="BN49" i="1"/>
  <c r="BM49" i="1"/>
  <c r="BL49" i="1"/>
  <c r="BK49" i="1"/>
  <c r="BJ49" i="1"/>
  <c r="BI49" i="1"/>
  <c r="BH49" i="1"/>
  <c r="BP48" i="1"/>
  <c r="BO48" i="1"/>
  <c r="BN48" i="1"/>
  <c r="BM48" i="1"/>
  <c r="BL48" i="1"/>
  <c r="BK48" i="1"/>
  <c r="BJ48" i="1"/>
  <c r="BI48" i="1"/>
  <c r="BH48" i="1"/>
  <c r="BP47" i="1"/>
  <c r="BO47" i="1"/>
  <c r="BN47" i="1"/>
  <c r="BM47" i="1"/>
  <c r="BL47" i="1"/>
  <c r="BK47" i="1"/>
  <c r="BJ47" i="1"/>
  <c r="BI47" i="1"/>
  <c r="BH47" i="1"/>
  <c r="BP46" i="1"/>
  <c r="BO46" i="1"/>
  <c r="BN46" i="1"/>
  <c r="BM46" i="1"/>
  <c r="BL46" i="1"/>
  <c r="BK46" i="1"/>
  <c r="BJ46" i="1"/>
  <c r="BI46" i="1"/>
  <c r="BH46" i="1"/>
  <c r="BP45" i="1"/>
  <c r="BO45" i="1"/>
  <c r="BN45" i="1"/>
  <c r="BM45" i="1"/>
  <c r="BL45" i="1"/>
  <c r="BK45" i="1"/>
  <c r="BJ45" i="1"/>
  <c r="BI45" i="1"/>
  <c r="BH45" i="1"/>
  <c r="BP44" i="1"/>
  <c r="BO44" i="1"/>
  <c r="BN44" i="1"/>
  <c r="BM44" i="1"/>
  <c r="BL44" i="1"/>
  <c r="BK44" i="1"/>
  <c r="BJ44" i="1"/>
  <c r="BI44" i="1"/>
  <c r="BH44" i="1"/>
  <c r="BP43" i="1"/>
  <c r="BO43" i="1"/>
  <c r="BN43" i="1"/>
  <c r="BM43" i="1"/>
  <c r="BL43" i="1"/>
  <c r="BK43" i="1"/>
  <c r="BJ43" i="1"/>
  <c r="BI43" i="1"/>
  <c r="BH43" i="1"/>
  <c r="BP42" i="1"/>
  <c r="BO42" i="1"/>
  <c r="BN42" i="1"/>
  <c r="BM42" i="1"/>
  <c r="BL42" i="1"/>
  <c r="BK42" i="1"/>
  <c r="BJ42" i="1"/>
  <c r="BI42" i="1"/>
  <c r="BH42" i="1"/>
  <c r="BP41" i="1"/>
  <c r="BO41" i="1"/>
  <c r="BN41" i="1"/>
  <c r="BM41" i="1"/>
  <c r="BL41" i="1"/>
  <c r="BK41" i="1"/>
  <c r="BJ41" i="1"/>
  <c r="BI41" i="1"/>
  <c r="BH41" i="1"/>
  <c r="BP40" i="1"/>
  <c r="BO40" i="1"/>
  <c r="BN40" i="1"/>
  <c r="BM40" i="1"/>
  <c r="BL40" i="1"/>
  <c r="BK40" i="1"/>
  <c r="BJ40" i="1"/>
  <c r="BI40" i="1"/>
  <c r="BH40" i="1"/>
  <c r="BP39" i="1"/>
  <c r="BO39" i="1"/>
  <c r="BN39" i="1"/>
  <c r="BM39" i="1"/>
  <c r="BL39" i="1"/>
  <c r="BK39" i="1"/>
  <c r="BJ39" i="1"/>
  <c r="BI39" i="1"/>
  <c r="BH39" i="1"/>
  <c r="BP38" i="1"/>
  <c r="BO38" i="1"/>
  <c r="BN38" i="1"/>
  <c r="BM38" i="1"/>
  <c r="BL38" i="1"/>
  <c r="BK38" i="1"/>
  <c r="BJ38" i="1"/>
  <c r="BI38" i="1"/>
  <c r="BH38" i="1"/>
  <c r="BP37" i="1"/>
  <c r="BO37" i="1"/>
  <c r="BN37" i="1"/>
  <c r="BM37" i="1"/>
  <c r="BL37" i="1"/>
  <c r="BK37" i="1"/>
  <c r="BJ37" i="1"/>
  <c r="BI37" i="1"/>
  <c r="BH37" i="1"/>
  <c r="BP36" i="1"/>
  <c r="BO36" i="1"/>
  <c r="BN36" i="1"/>
  <c r="BM36" i="1"/>
  <c r="BL36" i="1"/>
  <c r="BK36" i="1"/>
  <c r="BJ36" i="1"/>
  <c r="BI36" i="1"/>
  <c r="BH36" i="1"/>
  <c r="BP35" i="1"/>
  <c r="BO35" i="1"/>
  <c r="BN35" i="1"/>
  <c r="BM35" i="1"/>
  <c r="BL35" i="1"/>
  <c r="BK35" i="1"/>
  <c r="BJ35" i="1"/>
  <c r="BI35" i="1"/>
  <c r="BH35" i="1"/>
  <c r="BP34" i="1"/>
  <c r="BO34" i="1"/>
  <c r="BN34" i="1"/>
  <c r="BM34" i="1"/>
  <c r="BL34" i="1"/>
  <c r="BK34" i="1"/>
  <c r="BJ34" i="1"/>
  <c r="BI34" i="1"/>
  <c r="BH34" i="1"/>
  <c r="BP33" i="1"/>
  <c r="BO33" i="1"/>
  <c r="BN33" i="1"/>
  <c r="BM33" i="1"/>
  <c r="BL33" i="1"/>
  <c r="BK33" i="1"/>
  <c r="BJ33" i="1"/>
  <c r="BI33" i="1"/>
  <c r="BH33" i="1"/>
  <c r="BP32" i="1"/>
  <c r="BO32" i="1"/>
  <c r="BN32" i="1"/>
  <c r="BM32" i="1"/>
  <c r="BL32" i="1"/>
  <c r="BK32" i="1"/>
  <c r="BJ32" i="1"/>
  <c r="BI32" i="1"/>
  <c r="BH32" i="1"/>
  <c r="BP31" i="1"/>
  <c r="BO31" i="1"/>
  <c r="BN31" i="1"/>
  <c r="BM31" i="1"/>
  <c r="BL31" i="1"/>
  <c r="BK31" i="1"/>
  <c r="BJ31" i="1"/>
  <c r="BI31" i="1"/>
  <c r="BH31" i="1"/>
  <c r="BP30" i="1"/>
  <c r="BO30" i="1"/>
  <c r="BN30" i="1"/>
  <c r="BM30" i="1"/>
  <c r="BL30" i="1"/>
  <c r="BK30" i="1"/>
  <c r="BJ30" i="1"/>
  <c r="BI30" i="1"/>
  <c r="BH30" i="1"/>
  <c r="BP29" i="1"/>
  <c r="BO29" i="1"/>
  <c r="BN29" i="1"/>
  <c r="BM29" i="1"/>
  <c r="BL29" i="1"/>
  <c r="BK29" i="1"/>
  <c r="BJ29" i="1"/>
  <c r="BI29" i="1"/>
  <c r="BH29" i="1"/>
  <c r="BP28" i="1"/>
  <c r="BO28" i="1"/>
  <c r="BN28" i="1"/>
  <c r="BM28" i="1"/>
  <c r="BL28" i="1"/>
  <c r="BK28" i="1"/>
  <c r="BJ28" i="1"/>
  <c r="BI28" i="1"/>
  <c r="BH28" i="1"/>
  <c r="BP27" i="1"/>
  <c r="BO27" i="1"/>
  <c r="BN27" i="1"/>
  <c r="BM27" i="1"/>
  <c r="BL27" i="1"/>
  <c r="BK27" i="1"/>
  <c r="BJ27" i="1"/>
  <c r="BI27" i="1"/>
  <c r="BH27" i="1"/>
  <c r="BP26" i="1"/>
  <c r="BO26" i="1"/>
  <c r="BN26" i="1"/>
  <c r="BM26" i="1"/>
  <c r="BL26" i="1"/>
  <c r="BK26" i="1"/>
  <c r="BJ26" i="1"/>
  <c r="BI26" i="1"/>
  <c r="BH26" i="1"/>
  <c r="BP25" i="1"/>
  <c r="BO25" i="1"/>
  <c r="BN25" i="1"/>
  <c r="BM25" i="1"/>
  <c r="BL25" i="1"/>
  <c r="BK25" i="1"/>
  <c r="BJ25" i="1"/>
  <c r="BI25" i="1"/>
  <c r="BH25" i="1"/>
  <c r="BP24" i="1"/>
  <c r="BO24" i="1"/>
  <c r="BN24" i="1"/>
  <c r="BM24" i="1"/>
  <c r="BL24" i="1"/>
  <c r="BK24" i="1"/>
  <c r="BJ24" i="1"/>
  <c r="BI24" i="1"/>
  <c r="BH24" i="1"/>
  <c r="BP23" i="1"/>
  <c r="BO23" i="1"/>
  <c r="BN23" i="1"/>
  <c r="BM23" i="1"/>
  <c r="BL23" i="1"/>
  <c r="BK23" i="1"/>
  <c r="BJ23" i="1"/>
  <c r="BI23" i="1"/>
  <c r="BH23" i="1"/>
  <c r="BP22" i="1"/>
  <c r="BO22" i="1"/>
  <c r="BN22" i="1"/>
  <c r="BM22" i="1"/>
  <c r="BL22" i="1"/>
  <c r="BK22" i="1"/>
  <c r="BJ22" i="1"/>
  <c r="BI22" i="1"/>
  <c r="BH22" i="1"/>
  <c r="BP21" i="1"/>
  <c r="BO21" i="1"/>
  <c r="BN21" i="1"/>
  <c r="BM21" i="1"/>
  <c r="BL21" i="1"/>
  <c r="BK21" i="1"/>
  <c r="BJ21" i="1"/>
  <c r="BI21" i="1"/>
  <c r="BH21" i="1"/>
  <c r="BP20" i="1"/>
  <c r="BO20" i="1"/>
  <c r="BN20" i="1"/>
  <c r="BM20" i="1"/>
  <c r="BL20" i="1"/>
  <c r="BK20" i="1"/>
  <c r="BJ20" i="1"/>
  <c r="BI20" i="1"/>
  <c r="BH20" i="1"/>
  <c r="BP19" i="1"/>
  <c r="BO19" i="1"/>
  <c r="BN19" i="1"/>
  <c r="BM19" i="1"/>
  <c r="BL19" i="1"/>
  <c r="BK19" i="1"/>
  <c r="BJ19" i="1"/>
  <c r="BI19" i="1"/>
  <c r="BH19" i="1"/>
  <c r="BP18" i="1"/>
  <c r="BO18" i="1"/>
  <c r="BN18" i="1"/>
  <c r="BM18" i="1"/>
  <c r="BL18" i="1"/>
  <c r="BK18" i="1"/>
  <c r="BJ18" i="1"/>
  <c r="BI18" i="1"/>
  <c r="BH18" i="1"/>
  <c r="BP17" i="1"/>
  <c r="BO17" i="1"/>
  <c r="BN17" i="1"/>
  <c r="BM17" i="1"/>
  <c r="BL17" i="1"/>
  <c r="BK17" i="1"/>
  <c r="BJ17" i="1"/>
  <c r="BI17" i="1"/>
  <c r="BH17" i="1"/>
  <c r="BP16" i="1"/>
  <c r="BO16" i="1"/>
  <c r="BN16" i="1"/>
  <c r="BM16" i="1"/>
  <c r="BL16" i="1"/>
  <c r="BK16" i="1"/>
  <c r="BJ16" i="1"/>
  <c r="BI16" i="1"/>
  <c r="BH16" i="1"/>
  <c r="BP15" i="1"/>
  <c r="BO15" i="1"/>
  <c r="BN15" i="1"/>
  <c r="BM15" i="1"/>
  <c r="BL15" i="1"/>
  <c r="BK15" i="1"/>
  <c r="BJ15" i="1"/>
  <c r="BI15" i="1"/>
  <c r="BH15" i="1"/>
  <c r="BP14" i="1"/>
  <c r="BO14" i="1"/>
  <c r="BN14" i="1"/>
  <c r="BM14" i="1"/>
  <c r="BL14" i="1"/>
  <c r="BK14" i="1"/>
  <c r="BJ14" i="1"/>
  <c r="BI14" i="1"/>
  <c r="BH14" i="1"/>
  <c r="BP13" i="1"/>
  <c r="BO13" i="1"/>
  <c r="BN13" i="1"/>
  <c r="BM13" i="1"/>
  <c r="BL13" i="1"/>
  <c r="BK13" i="1"/>
  <c r="BJ13" i="1"/>
  <c r="BI13" i="1"/>
  <c r="BH13" i="1"/>
  <c r="BP12" i="1"/>
  <c r="BO12" i="1"/>
  <c r="BN12" i="1"/>
  <c r="BM12" i="1"/>
  <c r="BL12" i="1"/>
  <c r="BK12" i="1"/>
  <c r="BJ12" i="1"/>
  <c r="BI12" i="1"/>
  <c r="BH12" i="1"/>
  <c r="BP11" i="1"/>
  <c r="BO11" i="1"/>
  <c r="BN11" i="1"/>
  <c r="BM11" i="1"/>
  <c r="BL11" i="1"/>
  <c r="BK11" i="1"/>
  <c r="BJ11" i="1"/>
  <c r="BI11" i="1"/>
  <c r="BH11" i="1"/>
  <c r="BP10" i="1"/>
  <c r="BO10" i="1"/>
  <c r="BN10" i="1"/>
  <c r="BM10" i="1"/>
  <c r="BL10" i="1"/>
  <c r="BK10" i="1"/>
  <c r="BJ10" i="1"/>
  <c r="BI10" i="1"/>
  <c r="BH10" i="1"/>
  <c r="BP9" i="1"/>
  <c r="BO9" i="1"/>
  <c r="BN9" i="1"/>
  <c r="BM9" i="1"/>
  <c r="BL9" i="1"/>
  <c r="BK9" i="1"/>
  <c r="BJ9" i="1"/>
  <c r="BI9" i="1"/>
  <c r="BH9" i="1"/>
  <c r="BP8" i="1"/>
  <c r="BO8" i="1"/>
  <c r="BN8" i="1"/>
  <c r="BM8" i="1"/>
  <c r="BL8" i="1"/>
  <c r="BK8" i="1"/>
  <c r="BJ8" i="1"/>
  <c r="BI8" i="1"/>
  <c r="BH8" i="1"/>
  <c r="BP7" i="1"/>
  <c r="BO7" i="1"/>
  <c r="BN7" i="1"/>
  <c r="BM7" i="1"/>
  <c r="BL7" i="1"/>
  <c r="BK7" i="1"/>
  <c r="BJ7" i="1"/>
  <c r="BI7" i="1"/>
  <c r="BH7" i="1"/>
  <c r="BP6" i="1"/>
  <c r="BO6" i="1"/>
  <c r="BN6" i="1"/>
  <c r="BM6" i="1"/>
  <c r="BL6" i="1"/>
  <c r="BK6" i="1"/>
  <c r="BJ6" i="1"/>
  <c r="BI6" i="1"/>
  <c r="BH6" i="1"/>
  <c r="BP5" i="1"/>
  <c r="BO5" i="1"/>
  <c r="BN5" i="1"/>
  <c r="BM5" i="1"/>
  <c r="BL5" i="1"/>
  <c r="BK5" i="1"/>
  <c r="BJ5" i="1"/>
  <c r="BI5" i="1"/>
  <c r="BH5" i="1"/>
  <c r="BP4" i="1"/>
  <c r="BO4" i="1"/>
  <c r="BL4" i="1"/>
  <c r="BK4" i="1"/>
  <c r="BG4" i="1"/>
  <c r="AU4" i="1"/>
  <c r="BN4" i="1" s="1"/>
  <c r="AG4" i="1"/>
  <c r="AC4" i="1"/>
  <c r="BM4" i="1" s="1"/>
  <c r="T4" i="1"/>
  <c r="S4" i="1"/>
  <c r="BJ4" i="1" s="1"/>
  <c r="M4" i="1"/>
  <c r="BI4" i="1" s="1"/>
  <c r="D4" i="1"/>
  <c r="BH4" i="1" s="1"/>
  <c r="BP3" i="1"/>
  <c r="BO3" i="1"/>
  <c r="BN3" i="1"/>
  <c r="BM3" i="1"/>
  <c r="BL3" i="1"/>
  <c r="BK3" i="1"/>
  <c r="BJ3" i="1"/>
  <c r="BI3" i="1"/>
  <c r="BH3" i="1"/>
  <c r="BM1462" i="1" l="1"/>
  <c r="BM1648" i="1"/>
  <c r="BM1686" i="1"/>
  <c r="BH1849" i="1"/>
  <c r="BM1897" i="1"/>
  <c r="BM2123" i="1"/>
  <c r="BM2281" i="1"/>
  <c r="BM2701" i="1"/>
  <c r="BM3235" i="1"/>
  <c r="BM3204" i="1"/>
  <c r="BM1347" i="1"/>
  <c r="BM1383" i="1"/>
  <c r="BM1392" i="1"/>
  <c r="BM1480" i="1"/>
  <c r="BH1767" i="1"/>
  <c r="BM2794" i="1"/>
  <c r="BM3597" i="1"/>
  <c r="BM1798" i="1"/>
  <c r="BM1809" i="1"/>
  <c r="BM1900" i="1"/>
  <c r="BM1939" i="1"/>
  <c r="BM2169" i="1"/>
  <c r="BM2261" i="1"/>
  <c r="BM2712" i="1"/>
  <c r="BM2713" i="1"/>
  <c r="BM3066" i="1"/>
  <c r="BM3470" i="1"/>
  <c r="BM4602" i="1"/>
  <c r="BH4794" i="1"/>
  <c r="BM4803" i="1"/>
  <c r="BH1612" i="1"/>
  <c r="BM2555" i="1"/>
  <c r="BM2710" i="1"/>
  <c r="BM2906" i="1"/>
  <c r="BM3032" i="1"/>
  <c r="BH3360" i="1"/>
  <c r="BM3404" i="1"/>
  <c r="BM3708" i="1"/>
  <c r="BH3837" i="1"/>
  <c r="BM4101" i="1"/>
  <c r="BM4120" i="1"/>
  <c r="BM4146" i="1"/>
  <c r="BM4157" i="1"/>
  <c r="BM4572" i="1"/>
  <c r="BM4779" i="1"/>
  <c r="BM4951" i="1"/>
  <c r="BM1971" i="1"/>
  <c r="BM2586" i="1"/>
  <c r="BM2735" i="1"/>
  <c r="BM2785" i="1"/>
  <c r="BH2909" i="1"/>
  <c r="BM3064" i="1"/>
  <c r="BM3108" i="1"/>
  <c r="BM3333" i="1"/>
  <c r="BM3923" i="1"/>
  <c r="BM4069" i="1"/>
  <c r="BM4472" i="1"/>
  <c r="BM4740" i="1"/>
  <c r="BM4889" i="1"/>
  <c r="BM4929" i="1"/>
  <c r="BH1489" i="1"/>
  <c r="BH2006" i="1"/>
  <c r="BM3862" i="1"/>
  <c r="BM3944" i="1"/>
  <c r="BM1389" i="1"/>
  <c r="BM1736" i="1"/>
  <c r="BM2024" i="1"/>
  <c r="BM2093" i="1"/>
  <c r="BM2229" i="1"/>
  <c r="BM2407" i="1"/>
  <c r="BM2445" i="1"/>
  <c r="BM2607" i="1"/>
  <c r="BM2625" i="1"/>
  <c r="BM2658" i="1"/>
  <c r="BM2917" i="1"/>
  <c r="BM2962" i="1"/>
  <c r="BM2996" i="1"/>
  <c r="BM3079" i="1"/>
  <c r="BM3314" i="1"/>
  <c r="BM3320" i="1"/>
  <c r="BM3389" i="1"/>
  <c r="BM3534" i="1"/>
  <c r="BH3644" i="1"/>
  <c r="BM3746" i="1"/>
  <c r="BM3812" i="1"/>
  <c r="BM3850" i="1"/>
  <c r="BM3954" i="1"/>
  <c r="BM4672" i="1"/>
  <c r="BM4857" i="1"/>
  <c r="BH2658" i="1"/>
  <c r="BM3659" i="1"/>
  <c r="BM4107" i="1"/>
  <c r="BM4388" i="1"/>
  <c r="BM2418" i="1"/>
  <c r="BM2566" i="1"/>
  <c r="BM2608" i="1"/>
  <c r="BM2680" i="1"/>
  <c r="BM2821" i="1"/>
  <c r="BM3206" i="1"/>
  <c r="BM3484" i="1"/>
  <c r="BH3531" i="1"/>
  <c r="BM3562" i="1"/>
  <c r="BM3652" i="1"/>
  <c r="BM3658" i="1"/>
  <c r="BM3718" i="1"/>
  <c r="BM4021" i="1"/>
  <c r="BM4102" i="1"/>
  <c r="BM4147" i="1"/>
  <c r="BM4158" i="1"/>
  <c r="BM4277" i="1"/>
  <c r="BM4666" i="1"/>
  <c r="BM4145" i="1"/>
  <c r="BM3405" i="1"/>
  <c r="BM3509" i="1"/>
  <c r="BM3551" i="1"/>
  <c r="BM3875" i="1"/>
  <c r="BM4290" i="1"/>
  <c r="BM3080" i="1"/>
  <c r="BM3341" i="1"/>
  <c r="BM3485" i="1"/>
  <c r="BM3494" i="1"/>
  <c r="BM3607" i="1"/>
  <c r="BM3636" i="1"/>
  <c r="BM4046" i="1"/>
  <c r="BM4114" i="1"/>
  <c r="BM4144" i="1"/>
  <c r="BN4246" i="1"/>
  <c r="BM4251" i="1"/>
  <c r="BM4289" i="1"/>
  <c r="BI4803" i="1"/>
  <c r="BH4850" i="1"/>
  <c r="BM4900" i="1"/>
  <c r="BM3719" i="1"/>
  <c r="BM3805" i="1"/>
  <c r="BM4086" i="1"/>
  <c r="BM4091" i="1"/>
  <c r="BM4521" i="1"/>
  <c r="BM3637" i="1"/>
  <c r="BM3804" i="1"/>
  <c r="BM3827" i="1"/>
  <c r="BM3828" i="1"/>
  <c r="BM3882" i="1"/>
  <c r="BM4299" i="1"/>
  <c r="BM4520" i="1"/>
  <c r="BM4952" i="1"/>
</calcChain>
</file>

<file path=xl/sharedStrings.xml><?xml version="1.0" encoding="utf-8"?>
<sst xmlns="http://schemas.openxmlformats.org/spreadsheetml/2006/main" count="87" uniqueCount="78">
  <si>
    <t>Production Date</t>
  </si>
  <si>
    <t>No. Formula</t>
  </si>
  <si>
    <t>PXX</t>
  </si>
  <si>
    <t>AXX</t>
  </si>
  <si>
    <t>TXX</t>
  </si>
  <si>
    <t>SXX</t>
  </si>
  <si>
    <t>FXX</t>
  </si>
  <si>
    <t>AdXX</t>
  </si>
  <si>
    <t>IXX</t>
  </si>
  <si>
    <t>CXX</t>
  </si>
  <si>
    <t>BXX</t>
  </si>
  <si>
    <t>TOTAL</t>
  </si>
  <si>
    <t>date</t>
  </si>
  <si>
    <t>No</t>
  </si>
  <si>
    <t>P - 1</t>
  </si>
  <si>
    <t>P - 2</t>
  </si>
  <si>
    <t>P - 3</t>
  </si>
  <si>
    <t>P - 4</t>
  </si>
  <si>
    <t>P - 5</t>
  </si>
  <si>
    <t>P - 6</t>
  </si>
  <si>
    <t>P - 7</t>
  </si>
  <si>
    <t>P - 8</t>
  </si>
  <si>
    <t>P - 9</t>
  </si>
  <si>
    <t>P - 10</t>
  </si>
  <si>
    <t>Cat - 1</t>
  </si>
  <si>
    <t>Cat - 2</t>
  </si>
  <si>
    <t>Cat - 3</t>
  </si>
  <si>
    <t>Cat - 4</t>
  </si>
  <si>
    <t>Cat - 1a</t>
  </si>
  <si>
    <t>Cat - 6</t>
  </si>
  <si>
    <t>T - 9</t>
  </si>
  <si>
    <t>S - 1</t>
  </si>
  <si>
    <t>S - 2</t>
  </si>
  <si>
    <t>S - 3</t>
  </si>
  <si>
    <t>S - 4</t>
  </si>
  <si>
    <t>S - 5</t>
  </si>
  <si>
    <t>S - 6</t>
  </si>
  <si>
    <t>FR - 1</t>
  </si>
  <si>
    <t>FR - 2</t>
  </si>
  <si>
    <t>Add - 1</t>
  </si>
  <si>
    <t>Add - 2</t>
  </si>
  <si>
    <t>Add - 3</t>
  </si>
  <si>
    <t>Add - 4</t>
  </si>
  <si>
    <t>Add - 5</t>
  </si>
  <si>
    <t>Add - 6</t>
  </si>
  <si>
    <t>Add - 7</t>
  </si>
  <si>
    <t>Add - 8</t>
  </si>
  <si>
    <t>Add - 9</t>
  </si>
  <si>
    <t>AO - 1</t>
  </si>
  <si>
    <t>AO - 2</t>
  </si>
  <si>
    <t>AO - 3</t>
  </si>
  <si>
    <t>AO - 4</t>
  </si>
  <si>
    <t>AO - 5</t>
  </si>
  <si>
    <t>AO - 6</t>
  </si>
  <si>
    <t>AO - 7</t>
  </si>
  <si>
    <t>AO - 8</t>
  </si>
  <si>
    <t>AO - 9</t>
  </si>
  <si>
    <t>T - 1</t>
  </si>
  <si>
    <t>T - 2</t>
  </si>
  <si>
    <t>Pig - 1</t>
  </si>
  <si>
    <t>Pig - 2</t>
  </si>
  <si>
    <t>Pig - 3</t>
  </si>
  <si>
    <t>Pig - 4</t>
  </si>
  <si>
    <t>Pig - 5</t>
  </si>
  <si>
    <t>Pig - 6</t>
  </si>
  <si>
    <t>Pig - 7</t>
  </si>
  <si>
    <t>Pig - 8</t>
  </si>
  <si>
    <t>Pig - 9</t>
  </si>
  <si>
    <t>Pig - 10</t>
  </si>
  <si>
    <t>B - 1</t>
  </si>
  <si>
    <t>H2O</t>
  </si>
  <si>
    <t>85..84</t>
  </si>
  <si>
    <t>36..98</t>
  </si>
  <si>
    <t>.</t>
  </si>
  <si>
    <t>311..85</t>
  </si>
  <si>
    <t>174..64</t>
  </si>
  <si>
    <t>Q</t>
  </si>
  <si>
    <t>9,,32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</si>
</sst>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4">
    <font>
      <sz val="11"/>
      <color theme="1"/>
      <name val="Arial"/>
      <family val="2"/>
      <charset val="128"/>
    </font>
    <font>
      <sz val="10"/>
      <name val="Arial"/>
      <family val="2"/>
    </font>
    <font>
      <sz val="12"/>
      <name val="Arial Narrow"/>
      <family val="2"/>
    </font>
    <font>
      <sz val="11"/>
      <color theme="1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8">
    <xf numFmtId="0" fontId="0" fillId="0" borderId="0" xfId="0"/>
    <xf numFmtId="0" fontId="2" fillId="0" borderId="1" xfId="1" applyFont="1" applyFill="1" applyBorder="1" applyAlignment="1">
      <alignment horizontal="center" vertical="top"/>
    </xf>
    <xf numFmtId="0" fontId="2" fillId="0" borderId="1" xfId="1" applyFont="1" applyFill="1" applyBorder="1" applyAlignment="1">
      <alignment horizontal="center" vertical="top" wrapText="1"/>
    </xf>
    <xf numFmtId="164" fontId="2" fillId="0" borderId="1" xfId="2" applyNumberFormat="1" applyFont="1" applyFill="1" applyBorder="1" applyAlignment="1">
      <alignment horizontal="center" vertical="top"/>
    </xf>
    <xf numFmtId="164" fontId="2" fillId="0" borderId="1" xfId="2" applyNumberFormat="1" applyFont="1" applyFill="1" applyBorder="1" applyAlignment="1">
      <alignment horizontal="center" vertical="top" wrapText="1"/>
    </xf>
    <xf numFmtId="0" fontId="2" fillId="0" borderId="1" xfId="1" applyFont="1" applyFill="1" applyBorder="1" applyAlignment="1">
      <alignment horizontal="center" vertical="center" wrapText="1"/>
    </xf>
    <xf numFmtId="15" fontId="2" fillId="0" borderId="1" xfId="0" applyNumberFormat="1" applyFont="1" applyFill="1" applyBorder="1" applyAlignment="1">
      <alignment horizontal="center" vertical="center"/>
    </xf>
    <xf numFmtId="1" fontId="2" fillId="0" borderId="1" xfId="1" applyNumberFormat="1" applyFont="1" applyFill="1" applyBorder="1" applyAlignment="1">
      <alignment horizontal="center" vertical="center"/>
    </xf>
    <xf numFmtId="4" fontId="2" fillId="0" borderId="1" xfId="2" applyNumberFormat="1" applyFont="1" applyFill="1" applyBorder="1" applyAlignment="1">
      <alignment horizontal="center" vertical="center"/>
    </xf>
    <xf numFmtId="4" fontId="2" fillId="0" borderId="1" xfId="1" applyNumberFormat="1" applyFont="1" applyFill="1" applyBorder="1" applyAlignment="1">
      <alignment horizontal="center" vertical="center"/>
    </xf>
    <xf numFmtId="165" fontId="2" fillId="0" borderId="1" xfId="2" applyNumberFormat="1" applyFont="1" applyFill="1" applyBorder="1" applyAlignment="1">
      <alignment horizontal="center" vertical="center"/>
    </xf>
    <xf numFmtId="4" fontId="2" fillId="0" borderId="1" xfId="2" applyNumberFormat="1" applyFont="1" applyFill="1" applyBorder="1" applyAlignment="1">
      <alignment horizontal="center"/>
    </xf>
    <xf numFmtId="15" fontId="2" fillId="0" borderId="5" xfId="0" applyNumberFormat="1" applyFont="1" applyFill="1" applyBorder="1" applyAlignment="1">
      <alignment horizontal="center" vertical="center"/>
    </xf>
    <xf numFmtId="1" fontId="2" fillId="0" borderId="5" xfId="1" applyNumberFormat="1" applyFont="1" applyFill="1" applyBorder="1" applyAlignment="1">
      <alignment horizontal="center" vertical="center"/>
    </xf>
    <xf numFmtId="4" fontId="2" fillId="0" borderId="5" xfId="2" applyNumberFormat="1" applyFont="1" applyFill="1" applyBorder="1" applyAlignment="1">
      <alignment horizontal="center" vertical="center"/>
    </xf>
    <xf numFmtId="4" fontId="2" fillId="0" borderId="5" xfId="2" applyNumberFormat="1" applyFont="1" applyFill="1" applyBorder="1" applyAlignment="1">
      <alignment horizontal="center"/>
    </xf>
    <xf numFmtId="0" fontId="2" fillId="0" borderId="0" xfId="1" applyFont="1" applyFill="1"/>
    <xf numFmtId="164" fontId="2" fillId="0" borderId="2" xfId="2" applyNumberFormat="1" applyFont="1" applyFill="1" applyBorder="1" applyAlignment="1">
      <alignment vertical="center" wrapText="1"/>
    </xf>
    <xf numFmtId="164" fontId="2" fillId="0" borderId="3" xfId="2" applyNumberFormat="1" applyFont="1" applyFill="1" applyBorder="1" applyAlignment="1">
      <alignment vertical="center" wrapText="1"/>
    </xf>
    <xf numFmtId="164" fontId="2" fillId="0" borderId="4" xfId="2" applyNumberFormat="1" applyFont="1" applyFill="1" applyBorder="1" applyAlignment="1">
      <alignment vertical="center" wrapText="1"/>
    </xf>
    <xf numFmtId="164" fontId="2" fillId="0" borderId="2" xfId="2" applyNumberFormat="1" applyFont="1" applyFill="1" applyBorder="1" applyAlignment="1">
      <alignment vertical="center"/>
    </xf>
    <xf numFmtId="164" fontId="2" fillId="0" borderId="2" xfId="2" applyNumberFormat="1" applyFont="1" applyFill="1" applyBorder="1" applyAlignment="1">
      <alignment horizontal="center" vertical="center" wrapText="1"/>
    </xf>
    <xf numFmtId="164" fontId="2" fillId="0" borderId="4" xfId="2" applyNumberFormat="1" applyFont="1" applyFill="1" applyBorder="1" applyAlignment="1">
      <alignment vertical="center"/>
    </xf>
    <xf numFmtId="164" fontId="2" fillId="0" borderId="3" xfId="2" applyNumberFormat="1" applyFont="1" applyFill="1" applyBorder="1" applyAlignment="1">
      <alignment vertical="center"/>
    </xf>
    <xf numFmtId="164" fontId="2" fillId="0" borderId="3" xfId="2" applyNumberFormat="1" applyFont="1" applyFill="1" applyBorder="1" applyAlignment="1">
      <alignment horizontal="center" vertical="center"/>
    </xf>
    <xf numFmtId="0" fontId="2" fillId="0" borderId="0" xfId="1" applyFont="1" applyFill="1" applyAlignment="1">
      <alignment vertical="center"/>
    </xf>
    <xf numFmtId="0" fontId="0" fillId="0" borderId="0" xfId="0" applyFont="1" applyFill="1"/>
    <xf numFmtId="4" fontId="3" fillId="0" borderId="1" xfId="2" applyNumberFormat="1" applyFont="1" applyFill="1" applyBorder="1" applyAlignment="1">
      <alignment horizontal="center" vertical="center"/>
    </xf>
  </cellXfs>
  <cellStyles count="3">
    <cellStyle name="Normal" xfId="0" builtinId="0"/>
    <cellStyle name="Normal 2" xfId="1" xr:uid="{1B1914A4-6079-4EE7-AEB8-855E4888EC94}"/>
    <cellStyle name="Normal_CONSUMPYION" xfId="2" xr:uid="{09471B3C-49CD-4651-9633-E2F999F7CC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K%20OT%20SEPTEMBER\OT%20&amp;%20REKAP%20ADK%20REVI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EB%20'09\FD%20SRI\okt%2008%20fix\BUAT%20BU%20LUSI%20REVISI\OT%20okt%20FIX%20BY%20DMP\GUGUN%20DATA\GUGUN\payroll%20gugun\overtime\LEMBUR%202006\LEMBUR%202008\PT.%20ASI\Bean\Overtime\Korosbin%20USB\ASI\Data%20Base\DATA%20BASE%20JAN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LobaL%20punYa\PT.%20ASI\Surat%20-%20Surat\Calend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ham/Downloads/Laporan%20FOAMING%20202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acbookpro\Library\Containers\com.microsoft.Excel\Data\Documents\E:\&#37197;&#21512;&#34920;\All%20Formulation%20Karawang_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BASE%20ASI\OT%20ASI\OT%202010\OT%20ASI%20FEB%20'10\O%20T%20ASI%20Jan%20'10%20non%20Pres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K%20OT\JPK\New%20JPK\JPK%20APIK%2020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BASE%20ASI\OT%20ASI\OT%20ASI%20Nov%20'09\O.T.%20O.S.%20Oktober%2009\MIPRO%20OT%2001%20Agustus%20-%2031Agustus%20200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ATRASS\2022\FEB%20MATRA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10\OT%202010\OT%20MEI\O%20T%20ASI%20April%20'10%20Pres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ARSIP%202011\Februari%202011\ARSIP%20Februari%2020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EB%20'09\FD%20SRI\okt%2008%20fix\BUAT%20BU%20LUSI%20REVISI\OT%20okt%20FIX%20BY%20DMP\GUGUN%20DATA\GUGUN\payroll%20gugun\overtime\LEMBUR%202006\LEMBUR%202008\PT.%20ASI\Bean\Overtime\Payroll%20&amp;%20Pers.%20Adm%20ASI\Gaji\Salary%202006\GAJI%20ASI%20APR%2006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Wulan\LAPORAN%20PRODUKSI%20FLEXIBLE\Production%20Report%20Flame%20Laminate_Feb%2024%20(Periode%202-8%20Februari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ARP"/>
      <sheetName val="PROD"/>
      <sheetName val="PROD (2)"/>
      <sheetName val="ABSEN1"/>
      <sheetName val="JAM (2)"/>
      <sheetName val="PPIC"/>
      <sheetName val="Q C"/>
      <sheetName val="P E"/>
      <sheetName val="JAM"/>
      <sheetName val="ADM CORP"/>
      <sheetName val="ABSEN2"/>
      <sheetName val="Stamping"/>
      <sheetName val="Mould"/>
      <sheetName val="Supp Cost Dept"/>
      <sheetName val="Supp Cost Plant_"/>
      <sheetName val="APQP"/>
      <sheetName val="REKAP"/>
      <sheetName val="BANK"/>
      <sheetName val="MANUAL"/>
      <sheetName val="Sheet9"/>
      <sheetName val="TOOL MAKING"/>
      <sheetName val="R_PGA"/>
      <sheetName val="R_Q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"/>
      <sheetName val="140604"/>
    </sheetNames>
    <sheetDataSet>
      <sheetData sheetId="0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-feb"/>
      <sheetName val="Mar-Apr"/>
      <sheetName val="May"/>
      <sheetName val="Jun"/>
      <sheetName val="Jul"/>
      <sheetName val="Aug"/>
      <sheetName val="Sep"/>
      <sheetName val="Oct"/>
      <sheetName val="Nov"/>
      <sheetName val="Dec"/>
      <sheetName val="PRO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Input"/>
      <sheetName val="Sheet3"/>
      <sheetName val="Density"/>
      <sheetName val="Mat. Cons"/>
      <sheetName val="Input_Summary"/>
      <sheetName val="Weekly Result"/>
      <sheetName val="Daily Result"/>
      <sheetName val="Monthly Result"/>
      <sheetName val="MatCons By Class"/>
      <sheetName val="Monthly Summary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data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M TOOL MAKING"/>
      <sheetName val="TOOL MAKING"/>
      <sheetName val="TABUNG GAS"/>
      <sheetName val="MKT+PURCH"/>
      <sheetName val="JAM NON TM"/>
      <sheetName val="PGA"/>
      <sheetName val="KORP"/>
      <sheetName val="FA+ICT"/>
      <sheetName val="TABUNG GAS REKAP"/>
      <sheetName val="TOOL MAKING REKAP"/>
      <sheetName val="SUPP COST DEPT"/>
      <sheetName val="budget"/>
      <sheetName val="SUPP COST PLANT"/>
      <sheetName val="REKAP"/>
      <sheetName val="Rekap baru"/>
      <sheetName val="BANK"/>
      <sheetName val="MANUAL"/>
      <sheetName val="DENOMINASI"/>
      <sheetName val="Rekap Tool Making Februari '10"/>
      <sheetName val="daily check"/>
      <sheetName val="Cst"/>
      <sheetName val="Mes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ITULASI JPK 2009"/>
      <sheetName val="09 Januari 09"/>
      <sheetName val="30 Januari 09"/>
      <sheetName val="15 Februari 09"/>
      <sheetName val="REV 15 Februari 09"/>
      <sheetName val="28 Februari 09"/>
      <sheetName val="31 MARET 09"/>
      <sheetName val="31 MARET 09 (2)"/>
      <sheetName val="DENOMINASI"/>
      <sheetName val="R_PLASTIK"/>
      <sheetName val="TOOL MAKING"/>
      <sheetName val="R_PPIC"/>
      <sheetName val="Q ADC"/>
      <sheetName val="R_QC"/>
      <sheetName val="APQP"/>
      <sheetName val="R_PGA"/>
      <sheetName val="R_TOOL ROOM"/>
      <sheetName val="R_MAINTENANCE"/>
      <sheetName val="R_FA"/>
      <sheetName val="R_PE"/>
      <sheetName val="R_ICT"/>
      <sheetName val="R_PURCHASING SHEARING"/>
      <sheetName val="R_MARKETING"/>
      <sheetName val="R_STAM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m prod"/>
      <sheetName val="WELDING"/>
      <sheetName val="STAMPING"/>
      <sheetName val="PE"/>
      <sheetName val="QC"/>
      <sheetName val="IMPROVMENT"/>
      <sheetName val="jam ppic"/>
      <sheetName val="PPIC"/>
      <sheetName val="MAINTENANCE"/>
      <sheetName val="GA"/>
      <sheetName val="REKAP PRINT"/>
      <sheetName val="GAS"/>
      <sheetName val="JAM TOOL MAKING"/>
      <sheetName val="INPUT CONTROL"/>
      <sheetName val="daily check"/>
      <sheetName val="TANDA TERIMA"/>
      <sheetName val="PRO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attrass Daily Report "/>
      <sheetName val="Daily Report Block"/>
      <sheetName val="FEB"/>
      <sheetName val="REJECT"/>
      <sheetName val="MATRAS"/>
      <sheetName val="MONTHLY II"/>
      <sheetName val="REPAIR"/>
      <sheetName val="OEE"/>
      <sheetName val="REKAP"/>
      <sheetName val="General Daily Report "/>
    </sheetNames>
    <sheetDataSet>
      <sheetData sheetId="0"/>
      <sheetData sheetId="1">
        <row r="9">
          <cell r="AD9" t="e">
            <v>#N/A</v>
          </cell>
        </row>
        <row r="10">
          <cell r="AD10" t="e">
            <v>#N/A</v>
          </cell>
        </row>
        <row r="11">
          <cell r="AD11" t="e">
            <v>#N/A</v>
          </cell>
        </row>
        <row r="12">
          <cell r="AD12" t="e">
            <v>#N/A</v>
          </cell>
        </row>
        <row r="13">
          <cell r="AD13" t="e">
            <v>#N/A</v>
          </cell>
        </row>
        <row r="14">
          <cell r="AD14" t="e">
            <v>#N/A</v>
          </cell>
        </row>
        <row r="15">
          <cell r="AD15" t="e">
            <v>#N/A</v>
          </cell>
        </row>
        <row r="16">
          <cell r="AD16" t="e">
            <v>#N/A</v>
          </cell>
        </row>
        <row r="17">
          <cell r="AD17" t="e">
            <v>#N/A</v>
          </cell>
        </row>
        <row r="18">
          <cell r="AD18" t="e">
            <v>#N/A</v>
          </cell>
        </row>
        <row r="19">
          <cell r="AD19" t="e">
            <v>#N/A</v>
          </cell>
        </row>
        <row r="20">
          <cell r="AD20" t="e">
            <v>#N/A</v>
          </cell>
        </row>
        <row r="21">
          <cell r="AD21" t="e">
            <v>#N/A</v>
          </cell>
        </row>
        <row r="22">
          <cell r="AD22" t="e">
            <v>#N/A</v>
          </cell>
        </row>
        <row r="23">
          <cell r="AD23" t="e">
            <v>#N/A</v>
          </cell>
        </row>
        <row r="24">
          <cell r="AD24" t="e">
            <v>#N/A</v>
          </cell>
        </row>
        <row r="25">
          <cell r="AD25" t="e">
            <v>#N/A</v>
          </cell>
        </row>
        <row r="26">
          <cell r="AD26" t="e">
            <v>#N/A</v>
          </cell>
        </row>
        <row r="27">
          <cell r="AD27" t="e">
            <v>#N/A</v>
          </cell>
        </row>
        <row r="28">
          <cell r="AD28" t="e">
            <v>#N/A</v>
          </cell>
        </row>
        <row r="29">
          <cell r="AD29" t="e">
            <v>#N/A</v>
          </cell>
        </row>
        <row r="30">
          <cell r="AD30" t="e">
            <v>#N/A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MPROVEMENT"/>
      <sheetName val="jam prod (2)"/>
      <sheetName val="ENG"/>
      <sheetName val="MTC &amp; Plant Service"/>
      <sheetName val="jam prod"/>
      <sheetName val="PROD"/>
      <sheetName val="WELDING"/>
      <sheetName val="JAM ppic"/>
      <sheetName val="PPIC"/>
      <sheetName val="QC"/>
      <sheetName val="JAM"/>
      <sheetName val="REKAP STAMPING"/>
      <sheetName val="REKAP OT"/>
      <sheetName val="Mes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SIP.OK"/>
      <sheetName val="ARSIP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140604"/>
    </sheetNames>
    <sheetDataSet>
      <sheetData sheetId="0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OEE LAMINATING rev"/>
      <sheetName val="LAMINATING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B12C-1E4C-42E1-AE54-FDF94F5C03B3}">
  <dimension ref="A1:BP1048000"/>
  <sheetViews>
    <sheetView tabSelected="1" zoomScale="70" zoomScaleNormal="70" workbookViewId="0">
      <selection activeCell="I22" sqref="I22"/>
    </sheetView>
  </sheetViews>
  <sheetFormatPr defaultRowHeight="15.6"/>
  <cols>
    <col min="1" max="1" width="12.8984375" style="16" customWidth="1"/>
    <col min="2" max="2" width="11.59765625" style="16" customWidth="1"/>
    <col min="3" max="4" width="8.59765625" style="16" customWidth="1"/>
    <col min="5" max="9" width="8" style="16" customWidth="1"/>
    <col min="10" max="10" width="9.09765625" style="16" customWidth="1"/>
    <col min="11" max="11" width="9.3984375" style="16" customWidth="1"/>
    <col min="12" max="12" width="8.8984375" style="16" customWidth="1"/>
    <col min="13" max="26" width="8" style="16" customWidth="1"/>
    <col min="27" max="27" width="9" style="16" customWidth="1"/>
    <col min="28" max="29" width="8.59765625" style="16" customWidth="1"/>
    <col min="30" max="30" width="8" style="16" customWidth="1"/>
    <col min="31" max="31" width="8.3984375" style="16" customWidth="1"/>
    <col min="32" max="38" width="8" style="16" customWidth="1"/>
    <col min="39" max="39" width="7.8984375" style="16" customWidth="1"/>
    <col min="40" max="40" width="7.59765625" style="16" customWidth="1"/>
    <col min="41" max="43" width="8" style="16" customWidth="1"/>
    <col min="44" max="45" width="8.59765625" style="16" customWidth="1"/>
    <col min="46" max="55" width="8" style="16" customWidth="1"/>
    <col min="56" max="56" width="8.3984375" style="16" customWidth="1"/>
    <col min="57" max="57" width="12.09765625" style="16" customWidth="1"/>
    <col min="58" max="59" width="8" style="16" customWidth="1"/>
    <col min="60" max="68" width="12.19921875" style="16" customWidth="1"/>
    <col min="69" max="16384" width="8.796875" style="26"/>
  </cols>
  <sheetData>
    <row r="1" spans="1:68" ht="33.75" customHeight="1">
      <c r="A1" s="5" t="s">
        <v>0</v>
      </c>
      <c r="B1" s="5" t="s">
        <v>1</v>
      </c>
      <c r="C1" s="17" t="s">
        <v>2</v>
      </c>
      <c r="D1" s="18"/>
      <c r="E1" s="18"/>
      <c r="F1" s="18"/>
      <c r="G1" s="18"/>
      <c r="H1" s="18"/>
      <c r="I1" s="18"/>
      <c r="J1" s="18"/>
      <c r="K1" s="18"/>
      <c r="L1" s="19"/>
      <c r="M1" s="20" t="s">
        <v>3</v>
      </c>
      <c r="N1" s="18"/>
      <c r="O1" s="18"/>
      <c r="P1" s="18"/>
      <c r="Q1" s="19"/>
      <c r="R1" s="19"/>
      <c r="S1" s="21" t="s">
        <v>4</v>
      </c>
      <c r="T1" s="20" t="s">
        <v>5</v>
      </c>
      <c r="U1" s="18"/>
      <c r="V1" s="18"/>
      <c r="W1" s="18"/>
      <c r="X1" s="18"/>
      <c r="Y1" s="18"/>
      <c r="Z1" s="18" t="s">
        <v>6</v>
      </c>
      <c r="AA1" s="19"/>
      <c r="AB1" s="20" t="s">
        <v>7</v>
      </c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9"/>
      <c r="AT1" s="20" t="s">
        <v>8</v>
      </c>
      <c r="AU1" s="22"/>
      <c r="AV1" s="20" t="s">
        <v>9</v>
      </c>
      <c r="AW1" s="23"/>
      <c r="AX1" s="23"/>
      <c r="AY1" s="23"/>
      <c r="AZ1" s="23"/>
      <c r="BA1" s="23"/>
      <c r="BB1" s="23"/>
      <c r="BC1" s="22"/>
      <c r="BD1" s="24"/>
      <c r="BE1" s="24"/>
      <c r="BF1" s="20" t="s">
        <v>10</v>
      </c>
      <c r="BG1" s="22"/>
      <c r="BH1" s="25" t="s">
        <v>11</v>
      </c>
    </row>
    <row r="2" spans="1:68">
      <c r="A2" s="1" t="s">
        <v>12</v>
      </c>
      <c r="B2" s="2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4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4" t="s">
        <v>24</v>
      </c>
      <c r="N2" s="4" t="s">
        <v>25</v>
      </c>
      <c r="O2" s="4" t="s">
        <v>26</v>
      </c>
      <c r="P2" s="4" t="s">
        <v>27</v>
      </c>
      <c r="Q2" s="3" t="s">
        <v>28</v>
      </c>
      <c r="R2" s="3" t="s">
        <v>29</v>
      </c>
      <c r="S2" s="3" t="s">
        <v>30</v>
      </c>
      <c r="T2" s="3" t="s">
        <v>31</v>
      </c>
      <c r="U2" s="3" t="s">
        <v>32</v>
      </c>
      <c r="V2" s="3" t="s">
        <v>33</v>
      </c>
      <c r="W2" s="4" t="s">
        <v>34</v>
      </c>
      <c r="X2" s="4" t="s">
        <v>35</v>
      </c>
      <c r="Y2" s="4" t="s">
        <v>36</v>
      </c>
      <c r="Z2" s="4" t="s">
        <v>37</v>
      </c>
      <c r="AA2" s="3" t="s">
        <v>38</v>
      </c>
      <c r="AB2" s="3" t="s">
        <v>39</v>
      </c>
      <c r="AC2" s="3" t="s">
        <v>40</v>
      </c>
      <c r="AD2" s="3" t="s">
        <v>41</v>
      </c>
      <c r="AE2" s="3" t="s">
        <v>42</v>
      </c>
      <c r="AF2" s="3" t="s">
        <v>43</v>
      </c>
      <c r="AG2" s="3" t="s">
        <v>44</v>
      </c>
      <c r="AH2" s="3" t="s">
        <v>45</v>
      </c>
      <c r="AI2" s="3" t="s">
        <v>46</v>
      </c>
      <c r="AJ2" s="4" t="s">
        <v>47</v>
      </c>
      <c r="AK2" s="3" t="s">
        <v>48</v>
      </c>
      <c r="AL2" s="3" t="s">
        <v>49</v>
      </c>
      <c r="AM2" s="3" t="s">
        <v>50</v>
      </c>
      <c r="AN2" s="3" t="s">
        <v>51</v>
      </c>
      <c r="AO2" s="4" t="s">
        <v>52</v>
      </c>
      <c r="AP2" s="4" t="s">
        <v>53</v>
      </c>
      <c r="AQ2" s="4" t="s">
        <v>54</v>
      </c>
      <c r="AR2" s="3" t="s">
        <v>55</v>
      </c>
      <c r="AS2" s="3" t="s">
        <v>56</v>
      </c>
      <c r="AT2" s="4" t="s">
        <v>57</v>
      </c>
      <c r="AU2" s="4" t="s">
        <v>58</v>
      </c>
      <c r="AV2" s="3" t="s">
        <v>59</v>
      </c>
      <c r="AW2" s="3" t="s">
        <v>60</v>
      </c>
      <c r="AX2" s="3" t="s">
        <v>61</v>
      </c>
      <c r="AY2" s="3" t="s">
        <v>62</v>
      </c>
      <c r="AZ2" s="3" t="s">
        <v>63</v>
      </c>
      <c r="BA2" s="3" t="s">
        <v>64</v>
      </c>
      <c r="BB2" s="4" t="s">
        <v>65</v>
      </c>
      <c r="BC2" s="3" t="s">
        <v>66</v>
      </c>
      <c r="BD2" s="3" t="s">
        <v>67</v>
      </c>
      <c r="BE2" s="3" t="s">
        <v>68</v>
      </c>
      <c r="BF2" s="3" t="s">
        <v>69</v>
      </c>
      <c r="BG2" s="3" t="s">
        <v>70</v>
      </c>
      <c r="BH2" s="5" t="s">
        <v>2</v>
      </c>
      <c r="BI2" s="5" t="s">
        <v>3</v>
      </c>
      <c r="BJ2" s="5" t="s">
        <v>4</v>
      </c>
      <c r="BK2" s="5" t="s">
        <v>5</v>
      </c>
      <c r="BL2" s="5" t="s">
        <v>6</v>
      </c>
      <c r="BM2" s="5" t="s">
        <v>7</v>
      </c>
      <c r="BN2" s="5" t="s">
        <v>8</v>
      </c>
      <c r="BO2" s="5" t="s">
        <v>9</v>
      </c>
      <c r="BP2" s="5" t="s">
        <v>10</v>
      </c>
    </row>
    <row r="3" spans="1:68">
      <c r="A3" s="6">
        <v>44564</v>
      </c>
      <c r="B3" s="7">
        <v>3117</v>
      </c>
      <c r="C3" s="8">
        <v>733.82</v>
      </c>
      <c r="D3" s="8"/>
      <c r="E3" s="8"/>
      <c r="F3" s="8"/>
      <c r="G3" s="8"/>
      <c r="H3" s="8"/>
      <c r="I3" s="8"/>
      <c r="J3" s="8"/>
      <c r="K3" s="8"/>
      <c r="L3" s="8"/>
      <c r="M3" s="8">
        <v>1.76</v>
      </c>
      <c r="N3" s="8"/>
      <c r="O3" s="8"/>
      <c r="P3" s="8"/>
      <c r="Q3" s="8"/>
      <c r="R3" s="8"/>
      <c r="S3" s="8">
        <v>2.72</v>
      </c>
      <c r="T3" s="8">
        <v>7.35</v>
      </c>
      <c r="U3" s="8"/>
      <c r="V3" s="8"/>
      <c r="W3" s="8"/>
      <c r="X3" s="8"/>
      <c r="Y3" s="8"/>
      <c r="Z3" s="8"/>
      <c r="AA3" s="8"/>
      <c r="AB3" s="8"/>
      <c r="AC3" s="8">
        <v>2.94</v>
      </c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>
        <v>463.24</v>
      </c>
      <c r="AU3" s="8"/>
      <c r="AV3" s="8">
        <v>18.329999999999998</v>
      </c>
      <c r="AW3" s="8"/>
      <c r="AX3" s="8"/>
      <c r="AY3" s="8"/>
      <c r="AZ3" s="8"/>
      <c r="BA3" s="8"/>
      <c r="BB3" s="8"/>
      <c r="BC3" s="8"/>
      <c r="BD3" s="8"/>
      <c r="BE3" s="8"/>
      <c r="BF3" s="8">
        <v>29.48</v>
      </c>
      <c r="BG3" s="8">
        <v>35.24</v>
      </c>
      <c r="BH3" s="9">
        <f>SUM(C3:L3)</f>
        <v>733.82</v>
      </c>
      <c r="BI3" s="9">
        <f>SUM(M3:R3)</f>
        <v>1.76</v>
      </c>
      <c r="BJ3" s="9">
        <f>SUM(S3)</f>
        <v>2.72</v>
      </c>
      <c r="BK3" s="9">
        <f>SUM(T3:Y3)</f>
        <v>7.35</v>
      </c>
      <c r="BL3" s="9">
        <f>SUM(Z3:AA3)</f>
        <v>0</v>
      </c>
      <c r="BM3" s="9">
        <f>SUM(AB3:AS3)</f>
        <v>2.94</v>
      </c>
      <c r="BN3" s="9">
        <f>SUM(AT3:AU3)</f>
        <v>463.24</v>
      </c>
      <c r="BO3" s="9">
        <f>SUM(AV3:BE3)</f>
        <v>18.329999999999998</v>
      </c>
      <c r="BP3" s="9">
        <f>SUM(BF3)</f>
        <v>29.48</v>
      </c>
    </row>
    <row r="4" spans="1:68">
      <c r="A4" s="6">
        <v>44564</v>
      </c>
      <c r="B4" s="7">
        <v>3307</v>
      </c>
      <c r="C4" s="8"/>
      <c r="D4" s="8">
        <f>1123.68+973.22</f>
        <v>2096.9</v>
      </c>
      <c r="E4" s="8"/>
      <c r="F4" s="8"/>
      <c r="G4" s="8"/>
      <c r="H4" s="8"/>
      <c r="I4" s="8"/>
      <c r="J4" s="8"/>
      <c r="K4" s="8"/>
      <c r="L4" s="8"/>
      <c r="M4" s="8">
        <f>1.46+1.45</f>
        <v>2.91</v>
      </c>
      <c r="N4" s="8"/>
      <c r="O4" s="8"/>
      <c r="P4" s="8"/>
      <c r="Q4" s="8"/>
      <c r="R4" s="8"/>
      <c r="S4" s="8">
        <f>6.58+7.42</f>
        <v>14</v>
      </c>
      <c r="T4" s="8">
        <f>9.75+11.24</f>
        <v>20.990000000000002</v>
      </c>
      <c r="U4" s="8"/>
      <c r="V4" s="8"/>
      <c r="W4" s="8"/>
      <c r="X4" s="8"/>
      <c r="Y4" s="8"/>
      <c r="Z4" s="8"/>
      <c r="AA4" s="8"/>
      <c r="AB4" s="8"/>
      <c r="AC4" s="8">
        <f>6.75+5.84</f>
        <v>12.59</v>
      </c>
      <c r="AD4" s="8"/>
      <c r="AE4" s="8"/>
      <c r="AF4" s="8"/>
      <c r="AG4" s="8">
        <f>11.27+9.77</f>
        <v>21.04</v>
      </c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>
        <f>487.69+563.39</f>
        <v>1051.08</v>
      </c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>
        <f>34.98+40.43</f>
        <v>75.41</v>
      </c>
      <c r="BH4" s="9">
        <f t="shared" ref="BH4:BH67" si="0">SUM(C4:L4)</f>
        <v>2096.9</v>
      </c>
      <c r="BI4" s="9">
        <f t="shared" ref="BI4:BI67" si="1">SUM(M4:R4)</f>
        <v>2.91</v>
      </c>
      <c r="BJ4" s="9">
        <f t="shared" ref="BJ4:BJ67" si="2">SUM(S4)</f>
        <v>14</v>
      </c>
      <c r="BK4" s="9">
        <f t="shared" ref="BK4:BK67" si="3">SUM(T4:Y4)</f>
        <v>20.990000000000002</v>
      </c>
      <c r="BL4" s="9">
        <f t="shared" ref="BL4:BL67" si="4">SUM(Z4:AA4)</f>
        <v>0</v>
      </c>
      <c r="BM4" s="9">
        <f t="shared" ref="BM4:BM67" si="5">SUM(AB4:AS4)</f>
        <v>33.629999999999995</v>
      </c>
      <c r="BN4" s="9">
        <f t="shared" ref="BN4:BN67" si="6">SUM(AT4:AU4)</f>
        <v>1051.08</v>
      </c>
      <c r="BO4" s="9">
        <f t="shared" ref="BO4:BO67" si="7">SUM(AV4:BE4)</f>
        <v>0</v>
      </c>
      <c r="BP4" s="9">
        <f t="shared" ref="BP4:BP67" si="8">SUM(BF4)</f>
        <v>0</v>
      </c>
    </row>
    <row r="5" spans="1:68">
      <c r="A5" s="6">
        <v>44564</v>
      </c>
      <c r="B5" s="7">
        <v>3083</v>
      </c>
      <c r="C5" s="8"/>
      <c r="D5" s="8">
        <v>706.62</v>
      </c>
      <c r="E5" s="8"/>
      <c r="F5" s="8"/>
      <c r="G5" s="8"/>
      <c r="H5" s="8"/>
      <c r="I5" s="8">
        <v>1643.51</v>
      </c>
      <c r="J5" s="8"/>
      <c r="K5" s="8"/>
      <c r="L5" s="8"/>
      <c r="M5" s="8"/>
      <c r="N5" s="8">
        <v>16.2</v>
      </c>
      <c r="O5" s="8"/>
      <c r="P5" s="8"/>
      <c r="Q5" s="8"/>
      <c r="R5" s="8"/>
      <c r="S5" s="8">
        <v>1.64</v>
      </c>
      <c r="T5" s="8">
        <v>18.82</v>
      </c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>
        <v>9.4499999999999993</v>
      </c>
      <c r="AN5" s="8">
        <v>32.83</v>
      </c>
      <c r="AO5" s="8"/>
      <c r="AP5" s="8"/>
      <c r="AQ5" s="8"/>
      <c r="AR5" s="8">
        <v>59.3</v>
      </c>
      <c r="AS5" s="8"/>
      <c r="AT5" s="8">
        <v>1065.55</v>
      </c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>
        <v>84.11</v>
      </c>
      <c r="BH5" s="9">
        <f t="shared" si="0"/>
        <v>2350.13</v>
      </c>
      <c r="BI5" s="9">
        <f t="shared" si="1"/>
        <v>16.2</v>
      </c>
      <c r="BJ5" s="9">
        <f t="shared" si="2"/>
        <v>1.64</v>
      </c>
      <c r="BK5" s="9">
        <f t="shared" si="3"/>
        <v>18.82</v>
      </c>
      <c r="BL5" s="9">
        <f t="shared" si="4"/>
        <v>0</v>
      </c>
      <c r="BM5" s="9">
        <f t="shared" si="5"/>
        <v>101.58</v>
      </c>
      <c r="BN5" s="9">
        <f t="shared" si="6"/>
        <v>1065.55</v>
      </c>
      <c r="BO5" s="9">
        <f t="shared" si="7"/>
        <v>0</v>
      </c>
      <c r="BP5" s="9">
        <f t="shared" si="8"/>
        <v>0</v>
      </c>
    </row>
    <row r="6" spans="1:68">
      <c r="A6" s="6">
        <v>44564</v>
      </c>
      <c r="B6" s="7">
        <v>3106</v>
      </c>
      <c r="C6" s="8">
        <v>4125.6099999999997</v>
      </c>
      <c r="D6" s="8"/>
      <c r="E6" s="8"/>
      <c r="F6" s="8"/>
      <c r="G6" s="8"/>
      <c r="H6" s="8"/>
      <c r="I6" s="8"/>
      <c r="J6" s="8"/>
      <c r="K6" s="8"/>
      <c r="L6" s="8"/>
      <c r="M6" s="8">
        <v>11.15</v>
      </c>
      <c r="N6" s="8"/>
      <c r="O6" s="8"/>
      <c r="P6" s="8"/>
      <c r="Q6" s="8"/>
      <c r="R6" s="8"/>
      <c r="S6" s="8">
        <v>13.22</v>
      </c>
      <c r="T6" s="8">
        <v>52.41</v>
      </c>
      <c r="U6" s="8"/>
      <c r="V6" s="8"/>
      <c r="W6" s="8"/>
      <c r="X6" s="8"/>
      <c r="Y6" s="8"/>
      <c r="Z6" s="8"/>
      <c r="AA6" s="8"/>
      <c r="AB6" s="8"/>
      <c r="AC6" s="8">
        <v>16.510000000000002</v>
      </c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>
        <v>2360.73</v>
      </c>
      <c r="AU6" s="8"/>
      <c r="AV6" s="8"/>
      <c r="AW6" s="8"/>
      <c r="AX6" s="8">
        <v>5.17</v>
      </c>
      <c r="AY6" s="8"/>
      <c r="AZ6" s="8"/>
      <c r="BA6" s="8"/>
      <c r="BB6" s="8"/>
      <c r="BC6" s="8"/>
      <c r="BD6" s="8"/>
      <c r="BE6" s="8"/>
      <c r="BF6" s="8"/>
      <c r="BG6" s="8">
        <v>177.38</v>
      </c>
      <c r="BH6" s="9">
        <f t="shared" si="0"/>
        <v>4125.6099999999997</v>
      </c>
      <c r="BI6" s="9">
        <f t="shared" si="1"/>
        <v>11.15</v>
      </c>
      <c r="BJ6" s="9">
        <f t="shared" si="2"/>
        <v>13.22</v>
      </c>
      <c r="BK6" s="9">
        <f t="shared" si="3"/>
        <v>52.41</v>
      </c>
      <c r="BL6" s="9">
        <f t="shared" si="4"/>
        <v>0</v>
      </c>
      <c r="BM6" s="9">
        <f t="shared" si="5"/>
        <v>16.510000000000002</v>
      </c>
      <c r="BN6" s="9">
        <f t="shared" si="6"/>
        <v>2360.73</v>
      </c>
      <c r="BO6" s="9">
        <f t="shared" si="7"/>
        <v>5.17</v>
      </c>
      <c r="BP6" s="9">
        <f t="shared" si="8"/>
        <v>0</v>
      </c>
    </row>
    <row r="7" spans="1:68">
      <c r="A7" s="6">
        <v>44564</v>
      </c>
      <c r="B7" s="7">
        <v>3029</v>
      </c>
      <c r="C7" s="8"/>
      <c r="D7" s="8">
        <v>243.47</v>
      </c>
      <c r="E7" s="8"/>
      <c r="F7" s="8">
        <v>172.48</v>
      </c>
      <c r="G7" s="8"/>
      <c r="H7" s="8"/>
      <c r="I7" s="8">
        <v>1019.14</v>
      </c>
      <c r="J7" s="8"/>
      <c r="K7" s="8"/>
      <c r="L7" s="8"/>
      <c r="M7" s="8"/>
      <c r="N7" s="8">
        <v>10.89</v>
      </c>
      <c r="O7" s="8"/>
      <c r="P7" s="8"/>
      <c r="Q7" s="8"/>
      <c r="R7" s="8"/>
      <c r="S7" s="8">
        <v>0.85</v>
      </c>
      <c r="T7" s="8"/>
      <c r="U7" s="8"/>
      <c r="V7" s="8"/>
      <c r="W7" s="8">
        <v>14.18</v>
      </c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>
        <v>5.04</v>
      </c>
      <c r="AN7" s="8">
        <v>7.14</v>
      </c>
      <c r="AO7" s="8"/>
      <c r="AP7" s="8"/>
      <c r="AQ7" s="8"/>
      <c r="AR7" s="8">
        <v>42.53</v>
      </c>
      <c r="AS7" s="8"/>
      <c r="AT7" s="8">
        <v>544.79999999999995</v>
      </c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>
        <v>37.89</v>
      </c>
      <c r="BH7" s="9">
        <f t="shared" si="0"/>
        <v>1435.09</v>
      </c>
      <c r="BI7" s="9">
        <f t="shared" si="1"/>
        <v>10.89</v>
      </c>
      <c r="BJ7" s="9">
        <f t="shared" si="2"/>
        <v>0.85</v>
      </c>
      <c r="BK7" s="9">
        <f t="shared" si="3"/>
        <v>14.18</v>
      </c>
      <c r="BL7" s="9">
        <f t="shared" si="4"/>
        <v>0</v>
      </c>
      <c r="BM7" s="9">
        <f t="shared" si="5"/>
        <v>54.71</v>
      </c>
      <c r="BN7" s="9">
        <f t="shared" si="6"/>
        <v>544.79999999999995</v>
      </c>
      <c r="BO7" s="9">
        <f t="shared" si="7"/>
        <v>0</v>
      </c>
      <c r="BP7" s="9">
        <f t="shared" si="8"/>
        <v>0</v>
      </c>
    </row>
    <row r="8" spans="1:68">
      <c r="A8" s="6">
        <v>44564</v>
      </c>
      <c r="B8" s="7">
        <v>3017</v>
      </c>
      <c r="C8" s="8"/>
      <c r="D8" s="8">
        <v>481.31</v>
      </c>
      <c r="E8" s="8"/>
      <c r="F8" s="8"/>
      <c r="G8" s="8"/>
      <c r="H8" s="8"/>
      <c r="I8" s="8">
        <v>665.33</v>
      </c>
      <c r="J8" s="8"/>
      <c r="K8" s="8"/>
      <c r="L8" s="8"/>
      <c r="M8" s="8"/>
      <c r="N8" s="8">
        <v>8.0299999999999994</v>
      </c>
      <c r="O8" s="8"/>
      <c r="P8" s="8"/>
      <c r="Q8" s="8"/>
      <c r="R8" s="8"/>
      <c r="S8" s="8">
        <v>0.8</v>
      </c>
      <c r="T8" s="8"/>
      <c r="U8" s="8"/>
      <c r="V8" s="8"/>
      <c r="W8" s="8">
        <v>8.73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>
        <v>4.7</v>
      </c>
      <c r="AN8" s="8">
        <v>11.71</v>
      </c>
      <c r="AO8" s="8"/>
      <c r="AP8" s="8"/>
      <c r="AQ8" s="8"/>
      <c r="AR8" s="8">
        <v>46.04</v>
      </c>
      <c r="AS8" s="8"/>
      <c r="AT8" s="8">
        <v>492.75</v>
      </c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>
        <v>35.72</v>
      </c>
      <c r="BH8" s="9">
        <f t="shared" si="0"/>
        <v>1146.6400000000001</v>
      </c>
      <c r="BI8" s="9">
        <f t="shared" si="1"/>
        <v>8.0299999999999994</v>
      </c>
      <c r="BJ8" s="9">
        <f t="shared" si="2"/>
        <v>0.8</v>
      </c>
      <c r="BK8" s="9">
        <f t="shared" si="3"/>
        <v>8.73</v>
      </c>
      <c r="BL8" s="9">
        <f t="shared" si="4"/>
        <v>0</v>
      </c>
      <c r="BM8" s="9">
        <f t="shared" si="5"/>
        <v>62.45</v>
      </c>
      <c r="BN8" s="9">
        <f t="shared" si="6"/>
        <v>492.75</v>
      </c>
      <c r="BO8" s="9">
        <f t="shared" si="7"/>
        <v>0</v>
      </c>
      <c r="BP8" s="9">
        <f t="shared" si="8"/>
        <v>0</v>
      </c>
    </row>
    <row r="9" spans="1:68">
      <c r="A9" s="6">
        <v>44564</v>
      </c>
      <c r="B9" s="7">
        <v>3134</v>
      </c>
      <c r="C9" s="8">
        <v>1047.5999999999999</v>
      </c>
      <c r="D9" s="8">
        <v>146.46</v>
      </c>
      <c r="E9" s="8"/>
      <c r="F9" s="8"/>
      <c r="G9" s="8"/>
      <c r="H9" s="8">
        <v>494.91</v>
      </c>
      <c r="I9" s="8"/>
      <c r="J9" s="8"/>
      <c r="K9" s="8"/>
      <c r="L9" s="8"/>
      <c r="M9" s="8">
        <v>3.37</v>
      </c>
      <c r="N9" s="8"/>
      <c r="O9" s="8"/>
      <c r="P9" s="8"/>
      <c r="Q9" s="8"/>
      <c r="R9" s="8"/>
      <c r="S9" s="8">
        <v>6.75</v>
      </c>
      <c r="T9" s="8">
        <v>10.29</v>
      </c>
      <c r="U9" s="8">
        <v>8.81</v>
      </c>
      <c r="V9" s="8"/>
      <c r="W9" s="8"/>
      <c r="X9" s="8"/>
      <c r="Y9" s="8"/>
      <c r="Z9" s="8"/>
      <c r="AA9" s="8"/>
      <c r="AB9" s="8"/>
      <c r="AC9" s="8">
        <v>5.87</v>
      </c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>
        <v>1034.33</v>
      </c>
      <c r="AU9" s="8"/>
      <c r="AV9" s="8"/>
      <c r="AW9" s="8"/>
      <c r="AX9" s="8"/>
      <c r="AY9" s="8">
        <v>14.72</v>
      </c>
      <c r="AZ9" s="8"/>
      <c r="BA9" s="8"/>
      <c r="BB9" s="8"/>
      <c r="BC9" s="8"/>
      <c r="BD9" s="8"/>
      <c r="BE9" s="8"/>
      <c r="BF9" s="8">
        <v>66.099999999999994</v>
      </c>
      <c r="BG9" s="8">
        <v>78.08</v>
      </c>
      <c r="BH9" s="9">
        <f t="shared" si="0"/>
        <v>1688.97</v>
      </c>
      <c r="BI9" s="9">
        <f t="shared" si="1"/>
        <v>3.37</v>
      </c>
      <c r="BJ9" s="9">
        <f t="shared" si="2"/>
        <v>6.75</v>
      </c>
      <c r="BK9" s="9">
        <f t="shared" si="3"/>
        <v>19.100000000000001</v>
      </c>
      <c r="BL9" s="9">
        <f t="shared" si="4"/>
        <v>0</v>
      </c>
      <c r="BM9" s="9">
        <f t="shared" si="5"/>
        <v>5.87</v>
      </c>
      <c r="BN9" s="9">
        <f t="shared" si="6"/>
        <v>1034.33</v>
      </c>
      <c r="BO9" s="9">
        <f t="shared" si="7"/>
        <v>14.72</v>
      </c>
      <c r="BP9" s="9">
        <f t="shared" si="8"/>
        <v>66.099999999999994</v>
      </c>
    </row>
    <row r="10" spans="1:68">
      <c r="A10" s="6">
        <v>44564</v>
      </c>
      <c r="B10" s="7">
        <v>3141</v>
      </c>
      <c r="C10" s="8">
        <v>2406.81</v>
      </c>
      <c r="D10" s="8">
        <v>425.79</v>
      </c>
      <c r="E10" s="8"/>
      <c r="F10" s="8"/>
      <c r="G10" s="8"/>
      <c r="H10" s="8"/>
      <c r="I10" s="8"/>
      <c r="J10" s="8"/>
      <c r="K10" s="8"/>
      <c r="L10" s="8"/>
      <c r="M10" s="8">
        <v>8.49</v>
      </c>
      <c r="N10" s="8"/>
      <c r="O10" s="8"/>
      <c r="P10" s="8"/>
      <c r="Q10" s="8"/>
      <c r="R10" s="8"/>
      <c r="S10" s="8">
        <v>13.35</v>
      </c>
      <c r="T10" s="8">
        <v>21.31</v>
      </c>
      <c r="U10" s="8">
        <v>21.32</v>
      </c>
      <c r="V10" s="8"/>
      <c r="W10" s="8"/>
      <c r="X10" s="8"/>
      <c r="Y10" s="8"/>
      <c r="Z10" s="8"/>
      <c r="AA10" s="8"/>
      <c r="AB10" s="8"/>
      <c r="AC10" s="8">
        <v>11.37</v>
      </c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>
        <v>1878.49</v>
      </c>
      <c r="AU10" s="8"/>
      <c r="AV10" s="8"/>
      <c r="AW10" s="8"/>
      <c r="AX10" s="8"/>
      <c r="AY10" s="8"/>
      <c r="AZ10" s="8"/>
      <c r="BA10" s="8">
        <v>76.22</v>
      </c>
      <c r="BB10" s="8"/>
      <c r="BC10" s="8"/>
      <c r="BD10" s="8"/>
      <c r="BE10" s="8"/>
      <c r="BF10" s="8">
        <v>198.81</v>
      </c>
      <c r="BG10" s="8">
        <v>147.91999999999999</v>
      </c>
      <c r="BH10" s="9">
        <f t="shared" si="0"/>
        <v>2832.6</v>
      </c>
      <c r="BI10" s="9">
        <f t="shared" si="1"/>
        <v>8.49</v>
      </c>
      <c r="BJ10" s="9">
        <f t="shared" si="2"/>
        <v>13.35</v>
      </c>
      <c r="BK10" s="9">
        <f t="shared" si="3"/>
        <v>42.629999999999995</v>
      </c>
      <c r="BL10" s="9">
        <f t="shared" si="4"/>
        <v>0</v>
      </c>
      <c r="BM10" s="9">
        <f t="shared" si="5"/>
        <v>11.37</v>
      </c>
      <c r="BN10" s="9">
        <f t="shared" si="6"/>
        <v>1878.49</v>
      </c>
      <c r="BO10" s="9">
        <f t="shared" si="7"/>
        <v>76.22</v>
      </c>
      <c r="BP10" s="9">
        <f t="shared" si="8"/>
        <v>198.81</v>
      </c>
    </row>
    <row r="11" spans="1:68">
      <c r="A11" s="6">
        <v>44564</v>
      </c>
      <c r="B11" s="7">
        <v>3016</v>
      </c>
      <c r="C11" s="8"/>
      <c r="D11" s="8">
        <v>2250.35</v>
      </c>
      <c r="E11" s="8"/>
      <c r="F11" s="8"/>
      <c r="G11" s="8"/>
      <c r="H11" s="8"/>
      <c r="I11" s="8">
        <v>2077.83</v>
      </c>
      <c r="J11" s="8"/>
      <c r="K11" s="8"/>
      <c r="L11" s="8"/>
      <c r="M11" s="8"/>
      <c r="N11" s="8">
        <v>25.98</v>
      </c>
      <c r="O11" s="8"/>
      <c r="P11" s="8"/>
      <c r="Q11" s="8"/>
      <c r="R11" s="8"/>
      <c r="S11" s="8">
        <v>3.03</v>
      </c>
      <c r="T11" s="8">
        <v>43.31</v>
      </c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>
        <v>17.239999999999998</v>
      </c>
      <c r="AN11" s="8">
        <v>52.19</v>
      </c>
      <c r="AO11" s="8"/>
      <c r="AP11" s="8"/>
      <c r="AQ11" s="8"/>
      <c r="AR11" s="8">
        <v>108.4</v>
      </c>
      <c r="AS11" s="8"/>
      <c r="AT11" s="8">
        <v>1608.86</v>
      </c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>
        <v>117.82</v>
      </c>
      <c r="BH11" s="9">
        <f t="shared" si="0"/>
        <v>4328.18</v>
      </c>
      <c r="BI11" s="9">
        <f t="shared" si="1"/>
        <v>25.98</v>
      </c>
      <c r="BJ11" s="9">
        <f t="shared" si="2"/>
        <v>3.03</v>
      </c>
      <c r="BK11" s="9">
        <f t="shared" si="3"/>
        <v>43.31</v>
      </c>
      <c r="BL11" s="9">
        <f t="shared" si="4"/>
        <v>0</v>
      </c>
      <c r="BM11" s="9">
        <f t="shared" si="5"/>
        <v>177.82999999999998</v>
      </c>
      <c r="BN11" s="9">
        <f t="shared" si="6"/>
        <v>1608.86</v>
      </c>
      <c r="BO11" s="9">
        <f t="shared" si="7"/>
        <v>0</v>
      </c>
      <c r="BP11" s="9">
        <f t="shared" si="8"/>
        <v>0</v>
      </c>
    </row>
    <row r="12" spans="1:68">
      <c r="A12" s="6">
        <v>44565</v>
      </c>
      <c r="B12" s="7">
        <v>3203</v>
      </c>
      <c r="C12" s="8">
        <v>869.92</v>
      </c>
      <c r="D12" s="8"/>
      <c r="E12" s="8">
        <v>372.83</v>
      </c>
      <c r="F12" s="8"/>
      <c r="G12" s="8"/>
      <c r="H12" s="8"/>
      <c r="I12" s="8"/>
      <c r="J12" s="8"/>
      <c r="K12" s="8"/>
      <c r="L12" s="8"/>
      <c r="M12" s="8"/>
      <c r="N12" s="8"/>
      <c r="O12" s="8">
        <v>3.74</v>
      </c>
      <c r="P12" s="8"/>
      <c r="Q12" s="8"/>
      <c r="R12" s="8"/>
      <c r="S12" s="8">
        <v>5.23</v>
      </c>
      <c r="T12" s="8"/>
      <c r="U12" s="8">
        <v>15.47</v>
      </c>
      <c r="V12" s="8"/>
      <c r="W12" s="8"/>
      <c r="X12" s="8"/>
      <c r="Y12" s="8"/>
      <c r="Z12" s="8">
        <v>196.43</v>
      </c>
      <c r="AA12" s="8">
        <v>152.88999999999999</v>
      </c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>
        <v>466.35</v>
      </c>
      <c r="AU12" s="8">
        <v>232.99</v>
      </c>
      <c r="AV12" s="8"/>
      <c r="AW12" s="8"/>
      <c r="AX12" s="8"/>
      <c r="AY12" s="8"/>
      <c r="AZ12" s="8"/>
      <c r="BA12" s="8"/>
      <c r="BB12" s="8"/>
      <c r="BC12" s="8">
        <v>3.24</v>
      </c>
      <c r="BD12" s="8"/>
      <c r="BE12" s="8"/>
      <c r="BF12" s="8"/>
      <c r="BG12" s="8">
        <v>45.43</v>
      </c>
      <c r="BH12" s="9">
        <f t="shared" si="0"/>
        <v>1242.75</v>
      </c>
      <c r="BI12" s="9">
        <f t="shared" si="1"/>
        <v>3.74</v>
      </c>
      <c r="BJ12" s="9">
        <f t="shared" si="2"/>
        <v>5.23</v>
      </c>
      <c r="BK12" s="9">
        <f t="shared" si="3"/>
        <v>15.47</v>
      </c>
      <c r="BL12" s="9">
        <f t="shared" si="4"/>
        <v>349.32</v>
      </c>
      <c r="BM12" s="9">
        <f t="shared" si="5"/>
        <v>0</v>
      </c>
      <c r="BN12" s="9">
        <f t="shared" si="6"/>
        <v>699.34</v>
      </c>
      <c r="BO12" s="9">
        <f t="shared" si="7"/>
        <v>3.24</v>
      </c>
      <c r="BP12" s="9">
        <f t="shared" si="8"/>
        <v>0</v>
      </c>
    </row>
    <row r="13" spans="1:68">
      <c r="A13" s="6">
        <v>44565</v>
      </c>
      <c r="B13" s="7">
        <v>3020</v>
      </c>
      <c r="C13" s="8"/>
      <c r="D13" s="8">
        <v>309.57</v>
      </c>
      <c r="E13" s="8"/>
      <c r="F13" s="8"/>
      <c r="G13" s="8"/>
      <c r="H13" s="8"/>
      <c r="I13" s="8">
        <v>1748.72</v>
      </c>
      <c r="J13" s="8"/>
      <c r="K13" s="8"/>
      <c r="L13" s="8"/>
      <c r="M13" s="8"/>
      <c r="N13" s="8">
        <v>12.35</v>
      </c>
      <c r="O13" s="8"/>
      <c r="P13" s="8"/>
      <c r="Q13" s="8"/>
      <c r="R13" s="8"/>
      <c r="S13" s="8">
        <v>3.7</v>
      </c>
      <c r="T13" s="8"/>
      <c r="U13" s="8"/>
      <c r="V13" s="8"/>
      <c r="W13" s="8">
        <v>20.92</v>
      </c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>
        <v>20.51</v>
      </c>
      <c r="AN13" s="8"/>
      <c r="AO13" s="8"/>
      <c r="AP13" s="8"/>
      <c r="AQ13" s="8"/>
      <c r="AR13" s="8"/>
      <c r="AS13" s="8">
        <v>52.68</v>
      </c>
      <c r="AT13" s="8">
        <v>1012.14</v>
      </c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>
        <v>74.040000000000006</v>
      </c>
      <c r="BH13" s="9">
        <f t="shared" si="0"/>
        <v>2058.29</v>
      </c>
      <c r="BI13" s="9">
        <f t="shared" si="1"/>
        <v>12.35</v>
      </c>
      <c r="BJ13" s="9">
        <f t="shared" si="2"/>
        <v>3.7</v>
      </c>
      <c r="BK13" s="9">
        <f t="shared" si="3"/>
        <v>20.92</v>
      </c>
      <c r="BL13" s="9">
        <f t="shared" si="4"/>
        <v>0</v>
      </c>
      <c r="BM13" s="9">
        <f t="shared" si="5"/>
        <v>73.19</v>
      </c>
      <c r="BN13" s="9">
        <f t="shared" si="6"/>
        <v>1012.14</v>
      </c>
      <c r="BO13" s="9">
        <f t="shared" si="7"/>
        <v>0</v>
      </c>
      <c r="BP13" s="9">
        <f t="shared" si="8"/>
        <v>0</v>
      </c>
    </row>
    <row r="14" spans="1:68">
      <c r="A14" s="6">
        <v>44565</v>
      </c>
      <c r="B14" s="7">
        <v>3021</v>
      </c>
      <c r="C14" s="8"/>
      <c r="D14" s="8">
        <v>337.05</v>
      </c>
      <c r="E14" s="8"/>
      <c r="F14" s="8"/>
      <c r="G14" s="8"/>
      <c r="H14" s="8"/>
      <c r="I14" s="8">
        <v>628.09</v>
      </c>
      <c r="J14" s="8"/>
      <c r="K14" s="8"/>
      <c r="L14" s="8"/>
      <c r="M14" s="8"/>
      <c r="N14" s="8">
        <v>5.12</v>
      </c>
      <c r="O14" s="8"/>
      <c r="P14" s="8"/>
      <c r="Q14" s="8"/>
      <c r="R14" s="8"/>
      <c r="S14" s="8">
        <v>1.74</v>
      </c>
      <c r="T14" s="8"/>
      <c r="U14" s="8"/>
      <c r="V14" s="8"/>
      <c r="W14" s="8">
        <v>9.6</v>
      </c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>
        <v>9.65</v>
      </c>
      <c r="AN14" s="8"/>
      <c r="AO14" s="8"/>
      <c r="AP14" s="8"/>
      <c r="AQ14" s="8"/>
      <c r="AR14" s="8"/>
      <c r="AS14" s="8">
        <v>24.22</v>
      </c>
      <c r="AT14" s="8">
        <v>455.68</v>
      </c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>
        <v>34.29</v>
      </c>
      <c r="BH14" s="9">
        <f t="shared" si="0"/>
        <v>965.1400000000001</v>
      </c>
      <c r="BI14" s="9">
        <f t="shared" si="1"/>
        <v>5.12</v>
      </c>
      <c r="BJ14" s="9">
        <f t="shared" si="2"/>
        <v>1.74</v>
      </c>
      <c r="BK14" s="9">
        <f t="shared" si="3"/>
        <v>9.6</v>
      </c>
      <c r="BL14" s="9">
        <f t="shared" si="4"/>
        <v>0</v>
      </c>
      <c r="BM14" s="9">
        <f t="shared" si="5"/>
        <v>33.869999999999997</v>
      </c>
      <c r="BN14" s="9">
        <f t="shared" si="6"/>
        <v>455.68</v>
      </c>
      <c r="BO14" s="9">
        <f t="shared" si="7"/>
        <v>0</v>
      </c>
      <c r="BP14" s="9">
        <f t="shared" si="8"/>
        <v>0</v>
      </c>
    </row>
    <row r="15" spans="1:68">
      <c r="A15" s="6">
        <v>44565</v>
      </c>
      <c r="B15" s="7">
        <v>3079</v>
      </c>
      <c r="C15" s="8"/>
      <c r="D15" s="8"/>
      <c r="E15" s="8"/>
      <c r="F15" s="8">
        <v>324.45</v>
      </c>
      <c r="G15" s="8"/>
      <c r="H15" s="8"/>
      <c r="I15" s="8">
        <v>2623.77</v>
      </c>
      <c r="J15" s="8"/>
      <c r="K15" s="8"/>
      <c r="L15" s="8"/>
      <c r="M15" s="8"/>
      <c r="N15" s="8">
        <v>22.13</v>
      </c>
      <c r="O15" s="8"/>
      <c r="P15" s="8"/>
      <c r="Q15" s="8"/>
      <c r="R15" s="8"/>
      <c r="S15" s="8">
        <v>1.17</v>
      </c>
      <c r="T15" s="8">
        <v>29.48</v>
      </c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>
        <v>11.99</v>
      </c>
      <c r="AN15" s="8">
        <v>30</v>
      </c>
      <c r="AO15" s="8"/>
      <c r="AP15" s="8"/>
      <c r="AQ15" s="8"/>
      <c r="AR15" s="8">
        <v>74.05</v>
      </c>
      <c r="AS15" s="8"/>
      <c r="AT15" s="8">
        <v>1122.6600000000001</v>
      </c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>
        <v>81.05</v>
      </c>
      <c r="BH15" s="9">
        <f t="shared" si="0"/>
        <v>2948.22</v>
      </c>
      <c r="BI15" s="9">
        <f t="shared" si="1"/>
        <v>22.13</v>
      </c>
      <c r="BJ15" s="9">
        <f t="shared" si="2"/>
        <v>1.17</v>
      </c>
      <c r="BK15" s="9">
        <f t="shared" si="3"/>
        <v>29.48</v>
      </c>
      <c r="BL15" s="9">
        <f t="shared" si="4"/>
        <v>0</v>
      </c>
      <c r="BM15" s="9">
        <f t="shared" si="5"/>
        <v>116.03999999999999</v>
      </c>
      <c r="BN15" s="9">
        <f t="shared" si="6"/>
        <v>1122.6600000000001</v>
      </c>
      <c r="BO15" s="9">
        <f t="shared" si="7"/>
        <v>0</v>
      </c>
      <c r="BP15" s="9">
        <f t="shared" si="8"/>
        <v>0</v>
      </c>
    </row>
    <row r="16" spans="1:68">
      <c r="A16" s="6">
        <v>44565</v>
      </c>
      <c r="B16" s="7">
        <v>3602</v>
      </c>
      <c r="C16" s="8">
        <v>551.17999999999995</v>
      </c>
      <c r="D16" s="8"/>
      <c r="E16" s="8"/>
      <c r="F16" s="8"/>
      <c r="G16" s="8">
        <v>845.6</v>
      </c>
      <c r="H16" s="8"/>
      <c r="I16" s="8"/>
      <c r="J16" s="8"/>
      <c r="K16" s="8"/>
      <c r="L16" s="8"/>
      <c r="M16" s="8">
        <v>0.22</v>
      </c>
      <c r="N16" s="8"/>
      <c r="O16" s="8"/>
      <c r="P16" s="8"/>
      <c r="Q16" s="8"/>
      <c r="R16" s="8"/>
      <c r="S16" s="8">
        <v>7.32</v>
      </c>
      <c r="T16" s="8"/>
      <c r="U16" s="8"/>
      <c r="V16" s="8">
        <v>13.7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>
        <v>588.04</v>
      </c>
      <c r="AU16" s="8"/>
      <c r="AV16" s="8"/>
      <c r="AW16" s="8">
        <v>36.54</v>
      </c>
      <c r="AX16" s="8"/>
      <c r="AY16" s="8"/>
      <c r="AZ16" s="8"/>
      <c r="BA16" s="8"/>
      <c r="BB16" s="8"/>
      <c r="BC16" s="8"/>
      <c r="BD16" s="8"/>
      <c r="BE16" s="8"/>
      <c r="BF16" s="8">
        <v>45.32</v>
      </c>
      <c r="BG16" s="8">
        <v>44.22</v>
      </c>
      <c r="BH16" s="9">
        <f t="shared" si="0"/>
        <v>1396.78</v>
      </c>
      <c r="BI16" s="9">
        <f t="shared" si="1"/>
        <v>0.22</v>
      </c>
      <c r="BJ16" s="9">
        <f t="shared" si="2"/>
        <v>7.32</v>
      </c>
      <c r="BK16" s="9">
        <f t="shared" si="3"/>
        <v>13.7</v>
      </c>
      <c r="BL16" s="9">
        <f t="shared" si="4"/>
        <v>0</v>
      </c>
      <c r="BM16" s="9">
        <f t="shared" si="5"/>
        <v>0</v>
      </c>
      <c r="BN16" s="9">
        <f t="shared" si="6"/>
        <v>588.04</v>
      </c>
      <c r="BO16" s="9">
        <f t="shared" si="7"/>
        <v>36.54</v>
      </c>
      <c r="BP16" s="9">
        <f t="shared" si="8"/>
        <v>45.32</v>
      </c>
    </row>
    <row r="17" spans="1:68">
      <c r="A17" s="6">
        <v>44565</v>
      </c>
      <c r="B17" s="7">
        <v>3141</v>
      </c>
      <c r="C17" s="8">
        <v>2400.4899999999998</v>
      </c>
      <c r="D17" s="8">
        <v>423.65</v>
      </c>
      <c r="E17" s="8"/>
      <c r="F17" s="8"/>
      <c r="G17" s="8"/>
      <c r="H17" s="8"/>
      <c r="I17" s="8"/>
      <c r="J17" s="8"/>
      <c r="K17" s="8"/>
      <c r="L17" s="8"/>
      <c r="M17" s="8">
        <v>8.17</v>
      </c>
      <c r="N17" s="8"/>
      <c r="O17" s="8"/>
      <c r="P17" s="8"/>
      <c r="Q17" s="8"/>
      <c r="R17" s="8"/>
      <c r="S17" s="8">
        <v>13.29</v>
      </c>
      <c r="T17" s="8">
        <v>21.21</v>
      </c>
      <c r="U17" s="8">
        <v>21.21</v>
      </c>
      <c r="V17" s="8"/>
      <c r="W17" s="8"/>
      <c r="X17" s="8"/>
      <c r="Y17" s="8"/>
      <c r="Z17" s="8"/>
      <c r="AA17" s="8"/>
      <c r="AB17" s="8"/>
      <c r="AC17" s="8">
        <v>11.29</v>
      </c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>
        <v>1864.21</v>
      </c>
      <c r="AU17" s="8"/>
      <c r="AV17" s="8"/>
      <c r="AW17" s="8"/>
      <c r="AX17" s="8"/>
      <c r="AY17" s="8"/>
      <c r="AZ17" s="8"/>
      <c r="BA17" s="8">
        <v>75.83</v>
      </c>
      <c r="BB17" s="8"/>
      <c r="BC17" s="8"/>
      <c r="BD17" s="8"/>
      <c r="BE17" s="8"/>
      <c r="BF17" s="8">
        <v>197.71</v>
      </c>
      <c r="BG17" s="8">
        <v>146.41999999999999</v>
      </c>
      <c r="BH17" s="9">
        <f t="shared" si="0"/>
        <v>2824.14</v>
      </c>
      <c r="BI17" s="9">
        <f t="shared" si="1"/>
        <v>8.17</v>
      </c>
      <c r="BJ17" s="9">
        <f t="shared" si="2"/>
        <v>13.29</v>
      </c>
      <c r="BK17" s="9">
        <f t="shared" si="3"/>
        <v>42.42</v>
      </c>
      <c r="BL17" s="9">
        <f t="shared" si="4"/>
        <v>0</v>
      </c>
      <c r="BM17" s="9">
        <f t="shared" si="5"/>
        <v>11.29</v>
      </c>
      <c r="BN17" s="9">
        <f t="shared" si="6"/>
        <v>1864.21</v>
      </c>
      <c r="BO17" s="9">
        <f t="shared" si="7"/>
        <v>75.83</v>
      </c>
      <c r="BP17" s="9">
        <f t="shared" si="8"/>
        <v>197.71</v>
      </c>
    </row>
    <row r="18" spans="1:68">
      <c r="A18" s="6">
        <v>44565</v>
      </c>
      <c r="B18" s="7">
        <v>3106</v>
      </c>
      <c r="C18" s="8">
        <v>4096.42</v>
      </c>
      <c r="D18" s="8"/>
      <c r="E18" s="8"/>
      <c r="F18" s="8"/>
      <c r="G18" s="8"/>
      <c r="H18" s="8"/>
      <c r="I18" s="8"/>
      <c r="J18" s="8"/>
      <c r="K18" s="8"/>
      <c r="L18" s="8"/>
      <c r="M18" s="8">
        <v>11.07</v>
      </c>
      <c r="N18" s="8"/>
      <c r="O18" s="8"/>
      <c r="P18" s="8"/>
      <c r="Q18" s="8"/>
      <c r="R18" s="8"/>
      <c r="S18" s="8">
        <v>13.13</v>
      </c>
      <c r="T18" s="8">
        <v>52</v>
      </c>
      <c r="U18" s="8"/>
      <c r="V18" s="8"/>
      <c r="W18" s="8"/>
      <c r="X18" s="8"/>
      <c r="Y18" s="8"/>
      <c r="Z18" s="8"/>
      <c r="AA18" s="8"/>
      <c r="AB18" s="8"/>
      <c r="AC18" s="8">
        <v>16.399999999999999</v>
      </c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>
        <v>2345.64</v>
      </c>
      <c r="AU18" s="8"/>
      <c r="AV18" s="8"/>
      <c r="AW18" s="8"/>
      <c r="AX18" s="8">
        <v>5.13</v>
      </c>
      <c r="AY18" s="8"/>
      <c r="AZ18" s="8"/>
      <c r="BA18" s="8"/>
      <c r="BB18" s="8"/>
      <c r="BC18" s="8"/>
      <c r="BD18" s="8"/>
      <c r="BE18" s="8"/>
      <c r="BF18" s="8"/>
      <c r="BG18" s="8">
        <v>176.64</v>
      </c>
      <c r="BH18" s="9">
        <f t="shared" si="0"/>
        <v>4096.42</v>
      </c>
      <c r="BI18" s="9">
        <f t="shared" si="1"/>
        <v>11.07</v>
      </c>
      <c r="BJ18" s="9">
        <f t="shared" si="2"/>
        <v>13.13</v>
      </c>
      <c r="BK18" s="9">
        <f t="shared" si="3"/>
        <v>52</v>
      </c>
      <c r="BL18" s="9">
        <f t="shared" si="4"/>
        <v>0</v>
      </c>
      <c r="BM18" s="9">
        <f t="shared" si="5"/>
        <v>16.399999999999999</v>
      </c>
      <c r="BN18" s="9">
        <f t="shared" si="6"/>
        <v>2345.64</v>
      </c>
      <c r="BO18" s="9">
        <f t="shared" si="7"/>
        <v>5.13</v>
      </c>
      <c r="BP18" s="9">
        <f t="shared" si="8"/>
        <v>0</v>
      </c>
    </row>
    <row r="19" spans="1:68">
      <c r="A19" s="6">
        <v>44565</v>
      </c>
      <c r="B19" s="7">
        <v>3135</v>
      </c>
      <c r="C19" s="8">
        <v>1043.96</v>
      </c>
      <c r="D19" s="8">
        <v>146.24</v>
      </c>
      <c r="E19" s="8"/>
      <c r="F19" s="8"/>
      <c r="G19" s="8"/>
      <c r="H19" s="8">
        <v>494.33</v>
      </c>
      <c r="I19" s="8"/>
      <c r="J19" s="8"/>
      <c r="K19" s="8"/>
      <c r="L19" s="8"/>
      <c r="M19" s="8">
        <v>3.51</v>
      </c>
      <c r="N19" s="8"/>
      <c r="O19" s="8"/>
      <c r="P19" s="8"/>
      <c r="Q19" s="8"/>
      <c r="R19" s="8"/>
      <c r="S19" s="8">
        <v>6.74</v>
      </c>
      <c r="T19" s="8">
        <v>10.26</v>
      </c>
      <c r="U19" s="8">
        <v>8.7899999999999991</v>
      </c>
      <c r="V19" s="8"/>
      <c r="W19" s="8"/>
      <c r="X19" s="8"/>
      <c r="Y19" s="8"/>
      <c r="Z19" s="8"/>
      <c r="AA19" s="8"/>
      <c r="AB19" s="8"/>
      <c r="AC19" s="8">
        <v>5.86</v>
      </c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>
        <v>1034.44</v>
      </c>
      <c r="AU19" s="8"/>
      <c r="AV19" s="8"/>
      <c r="AW19" s="8"/>
      <c r="AX19" s="8"/>
      <c r="AY19" s="8"/>
      <c r="AZ19" s="8"/>
      <c r="BA19" s="8">
        <v>39.31</v>
      </c>
      <c r="BB19" s="8"/>
      <c r="BC19" s="8"/>
      <c r="BD19" s="8"/>
      <c r="BE19" s="8"/>
      <c r="BF19" s="8">
        <v>66.02</v>
      </c>
      <c r="BG19" s="8">
        <v>77.73</v>
      </c>
      <c r="BH19" s="9">
        <f t="shared" si="0"/>
        <v>1684.53</v>
      </c>
      <c r="BI19" s="9">
        <f t="shared" si="1"/>
        <v>3.51</v>
      </c>
      <c r="BJ19" s="9">
        <f t="shared" si="2"/>
        <v>6.74</v>
      </c>
      <c r="BK19" s="9">
        <f t="shared" si="3"/>
        <v>19.049999999999997</v>
      </c>
      <c r="BL19" s="9">
        <f t="shared" si="4"/>
        <v>0</v>
      </c>
      <c r="BM19" s="9">
        <f t="shared" si="5"/>
        <v>5.86</v>
      </c>
      <c r="BN19" s="9">
        <f t="shared" si="6"/>
        <v>1034.44</v>
      </c>
      <c r="BO19" s="9">
        <f t="shared" si="7"/>
        <v>39.31</v>
      </c>
      <c r="BP19" s="9">
        <f t="shared" si="8"/>
        <v>66.02</v>
      </c>
    </row>
    <row r="20" spans="1:68">
      <c r="A20" s="6">
        <v>44565</v>
      </c>
      <c r="B20" s="7">
        <v>3310</v>
      </c>
      <c r="C20" s="8"/>
      <c r="D20" s="8">
        <v>856.39</v>
      </c>
      <c r="E20" s="8"/>
      <c r="F20" s="8"/>
      <c r="G20" s="8"/>
      <c r="H20" s="8"/>
      <c r="I20" s="8"/>
      <c r="J20" s="8"/>
      <c r="K20" s="8"/>
      <c r="L20" s="8"/>
      <c r="M20" s="8">
        <v>1.03</v>
      </c>
      <c r="N20" s="8"/>
      <c r="O20" s="8"/>
      <c r="P20" s="8"/>
      <c r="Q20" s="8"/>
      <c r="R20" s="8"/>
      <c r="S20" s="8">
        <v>5.82</v>
      </c>
      <c r="T20" s="8">
        <v>7.73</v>
      </c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>
        <v>8.59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>
        <v>370.25</v>
      </c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>
        <v>24.82</v>
      </c>
      <c r="BH20" s="9">
        <f t="shared" si="0"/>
        <v>856.39</v>
      </c>
      <c r="BI20" s="9">
        <f t="shared" si="1"/>
        <v>1.03</v>
      </c>
      <c r="BJ20" s="9">
        <f t="shared" si="2"/>
        <v>5.82</v>
      </c>
      <c r="BK20" s="9">
        <f t="shared" si="3"/>
        <v>7.73</v>
      </c>
      <c r="BL20" s="9">
        <f t="shared" si="4"/>
        <v>0</v>
      </c>
      <c r="BM20" s="9">
        <f t="shared" si="5"/>
        <v>8.59</v>
      </c>
      <c r="BN20" s="9">
        <f t="shared" si="6"/>
        <v>370.25</v>
      </c>
      <c r="BO20" s="9">
        <f t="shared" si="7"/>
        <v>0</v>
      </c>
      <c r="BP20" s="9">
        <f t="shared" si="8"/>
        <v>0</v>
      </c>
    </row>
    <row r="21" spans="1:68">
      <c r="A21" s="6">
        <v>44565</v>
      </c>
      <c r="B21" s="7">
        <v>3028</v>
      </c>
      <c r="C21" s="8"/>
      <c r="D21" s="8">
        <v>731.45</v>
      </c>
      <c r="E21" s="8"/>
      <c r="F21" s="8">
        <v>673.06</v>
      </c>
      <c r="G21" s="8"/>
      <c r="H21" s="8"/>
      <c r="I21" s="8">
        <v>1520.41</v>
      </c>
      <c r="J21" s="8"/>
      <c r="K21" s="8"/>
      <c r="L21" s="8"/>
      <c r="M21" s="8"/>
      <c r="N21" s="8">
        <v>21.92</v>
      </c>
      <c r="O21" s="8"/>
      <c r="P21" s="8"/>
      <c r="Q21" s="8"/>
      <c r="R21" s="8"/>
      <c r="S21" s="8">
        <v>4.09</v>
      </c>
      <c r="T21" s="8"/>
      <c r="U21" s="8"/>
      <c r="V21" s="8"/>
      <c r="W21" s="8">
        <v>22.23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>
        <v>29.8</v>
      </c>
      <c r="AN21" s="8">
        <v>20.260000000000002</v>
      </c>
      <c r="AO21" s="8"/>
      <c r="AP21" s="8"/>
      <c r="AQ21" s="8"/>
      <c r="AR21" s="8"/>
      <c r="AS21" s="8">
        <v>96.56</v>
      </c>
      <c r="AT21" s="8">
        <v>976.06</v>
      </c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>
        <v>66.44</v>
      </c>
      <c r="BH21" s="9">
        <f t="shared" si="0"/>
        <v>2924.92</v>
      </c>
      <c r="BI21" s="9">
        <f t="shared" si="1"/>
        <v>21.92</v>
      </c>
      <c r="BJ21" s="9">
        <f t="shared" si="2"/>
        <v>4.09</v>
      </c>
      <c r="BK21" s="9">
        <f t="shared" si="3"/>
        <v>22.23</v>
      </c>
      <c r="BL21" s="9">
        <f t="shared" si="4"/>
        <v>0</v>
      </c>
      <c r="BM21" s="9">
        <f t="shared" si="5"/>
        <v>146.62</v>
      </c>
      <c r="BN21" s="9">
        <f t="shared" si="6"/>
        <v>976.06</v>
      </c>
      <c r="BO21" s="9">
        <f t="shared" si="7"/>
        <v>0</v>
      </c>
      <c r="BP21" s="9">
        <f t="shared" si="8"/>
        <v>0</v>
      </c>
    </row>
    <row r="22" spans="1:68">
      <c r="A22" s="6">
        <v>44566</v>
      </c>
      <c r="B22" s="7">
        <v>3101</v>
      </c>
      <c r="C22" s="8">
        <v>623.28</v>
      </c>
      <c r="D22" s="8"/>
      <c r="E22" s="8"/>
      <c r="F22" s="8"/>
      <c r="G22" s="8"/>
      <c r="H22" s="8"/>
      <c r="I22" s="8"/>
      <c r="J22" s="8"/>
      <c r="K22" s="8"/>
      <c r="L22" s="8"/>
      <c r="M22" s="8">
        <v>1.25</v>
      </c>
      <c r="N22" s="8"/>
      <c r="O22" s="8"/>
      <c r="P22" s="8"/>
      <c r="Q22" s="8"/>
      <c r="R22" s="8"/>
      <c r="S22" s="8">
        <v>3.74</v>
      </c>
      <c r="T22" s="8"/>
      <c r="U22" s="8">
        <v>9.98</v>
      </c>
      <c r="V22" s="8"/>
      <c r="W22" s="8"/>
      <c r="X22" s="8"/>
      <c r="Y22" s="8"/>
      <c r="Z22" s="8"/>
      <c r="AA22" s="8"/>
      <c r="AB22" s="8"/>
      <c r="AC22" s="8">
        <v>2.5</v>
      </c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>
        <v>419.24</v>
      </c>
      <c r="AU22" s="8"/>
      <c r="AV22" s="8"/>
      <c r="AW22" s="8">
        <v>13.29</v>
      </c>
      <c r="AX22" s="8"/>
      <c r="AY22" s="8"/>
      <c r="AZ22" s="8"/>
      <c r="BA22" s="8"/>
      <c r="BB22" s="8"/>
      <c r="BC22" s="8"/>
      <c r="BD22" s="8"/>
      <c r="BE22" s="8"/>
      <c r="BF22" s="8">
        <v>81.040000000000006</v>
      </c>
      <c r="BG22" s="8">
        <v>32.07</v>
      </c>
      <c r="BH22" s="9">
        <f t="shared" si="0"/>
        <v>623.28</v>
      </c>
      <c r="BI22" s="9">
        <f t="shared" si="1"/>
        <v>1.25</v>
      </c>
      <c r="BJ22" s="9">
        <f t="shared" si="2"/>
        <v>3.74</v>
      </c>
      <c r="BK22" s="9">
        <f t="shared" si="3"/>
        <v>9.98</v>
      </c>
      <c r="BL22" s="9">
        <f t="shared" si="4"/>
        <v>0</v>
      </c>
      <c r="BM22" s="9">
        <f t="shared" si="5"/>
        <v>2.5</v>
      </c>
      <c r="BN22" s="9">
        <f t="shared" si="6"/>
        <v>419.24</v>
      </c>
      <c r="BO22" s="9">
        <f t="shared" si="7"/>
        <v>13.29</v>
      </c>
      <c r="BP22" s="9">
        <f t="shared" si="8"/>
        <v>81.040000000000006</v>
      </c>
    </row>
    <row r="23" spans="1:68">
      <c r="A23" s="6">
        <v>44566</v>
      </c>
      <c r="B23" s="7">
        <v>3423</v>
      </c>
      <c r="C23" s="8">
        <v>378.42</v>
      </c>
      <c r="D23" s="8">
        <v>378.86</v>
      </c>
      <c r="E23" s="8"/>
      <c r="F23" s="8"/>
      <c r="G23" s="8"/>
      <c r="H23" s="8"/>
      <c r="I23" s="8"/>
      <c r="J23" s="8"/>
      <c r="K23" s="8"/>
      <c r="L23" s="8"/>
      <c r="M23" s="8">
        <v>3.02</v>
      </c>
      <c r="N23" s="8"/>
      <c r="O23" s="8"/>
      <c r="P23" s="8"/>
      <c r="Q23" s="8"/>
      <c r="R23" s="8"/>
      <c r="S23" s="8">
        <v>1.73</v>
      </c>
      <c r="T23" s="8"/>
      <c r="U23" s="8"/>
      <c r="V23" s="8"/>
      <c r="W23" s="8"/>
      <c r="X23" s="8">
        <v>7.58</v>
      </c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>
        <v>350.73</v>
      </c>
      <c r="AU23" s="8"/>
      <c r="AV23" s="8">
        <v>22.7</v>
      </c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>
        <v>24.89</v>
      </c>
      <c r="BH23" s="9">
        <f t="shared" si="0"/>
        <v>757.28</v>
      </c>
      <c r="BI23" s="9">
        <f t="shared" si="1"/>
        <v>3.02</v>
      </c>
      <c r="BJ23" s="9">
        <f t="shared" si="2"/>
        <v>1.73</v>
      </c>
      <c r="BK23" s="9">
        <f t="shared" si="3"/>
        <v>7.58</v>
      </c>
      <c r="BL23" s="9">
        <f t="shared" si="4"/>
        <v>0</v>
      </c>
      <c r="BM23" s="9">
        <f t="shared" si="5"/>
        <v>0</v>
      </c>
      <c r="BN23" s="9">
        <f t="shared" si="6"/>
        <v>350.73</v>
      </c>
      <c r="BO23" s="9">
        <f t="shared" si="7"/>
        <v>22.7</v>
      </c>
      <c r="BP23" s="9">
        <f t="shared" si="8"/>
        <v>0</v>
      </c>
    </row>
    <row r="24" spans="1:68">
      <c r="A24" s="6">
        <v>44566</v>
      </c>
      <c r="B24" s="7">
        <v>3701</v>
      </c>
      <c r="C24" s="8">
        <v>357.62</v>
      </c>
      <c r="D24" s="8"/>
      <c r="E24" s="8"/>
      <c r="F24" s="8"/>
      <c r="G24" s="8"/>
      <c r="H24" s="8"/>
      <c r="I24" s="8"/>
      <c r="J24" s="8">
        <v>584.17999999999995</v>
      </c>
      <c r="K24" s="8"/>
      <c r="L24" s="8"/>
      <c r="M24" s="8"/>
      <c r="N24" s="8">
        <v>2.23</v>
      </c>
      <c r="O24" s="8"/>
      <c r="P24" s="8"/>
      <c r="Q24" s="8"/>
      <c r="R24" s="8"/>
      <c r="S24" s="8">
        <v>2.62</v>
      </c>
      <c r="T24" s="8"/>
      <c r="U24" s="8">
        <v>5.82</v>
      </c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>
        <v>19.420000000000002</v>
      </c>
      <c r="AH24" s="8"/>
      <c r="AI24" s="8"/>
      <c r="AJ24" s="8">
        <v>29.45</v>
      </c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>
        <v>342.36</v>
      </c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>
        <v>23.28</v>
      </c>
      <c r="BH24" s="9">
        <f t="shared" si="0"/>
        <v>941.8</v>
      </c>
      <c r="BI24" s="9">
        <f t="shared" si="1"/>
        <v>2.23</v>
      </c>
      <c r="BJ24" s="9">
        <f t="shared" si="2"/>
        <v>2.62</v>
      </c>
      <c r="BK24" s="9">
        <f t="shared" si="3"/>
        <v>5.82</v>
      </c>
      <c r="BL24" s="9">
        <f t="shared" si="4"/>
        <v>0</v>
      </c>
      <c r="BM24" s="9">
        <f t="shared" si="5"/>
        <v>48.870000000000005</v>
      </c>
      <c r="BN24" s="9">
        <f t="shared" si="6"/>
        <v>342.36</v>
      </c>
      <c r="BO24" s="9">
        <f t="shared" si="7"/>
        <v>0</v>
      </c>
      <c r="BP24" s="9">
        <f t="shared" si="8"/>
        <v>0</v>
      </c>
    </row>
    <row r="25" spans="1:68">
      <c r="A25" s="6">
        <v>44566</v>
      </c>
      <c r="B25" s="7">
        <v>3016</v>
      </c>
      <c r="C25" s="8"/>
      <c r="D25" s="8">
        <v>2250.3000000000002</v>
      </c>
      <c r="E25" s="8"/>
      <c r="F25" s="8"/>
      <c r="G25" s="8"/>
      <c r="H25" s="8"/>
      <c r="I25" s="8">
        <v>2070.81</v>
      </c>
      <c r="J25" s="8"/>
      <c r="K25" s="8"/>
      <c r="L25" s="8"/>
      <c r="M25" s="8"/>
      <c r="N25" s="8">
        <v>25.98</v>
      </c>
      <c r="O25" s="8"/>
      <c r="P25" s="8"/>
      <c r="Q25" s="8"/>
      <c r="R25" s="8"/>
      <c r="S25" s="8">
        <v>3.02</v>
      </c>
      <c r="T25" s="8">
        <v>43.32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>
        <v>17.68</v>
      </c>
      <c r="AN25" s="8">
        <v>52.19</v>
      </c>
      <c r="AO25" s="8"/>
      <c r="AP25" s="8"/>
      <c r="AQ25" s="8"/>
      <c r="AR25" s="8">
        <v>109.32</v>
      </c>
      <c r="AS25" s="8"/>
      <c r="AT25" s="8">
        <v>1608.27</v>
      </c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>
        <v>117.58</v>
      </c>
      <c r="BH25" s="9">
        <f t="shared" si="0"/>
        <v>4321.1100000000006</v>
      </c>
      <c r="BI25" s="9">
        <f t="shared" si="1"/>
        <v>25.98</v>
      </c>
      <c r="BJ25" s="9">
        <f t="shared" si="2"/>
        <v>3.02</v>
      </c>
      <c r="BK25" s="9">
        <f t="shared" si="3"/>
        <v>43.32</v>
      </c>
      <c r="BL25" s="9">
        <f t="shared" si="4"/>
        <v>0</v>
      </c>
      <c r="BM25" s="9">
        <f t="shared" si="5"/>
        <v>179.19</v>
      </c>
      <c r="BN25" s="9">
        <f t="shared" si="6"/>
        <v>1608.27</v>
      </c>
      <c r="BO25" s="9">
        <f t="shared" si="7"/>
        <v>0</v>
      </c>
      <c r="BP25" s="9">
        <f t="shared" si="8"/>
        <v>0</v>
      </c>
    </row>
    <row r="26" spans="1:68">
      <c r="A26" s="6">
        <v>44566</v>
      </c>
      <c r="B26" s="7">
        <v>3141</v>
      </c>
      <c r="C26" s="8">
        <v>5902.16</v>
      </c>
      <c r="D26" s="8">
        <v>1043.25</v>
      </c>
      <c r="E26" s="8"/>
      <c r="F26" s="8"/>
      <c r="G26" s="8"/>
      <c r="H26" s="8"/>
      <c r="I26" s="8"/>
      <c r="J26" s="8"/>
      <c r="K26" s="8"/>
      <c r="L26" s="8"/>
      <c r="M26" s="8">
        <v>20.22</v>
      </c>
      <c r="N26" s="8"/>
      <c r="O26" s="8"/>
      <c r="P26" s="8"/>
      <c r="Q26" s="8"/>
      <c r="R26" s="8"/>
      <c r="S26" s="8">
        <v>32.72</v>
      </c>
      <c r="T26" s="8">
        <v>52.21</v>
      </c>
      <c r="U26" s="8">
        <v>52.21</v>
      </c>
      <c r="V26" s="8"/>
      <c r="W26" s="8"/>
      <c r="X26" s="8"/>
      <c r="Y26" s="8"/>
      <c r="Z26" s="8"/>
      <c r="AA26" s="8"/>
      <c r="AB26" s="8"/>
      <c r="AC26" s="8">
        <v>27.82</v>
      </c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>
        <v>4616.1400000000003</v>
      </c>
      <c r="AU26" s="8"/>
      <c r="AV26" s="8"/>
      <c r="AW26" s="8"/>
      <c r="AX26" s="8"/>
      <c r="AY26" s="8"/>
      <c r="AZ26" s="8"/>
      <c r="BA26" s="8">
        <v>186.69</v>
      </c>
      <c r="BB26" s="8"/>
      <c r="BC26" s="8"/>
      <c r="BD26" s="8"/>
      <c r="BE26" s="8"/>
      <c r="BF26" s="8">
        <v>487.01</v>
      </c>
      <c r="BG26" s="8">
        <v>360.76</v>
      </c>
      <c r="BH26" s="9">
        <f t="shared" si="0"/>
        <v>6945.41</v>
      </c>
      <c r="BI26" s="9">
        <f t="shared" si="1"/>
        <v>20.22</v>
      </c>
      <c r="BJ26" s="9">
        <f t="shared" si="2"/>
        <v>32.72</v>
      </c>
      <c r="BK26" s="9">
        <f t="shared" si="3"/>
        <v>104.42</v>
      </c>
      <c r="BL26" s="9">
        <f t="shared" si="4"/>
        <v>0</v>
      </c>
      <c r="BM26" s="9">
        <f t="shared" si="5"/>
        <v>27.82</v>
      </c>
      <c r="BN26" s="9">
        <f t="shared" si="6"/>
        <v>4616.1400000000003</v>
      </c>
      <c r="BO26" s="9">
        <f t="shared" si="7"/>
        <v>186.69</v>
      </c>
      <c r="BP26" s="9">
        <f t="shared" si="8"/>
        <v>487.01</v>
      </c>
    </row>
    <row r="27" spans="1:68">
      <c r="A27" s="6">
        <v>44566</v>
      </c>
      <c r="B27" s="7">
        <v>3106</v>
      </c>
      <c r="C27" s="8">
        <v>4103.79</v>
      </c>
      <c r="D27" s="8"/>
      <c r="E27" s="8"/>
      <c r="F27" s="8"/>
      <c r="G27" s="8"/>
      <c r="H27" s="8"/>
      <c r="I27" s="8"/>
      <c r="J27" s="8"/>
      <c r="K27" s="8"/>
      <c r="L27" s="8"/>
      <c r="M27" s="8">
        <v>11.4</v>
      </c>
      <c r="N27" s="8"/>
      <c r="O27" s="8"/>
      <c r="P27" s="8"/>
      <c r="Q27" s="8"/>
      <c r="R27" s="8"/>
      <c r="S27" s="8">
        <v>13.15</v>
      </c>
      <c r="T27" s="8">
        <v>52.13</v>
      </c>
      <c r="U27" s="8"/>
      <c r="V27" s="8"/>
      <c r="W27" s="8"/>
      <c r="X27" s="8"/>
      <c r="Y27" s="8"/>
      <c r="Z27" s="8"/>
      <c r="AA27" s="8"/>
      <c r="AB27" s="8"/>
      <c r="AC27" s="8">
        <v>16.420000000000002</v>
      </c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>
        <v>2349.0700000000002</v>
      </c>
      <c r="AU27" s="8"/>
      <c r="AV27" s="8"/>
      <c r="AW27" s="8"/>
      <c r="AX27" s="8">
        <v>5.14</v>
      </c>
      <c r="AY27" s="8"/>
      <c r="AZ27" s="8"/>
      <c r="BA27" s="8"/>
      <c r="BB27" s="8"/>
      <c r="BC27" s="8"/>
      <c r="BD27" s="8"/>
      <c r="BE27" s="8"/>
      <c r="BF27" s="8"/>
      <c r="BG27" s="8">
        <v>177.21</v>
      </c>
      <c r="BH27" s="9">
        <f t="shared" si="0"/>
        <v>4103.79</v>
      </c>
      <c r="BI27" s="9">
        <f t="shared" si="1"/>
        <v>11.4</v>
      </c>
      <c r="BJ27" s="9">
        <f t="shared" si="2"/>
        <v>13.15</v>
      </c>
      <c r="BK27" s="9">
        <f t="shared" si="3"/>
        <v>52.13</v>
      </c>
      <c r="BL27" s="9">
        <f t="shared" si="4"/>
        <v>0</v>
      </c>
      <c r="BM27" s="9">
        <f t="shared" si="5"/>
        <v>16.420000000000002</v>
      </c>
      <c r="BN27" s="9">
        <f t="shared" si="6"/>
        <v>2349.0700000000002</v>
      </c>
      <c r="BO27" s="9">
        <f t="shared" si="7"/>
        <v>5.14</v>
      </c>
      <c r="BP27" s="9">
        <f t="shared" si="8"/>
        <v>0</v>
      </c>
    </row>
    <row r="28" spans="1:68">
      <c r="A28" s="6">
        <v>44566</v>
      </c>
      <c r="B28" s="7">
        <v>3005</v>
      </c>
      <c r="C28" s="8">
        <v>1495.69</v>
      </c>
      <c r="D28" s="8">
        <v>1001.58</v>
      </c>
      <c r="E28" s="8"/>
      <c r="F28" s="8"/>
      <c r="G28" s="8"/>
      <c r="H28" s="8"/>
      <c r="I28" s="8"/>
      <c r="J28" s="8"/>
      <c r="K28" s="8"/>
      <c r="L28" s="8"/>
      <c r="M28" s="8"/>
      <c r="N28" s="8">
        <v>2.4700000000000002</v>
      </c>
      <c r="O28" s="8"/>
      <c r="P28" s="8"/>
      <c r="Q28" s="8"/>
      <c r="R28" s="8"/>
      <c r="S28" s="8">
        <v>9.01</v>
      </c>
      <c r="T28" s="8">
        <v>27.49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>
        <v>1225.8</v>
      </c>
      <c r="AU28" s="8"/>
      <c r="AV28" s="8"/>
      <c r="AW28" s="8">
        <v>27.78</v>
      </c>
      <c r="AX28" s="8"/>
      <c r="AY28" s="8"/>
      <c r="AZ28" s="8"/>
      <c r="BA28" s="8"/>
      <c r="BB28" s="8"/>
      <c r="BC28" s="8"/>
      <c r="BD28" s="8"/>
      <c r="BE28" s="8"/>
      <c r="BF28" s="8"/>
      <c r="BG28" s="8">
        <v>91.14</v>
      </c>
      <c r="BH28" s="9">
        <f t="shared" si="0"/>
        <v>2497.27</v>
      </c>
      <c r="BI28" s="9">
        <f t="shared" si="1"/>
        <v>2.4700000000000002</v>
      </c>
      <c r="BJ28" s="9">
        <f t="shared" si="2"/>
        <v>9.01</v>
      </c>
      <c r="BK28" s="9">
        <f t="shared" si="3"/>
        <v>27.49</v>
      </c>
      <c r="BL28" s="9">
        <f t="shared" si="4"/>
        <v>0</v>
      </c>
      <c r="BM28" s="9">
        <f t="shared" si="5"/>
        <v>0</v>
      </c>
      <c r="BN28" s="9">
        <f t="shared" si="6"/>
        <v>1225.8</v>
      </c>
      <c r="BO28" s="9">
        <f t="shared" si="7"/>
        <v>27.78</v>
      </c>
      <c r="BP28" s="9">
        <f t="shared" si="8"/>
        <v>0</v>
      </c>
    </row>
    <row r="29" spans="1:68">
      <c r="A29" s="6">
        <v>44567</v>
      </c>
      <c r="B29" s="7">
        <v>3024</v>
      </c>
      <c r="C29" s="8"/>
      <c r="D29" s="8">
        <v>336.78</v>
      </c>
      <c r="E29" s="8"/>
      <c r="F29" s="8"/>
      <c r="G29" s="8"/>
      <c r="H29" s="8"/>
      <c r="I29" s="8">
        <v>340.15</v>
      </c>
      <c r="J29" s="8"/>
      <c r="K29" s="8"/>
      <c r="L29" s="8"/>
      <c r="M29" s="8"/>
      <c r="N29" s="8">
        <v>4.0599999999999996</v>
      </c>
      <c r="O29" s="8"/>
      <c r="P29" s="8"/>
      <c r="Q29" s="8"/>
      <c r="R29" s="8"/>
      <c r="S29" s="8">
        <v>1.08</v>
      </c>
      <c r="T29" s="8"/>
      <c r="U29" s="8"/>
      <c r="V29" s="8"/>
      <c r="W29" s="8">
        <v>5.47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>
        <v>6.83</v>
      </c>
      <c r="AN29" s="8">
        <v>4.8099999999999996</v>
      </c>
      <c r="AO29" s="8"/>
      <c r="AP29" s="8"/>
      <c r="AQ29" s="8"/>
      <c r="AR29" s="8"/>
      <c r="AS29" s="8">
        <v>22.37</v>
      </c>
      <c r="AT29" s="8">
        <v>259.89999999999998</v>
      </c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>
        <v>18.96</v>
      </c>
      <c r="BH29" s="9">
        <f t="shared" si="0"/>
        <v>676.93</v>
      </c>
      <c r="BI29" s="9">
        <f t="shared" si="1"/>
        <v>4.0599999999999996</v>
      </c>
      <c r="BJ29" s="9">
        <f t="shared" si="2"/>
        <v>1.08</v>
      </c>
      <c r="BK29" s="9">
        <f t="shared" si="3"/>
        <v>5.47</v>
      </c>
      <c r="BL29" s="9">
        <f t="shared" si="4"/>
        <v>0</v>
      </c>
      <c r="BM29" s="9">
        <f t="shared" si="5"/>
        <v>34.010000000000005</v>
      </c>
      <c r="BN29" s="9">
        <f t="shared" si="6"/>
        <v>259.89999999999998</v>
      </c>
      <c r="BO29" s="9">
        <f t="shared" si="7"/>
        <v>0</v>
      </c>
      <c r="BP29" s="9">
        <f t="shared" si="8"/>
        <v>0</v>
      </c>
    </row>
    <row r="30" spans="1:68">
      <c r="A30" s="6">
        <v>44567</v>
      </c>
      <c r="B30" s="7">
        <v>3029</v>
      </c>
      <c r="C30" s="8"/>
      <c r="D30" s="8">
        <v>452.06</v>
      </c>
      <c r="E30" s="8"/>
      <c r="F30" s="8">
        <v>319.44</v>
      </c>
      <c r="G30" s="8"/>
      <c r="H30" s="8"/>
      <c r="I30" s="8">
        <v>1889.11</v>
      </c>
      <c r="J30" s="8"/>
      <c r="K30" s="8"/>
      <c r="L30" s="8"/>
      <c r="M30" s="8"/>
      <c r="N30" s="8">
        <v>20.260000000000002</v>
      </c>
      <c r="O30" s="8"/>
      <c r="P30" s="8"/>
      <c r="Q30" s="8"/>
      <c r="R30" s="8"/>
      <c r="S30" s="8">
        <v>1.59</v>
      </c>
      <c r="T30" s="8"/>
      <c r="U30" s="8"/>
      <c r="V30" s="8"/>
      <c r="W30" s="8">
        <v>27.03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>
        <v>9.43</v>
      </c>
      <c r="AN30" s="8">
        <v>13.53</v>
      </c>
      <c r="AO30" s="8"/>
      <c r="AP30" s="8"/>
      <c r="AQ30" s="8"/>
      <c r="AR30" s="8">
        <v>80.16</v>
      </c>
      <c r="AS30" s="8"/>
      <c r="AT30" s="8">
        <v>1010.57</v>
      </c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>
        <v>70.44</v>
      </c>
      <c r="BH30" s="9">
        <f t="shared" si="0"/>
        <v>2660.6099999999997</v>
      </c>
      <c r="BI30" s="9">
        <f t="shared" si="1"/>
        <v>20.260000000000002</v>
      </c>
      <c r="BJ30" s="9">
        <f t="shared" si="2"/>
        <v>1.59</v>
      </c>
      <c r="BK30" s="9">
        <f t="shared" si="3"/>
        <v>27.03</v>
      </c>
      <c r="BL30" s="9">
        <f t="shared" si="4"/>
        <v>0</v>
      </c>
      <c r="BM30" s="9">
        <f t="shared" si="5"/>
        <v>103.12</v>
      </c>
      <c r="BN30" s="9">
        <f t="shared" si="6"/>
        <v>1010.57</v>
      </c>
      <c r="BO30" s="9">
        <f t="shared" si="7"/>
        <v>0</v>
      </c>
      <c r="BP30" s="9">
        <f t="shared" si="8"/>
        <v>0</v>
      </c>
    </row>
    <row r="31" spans="1:68">
      <c r="A31" s="6">
        <v>44567</v>
      </c>
      <c r="B31" s="7">
        <v>3106</v>
      </c>
      <c r="C31" s="8">
        <v>4150.99</v>
      </c>
      <c r="D31" s="8"/>
      <c r="E31" s="8"/>
      <c r="F31" s="8"/>
      <c r="G31" s="8"/>
      <c r="H31" s="8"/>
      <c r="I31" s="8"/>
      <c r="J31" s="8"/>
      <c r="K31" s="8"/>
      <c r="L31" s="8"/>
      <c r="M31" s="8">
        <v>11.65</v>
      </c>
      <c r="N31" s="8"/>
      <c r="O31" s="8"/>
      <c r="P31" s="8"/>
      <c r="Q31" s="8"/>
      <c r="R31" s="8"/>
      <c r="S31" s="8">
        <v>13.29</v>
      </c>
      <c r="T31" s="8">
        <v>52.82</v>
      </c>
      <c r="U31" s="8"/>
      <c r="V31" s="8"/>
      <c r="W31" s="8"/>
      <c r="X31" s="8"/>
      <c r="Y31" s="8"/>
      <c r="Z31" s="8"/>
      <c r="AA31" s="8"/>
      <c r="AB31" s="8"/>
      <c r="AC31" s="8">
        <v>16.61</v>
      </c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>
        <v>2376.96</v>
      </c>
      <c r="AU31" s="8"/>
      <c r="AV31" s="8"/>
      <c r="AW31" s="8"/>
      <c r="AX31" s="8">
        <v>5.19</v>
      </c>
      <c r="AY31" s="8"/>
      <c r="AZ31" s="8"/>
      <c r="BA31" s="8"/>
      <c r="BB31" s="8"/>
      <c r="BC31" s="8"/>
      <c r="BD31" s="8"/>
      <c r="BE31" s="8"/>
      <c r="BF31" s="8"/>
      <c r="BG31" s="8">
        <v>178.96</v>
      </c>
      <c r="BH31" s="9">
        <f t="shared" si="0"/>
        <v>4150.99</v>
      </c>
      <c r="BI31" s="9">
        <f t="shared" si="1"/>
        <v>11.65</v>
      </c>
      <c r="BJ31" s="9">
        <f t="shared" si="2"/>
        <v>13.29</v>
      </c>
      <c r="BK31" s="9">
        <f t="shared" si="3"/>
        <v>52.82</v>
      </c>
      <c r="BL31" s="9">
        <f t="shared" si="4"/>
        <v>0</v>
      </c>
      <c r="BM31" s="9">
        <f t="shared" si="5"/>
        <v>16.61</v>
      </c>
      <c r="BN31" s="9">
        <f t="shared" si="6"/>
        <v>2376.96</v>
      </c>
      <c r="BO31" s="9">
        <f t="shared" si="7"/>
        <v>5.19</v>
      </c>
      <c r="BP31" s="9">
        <f t="shared" si="8"/>
        <v>0</v>
      </c>
    </row>
    <row r="32" spans="1:68">
      <c r="A32" s="6">
        <v>44567</v>
      </c>
      <c r="B32" s="7">
        <v>3079</v>
      </c>
      <c r="C32" s="8"/>
      <c r="D32" s="8"/>
      <c r="E32" s="8"/>
      <c r="F32" s="8">
        <v>325.43</v>
      </c>
      <c r="G32" s="8"/>
      <c r="H32" s="8"/>
      <c r="I32" s="8">
        <v>2637.14</v>
      </c>
      <c r="J32" s="8"/>
      <c r="K32" s="8"/>
      <c r="L32" s="8"/>
      <c r="M32" s="8"/>
      <c r="N32" s="8">
        <v>22.25</v>
      </c>
      <c r="O32" s="8"/>
      <c r="P32" s="8"/>
      <c r="Q32" s="8"/>
      <c r="R32" s="8"/>
      <c r="S32" s="8">
        <v>1.17</v>
      </c>
      <c r="T32" s="8">
        <v>29.69</v>
      </c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>
        <v>11.59</v>
      </c>
      <c r="AN32" s="8">
        <v>30.31</v>
      </c>
      <c r="AO32" s="8"/>
      <c r="AP32" s="8"/>
      <c r="AQ32" s="8"/>
      <c r="AR32" s="8">
        <v>74.03</v>
      </c>
      <c r="AS32" s="8"/>
      <c r="AT32" s="8">
        <v>1128.95</v>
      </c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>
        <v>81.52</v>
      </c>
      <c r="BH32" s="9">
        <f t="shared" si="0"/>
        <v>2962.5699999999997</v>
      </c>
      <c r="BI32" s="9">
        <f t="shared" si="1"/>
        <v>22.25</v>
      </c>
      <c r="BJ32" s="9">
        <f t="shared" si="2"/>
        <v>1.17</v>
      </c>
      <c r="BK32" s="9">
        <f t="shared" si="3"/>
        <v>29.69</v>
      </c>
      <c r="BL32" s="9">
        <f t="shared" si="4"/>
        <v>0</v>
      </c>
      <c r="BM32" s="9">
        <f t="shared" si="5"/>
        <v>115.93</v>
      </c>
      <c r="BN32" s="9">
        <f t="shared" si="6"/>
        <v>1128.95</v>
      </c>
      <c r="BO32" s="9">
        <f t="shared" si="7"/>
        <v>0</v>
      </c>
      <c r="BP32" s="9">
        <f t="shared" si="8"/>
        <v>0</v>
      </c>
    </row>
    <row r="33" spans="1:68">
      <c r="A33" s="6">
        <v>44567</v>
      </c>
      <c r="B33" s="7">
        <v>3307</v>
      </c>
      <c r="C33" s="8"/>
      <c r="D33" s="8">
        <v>1889.13</v>
      </c>
      <c r="E33" s="8"/>
      <c r="F33" s="8"/>
      <c r="G33" s="8"/>
      <c r="H33" s="8"/>
      <c r="I33" s="8"/>
      <c r="J33" s="8"/>
      <c r="K33" s="8"/>
      <c r="L33" s="8"/>
      <c r="M33" s="8">
        <v>2.78</v>
      </c>
      <c r="N33" s="8"/>
      <c r="O33" s="8"/>
      <c r="P33" s="8"/>
      <c r="Q33" s="8"/>
      <c r="R33" s="8"/>
      <c r="S33" s="8">
        <v>13.42</v>
      </c>
      <c r="T33" s="8">
        <v>18.89</v>
      </c>
      <c r="U33" s="8"/>
      <c r="V33" s="8"/>
      <c r="W33" s="8"/>
      <c r="X33" s="8"/>
      <c r="Y33" s="8"/>
      <c r="Z33" s="8"/>
      <c r="AA33" s="8"/>
      <c r="AB33" s="8"/>
      <c r="AC33" s="8">
        <v>11.35</v>
      </c>
      <c r="AD33" s="8"/>
      <c r="AE33" s="8"/>
      <c r="AF33" s="8"/>
      <c r="AG33" s="8">
        <v>18.93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>
        <v>947.46</v>
      </c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>
        <v>67.959999999999994</v>
      </c>
      <c r="BH33" s="9">
        <f t="shared" si="0"/>
        <v>1889.13</v>
      </c>
      <c r="BI33" s="9">
        <f t="shared" si="1"/>
        <v>2.78</v>
      </c>
      <c r="BJ33" s="9">
        <f t="shared" si="2"/>
        <v>13.42</v>
      </c>
      <c r="BK33" s="9">
        <f t="shared" si="3"/>
        <v>18.89</v>
      </c>
      <c r="BL33" s="9">
        <f t="shared" si="4"/>
        <v>0</v>
      </c>
      <c r="BM33" s="9">
        <f t="shared" si="5"/>
        <v>30.28</v>
      </c>
      <c r="BN33" s="9">
        <f t="shared" si="6"/>
        <v>947.46</v>
      </c>
      <c r="BO33" s="9">
        <f t="shared" si="7"/>
        <v>0</v>
      </c>
      <c r="BP33" s="9">
        <f t="shared" si="8"/>
        <v>0</v>
      </c>
    </row>
    <row r="34" spans="1:68">
      <c r="A34" s="6">
        <v>44567</v>
      </c>
      <c r="B34" s="7">
        <v>3425</v>
      </c>
      <c r="C34" s="8">
        <v>607.5</v>
      </c>
      <c r="D34" s="8">
        <v>152.02000000000001</v>
      </c>
      <c r="E34" s="8"/>
      <c r="F34" s="8"/>
      <c r="G34" s="8"/>
      <c r="H34" s="8"/>
      <c r="I34" s="8"/>
      <c r="J34" s="8"/>
      <c r="K34" s="8"/>
      <c r="L34" s="8"/>
      <c r="M34" s="8">
        <v>2.15</v>
      </c>
      <c r="N34" s="8"/>
      <c r="O34" s="8"/>
      <c r="P34" s="8"/>
      <c r="Q34" s="8"/>
      <c r="R34" s="8"/>
      <c r="S34" s="8">
        <v>1.76</v>
      </c>
      <c r="T34" s="8"/>
      <c r="U34" s="8"/>
      <c r="V34" s="8"/>
      <c r="W34" s="8"/>
      <c r="X34" s="8">
        <v>9.27</v>
      </c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>
        <v>363.33</v>
      </c>
      <c r="AU34" s="8"/>
      <c r="AV34" s="8"/>
      <c r="AW34" s="8"/>
      <c r="AX34" s="8"/>
      <c r="AY34" s="8"/>
      <c r="AZ34" s="8"/>
      <c r="BA34" s="8"/>
      <c r="BB34" s="8">
        <v>1.1499999999999999</v>
      </c>
      <c r="BC34" s="8"/>
      <c r="BD34" s="8"/>
      <c r="BE34" s="8"/>
      <c r="BF34" s="8"/>
      <c r="BG34" s="8">
        <v>25.26</v>
      </c>
      <c r="BH34" s="9">
        <f t="shared" si="0"/>
        <v>759.52</v>
      </c>
      <c r="BI34" s="9">
        <f t="shared" si="1"/>
        <v>2.15</v>
      </c>
      <c r="BJ34" s="9">
        <f t="shared" si="2"/>
        <v>1.76</v>
      </c>
      <c r="BK34" s="9">
        <f t="shared" si="3"/>
        <v>9.27</v>
      </c>
      <c r="BL34" s="9">
        <f t="shared" si="4"/>
        <v>0</v>
      </c>
      <c r="BM34" s="9">
        <f t="shared" si="5"/>
        <v>0</v>
      </c>
      <c r="BN34" s="9">
        <f t="shared" si="6"/>
        <v>363.33</v>
      </c>
      <c r="BO34" s="9">
        <f t="shared" si="7"/>
        <v>1.1499999999999999</v>
      </c>
      <c r="BP34" s="9">
        <f t="shared" si="8"/>
        <v>0</v>
      </c>
    </row>
    <row r="35" spans="1:68">
      <c r="A35" s="6">
        <v>44567</v>
      </c>
      <c r="B35" s="7">
        <v>3200</v>
      </c>
      <c r="C35" s="8">
        <v>2249.61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>
        <v>5.63</v>
      </c>
      <c r="P35" s="8"/>
      <c r="Q35" s="8"/>
      <c r="R35" s="8"/>
      <c r="S35" s="8">
        <v>9</v>
      </c>
      <c r="T35" s="8"/>
      <c r="U35" s="8">
        <v>33.799999999999997</v>
      </c>
      <c r="V35" s="8"/>
      <c r="W35" s="8"/>
      <c r="X35" s="8"/>
      <c r="Y35" s="8"/>
      <c r="Z35" s="8">
        <v>473.02</v>
      </c>
      <c r="AA35" s="8"/>
      <c r="AB35" s="8"/>
      <c r="AC35" s="8"/>
      <c r="AD35" s="8"/>
      <c r="AE35" s="8">
        <v>33.69</v>
      </c>
      <c r="AF35" s="8">
        <v>111.94</v>
      </c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>
        <v>1543.04</v>
      </c>
      <c r="AU35" s="8"/>
      <c r="AV35" s="8"/>
      <c r="AW35" s="8">
        <v>6.42</v>
      </c>
      <c r="AX35" s="8"/>
      <c r="AY35" s="8"/>
      <c r="AZ35" s="8"/>
      <c r="BA35" s="8"/>
      <c r="BB35" s="8"/>
      <c r="BC35" s="8"/>
      <c r="BD35" s="8"/>
      <c r="BE35" s="8"/>
      <c r="BF35" s="8">
        <v>108.09</v>
      </c>
      <c r="BG35" s="8">
        <v>111.56</v>
      </c>
      <c r="BH35" s="9">
        <f t="shared" si="0"/>
        <v>2249.61</v>
      </c>
      <c r="BI35" s="9">
        <f t="shared" si="1"/>
        <v>5.63</v>
      </c>
      <c r="BJ35" s="9">
        <f t="shared" si="2"/>
        <v>9</v>
      </c>
      <c r="BK35" s="9">
        <f t="shared" si="3"/>
        <v>33.799999999999997</v>
      </c>
      <c r="BL35" s="9">
        <f t="shared" si="4"/>
        <v>473.02</v>
      </c>
      <c r="BM35" s="9">
        <f t="shared" si="5"/>
        <v>145.63</v>
      </c>
      <c r="BN35" s="9">
        <f t="shared" si="6"/>
        <v>1543.04</v>
      </c>
      <c r="BO35" s="9">
        <f t="shared" si="7"/>
        <v>6.42</v>
      </c>
      <c r="BP35" s="9">
        <f t="shared" si="8"/>
        <v>108.09</v>
      </c>
    </row>
    <row r="36" spans="1:68">
      <c r="A36" s="6">
        <v>44567</v>
      </c>
      <c r="B36" s="7">
        <v>3020</v>
      </c>
      <c r="C36" s="8"/>
      <c r="D36" s="8">
        <v>307.99</v>
      </c>
      <c r="E36" s="8"/>
      <c r="F36" s="8"/>
      <c r="G36" s="8"/>
      <c r="H36" s="8"/>
      <c r="I36" s="8">
        <v>1738.66</v>
      </c>
      <c r="J36" s="8"/>
      <c r="K36" s="8"/>
      <c r="L36" s="8"/>
      <c r="M36" s="8"/>
      <c r="N36" s="8">
        <v>12.29</v>
      </c>
      <c r="O36" s="8"/>
      <c r="P36" s="8"/>
      <c r="Q36" s="8"/>
      <c r="R36" s="8"/>
      <c r="S36" s="8">
        <v>3.68</v>
      </c>
      <c r="T36" s="8"/>
      <c r="U36" s="8"/>
      <c r="V36" s="8"/>
      <c r="W36" s="8">
        <v>21.05</v>
      </c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>
        <v>20.77</v>
      </c>
      <c r="AN36" s="8"/>
      <c r="AO36" s="8"/>
      <c r="AP36" s="8"/>
      <c r="AQ36" s="8"/>
      <c r="AR36" s="8"/>
      <c r="AS36" s="8">
        <v>51.5</v>
      </c>
      <c r="AT36" s="8">
        <v>1004.31</v>
      </c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>
        <v>73.66</v>
      </c>
      <c r="BH36" s="9">
        <f t="shared" si="0"/>
        <v>2046.65</v>
      </c>
      <c r="BI36" s="9">
        <f t="shared" si="1"/>
        <v>12.29</v>
      </c>
      <c r="BJ36" s="9">
        <f t="shared" si="2"/>
        <v>3.68</v>
      </c>
      <c r="BK36" s="9">
        <f t="shared" si="3"/>
        <v>21.05</v>
      </c>
      <c r="BL36" s="9">
        <f t="shared" si="4"/>
        <v>0</v>
      </c>
      <c r="BM36" s="9">
        <f t="shared" si="5"/>
        <v>72.27</v>
      </c>
      <c r="BN36" s="9">
        <f t="shared" si="6"/>
        <v>1004.31</v>
      </c>
      <c r="BO36" s="9">
        <f t="shared" si="7"/>
        <v>0</v>
      </c>
      <c r="BP36" s="9">
        <f t="shared" si="8"/>
        <v>0</v>
      </c>
    </row>
    <row r="37" spans="1:68">
      <c r="A37" s="6">
        <v>44568</v>
      </c>
      <c r="B37" s="7">
        <v>3602</v>
      </c>
      <c r="C37" s="8">
        <v>596.97</v>
      </c>
      <c r="D37" s="8"/>
      <c r="E37" s="8"/>
      <c r="F37" s="8"/>
      <c r="G37" s="8">
        <v>894.68</v>
      </c>
      <c r="H37" s="8"/>
      <c r="I37" s="8"/>
      <c r="J37" s="8"/>
      <c r="K37" s="8"/>
      <c r="L37" s="8"/>
      <c r="M37" s="8">
        <v>1.56</v>
      </c>
      <c r="N37" s="8"/>
      <c r="O37" s="8"/>
      <c r="P37" s="8"/>
      <c r="Q37" s="8"/>
      <c r="R37" s="8"/>
      <c r="S37" s="8">
        <v>8.34</v>
      </c>
      <c r="T37" s="8"/>
      <c r="U37" s="8">
        <v>4.78</v>
      </c>
      <c r="V37" s="8">
        <v>14.51</v>
      </c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>
        <v>621.99</v>
      </c>
      <c r="AU37" s="8"/>
      <c r="AV37" s="8"/>
      <c r="AW37" s="8">
        <v>38.56</v>
      </c>
      <c r="AX37" s="8"/>
      <c r="AY37" s="8"/>
      <c r="AZ37" s="8"/>
      <c r="BA37" s="8"/>
      <c r="BB37" s="8"/>
      <c r="BC37" s="8"/>
      <c r="BD37" s="8"/>
      <c r="BE37" s="8"/>
      <c r="BF37" s="8">
        <v>47.76</v>
      </c>
      <c r="BG37" s="8">
        <v>46.53</v>
      </c>
      <c r="BH37" s="9">
        <f t="shared" si="0"/>
        <v>1491.65</v>
      </c>
      <c r="BI37" s="9">
        <f t="shared" si="1"/>
        <v>1.56</v>
      </c>
      <c r="BJ37" s="9">
        <f t="shared" si="2"/>
        <v>8.34</v>
      </c>
      <c r="BK37" s="9">
        <f t="shared" si="3"/>
        <v>19.29</v>
      </c>
      <c r="BL37" s="9">
        <f t="shared" si="4"/>
        <v>0</v>
      </c>
      <c r="BM37" s="9">
        <f t="shared" si="5"/>
        <v>0</v>
      </c>
      <c r="BN37" s="9">
        <f t="shared" si="6"/>
        <v>621.99</v>
      </c>
      <c r="BO37" s="9">
        <f t="shared" si="7"/>
        <v>38.56</v>
      </c>
      <c r="BP37" s="9">
        <f t="shared" si="8"/>
        <v>47.76</v>
      </c>
    </row>
    <row r="38" spans="1:68">
      <c r="A38" s="6">
        <v>44568</v>
      </c>
      <c r="B38" s="7">
        <v>3100</v>
      </c>
      <c r="C38" s="8">
        <v>658.16</v>
      </c>
      <c r="D38" s="8"/>
      <c r="E38" s="8"/>
      <c r="F38" s="8"/>
      <c r="G38" s="8"/>
      <c r="H38" s="8"/>
      <c r="I38" s="8"/>
      <c r="J38" s="8"/>
      <c r="K38" s="8"/>
      <c r="L38" s="8"/>
      <c r="M38" s="8">
        <v>1.1100000000000001</v>
      </c>
      <c r="N38" s="8"/>
      <c r="O38" s="8"/>
      <c r="P38" s="8"/>
      <c r="Q38" s="8"/>
      <c r="R38" s="8"/>
      <c r="S38" s="8">
        <v>3.76</v>
      </c>
      <c r="T38" s="8"/>
      <c r="U38" s="8">
        <v>10.57</v>
      </c>
      <c r="V38" s="8"/>
      <c r="W38" s="8"/>
      <c r="X38" s="8"/>
      <c r="Y38" s="8"/>
      <c r="Z38" s="8"/>
      <c r="AA38" s="8"/>
      <c r="AB38" s="8"/>
      <c r="AC38" s="8">
        <v>2.64</v>
      </c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>
        <v>443.62</v>
      </c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 t="s">
        <v>71</v>
      </c>
      <c r="BG38" s="8">
        <v>33.96</v>
      </c>
      <c r="BH38" s="9">
        <f t="shared" si="0"/>
        <v>658.16</v>
      </c>
      <c r="BI38" s="9">
        <f t="shared" si="1"/>
        <v>1.1100000000000001</v>
      </c>
      <c r="BJ38" s="9">
        <f t="shared" si="2"/>
        <v>3.76</v>
      </c>
      <c r="BK38" s="9">
        <f t="shared" si="3"/>
        <v>10.57</v>
      </c>
      <c r="BL38" s="9">
        <f t="shared" si="4"/>
        <v>0</v>
      </c>
      <c r="BM38" s="9">
        <f t="shared" si="5"/>
        <v>2.64</v>
      </c>
      <c r="BN38" s="9">
        <f t="shared" si="6"/>
        <v>443.62</v>
      </c>
      <c r="BO38" s="9">
        <f t="shared" si="7"/>
        <v>0</v>
      </c>
      <c r="BP38" s="9">
        <f t="shared" si="8"/>
        <v>0</v>
      </c>
    </row>
    <row r="39" spans="1:68">
      <c r="A39" s="6">
        <v>44568</v>
      </c>
      <c r="B39" s="7">
        <v>3022</v>
      </c>
      <c r="C39" s="8"/>
      <c r="D39" s="8">
        <v>555.15</v>
      </c>
      <c r="E39" s="8"/>
      <c r="F39" s="8"/>
      <c r="G39" s="8"/>
      <c r="H39" s="8"/>
      <c r="I39" s="8">
        <v>454.07</v>
      </c>
      <c r="J39" s="8"/>
      <c r="K39" s="8"/>
      <c r="L39" s="8"/>
      <c r="M39" s="8"/>
      <c r="N39" s="8">
        <v>5.04</v>
      </c>
      <c r="O39" s="8"/>
      <c r="P39" s="8"/>
      <c r="Q39" s="8"/>
      <c r="R39" s="8"/>
      <c r="S39" s="8">
        <v>1.82</v>
      </c>
      <c r="T39" s="8"/>
      <c r="U39" s="8"/>
      <c r="V39" s="8"/>
      <c r="W39" s="8">
        <v>10.06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>
        <v>13.31</v>
      </c>
      <c r="AN39" s="8"/>
      <c r="AO39" s="8"/>
      <c r="AP39" s="8"/>
      <c r="AQ39" s="8"/>
      <c r="AR39" s="8"/>
      <c r="AS39" s="8">
        <v>35.49</v>
      </c>
      <c r="AT39" s="8">
        <v>472.11</v>
      </c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>
        <v>36.380000000000003</v>
      </c>
      <c r="BH39" s="9">
        <f t="shared" si="0"/>
        <v>1009.22</v>
      </c>
      <c r="BI39" s="9">
        <f t="shared" si="1"/>
        <v>5.04</v>
      </c>
      <c r="BJ39" s="9">
        <f t="shared" si="2"/>
        <v>1.82</v>
      </c>
      <c r="BK39" s="9">
        <f t="shared" si="3"/>
        <v>10.06</v>
      </c>
      <c r="BL39" s="9">
        <f t="shared" si="4"/>
        <v>0</v>
      </c>
      <c r="BM39" s="9">
        <f t="shared" si="5"/>
        <v>48.800000000000004</v>
      </c>
      <c r="BN39" s="9">
        <f t="shared" si="6"/>
        <v>472.11</v>
      </c>
      <c r="BO39" s="9">
        <f t="shared" si="7"/>
        <v>0</v>
      </c>
      <c r="BP39" s="9">
        <f t="shared" si="8"/>
        <v>0</v>
      </c>
    </row>
    <row r="40" spans="1:68">
      <c r="A40" s="6">
        <v>44568</v>
      </c>
      <c r="B40" s="7">
        <v>3023</v>
      </c>
      <c r="C40" s="8"/>
      <c r="D40" s="8">
        <v>1607.72</v>
      </c>
      <c r="E40" s="8"/>
      <c r="F40" s="8"/>
      <c r="G40" s="8"/>
      <c r="H40" s="8"/>
      <c r="I40" s="8">
        <v>866.86</v>
      </c>
      <c r="J40" s="8"/>
      <c r="K40" s="8"/>
      <c r="L40" s="8"/>
      <c r="M40" s="8"/>
      <c r="N40" s="8">
        <v>13.86</v>
      </c>
      <c r="O40" s="8"/>
      <c r="P40" s="8"/>
      <c r="Q40" s="8"/>
      <c r="R40" s="8"/>
      <c r="S40" s="8">
        <v>3.96</v>
      </c>
      <c r="T40" s="8"/>
      <c r="U40" s="8"/>
      <c r="V40" s="8"/>
      <c r="W40" s="8">
        <v>22.61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>
        <v>24.85</v>
      </c>
      <c r="AN40" s="8">
        <v>17.510000000000002</v>
      </c>
      <c r="AO40" s="8"/>
      <c r="AP40" s="8"/>
      <c r="AQ40" s="8"/>
      <c r="AR40" s="8"/>
      <c r="AS40" s="8">
        <v>81.97</v>
      </c>
      <c r="AT40" s="8">
        <v>1013.77</v>
      </c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>
        <v>76.72</v>
      </c>
      <c r="BH40" s="9">
        <f t="shared" si="0"/>
        <v>2474.58</v>
      </c>
      <c r="BI40" s="9">
        <f t="shared" si="1"/>
        <v>13.86</v>
      </c>
      <c r="BJ40" s="9">
        <f t="shared" si="2"/>
        <v>3.96</v>
      </c>
      <c r="BK40" s="9">
        <f t="shared" si="3"/>
        <v>22.61</v>
      </c>
      <c r="BL40" s="9">
        <f t="shared" si="4"/>
        <v>0</v>
      </c>
      <c r="BM40" s="9">
        <f t="shared" si="5"/>
        <v>124.33</v>
      </c>
      <c r="BN40" s="9">
        <f t="shared" si="6"/>
        <v>1013.77</v>
      </c>
      <c r="BO40" s="9">
        <f t="shared" si="7"/>
        <v>0</v>
      </c>
      <c r="BP40" s="9">
        <f t="shared" si="8"/>
        <v>0</v>
      </c>
    </row>
    <row r="41" spans="1:68">
      <c r="A41" s="6">
        <v>44568</v>
      </c>
      <c r="B41" s="7">
        <v>3016</v>
      </c>
      <c r="C41" s="8"/>
      <c r="D41" s="8">
        <v>1521.27</v>
      </c>
      <c r="E41" s="8"/>
      <c r="F41" s="8"/>
      <c r="G41" s="8"/>
      <c r="H41" s="8"/>
      <c r="I41" s="8">
        <v>1405.49</v>
      </c>
      <c r="J41" s="8"/>
      <c r="K41" s="8"/>
      <c r="L41" s="8"/>
      <c r="M41" s="8"/>
      <c r="N41" s="8">
        <v>17.559999999999999</v>
      </c>
      <c r="O41" s="8"/>
      <c r="P41" s="8"/>
      <c r="Q41" s="8"/>
      <c r="R41" s="8"/>
      <c r="S41" s="8">
        <v>2.04</v>
      </c>
      <c r="T41" s="8">
        <v>29.31</v>
      </c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>
        <v>11.57</v>
      </c>
      <c r="AN41" s="8">
        <v>35.35</v>
      </c>
      <c r="AO41" s="8"/>
      <c r="AP41" s="8"/>
      <c r="AQ41" s="8"/>
      <c r="AR41" s="8">
        <v>74.150000000000006</v>
      </c>
      <c r="AS41" s="8"/>
      <c r="AT41" s="8">
        <v>1088.2</v>
      </c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>
        <v>79.58</v>
      </c>
      <c r="BH41" s="9">
        <f t="shared" si="0"/>
        <v>2926.76</v>
      </c>
      <c r="BI41" s="9">
        <f t="shared" si="1"/>
        <v>17.559999999999999</v>
      </c>
      <c r="BJ41" s="9">
        <f t="shared" si="2"/>
        <v>2.04</v>
      </c>
      <c r="BK41" s="9">
        <f t="shared" si="3"/>
        <v>29.31</v>
      </c>
      <c r="BL41" s="9">
        <f t="shared" si="4"/>
        <v>0</v>
      </c>
      <c r="BM41" s="9">
        <f t="shared" si="5"/>
        <v>121.07000000000001</v>
      </c>
      <c r="BN41" s="9">
        <f t="shared" si="6"/>
        <v>1088.2</v>
      </c>
      <c r="BO41" s="9">
        <f t="shared" si="7"/>
        <v>0</v>
      </c>
      <c r="BP41" s="9">
        <f t="shared" si="8"/>
        <v>0</v>
      </c>
    </row>
    <row r="42" spans="1:68">
      <c r="A42" s="6">
        <v>44568</v>
      </c>
      <c r="B42" s="7">
        <v>3141</v>
      </c>
      <c r="C42" s="8">
        <v>3605.54</v>
      </c>
      <c r="D42" s="8">
        <v>636.74</v>
      </c>
      <c r="E42" s="8"/>
      <c r="F42" s="8"/>
      <c r="G42" s="8"/>
      <c r="H42" s="8"/>
      <c r="I42" s="8"/>
      <c r="J42" s="8"/>
      <c r="K42" s="8"/>
      <c r="L42" s="8"/>
      <c r="M42" s="8">
        <v>11.55</v>
      </c>
      <c r="N42" s="8"/>
      <c r="O42" s="8"/>
      <c r="P42" s="8"/>
      <c r="Q42" s="8"/>
      <c r="R42" s="8"/>
      <c r="S42" s="8">
        <v>19.97</v>
      </c>
      <c r="T42" s="8">
        <v>31.87</v>
      </c>
      <c r="U42" s="8">
        <v>31.84</v>
      </c>
      <c r="V42" s="8"/>
      <c r="W42" s="8"/>
      <c r="X42" s="8"/>
      <c r="Y42" s="8"/>
      <c r="Z42" s="8"/>
      <c r="AA42" s="8"/>
      <c r="AB42" s="8"/>
      <c r="AC42" s="8">
        <v>16.98</v>
      </c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>
        <v>2801.94</v>
      </c>
      <c r="AU42" s="8"/>
      <c r="AV42" s="8"/>
      <c r="AW42" s="8"/>
      <c r="AX42" s="8"/>
      <c r="AY42" s="8"/>
      <c r="AZ42" s="8"/>
      <c r="BA42" s="8">
        <v>113.93</v>
      </c>
      <c r="BB42" s="8"/>
      <c r="BC42" s="8"/>
      <c r="BD42" s="8"/>
      <c r="BE42" s="8"/>
      <c r="BF42" s="8">
        <v>297.12</v>
      </c>
      <c r="BG42" s="8">
        <v>220.58</v>
      </c>
      <c r="BH42" s="9">
        <f t="shared" si="0"/>
        <v>4242.28</v>
      </c>
      <c r="BI42" s="9">
        <f t="shared" si="1"/>
        <v>11.55</v>
      </c>
      <c r="BJ42" s="9">
        <f t="shared" si="2"/>
        <v>19.97</v>
      </c>
      <c r="BK42" s="9">
        <f t="shared" si="3"/>
        <v>63.71</v>
      </c>
      <c r="BL42" s="9">
        <f t="shared" si="4"/>
        <v>0</v>
      </c>
      <c r="BM42" s="9">
        <f t="shared" si="5"/>
        <v>16.98</v>
      </c>
      <c r="BN42" s="9">
        <f t="shared" si="6"/>
        <v>2801.94</v>
      </c>
      <c r="BO42" s="9">
        <f t="shared" si="7"/>
        <v>113.93</v>
      </c>
      <c r="BP42" s="9">
        <f t="shared" si="8"/>
        <v>297.12</v>
      </c>
    </row>
    <row r="43" spans="1:68">
      <c r="A43" s="6">
        <v>44568</v>
      </c>
      <c r="B43" s="7">
        <v>3134</v>
      </c>
      <c r="C43" s="8">
        <v>1032.1099999999999</v>
      </c>
      <c r="D43" s="8">
        <v>144.37</v>
      </c>
      <c r="E43" s="8"/>
      <c r="F43" s="8"/>
      <c r="G43" s="8"/>
      <c r="H43" s="8">
        <v>486.72</v>
      </c>
      <c r="I43" s="8"/>
      <c r="J43" s="8"/>
      <c r="K43" s="8"/>
      <c r="L43" s="8"/>
      <c r="M43" s="8">
        <v>3.32</v>
      </c>
      <c r="N43" s="8"/>
      <c r="O43" s="8"/>
      <c r="P43" s="8"/>
      <c r="Q43" s="8"/>
      <c r="R43" s="8"/>
      <c r="S43" s="8">
        <v>6.66</v>
      </c>
      <c r="T43" s="8">
        <v>10.130000000000001</v>
      </c>
      <c r="U43" s="8">
        <v>8.68</v>
      </c>
      <c r="V43" s="8"/>
      <c r="W43" s="8"/>
      <c r="X43" s="8"/>
      <c r="Y43" s="8"/>
      <c r="Z43" s="8"/>
      <c r="AA43" s="8"/>
      <c r="AB43" s="8"/>
      <c r="AC43" s="8">
        <v>5.78</v>
      </c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>
        <v>1020.6</v>
      </c>
      <c r="AU43" s="8"/>
      <c r="AV43" s="8"/>
      <c r="AW43" s="8"/>
      <c r="AX43" s="8"/>
      <c r="AY43" s="8">
        <v>14.75</v>
      </c>
      <c r="AZ43" s="8"/>
      <c r="BA43" s="8"/>
      <c r="BB43" s="8"/>
      <c r="BC43" s="8"/>
      <c r="BD43" s="8"/>
      <c r="BE43" s="8"/>
      <c r="BF43" s="8">
        <v>65.16</v>
      </c>
      <c r="BG43" s="8">
        <v>76.66</v>
      </c>
      <c r="BH43" s="9">
        <f t="shared" si="0"/>
        <v>1663.2</v>
      </c>
      <c r="BI43" s="9">
        <f t="shared" si="1"/>
        <v>3.32</v>
      </c>
      <c r="BJ43" s="9">
        <f t="shared" si="2"/>
        <v>6.66</v>
      </c>
      <c r="BK43" s="9">
        <f t="shared" si="3"/>
        <v>18.810000000000002</v>
      </c>
      <c r="BL43" s="9">
        <f t="shared" si="4"/>
        <v>0</v>
      </c>
      <c r="BM43" s="9">
        <f t="shared" si="5"/>
        <v>5.78</v>
      </c>
      <c r="BN43" s="9">
        <f t="shared" si="6"/>
        <v>1020.6</v>
      </c>
      <c r="BO43" s="9">
        <f t="shared" si="7"/>
        <v>14.75</v>
      </c>
      <c r="BP43" s="9">
        <f t="shared" si="8"/>
        <v>65.16</v>
      </c>
    </row>
    <row r="44" spans="1:68">
      <c r="A44" s="6">
        <v>44568</v>
      </c>
      <c r="B44" s="7">
        <v>3104</v>
      </c>
      <c r="C44" s="8">
        <v>1536.02</v>
      </c>
      <c r="D44" s="8"/>
      <c r="E44" s="8"/>
      <c r="F44" s="8"/>
      <c r="G44" s="8"/>
      <c r="H44" s="8">
        <v>395.16</v>
      </c>
      <c r="I44" s="8"/>
      <c r="J44" s="8"/>
      <c r="K44" s="8"/>
      <c r="L44" s="8"/>
      <c r="M44" s="8">
        <v>4.01</v>
      </c>
      <c r="N44" s="8"/>
      <c r="O44" s="8"/>
      <c r="P44" s="8"/>
      <c r="Q44" s="8"/>
      <c r="R44" s="8"/>
      <c r="S44" s="8">
        <v>8.25</v>
      </c>
      <c r="T44" s="8">
        <v>14.05</v>
      </c>
      <c r="U44" s="8">
        <v>6.15</v>
      </c>
      <c r="V44" s="8"/>
      <c r="W44" s="8"/>
      <c r="X44" s="8"/>
      <c r="Y44" s="8"/>
      <c r="Z44" s="8"/>
      <c r="AA44" s="8"/>
      <c r="AB44" s="8"/>
      <c r="AC44" s="8">
        <v>7.03</v>
      </c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>
        <v>1123.0899999999999</v>
      </c>
      <c r="AU44" s="8"/>
      <c r="AV44" s="8"/>
      <c r="AW44" s="8"/>
      <c r="AX44" s="8"/>
      <c r="AY44" s="8"/>
      <c r="AZ44" s="8"/>
      <c r="BA44" s="8">
        <v>47.07</v>
      </c>
      <c r="BB44" s="8"/>
      <c r="BC44" s="8"/>
      <c r="BD44" s="8"/>
      <c r="BE44" s="8"/>
      <c r="BF44" s="8">
        <v>35.14</v>
      </c>
      <c r="BG44" s="8">
        <v>87</v>
      </c>
      <c r="BH44" s="9">
        <f t="shared" si="0"/>
        <v>1931.18</v>
      </c>
      <c r="BI44" s="9">
        <f t="shared" si="1"/>
        <v>4.01</v>
      </c>
      <c r="BJ44" s="9">
        <f t="shared" si="2"/>
        <v>8.25</v>
      </c>
      <c r="BK44" s="9">
        <f t="shared" si="3"/>
        <v>20.200000000000003</v>
      </c>
      <c r="BL44" s="9">
        <f t="shared" si="4"/>
        <v>0</v>
      </c>
      <c r="BM44" s="9">
        <f t="shared" si="5"/>
        <v>7.03</v>
      </c>
      <c r="BN44" s="9">
        <f t="shared" si="6"/>
        <v>1123.0899999999999</v>
      </c>
      <c r="BO44" s="9">
        <f t="shared" si="7"/>
        <v>47.07</v>
      </c>
      <c r="BP44" s="9">
        <f t="shared" si="8"/>
        <v>35.14</v>
      </c>
    </row>
    <row r="45" spans="1:68">
      <c r="A45" s="6">
        <v>44568</v>
      </c>
      <c r="B45" s="7">
        <v>3106</v>
      </c>
      <c r="C45" s="8">
        <v>2150.2600000000002</v>
      </c>
      <c r="D45" s="8"/>
      <c r="E45" s="8"/>
      <c r="F45" s="8"/>
      <c r="G45" s="8"/>
      <c r="H45" s="8"/>
      <c r="I45" s="8"/>
      <c r="J45" s="8"/>
      <c r="K45" s="8"/>
      <c r="L45" s="8"/>
      <c r="M45" s="8">
        <v>5.8</v>
      </c>
      <c r="N45" s="8"/>
      <c r="O45" s="8"/>
      <c r="P45" s="8"/>
      <c r="Q45" s="8"/>
      <c r="R45" s="8"/>
      <c r="S45" s="8">
        <v>6.89</v>
      </c>
      <c r="T45" s="8">
        <v>27.43</v>
      </c>
      <c r="U45" s="8"/>
      <c r="V45" s="8"/>
      <c r="W45" s="8"/>
      <c r="X45" s="8"/>
      <c r="Y45" s="8"/>
      <c r="Z45" s="8"/>
      <c r="AA45" s="8"/>
      <c r="AB45" s="8"/>
      <c r="AC45" s="8">
        <v>8.6</v>
      </c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>
        <v>1230.8800000000001</v>
      </c>
      <c r="AU45" s="8"/>
      <c r="AV45" s="8"/>
      <c r="AW45" s="8"/>
      <c r="AX45" s="8">
        <v>2.69</v>
      </c>
      <c r="AY45" s="8"/>
      <c r="AZ45" s="8"/>
      <c r="BA45" s="8"/>
      <c r="BB45" s="8"/>
      <c r="BC45" s="8"/>
      <c r="BD45" s="8"/>
      <c r="BE45" s="8"/>
      <c r="BF45" s="8"/>
      <c r="BG45" s="8">
        <v>92.71</v>
      </c>
      <c r="BH45" s="9">
        <f t="shared" si="0"/>
        <v>2150.2600000000002</v>
      </c>
      <c r="BI45" s="9">
        <f t="shared" si="1"/>
        <v>5.8</v>
      </c>
      <c r="BJ45" s="9">
        <f t="shared" si="2"/>
        <v>6.89</v>
      </c>
      <c r="BK45" s="9">
        <f t="shared" si="3"/>
        <v>27.43</v>
      </c>
      <c r="BL45" s="9">
        <f t="shared" si="4"/>
        <v>0</v>
      </c>
      <c r="BM45" s="9">
        <f t="shared" si="5"/>
        <v>8.6</v>
      </c>
      <c r="BN45" s="9">
        <f t="shared" si="6"/>
        <v>1230.8800000000001</v>
      </c>
      <c r="BO45" s="9">
        <f t="shared" si="7"/>
        <v>2.69</v>
      </c>
      <c r="BP45" s="9">
        <f t="shared" si="8"/>
        <v>0</v>
      </c>
    </row>
    <row r="46" spans="1:68">
      <c r="A46" s="6">
        <v>44568</v>
      </c>
      <c r="B46" s="7">
        <v>3083</v>
      </c>
      <c r="C46" s="8"/>
      <c r="D46" s="8">
        <v>370.67</v>
      </c>
      <c r="E46" s="8"/>
      <c r="F46" s="8"/>
      <c r="G46" s="8"/>
      <c r="H46" s="8"/>
      <c r="I46" s="8">
        <v>863.04</v>
      </c>
      <c r="J46" s="8"/>
      <c r="K46" s="8"/>
      <c r="L46" s="8"/>
      <c r="M46" s="8"/>
      <c r="N46" s="8">
        <v>8.51</v>
      </c>
      <c r="O46" s="8"/>
      <c r="P46" s="8"/>
      <c r="Q46" s="8"/>
      <c r="R46" s="8"/>
      <c r="S46" s="8">
        <v>0.86</v>
      </c>
      <c r="T46" s="8">
        <v>9.8699999999999992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>
        <v>5.0199999999999996</v>
      </c>
      <c r="AN46" s="8">
        <v>17.05</v>
      </c>
      <c r="AO46" s="8"/>
      <c r="AP46" s="8"/>
      <c r="AQ46" s="8"/>
      <c r="AR46" s="8">
        <v>30.67</v>
      </c>
      <c r="AS46" s="8"/>
      <c r="AT46" s="8">
        <v>560.39</v>
      </c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>
        <v>44.16</v>
      </c>
      <c r="BH46" s="9">
        <f t="shared" si="0"/>
        <v>1233.71</v>
      </c>
      <c r="BI46" s="9">
        <f t="shared" si="1"/>
        <v>8.51</v>
      </c>
      <c r="BJ46" s="9">
        <f t="shared" si="2"/>
        <v>0.86</v>
      </c>
      <c r="BK46" s="9">
        <f t="shared" si="3"/>
        <v>9.8699999999999992</v>
      </c>
      <c r="BL46" s="9">
        <f t="shared" si="4"/>
        <v>0</v>
      </c>
      <c r="BM46" s="9">
        <f t="shared" si="5"/>
        <v>52.74</v>
      </c>
      <c r="BN46" s="9">
        <f t="shared" si="6"/>
        <v>560.39</v>
      </c>
      <c r="BO46" s="9">
        <f t="shared" si="7"/>
        <v>0</v>
      </c>
      <c r="BP46" s="9">
        <f t="shared" si="8"/>
        <v>0</v>
      </c>
    </row>
    <row r="47" spans="1:68">
      <c r="A47" s="6">
        <v>44571</v>
      </c>
      <c r="B47" s="7">
        <v>3117</v>
      </c>
      <c r="C47" s="8">
        <v>728.35</v>
      </c>
      <c r="D47" s="8"/>
      <c r="E47" s="8"/>
      <c r="F47" s="8"/>
      <c r="G47" s="8"/>
      <c r="H47" s="8"/>
      <c r="I47" s="8"/>
      <c r="J47" s="8"/>
      <c r="K47" s="8"/>
      <c r="L47" s="8"/>
      <c r="M47" s="8">
        <v>1.85</v>
      </c>
      <c r="N47" s="8"/>
      <c r="O47" s="8"/>
      <c r="P47" s="8"/>
      <c r="Q47" s="8"/>
      <c r="R47" s="8"/>
      <c r="S47" s="8">
        <v>2.56</v>
      </c>
      <c r="T47" s="8">
        <v>7.27</v>
      </c>
      <c r="U47" s="8"/>
      <c r="V47" s="8"/>
      <c r="W47" s="8"/>
      <c r="X47" s="8"/>
      <c r="Y47" s="8"/>
      <c r="Z47" s="8"/>
      <c r="AA47" s="8"/>
      <c r="AB47" s="8"/>
      <c r="AC47" s="8">
        <v>2.91</v>
      </c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>
        <v>459.41</v>
      </c>
      <c r="AU47" s="8"/>
      <c r="AV47" s="8">
        <v>18.190000000000001</v>
      </c>
      <c r="AW47" s="8"/>
      <c r="AX47" s="8"/>
      <c r="AY47" s="8"/>
      <c r="AZ47" s="8"/>
      <c r="BA47" s="8"/>
      <c r="BB47" s="8"/>
      <c r="BC47" s="8"/>
      <c r="BD47" s="8"/>
      <c r="BE47" s="8"/>
      <c r="BF47" s="8">
        <v>29.09</v>
      </c>
      <c r="BG47" s="8">
        <v>34.909999999999997</v>
      </c>
      <c r="BH47" s="9">
        <f t="shared" si="0"/>
        <v>728.35</v>
      </c>
      <c r="BI47" s="9">
        <f t="shared" si="1"/>
        <v>1.85</v>
      </c>
      <c r="BJ47" s="9">
        <f t="shared" si="2"/>
        <v>2.56</v>
      </c>
      <c r="BK47" s="9">
        <f t="shared" si="3"/>
        <v>7.27</v>
      </c>
      <c r="BL47" s="9">
        <f t="shared" si="4"/>
        <v>0</v>
      </c>
      <c r="BM47" s="9">
        <f t="shared" si="5"/>
        <v>2.91</v>
      </c>
      <c r="BN47" s="9">
        <f t="shared" si="6"/>
        <v>459.41</v>
      </c>
      <c r="BO47" s="9">
        <f t="shared" si="7"/>
        <v>18.190000000000001</v>
      </c>
      <c r="BP47" s="9">
        <f t="shared" si="8"/>
        <v>29.09</v>
      </c>
    </row>
    <row r="48" spans="1:68">
      <c r="A48" s="6">
        <v>44571</v>
      </c>
      <c r="B48" s="7">
        <v>3079</v>
      </c>
      <c r="C48" s="8"/>
      <c r="D48" s="8"/>
      <c r="E48" s="8"/>
      <c r="F48" s="8">
        <v>322.27999999999997</v>
      </c>
      <c r="G48" s="8"/>
      <c r="H48" s="8"/>
      <c r="I48" s="8">
        <v>2626.38</v>
      </c>
      <c r="J48" s="8"/>
      <c r="K48" s="8"/>
      <c r="L48" s="8"/>
      <c r="M48" s="8"/>
      <c r="N48" s="8">
        <v>22.2</v>
      </c>
      <c r="O48" s="8"/>
      <c r="P48" s="8"/>
      <c r="Q48" s="8"/>
      <c r="R48" s="8"/>
      <c r="S48" s="8">
        <v>1.1599999999999999</v>
      </c>
      <c r="T48" s="8">
        <v>29.63</v>
      </c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>
        <v>12.14</v>
      </c>
      <c r="AN48" s="8">
        <v>30.1</v>
      </c>
      <c r="AO48" s="8"/>
      <c r="AP48" s="8"/>
      <c r="AQ48" s="8"/>
      <c r="AR48" s="8">
        <v>74.66</v>
      </c>
      <c r="AS48" s="8"/>
      <c r="AT48" s="8">
        <v>1126.47</v>
      </c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>
        <v>81.36</v>
      </c>
      <c r="BH48" s="9">
        <f t="shared" si="0"/>
        <v>2948.66</v>
      </c>
      <c r="BI48" s="9">
        <f t="shared" si="1"/>
        <v>22.2</v>
      </c>
      <c r="BJ48" s="9">
        <f t="shared" si="2"/>
        <v>1.1599999999999999</v>
      </c>
      <c r="BK48" s="9">
        <f t="shared" si="3"/>
        <v>29.63</v>
      </c>
      <c r="BL48" s="9">
        <f t="shared" si="4"/>
        <v>0</v>
      </c>
      <c r="BM48" s="9">
        <f t="shared" si="5"/>
        <v>116.9</v>
      </c>
      <c r="BN48" s="9">
        <f t="shared" si="6"/>
        <v>1126.47</v>
      </c>
      <c r="BO48" s="9">
        <f t="shared" si="7"/>
        <v>0</v>
      </c>
      <c r="BP48" s="9">
        <f t="shared" si="8"/>
        <v>0</v>
      </c>
    </row>
    <row r="49" spans="1:68">
      <c r="A49" s="6">
        <v>44571</v>
      </c>
      <c r="B49" s="7">
        <v>3113</v>
      </c>
      <c r="C49" s="8">
        <v>2989.42</v>
      </c>
      <c r="D49" s="8"/>
      <c r="E49" s="8"/>
      <c r="F49" s="8"/>
      <c r="G49" s="8"/>
      <c r="H49" s="8"/>
      <c r="I49" s="8"/>
      <c r="J49" s="8"/>
      <c r="K49" s="8"/>
      <c r="L49" s="8"/>
      <c r="M49" s="8">
        <v>2.99</v>
      </c>
      <c r="N49" s="8">
        <v>2.98</v>
      </c>
      <c r="O49" s="8"/>
      <c r="P49" s="8"/>
      <c r="Q49" s="8"/>
      <c r="R49" s="8"/>
      <c r="S49" s="8">
        <v>8.99</v>
      </c>
      <c r="T49" s="8">
        <v>29.87</v>
      </c>
      <c r="U49" s="8"/>
      <c r="V49" s="8"/>
      <c r="W49" s="8"/>
      <c r="X49" s="8"/>
      <c r="Y49" s="8"/>
      <c r="Z49" s="8"/>
      <c r="AA49" s="8"/>
      <c r="AB49" s="8"/>
      <c r="AC49" s="8">
        <v>11.96</v>
      </c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>
        <v>1254.05</v>
      </c>
      <c r="AU49" s="8"/>
      <c r="AV49" s="8">
        <v>101.72</v>
      </c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>
        <v>89.89</v>
      </c>
      <c r="BH49" s="9">
        <f t="shared" si="0"/>
        <v>2989.42</v>
      </c>
      <c r="BI49" s="9">
        <f t="shared" si="1"/>
        <v>5.9700000000000006</v>
      </c>
      <c r="BJ49" s="9">
        <f t="shared" si="2"/>
        <v>8.99</v>
      </c>
      <c r="BK49" s="9">
        <f t="shared" si="3"/>
        <v>29.87</v>
      </c>
      <c r="BL49" s="9">
        <f t="shared" si="4"/>
        <v>0</v>
      </c>
      <c r="BM49" s="9">
        <f t="shared" si="5"/>
        <v>11.96</v>
      </c>
      <c r="BN49" s="9">
        <f t="shared" si="6"/>
        <v>1254.05</v>
      </c>
      <c r="BO49" s="9">
        <f t="shared" si="7"/>
        <v>101.72</v>
      </c>
      <c r="BP49" s="9">
        <f t="shared" si="8"/>
        <v>0</v>
      </c>
    </row>
    <row r="50" spans="1:68">
      <c r="A50" s="6">
        <v>44571</v>
      </c>
      <c r="B50" s="7">
        <v>3106</v>
      </c>
      <c r="C50" s="8">
        <v>5257.24</v>
      </c>
      <c r="D50" s="8"/>
      <c r="E50" s="8"/>
      <c r="F50" s="8"/>
      <c r="G50" s="8"/>
      <c r="H50" s="8"/>
      <c r="I50" s="8"/>
      <c r="J50" s="8"/>
      <c r="K50" s="8"/>
      <c r="L50" s="8"/>
      <c r="M50" s="8">
        <v>14.1</v>
      </c>
      <c r="N50" s="8"/>
      <c r="O50" s="8"/>
      <c r="P50" s="8"/>
      <c r="Q50" s="8"/>
      <c r="R50" s="8"/>
      <c r="S50" s="8">
        <v>16.260000000000002</v>
      </c>
      <c r="T50" s="8">
        <v>66.72</v>
      </c>
      <c r="U50" s="8"/>
      <c r="V50" s="8"/>
      <c r="W50" s="8"/>
      <c r="X50" s="8"/>
      <c r="Y50" s="8"/>
      <c r="Z50" s="8"/>
      <c r="AA50" s="8"/>
      <c r="AB50" s="8"/>
      <c r="AC50" s="8">
        <v>20.99</v>
      </c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>
        <v>3000.08</v>
      </c>
      <c r="AU50" s="8"/>
      <c r="AV50" s="8"/>
      <c r="AW50" s="8"/>
      <c r="AX50" s="8">
        <v>6.56</v>
      </c>
      <c r="AY50" s="8"/>
      <c r="AZ50" s="8"/>
      <c r="BA50" s="8"/>
      <c r="BB50" s="8"/>
      <c r="BC50" s="8"/>
      <c r="BD50" s="8"/>
      <c r="BE50" s="8"/>
      <c r="BF50" s="8"/>
      <c r="BG50" s="8">
        <v>226</v>
      </c>
      <c r="BH50" s="9">
        <f t="shared" si="0"/>
        <v>5257.24</v>
      </c>
      <c r="BI50" s="9">
        <f t="shared" si="1"/>
        <v>14.1</v>
      </c>
      <c r="BJ50" s="9">
        <f t="shared" si="2"/>
        <v>16.260000000000002</v>
      </c>
      <c r="BK50" s="9">
        <f t="shared" si="3"/>
        <v>66.72</v>
      </c>
      <c r="BL50" s="9">
        <f t="shared" si="4"/>
        <v>0</v>
      </c>
      <c r="BM50" s="9">
        <f t="shared" si="5"/>
        <v>20.99</v>
      </c>
      <c r="BN50" s="9">
        <f t="shared" si="6"/>
        <v>3000.08</v>
      </c>
      <c r="BO50" s="9">
        <f t="shared" si="7"/>
        <v>6.56</v>
      </c>
      <c r="BP50" s="9">
        <f t="shared" si="8"/>
        <v>0</v>
      </c>
    </row>
    <row r="51" spans="1:68">
      <c r="A51" s="6">
        <v>44571</v>
      </c>
      <c r="B51" s="7">
        <v>3141</v>
      </c>
      <c r="C51" s="8">
        <v>4643.37</v>
      </c>
      <c r="D51" s="8">
        <v>819.32</v>
      </c>
      <c r="E51" s="8"/>
      <c r="F51" s="8"/>
      <c r="G51" s="8"/>
      <c r="H51" s="8"/>
      <c r="I51" s="8"/>
      <c r="J51" s="8"/>
      <c r="K51" s="8"/>
      <c r="L51" s="8"/>
      <c r="M51" s="8">
        <v>14.76</v>
      </c>
      <c r="N51" s="8"/>
      <c r="O51" s="8"/>
      <c r="P51" s="8"/>
      <c r="Q51" s="8"/>
      <c r="R51" s="8"/>
      <c r="S51" s="8">
        <v>25.7</v>
      </c>
      <c r="T51" s="8">
        <v>41.01</v>
      </c>
      <c r="U51" s="8">
        <v>41</v>
      </c>
      <c r="V51" s="8"/>
      <c r="W51" s="8"/>
      <c r="X51" s="8"/>
      <c r="Y51" s="8"/>
      <c r="Z51" s="8"/>
      <c r="AA51" s="8"/>
      <c r="AB51" s="8"/>
      <c r="AC51" s="8">
        <v>21.87</v>
      </c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>
        <v>3632.03</v>
      </c>
      <c r="AU51" s="8"/>
      <c r="AV51" s="8"/>
      <c r="AW51" s="8"/>
      <c r="AX51" s="8"/>
      <c r="AY51" s="8"/>
      <c r="AZ51" s="8"/>
      <c r="BA51" s="8">
        <v>146.54</v>
      </c>
      <c r="BB51" s="8"/>
      <c r="BC51" s="8"/>
      <c r="BD51" s="8"/>
      <c r="BE51" s="8"/>
      <c r="BF51" s="8">
        <v>382.33</v>
      </c>
      <c r="BG51" s="8">
        <v>284.61</v>
      </c>
      <c r="BH51" s="9">
        <f t="shared" si="0"/>
        <v>5462.69</v>
      </c>
      <c r="BI51" s="9">
        <f t="shared" si="1"/>
        <v>14.76</v>
      </c>
      <c r="BJ51" s="9">
        <f t="shared" si="2"/>
        <v>25.7</v>
      </c>
      <c r="BK51" s="9">
        <f t="shared" si="3"/>
        <v>82.009999999999991</v>
      </c>
      <c r="BL51" s="9">
        <f t="shared" si="4"/>
        <v>0</v>
      </c>
      <c r="BM51" s="9">
        <f t="shared" si="5"/>
        <v>21.87</v>
      </c>
      <c r="BN51" s="9">
        <f t="shared" si="6"/>
        <v>3632.03</v>
      </c>
      <c r="BO51" s="9">
        <f t="shared" si="7"/>
        <v>146.54</v>
      </c>
      <c r="BP51" s="9">
        <f t="shared" si="8"/>
        <v>382.33</v>
      </c>
    </row>
    <row r="52" spans="1:68">
      <c r="A52" s="6">
        <v>44571</v>
      </c>
      <c r="B52" s="7">
        <v>3103</v>
      </c>
      <c r="C52" s="8">
        <v>450.38</v>
      </c>
      <c r="D52" s="8"/>
      <c r="E52" s="8"/>
      <c r="F52" s="8"/>
      <c r="G52" s="8"/>
      <c r="H52" s="8"/>
      <c r="I52" s="8"/>
      <c r="J52" s="8"/>
      <c r="K52" s="8"/>
      <c r="L52" s="8"/>
      <c r="M52" s="8">
        <v>1.1299999999999999</v>
      </c>
      <c r="N52" s="8"/>
      <c r="O52" s="8"/>
      <c r="P52" s="8"/>
      <c r="Q52" s="8"/>
      <c r="R52" s="8"/>
      <c r="S52" s="8">
        <v>1.81</v>
      </c>
      <c r="T52" s="8">
        <v>6.65</v>
      </c>
      <c r="U52" s="8"/>
      <c r="V52" s="8"/>
      <c r="W52" s="8"/>
      <c r="X52" s="8"/>
      <c r="Y52" s="8"/>
      <c r="Z52" s="8"/>
      <c r="AA52" s="8"/>
      <c r="AB52" s="8"/>
      <c r="AC52" s="8">
        <v>1.81</v>
      </c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>
        <v>272.36</v>
      </c>
      <c r="AU52" s="8"/>
      <c r="AV52" s="8">
        <v>11.31</v>
      </c>
      <c r="AW52" s="8"/>
      <c r="AX52" s="8"/>
      <c r="AY52" s="8"/>
      <c r="AZ52" s="8"/>
      <c r="BA52" s="8"/>
      <c r="BB52" s="8"/>
      <c r="BC52" s="8"/>
      <c r="BD52" s="8"/>
      <c r="BE52" s="8"/>
      <c r="BF52" s="8">
        <v>18.02</v>
      </c>
      <c r="BG52" s="8">
        <v>20.59</v>
      </c>
      <c r="BH52" s="9">
        <f t="shared" si="0"/>
        <v>450.38</v>
      </c>
      <c r="BI52" s="9">
        <f t="shared" si="1"/>
        <v>1.1299999999999999</v>
      </c>
      <c r="BJ52" s="9">
        <f t="shared" si="2"/>
        <v>1.81</v>
      </c>
      <c r="BK52" s="9">
        <f t="shared" si="3"/>
        <v>6.65</v>
      </c>
      <c r="BL52" s="9">
        <f t="shared" si="4"/>
        <v>0</v>
      </c>
      <c r="BM52" s="9">
        <f t="shared" si="5"/>
        <v>1.81</v>
      </c>
      <c r="BN52" s="9">
        <f t="shared" si="6"/>
        <v>272.36</v>
      </c>
      <c r="BO52" s="9">
        <f t="shared" si="7"/>
        <v>11.31</v>
      </c>
      <c r="BP52" s="9">
        <f t="shared" si="8"/>
        <v>18.02</v>
      </c>
    </row>
    <row r="53" spans="1:68">
      <c r="A53" s="6">
        <v>44571</v>
      </c>
      <c r="B53" s="7">
        <v>3122</v>
      </c>
      <c r="C53" s="8">
        <v>1311.73</v>
      </c>
      <c r="D53" s="8"/>
      <c r="E53" s="8"/>
      <c r="F53" s="8"/>
      <c r="G53" s="8"/>
      <c r="H53" s="8"/>
      <c r="I53" s="8"/>
      <c r="J53" s="8"/>
      <c r="K53" s="8"/>
      <c r="L53" s="8"/>
      <c r="M53" s="8">
        <v>2.3199999999999998</v>
      </c>
      <c r="N53" s="8">
        <v>2.34</v>
      </c>
      <c r="O53" s="8"/>
      <c r="P53" s="8"/>
      <c r="Q53" s="8"/>
      <c r="R53" s="8"/>
      <c r="S53" s="8">
        <v>5.22</v>
      </c>
      <c r="T53" s="8">
        <v>9.14</v>
      </c>
      <c r="U53" s="8">
        <v>3.91</v>
      </c>
      <c r="V53" s="8"/>
      <c r="W53" s="8"/>
      <c r="X53" s="8"/>
      <c r="Y53" s="8"/>
      <c r="Z53" s="8"/>
      <c r="AA53" s="8"/>
      <c r="AB53" s="8"/>
      <c r="AC53" s="8">
        <v>5.21</v>
      </c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>
        <v>579.41999999999996</v>
      </c>
      <c r="AU53" s="8"/>
      <c r="AV53" s="8">
        <v>44.34</v>
      </c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>
        <v>42.39</v>
      </c>
      <c r="BH53" s="9">
        <f t="shared" si="0"/>
        <v>1311.73</v>
      </c>
      <c r="BI53" s="9">
        <f t="shared" si="1"/>
        <v>4.66</v>
      </c>
      <c r="BJ53" s="9">
        <f t="shared" si="2"/>
        <v>5.22</v>
      </c>
      <c r="BK53" s="9">
        <f t="shared" si="3"/>
        <v>13.05</v>
      </c>
      <c r="BL53" s="9">
        <f t="shared" si="4"/>
        <v>0</v>
      </c>
      <c r="BM53" s="9">
        <f t="shared" si="5"/>
        <v>5.21</v>
      </c>
      <c r="BN53" s="9">
        <f t="shared" si="6"/>
        <v>579.41999999999996</v>
      </c>
      <c r="BO53" s="9">
        <f t="shared" si="7"/>
        <v>44.34</v>
      </c>
      <c r="BP53" s="9">
        <f t="shared" si="8"/>
        <v>0</v>
      </c>
    </row>
    <row r="54" spans="1:68">
      <c r="A54" s="6">
        <v>44571</v>
      </c>
      <c r="B54" s="7">
        <v>3016</v>
      </c>
      <c r="C54" s="8"/>
      <c r="D54" s="8">
        <v>804.74</v>
      </c>
      <c r="E54" s="8"/>
      <c r="F54" s="8"/>
      <c r="G54" s="8"/>
      <c r="H54" s="8"/>
      <c r="I54" s="8">
        <v>743.35</v>
      </c>
      <c r="J54" s="8"/>
      <c r="K54" s="8"/>
      <c r="L54" s="8"/>
      <c r="M54" s="8"/>
      <c r="N54" s="8">
        <v>9.3000000000000007</v>
      </c>
      <c r="O54" s="8"/>
      <c r="P54" s="8"/>
      <c r="Q54" s="8"/>
      <c r="R54" s="8"/>
      <c r="S54" s="8">
        <v>1.08</v>
      </c>
      <c r="T54" s="8">
        <v>15.55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>
        <v>6.36</v>
      </c>
      <c r="AN54" s="8">
        <v>18.78</v>
      </c>
      <c r="AO54" s="8"/>
      <c r="AP54" s="8"/>
      <c r="AQ54" s="8"/>
      <c r="AR54" s="8">
        <v>39.090000000000003</v>
      </c>
      <c r="AS54" s="8"/>
      <c r="AT54" s="8">
        <v>575.79999999999995</v>
      </c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>
        <v>42.13</v>
      </c>
      <c r="BH54" s="9">
        <f t="shared" si="0"/>
        <v>1548.0900000000001</v>
      </c>
      <c r="BI54" s="9">
        <f t="shared" si="1"/>
        <v>9.3000000000000007</v>
      </c>
      <c r="BJ54" s="9">
        <f t="shared" si="2"/>
        <v>1.08</v>
      </c>
      <c r="BK54" s="9">
        <f t="shared" si="3"/>
        <v>15.55</v>
      </c>
      <c r="BL54" s="9">
        <f t="shared" si="4"/>
        <v>0</v>
      </c>
      <c r="BM54" s="9">
        <f t="shared" si="5"/>
        <v>64.23</v>
      </c>
      <c r="BN54" s="9">
        <f t="shared" si="6"/>
        <v>575.79999999999995</v>
      </c>
      <c r="BO54" s="9">
        <f t="shared" si="7"/>
        <v>0</v>
      </c>
      <c r="BP54" s="9">
        <f t="shared" si="8"/>
        <v>0</v>
      </c>
    </row>
    <row r="55" spans="1:68">
      <c r="A55" s="6">
        <v>44571</v>
      </c>
      <c r="B55" s="7">
        <v>3083</v>
      </c>
      <c r="C55" s="8"/>
      <c r="D55" s="8">
        <f>580.01+213.06</f>
        <v>793.06999999999994</v>
      </c>
      <c r="E55" s="8"/>
      <c r="F55" s="8"/>
      <c r="G55" s="8"/>
      <c r="H55" s="8"/>
      <c r="I55" s="8">
        <f>1350.22+497.1</f>
        <v>1847.3200000000002</v>
      </c>
      <c r="J55" s="8"/>
      <c r="K55" s="8"/>
      <c r="L55" s="8"/>
      <c r="M55" s="8"/>
      <c r="N55" s="8">
        <f>13.31+4.9</f>
        <v>18.21</v>
      </c>
      <c r="O55" s="8"/>
      <c r="P55" s="8"/>
      <c r="Q55" s="8"/>
      <c r="R55" s="8"/>
      <c r="S55" s="8">
        <f>1.35+0.5</f>
        <v>1.85</v>
      </c>
      <c r="T55" s="8">
        <f>15.44+5.68</f>
        <v>21.119999999999997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>
        <f>7.71+2.84</f>
        <v>10.55</v>
      </c>
      <c r="AN55" s="8">
        <f>26.99+9.92</f>
        <v>36.909999999999997</v>
      </c>
      <c r="AO55" s="8"/>
      <c r="AP55" s="8"/>
      <c r="AQ55" s="8"/>
      <c r="AR55" s="8">
        <f>48.2+17.72</f>
        <v>65.92</v>
      </c>
      <c r="AS55" s="8"/>
      <c r="AT55" s="8">
        <f>876.45+322.77</f>
        <v>1199.22</v>
      </c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>
        <f>68.6+25.4</f>
        <v>94</v>
      </c>
      <c r="BH55" s="9">
        <f t="shared" si="0"/>
        <v>2640.3900000000003</v>
      </c>
      <c r="BI55" s="9">
        <f t="shared" si="1"/>
        <v>18.21</v>
      </c>
      <c r="BJ55" s="9">
        <f t="shared" si="2"/>
        <v>1.85</v>
      </c>
      <c r="BK55" s="9">
        <f t="shared" si="3"/>
        <v>21.119999999999997</v>
      </c>
      <c r="BL55" s="9">
        <f t="shared" si="4"/>
        <v>0</v>
      </c>
      <c r="BM55" s="9">
        <f t="shared" si="5"/>
        <v>113.38</v>
      </c>
      <c r="BN55" s="9">
        <f t="shared" si="6"/>
        <v>1199.22</v>
      </c>
      <c r="BO55" s="9">
        <f t="shared" si="7"/>
        <v>0</v>
      </c>
      <c r="BP55" s="9">
        <f t="shared" si="8"/>
        <v>0</v>
      </c>
    </row>
    <row r="56" spans="1:68">
      <c r="A56" s="6">
        <v>44572</v>
      </c>
      <c r="B56" s="7">
        <v>3602</v>
      </c>
      <c r="C56" s="8">
        <v>599.95000000000005</v>
      </c>
      <c r="D56" s="8"/>
      <c r="E56" s="8"/>
      <c r="F56" s="8"/>
      <c r="G56" s="8">
        <v>902.46</v>
      </c>
      <c r="H56" s="8"/>
      <c r="I56" s="8"/>
      <c r="J56" s="8"/>
      <c r="K56" s="8"/>
      <c r="L56" s="8"/>
      <c r="M56" s="8">
        <v>1.56</v>
      </c>
      <c r="N56" s="8"/>
      <c r="O56" s="8"/>
      <c r="P56" s="8"/>
      <c r="Q56" s="8"/>
      <c r="R56" s="8"/>
      <c r="S56" s="8">
        <v>8.01</v>
      </c>
      <c r="T56" s="8"/>
      <c r="U56" s="8">
        <v>4.83</v>
      </c>
      <c r="V56" s="8">
        <v>14.77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>
        <v>629.14</v>
      </c>
      <c r="AU56" s="8"/>
      <c r="AV56" s="8"/>
      <c r="AW56" s="8">
        <v>38.99</v>
      </c>
      <c r="AX56" s="8"/>
      <c r="AY56" s="8"/>
      <c r="AZ56" s="8"/>
      <c r="BA56" s="8"/>
      <c r="BB56" s="8"/>
      <c r="BC56" s="8"/>
      <c r="BD56" s="8"/>
      <c r="BE56" s="8"/>
      <c r="BF56" s="8">
        <v>48.3</v>
      </c>
      <c r="BG56" s="8">
        <v>46.96</v>
      </c>
      <c r="BH56" s="9">
        <f t="shared" si="0"/>
        <v>1502.41</v>
      </c>
      <c r="BI56" s="9">
        <f t="shared" si="1"/>
        <v>1.56</v>
      </c>
      <c r="BJ56" s="9">
        <f t="shared" si="2"/>
        <v>8.01</v>
      </c>
      <c r="BK56" s="9">
        <f t="shared" si="3"/>
        <v>19.600000000000001</v>
      </c>
      <c r="BL56" s="9">
        <f t="shared" si="4"/>
        <v>0</v>
      </c>
      <c r="BM56" s="9">
        <f t="shared" si="5"/>
        <v>0</v>
      </c>
      <c r="BN56" s="9">
        <f t="shared" si="6"/>
        <v>629.14</v>
      </c>
      <c r="BO56" s="9">
        <f t="shared" si="7"/>
        <v>38.99</v>
      </c>
      <c r="BP56" s="9">
        <f t="shared" si="8"/>
        <v>48.3</v>
      </c>
    </row>
    <row r="57" spans="1:68">
      <c r="A57" s="6">
        <v>44572</v>
      </c>
      <c r="B57" s="7">
        <v>3601</v>
      </c>
      <c r="C57" s="8">
        <v>300.16000000000003</v>
      </c>
      <c r="D57" s="8"/>
      <c r="E57" s="8"/>
      <c r="F57" s="8"/>
      <c r="G57" s="8">
        <v>449.73</v>
      </c>
      <c r="H57" s="8"/>
      <c r="I57" s="8"/>
      <c r="J57" s="8"/>
      <c r="K57" s="8"/>
      <c r="L57" s="8"/>
      <c r="M57" s="8">
        <v>0.88</v>
      </c>
      <c r="N57" s="8"/>
      <c r="O57" s="8"/>
      <c r="P57" s="8"/>
      <c r="Q57" s="8"/>
      <c r="R57" s="8"/>
      <c r="S57" s="8">
        <v>3.97</v>
      </c>
      <c r="T57" s="8"/>
      <c r="U57" s="8">
        <v>4.5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>
        <v>367.16</v>
      </c>
      <c r="AU57" s="8"/>
      <c r="AV57" s="8"/>
      <c r="AW57" s="8">
        <v>22.77</v>
      </c>
      <c r="AX57" s="8"/>
      <c r="AY57" s="8"/>
      <c r="AZ57" s="8"/>
      <c r="BA57" s="8"/>
      <c r="BB57" s="8"/>
      <c r="BC57" s="8"/>
      <c r="BD57" s="8"/>
      <c r="BE57" s="8"/>
      <c r="BF57" s="8">
        <v>41.75</v>
      </c>
      <c r="BG57" s="8">
        <v>27.79</v>
      </c>
      <c r="BH57" s="9">
        <f t="shared" si="0"/>
        <v>749.8900000000001</v>
      </c>
      <c r="BI57" s="9">
        <f t="shared" si="1"/>
        <v>0.88</v>
      </c>
      <c r="BJ57" s="9">
        <f t="shared" si="2"/>
        <v>3.97</v>
      </c>
      <c r="BK57" s="9">
        <f t="shared" si="3"/>
        <v>4.5</v>
      </c>
      <c r="BL57" s="9">
        <f t="shared" si="4"/>
        <v>0</v>
      </c>
      <c r="BM57" s="9">
        <f t="shared" si="5"/>
        <v>0</v>
      </c>
      <c r="BN57" s="9">
        <f t="shared" si="6"/>
        <v>367.16</v>
      </c>
      <c r="BO57" s="9">
        <f t="shared" si="7"/>
        <v>22.77</v>
      </c>
      <c r="BP57" s="9">
        <f t="shared" si="8"/>
        <v>41.75</v>
      </c>
    </row>
    <row r="58" spans="1:68">
      <c r="A58" s="6">
        <v>44572</v>
      </c>
      <c r="B58" s="7">
        <v>3020</v>
      </c>
      <c r="C58" s="8"/>
      <c r="D58" s="8">
        <v>237.5</v>
      </c>
      <c r="E58" s="8"/>
      <c r="F58" s="8"/>
      <c r="G58" s="8"/>
      <c r="H58" s="8"/>
      <c r="I58" s="8">
        <v>1337.28</v>
      </c>
      <c r="J58" s="8"/>
      <c r="K58" s="8"/>
      <c r="L58" s="8"/>
      <c r="M58" s="8"/>
      <c r="N58" s="8">
        <v>9.4499999999999993</v>
      </c>
      <c r="O58" s="8"/>
      <c r="P58" s="8"/>
      <c r="Q58" s="8"/>
      <c r="R58" s="8"/>
      <c r="S58" s="8">
        <v>2.84</v>
      </c>
      <c r="T58" s="8"/>
      <c r="U58" s="8"/>
      <c r="V58" s="8"/>
      <c r="W58" s="8">
        <v>15.84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>
        <v>16.010000000000002</v>
      </c>
      <c r="AN58" s="8"/>
      <c r="AO58" s="8"/>
      <c r="AP58" s="8"/>
      <c r="AQ58" s="8"/>
      <c r="AR58" s="8"/>
      <c r="AS58" s="8">
        <v>40.31</v>
      </c>
      <c r="AT58" s="8">
        <v>775.44</v>
      </c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56.8</v>
      </c>
      <c r="BH58" s="9">
        <f t="shared" si="0"/>
        <v>1574.78</v>
      </c>
      <c r="BI58" s="9">
        <f t="shared" si="1"/>
        <v>9.4499999999999993</v>
      </c>
      <c r="BJ58" s="9">
        <f t="shared" si="2"/>
        <v>2.84</v>
      </c>
      <c r="BK58" s="9">
        <f t="shared" si="3"/>
        <v>15.84</v>
      </c>
      <c r="BL58" s="9">
        <f t="shared" si="4"/>
        <v>0</v>
      </c>
      <c r="BM58" s="9">
        <f t="shared" si="5"/>
        <v>56.320000000000007</v>
      </c>
      <c r="BN58" s="9">
        <f t="shared" si="6"/>
        <v>775.44</v>
      </c>
      <c r="BO58" s="9">
        <f t="shared" si="7"/>
        <v>0</v>
      </c>
      <c r="BP58" s="9">
        <f t="shared" si="8"/>
        <v>0</v>
      </c>
    </row>
    <row r="59" spans="1:68">
      <c r="A59" s="6">
        <v>44572</v>
      </c>
      <c r="B59" s="7">
        <v>3025</v>
      </c>
      <c r="C59" s="8"/>
      <c r="D59" s="8">
        <v>110.36</v>
      </c>
      <c r="E59" s="8"/>
      <c r="F59" s="8"/>
      <c r="G59" s="8"/>
      <c r="H59" s="8"/>
      <c r="I59" s="8">
        <v>625.07000000000005</v>
      </c>
      <c r="J59" s="8"/>
      <c r="K59" s="8"/>
      <c r="L59" s="8"/>
      <c r="M59" s="8"/>
      <c r="N59" s="8">
        <v>3.97</v>
      </c>
      <c r="O59" s="8"/>
      <c r="P59" s="8"/>
      <c r="Q59" s="8"/>
      <c r="R59" s="8"/>
      <c r="S59" s="8">
        <v>1.18</v>
      </c>
      <c r="T59" s="8"/>
      <c r="U59" s="8"/>
      <c r="V59" s="8"/>
      <c r="W59" s="8">
        <v>6.7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>
        <v>7.51</v>
      </c>
      <c r="AN59" s="8">
        <v>5.25</v>
      </c>
      <c r="AO59" s="8"/>
      <c r="AP59" s="8"/>
      <c r="AQ59" s="8"/>
      <c r="AR59" s="8"/>
      <c r="AS59" s="8">
        <v>24.43</v>
      </c>
      <c r="AT59" s="8">
        <v>254.19</v>
      </c>
      <c r="AU59" s="8"/>
      <c r="AV59" s="8"/>
      <c r="AW59" s="8"/>
      <c r="AX59" s="8"/>
      <c r="AY59" s="8"/>
      <c r="AZ59" s="8"/>
      <c r="BA59" s="8"/>
      <c r="BB59" s="8"/>
      <c r="BC59" s="10"/>
      <c r="BD59" s="8"/>
      <c r="BE59" s="8"/>
      <c r="BF59" s="8"/>
      <c r="BG59" s="8">
        <v>16.91</v>
      </c>
      <c r="BH59" s="9">
        <f t="shared" si="0"/>
        <v>735.43000000000006</v>
      </c>
      <c r="BI59" s="9">
        <f t="shared" si="1"/>
        <v>3.97</v>
      </c>
      <c r="BJ59" s="9">
        <f t="shared" si="2"/>
        <v>1.18</v>
      </c>
      <c r="BK59" s="9">
        <f t="shared" si="3"/>
        <v>6.7</v>
      </c>
      <c r="BL59" s="9">
        <f t="shared" si="4"/>
        <v>0</v>
      </c>
      <c r="BM59" s="9">
        <f t="shared" si="5"/>
        <v>37.19</v>
      </c>
      <c r="BN59" s="9">
        <f t="shared" si="6"/>
        <v>254.19</v>
      </c>
      <c r="BO59" s="9">
        <f t="shared" si="7"/>
        <v>0</v>
      </c>
      <c r="BP59" s="9">
        <f t="shared" si="8"/>
        <v>0</v>
      </c>
    </row>
    <row r="60" spans="1:68">
      <c r="A60" s="6">
        <v>44572</v>
      </c>
      <c r="B60" s="7">
        <v>3016</v>
      </c>
      <c r="C60" s="8"/>
      <c r="D60" s="8">
        <v>1512.91</v>
      </c>
      <c r="E60" s="8"/>
      <c r="F60" s="8"/>
      <c r="G60" s="8"/>
      <c r="H60" s="8"/>
      <c r="I60" s="8">
        <v>1397.72</v>
      </c>
      <c r="J60" s="8"/>
      <c r="K60" s="8"/>
      <c r="L60" s="8"/>
      <c r="M60" s="8"/>
      <c r="N60" s="8">
        <v>17.46</v>
      </c>
      <c r="O60" s="8"/>
      <c r="P60" s="8"/>
      <c r="Q60" s="8"/>
      <c r="R60" s="8"/>
      <c r="S60" s="8">
        <v>2.04</v>
      </c>
      <c r="T60" s="8">
        <v>29.13</v>
      </c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>
        <v>11.61</v>
      </c>
      <c r="AN60" s="8">
        <v>35.08</v>
      </c>
      <c r="AO60" s="8"/>
      <c r="AP60" s="8"/>
      <c r="AQ60" s="8"/>
      <c r="AR60" s="8">
        <v>73.03</v>
      </c>
      <c r="AS60" s="8"/>
      <c r="AT60" s="8">
        <v>1080.47</v>
      </c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>
        <v>79.03</v>
      </c>
      <c r="BH60" s="9">
        <f t="shared" si="0"/>
        <v>2910.63</v>
      </c>
      <c r="BI60" s="9">
        <f t="shared" si="1"/>
        <v>17.46</v>
      </c>
      <c r="BJ60" s="9">
        <f t="shared" si="2"/>
        <v>2.04</v>
      </c>
      <c r="BK60" s="9">
        <f t="shared" si="3"/>
        <v>29.13</v>
      </c>
      <c r="BL60" s="9">
        <f t="shared" si="4"/>
        <v>0</v>
      </c>
      <c r="BM60" s="9">
        <f t="shared" si="5"/>
        <v>119.72</v>
      </c>
      <c r="BN60" s="9">
        <f t="shared" si="6"/>
        <v>1080.47</v>
      </c>
      <c r="BO60" s="9">
        <f t="shared" si="7"/>
        <v>0</v>
      </c>
      <c r="BP60" s="9">
        <f t="shared" si="8"/>
        <v>0</v>
      </c>
    </row>
    <row r="61" spans="1:68">
      <c r="A61" s="6">
        <v>44572</v>
      </c>
      <c r="B61" s="7">
        <v>3083</v>
      </c>
      <c r="C61" s="8"/>
      <c r="D61" s="8">
        <f>366.44+386.07</f>
        <v>752.51</v>
      </c>
      <c r="E61" s="8"/>
      <c r="F61" s="8"/>
      <c r="G61" s="8"/>
      <c r="H61" s="8"/>
      <c r="I61" s="8">
        <f>852.97+895.03</f>
        <v>1748</v>
      </c>
      <c r="J61" s="8"/>
      <c r="K61" s="8"/>
      <c r="L61" s="8"/>
      <c r="M61" s="8"/>
      <c r="N61" s="8">
        <f>8.41+8.85</f>
        <v>17.259999999999998</v>
      </c>
      <c r="O61" s="8"/>
      <c r="P61" s="8"/>
      <c r="Q61" s="8"/>
      <c r="R61" s="8"/>
      <c r="S61" s="8">
        <f>0.85+0.9</f>
        <v>1.75</v>
      </c>
      <c r="T61" s="8">
        <f>9.74+10.28</f>
        <v>20.02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>
        <f>4.85+5.1</f>
        <v>9.9499999999999993</v>
      </c>
      <c r="AN61" s="8">
        <f>17.17+18.05</f>
        <v>35.22</v>
      </c>
      <c r="AO61" s="8"/>
      <c r="AP61" s="8"/>
      <c r="AQ61" s="8"/>
      <c r="AR61" s="8">
        <f>30.85+32.42</f>
        <v>63.27</v>
      </c>
      <c r="AS61" s="8"/>
      <c r="AT61" s="8">
        <f>553.75+582.74</f>
        <v>1136.49</v>
      </c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>
        <f>43.61+46.05</f>
        <v>89.66</v>
      </c>
      <c r="BH61" s="9">
        <f t="shared" si="0"/>
        <v>2500.5100000000002</v>
      </c>
      <c r="BI61" s="9">
        <f t="shared" si="1"/>
        <v>17.259999999999998</v>
      </c>
      <c r="BJ61" s="9">
        <f t="shared" si="2"/>
        <v>1.75</v>
      </c>
      <c r="BK61" s="9">
        <f t="shared" si="3"/>
        <v>20.02</v>
      </c>
      <c r="BL61" s="9">
        <f t="shared" si="4"/>
        <v>0</v>
      </c>
      <c r="BM61" s="9">
        <f t="shared" si="5"/>
        <v>108.44</v>
      </c>
      <c r="BN61" s="9">
        <f t="shared" si="6"/>
        <v>1136.49</v>
      </c>
      <c r="BO61" s="9">
        <f t="shared" si="7"/>
        <v>0</v>
      </c>
      <c r="BP61" s="9">
        <f t="shared" si="8"/>
        <v>0</v>
      </c>
    </row>
    <row r="62" spans="1:68">
      <c r="A62" s="6">
        <v>44572</v>
      </c>
      <c r="B62" s="7">
        <v>3141</v>
      </c>
      <c r="C62" s="8">
        <v>4770.63</v>
      </c>
      <c r="D62" s="8">
        <v>841.14</v>
      </c>
      <c r="E62" s="8"/>
      <c r="F62" s="8"/>
      <c r="G62" s="8"/>
      <c r="H62" s="8"/>
      <c r="I62" s="8"/>
      <c r="J62" s="8"/>
      <c r="K62" s="8"/>
      <c r="L62" s="8"/>
      <c r="M62" s="8">
        <v>14.71</v>
      </c>
      <c r="N62" s="8"/>
      <c r="O62" s="8"/>
      <c r="P62" s="8"/>
      <c r="Q62" s="8"/>
      <c r="R62" s="8"/>
      <c r="S62" s="8">
        <v>25.25</v>
      </c>
      <c r="T62" s="8">
        <v>42.1</v>
      </c>
      <c r="U62" s="8">
        <v>42.08</v>
      </c>
      <c r="V62" s="8"/>
      <c r="W62" s="8"/>
      <c r="X62" s="8"/>
      <c r="Y62" s="8"/>
      <c r="Z62" s="8"/>
      <c r="AA62" s="8"/>
      <c r="AB62" s="8"/>
      <c r="AC62" s="8">
        <v>22.44</v>
      </c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>
        <v>3726.96</v>
      </c>
      <c r="AU62" s="8"/>
      <c r="AV62" s="8"/>
      <c r="AW62" s="8"/>
      <c r="AX62" s="8"/>
      <c r="AY62" s="8"/>
      <c r="AZ62" s="8"/>
      <c r="BA62" s="8">
        <v>128.32</v>
      </c>
      <c r="BB62" s="8"/>
      <c r="BC62" s="8"/>
      <c r="BD62" s="8"/>
      <c r="BE62" s="8"/>
      <c r="BF62" s="8">
        <v>392.48</v>
      </c>
      <c r="BG62" s="8">
        <v>291.76</v>
      </c>
      <c r="BH62" s="9">
        <f t="shared" si="0"/>
        <v>5611.77</v>
      </c>
      <c r="BI62" s="9">
        <f t="shared" si="1"/>
        <v>14.71</v>
      </c>
      <c r="BJ62" s="9">
        <f t="shared" si="2"/>
        <v>25.25</v>
      </c>
      <c r="BK62" s="9">
        <f t="shared" si="3"/>
        <v>84.18</v>
      </c>
      <c r="BL62" s="9">
        <f t="shared" si="4"/>
        <v>0</v>
      </c>
      <c r="BM62" s="9">
        <f t="shared" si="5"/>
        <v>22.44</v>
      </c>
      <c r="BN62" s="9">
        <f t="shared" si="6"/>
        <v>3726.96</v>
      </c>
      <c r="BO62" s="9">
        <f t="shared" si="7"/>
        <v>128.32</v>
      </c>
      <c r="BP62" s="9">
        <f t="shared" si="8"/>
        <v>392.48</v>
      </c>
    </row>
    <row r="63" spans="1:68">
      <c r="A63" s="6">
        <v>44572</v>
      </c>
      <c r="B63" s="7">
        <v>3108</v>
      </c>
      <c r="C63" s="8">
        <v>2269.86</v>
      </c>
      <c r="D63" s="8"/>
      <c r="E63" s="8"/>
      <c r="F63" s="8"/>
      <c r="G63" s="8"/>
      <c r="H63" s="8"/>
      <c r="I63" s="8"/>
      <c r="J63" s="8"/>
      <c r="K63" s="8"/>
      <c r="L63" s="8"/>
      <c r="M63" s="8">
        <v>5.68</v>
      </c>
      <c r="N63" s="8"/>
      <c r="O63" s="8"/>
      <c r="P63" s="8"/>
      <c r="Q63" s="8"/>
      <c r="R63" s="8"/>
      <c r="S63" s="8">
        <v>7.75</v>
      </c>
      <c r="T63" s="8">
        <v>28.86</v>
      </c>
      <c r="U63" s="8"/>
      <c r="V63" s="8"/>
      <c r="W63" s="8"/>
      <c r="X63" s="8"/>
      <c r="Y63" s="8"/>
      <c r="Z63" s="8"/>
      <c r="AA63" s="8"/>
      <c r="AB63" s="8"/>
      <c r="AC63" s="8">
        <v>9.1</v>
      </c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>
        <v>1239.3399999999999</v>
      </c>
      <c r="AU63" s="8"/>
      <c r="AV63" s="8"/>
      <c r="AW63" s="8"/>
      <c r="AX63" s="8"/>
      <c r="AY63" s="8"/>
      <c r="AZ63" s="8"/>
      <c r="BA63" s="8"/>
      <c r="BB63" s="8">
        <v>41.85</v>
      </c>
      <c r="BC63" s="8"/>
      <c r="BD63" s="8"/>
      <c r="BE63" s="8"/>
      <c r="BF63" s="8"/>
      <c r="BG63" s="8">
        <v>92.07</v>
      </c>
      <c r="BH63" s="9">
        <f t="shared" si="0"/>
        <v>2269.86</v>
      </c>
      <c r="BI63" s="9">
        <f t="shared" si="1"/>
        <v>5.68</v>
      </c>
      <c r="BJ63" s="9">
        <f t="shared" si="2"/>
        <v>7.75</v>
      </c>
      <c r="BK63" s="9">
        <f t="shared" si="3"/>
        <v>28.86</v>
      </c>
      <c r="BL63" s="9">
        <f t="shared" si="4"/>
        <v>0</v>
      </c>
      <c r="BM63" s="9">
        <f t="shared" si="5"/>
        <v>9.1</v>
      </c>
      <c r="BN63" s="9">
        <f t="shared" si="6"/>
        <v>1239.3399999999999</v>
      </c>
      <c r="BO63" s="9">
        <f t="shared" si="7"/>
        <v>41.85</v>
      </c>
      <c r="BP63" s="9">
        <f t="shared" si="8"/>
        <v>0</v>
      </c>
    </row>
    <row r="64" spans="1:68">
      <c r="A64" s="6">
        <v>44572</v>
      </c>
      <c r="B64" s="7">
        <v>3203</v>
      </c>
      <c r="C64" s="8">
        <v>879.81</v>
      </c>
      <c r="D64" s="8"/>
      <c r="E64" s="8">
        <v>378.19</v>
      </c>
      <c r="F64" s="8"/>
      <c r="G64" s="8"/>
      <c r="H64" s="8"/>
      <c r="I64" s="8"/>
      <c r="J64" s="8"/>
      <c r="K64" s="8"/>
      <c r="L64" s="8"/>
      <c r="M64" s="8"/>
      <c r="N64" s="8"/>
      <c r="O64" s="8">
        <v>3.79</v>
      </c>
      <c r="P64" s="8"/>
      <c r="Q64" s="8"/>
      <c r="R64" s="8"/>
      <c r="S64" s="8">
        <v>5.04</v>
      </c>
      <c r="T64" s="8"/>
      <c r="U64" s="8">
        <v>15.65</v>
      </c>
      <c r="V64" s="8"/>
      <c r="W64" s="8"/>
      <c r="X64" s="8"/>
      <c r="Y64" s="8"/>
      <c r="Z64" s="8">
        <v>198.5</v>
      </c>
      <c r="AA64" s="8">
        <v>155.58000000000001</v>
      </c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>
        <v>470.85</v>
      </c>
      <c r="AU64" s="8">
        <v>235.46</v>
      </c>
      <c r="AV64" s="8"/>
      <c r="AW64" s="8"/>
      <c r="AX64" s="8"/>
      <c r="AY64" s="8"/>
      <c r="AZ64" s="8"/>
      <c r="BA64" s="8"/>
      <c r="BB64" s="8"/>
      <c r="BC64" s="8">
        <v>3.28</v>
      </c>
      <c r="BD64" s="8"/>
      <c r="BE64" s="8"/>
      <c r="BF64" s="8"/>
      <c r="BG64" s="8">
        <v>46.13</v>
      </c>
      <c r="BH64" s="9">
        <f t="shared" si="0"/>
        <v>1258</v>
      </c>
      <c r="BI64" s="9">
        <f t="shared" si="1"/>
        <v>3.79</v>
      </c>
      <c r="BJ64" s="9">
        <f t="shared" si="2"/>
        <v>5.04</v>
      </c>
      <c r="BK64" s="9">
        <f t="shared" si="3"/>
        <v>15.65</v>
      </c>
      <c r="BL64" s="9">
        <f t="shared" si="4"/>
        <v>354.08000000000004</v>
      </c>
      <c r="BM64" s="9">
        <f t="shared" si="5"/>
        <v>0</v>
      </c>
      <c r="BN64" s="9">
        <f t="shared" si="6"/>
        <v>706.31000000000006</v>
      </c>
      <c r="BO64" s="9">
        <f t="shared" si="7"/>
        <v>3.28</v>
      </c>
      <c r="BP64" s="9">
        <f t="shared" si="8"/>
        <v>0</v>
      </c>
    </row>
    <row r="65" spans="1:68">
      <c r="A65" s="6">
        <v>44573</v>
      </c>
      <c r="B65" s="7">
        <v>3200</v>
      </c>
      <c r="C65" s="8">
        <v>2264.9899999999998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>
        <v>5.66</v>
      </c>
      <c r="P65" s="8"/>
      <c r="Q65" s="8"/>
      <c r="R65" s="8"/>
      <c r="S65" s="8">
        <v>8.86</v>
      </c>
      <c r="T65" s="8"/>
      <c r="U65" s="8">
        <v>34.01</v>
      </c>
      <c r="V65" s="8"/>
      <c r="W65" s="8"/>
      <c r="X65" s="8"/>
      <c r="Y65" s="8"/>
      <c r="Z65" s="8">
        <v>476.25</v>
      </c>
      <c r="AA65" s="8"/>
      <c r="AB65" s="8"/>
      <c r="AC65" s="8"/>
      <c r="AD65" s="8"/>
      <c r="AE65" s="8">
        <v>34.270000000000003</v>
      </c>
      <c r="AF65" s="8">
        <v>112.46</v>
      </c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>
        <v>1548.91</v>
      </c>
      <c r="AU65" s="8"/>
      <c r="AV65" s="8"/>
      <c r="AW65" s="8">
        <v>6.36</v>
      </c>
      <c r="AX65" s="8"/>
      <c r="AY65" s="8"/>
      <c r="AZ65" s="8"/>
      <c r="BA65" s="8"/>
      <c r="BB65" s="8"/>
      <c r="BC65" s="8"/>
      <c r="BD65" s="8"/>
      <c r="BE65" s="8"/>
      <c r="BF65" s="8">
        <v>108.54</v>
      </c>
      <c r="BG65" s="8">
        <v>112.53</v>
      </c>
      <c r="BH65" s="9">
        <f t="shared" si="0"/>
        <v>2264.9899999999998</v>
      </c>
      <c r="BI65" s="9">
        <f t="shared" si="1"/>
        <v>5.66</v>
      </c>
      <c r="BJ65" s="9">
        <f t="shared" si="2"/>
        <v>8.86</v>
      </c>
      <c r="BK65" s="9">
        <f t="shared" si="3"/>
        <v>34.01</v>
      </c>
      <c r="BL65" s="9">
        <f t="shared" si="4"/>
        <v>476.25</v>
      </c>
      <c r="BM65" s="9">
        <f t="shared" si="5"/>
        <v>146.72999999999999</v>
      </c>
      <c r="BN65" s="9">
        <f t="shared" si="6"/>
        <v>1548.91</v>
      </c>
      <c r="BO65" s="9">
        <f t="shared" si="7"/>
        <v>6.36</v>
      </c>
      <c r="BP65" s="9">
        <f t="shared" si="8"/>
        <v>108.54</v>
      </c>
    </row>
    <row r="66" spans="1:68">
      <c r="A66" s="6">
        <v>44573</v>
      </c>
      <c r="B66" s="7">
        <v>3005</v>
      </c>
      <c r="C66" s="8">
        <v>1495.87</v>
      </c>
      <c r="D66" s="8">
        <v>998.64</v>
      </c>
      <c r="E66" s="8"/>
      <c r="F66" s="8"/>
      <c r="G66" s="8"/>
      <c r="H66" s="8"/>
      <c r="I66" s="8"/>
      <c r="J66" s="8"/>
      <c r="K66" s="8"/>
      <c r="L66" s="8"/>
      <c r="M66" s="8"/>
      <c r="N66" s="8">
        <v>2.4900000000000002</v>
      </c>
      <c r="O66" s="8"/>
      <c r="P66" s="8"/>
      <c r="Q66" s="8"/>
      <c r="R66" s="8"/>
      <c r="S66" s="8">
        <v>8.7200000000000006</v>
      </c>
      <c r="T66" s="8">
        <v>27.48</v>
      </c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>
        <v>1219.03</v>
      </c>
      <c r="AU66" s="8"/>
      <c r="AV66" s="8"/>
      <c r="AW66" s="8">
        <v>27.66</v>
      </c>
      <c r="AX66" s="8"/>
      <c r="AY66" s="8"/>
      <c r="AZ66" s="8"/>
      <c r="BA66" s="8"/>
      <c r="BB66" s="8"/>
      <c r="BC66" s="8"/>
      <c r="BD66" s="8"/>
      <c r="BE66" s="8"/>
      <c r="BF66" s="8"/>
      <c r="BG66" s="8">
        <v>90.9</v>
      </c>
      <c r="BH66" s="9">
        <f t="shared" si="0"/>
        <v>2494.5099999999998</v>
      </c>
      <c r="BI66" s="9">
        <f t="shared" si="1"/>
        <v>2.4900000000000002</v>
      </c>
      <c r="BJ66" s="9">
        <f t="shared" si="2"/>
        <v>8.7200000000000006</v>
      </c>
      <c r="BK66" s="9">
        <f t="shared" si="3"/>
        <v>27.48</v>
      </c>
      <c r="BL66" s="9">
        <f t="shared" si="4"/>
        <v>0</v>
      </c>
      <c r="BM66" s="9">
        <f t="shared" si="5"/>
        <v>0</v>
      </c>
      <c r="BN66" s="9">
        <f t="shared" si="6"/>
        <v>1219.03</v>
      </c>
      <c r="BO66" s="9">
        <f t="shared" si="7"/>
        <v>27.66</v>
      </c>
      <c r="BP66" s="9">
        <f t="shared" si="8"/>
        <v>0</v>
      </c>
    </row>
    <row r="67" spans="1:68">
      <c r="A67" s="6">
        <v>44573</v>
      </c>
      <c r="B67" s="7">
        <v>3029</v>
      </c>
      <c r="C67" s="8"/>
      <c r="D67" s="8">
        <v>453.5</v>
      </c>
      <c r="E67" s="8"/>
      <c r="F67" s="8">
        <v>318.8</v>
      </c>
      <c r="G67" s="8"/>
      <c r="H67" s="8"/>
      <c r="I67" s="8">
        <v>1889.25</v>
      </c>
      <c r="J67" s="8"/>
      <c r="K67" s="8"/>
      <c r="L67" s="8"/>
      <c r="M67" s="8"/>
      <c r="N67" s="8">
        <v>20.29</v>
      </c>
      <c r="O67" s="8"/>
      <c r="P67" s="8"/>
      <c r="Q67" s="8"/>
      <c r="R67" s="8"/>
      <c r="S67" s="8">
        <v>1.59</v>
      </c>
      <c r="T67" s="8"/>
      <c r="U67" s="8"/>
      <c r="V67" s="8"/>
      <c r="W67" s="8">
        <v>27.08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>
        <v>9.3699999999999992</v>
      </c>
      <c r="AN67" s="8">
        <v>13.42</v>
      </c>
      <c r="AO67" s="8"/>
      <c r="AP67" s="8"/>
      <c r="AQ67" s="8"/>
      <c r="AR67" s="8">
        <v>79.83</v>
      </c>
      <c r="AS67" s="8"/>
      <c r="AT67" s="8">
        <v>1012.43</v>
      </c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>
        <v>70.819999999999993</v>
      </c>
      <c r="BH67" s="9">
        <f t="shared" si="0"/>
        <v>2661.55</v>
      </c>
      <c r="BI67" s="9">
        <f t="shared" si="1"/>
        <v>20.29</v>
      </c>
      <c r="BJ67" s="9">
        <f t="shared" si="2"/>
        <v>1.59</v>
      </c>
      <c r="BK67" s="9">
        <f t="shared" si="3"/>
        <v>27.08</v>
      </c>
      <c r="BL67" s="9">
        <f t="shared" si="4"/>
        <v>0</v>
      </c>
      <c r="BM67" s="9">
        <f t="shared" si="5"/>
        <v>102.62</v>
      </c>
      <c r="BN67" s="9">
        <f t="shared" si="6"/>
        <v>1012.43</v>
      </c>
      <c r="BO67" s="9">
        <f t="shared" si="7"/>
        <v>0</v>
      </c>
      <c r="BP67" s="9">
        <f t="shared" si="8"/>
        <v>0</v>
      </c>
    </row>
    <row r="68" spans="1:68">
      <c r="A68" s="6">
        <v>44573</v>
      </c>
      <c r="B68" s="7">
        <v>3106</v>
      </c>
      <c r="C68" s="8">
        <v>6221.78</v>
      </c>
      <c r="D68" s="8"/>
      <c r="E68" s="8"/>
      <c r="F68" s="8"/>
      <c r="G68" s="8"/>
      <c r="H68" s="8"/>
      <c r="I68" s="8"/>
      <c r="J68" s="8"/>
      <c r="K68" s="8"/>
      <c r="L68" s="8"/>
      <c r="M68" s="8">
        <v>16.809999999999999</v>
      </c>
      <c r="N68" s="8"/>
      <c r="O68" s="8"/>
      <c r="P68" s="8"/>
      <c r="Q68" s="8"/>
      <c r="R68" s="8"/>
      <c r="S68" s="8">
        <v>19.309999999999999</v>
      </c>
      <c r="T68" s="8">
        <v>79.42</v>
      </c>
      <c r="U68" s="8"/>
      <c r="V68" s="8"/>
      <c r="W68" s="8"/>
      <c r="X68" s="8"/>
      <c r="Y68" s="8"/>
      <c r="Z68" s="8"/>
      <c r="AA68" s="8"/>
      <c r="AB68" s="8"/>
      <c r="AC68" s="8">
        <v>24.92</v>
      </c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>
        <v>3560.19</v>
      </c>
      <c r="AU68" s="8"/>
      <c r="AV68" s="8"/>
      <c r="AW68" s="8"/>
      <c r="AX68" s="8">
        <v>7.79</v>
      </c>
      <c r="AY68" s="8"/>
      <c r="AZ68" s="8"/>
      <c r="BA68" s="8"/>
      <c r="BB68" s="8"/>
      <c r="BC68" s="8"/>
      <c r="BD68" s="8"/>
      <c r="BE68" s="8"/>
      <c r="BF68" s="8"/>
      <c r="BG68" s="8">
        <v>267.33999999999997</v>
      </c>
      <c r="BH68" s="9">
        <f t="shared" ref="BH68:BH131" si="9">SUM(C68:L68)</f>
        <v>6221.78</v>
      </c>
      <c r="BI68" s="9">
        <f t="shared" ref="BI68:BI131" si="10">SUM(M68:R68)</f>
        <v>16.809999999999999</v>
      </c>
      <c r="BJ68" s="9">
        <f t="shared" ref="BJ68:BJ131" si="11">SUM(S68)</f>
        <v>19.309999999999999</v>
      </c>
      <c r="BK68" s="9">
        <f t="shared" ref="BK68:BK131" si="12">SUM(T68:Y68)</f>
        <v>79.42</v>
      </c>
      <c r="BL68" s="9">
        <f t="shared" ref="BL68:BL131" si="13">SUM(Z68:AA68)</f>
        <v>0</v>
      </c>
      <c r="BM68" s="9">
        <f t="shared" ref="BM68:BM131" si="14">SUM(AB68:AS68)</f>
        <v>24.92</v>
      </c>
      <c r="BN68" s="9">
        <f t="shared" ref="BN68:BN131" si="15">SUM(AT68:AU68)</f>
        <v>3560.19</v>
      </c>
      <c r="BO68" s="9">
        <f t="shared" ref="BO68:BO131" si="16">SUM(AV68:BE68)</f>
        <v>7.79</v>
      </c>
      <c r="BP68" s="9">
        <f t="shared" ref="BP68:BP131" si="17">SUM(BF68)</f>
        <v>0</v>
      </c>
    </row>
    <row r="69" spans="1:68">
      <c r="A69" s="6">
        <v>44573</v>
      </c>
      <c r="B69" s="7">
        <v>3204</v>
      </c>
      <c r="C69" s="8"/>
      <c r="D69" s="8">
        <f>960.67+907.42</f>
        <v>1868.09</v>
      </c>
      <c r="E69" s="8">
        <f>410.71+388.76</f>
        <v>799.47</v>
      </c>
      <c r="F69" s="8"/>
      <c r="G69" s="8"/>
      <c r="H69" s="8"/>
      <c r="I69" s="8"/>
      <c r="J69" s="8"/>
      <c r="K69" s="8"/>
      <c r="L69" s="8"/>
      <c r="M69" s="8"/>
      <c r="N69" s="8"/>
      <c r="O69" s="8">
        <f>6.87+6.48</f>
        <v>13.350000000000001</v>
      </c>
      <c r="P69" s="8"/>
      <c r="Q69" s="8"/>
      <c r="R69" s="8"/>
      <c r="S69" s="8">
        <f>4.67+4.41</f>
        <v>9.08</v>
      </c>
      <c r="T69" s="8">
        <f>8.26+7.79</f>
        <v>16.05</v>
      </c>
      <c r="U69" s="8">
        <f>6.88+6.49</f>
        <v>13.370000000000001</v>
      </c>
      <c r="V69" s="8"/>
      <c r="W69" s="8"/>
      <c r="X69" s="8"/>
      <c r="Y69" s="8"/>
      <c r="Z69" s="8">
        <f>206.25+194.62</f>
        <v>400.87</v>
      </c>
      <c r="AA69" s="8"/>
      <c r="AB69" s="8">
        <f>6.99+6.6</f>
        <v>13.59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>
        <f>605.58+570.68</f>
        <v>1176.26</v>
      </c>
      <c r="AU69" s="8"/>
      <c r="AV69" s="8"/>
      <c r="AW69" s="8">
        <f>4.39+4.16</f>
        <v>8.5500000000000007</v>
      </c>
      <c r="AX69" s="8"/>
      <c r="AY69" s="8"/>
      <c r="AZ69" s="8"/>
      <c r="BA69" s="8"/>
      <c r="BB69" s="8"/>
      <c r="BC69" s="8"/>
      <c r="BD69" s="8"/>
      <c r="BE69" s="8"/>
      <c r="BF69" s="8"/>
      <c r="BG69" s="8">
        <f>44.71+42.18</f>
        <v>86.89</v>
      </c>
      <c r="BH69" s="9">
        <f t="shared" si="9"/>
        <v>2667.56</v>
      </c>
      <c r="BI69" s="9">
        <f t="shared" si="10"/>
        <v>13.350000000000001</v>
      </c>
      <c r="BJ69" s="9">
        <f t="shared" si="11"/>
        <v>9.08</v>
      </c>
      <c r="BK69" s="9">
        <f t="shared" si="12"/>
        <v>29.42</v>
      </c>
      <c r="BL69" s="9">
        <f t="shared" si="13"/>
        <v>400.87</v>
      </c>
      <c r="BM69" s="9">
        <f t="shared" si="14"/>
        <v>13.59</v>
      </c>
      <c r="BN69" s="9">
        <f t="shared" si="15"/>
        <v>1176.26</v>
      </c>
      <c r="BO69" s="9">
        <f t="shared" si="16"/>
        <v>8.5500000000000007</v>
      </c>
      <c r="BP69" s="9">
        <f t="shared" si="17"/>
        <v>0</v>
      </c>
    </row>
    <row r="70" spans="1:68">
      <c r="A70" s="6">
        <v>44573</v>
      </c>
      <c r="B70" s="7">
        <v>3139</v>
      </c>
      <c r="C70" s="8">
        <v>1570.42</v>
      </c>
      <c r="D70" s="8"/>
      <c r="E70" s="8"/>
      <c r="F70" s="8"/>
      <c r="G70" s="8"/>
      <c r="H70" s="8">
        <v>652.03</v>
      </c>
      <c r="I70" s="8"/>
      <c r="J70" s="8"/>
      <c r="K70" s="8"/>
      <c r="L70" s="8"/>
      <c r="M70" s="8">
        <v>3.65</v>
      </c>
      <c r="N70" s="8"/>
      <c r="O70" s="8"/>
      <c r="P70" s="8"/>
      <c r="Q70" s="8"/>
      <c r="R70" s="8"/>
      <c r="S70" s="8">
        <v>6.57</v>
      </c>
      <c r="T70" s="8">
        <v>23.2</v>
      </c>
      <c r="U70" s="8"/>
      <c r="V70" s="8"/>
      <c r="W70" s="8"/>
      <c r="X70" s="8"/>
      <c r="Y70" s="8"/>
      <c r="Z70" s="8"/>
      <c r="AA70" s="8"/>
      <c r="AB70" s="8"/>
      <c r="AC70" s="8">
        <v>7.74</v>
      </c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>
        <v>1146.1300000000001</v>
      </c>
      <c r="AU70" s="8"/>
      <c r="AV70" s="8">
        <v>38.64</v>
      </c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83.18</v>
      </c>
      <c r="BH70" s="9">
        <f t="shared" si="9"/>
        <v>2222.4499999999998</v>
      </c>
      <c r="BI70" s="9">
        <f t="shared" si="10"/>
        <v>3.65</v>
      </c>
      <c r="BJ70" s="9">
        <f t="shared" si="11"/>
        <v>6.57</v>
      </c>
      <c r="BK70" s="9">
        <f t="shared" si="12"/>
        <v>23.2</v>
      </c>
      <c r="BL70" s="9">
        <f t="shared" si="13"/>
        <v>0</v>
      </c>
      <c r="BM70" s="9">
        <f t="shared" si="14"/>
        <v>7.74</v>
      </c>
      <c r="BN70" s="9">
        <f t="shared" si="15"/>
        <v>1146.1300000000001</v>
      </c>
      <c r="BO70" s="9">
        <f t="shared" si="16"/>
        <v>38.64</v>
      </c>
      <c r="BP70" s="9">
        <f t="shared" si="17"/>
        <v>0</v>
      </c>
    </row>
    <row r="71" spans="1:68">
      <c r="A71" s="6">
        <v>44573</v>
      </c>
      <c r="B71" s="7">
        <v>3304</v>
      </c>
      <c r="C71" s="8"/>
      <c r="D71" s="8">
        <v>1649.67</v>
      </c>
      <c r="E71" s="8"/>
      <c r="F71" s="8"/>
      <c r="G71" s="8"/>
      <c r="H71" s="8"/>
      <c r="I71" s="8"/>
      <c r="J71" s="8"/>
      <c r="K71" s="8"/>
      <c r="L71" s="8"/>
      <c r="M71" s="8">
        <v>2.04</v>
      </c>
      <c r="N71" s="8"/>
      <c r="O71" s="8"/>
      <c r="P71" s="8"/>
      <c r="Q71" s="8"/>
      <c r="R71" s="8"/>
      <c r="S71" s="8">
        <v>11.76</v>
      </c>
      <c r="T71" s="8">
        <v>14.88</v>
      </c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>
        <v>16.690000000000001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>
        <v>714.91</v>
      </c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48.62</v>
      </c>
      <c r="BH71" s="9">
        <f t="shared" si="9"/>
        <v>1649.67</v>
      </c>
      <c r="BI71" s="9">
        <f t="shared" si="10"/>
        <v>2.04</v>
      </c>
      <c r="BJ71" s="9">
        <f t="shared" si="11"/>
        <v>11.76</v>
      </c>
      <c r="BK71" s="9">
        <f t="shared" si="12"/>
        <v>14.88</v>
      </c>
      <c r="BL71" s="9">
        <f t="shared" si="13"/>
        <v>0</v>
      </c>
      <c r="BM71" s="9">
        <f t="shared" si="14"/>
        <v>16.690000000000001</v>
      </c>
      <c r="BN71" s="9">
        <f t="shared" si="15"/>
        <v>714.91</v>
      </c>
      <c r="BO71" s="9">
        <f t="shared" si="16"/>
        <v>0</v>
      </c>
      <c r="BP71" s="9">
        <f t="shared" si="17"/>
        <v>0</v>
      </c>
    </row>
    <row r="72" spans="1:68">
      <c r="A72" s="6">
        <v>44574</v>
      </c>
      <c r="B72" s="7">
        <v>3602</v>
      </c>
      <c r="C72" s="8">
        <v>605.19000000000005</v>
      </c>
      <c r="D72" s="8"/>
      <c r="E72" s="8"/>
      <c r="F72" s="8"/>
      <c r="G72" s="8">
        <v>906.02</v>
      </c>
      <c r="H72" s="8"/>
      <c r="I72" s="8"/>
      <c r="J72" s="8"/>
      <c r="K72" s="8"/>
      <c r="L72" s="8"/>
      <c r="M72" s="8">
        <v>1.55</v>
      </c>
      <c r="N72" s="8"/>
      <c r="O72" s="8"/>
      <c r="P72" s="8"/>
      <c r="Q72" s="8"/>
      <c r="R72" s="8"/>
      <c r="S72" s="8">
        <v>8.1999999999999993</v>
      </c>
      <c r="T72" s="8"/>
      <c r="U72" s="8">
        <v>4.84</v>
      </c>
      <c r="V72" s="8">
        <v>14.73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>
        <v>629.87</v>
      </c>
      <c r="AU72" s="8"/>
      <c r="AV72" s="8"/>
      <c r="AW72" s="8">
        <v>39.07</v>
      </c>
      <c r="AX72" s="8"/>
      <c r="AY72" s="8"/>
      <c r="AZ72" s="8"/>
      <c r="BA72" s="8"/>
      <c r="BB72" s="8"/>
      <c r="BC72" s="8"/>
      <c r="BD72" s="8"/>
      <c r="BE72" s="8"/>
      <c r="BF72" s="8">
        <v>48.48</v>
      </c>
      <c r="BG72" s="8">
        <v>47.41</v>
      </c>
      <c r="BH72" s="9">
        <f t="shared" si="9"/>
        <v>1511.21</v>
      </c>
      <c r="BI72" s="9">
        <f t="shared" si="10"/>
        <v>1.55</v>
      </c>
      <c r="BJ72" s="9">
        <f t="shared" si="11"/>
        <v>8.1999999999999993</v>
      </c>
      <c r="BK72" s="9">
        <f t="shared" si="12"/>
        <v>19.57</v>
      </c>
      <c r="BL72" s="9">
        <f t="shared" si="13"/>
        <v>0</v>
      </c>
      <c r="BM72" s="9">
        <f t="shared" si="14"/>
        <v>0</v>
      </c>
      <c r="BN72" s="9">
        <f t="shared" si="15"/>
        <v>629.87</v>
      </c>
      <c r="BO72" s="9">
        <f t="shared" si="16"/>
        <v>39.07</v>
      </c>
      <c r="BP72" s="9">
        <f t="shared" si="17"/>
        <v>48.48</v>
      </c>
    </row>
    <row r="73" spans="1:68">
      <c r="A73" s="6">
        <v>44574</v>
      </c>
      <c r="B73" s="7">
        <v>3023</v>
      </c>
      <c r="C73" s="8"/>
      <c r="D73" s="8">
        <v>882.41</v>
      </c>
      <c r="E73" s="8"/>
      <c r="F73" s="8"/>
      <c r="G73" s="8"/>
      <c r="H73" s="8"/>
      <c r="I73" s="8">
        <v>475.36</v>
      </c>
      <c r="J73" s="8"/>
      <c r="K73" s="8"/>
      <c r="L73" s="8"/>
      <c r="M73" s="8"/>
      <c r="N73" s="8">
        <v>7.59</v>
      </c>
      <c r="O73" s="8"/>
      <c r="P73" s="8"/>
      <c r="Q73" s="8"/>
      <c r="R73" s="8"/>
      <c r="S73" s="8">
        <v>2.17</v>
      </c>
      <c r="T73" s="8"/>
      <c r="U73" s="8"/>
      <c r="V73" s="8"/>
      <c r="W73" s="8">
        <v>12.02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>
        <v>13.44</v>
      </c>
      <c r="AN73" s="8">
        <v>9.5399999999999991</v>
      </c>
      <c r="AO73" s="8"/>
      <c r="AP73" s="8"/>
      <c r="AQ73" s="8"/>
      <c r="AR73" s="8"/>
      <c r="AS73" s="8">
        <v>45.4</v>
      </c>
      <c r="AT73" s="8">
        <v>556.78</v>
      </c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>
        <v>42.03</v>
      </c>
      <c r="BH73" s="9">
        <f t="shared" si="9"/>
        <v>1357.77</v>
      </c>
      <c r="BI73" s="9">
        <f t="shared" si="10"/>
        <v>7.59</v>
      </c>
      <c r="BJ73" s="9">
        <f t="shared" si="11"/>
        <v>2.17</v>
      </c>
      <c r="BK73" s="9">
        <f t="shared" si="12"/>
        <v>12.02</v>
      </c>
      <c r="BL73" s="9">
        <f t="shared" si="13"/>
        <v>0</v>
      </c>
      <c r="BM73" s="9">
        <f t="shared" si="14"/>
        <v>68.38</v>
      </c>
      <c r="BN73" s="9">
        <f t="shared" si="15"/>
        <v>556.78</v>
      </c>
      <c r="BO73" s="9">
        <f t="shared" si="16"/>
        <v>0</v>
      </c>
      <c r="BP73" s="9">
        <f t="shared" si="17"/>
        <v>0</v>
      </c>
    </row>
    <row r="74" spans="1:68">
      <c r="A74" s="6">
        <v>44574</v>
      </c>
      <c r="B74" s="7">
        <v>3024</v>
      </c>
      <c r="C74" s="8"/>
      <c r="D74" s="8">
        <v>606.79999999999995</v>
      </c>
      <c r="E74" s="8"/>
      <c r="F74" s="8"/>
      <c r="G74" s="8"/>
      <c r="H74" s="8"/>
      <c r="I74" s="8">
        <v>606.05999999999995</v>
      </c>
      <c r="J74" s="8"/>
      <c r="K74" s="8"/>
      <c r="L74" s="8"/>
      <c r="M74" s="8"/>
      <c r="N74" s="8">
        <v>7.27</v>
      </c>
      <c r="O74" s="8"/>
      <c r="P74" s="8"/>
      <c r="Q74" s="8"/>
      <c r="R74" s="8"/>
      <c r="S74" s="8">
        <v>1.94</v>
      </c>
      <c r="T74" s="8"/>
      <c r="U74" s="8"/>
      <c r="V74" s="8"/>
      <c r="W74" s="8">
        <v>9.82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>
        <v>12.34</v>
      </c>
      <c r="AN74" s="8">
        <v>8.4600000000000009</v>
      </c>
      <c r="AO74" s="8"/>
      <c r="AP74" s="8"/>
      <c r="AQ74" s="8"/>
      <c r="AR74" s="8"/>
      <c r="AS74" s="8">
        <v>39.630000000000003</v>
      </c>
      <c r="AT74" s="8">
        <v>465.36</v>
      </c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>
        <v>33.99</v>
      </c>
      <c r="BH74" s="9">
        <f t="shared" si="9"/>
        <v>1212.8599999999999</v>
      </c>
      <c r="BI74" s="9">
        <f t="shared" si="10"/>
        <v>7.27</v>
      </c>
      <c r="BJ74" s="9">
        <f t="shared" si="11"/>
        <v>1.94</v>
      </c>
      <c r="BK74" s="9">
        <f t="shared" si="12"/>
        <v>9.82</v>
      </c>
      <c r="BL74" s="9">
        <f t="shared" si="13"/>
        <v>0</v>
      </c>
      <c r="BM74" s="9">
        <f t="shared" si="14"/>
        <v>60.430000000000007</v>
      </c>
      <c r="BN74" s="9">
        <f t="shared" si="15"/>
        <v>465.36</v>
      </c>
      <c r="BO74" s="9">
        <f t="shared" si="16"/>
        <v>0</v>
      </c>
      <c r="BP74" s="9">
        <f t="shared" si="17"/>
        <v>0</v>
      </c>
    </row>
    <row r="75" spans="1:68">
      <c r="A75" s="6">
        <v>44574</v>
      </c>
      <c r="B75" s="7">
        <v>3083</v>
      </c>
      <c r="C75" s="8"/>
      <c r="D75" s="8">
        <v>703.55</v>
      </c>
      <c r="E75" s="8"/>
      <c r="F75" s="8"/>
      <c r="G75" s="8"/>
      <c r="H75" s="8"/>
      <c r="I75" s="8">
        <v>1644.57</v>
      </c>
      <c r="J75" s="8"/>
      <c r="K75" s="8"/>
      <c r="L75" s="8"/>
      <c r="M75" s="8"/>
      <c r="N75" s="8">
        <v>16.23</v>
      </c>
      <c r="O75" s="8"/>
      <c r="P75" s="8"/>
      <c r="Q75" s="8"/>
      <c r="R75" s="8"/>
      <c r="S75" s="8">
        <v>1.64</v>
      </c>
      <c r="T75" s="8">
        <v>18.82</v>
      </c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>
        <v>9.5299999999999994</v>
      </c>
      <c r="AN75" s="8">
        <v>33.08</v>
      </c>
      <c r="AO75" s="8"/>
      <c r="AP75" s="8"/>
      <c r="AQ75" s="8"/>
      <c r="AR75" s="8">
        <v>58.95</v>
      </c>
      <c r="AS75" s="8"/>
      <c r="AT75" s="8">
        <v>1067.06</v>
      </c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84.15</v>
      </c>
      <c r="BH75" s="9">
        <f t="shared" si="9"/>
        <v>2348.12</v>
      </c>
      <c r="BI75" s="9">
        <f t="shared" si="10"/>
        <v>16.23</v>
      </c>
      <c r="BJ75" s="9">
        <f t="shared" si="11"/>
        <v>1.64</v>
      </c>
      <c r="BK75" s="9">
        <f t="shared" si="12"/>
        <v>18.82</v>
      </c>
      <c r="BL75" s="9">
        <f t="shared" si="13"/>
        <v>0</v>
      </c>
      <c r="BM75" s="9">
        <f t="shared" si="14"/>
        <v>101.56</v>
      </c>
      <c r="BN75" s="9">
        <f t="shared" si="15"/>
        <v>1067.06</v>
      </c>
      <c r="BO75" s="9">
        <f t="shared" si="16"/>
        <v>0</v>
      </c>
      <c r="BP75" s="9">
        <f t="shared" si="17"/>
        <v>0</v>
      </c>
    </row>
    <row r="76" spans="1:68">
      <c r="A76" s="6">
        <v>44574</v>
      </c>
      <c r="B76" s="7">
        <v>3016</v>
      </c>
      <c r="C76" s="8"/>
      <c r="D76" s="8">
        <v>801.38</v>
      </c>
      <c r="E76" s="8"/>
      <c r="F76" s="8"/>
      <c r="G76" s="8"/>
      <c r="H76" s="8"/>
      <c r="I76" s="8">
        <v>741.33</v>
      </c>
      <c r="J76" s="8"/>
      <c r="K76" s="8"/>
      <c r="L76" s="8"/>
      <c r="M76" s="8"/>
      <c r="N76" s="8">
        <v>9.26</v>
      </c>
      <c r="O76" s="8"/>
      <c r="P76" s="8"/>
      <c r="Q76" s="8"/>
      <c r="R76" s="8"/>
      <c r="S76" s="8">
        <v>1.08</v>
      </c>
      <c r="T76" s="8">
        <v>15.44</v>
      </c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>
        <v>6.28</v>
      </c>
      <c r="AN76" s="8">
        <v>18.600000000000001</v>
      </c>
      <c r="AO76" s="8"/>
      <c r="AP76" s="8"/>
      <c r="AQ76" s="8"/>
      <c r="AR76" s="8">
        <v>38.49</v>
      </c>
      <c r="AS76" s="8"/>
      <c r="AT76" s="8">
        <v>573.64</v>
      </c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>
        <v>42.05</v>
      </c>
      <c r="BH76" s="9">
        <f t="shared" si="9"/>
        <v>1542.71</v>
      </c>
      <c r="BI76" s="9">
        <f t="shared" si="10"/>
        <v>9.26</v>
      </c>
      <c r="BJ76" s="9">
        <f t="shared" si="11"/>
        <v>1.08</v>
      </c>
      <c r="BK76" s="9">
        <f t="shared" si="12"/>
        <v>15.44</v>
      </c>
      <c r="BL76" s="9">
        <f t="shared" si="13"/>
        <v>0</v>
      </c>
      <c r="BM76" s="9">
        <f t="shared" si="14"/>
        <v>63.370000000000005</v>
      </c>
      <c r="BN76" s="9">
        <f t="shared" si="15"/>
        <v>573.64</v>
      </c>
      <c r="BO76" s="9">
        <f t="shared" si="16"/>
        <v>0</v>
      </c>
      <c r="BP76" s="9">
        <f t="shared" si="17"/>
        <v>0</v>
      </c>
    </row>
    <row r="77" spans="1:68">
      <c r="A77" s="6">
        <v>44574</v>
      </c>
      <c r="B77" s="7">
        <v>3079</v>
      </c>
      <c r="C77" s="8"/>
      <c r="D77" s="8"/>
      <c r="E77" s="8"/>
      <c r="F77" s="8">
        <v>173.41</v>
      </c>
      <c r="G77" s="8"/>
      <c r="H77" s="8"/>
      <c r="I77" s="8">
        <v>1406.01</v>
      </c>
      <c r="J77" s="8"/>
      <c r="K77" s="8"/>
      <c r="L77" s="8"/>
      <c r="M77" s="8"/>
      <c r="N77" s="8">
        <v>11.85</v>
      </c>
      <c r="O77" s="8"/>
      <c r="P77" s="8"/>
      <c r="Q77" s="8"/>
      <c r="R77" s="8"/>
      <c r="S77" s="8">
        <v>0.63</v>
      </c>
      <c r="T77" s="8">
        <v>15.82</v>
      </c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>
        <v>6.42</v>
      </c>
      <c r="AN77" s="8">
        <v>15.92</v>
      </c>
      <c r="AO77" s="8"/>
      <c r="AP77" s="8"/>
      <c r="AQ77" s="8"/>
      <c r="AR77" s="8">
        <v>39.81</v>
      </c>
      <c r="AS77" s="8"/>
      <c r="AT77" s="8">
        <v>602.01</v>
      </c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>
        <v>43.45</v>
      </c>
      <c r="BH77" s="9">
        <f t="shared" si="9"/>
        <v>1579.42</v>
      </c>
      <c r="BI77" s="9">
        <f t="shared" si="10"/>
        <v>11.85</v>
      </c>
      <c r="BJ77" s="9">
        <f t="shared" si="11"/>
        <v>0.63</v>
      </c>
      <c r="BK77" s="9">
        <f t="shared" si="12"/>
        <v>15.82</v>
      </c>
      <c r="BL77" s="9">
        <f t="shared" si="13"/>
        <v>0</v>
      </c>
      <c r="BM77" s="9">
        <f t="shared" si="14"/>
        <v>62.150000000000006</v>
      </c>
      <c r="BN77" s="9">
        <f t="shared" si="15"/>
        <v>602.01</v>
      </c>
      <c r="BO77" s="9">
        <f t="shared" si="16"/>
        <v>0</v>
      </c>
      <c r="BP77" s="9">
        <f t="shared" si="17"/>
        <v>0</v>
      </c>
    </row>
    <row r="78" spans="1:68">
      <c r="A78" s="6">
        <v>44574</v>
      </c>
      <c r="B78" s="7">
        <v>3106</v>
      </c>
      <c r="C78" s="8">
        <v>4117.92</v>
      </c>
      <c r="D78" s="8"/>
      <c r="E78" s="8"/>
      <c r="F78" s="8"/>
      <c r="G78" s="8"/>
      <c r="H78" s="8"/>
      <c r="I78" s="8"/>
      <c r="J78" s="8"/>
      <c r="K78" s="8"/>
      <c r="L78" s="8"/>
      <c r="M78" s="8">
        <v>10.82</v>
      </c>
      <c r="N78" s="8"/>
      <c r="O78" s="8"/>
      <c r="P78" s="8"/>
      <c r="Q78" s="8"/>
      <c r="R78" s="8"/>
      <c r="S78" s="8">
        <v>12.79</v>
      </c>
      <c r="T78" s="8">
        <v>52.66</v>
      </c>
      <c r="U78" s="8"/>
      <c r="V78" s="8"/>
      <c r="W78" s="8"/>
      <c r="X78" s="8"/>
      <c r="Y78" s="8"/>
      <c r="Z78" s="8"/>
      <c r="AA78" s="8"/>
      <c r="AB78" s="8"/>
      <c r="AC78" s="8">
        <v>16.48</v>
      </c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>
        <v>2358.15</v>
      </c>
      <c r="AU78" s="8"/>
      <c r="AV78" s="8"/>
      <c r="AW78" s="8"/>
      <c r="AX78" s="8">
        <v>5.15</v>
      </c>
      <c r="AY78" s="8"/>
      <c r="AZ78" s="8"/>
      <c r="BA78" s="8"/>
      <c r="BB78" s="8"/>
      <c r="BC78" s="8"/>
      <c r="BD78" s="8"/>
      <c r="BE78" s="8"/>
      <c r="BF78" s="8"/>
      <c r="BG78" s="8">
        <v>176.79</v>
      </c>
      <c r="BH78" s="9">
        <f t="shared" si="9"/>
        <v>4117.92</v>
      </c>
      <c r="BI78" s="9">
        <f t="shared" si="10"/>
        <v>10.82</v>
      </c>
      <c r="BJ78" s="9">
        <f t="shared" si="11"/>
        <v>12.79</v>
      </c>
      <c r="BK78" s="9">
        <f t="shared" si="12"/>
        <v>52.66</v>
      </c>
      <c r="BL78" s="9">
        <f t="shared" si="13"/>
        <v>0</v>
      </c>
      <c r="BM78" s="9">
        <f t="shared" si="14"/>
        <v>16.48</v>
      </c>
      <c r="BN78" s="9">
        <f t="shared" si="15"/>
        <v>2358.15</v>
      </c>
      <c r="BO78" s="9">
        <f t="shared" si="16"/>
        <v>5.15</v>
      </c>
      <c r="BP78" s="9">
        <f t="shared" si="17"/>
        <v>0</v>
      </c>
    </row>
    <row r="79" spans="1:68">
      <c r="A79" s="6">
        <v>44574</v>
      </c>
      <c r="B79" s="7">
        <v>3136</v>
      </c>
      <c r="C79" s="8">
        <f>484.74+844.31</f>
        <v>1329.05</v>
      </c>
      <c r="D79" s="8"/>
      <c r="E79" s="8"/>
      <c r="F79" s="8"/>
      <c r="G79" s="8"/>
      <c r="H79" s="8">
        <f>200.89+350.37</f>
        <v>551.26</v>
      </c>
      <c r="I79" s="8"/>
      <c r="J79" s="8"/>
      <c r="K79" s="8"/>
      <c r="L79" s="8"/>
      <c r="M79" s="8">
        <f>0.89+1.57</f>
        <v>2.46</v>
      </c>
      <c r="N79" s="8"/>
      <c r="O79" s="8"/>
      <c r="P79" s="8"/>
      <c r="Q79" s="8"/>
      <c r="R79" s="8"/>
      <c r="S79" s="8">
        <f>3+5.35</f>
        <v>8.35</v>
      </c>
      <c r="T79" s="8">
        <f>4.19+7.28</f>
        <v>11.47</v>
      </c>
      <c r="U79" s="8">
        <f>6.24+3.59</f>
        <v>9.83</v>
      </c>
      <c r="V79" s="8"/>
      <c r="W79" s="8"/>
      <c r="X79" s="8"/>
      <c r="Y79" s="8"/>
      <c r="Z79" s="8"/>
      <c r="AA79" s="8"/>
      <c r="AB79" s="8"/>
      <c r="AC79" s="8">
        <f>2.39+4.16</f>
        <v>6.5500000000000007</v>
      </c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>
        <f>388.8+675.74</f>
        <v>1064.54</v>
      </c>
      <c r="AU79" s="8"/>
      <c r="AV79" s="8"/>
      <c r="AW79" s="8"/>
      <c r="AX79" s="8"/>
      <c r="AY79" s="8"/>
      <c r="AZ79" s="8"/>
      <c r="BA79" s="8">
        <f>7.64+13.3</f>
        <v>20.94</v>
      </c>
      <c r="BB79" s="8"/>
      <c r="BC79" s="8"/>
      <c r="BD79" s="8"/>
      <c r="BE79" s="8"/>
      <c r="BF79" s="8">
        <f>24+40.92</f>
        <v>64.92</v>
      </c>
      <c r="BG79" s="8">
        <f>29.34+50.88</f>
        <v>80.22</v>
      </c>
      <c r="BH79" s="9">
        <f t="shared" si="9"/>
        <v>1880.31</v>
      </c>
      <c r="BI79" s="9">
        <f t="shared" si="10"/>
        <v>2.46</v>
      </c>
      <c r="BJ79" s="9">
        <f t="shared" si="11"/>
        <v>8.35</v>
      </c>
      <c r="BK79" s="9">
        <f t="shared" si="12"/>
        <v>21.3</v>
      </c>
      <c r="BL79" s="9">
        <f t="shared" si="13"/>
        <v>0</v>
      </c>
      <c r="BM79" s="9">
        <f t="shared" si="14"/>
        <v>6.5500000000000007</v>
      </c>
      <c r="BN79" s="9">
        <f t="shared" si="15"/>
        <v>1064.54</v>
      </c>
      <c r="BO79" s="9">
        <f t="shared" si="16"/>
        <v>20.94</v>
      </c>
      <c r="BP79" s="9">
        <f t="shared" si="17"/>
        <v>64.92</v>
      </c>
    </row>
    <row r="80" spans="1:68">
      <c r="A80" s="6">
        <v>44574</v>
      </c>
      <c r="B80" s="7">
        <v>3141</v>
      </c>
      <c r="C80" s="8">
        <v>3613.03</v>
      </c>
      <c r="D80" s="8">
        <v>634.88</v>
      </c>
      <c r="E80" s="8"/>
      <c r="F80" s="8"/>
      <c r="G80" s="8"/>
      <c r="H80" s="8"/>
      <c r="I80" s="8"/>
      <c r="J80" s="8"/>
      <c r="K80" s="8"/>
      <c r="L80" s="8"/>
      <c r="M80" s="8">
        <v>11.17</v>
      </c>
      <c r="N80" s="8"/>
      <c r="O80" s="8"/>
      <c r="P80" s="8"/>
      <c r="Q80" s="8"/>
      <c r="R80" s="8"/>
      <c r="S80" s="8">
        <v>19.170000000000002</v>
      </c>
      <c r="T80" s="8">
        <v>31.97</v>
      </c>
      <c r="U80" s="8">
        <v>31.97</v>
      </c>
      <c r="V80" s="8"/>
      <c r="W80" s="8"/>
      <c r="X80" s="8"/>
      <c r="Y80" s="8"/>
      <c r="Z80" s="8"/>
      <c r="AA80" s="8"/>
      <c r="AB80" s="8"/>
      <c r="AC80" s="8">
        <v>17.04</v>
      </c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>
        <v>2811.51</v>
      </c>
      <c r="AU80" s="8"/>
      <c r="AV80" s="8"/>
      <c r="AW80" s="8"/>
      <c r="AX80" s="8"/>
      <c r="AY80" s="8"/>
      <c r="AZ80" s="8"/>
      <c r="BA80" s="8">
        <v>97.85</v>
      </c>
      <c r="BB80" s="8"/>
      <c r="BC80" s="8"/>
      <c r="BD80" s="8"/>
      <c r="BE80" s="8"/>
      <c r="BF80" s="8">
        <v>298.43</v>
      </c>
      <c r="BG80" s="8">
        <v>221.3</v>
      </c>
      <c r="BH80" s="9">
        <f t="shared" si="9"/>
        <v>4247.91</v>
      </c>
      <c r="BI80" s="9">
        <f t="shared" si="10"/>
        <v>11.17</v>
      </c>
      <c r="BJ80" s="9">
        <f t="shared" si="11"/>
        <v>19.170000000000002</v>
      </c>
      <c r="BK80" s="9">
        <f t="shared" si="12"/>
        <v>63.94</v>
      </c>
      <c r="BL80" s="9">
        <f t="shared" si="13"/>
        <v>0</v>
      </c>
      <c r="BM80" s="9">
        <f t="shared" si="14"/>
        <v>17.04</v>
      </c>
      <c r="BN80" s="9">
        <f t="shared" si="15"/>
        <v>2811.51</v>
      </c>
      <c r="BO80" s="9">
        <f t="shared" si="16"/>
        <v>97.85</v>
      </c>
      <c r="BP80" s="9">
        <f t="shared" si="17"/>
        <v>298.43</v>
      </c>
    </row>
    <row r="81" spans="1:68">
      <c r="A81" s="6">
        <v>44574</v>
      </c>
      <c r="B81" s="7">
        <v>3129</v>
      </c>
      <c r="C81" s="8">
        <f>2730.35+365.2</f>
        <v>3095.5499999999997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>
        <f>15.14+2</f>
        <v>17.14</v>
      </c>
      <c r="S81" s="8">
        <f>1.64+12.37+10.17+1.35</f>
        <v>25.53</v>
      </c>
      <c r="T81" s="8"/>
      <c r="U81" s="8"/>
      <c r="V81" s="8"/>
      <c r="W81" s="8"/>
      <c r="X81" s="8">
        <f>24.79+3.28</f>
        <v>28.07</v>
      </c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>
        <f>378.08+49.84</f>
        <v>427.91999999999996</v>
      </c>
      <c r="AU81" s="8">
        <f>755.11+99.82</f>
        <v>854.93000000000006</v>
      </c>
      <c r="AV81" s="8"/>
      <c r="AW81" s="8"/>
      <c r="AX81" s="8"/>
      <c r="AY81" s="8"/>
      <c r="AZ81" s="8"/>
      <c r="BA81" s="8"/>
      <c r="BB81" s="8"/>
      <c r="BC81" s="8"/>
      <c r="BD81" s="8">
        <f>6.88+0.91</f>
        <v>7.79</v>
      </c>
      <c r="BE81" s="8">
        <f>24.76+3.27</f>
        <v>28.03</v>
      </c>
      <c r="BF81" s="8"/>
      <c r="BG81" s="8">
        <f>82.17+10.92</f>
        <v>93.09</v>
      </c>
      <c r="BH81" s="9">
        <f t="shared" si="9"/>
        <v>3095.5499999999997</v>
      </c>
      <c r="BI81" s="9">
        <f t="shared" si="10"/>
        <v>17.14</v>
      </c>
      <c r="BJ81" s="9">
        <f t="shared" si="11"/>
        <v>25.53</v>
      </c>
      <c r="BK81" s="9">
        <f t="shared" si="12"/>
        <v>28.07</v>
      </c>
      <c r="BL81" s="9">
        <f t="shared" si="13"/>
        <v>0</v>
      </c>
      <c r="BM81" s="9">
        <f t="shared" si="14"/>
        <v>0</v>
      </c>
      <c r="BN81" s="9">
        <f t="shared" si="15"/>
        <v>1282.8499999999999</v>
      </c>
      <c r="BO81" s="9">
        <f t="shared" si="16"/>
        <v>35.82</v>
      </c>
      <c r="BP81" s="9">
        <f t="shared" si="17"/>
        <v>0</v>
      </c>
    </row>
    <row r="82" spans="1:68">
      <c r="A82" s="6">
        <v>44575</v>
      </c>
      <c r="B82" s="7">
        <v>3101</v>
      </c>
      <c r="C82" s="8">
        <v>612.23</v>
      </c>
      <c r="D82" s="8"/>
      <c r="E82" s="8"/>
      <c r="F82" s="8"/>
      <c r="G82" s="8"/>
      <c r="H82" s="8"/>
      <c r="I82" s="8"/>
      <c r="J82" s="8"/>
      <c r="K82" s="8"/>
      <c r="L82" s="8"/>
      <c r="M82" s="8">
        <v>1.23</v>
      </c>
      <c r="N82" s="8"/>
      <c r="O82" s="8"/>
      <c r="P82" s="8"/>
      <c r="Q82" s="8"/>
      <c r="R82" s="8"/>
      <c r="S82" s="8">
        <v>3.56</v>
      </c>
      <c r="T82" s="8"/>
      <c r="U82" s="8">
        <v>9.85</v>
      </c>
      <c r="V82" s="8"/>
      <c r="W82" s="8"/>
      <c r="X82" s="8"/>
      <c r="Y82" s="8"/>
      <c r="Z82" s="8"/>
      <c r="AA82" s="8"/>
      <c r="AB82" s="8"/>
      <c r="AC82" s="8">
        <v>2.46</v>
      </c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>
        <v>412.33</v>
      </c>
      <c r="AU82" s="8"/>
      <c r="AV82" s="8"/>
      <c r="AW82" s="8">
        <v>13.1</v>
      </c>
      <c r="AX82" s="8"/>
      <c r="AY82" s="8"/>
      <c r="AZ82" s="8"/>
      <c r="BA82" s="8"/>
      <c r="BB82" s="8"/>
      <c r="BC82" s="8"/>
      <c r="BD82" s="8"/>
      <c r="BE82" s="8"/>
      <c r="BF82" s="8">
        <v>9.85</v>
      </c>
      <c r="BG82" s="8">
        <v>31.6</v>
      </c>
      <c r="BH82" s="9">
        <f t="shared" si="9"/>
        <v>612.23</v>
      </c>
      <c r="BI82" s="9">
        <f t="shared" si="10"/>
        <v>1.23</v>
      </c>
      <c r="BJ82" s="9">
        <f t="shared" si="11"/>
        <v>3.56</v>
      </c>
      <c r="BK82" s="9">
        <f t="shared" si="12"/>
        <v>9.85</v>
      </c>
      <c r="BL82" s="9">
        <f t="shared" si="13"/>
        <v>0</v>
      </c>
      <c r="BM82" s="9">
        <f t="shared" si="14"/>
        <v>2.46</v>
      </c>
      <c r="BN82" s="9">
        <f t="shared" si="15"/>
        <v>412.33</v>
      </c>
      <c r="BO82" s="9">
        <f t="shared" si="16"/>
        <v>13.1</v>
      </c>
      <c r="BP82" s="9">
        <f t="shared" si="17"/>
        <v>9.85</v>
      </c>
    </row>
    <row r="83" spans="1:68">
      <c r="A83" s="6">
        <v>44575</v>
      </c>
      <c r="B83" s="7">
        <v>3118</v>
      </c>
      <c r="C83" s="8">
        <v>357.12</v>
      </c>
      <c r="D83" s="8"/>
      <c r="E83" s="8"/>
      <c r="F83" s="8"/>
      <c r="G83" s="8"/>
      <c r="H83" s="8"/>
      <c r="I83" s="8"/>
      <c r="J83" s="8"/>
      <c r="K83" s="8"/>
      <c r="L83" s="8"/>
      <c r="M83" s="8">
        <v>1.07</v>
      </c>
      <c r="N83" s="8"/>
      <c r="O83" s="8"/>
      <c r="P83" s="8"/>
      <c r="Q83" s="8"/>
      <c r="R83" s="8"/>
      <c r="S83" s="8">
        <v>1.89</v>
      </c>
      <c r="T83" s="8">
        <v>2.14</v>
      </c>
      <c r="U83" s="8">
        <v>2.14</v>
      </c>
      <c r="V83" s="8"/>
      <c r="W83" s="8"/>
      <c r="X83" s="8"/>
      <c r="Y83" s="8"/>
      <c r="Z83" s="8"/>
      <c r="AA83" s="8"/>
      <c r="AB83" s="8"/>
      <c r="AC83" s="8">
        <v>1.43</v>
      </c>
      <c r="AD83" s="8"/>
      <c r="AE83" s="8">
        <v>3.6110000000000002</v>
      </c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>
        <v>231.93</v>
      </c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>
        <v>24.99</v>
      </c>
      <c r="BG83" s="8">
        <v>17.68</v>
      </c>
      <c r="BH83" s="9">
        <f t="shared" si="9"/>
        <v>357.12</v>
      </c>
      <c r="BI83" s="9">
        <f t="shared" si="10"/>
        <v>1.07</v>
      </c>
      <c r="BJ83" s="9">
        <f t="shared" si="11"/>
        <v>1.89</v>
      </c>
      <c r="BK83" s="9">
        <f t="shared" si="12"/>
        <v>4.28</v>
      </c>
      <c r="BL83" s="9">
        <f t="shared" si="13"/>
        <v>0</v>
      </c>
      <c r="BM83" s="9">
        <f t="shared" si="14"/>
        <v>5.0410000000000004</v>
      </c>
      <c r="BN83" s="9">
        <f t="shared" si="15"/>
        <v>231.93</v>
      </c>
      <c r="BO83" s="9">
        <f t="shared" si="16"/>
        <v>0</v>
      </c>
      <c r="BP83" s="9">
        <f t="shared" si="17"/>
        <v>24.99</v>
      </c>
    </row>
    <row r="84" spans="1:68">
      <c r="A84" s="6">
        <v>44575</v>
      </c>
      <c r="B84" s="7">
        <v>3083</v>
      </c>
      <c r="C84" s="8"/>
      <c r="D84" s="8">
        <v>376.4</v>
      </c>
      <c r="E84" s="8"/>
      <c r="F84" s="8"/>
      <c r="G84" s="8"/>
      <c r="H84" s="8"/>
      <c r="I84" s="8">
        <v>875.66</v>
      </c>
      <c r="J84" s="8"/>
      <c r="K84" s="8"/>
      <c r="L84" s="8"/>
      <c r="M84" s="8"/>
      <c r="N84" s="8">
        <v>8.6300000000000008</v>
      </c>
      <c r="O84" s="8"/>
      <c r="P84" s="8"/>
      <c r="Q84" s="8"/>
      <c r="R84" s="8"/>
      <c r="S84" s="8">
        <v>0.88</v>
      </c>
      <c r="T84" s="8">
        <v>10.01</v>
      </c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>
        <v>5.0599999999999996</v>
      </c>
      <c r="AN84" s="8">
        <v>17.510000000000002</v>
      </c>
      <c r="AO84" s="8"/>
      <c r="AP84" s="8"/>
      <c r="AQ84" s="8"/>
      <c r="AR84" s="8">
        <v>31.26</v>
      </c>
      <c r="AS84" s="8"/>
      <c r="AT84" s="8">
        <v>568.88</v>
      </c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>
        <v>44.88</v>
      </c>
      <c r="BH84" s="9">
        <f t="shared" si="9"/>
        <v>1252.06</v>
      </c>
      <c r="BI84" s="9">
        <f t="shared" si="10"/>
        <v>8.6300000000000008</v>
      </c>
      <c r="BJ84" s="9">
        <f t="shared" si="11"/>
        <v>0.88</v>
      </c>
      <c r="BK84" s="9">
        <f t="shared" si="12"/>
        <v>10.01</v>
      </c>
      <c r="BL84" s="9">
        <f t="shared" si="13"/>
        <v>0</v>
      </c>
      <c r="BM84" s="9">
        <f t="shared" si="14"/>
        <v>53.83</v>
      </c>
      <c r="BN84" s="9">
        <f t="shared" si="15"/>
        <v>568.88</v>
      </c>
      <c r="BO84" s="9">
        <f t="shared" si="16"/>
        <v>0</v>
      </c>
      <c r="BP84" s="9">
        <f t="shared" si="17"/>
        <v>0</v>
      </c>
    </row>
    <row r="85" spans="1:68">
      <c r="A85" s="6">
        <v>44575</v>
      </c>
      <c r="B85" s="7">
        <v>3016</v>
      </c>
      <c r="C85" s="8"/>
      <c r="D85" s="8">
        <v>1508.3</v>
      </c>
      <c r="E85" s="8"/>
      <c r="F85" s="8"/>
      <c r="G85" s="8"/>
      <c r="H85" s="8"/>
      <c r="I85" s="8">
        <v>1394.56</v>
      </c>
      <c r="J85" s="8"/>
      <c r="K85" s="8"/>
      <c r="L85" s="8"/>
      <c r="M85" s="8"/>
      <c r="N85" s="8">
        <v>17.43</v>
      </c>
      <c r="O85" s="8"/>
      <c r="P85" s="8"/>
      <c r="Q85" s="8"/>
      <c r="R85" s="8"/>
      <c r="S85" s="8">
        <v>2.04</v>
      </c>
      <c r="T85" s="8">
        <v>29.36</v>
      </c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>
        <v>11.56</v>
      </c>
      <c r="AN85" s="8">
        <v>34.97</v>
      </c>
      <c r="AO85" s="8"/>
      <c r="AP85" s="8"/>
      <c r="AQ85" s="8"/>
      <c r="AR85" s="8">
        <v>72.459999999999994</v>
      </c>
      <c r="AS85" s="8"/>
      <c r="AT85" s="8">
        <v>1078.49</v>
      </c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>
        <v>78.78</v>
      </c>
      <c r="BH85" s="9">
        <f t="shared" si="9"/>
        <v>2902.8599999999997</v>
      </c>
      <c r="BI85" s="9">
        <f t="shared" si="10"/>
        <v>17.43</v>
      </c>
      <c r="BJ85" s="9">
        <f t="shared" si="11"/>
        <v>2.04</v>
      </c>
      <c r="BK85" s="9">
        <f t="shared" si="12"/>
        <v>29.36</v>
      </c>
      <c r="BL85" s="9">
        <f t="shared" si="13"/>
        <v>0</v>
      </c>
      <c r="BM85" s="9">
        <f t="shared" si="14"/>
        <v>118.99</v>
      </c>
      <c r="BN85" s="9">
        <f t="shared" si="15"/>
        <v>1078.49</v>
      </c>
      <c r="BO85" s="9">
        <f t="shared" si="16"/>
        <v>0</v>
      </c>
      <c r="BP85" s="9">
        <f t="shared" si="17"/>
        <v>0</v>
      </c>
    </row>
    <row r="86" spans="1:68">
      <c r="A86" s="6">
        <v>44575</v>
      </c>
      <c r="B86" s="7">
        <v>3079</v>
      </c>
      <c r="C86" s="8"/>
      <c r="D86" s="8"/>
      <c r="E86" s="8"/>
      <c r="F86" s="8">
        <v>333.09</v>
      </c>
      <c r="G86" s="8"/>
      <c r="H86" s="8"/>
      <c r="I86" s="8">
        <v>2696.78</v>
      </c>
      <c r="J86" s="8"/>
      <c r="K86" s="8"/>
      <c r="L86" s="8"/>
      <c r="M86" s="8"/>
      <c r="N86" s="8">
        <v>22.75</v>
      </c>
      <c r="O86" s="8"/>
      <c r="P86" s="8"/>
      <c r="Q86" s="8"/>
      <c r="R86" s="8"/>
      <c r="S86" s="8">
        <v>1.2</v>
      </c>
      <c r="T86" s="8">
        <v>30.35</v>
      </c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>
        <v>12.24</v>
      </c>
      <c r="AN86" s="8">
        <v>30.75</v>
      </c>
      <c r="AO86" s="8"/>
      <c r="AP86" s="8"/>
      <c r="AQ86" s="8"/>
      <c r="AR86" s="8">
        <v>76.72</v>
      </c>
      <c r="AS86" s="8"/>
      <c r="AT86" s="8">
        <v>1154.32</v>
      </c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>
        <v>83.33</v>
      </c>
      <c r="BH86" s="9">
        <f t="shared" si="9"/>
        <v>3029.8700000000003</v>
      </c>
      <c r="BI86" s="9">
        <f t="shared" si="10"/>
        <v>22.75</v>
      </c>
      <c r="BJ86" s="9">
        <f t="shared" si="11"/>
        <v>1.2</v>
      </c>
      <c r="BK86" s="9">
        <f t="shared" si="12"/>
        <v>30.35</v>
      </c>
      <c r="BL86" s="9">
        <f t="shared" si="13"/>
        <v>0</v>
      </c>
      <c r="BM86" s="9">
        <f t="shared" si="14"/>
        <v>119.71000000000001</v>
      </c>
      <c r="BN86" s="9">
        <f t="shared" si="15"/>
        <v>1154.32</v>
      </c>
      <c r="BO86" s="9">
        <f t="shared" si="16"/>
        <v>0</v>
      </c>
      <c r="BP86" s="9">
        <f t="shared" si="17"/>
        <v>0</v>
      </c>
    </row>
    <row r="87" spans="1:68">
      <c r="A87" s="6">
        <v>44575</v>
      </c>
      <c r="B87" s="7">
        <v>3028</v>
      </c>
      <c r="C87" s="8"/>
      <c r="D87" s="8">
        <v>725.59</v>
      </c>
      <c r="E87" s="8"/>
      <c r="F87" s="8">
        <v>666.94</v>
      </c>
      <c r="G87" s="8"/>
      <c r="H87" s="8"/>
      <c r="I87" s="8">
        <v>1506.27</v>
      </c>
      <c r="J87" s="8"/>
      <c r="K87" s="8"/>
      <c r="L87" s="8"/>
      <c r="M87" s="8"/>
      <c r="N87" s="8">
        <v>21.72</v>
      </c>
      <c r="O87" s="8"/>
      <c r="P87" s="8"/>
      <c r="Q87" s="8"/>
      <c r="R87" s="8"/>
      <c r="S87" s="8">
        <v>4.0599999999999996</v>
      </c>
      <c r="T87" s="8"/>
      <c r="U87" s="8"/>
      <c r="V87" s="8"/>
      <c r="W87" s="8">
        <v>21.9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>
        <v>29.4</v>
      </c>
      <c r="AN87" s="8">
        <v>20.2</v>
      </c>
      <c r="AO87" s="8"/>
      <c r="AP87" s="8"/>
      <c r="AQ87" s="8"/>
      <c r="AR87" s="8"/>
      <c r="AS87" s="8">
        <v>95.71</v>
      </c>
      <c r="AT87" s="8">
        <v>967.46</v>
      </c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>
        <v>65.83</v>
      </c>
      <c r="BH87" s="9">
        <f t="shared" si="9"/>
        <v>2898.8</v>
      </c>
      <c r="BI87" s="9">
        <f t="shared" si="10"/>
        <v>21.72</v>
      </c>
      <c r="BJ87" s="9">
        <f t="shared" si="11"/>
        <v>4.0599999999999996</v>
      </c>
      <c r="BK87" s="9">
        <f t="shared" si="12"/>
        <v>21.9</v>
      </c>
      <c r="BL87" s="9">
        <f t="shared" si="13"/>
        <v>0</v>
      </c>
      <c r="BM87" s="9">
        <f t="shared" si="14"/>
        <v>145.31</v>
      </c>
      <c r="BN87" s="9">
        <f t="shared" si="15"/>
        <v>967.46</v>
      </c>
      <c r="BO87" s="9">
        <f t="shared" si="16"/>
        <v>0</v>
      </c>
      <c r="BP87" s="9">
        <f t="shared" si="17"/>
        <v>0</v>
      </c>
    </row>
    <row r="88" spans="1:68">
      <c r="A88" s="6">
        <v>44575</v>
      </c>
      <c r="B88" s="7">
        <v>3022</v>
      </c>
      <c r="C88" s="8"/>
      <c r="D88" s="8">
        <v>565.86</v>
      </c>
      <c r="E88" s="8"/>
      <c r="F88" s="8"/>
      <c r="G88" s="8"/>
      <c r="H88" s="8"/>
      <c r="I88" s="8">
        <v>460.3</v>
      </c>
      <c r="J88" s="8"/>
      <c r="K88" s="8"/>
      <c r="L88" s="8"/>
      <c r="M88" s="8"/>
      <c r="N88" s="8">
        <v>5.14</v>
      </c>
      <c r="O88" s="8"/>
      <c r="P88" s="8"/>
      <c r="Q88" s="8"/>
      <c r="R88" s="8"/>
      <c r="S88" s="8">
        <v>1.85</v>
      </c>
      <c r="T88" s="8"/>
      <c r="U88" s="8"/>
      <c r="V88" s="8"/>
      <c r="W88" s="8">
        <v>10.07</v>
      </c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>
        <v>13.36</v>
      </c>
      <c r="AN88" s="8"/>
      <c r="AO88" s="8"/>
      <c r="AP88" s="8"/>
      <c r="AQ88" s="8"/>
      <c r="AR88" s="8"/>
      <c r="AS88" s="8">
        <v>36.06</v>
      </c>
      <c r="AT88" s="8">
        <v>480.23</v>
      </c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>
        <v>37.200000000000003</v>
      </c>
      <c r="BH88" s="9">
        <f t="shared" si="9"/>
        <v>1026.1600000000001</v>
      </c>
      <c r="BI88" s="9">
        <f t="shared" si="10"/>
        <v>5.14</v>
      </c>
      <c r="BJ88" s="9">
        <f t="shared" si="11"/>
        <v>1.85</v>
      </c>
      <c r="BK88" s="9">
        <f t="shared" si="12"/>
        <v>10.07</v>
      </c>
      <c r="BL88" s="9">
        <f t="shared" si="13"/>
        <v>0</v>
      </c>
      <c r="BM88" s="9">
        <f t="shared" si="14"/>
        <v>49.42</v>
      </c>
      <c r="BN88" s="9">
        <f t="shared" si="15"/>
        <v>480.23</v>
      </c>
      <c r="BO88" s="9">
        <f t="shared" si="16"/>
        <v>0</v>
      </c>
      <c r="BP88" s="9">
        <f t="shared" si="17"/>
        <v>0</v>
      </c>
    </row>
    <row r="89" spans="1:68">
      <c r="A89" s="6">
        <v>44575</v>
      </c>
      <c r="B89" s="7">
        <v>3200</v>
      </c>
      <c r="C89" s="8">
        <v>2256.87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>
        <v>5.65</v>
      </c>
      <c r="P89" s="8"/>
      <c r="Q89" s="8"/>
      <c r="R89" s="8"/>
      <c r="S89" s="8">
        <v>8.82</v>
      </c>
      <c r="T89" s="8"/>
      <c r="U89" s="8">
        <v>33.93</v>
      </c>
      <c r="V89" s="8"/>
      <c r="W89" s="8"/>
      <c r="X89" s="8"/>
      <c r="Y89" s="8"/>
      <c r="Z89" s="8">
        <v>474.49</v>
      </c>
      <c r="AA89" s="8"/>
      <c r="AB89" s="8"/>
      <c r="AC89" s="8"/>
      <c r="AD89" s="8"/>
      <c r="AE89" s="8">
        <v>34.450000000000003</v>
      </c>
      <c r="AF89" s="8">
        <v>112.76</v>
      </c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>
        <v>1546</v>
      </c>
      <c r="AU89" s="8"/>
      <c r="AV89" s="8"/>
      <c r="AW89" s="8">
        <v>6.54</v>
      </c>
      <c r="AX89" s="8"/>
      <c r="AY89" s="8"/>
      <c r="AZ89" s="8"/>
      <c r="BA89" s="8"/>
      <c r="BB89" s="8"/>
      <c r="BC89" s="8"/>
      <c r="BD89" s="8"/>
      <c r="BE89" s="8"/>
      <c r="BF89" s="8">
        <v>108.62</v>
      </c>
      <c r="BG89" s="8">
        <v>111.84</v>
      </c>
      <c r="BH89" s="9">
        <f t="shared" si="9"/>
        <v>2256.87</v>
      </c>
      <c r="BI89" s="9">
        <f t="shared" si="10"/>
        <v>5.65</v>
      </c>
      <c r="BJ89" s="9">
        <f t="shared" si="11"/>
        <v>8.82</v>
      </c>
      <c r="BK89" s="9">
        <f t="shared" si="12"/>
        <v>33.93</v>
      </c>
      <c r="BL89" s="9">
        <f t="shared" si="13"/>
        <v>474.49</v>
      </c>
      <c r="BM89" s="9">
        <f t="shared" si="14"/>
        <v>147.21</v>
      </c>
      <c r="BN89" s="9">
        <f t="shared" si="15"/>
        <v>1546</v>
      </c>
      <c r="BO89" s="9">
        <f t="shared" si="16"/>
        <v>6.54</v>
      </c>
      <c r="BP89" s="9">
        <f t="shared" si="17"/>
        <v>108.62</v>
      </c>
    </row>
    <row r="90" spans="1:68">
      <c r="A90" s="6">
        <v>44575</v>
      </c>
      <c r="B90" s="7">
        <v>3307</v>
      </c>
      <c r="C90" s="8"/>
      <c r="D90" s="8">
        <v>1873.19</v>
      </c>
      <c r="E90" s="8"/>
      <c r="F90" s="8"/>
      <c r="G90" s="8"/>
      <c r="H90" s="8"/>
      <c r="I90" s="8"/>
      <c r="J90" s="8"/>
      <c r="K90" s="8"/>
      <c r="L90" s="8"/>
      <c r="M90" s="8">
        <v>2.83</v>
      </c>
      <c r="N90" s="8"/>
      <c r="O90" s="8"/>
      <c r="P90" s="8"/>
      <c r="Q90" s="8"/>
      <c r="R90" s="8"/>
      <c r="S90" s="8">
        <v>13.66</v>
      </c>
      <c r="T90" s="8">
        <v>18.75</v>
      </c>
      <c r="U90" s="8"/>
      <c r="V90" s="8"/>
      <c r="W90" s="8"/>
      <c r="X90" s="8"/>
      <c r="Y90" s="8"/>
      <c r="Z90" s="8"/>
      <c r="AA90" s="8"/>
      <c r="AB90" s="8"/>
      <c r="AC90" s="8">
        <v>11.25</v>
      </c>
      <c r="AD90" s="8"/>
      <c r="AE90" s="8"/>
      <c r="AF90" s="8"/>
      <c r="AG90" s="8">
        <v>18.760000000000002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>
        <v>938.69</v>
      </c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>
        <v>67.39</v>
      </c>
      <c r="BH90" s="9">
        <f t="shared" si="9"/>
        <v>1873.19</v>
      </c>
      <c r="BI90" s="9">
        <f t="shared" si="10"/>
        <v>2.83</v>
      </c>
      <c r="BJ90" s="9">
        <f t="shared" si="11"/>
        <v>13.66</v>
      </c>
      <c r="BK90" s="9">
        <f t="shared" si="12"/>
        <v>18.75</v>
      </c>
      <c r="BL90" s="9">
        <f t="shared" si="13"/>
        <v>0</v>
      </c>
      <c r="BM90" s="9">
        <f t="shared" si="14"/>
        <v>30.01</v>
      </c>
      <c r="BN90" s="9">
        <f t="shared" si="15"/>
        <v>938.69</v>
      </c>
      <c r="BO90" s="9">
        <f t="shared" si="16"/>
        <v>0</v>
      </c>
      <c r="BP90" s="9">
        <f t="shared" si="17"/>
        <v>0</v>
      </c>
    </row>
    <row r="91" spans="1:68">
      <c r="A91" s="6">
        <v>44575</v>
      </c>
      <c r="B91" s="7">
        <v>3432</v>
      </c>
      <c r="C91" s="8">
        <v>935.61</v>
      </c>
      <c r="D91" s="8"/>
      <c r="E91" s="8"/>
      <c r="F91" s="8"/>
      <c r="G91" s="8"/>
      <c r="H91" s="8"/>
      <c r="I91" s="8"/>
      <c r="J91" s="8"/>
      <c r="K91" s="8"/>
      <c r="L91" s="8"/>
      <c r="M91" s="8">
        <v>2.79</v>
      </c>
      <c r="N91" s="8"/>
      <c r="O91" s="8"/>
      <c r="P91" s="8"/>
      <c r="Q91" s="8"/>
      <c r="R91" s="8"/>
      <c r="S91" s="8">
        <v>3.75</v>
      </c>
      <c r="T91" s="8"/>
      <c r="U91" s="8"/>
      <c r="V91" s="8"/>
      <c r="W91" s="8"/>
      <c r="X91" s="8">
        <v>9.35</v>
      </c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>
        <v>424.94</v>
      </c>
      <c r="AU91" s="8"/>
      <c r="AV91" s="8"/>
      <c r="AW91" s="8"/>
      <c r="AX91" s="8"/>
      <c r="AY91" s="8"/>
      <c r="AZ91" s="8"/>
      <c r="BA91" s="8"/>
      <c r="BB91" s="8">
        <v>2.79</v>
      </c>
      <c r="BC91" s="8"/>
      <c r="BD91" s="8"/>
      <c r="BE91" s="8"/>
      <c r="BF91" s="8">
        <v>46.77</v>
      </c>
      <c r="BG91" s="8">
        <v>31.5</v>
      </c>
      <c r="BH91" s="9">
        <f t="shared" si="9"/>
        <v>935.61</v>
      </c>
      <c r="BI91" s="9">
        <f t="shared" si="10"/>
        <v>2.79</v>
      </c>
      <c r="BJ91" s="9">
        <f t="shared" si="11"/>
        <v>3.75</v>
      </c>
      <c r="BK91" s="9">
        <f t="shared" si="12"/>
        <v>9.35</v>
      </c>
      <c r="BL91" s="9">
        <f t="shared" si="13"/>
        <v>0</v>
      </c>
      <c r="BM91" s="9">
        <f t="shared" si="14"/>
        <v>0</v>
      </c>
      <c r="BN91" s="9">
        <f t="shared" si="15"/>
        <v>424.94</v>
      </c>
      <c r="BO91" s="9">
        <f t="shared" si="16"/>
        <v>2.79</v>
      </c>
      <c r="BP91" s="9">
        <f t="shared" si="17"/>
        <v>46.77</v>
      </c>
    </row>
    <row r="92" spans="1:68">
      <c r="A92" s="6">
        <v>44575</v>
      </c>
      <c r="B92" s="7">
        <v>3429</v>
      </c>
      <c r="C92" s="8">
        <v>411.06</v>
      </c>
      <c r="D92" s="8"/>
      <c r="E92" s="8"/>
      <c r="F92" s="8"/>
      <c r="G92" s="8"/>
      <c r="H92" s="8"/>
      <c r="I92" s="8"/>
      <c r="J92" s="8"/>
      <c r="K92" s="8"/>
      <c r="L92" s="8"/>
      <c r="M92" s="8">
        <v>1.44</v>
      </c>
      <c r="N92" s="8"/>
      <c r="O92" s="8"/>
      <c r="P92" s="8"/>
      <c r="Q92" s="8"/>
      <c r="R92" s="8"/>
      <c r="S92" s="8">
        <v>1.17</v>
      </c>
      <c r="T92" s="8">
        <v>14.46</v>
      </c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>
        <v>214.8</v>
      </c>
      <c r="AU92" s="8"/>
      <c r="AV92" s="8">
        <v>12.53</v>
      </c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>
        <v>4.18</v>
      </c>
      <c r="BH92" s="9">
        <f t="shared" si="9"/>
        <v>411.06</v>
      </c>
      <c r="BI92" s="9">
        <f t="shared" si="10"/>
        <v>1.44</v>
      </c>
      <c r="BJ92" s="9">
        <f t="shared" si="11"/>
        <v>1.17</v>
      </c>
      <c r="BK92" s="9">
        <f t="shared" si="12"/>
        <v>14.46</v>
      </c>
      <c r="BL92" s="9">
        <f t="shared" si="13"/>
        <v>0</v>
      </c>
      <c r="BM92" s="9">
        <f t="shared" si="14"/>
        <v>0</v>
      </c>
      <c r="BN92" s="9">
        <f t="shared" si="15"/>
        <v>214.8</v>
      </c>
      <c r="BO92" s="9">
        <f t="shared" si="16"/>
        <v>12.53</v>
      </c>
      <c r="BP92" s="9">
        <f t="shared" si="17"/>
        <v>0</v>
      </c>
    </row>
    <row r="93" spans="1:68">
      <c r="A93" s="6">
        <v>44576</v>
      </c>
      <c r="B93" s="7">
        <v>3016</v>
      </c>
      <c r="C93" s="8"/>
      <c r="D93" s="8">
        <v>1523.89</v>
      </c>
      <c r="E93" s="8"/>
      <c r="F93" s="8"/>
      <c r="G93" s="8"/>
      <c r="H93" s="8"/>
      <c r="I93" s="8">
        <v>1406.28</v>
      </c>
      <c r="J93" s="8"/>
      <c r="K93" s="8"/>
      <c r="L93" s="8"/>
      <c r="M93" s="8"/>
      <c r="N93" s="8">
        <v>17.59</v>
      </c>
      <c r="O93" s="8"/>
      <c r="P93" s="8"/>
      <c r="Q93" s="8"/>
      <c r="R93" s="8"/>
      <c r="S93" s="8">
        <v>2.04</v>
      </c>
      <c r="T93" s="8">
        <v>29.34</v>
      </c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>
        <v>11.87</v>
      </c>
      <c r="AN93" s="8">
        <v>35.11</v>
      </c>
      <c r="AO93" s="8"/>
      <c r="AP93" s="8"/>
      <c r="AQ93" s="8"/>
      <c r="AR93" s="8">
        <v>73.14</v>
      </c>
      <c r="AS93" s="8"/>
      <c r="AT93" s="8">
        <v>1089.97</v>
      </c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>
        <v>79.55</v>
      </c>
      <c r="BH93" s="9">
        <f t="shared" si="9"/>
        <v>2930.17</v>
      </c>
      <c r="BI93" s="9">
        <f t="shared" si="10"/>
        <v>17.59</v>
      </c>
      <c r="BJ93" s="9">
        <f t="shared" si="11"/>
        <v>2.04</v>
      </c>
      <c r="BK93" s="9">
        <f t="shared" si="12"/>
        <v>29.34</v>
      </c>
      <c r="BL93" s="9">
        <f t="shared" si="13"/>
        <v>0</v>
      </c>
      <c r="BM93" s="9">
        <f t="shared" si="14"/>
        <v>120.12</v>
      </c>
      <c r="BN93" s="9">
        <f t="shared" si="15"/>
        <v>1089.97</v>
      </c>
      <c r="BO93" s="9">
        <f t="shared" si="16"/>
        <v>0</v>
      </c>
      <c r="BP93" s="9">
        <f t="shared" si="17"/>
        <v>0</v>
      </c>
    </row>
    <row r="94" spans="1:68">
      <c r="A94" s="6">
        <v>44576</v>
      </c>
      <c r="B94" s="7">
        <v>3141</v>
      </c>
      <c r="C94" s="8">
        <v>7138.71</v>
      </c>
      <c r="D94" s="8">
        <v>1254.54</v>
      </c>
      <c r="E94" s="8"/>
      <c r="F94" s="8"/>
      <c r="G94" s="8"/>
      <c r="H94" s="8"/>
      <c r="I94" s="8"/>
      <c r="J94" s="8"/>
      <c r="K94" s="8"/>
      <c r="L94" s="8"/>
      <c r="M94" s="8">
        <v>22.24</v>
      </c>
      <c r="N94" s="8"/>
      <c r="O94" s="8"/>
      <c r="P94" s="8"/>
      <c r="Q94" s="8"/>
      <c r="R94" s="8"/>
      <c r="S94" s="8">
        <v>37.869999999999997</v>
      </c>
      <c r="T94" s="8">
        <v>63.21</v>
      </c>
      <c r="U94" s="8">
        <v>63.17</v>
      </c>
      <c r="V94" s="8"/>
      <c r="W94" s="8"/>
      <c r="X94" s="8"/>
      <c r="Y94" s="8"/>
      <c r="Z94" s="8"/>
      <c r="AA94" s="8"/>
      <c r="AB94" s="8"/>
      <c r="AC94" s="8">
        <v>33.659999999999997</v>
      </c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>
        <v>5527.48</v>
      </c>
      <c r="AU94" s="8"/>
      <c r="AV94" s="8"/>
      <c r="AW94" s="8"/>
      <c r="AX94" s="8"/>
      <c r="AY94" s="8"/>
      <c r="AZ94" s="8"/>
      <c r="BA94" s="8">
        <v>192.91</v>
      </c>
      <c r="BB94" s="8"/>
      <c r="BC94" s="8"/>
      <c r="BD94" s="8"/>
      <c r="BE94" s="8"/>
      <c r="BF94" s="8">
        <v>589.52</v>
      </c>
      <c r="BG94" s="8">
        <v>221.3</v>
      </c>
      <c r="BH94" s="9">
        <f t="shared" si="9"/>
        <v>8393.25</v>
      </c>
      <c r="BI94" s="9">
        <f t="shared" si="10"/>
        <v>22.24</v>
      </c>
      <c r="BJ94" s="9">
        <f t="shared" si="11"/>
        <v>37.869999999999997</v>
      </c>
      <c r="BK94" s="9">
        <f t="shared" si="12"/>
        <v>126.38</v>
      </c>
      <c r="BL94" s="9">
        <f t="shared" si="13"/>
        <v>0</v>
      </c>
      <c r="BM94" s="9">
        <f t="shared" si="14"/>
        <v>33.659999999999997</v>
      </c>
      <c r="BN94" s="9">
        <f t="shared" si="15"/>
        <v>5527.48</v>
      </c>
      <c r="BO94" s="9">
        <f t="shared" si="16"/>
        <v>192.91</v>
      </c>
      <c r="BP94" s="9">
        <f t="shared" si="17"/>
        <v>589.52</v>
      </c>
    </row>
    <row r="95" spans="1:68">
      <c r="A95" s="6">
        <v>44576</v>
      </c>
      <c r="B95" s="7">
        <v>3127</v>
      </c>
      <c r="C95" s="8">
        <v>1126.3699999999999</v>
      </c>
      <c r="D95" s="8"/>
      <c r="E95" s="8"/>
      <c r="F95" s="8"/>
      <c r="G95" s="8"/>
      <c r="H95" s="8"/>
      <c r="I95" s="8"/>
      <c r="J95" s="8"/>
      <c r="K95" s="8"/>
      <c r="L95" s="8"/>
      <c r="M95" s="8">
        <v>3.2</v>
      </c>
      <c r="N95" s="8"/>
      <c r="O95" s="8"/>
      <c r="P95" s="8"/>
      <c r="Q95" s="8"/>
      <c r="R95" s="8"/>
      <c r="S95" s="8">
        <v>5.54</v>
      </c>
      <c r="T95" s="8">
        <v>11.23</v>
      </c>
      <c r="U95" s="8"/>
      <c r="V95" s="8"/>
      <c r="W95" s="8"/>
      <c r="X95" s="8"/>
      <c r="Y95" s="8"/>
      <c r="Z95" s="8">
        <v>168.64</v>
      </c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>
        <v>553.52</v>
      </c>
      <c r="AU95" s="8"/>
      <c r="AV95" s="8">
        <v>22.51</v>
      </c>
      <c r="AW95" s="8"/>
      <c r="AX95" s="8"/>
      <c r="AY95" s="8"/>
      <c r="AZ95" s="8"/>
      <c r="BA95" s="8"/>
      <c r="BB95" s="8"/>
      <c r="BC95" s="8"/>
      <c r="BD95" s="8"/>
      <c r="BE95" s="8"/>
      <c r="BF95" s="8">
        <v>56.18</v>
      </c>
      <c r="BG95" s="8">
        <v>39.479999999999997</v>
      </c>
      <c r="BH95" s="9">
        <f t="shared" si="9"/>
        <v>1126.3699999999999</v>
      </c>
      <c r="BI95" s="9">
        <f t="shared" si="10"/>
        <v>3.2</v>
      </c>
      <c r="BJ95" s="9">
        <f t="shared" si="11"/>
        <v>5.54</v>
      </c>
      <c r="BK95" s="9">
        <f t="shared" si="12"/>
        <v>11.23</v>
      </c>
      <c r="BL95" s="9">
        <f t="shared" si="13"/>
        <v>168.64</v>
      </c>
      <c r="BM95" s="9">
        <f t="shared" si="14"/>
        <v>0</v>
      </c>
      <c r="BN95" s="9">
        <f t="shared" si="15"/>
        <v>553.52</v>
      </c>
      <c r="BO95" s="9">
        <f t="shared" si="16"/>
        <v>22.51</v>
      </c>
      <c r="BP95" s="9">
        <f t="shared" si="17"/>
        <v>56.18</v>
      </c>
    </row>
    <row r="96" spans="1:68">
      <c r="A96" s="6">
        <v>44576</v>
      </c>
      <c r="B96" s="7">
        <v>3125</v>
      </c>
      <c r="C96" s="8">
        <v>748.61</v>
      </c>
      <c r="D96" s="8"/>
      <c r="E96" s="8"/>
      <c r="F96" s="8"/>
      <c r="G96" s="8"/>
      <c r="H96" s="8"/>
      <c r="I96" s="8"/>
      <c r="J96" s="8"/>
      <c r="K96" s="8"/>
      <c r="L96" s="8"/>
      <c r="M96" s="8">
        <v>2</v>
      </c>
      <c r="N96" s="8"/>
      <c r="O96" s="8"/>
      <c r="P96" s="8"/>
      <c r="Q96" s="8"/>
      <c r="R96" s="8"/>
      <c r="S96" s="8">
        <v>2.33</v>
      </c>
      <c r="T96" s="8">
        <v>9.51</v>
      </c>
      <c r="U96" s="8"/>
      <c r="V96" s="8"/>
      <c r="W96" s="8"/>
      <c r="X96" s="8"/>
      <c r="Y96" s="8"/>
      <c r="Z96" s="8"/>
      <c r="AA96" s="8"/>
      <c r="AB96" s="8"/>
      <c r="AC96" s="8">
        <v>2.99</v>
      </c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>
        <v>428.2</v>
      </c>
      <c r="AU96" s="8"/>
      <c r="AV96" s="8">
        <v>11.23</v>
      </c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>
        <v>32.14</v>
      </c>
      <c r="BH96" s="9">
        <f t="shared" si="9"/>
        <v>748.61</v>
      </c>
      <c r="BI96" s="9">
        <f t="shared" si="10"/>
        <v>2</v>
      </c>
      <c r="BJ96" s="9">
        <f t="shared" si="11"/>
        <v>2.33</v>
      </c>
      <c r="BK96" s="9">
        <f t="shared" si="12"/>
        <v>9.51</v>
      </c>
      <c r="BL96" s="9">
        <f t="shared" si="13"/>
        <v>0</v>
      </c>
      <c r="BM96" s="9">
        <f t="shared" si="14"/>
        <v>2.99</v>
      </c>
      <c r="BN96" s="9">
        <f t="shared" si="15"/>
        <v>428.2</v>
      </c>
      <c r="BO96" s="9">
        <f t="shared" si="16"/>
        <v>11.23</v>
      </c>
      <c r="BP96" s="9">
        <f t="shared" si="17"/>
        <v>0</v>
      </c>
    </row>
    <row r="97" spans="1:68">
      <c r="A97" s="6">
        <v>44576</v>
      </c>
      <c r="B97" s="7">
        <v>3106</v>
      </c>
      <c r="C97" s="8">
        <v>4189.1000000000004</v>
      </c>
      <c r="D97" s="8"/>
      <c r="E97" s="8"/>
      <c r="F97" s="8"/>
      <c r="G97" s="8"/>
      <c r="H97" s="8"/>
      <c r="I97" s="8"/>
      <c r="J97" s="8"/>
      <c r="K97" s="8"/>
      <c r="L97" s="8"/>
      <c r="M97" s="8">
        <v>11.31</v>
      </c>
      <c r="N97" s="8"/>
      <c r="O97" s="8"/>
      <c r="P97" s="8"/>
      <c r="Q97" s="8"/>
      <c r="R97" s="8"/>
      <c r="S97" s="8">
        <v>13.01</v>
      </c>
      <c r="T97" s="8">
        <v>53.28</v>
      </c>
      <c r="U97" s="8"/>
      <c r="V97" s="8"/>
      <c r="W97" s="8"/>
      <c r="X97" s="8"/>
      <c r="Y97" s="8"/>
      <c r="Z97" s="8"/>
      <c r="AA97" s="8"/>
      <c r="AB97" s="8"/>
      <c r="AC97" s="8">
        <v>16.78</v>
      </c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>
        <v>2398.91</v>
      </c>
      <c r="AU97" s="8"/>
      <c r="AV97" s="8"/>
      <c r="AW97" s="8"/>
      <c r="AX97" s="8">
        <v>5.25</v>
      </c>
      <c r="AY97" s="8"/>
      <c r="AZ97" s="8"/>
      <c r="BA97" s="8"/>
      <c r="BB97" s="8"/>
      <c r="BC97" s="8"/>
      <c r="BD97" s="8"/>
      <c r="BE97" s="8"/>
      <c r="BF97" s="8"/>
      <c r="BG97" s="8">
        <v>180.03</v>
      </c>
      <c r="BH97" s="9">
        <f t="shared" si="9"/>
        <v>4189.1000000000004</v>
      </c>
      <c r="BI97" s="9">
        <f t="shared" si="10"/>
        <v>11.31</v>
      </c>
      <c r="BJ97" s="9">
        <f t="shared" si="11"/>
        <v>13.01</v>
      </c>
      <c r="BK97" s="9">
        <f t="shared" si="12"/>
        <v>53.28</v>
      </c>
      <c r="BL97" s="9">
        <f t="shared" si="13"/>
        <v>0</v>
      </c>
      <c r="BM97" s="9">
        <f t="shared" si="14"/>
        <v>16.78</v>
      </c>
      <c r="BN97" s="9">
        <f t="shared" si="15"/>
        <v>2398.91</v>
      </c>
      <c r="BO97" s="9">
        <f t="shared" si="16"/>
        <v>5.25</v>
      </c>
      <c r="BP97" s="9">
        <f t="shared" si="17"/>
        <v>0</v>
      </c>
    </row>
    <row r="98" spans="1:68">
      <c r="A98" s="6">
        <v>44576</v>
      </c>
      <c r="B98" s="7">
        <v>3134</v>
      </c>
      <c r="C98" s="8">
        <v>1034.73</v>
      </c>
      <c r="D98" s="8">
        <v>145.03</v>
      </c>
      <c r="E98" s="8"/>
      <c r="F98" s="8"/>
      <c r="G98" s="8"/>
      <c r="H98" s="8">
        <v>489.36</v>
      </c>
      <c r="I98" s="8"/>
      <c r="J98" s="8"/>
      <c r="K98" s="8"/>
      <c r="L98" s="8"/>
      <c r="M98" s="8">
        <v>3.27</v>
      </c>
      <c r="N98" s="8"/>
      <c r="O98" s="8"/>
      <c r="P98" s="8"/>
      <c r="Q98" s="8"/>
      <c r="R98" s="8"/>
      <c r="S98" s="8">
        <v>6.54</v>
      </c>
      <c r="T98" s="8">
        <v>10.17</v>
      </c>
      <c r="U98" s="8">
        <v>8.7200000000000006</v>
      </c>
      <c r="V98" s="8"/>
      <c r="W98" s="8"/>
      <c r="X98" s="8"/>
      <c r="Y98" s="8"/>
      <c r="Z98" s="8"/>
      <c r="AA98" s="8"/>
      <c r="AB98" s="8"/>
      <c r="AC98" s="8">
        <v>5.81</v>
      </c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>
        <v>1024.42</v>
      </c>
      <c r="AU98" s="8"/>
      <c r="AV98" s="8"/>
      <c r="AW98" s="8"/>
      <c r="AX98" s="8"/>
      <c r="AY98" s="8">
        <v>14.73</v>
      </c>
      <c r="AZ98" s="8"/>
      <c r="BA98" s="8"/>
      <c r="BB98" s="8"/>
      <c r="BC98" s="8"/>
      <c r="BD98" s="8"/>
      <c r="BE98" s="8"/>
      <c r="BF98" s="8">
        <v>65.5</v>
      </c>
      <c r="BG98" s="8">
        <v>76.97</v>
      </c>
      <c r="BH98" s="9">
        <f t="shared" si="9"/>
        <v>1669.12</v>
      </c>
      <c r="BI98" s="9">
        <f t="shared" si="10"/>
        <v>3.27</v>
      </c>
      <c r="BJ98" s="9">
        <f t="shared" si="11"/>
        <v>6.54</v>
      </c>
      <c r="BK98" s="9">
        <f t="shared" si="12"/>
        <v>18.89</v>
      </c>
      <c r="BL98" s="9">
        <f t="shared" si="13"/>
        <v>0</v>
      </c>
      <c r="BM98" s="9">
        <f t="shared" si="14"/>
        <v>5.81</v>
      </c>
      <c r="BN98" s="9">
        <f t="shared" si="15"/>
        <v>1024.42</v>
      </c>
      <c r="BO98" s="9">
        <f t="shared" si="16"/>
        <v>14.73</v>
      </c>
      <c r="BP98" s="9">
        <f t="shared" si="17"/>
        <v>65.5</v>
      </c>
    </row>
    <row r="99" spans="1:68">
      <c r="A99" s="6">
        <v>44576</v>
      </c>
      <c r="B99" s="7">
        <v>3116</v>
      </c>
      <c r="C99" s="8">
        <v>1527.45</v>
      </c>
      <c r="D99" s="8"/>
      <c r="E99" s="8"/>
      <c r="F99" s="8"/>
      <c r="G99" s="8"/>
      <c r="H99" s="8"/>
      <c r="I99" s="8"/>
      <c r="J99" s="8"/>
      <c r="K99" s="8"/>
      <c r="L99" s="8"/>
      <c r="M99" s="8">
        <v>3.22</v>
      </c>
      <c r="N99" s="8"/>
      <c r="O99" s="8"/>
      <c r="P99" s="8"/>
      <c r="Q99" s="8"/>
      <c r="R99" s="8"/>
      <c r="S99" s="8">
        <v>6.29</v>
      </c>
      <c r="T99" s="8">
        <v>22.55</v>
      </c>
      <c r="U99" s="8"/>
      <c r="V99" s="8"/>
      <c r="W99" s="8"/>
      <c r="X99" s="8"/>
      <c r="Y99" s="8"/>
      <c r="Z99" s="8"/>
      <c r="AA99" s="8"/>
      <c r="AB99" s="8"/>
      <c r="AC99" s="8">
        <v>6.13</v>
      </c>
      <c r="AD99" s="8"/>
      <c r="AE99" s="8">
        <v>15.52</v>
      </c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>
        <v>937.17</v>
      </c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>
        <v>61.32</v>
      </c>
      <c r="BG99" s="8">
        <v>69.650000000000006</v>
      </c>
      <c r="BH99" s="9">
        <f t="shared" si="9"/>
        <v>1527.45</v>
      </c>
      <c r="BI99" s="9">
        <f t="shared" si="10"/>
        <v>3.22</v>
      </c>
      <c r="BJ99" s="9">
        <f t="shared" si="11"/>
        <v>6.29</v>
      </c>
      <c r="BK99" s="9">
        <f t="shared" si="12"/>
        <v>22.55</v>
      </c>
      <c r="BL99" s="9">
        <f t="shared" si="13"/>
        <v>0</v>
      </c>
      <c r="BM99" s="9">
        <f t="shared" si="14"/>
        <v>21.65</v>
      </c>
      <c r="BN99" s="9">
        <f t="shared" si="15"/>
        <v>937.17</v>
      </c>
      <c r="BO99" s="9">
        <f t="shared" si="16"/>
        <v>0</v>
      </c>
      <c r="BP99" s="9">
        <f t="shared" si="17"/>
        <v>61.32</v>
      </c>
    </row>
    <row r="100" spans="1:68">
      <c r="A100" s="6">
        <v>44578</v>
      </c>
      <c r="B100" s="7">
        <v>3139</v>
      </c>
      <c r="C100" s="8">
        <v>1565.25</v>
      </c>
      <c r="D100" s="8"/>
      <c r="E100" s="8"/>
      <c r="F100" s="8"/>
      <c r="G100" s="8"/>
      <c r="H100" s="8">
        <v>649.41</v>
      </c>
      <c r="I100" s="8"/>
      <c r="J100" s="8"/>
      <c r="K100" s="8"/>
      <c r="L100" s="8"/>
      <c r="M100" s="8">
        <v>3.66</v>
      </c>
      <c r="N100" s="8"/>
      <c r="O100" s="8"/>
      <c r="P100" s="8"/>
      <c r="Q100" s="8"/>
      <c r="R100" s="8"/>
      <c r="S100" s="8">
        <v>6.56</v>
      </c>
      <c r="T100" s="8">
        <v>23.16</v>
      </c>
      <c r="U100" s="8"/>
      <c r="V100" s="8"/>
      <c r="W100" s="8"/>
      <c r="X100" s="8"/>
      <c r="Y100" s="8"/>
      <c r="Z100" s="8"/>
      <c r="AA100" s="8"/>
      <c r="AB100" s="8"/>
      <c r="AC100" s="8">
        <v>7.72</v>
      </c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>
        <v>1142.6600000000001</v>
      </c>
      <c r="AU100" s="8"/>
      <c r="AV100" s="8">
        <v>38.6</v>
      </c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>
        <v>83</v>
      </c>
      <c r="BH100" s="9">
        <f t="shared" si="9"/>
        <v>2214.66</v>
      </c>
      <c r="BI100" s="9">
        <f t="shared" si="10"/>
        <v>3.66</v>
      </c>
      <c r="BJ100" s="9">
        <f t="shared" si="11"/>
        <v>6.56</v>
      </c>
      <c r="BK100" s="9">
        <f t="shared" si="12"/>
        <v>23.16</v>
      </c>
      <c r="BL100" s="9">
        <f t="shared" si="13"/>
        <v>0</v>
      </c>
      <c r="BM100" s="9">
        <f t="shared" si="14"/>
        <v>7.72</v>
      </c>
      <c r="BN100" s="9">
        <f t="shared" si="15"/>
        <v>1142.6600000000001</v>
      </c>
      <c r="BO100" s="9">
        <f t="shared" si="16"/>
        <v>38.6</v>
      </c>
      <c r="BP100" s="9">
        <f t="shared" si="17"/>
        <v>0</v>
      </c>
    </row>
    <row r="101" spans="1:68">
      <c r="A101" s="6">
        <v>44578</v>
      </c>
      <c r="B101" s="7">
        <v>3703</v>
      </c>
      <c r="C101" s="8">
        <v>813.04</v>
      </c>
      <c r="D101" s="8">
        <v>552.35</v>
      </c>
      <c r="E101" s="8"/>
      <c r="F101" s="8"/>
      <c r="G101" s="8"/>
      <c r="H101" s="8"/>
      <c r="I101" s="8"/>
      <c r="J101" s="8"/>
      <c r="K101" s="8"/>
      <c r="L101" s="8"/>
      <c r="M101" s="8">
        <v>2.76</v>
      </c>
      <c r="N101" s="8"/>
      <c r="O101" s="8"/>
      <c r="P101" s="8"/>
      <c r="Q101" s="11"/>
      <c r="R101" s="11"/>
      <c r="S101" s="8">
        <v>6.74</v>
      </c>
      <c r="T101" s="8"/>
      <c r="U101" s="8">
        <v>11.01</v>
      </c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>
        <v>27.49</v>
      </c>
      <c r="AL101" s="8"/>
      <c r="AM101" s="8"/>
      <c r="AN101" s="8"/>
      <c r="AO101" s="8"/>
      <c r="AP101" s="11"/>
      <c r="AQ101" s="8"/>
      <c r="AR101" s="8"/>
      <c r="AS101" s="8"/>
      <c r="AT101" s="8">
        <v>337.68</v>
      </c>
      <c r="AU101" s="8">
        <v>166.86</v>
      </c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>
        <v>35.17</v>
      </c>
      <c r="BH101" s="9">
        <f t="shared" si="9"/>
        <v>1365.3899999999999</v>
      </c>
      <c r="BI101" s="9">
        <f t="shared" si="10"/>
        <v>2.76</v>
      </c>
      <c r="BJ101" s="9">
        <f t="shared" si="11"/>
        <v>6.74</v>
      </c>
      <c r="BK101" s="9">
        <f t="shared" si="12"/>
        <v>11.01</v>
      </c>
      <c r="BL101" s="9">
        <f t="shared" si="13"/>
        <v>0</v>
      </c>
      <c r="BM101" s="9">
        <f t="shared" si="14"/>
        <v>27.49</v>
      </c>
      <c r="BN101" s="9">
        <f t="shared" si="15"/>
        <v>504.54</v>
      </c>
      <c r="BO101" s="9">
        <f t="shared" si="16"/>
        <v>0</v>
      </c>
      <c r="BP101" s="9">
        <f t="shared" si="17"/>
        <v>0</v>
      </c>
    </row>
    <row r="102" spans="1:68">
      <c r="A102" s="6">
        <v>44578</v>
      </c>
      <c r="B102" s="7">
        <v>3702</v>
      </c>
      <c r="C102" s="8">
        <v>316.89</v>
      </c>
      <c r="D102" s="8">
        <v>211.13</v>
      </c>
      <c r="E102" s="8"/>
      <c r="F102" s="8"/>
      <c r="G102" s="8"/>
      <c r="H102" s="8"/>
      <c r="I102" s="8"/>
      <c r="J102" s="8"/>
      <c r="K102" s="8"/>
      <c r="L102" s="8"/>
      <c r="M102" s="8">
        <v>1.04</v>
      </c>
      <c r="N102" s="8"/>
      <c r="O102" s="8"/>
      <c r="P102" s="8"/>
      <c r="Q102" s="11"/>
      <c r="R102" s="11"/>
      <c r="S102" s="8">
        <v>2.4700000000000002</v>
      </c>
      <c r="T102" s="8"/>
      <c r="U102" s="8">
        <v>4.2300000000000004</v>
      </c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11"/>
      <c r="AQ102" s="8"/>
      <c r="AR102" s="8"/>
      <c r="AS102" s="8"/>
      <c r="AT102" s="8">
        <v>129.6</v>
      </c>
      <c r="AU102" s="8">
        <v>64.37</v>
      </c>
      <c r="AV102" s="8"/>
      <c r="AW102" s="8">
        <v>1.18</v>
      </c>
      <c r="AX102" s="8"/>
      <c r="AY102" s="8"/>
      <c r="AZ102" s="8"/>
      <c r="BA102" s="8"/>
      <c r="BB102" s="8"/>
      <c r="BC102" s="8"/>
      <c r="BD102" s="8"/>
      <c r="BE102" s="8"/>
      <c r="BF102" s="8"/>
      <c r="BG102" s="8">
        <v>13.51</v>
      </c>
      <c r="BH102" s="9">
        <f t="shared" si="9"/>
        <v>528.02</v>
      </c>
      <c r="BI102" s="9">
        <f t="shared" si="10"/>
        <v>1.04</v>
      </c>
      <c r="BJ102" s="9">
        <f t="shared" si="11"/>
        <v>2.4700000000000002</v>
      </c>
      <c r="BK102" s="9">
        <f t="shared" si="12"/>
        <v>4.2300000000000004</v>
      </c>
      <c r="BL102" s="9">
        <f t="shared" si="13"/>
        <v>0</v>
      </c>
      <c r="BM102" s="9">
        <f t="shared" si="14"/>
        <v>0</v>
      </c>
      <c r="BN102" s="9">
        <f t="shared" si="15"/>
        <v>193.97</v>
      </c>
      <c r="BO102" s="9">
        <f t="shared" si="16"/>
        <v>1.18</v>
      </c>
      <c r="BP102" s="9">
        <f t="shared" si="17"/>
        <v>0</v>
      </c>
    </row>
    <row r="103" spans="1:68">
      <c r="A103" s="6">
        <v>44578</v>
      </c>
      <c r="B103" s="7">
        <v>3016</v>
      </c>
      <c r="C103" s="8"/>
      <c r="D103" s="8">
        <v>2245.33</v>
      </c>
      <c r="E103" s="8"/>
      <c r="F103" s="8"/>
      <c r="G103" s="8"/>
      <c r="H103" s="8"/>
      <c r="I103" s="8">
        <v>2070.37</v>
      </c>
      <c r="J103" s="8"/>
      <c r="K103" s="8"/>
      <c r="L103" s="8"/>
      <c r="M103" s="8"/>
      <c r="N103" s="8">
        <v>25.88</v>
      </c>
      <c r="O103" s="8"/>
      <c r="P103" s="8"/>
      <c r="Q103" s="8"/>
      <c r="R103" s="8"/>
      <c r="S103" s="8">
        <v>3.01</v>
      </c>
      <c r="T103" s="8">
        <v>43.22</v>
      </c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>
        <v>17.22</v>
      </c>
      <c r="AN103" s="8">
        <v>67.48</v>
      </c>
      <c r="AO103" s="8"/>
      <c r="AP103" s="8"/>
      <c r="AQ103" s="8"/>
      <c r="AR103" s="8">
        <v>109.04</v>
      </c>
      <c r="AS103" s="8"/>
      <c r="AT103" s="8">
        <v>1606.7</v>
      </c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>
        <v>117.24</v>
      </c>
      <c r="BH103" s="9">
        <f t="shared" si="9"/>
        <v>4315.7</v>
      </c>
      <c r="BI103" s="9">
        <f t="shared" si="10"/>
        <v>25.88</v>
      </c>
      <c r="BJ103" s="9">
        <f t="shared" si="11"/>
        <v>3.01</v>
      </c>
      <c r="BK103" s="9">
        <f t="shared" si="12"/>
        <v>43.22</v>
      </c>
      <c r="BL103" s="9">
        <f t="shared" si="13"/>
        <v>0</v>
      </c>
      <c r="BM103" s="9">
        <f t="shared" si="14"/>
        <v>193.74</v>
      </c>
      <c r="BN103" s="9">
        <f t="shared" si="15"/>
        <v>1606.7</v>
      </c>
      <c r="BO103" s="9">
        <f t="shared" si="16"/>
        <v>0</v>
      </c>
      <c r="BP103" s="9">
        <f t="shared" si="17"/>
        <v>0</v>
      </c>
    </row>
    <row r="104" spans="1:68">
      <c r="A104" s="6">
        <v>44578</v>
      </c>
      <c r="B104" s="7">
        <v>3200</v>
      </c>
      <c r="C104" s="8">
        <v>3324.52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>
        <v>8.33</v>
      </c>
      <c r="P104" s="8"/>
      <c r="Q104" s="8"/>
      <c r="R104" s="8"/>
      <c r="S104" s="8">
        <v>13.01</v>
      </c>
      <c r="T104" s="8"/>
      <c r="U104" s="8">
        <v>50.06</v>
      </c>
      <c r="V104" s="8"/>
      <c r="W104" s="8"/>
      <c r="X104" s="8"/>
      <c r="Y104" s="8"/>
      <c r="Z104" s="8">
        <v>700.17</v>
      </c>
      <c r="AA104" s="8"/>
      <c r="AB104" s="8"/>
      <c r="AC104" s="8"/>
      <c r="AD104" s="8"/>
      <c r="AE104" s="8">
        <v>49.92</v>
      </c>
      <c r="AF104" s="8">
        <v>166.38</v>
      </c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>
        <v>2280.1</v>
      </c>
      <c r="AU104" s="8"/>
      <c r="AV104" s="8"/>
      <c r="AW104" s="8">
        <v>9.6199999999999992</v>
      </c>
      <c r="AX104" s="8"/>
      <c r="AY104" s="8"/>
      <c r="AZ104" s="8"/>
      <c r="BA104" s="8"/>
      <c r="BB104" s="8"/>
      <c r="BC104" s="8"/>
      <c r="BD104" s="8"/>
      <c r="BE104" s="8"/>
      <c r="BF104" s="8">
        <v>160.30000000000001</v>
      </c>
      <c r="BG104" s="8">
        <v>165.22</v>
      </c>
      <c r="BH104" s="9">
        <f t="shared" si="9"/>
        <v>3324.52</v>
      </c>
      <c r="BI104" s="9">
        <f t="shared" si="10"/>
        <v>8.33</v>
      </c>
      <c r="BJ104" s="9">
        <f t="shared" si="11"/>
        <v>13.01</v>
      </c>
      <c r="BK104" s="9">
        <f t="shared" si="12"/>
        <v>50.06</v>
      </c>
      <c r="BL104" s="9">
        <f t="shared" si="13"/>
        <v>700.17</v>
      </c>
      <c r="BM104" s="9">
        <f t="shared" si="14"/>
        <v>216.3</v>
      </c>
      <c r="BN104" s="9">
        <f t="shared" si="15"/>
        <v>2280.1</v>
      </c>
      <c r="BO104" s="9">
        <f t="shared" si="16"/>
        <v>9.6199999999999992</v>
      </c>
      <c r="BP104" s="9">
        <f t="shared" si="17"/>
        <v>160.30000000000001</v>
      </c>
    </row>
    <row r="105" spans="1:68">
      <c r="A105" s="6">
        <v>44578</v>
      </c>
      <c r="B105" s="7">
        <v>3079</v>
      </c>
      <c r="C105" s="8"/>
      <c r="D105" s="8"/>
      <c r="E105" s="8"/>
      <c r="F105" s="8">
        <v>327.38</v>
      </c>
      <c r="G105" s="8"/>
      <c r="H105" s="8"/>
      <c r="I105" s="8">
        <v>2657.83</v>
      </c>
      <c r="J105" s="8"/>
      <c r="K105" s="8"/>
      <c r="L105" s="8"/>
      <c r="M105" s="8">
        <v>0</v>
      </c>
      <c r="N105" s="8">
        <v>22.44</v>
      </c>
      <c r="O105" s="8"/>
      <c r="P105" s="8"/>
      <c r="Q105" s="8"/>
      <c r="R105" s="8"/>
      <c r="S105" s="8">
        <v>1.19</v>
      </c>
      <c r="T105" s="8">
        <v>29.94</v>
      </c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>
        <v>11.93</v>
      </c>
      <c r="AN105" s="8">
        <v>30.34</v>
      </c>
      <c r="AO105" s="8"/>
      <c r="AP105" s="8"/>
      <c r="AQ105" s="8"/>
      <c r="AR105" s="8">
        <v>75.569999999999993</v>
      </c>
      <c r="AS105" s="8"/>
      <c r="AT105" s="8">
        <v>1138.68</v>
      </c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>
        <v>82.23</v>
      </c>
      <c r="BH105" s="9">
        <f t="shared" si="9"/>
        <v>2985.21</v>
      </c>
      <c r="BI105" s="9">
        <f t="shared" si="10"/>
        <v>22.44</v>
      </c>
      <c r="BJ105" s="9">
        <f t="shared" si="11"/>
        <v>1.19</v>
      </c>
      <c r="BK105" s="9">
        <f t="shared" si="12"/>
        <v>29.94</v>
      </c>
      <c r="BL105" s="9">
        <f t="shared" si="13"/>
        <v>0</v>
      </c>
      <c r="BM105" s="9">
        <f t="shared" si="14"/>
        <v>117.83999999999999</v>
      </c>
      <c r="BN105" s="9">
        <f t="shared" si="15"/>
        <v>1138.68</v>
      </c>
      <c r="BO105" s="9">
        <f t="shared" si="16"/>
        <v>0</v>
      </c>
      <c r="BP105" s="9">
        <f t="shared" si="17"/>
        <v>0</v>
      </c>
    </row>
    <row r="106" spans="1:68">
      <c r="A106" s="6">
        <v>44578</v>
      </c>
      <c r="B106" s="7">
        <v>3023</v>
      </c>
      <c r="C106" s="8"/>
      <c r="D106" s="8">
        <v>843.82</v>
      </c>
      <c r="E106" s="8"/>
      <c r="F106" s="8"/>
      <c r="G106" s="8"/>
      <c r="H106" s="8"/>
      <c r="I106" s="8">
        <v>457.27</v>
      </c>
      <c r="J106" s="8"/>
      <c r="K106" s="8"/>
      <c r="L106" s="8"/>
      <c r="M106" s="8"/>
      <c r="N106" s="8">
        <v>7.29</v>
      </c>
      <c r="O106" s="8"/>
      <c r="P106" s="8"/>
      <c r="Q106" s="8"/>
      <c r="R106" s="8"/>
      <c r="S106" s="8">
        <v>2.08</v>
      </c>
      <c r="T106" s="8"/>
      <c r="U106" s="8"/>
      <c r="V106" s="8"/>
      <c r="W106" s="8">
        <v>11.78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>
        <v>13.11</v>
      </c>
      <c r="AN106" s="8">
        <v>9.1199999999999992</v>
      </c>
      <c r="AO106" s="8"/>
      <c r="AP106" s="8"/>
      <c r="AQ106" s="8"/>
      <c r="AR106" s="8"/>
      <c r="AS106" s="8">
        <v>43.01</v>
      </c>
      <c r="AT106" s="8">
        <v>534.11</v>
      </c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>
        <v>40.340000000000003</v>
      </c>
      <c r="BH106" s="9">
        <f t="shared" si="9"/>
        <v>1301.0900000000001</v>
      </c>
      <c r="BI106" s="9">
        <f t="shared" si="10"/>
        <v>7.29</v>
      </c>
      <c r="BJ106" s="9">
        <f t="shared" si="11"/>
        <v>2.08</v>
      </c>
      <c r="BK106" s="9">
        <f t="shared" si="12"/>
        <v>11.78</v>
      </c>
      <c r="BL106" s="9">
        <f t="shared" si="13"/>
        <v>0</v>
      </c>
      <c r="BM106" s="9">
        <f t="shared" si="14"/>
        <v>65.239999999999995</v>
      </c>
      <c r="BN106" s="9">
        <f t="shared" si="15"/>
        <v>534.11</v>
      </c>
      <c r="BO106" s="9">
        <f t="shared" si="16"/>
        <v>0</v>
      </c>
      <c r="BP106" s="9">
        <f t="shared" si="17"/>
        <v>0</v>
      </c>
    </row>
    <row r="107" spans="1:68">
      <c r="A107" s="6">
        <v>44578</v>
      </c>
      <c r="B107" s="7">
        <v>3020</v>
      </c>
      <c r="C107" s="8"/>
      <c r="D107" s="8">
        <v>305.8</v>
      </c>
      <c r="E107" s="8"/>
      <c r="F107" s="8"/>
      <c r="G107" s="8"/>
      <c r="H107" s="8"/>
      <c r="I107" s="8">
        <v>1727.73</v>
      </c>
      <c r="J107" s="8"/>
      <c r="K107" s="8"/>
      <c r="L107" s="8"/>
      <c r="M107" s="8"/>
      <c r="N107" s="8">
        <v>12.21</v>
      </c>
      <c r="O107" s="8"/>
      <c r="P107" s="8"/>
      <c r="Q107" s="8"/>
      <c r="R107" s="8"/>
      <c r="S107" s="8">
        <v>3.67</v>
      </c>
      <c r="T107" s="8"/>
      <c r="U107" s="8"/>
      <c r="V107" s="8"/>
      <c r="W107" s="8">
        <v>19.829999999999998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>
        <v>19.93</v>
      </c>
      <c r="AN107" s="8"/>
      <c r="AO107" s="8"/>
      <c r="AP107" s="8"/>
      <c r="AQ107" s="8"/>
      <c r="AR107" s="8"/>
      <c r="AS107" s="8">
        <v>50.79</v>
      </c>
      <c r="AT107" s="8">
        <v>999.67</v>
      </c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>
        <v>73.13</v>
      </c>
      <c r="BH107" s="9">
        <f t="shared" si="9"/>
        <v>2033.53</v>
      </c>
      <c r="BI107" s="9">
        <f t="shared" si="10"/>
        <v>12.21</v>
      </c>
      <c r="BJ107" s="9">
        <f t="shared" si="11"/>
        <v>3.67</v>
      </c>
      <c r="BK107" s="9">
        <f t="shared" si="12"/>
        <v>19.829999999999998</v>
      </c>
      <c r="BL107" s="9">
        <f t="shared" si="13"/>
        <v>0</v>
      </c>
      <c r="BM107" s="9">
        <f t="shared" si="14"/>
        <v>70.72</v>
      </c>
      <c r="BN107" s="9">
        <f t="shared" si="15"/>
        <v>999.67</v>
      </c>
      <c r="BO107" s="9">
        <f t="shared" si="16"/>
        <v>0</v>
      </c>
      <c r="BP107" s="9">
        <f t="shared" si="17"/>
        <v>0</v>
      </c>
    </row>
    <row r="108" spans="1:68">
      <c r="A108" s="6">
        <v>44579</v>
      </c>
      <c r="B108" s="7">
        <v>3083</v>
      </c>
      <c r="C108" s="8"/>
      <c r="D108" s="8">
        <v>1030.99</v>
      </c>
      <c r="E108" s="8"/>
      <c r="F108" s="8"/>
      <c r="G108" s="8"/>
      <c r="H108" s="8"/>
      <c r="I108" s="8">
        <v>2405.69</v>
      </c>
      <c r="J108" s="8"/>
      <c r="K108" s="8"/>
      <c r="L108" s="8"/>
      <c r="M108" s="8"/>
      <c r="N108" s="8">
        <v>23.74</v>
      </c>
      <c r="O108" s="8"/>
      <c r="P108" s="8"/>
      <c r="Q108" s="8"/>
      <c r="R108" s="8"/>
      <c r="S108" s="8">
        <v>2.4</v>
      </c>
      <c r="T108" s="8">
        <v>27.48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>
        <v>13.92</v>
      </c>
      <c r="AN108" s="8">
        <v>48.15</v>
      </c>
      <c r="AO108" s="8"/>
      <c r="AP108" s="8"/>
      <c r="AQ108" s="8"/>
      <c r="AR108" s="8">
        <v>85.74</v>
      </c>
      <c r="AS108" s="8"/>
      <c r="AT108" s="8">
        <v>1564.44</v>
      </c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>
        <v>122.97</v>
      </c>
      <c r="BH108" s="9">
        <f t="shared" si="9"/>
        <v>3436.6800000000003</v>
      </c>
      <c r="BI108" s="9">
        <f t="shared" si="10"/>
        <v>23.74</v>
      </c>
      <c r="BJ108" s="9">
        <f t="shared" si="11"/>
        <v>2.4</v>
      </c>
      <c r="BK108" s="9">
        <f t="shared" si="12"/>
        <v>27.48</v>
      </c>
      <c r="BL108" s="9">
        <f t="shared" si="13"/>
        <v>0</v>
      </c>
      <c r="BM108" s="9">
        <f t="shared" si="14"/>
        <v>147.81</v>
      </c>
      <c r="BN108" s="9">
        <f t="shared" si="15"/>
        <v>1564.44</v>
      </c>
      <c r="BO108" s="9">
        <f t="shared" si="16"/>
        <v>0</v>
      </c>
      <c r="BP108" s="9">
        <f t="shared" si="17"/>
        <v>0</v>
      </c>
    </row>
    <row r="109" spans="1:68">
      <c r="A109" s="6">
        <v>44579</v>
      </c>
      <c r="B109" s="7">
        <v>3029</v>
      </c>
      <c r="C109" s="8"/>
      <c r="D109" s="8">
        <v>455.76</v>
      </c>
      <c r="E109" s="8"/>
      <c r="F109" s="8">
        <v>322.14</v>
      </c>
      <c r="G109" s="8"/>
      <c r="H109" s="8"/>
      <c r="I109" s="8">
        <v>1903.17</v>
      </c>
      <c r="J109" s="8"/>
      <c r="K109" s="8"/>
      <c r="L109" s="8"/>
      <c r="M109" s="8"/>
      <c r="N109" s="8">
        <v>20.399999999999999</v>
      </c>
      <c r="O109" s="8"/>
      <c r="P109" s="8"/>
      <c r="Q109" s="8"/>
      <c r="R109" s="8"/>
      <c r="S109" s="8">
        <v>1.6</v>
      </c>
      <c r="T109" s="8"/>
      <c r="U109" s="8"/>
      <c r="V109" s="8"/>
      <c r="W109" s="8">
        <v>27.28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>
        <v>9.4700000000000006</v>
      </c>
      <c r="AN109" s="8">
        <v>13.69</v>
      </c>
      <c r="AO109" s="8"/>
      <c r="AP109" s="8"/>
      <c r="AQ109" s="8"/>
      <c r="AR109" s="8">
        <v>80.44</v>
      </c>
      <c r="AS109" s="8"/>
      <c r="AT109" s="8">
        <v>1018.02</v>
      </c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>
        <v>71.34</v>
      </c>
      <c r="BH109" s="9">
        <f t="shared" si="9"/>
        <v>2681.07</v>
      </c>
      <c r="BI109" s="9">
        <f t="shared" si="10"/>
        <v>20.399999999999999</v>
      </c>
      <c r="BJ109" s="9">
        <f t="shared" si="11"/>
        <v>1.6</v>
      </c>
      <c r="BK109" s="9">
        <f t="shared" si="12"/>
        <v>27.28</v>
      </c>
      <c r="BL109" s="9">
        <f t="shared" si="13"/>
        <v>0</v>
      </c>
      <c r="BM109" s="9">
        <f t="shared" si="14"/>
        <v>103.6</v>
      </c>
      <c r="BN109" s="9">
        <f t="shared" si="15"/>
        <v>1018.02</v>
      </c>
      <c r="BO109" s="9">
        <f t="shared" si="16"/>
        <v>0</v>
      </c>
      <c r="BP109" s="9">
        <f t="shared" si="17"/>
        <v>0</v>
      </c>
    </row>
    <row r="110" spans="1:68">
      <c r="A110" s="6">
        <v>44579</v>
      </c>
      <c r="B110" s="7">
        <v>3025</v>
      </c>
      <c r="C110" s="8"/>
      <c r="D110" s="8">
        <v>208.05</v>
      </c>
      <c r="E110" s="8"/>
      <c r="F110" s="8"/>
      <c r="G110" s="8"/>
      <c r="H110" s="8"/>
      <c r="I110" s="8">
        <v>1174.1600000000001</v>
      </c>
      <c r="J110" s="8"/>
      <c r="K110" s="8"/>
      <c r="L110" s="8"/>
      <c r="M110" s="8"/>
      <c r="N110" s="8">
        <v>7.44</v>
      </c>
      <c r="O110" s="8"/>
      <c r="P110" s="8"/>
      <c r="Q110" s="8"/>
      <c r="R110" s="8"/>
      <c r="S110" s="8">
        <v>2.2200000000000002</v>
      </c>
      <c r="T110" s="8"/>
      <c r="U110" s="8"/>
      <c r="V110" s="8"/>
      <c r="W110" s="8">
        <v>12.47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>
        <v>14.1</v>
      </c>
      <c r="AN110" s="8">
        <v>9.8109999999999999</v>
      </c>
      <c r="AO110" s="8"/>
      <c r="AP110" s="8"/>
      <c r="AQ110" s="8"/>
      <c r="AR110" s="8"/>
      <c r="AS110" s="8">
        <v>45.73</v>
      </c>
      <c r="AT110" s="8">
        <v>475.52</v>
      </c>
      <c r="AU110" s="8"/>
      <c r="AV110" s="8"/>
      <c r="AW110" s="8"/>
      <c r="AX110" s="8"/>
      <c r="AY110" s="8"/>
      <c r="AZ110" s="8"/>
      <c r="BA110" s="8"/>
      <c r="BB110" s="8"/>
      <c r="BC110" s="10"/>
      <c r="BD110" s="8"/>
      <c r="BE110" s="8"/>
      <c r="BF110" s="8"/>
      <c r="BG110" s="8">
        <v>31.62</v>
      </c>
      <c r="BH110" s="9">
        <f t="shared" si="9"/>
        <v>1382.21</v>
      </c>
      <c r="BI110" s="9">
        <f t="shared" si="10"/>
        <v>7.44</v>
      </c>
      <c r="BJ110" s="9">
        <f t="shared" si="11"/>
        <v>2.2200000000000002</v>
      </c>
      <c r="BK110" s="9">
        <f t="shared" si="12"/>
        <v>12.47</v>
      </c>
      <c r="BL110" s="9">
        <f t="shared" si="13"/>
        <v>0</v>
      </c>
      <c r="BM110" s="9">
        <f t="shared" si="14"/>
        <v>69.640999999999991</v>
      </c>
      <c r="BN110" s="9">
        <f t="shared" si="15"/>
        <v>475.52</v>
      </c>
      <c r="BO110" s="9">
        <f t="shared" si="16"/>
        <v>0</v>
      </c>
      <c r="BP110" s="9">
        <f t="shared" si="17"/>
        <v>0</v>
      </c>
    </row>
    <row r="111" spans="1:68">
      <c r="A111" s="6">
        <v>44579</v>
      </c>
      <c r="B111" s="7">
        <v>3078</v>
      </c>
      <c r="C111" s="8"/>
      <c r="D111" s="8"/>
      <c r="E111" s="8"/>
      <c r="F111" s="8">
        <v>94.24</v>
      </c>
      <c r="G111" s="8"/>
      <c r="H111" s="8"/>
      <c r="I111" s="8">
        <v>329.9</v>
      </c>
      <c r="J111" s="8"/>
      <c r="K111" s="8"/>
      <c r="L111" s="8">
        <v>47.89</v>
      </c>
      <c r="M111" s="8"/>
      <c r="N111" s="8">
        <v>3.59</v>
      </c>
      <c r="O111" s="8"/>
      <c r="P111" s="8"/>
      <c r="Q111" s="8"/>
      <c r="R111" s="8"/>
      <c r="S111" s="8">
        <v>0.95</v>
      </c>
      <c r="T111" s="8"/>
      <c r="U111" s="8"/>
      <c r="V111" s="8"/>
      <c r="W111" s="8">
        <v>6.96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>
        <v>4.62</v>
      </c>
      <c r="AN111" s="8"/>
      <c r="AO111" s="8"/>
      <c r="AP111" s="8"/>
      <c r="AQ111" s="8"/>
      <c r="AR111" s="8"/>
      <c r="AS111" s="8">
        <v>11.94</v>
      </c>
      <c r="AT111" s="8">
        <v>226.51</v>
      </c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>
        <v>23.78</v>
      </c>
      <c r="BG111" s="8">
        <v>15.98</v>
      </c>
      <c r="BH111" s="9">
        <f t="shared" si="9"/>
        <v>472.03</v>
      </c>
      <c r="BI111" s="9">
        <f t="shared" si="10"/>
        <v>3.59</v>
      </c>
      <c r="BJ111" s="9">
        <f t="shared" si="11"/>
        <v>0.95</v>
      </c>
      <c r="BK111" s="9">
        <f t="shared" si="12"/>
        <v>6.96</v>
      </c>
      <c r="BL111" s="9">
        <f t="shared" si="13"/>
        <v>0</v>
      </c>
      <c r="BM111" s="9">
        <f t="shared" si="14"/>
        <v>16.559999999999999</v>
      </c>
      <c r="BN111" s="9">
        <f t="shared" si="15"/>
        <v>226.51</v>
      </c>
      <c r="BO111" s="9">
        <f t="shared" si="16"/>
        <v>0</v>
      </c>
      <c r="BP111" s="9">
        <f t="shared" si="17"/>
        <v>23.78</v>
      </c>
    </row>
    <row r="112" spans="1:68">
      <c r="A112" s="6">
        <v>44579</v>
      </c>
      <c r="B112" s="7">
        <v>3203</v>
      </c>
      <c r="C112" s="8">
        <v>1678.48</v>
      </c>
      <c r="D112" s="8"/>
      <c r="E112" s="8">
        <v>719.78</v>
      </c>
      <c r="F112" s="8"/>
      <c r="G112" s="8"/>
      <c r="H112" s="8"/>
      <c r="I112" s="8"/>
      <c r="J112" s="8"/>
      <c r="K112" s="8"/>
      <c r="L112" s="8"/>
      <c r="M112" s="8"/>
      <c r="N112" s="8"/>
      <c r="O112" s="8">
        <v>7.19</v>
      </c>
      <c r="P112" s="8"/>
      <c r="Q112" s="8"/>
      <c r="R112" s="8"/>
      <c r="S112" s="8">
        <v>9.36</v>
      </c>
      <c r="T112" s="8"/>
      <c r="U112" s="8">
        <v>29.77</v>
      </c>
      <c r="V112" s="8"/>
      <c r="W112" s="8"/>
      <c r="X112" s="8"/>
      <c r="Y112" s="8"/>
      <c r="Z112" s="8">
        <v>377.9</v>
      </c>
      <c r="AA112" s="8">
        <v>296.76</v>
      </c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>
        <v>897.55</v>
      </c>
      <c r="AU112" s="8">
        <v>448.26</v>
      </c>
      <c r="AV112" s="8"/>
      <c r="AW112" s="8"/>
      <c r="AX112" s="8"/>
      <c r="AY112" s="8"/>
      <c r="AZ112" s="8"/>
      <c r="BA112" s="8"/>
      <c r="BB112" s="8"/>
      <c r="BC112" s="8">
        <v>6.24</v>
      </c>
      <c r="BD112" s="8"/>
      <c r="BE112" s="8"/>
      <c r="BF112" s="8"/>
      <c r="BG112" s="8">
        <v>87.82</v>
      </c>
      <c r="BH112" s="9">
        <f t="shared" si="9"/>
        <v>2398.2600000000002</v>
      </c>
      <c r="BI112" s="9">
        <f t="shared" si="10"/>
        <v>7.19</v>
      </c>
      <c r="BJ112" s="9">
        <f t="shared" si="11"/>
        <v>9.36</v>
      </c>
      <c r="BK112" s="9">
        <f t="shared" si="12"/>
        <v>29.77</v>
      </c>
      <c r="BL112" s="9">
        <f t="shared" si="13"/>
        <v>674.66</v>
      </c>
      <c r="BM112" s="9">
        <f t="shared" si="14"/>
        <v>0</v>
      </c>
      <c r="BN112" s="9">
        <f t="shared" si="15"/>
        <v>1345.81</v>
      </c>
      <c r="BO112" s="9">
        <f t="shared" si="16"/>
        <v>6.24</v>
      </c>
      <c r="BP112" s="9">
        <f t="shared" si="17"/>
        <v>0</v>
      </c>
    </row>
    <row r="113" spans="1:68">
      <c r="A113" s="6">
        <v>44579</v>
      </c>
      <c r="B113" s="7">
        <v>3139</v>
      </c>
      <c r="C113" s="8">
        <v>979.43</v>
      </c>
      <c r="D113" s="8"/>
      <c r="E113" s="8"/>
      <c r="F113" s="8"/>
      <c r="G113" s="8"/>
      <c r="H113" s="8">
        <v>406.76</v>
      </c>
      <c r="I113" s="8"/>
      <c r="J113" s="8"/>
      <c r="K113" s="8"/>
      <c r="L113" s="8"/>
      <c r="M113" s="8">
        <v>2.31</v>
      </c>
      <c r="N113" s="8"/>
      <c r="O113" s="8"/>
      <c r="P113" s="8"/>
      <c r="Q113" s="8"/>
      <c r="R113" s="8"/>
      <c r="S113" s="8">
        <v>4.0999999999999996</v>
      </c>
      <c r="T113" s="8">
        <v>14.47</v>
      </c>
      <c r="U113" s="8"/>
      <c r="V113" s="8"/>
      <c r="W113" s="8"/>
      <c r="X113" s="8"/>
      <c r="Y113" s="8"/>
      <c r="Z113" s="8"/>
      <c r="AA113" s="8"/>
      <c r="AB113" s="8"/>
      <c r="AC113" s="8">
        <v>4.82</v>
      </c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>
        <v>714.37</v>
      </c>
      <c r="AU113" s="8"/>
      <c r="AV113" s="8">
        <v>24.07</v>
      </c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>
        <v>51.87</v>
      </c>
      <c r="BH113" s="9">
        <f t="shared" si="9"/>
        <v>1386.19</v>
      </c>
      <c r="BI113" s="9">
        <f t="shared" si="10"/>
        <v>2.31</v>
      </c>
      <c r="BJ113" s="9">
        <f t="shared" si="11"/>
        <v>4.0999999999999996</v>
      </c>
      <c r="BK113" s="9">
        <f t="shared" si="12"/>
        <v>14.47</v>
      </c>
      <c r="BL113" s="9">
        <f t="shared" si="13"/>
        <v>0</v>
      </c>
      <c r="BM113" s="9">
        <f t="shared" si="14"/>
        <v>4.82</v>
      </c>
      <c r="BN113" s="9">
        <f t="shared" si="15"/>
        <v>714.37</v>
      </c>
      <c r="BO113" s="9">
        <f t="shared" si="16"/>
        <v>24.07</v>
      </c>
      <c r="BP113" s="9">
        <f t="shared" si="17"/>
        <v>0</v>
      </c>
    </row>
    <row r="114" spans="1:68">
      <c r="A114" s="6">
        <v>44579</v>
      </c>
      <c r="B114" s="7">
        <v>3204</v>
      </c>
      <c r="C114" s="8"/>
      <c r="D114" s="8">
        <v>1714.22</v>
      </c>
      <c r="E114" s="8">
        <v>733.76</v>
      </c>
      <c r="F114" s="8"/>
      <c r="G114" s="8"/>
      <c r="H114" s="8"/>
      <c r="I114" s="8"/>
      <c r="J114" s="8"/>
      <c r="K114" s="8"/>
      <c r="L114" s="8"/>
      <c r="M114" s="8"/>
      <c r="N114" s="8"/>
      <c r="O114" s="8">
        <v>12.23</v>
      </c>
      <c r="P114" s="8"/>
      <c r="Q114" s="8"/>
      <c r="R114" s="8"/>
      <c r="S114" s="8">
        <v>8.32</v>
      </c>
      <c r="T114" s="8">
        <v>14.68</v>
      </c>
      <c r="U114" s="8">
        <v>14.68</v>
      </c>
      <c r="V114" s="8"/>
      <c r="W114" s="8"/>
      <c r="X114" s="8"/>
      <c r="Y114" s="8"/>
      <c r="Z114" s="8">
        <v>367.52</v>
      </c>
      <c r="AA114" s="8"/>
      <c r="AB114" s="8">
        <v>12.59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>
        <v>1078.6600000000001</v>
      </c>
      <c r="AU114" s="8"/>
      <c r="AV114" s="8"/>
      <c r="AW114" s="8">
        <v>7.84</v>
      </c>
      <c r="AX114" s="8"/>
      <c r="AY114" s="8"/>
      <c r="AZ114" s="8"/>
      <c r="BA114" s="8"/>
      <c r="BB114" s="8"/>
      <c r="BC114" s="8"/>
      <c r="BD114" s="8"/>
      <c r="BE114" s="8"/>
      <c r="BF114" s="8"/>
      <c r="BG114" s="8">
        <v>79.62</v>
      </c>
      <c r="BH114" s="9">
        <f t="shared" si="9"/>
        <v>2447.98</v>
      </c>
      <c r="BI114" s="9">
        <f t="shared" si="10"/>
        <v>12.23</v>
      </c>
      <c r="BJ114" s="9">
        <f t="shared" si="11"/>
        <v>8.32</v>
      </c>
      <c r="BK114" s="9">
        <f t="shared" si="12"/>
        <v>29.36</v>
      </c>
      <c r="BL114" s="9">
        <f t="shared" si="13"/>
        <v>367.52</v>
      </c>
      <c r="BM114" s="9">
        <f t="shared" si="14"/>
        <v>12.59</v>
      </c>
      <c r="BN114" s="9">
        <f t="shared" si="15"/>
        <v>1078.6600000000001</v>
      </c>
      <c r="BO114" s="9">
        <f t="shared" si="16"/>
        <v>7.84</v>
      </c>
      <c r="BP114" s="9">
        <f t="shared" si="17"/>
        <v>0</v>
      </c>
    </row>
    <row r="115" spans="1:68">
      <c r="A115" s="6">
        <v>44579</v>
      </c>
      <c r="B115" s="7">
        <v>3304</v>
      </c>
      <c r="C115" s="8"/>
      <c r="D115" s="8">
        <v>851.87</v>
      </c>
      <c r="E115" s="8"/>
      <c r="F115" s="8"/>
      <c r="G115" s="8"/>
      <c r="H115" s="8"/>
      <c r="I115" s="8"/>
      <c r="J115" s="8"/>
      <c r="K115" s="8"/>
      <c r="L115" s="8"/>
      <c r="M115" s="8">
        <v>0.99</v>
      </c>
      <c r="N115" s="8"/>
      <c r="O115" s="8"/>
      <c r="P115" s="8"/>
      <c r="Q115" s="8"/>
      <c r="R115" s="8"/>
      <c r="S115" s="8">
        <v>6.07</v>
      </c>
      <c r="T115" s="8">
        <v>7.71</v>
      </c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>
        <v>8.57</v>
      </c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>
        <v>369.19</v>
      </c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24.66</v>
      </c>
      <c r="BH115" s="9">
        <f t="shared" si="9"/>
        <v>851.87</v>
      </c>
      <c r="BI115" s="9">
        <f t="shared" si="10"/>
        <v>0.99</v>
      </c>
      <c r="BJ115" s="9">
        <f t="shared" si="11"/>
        <v>6.07</v>
      </c>
      <c r="BK115" s="9">
        <f t="shared" si="12"/>
        <v>7.71</v>
      </c>
      <c r="BL115" s="9">
        <f t="shared" si="13"/>
        <v>0</v>
      </c>
      <c r="BM115" s="9">
        <f t="shared" si="14"/>
        <v>8.57</v>
      </c>
      <c r="BN115" s="9">
        <f t="shared" si="15"/>
        <v>369.19</v>
      </c>
      <c r="BO115" s="9">
        <f t="shared" si="16"/>
        <v>0</v>
      </c>
      <c r="BP115" s="9">
        <f t="shared" si="17"/>
        <v>0</v>
      </c>
    </row>
    <row r="116" spans="1:68">
      <c r="A116" s="6">
        <v>44579</v>
      </c>
      <c r="B116" s="7">
        <v>3602</v>
      </c>
      <c r="C116" s="8">
        <v>598.73</v>
      </c>
      <c r="D116" s="8"/>
      <c r="E116" s="8"/>
      <c r="F116" s="8"/>
      <c r="G116" s="8">
        <v>899.35</v>
      </c>
      <c r="H116" s="8"/>
      <c r="I116" s="8"/>
      <c r="J116" s="8"/>
      <c r="K116" s="8"/>
      <c r="L116" s="8"/>
      <c r="M116" s="8">
        <v>1.58</v>
      </c>
      <c r="N116" s="8"/>
      <c r="O116" s="8"/>
      <c r="P116" s="8"/>
      <c r="Q116" s="8"/>
      <c r="R116" s="8"/>
      <c r="S116" s="8">
        <v>7.95</v>
      </c>
      <c r="T116" s="8"/>
      <c r="U116" s="8">
        <v>4.8099999999999996</v>
      </c>
      <c r="V116" s="8">
        <v>14.7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>
        <v>626.89</v>
      </c>
      <c r="AU116" s="8"/>
      <c r="AV116" s="8"/>
      <c r="AW116" s="8">
        <v>38.86</v>
      </c>
      <c r="AX116" s="8"/>
      <c r="AY116" s="8"/>
      <c r="AZ116" s="8"/>
      <c r="BA116" s="8"/>
      <c r="BB116" s="8"/>
      <c r="BC116" s="8"/>
      <c r="BD116" s="8"/>
      <c r="BE116" s="8"/>
      <c r="BF116" s="8">
        <v>48.18</v>
      </c>
      <c r="BG116" s="8">
        <v>46.72</v>
      </c>
      <c r="BH116" s="9">
        <f t="shared" si="9"/>
        <v>1498.08</v>
      </c>
      <c r="BI116" s="9">
        <f t="shared" si="10"/>
        <v>1.58</v>
      </c>
      <c r="BJ116" s="9">
        <f t="shared" si="11"/>
        <v>7.95</v>
      </c>
      <c r="BK116" s="9">
        <f t="shared" si="12"/>
        <v>19.509999999999998</v>
      </c>
      <c r="BL116" s="9">
        <f t="shared" si="13"/>
        <v>0</v>
      </c>
      <c r="BM116" s="9">
        <f t="shared" si="14"/>
        <v>0</v>
      </c>
      <c r="BN116" s="9">
        <f t="shared" si="15"/>
        <v>626.89</v>
      </c>
      <c r="BO116" s="9">
        <f t="shared" si="16"/>
        <v>38.86</v>
      </c>
      <c r="BP116" s="9">
        <f t="shared" si="17"/>
        <v>48.18</v>
      </c>
    </row>
    <row r="117" spans="1:68">
      <c r="A117" s="6">
        <v>44580</v>
      </c>
      <c r="B117" s="7">
        <v>3141</v>
      </c>
      <c r="C117" s="8">
        <v>3617.07</v>
      </c>
      <c r="D117" s="8">
        <v>637.74</v>
      </c>
      <c r="E117" s="8"/>
      <c r="F117" s="8"/>
      <c r="G117" s="8"/>
      <c r="H117" s="8"/>
      <c r="I117" s="8"/>
      <c r="J117" s="8"/>
      <c r="K117" s="8"/>
      <c r="L117" s="8"/>
      <c r="M117" s="8">
        <v>11.44</v>
      </c>
      <c r="N117" s="8"/>
      <c r="O117" s="8"/>
      <c r="P117" s="8"/>
      <c r="Q117" s="8"/>
      <c r="R117" s="8"/>
      <c r="S117" s="8">
        <v>19.14</v>
      </c>
      <c r="T117" s="8">
        <v>31.92</v>
      </c>
      <c r="U117" s="8">
        <v>31.92</v>
      </c>
      <c r="V117" s="8"/>
      <c r="W117" s="8"/>
      <c r="X117" s="8"/>
      <c r="Y117" s="8"/>
      <c r="Z117" s="8"/>
      <c r="AA117" s="8"/>
      <c r="AB117" s="8"/>
      <c r="AC117" s="8">
        <v>17.010000000000002</v>
      </c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>
        <v>2796.7</v>
      </c>
      <c r="AU117" s="8"/>
      <c r="AV117" s="8"/>
      <c r="AW117" s="8"/>
      <c r="AX117" s="8"/>
      <c r="AY117" s="8"/>
      <c r="AZ117" s="8"/>
      <c r="BA117" s="8">
        <v>97.43</v>
      </c>
      <c r="BB117" s="8"/>
      <c r="BC117" s="8"/>
      <c r="BD117" s="8"/>
      <c r="BE117" s="8"/>
      <c r="BF117" s="8">
        <v>297.76</v>
      </c>
      <c r="BG117" s="8">
        <v>221.16</v>
      </c>
      <c r="BH117" s="9">
        <f t="shared" si="9"/>
        <v>4254.8100000000004</v>
      </c>
      <c r="BI117" s="9">
        <f t="shared" si="10"/>
        <v>11.44</v>
      </c>
      <c r="BJ117" s="9">
        <f t="shared" si="11"/>
        <v>19.14</v>
      </c>
      <c r="BK117" s="9">
        <f t="shared" si="12"/>
        <v>63.84</v>
      </c>
      <c r="BL117" s="9">
        <f t="shared" si="13"/>
        <v>0</v>
      </c>
      <c r="BM117" s="9">
        <f t="shared" si="14"/>
        <v>17.010000000000002</v>
      </c>
      <c r="BN117" s="9">
        <f t="shared" si="15"/>
        <v>2796.7</v>
      </c>
      <c r="BO117" s="9">
        <f t="shared" si="16"/>
        <v>97.43</v>
      </c>
      <c r="BP117" s="9">
        <f t="shared" si="17"/>
        <v>297.76</v>
      </c>
    </row>
    <row r="118" spans="1:68">
      <c r="A118" s="6">
        <v>44580</v>
      </c>
      <c r="B118" s="7">
        <v>3106</v>
      </c>
      <c r="C118" s="8">
        <v>6166.29</v>
      </c>
      <c r="D118" s="8"/>
      <c r="E118" s="8"/>
      <c r="F118" s="8"/>
      <c r="G118" s="8"/>
      <c r="H118" s="8"/>
      <c r="I118" s="8"/>
      <c r="J118" s="8"/>
      <c r="K118" s="8"/>
      <c r="L118" s="8"/>
      <c r="M118" s="8">
        <v>16.649999999999999</v>
      </c>
      <c r="N118" s="8"/>
      <c r="O118" s="8"/>
      <c r="P118" s="8"/>
      <c r="Q118" s="8"/>
      <c r="R118" s="8"/>
      <c r="S118" s="8">
        <v>19.12</v>
      </c>
      <c r="T118" s="8">
        <v>78.42</v>
      </c>
      <c r="U118" s="8"/>
      <c r="V118" s="8"/>
      <c r="W118" s="8"/>
      <c r="X118" s="8"/>
      <c r="Y118" s="8"/>
      <c r="Z118" s="8"/>
      <c r="AA118" s="8"/>
      <c r="AB118" s="8"/>
      <c r="AC118" s="8">
        <v>24.67</v>
      </c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>
        <v>3529.74</v>
      </c>
      <c r="AU118" s="8"/>
      <c r="AV118" s="8"/>
      <c r="AW118" s="8"/>
      <c r="AX118" s="8">
        <v>7.72</v>
      </c>
      <c r="AY118" s="8"/>
      <c r="AZ118" s="8"/>
      <c r="BA118" s="8"/>
      <c r="BB118" s="8"/>
      <c r="BC118" s="8"/>
      <c r="BD118" s="8"/>
      <c r="BE118" s="8"/>
      <c r="BF118" s="8"/>
      <c r="BG118" s="8">
        <v>265.89</v>
      </c>
      <c r="BH118" s="9">
        <f t="shared" si="9"/>
        <v>6166.29</v>
      </c>
      <c r="BI118" s="9">
        <f t="shared" si="10"/>
        <v>16.649999999999999</v>
      </c>
      <c r="BJ118" s="9">
        <f t="shared" si="11"/>
        <v>19.12</v>
      </c>
      <c r="BK118" s="9">
        <f t="shared" si="12"/>
        <v>78.42</v>
      </c>
      <c r="BL118" s="9">
        <f t="shared" si="13"/>
        <v>0</v>
      </c>
      <c r="BM118" s="9">
        <f t="shared" si="14"/>
        <v>24.67</v>
      </c>
      <c r="BN118" s="9">
        <f t="shared" si="15"/>
        <v>3529.74</v>
      </c>
      <c r="BO118" s="9">
        <f t="shared" si="16"/>
        <v>7.72</v>
      </c>
      <c r="BP118" s="9">
        <f t="shared" si="17"/>
        <v>0</v>
      </c>
    </row>
    <row r="119" spans="1:68">
      <c r="A119" s="6">
        <v>44580</v>
      </c>
      <c r="B119" s="7">
        <v>3104</v>
      </c>
      <c r="C119" s="8">
        <v>1531.15</v>
      </c>
      <c r="D119" s="8"/>
      <c r="E119" s="8"/>
      <c r="F119" s="8"/>
      <c r="G119" s="8"/>
      <c r="H119" s="8">
        <v>393.34</v>
      </c>
      <c r="I119" s="8"/>
      <c r="J119" s="8"/>
      <c r="K119" s="8"/>
      <c r="L119" s="8"/>
      <c r="M119" s="8">
        <v>4.01</v>
      </c>
      <c r="N119" s="8"/>
      <c r="O119" s="8"/>
      <c r="P119" s="8"/>
      <c r="Q119" s="8"/>
      <c r="R119" s="8"/>
      <c r="S119" s="8">
        <v>8.0500000000000007</v>
      </c>
      <c r="T119" s="8">
        <v>14.01</v>
      </c>
      <c r="U119" s="8">
        <v>6.14</v>
      </c>
      <c r="V119" s="8"/>
      <c r="W119" s="8"/>
      <c r="X119" s="8"/>
      <c r="Y119" s="8"/>
      <c r="Z119" s="8"/>
      <c r="AA119" s="8"/>
      <c r="AB119" s="8"/>
      <c r="AC119" s="8">
        <v>7</v>
      </c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>
        <v>1117.6600000000001</v>
      </c>
      <c r="AU119" s="8"/>
      <c r="AV119" s="8"/>
      <c r="AW119" s="8"/>
      <c r="AX119" s="8"/>
      <c r="AY119" s="8"/>
      <c r="AZ119" s="8"/>
      <c r="BA119" s="8">
        <v>46.87</v>
      </c>
      <c r="BB119" s="8"/>
      <c r="BC119" s="8"/>
      <c r="BD119" s="8"/>
      <c r="BE119" s="8"/>
      <c r="BF119" s="8">
        <v>35.200000000000003</v>
      </c>
      <c r="BG119" s="8">
        <v>86.54</v>
      </c>
      <c r="BH119" s="9">
        <f t="shared" si="9"/>
        <v>1924.49</v>
      </c>
      <c r="BI119" s="9">
        <f t="shared" si="10"/>
        <v>4.01</v>
      </c>
      <c r="BJ119" s="9">
        <f t="shared" si="11"/>
        <v>8.0500000000000007</v>
      </c>
      <c r="BK119" s="9">
        <f t="shared" si="12"/>
        <v>20.149999999999999</v>
      </c>
      <c r="BL119" s="9">
        <f t="shared" si="13"/>
        <v>0</v>
      </c>
      <c r="BM119" s="9">
        <f t="shared" si="14"/>
        <v>7</v>
      </c>
      <c r="BN119" s="9">
        <f t="shared" si="15"/>
        <v>1117.6600000000001</v>
      </c>
      <c r="BO119" s="9">
        <f t="shared" si="16"/>
        <v>46.87</v>
      </c>
      <c r="BP119" s="9">
        <f t="shared" si="17"/>
        <v>35.200000000000003</v>
      </c>
    </row>
    <row r="120" spans="1:68">
      <c r="A120" s="6">
        <v>44580</v>
      </c>
      <c r="B120" s="7">
        <v>3425</v>
      </c>
      <c r="C120" s="8">
        <v>590.59</v>
      </c>
      <c r="D120" s="8">
        <v>148.49</v>
      </c>
      <c r="E120" s="8"/>
      <c r="F120" s="8"/>
      <c r="G120" s="8"/>
      <c r="H120" s="8"/>
      <c r="I120" s="8"/>
      <c r="J120" s="8"/>
      <c r="K120" s="8"/>
      <c r="L120" s="8"/>
      <c r="M120" s="8">
        <v>2.1</v>
      </c>
      <c r="N120" s="8"/>
      <c r="O120" s="8"/>
      <c r="P120" s="8"/>
      <c r="Q120" s="8"/>
      <c r="R120" s="8"/>
      <c r="S120" s="8">
        <v>1.74</v>
      </c>
      <c r="T120" s="8"/>
      <c r="U120" s="8"/>
      <c r="V120" s="8"/>
      <c r="W120" s="8"/>
      <c r="X120" s="8">
        <v>9.19</v>
      </c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>
        <v>360.23</v>
      </c>
      <c r="AU120" s="8"/>
      <c r="AV120" s="8"/>
      <c r="AW120" s="8"/>
      <c r="AX120" s="8"/>
      <c r="AY120" s="8"/>
      <c r="AZ120" s="8"/>
      <c r="BA120" s="8"/>
      <c r="BB120" s="8">
        <v>1.17</v>
      </c>
      <c r="BC120" s="8"/>
      <c r="BD120" s="8"/>
      <c r="BE120" s="8"/>
      <c r="BF120" s="8"/>
      <c r="BG120" s="8">
        <v>25.16</v>
      </c>
      <c r="BH120" s="9">
        <f t="shared" si="9"/>
        <v>739.08</v>
      </c>
      <c r="BI120" s="9">
        <f t="shared" si="10"/>
        <v>2.1</v>
      </c>
      <c r="BJ120" s="9">
        <f t="shared" si="11"/>
        <v>1.74</v>
      </c>
      <c r="BK120" s="9">
        <f t="shared" si="12"/>
        <v>9.19</v>
      </c>
      <c r="BL120" s="9">
        <f t="shared" si="13"/>
        <v>0</v>
      </c>
      <c r="BM120" s="9">
        <f t="shared" si="14"/>
        <v>0</v>
      </c>
      <c r="BN120" s="9">
        <f t="shared" si="15"/>
        <v>360.23</v>
      </c>
      <c r="BO120" s="9">
        <f t="shared" si="16"/>
        <v>1.17</v>
      </c>
      <c r="BP120" s="9">
        <f t="shared" si="17"/>
        <v>0</v>
      </c>
    </row>
    <row r="121" spans="1:68">
      <c r="A121" s="6">
        <v>44580</v>
      </c>
      <c r="B121" s="7">
        <v>3423</v>
      </c>
      <c r="C121" s="8">
        <v>368.07</v>
      </c>
      <c r="D121" s="8">
        <v>366.3</v>
      </c>
      <c r="E121" s="8"/>
      <c r="F121" s="8"/>
      <c r="G121" s="8"/>
      <c r="H121" s="8"/>
      <c r="I121" s="8"/>
      <c r="J121" s="8"/>
      <c r="K121" s="8"/>
      <c r="L121" s="8"/>
      <c r="M121" s="8">
        <v>2.93</v>
      </c>
      <c r="N121" s="8"/>
      <c r="O121" s="8"/>
      <c r="P121" s="8"/>
      <c r="Q121" s="8"/>
      <c r="R121" s="8"/>
      <c r="S121" s="8">
        <v>1.69</v>
      </c>
      <c r="T121" s="8"/>
      <c r="U121" s="8"/>
      <c r="V121" s="8"/>
      <c r="W121" s="8"/>
      <c r="X121" s="8">
        <v>7.43</v>
      </c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>
        <v>340.21</v>
      </c>
      <c r="AU121" s="8"/>
      <c r="AV121" s="8">
        <v>22.05</v>
      </c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>
        <v>24.3</v>
      </c>
      <c r="BH121" s="9">
        <f t="shared" si="9"/>
        <v>734.37</v>
      </c>
      <c r="BI121" s="9">
        <f t="shared" si="10"/>
        <v>2.93</v>
      </c>
      <c r="BJ121" s="9">
        <f t="shared" si="11"/>
        <v>1.69</v>
      </c>
      <c r="BK121" s="9">
        <f t="shared" si="12"/>
        <v>7.43</v>
      </c>
      <c r="BL121" s="9">
        <f t="shared" si="13"/>
        <v>0</v>
      </c>
      <c r="BM121" s="9">
        <f t="shared" si="14"/>
        <v>0</v>
      </c>
      <c r="BN121" s="9">
        <f t="shared" si="15"/>
        <v>340.21</v>
      </c>
      <c r="BO121" s="9">
        <f t="shared" si="16"/>
        <v>22.05</v>
      </c>
      <c r="BP121" s="9">
        <f t="shared" si="17"/>
        <v>0</v>
      </c>
    </row>
    <row r="122" spans="1:68">
      <c r="A122" s="6">
        <v>44580</v>
      </c>
      <c r="B122" s="7">
        <v>3139</v>
      </c>
      <c r="C122" s="8">
        <v>2317.94</v>
      </c>
      <c r="D122" s="8"/>
      <c r="E122" s="8"/>
      <c r="F122" s="8"/>
      <c r="G122" s="8"/>
      <c r="H122" s="8">
        <v>962.79</v>
      </c>
      <c r="I122" s="8"/>
      <c r="J122" s="8"/>
      <c r="K122" s="8"/>
      <c r="L122" s="8"/>
      <c r="M122" s="8">
        <v>5.42</v>
      </c>
      <c r="N122" s="8"/>
      <c r="O122" s="8"/>
      <c r="P122" s="8"/>
      <c r="Q122" s="8"/>
      <c r="R122" s="8"/>
      <c r="S122" s="8">
        <v>9.6999999999999993</v>
      </c>
      <c r="T122" s="8">
        <v>34.22</v>
      </c>
      <c r="U122" s="8"/>
      <c r="V122" s="8"/>
      <c r="W122" s="8"/>
      <c r="X122" s="8"/>
      <c r="Y122" s="8"/>
      <c r="Z122" s="8"/>
      <c r="AA122" s="8"/>
      <c r="AB122" s="8"/>
      <c r="AC122" s="8">
        <v>11.42</v>
      </c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>
        <v>1692.5</v>
      </c>
      <c r="AU122" s="8"/>
      <c r="AV122" s="8">
        <v>57.07</v>
      </c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>
        <v>122.74</v>
      </c>
      <c r="BH122" s="9">
        <f t="shared" si="9"/>
        <v>3280.73</v>
      </c>
      <c r="BI122" s="9">
        <f t="shared" si="10"/>
        <v>5.42</v>
      </c>
      <c r="BJ122" s="9">
        <f t="shared" si="11"/>
        <v>9.6999999999999993</v>
      </c>
      <c r="BK122" s="9">
        <f t="shared" si="12"/>
        <v>34.22</v>
      </c>
      <c r="BL122" s="9">
        <f t="shared" si="13"/>
        <v>0</v>
      </c>
      <c r="BM122" s="9">
        <f t="shared" si="14"/>
        <v>11.42</v>
      </c>
      <c r="BN122" s="9">
        <f t="shared" si="15"/>
        <v>1692.5</v>
      </c>
      <c r="BO122" s="9">
        <f t="shared" si="16"/>
        <v>57.07</v>
      </c>
      <c r="BP122" s="9">
        <f t="shared" si="17"/>
        <v>0</v>
      </c>
    </row>
    <row r="123" spans="1:68">
      <c r="A123" s="6">
        <v>44580</v>
      </c>
      <c r="B123" s="7">
        <v>3022</v>
      </c>
      <c r="C123" s="8"/>
      <c r="D123" s="8">
        <v>1055.0999999999999</v>
      </c>
      <c r="E123" s="8"/>
      <c r="F123" s="8"/>
      <c r="G123" s="8"/>
      <c r="H123" s="8"/>
      <c r="I123" s="8">
        <v>860.57</v>
      </c>
      <c r="J123" s="8"/>
      <c r="K123" s="8"/>
      <c r="L123" s="8"/>
      <c r="M123" s="8"/>
      <c r="N123" s="8">
        <v>9.57</v>
      </c>
      <c r="O123" s="8"/>
      <c r="P123" s="8"/>
      <c r="Q123" s="8"/>
      <c r="R123" s="8"/>
      <c r="S123" s="8">
        <v>3.45</v>
      </c>
      <c r="T123" s="8"/>
      <c r="U123" s="8"/>
      <c r="V123" s="8"/>
      <c r="W123" s="8">
        <v>19.420000000000002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>
        <v>24.74</v>
      </c>
      <c r="AN123" s="8"/>
      <c r="AO123" s="8"/>
      <c r="AP123" s="8"/>
      <c r="AQ123" s="8"/>
      <c r="AR123" s="8"/>
      <c r="AS123" s="8">
        <v>68.209999999999994</v>
      </c>
      <c r="AT123" s="8">
        <v>894.38</v>
      </c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68.87</v>
      </c>
      <c r="BH123" s="9">
        <f t="shared" si="9"/>
        <v>1915.67</v>
      </c>
      <c r="BI123" s="9">
        <f t="shared" si="10"/>
        <v>9.57</v>
      </c>
      <c r="BJ123" s="9">
        <f t="shared" si="11"/>
        <v>3.45</v>
      </c>
      <c r="BK123" s="9">
        <f t="shared" si="12"/>
        <v>19.420000000000002</v>
      </c>
      <c r="BL123" s="9">
        <f t="shared" si="13"/>
        <v>0</v>
      </c>
      <c r="BM123" s="9">
        <f t="shared" si="14"/>
        <v>92.949999999999989</v>
      </c>
      <c r="BN123" s="9">
        <f t="shared" si="15"/>
        <v>894.38</v>
      </c>
      <c r="BO123" s="9">
        <f t="shared" si="16"/>
        <v>0</v>
      </c>
      <c r="BP123" s="9">
        <f t="shared" si="17"/>
        <v>0</v>
      </c>
    </row>
    <row r="124" spans="1:68">
      <c r="A124" s="6">
        <v>44580</v>
      </c>
      <c r="B124" s="7">
        <v>3023</v>
      </c>
      <c r="C124" s="8"/>
      <c r="D124" s="8">
        <v>852.96</v>
      </c>
      <c r="E124" s="8"/>
      <c r="F124" s="8"/>
      <c r="G124" s="8"/>
      <c r="H124" s="8"/>
      <c r="I124" s="8">
        <v>461.85</v>
      </c>
      <c r="J124" s="8"/>
      <c r="K124" s="8"/>
      <c r="L124" s="8"/>
      <c r="M124" s="8"/>
      <c r="N124" s="8">
        <v>7.36</v>
      </c>
      <c r="O124" s="8"/>
      <c r="P124" s="8"/>
      <c r="Q124" s="8"/>
      <c r="R124" s="8"/>
      <c r="S124" s="8">
        <v>2.1</v>
      </c>
      <c r="T124" s="8"/>
      <c r="U124" s="8"/>
      <c r="V124" s="8"/>
      <c r="W124" s="8">
        <v>11.94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>
        <v>12.98</v>
      </c>
      <c r="AN124" s="8">
        <v>9.2200000000000006</v>
      </c>
      <c r="AO124" s="8"/>
      <c r="AP124" s="8"/>
      <c r="AQ124" s="8"/>
      <c r="AR124" s="8"/>
      <c r="AS124" s="8">
        <v>43.48</v>
      </c>
      <c r="AT124" s="8">
        <v>539.24</v>
      </c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>
        <v>40.75</v>
      </c>
      <c r="BH124" s="9">
        <f t="shared" si="9"/>
        <v>1314.81</v>
      </c>
      <c r="BI124" s="9">
        <f t="shared" si="10"/>
        <v>7.36</v>
      </c>
      <c r="BJ124" s="9">
        <f t="shared" si="11"/>
        <v>2.1</v>
      </c>
      <c r="BK124" s="9">
        <f t="shared" si="12"/>
        <v>11.94</v>
      </c>
      <c r="BL124" s="9">
        <f t="shared" si="13"/>
        <v>0</v>
      </c>
      <c r="BM124" s="9">
        <f t="shared" si="14"/>
        <v>65.680000000000007</v>
      </c>
      <c r="BN124" s="9">
        <f t="shared" si="15"/>
        <v>539.24</v>
      </c>
      <c r="BO124" s="9">
        <f t="shared" si="16"/>
        <v>0</v>
      </c>
      <c r="BP124" s="9">
        <f t="shared" si="17"/>
        <v>0</v>
      </c>
    </row>
    <row r="125" spans="1:68">
      <c r="A125" s="6">
        <v>44581</v>
      </c>
      <c r="B125" s="7">
        <v>3005</v>
      </c>
      <c r="C125" s="8">
        <v>781.14</v>
      </c>
      <c r="D125" s="8">
        <v>521.03</v>
      </c>
      <c r="E125" s="8"/>
      <c r="F125" s="8"/>
      <c r="G125" s="8"/>
      <c r="H125" s="8"/>
      <c r="I125" s="8"/>
      <c r="J125" s="8"/>
      <c r="K125" s="8"/>
      <c r="L125" s="8"/>
      <c r="M125" s="8"/>
      <c r="N125" s="8">
        <v>1.3</v>
      </c>
      <c r="O125" s="8"/>
      <c r="P125" s="8"/>
      <c r="Q125" s="8"/>
      <c r="R125" s="8"/>
      <c r="S125" s="8">
        <v>4.55</v>
      </c>
      <c r="T125" s="8">
        <v>14.3</v>
      </c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>
        <v>636.69000000000005</v>
      </c>
      <c r="AU125" s="8"/>
      <c r="AV125" s="8"/>
      <c r="AW125" s="8">
        <v>14.44</v>
      </c>
      <c r="AX125" s="8"/>
      <c r="AY125" s="8"/>
      <c r="AZ125" s="8"/>
      <c r="BA125" s="8"/>
      <c r="BB125" s="8"/>
      <c r="BC125" s="8"/>
      <c r="BD125" s="8"/>
      <c r="BE125" s="8"/>
      <c r="BF125" s="8"/>
      <c r="BG125" s="8">
        <v>47.4</v>
      </c>
      <c r="BH125" s="9">
        <f t="shared" si="9"/>
        <v>1302.17</v>
      </c>
      <c r="BI125" s="9">
        <f t="shared" si="10"/>
        <v>1.3</v>
      </c>
      <c r="BJ125" s="9">
        <f t="shared" si="11"/>
        <v>4.55</v>
      </c>
      <c r="BK125" s="9">
        <f t="shared" si="12"/>
        <v>14.3</v>
      </c>
      <c r="BL125" s="9">
        <f t="shared" si="13"/>
        <v>0</v>
      </c>
      <c r="BM125" s="9">
        <f t="shared" si="14"/>
        <v>0</v>
      </c>
      <c r="BN125" s="9">
        <f t="shared" si="15"/>
        <v>636.69000000000005</v>
      </c>
      <c r="BO125" s="9">
        <f t="shared" si="16"/>
        <v>14.44</v>
      </c>
      <c r="BP125" s="9">
        <f t="shared" si="17"/>
        <v>0</v>
      </c>
    </row>
    <row r="126" spans="1:68">
      <c r="A126" s="6">
        <v>44581</v>
      </c>
      <c r="B126" s="7">
        <v>3016</v>
      </c>
      <c r="C126" s="8"/>
      <c r="D126" s="8">
        <v>2231.66</v>
      </c>
      <c r="E126" s="8"/>
      <c r="F126" s="8"/>
      <c r="G126" s="8"/>
      <c r="H126" s="8"/>
      <c r="I126" s="8">
        <v>2057.5100000000002</v>
      </c>
      <c r="J126" s="8"/>
      <c r="K126" s="8"/>
      <c r="L126" s="8"/>
      <c r="M126" s="8"/>
      <c r="N126" s="8">
        <v>25.74</v>
      </c>
      <c r="O126" s="8"/>
      <c r="P126" s="8"/>
      <c r="Q126" s="8"/>
      <c r="R126" s="8"/>
      <c r="S126" s="8">
        <v>2.99</v>
      </c>
      <c r="T126" s="8">
        <v>43.31</v>
      </c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>
        <v>17.350000000000001</v>
      </c>
      <c r="AN126" s="8">
        <v>51.68</v>
      </c>
      <c r="AO126" s="8"/>
      <c r="AP126" s="8"/>
      <c r="AQ126" s="8"/>
      <c r="AR126" s="8">
        <v>107.59</v>
      </c>
      <c r="AS126" s="8"/>
      <c r="AT126" s="8">
        <v>1596.89</v>
      </c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116.34</v>
      </c>
      <c r="BH126" s="9">
        <f t="shared" si="9"/>
        <v>4289.17</v>
      </c>
      <c r="BI126" s="9">
        <f t="shared" si="10"/>
        <v>25.74</v>
      </c>
      <c r="BJ126" s="9">
        <f t="shared" si="11"/>
        <v>2.99</v>
      </c>
      <c r="BK126" s="9">
        <f t="shared" si="12"/>
        <v>43.31</v>
      </c>
      <c r="BL126" s="9">
        <f t="shared" si="13"/>
        <v>0</v>
      </c>
      <c r="BM126" s="9">
        <f t="shared" si="14"/>
        <v>176.62</v>
      </c>
      <c r="BN126" s="9">
        <f t="shared" si="15"/>
        <v>1596.89</v>
      </c>
      <c r="BO126" s="9">
        <f t="shared" si="16"/>
        <v>0</v>
      </c>
      <c r="BP126" s="9">
        <f t="shared" si="17"/>
        <v>0</v>
      </c>
    </row>
    <row r="127" spans="1:68">
      <c r="A127" s="6">
        <v>44581</v>
      </c>
      <c r="B127" s="7">
        <v>3083</v>
      </c>
      <c r="C127" s="8"/>
      <c r="D127" s="8">
        <v>703.45</v>
      </c>
      <c r="E127" s="8"/>
      <c r="F127" s="8"/>
      <c r="G127" s="8"/>
      <c r="H127" s="8"/>
      <c r="I127" s="8">
        <v>1639.62</v>
      </c>
      <c r="J127" s="8"/>
      <c r="K127" s="8"/>
      <c r="L127" s="8"/>
      <c r="M127" s="8"/>
      <c r="N127" s="8">
        <v>16.170000000000002</v>
      </c>
      <c r="O127" s="8"/>
      <c r="P127" s="8"/>
      <c r="Q127" s="8"/>
      <c r="R127" s="8"/>
      <c r="S127" s="8">
        <v>1.63</v>
      </c>
      <c r="T127" s="8">
        <v>18.760000000000002</v>
      </c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>
        <v>9.59</v>
      </c>
      <c r="AN127" s="8">
        <v>33.64</v>
      </c>
      <c r="AO127" s="8"/>
      <c r="AP127" s="8"/>
      <c r="AQ127" s="8"/>
      <c r="AR127" s="8">
        <v>58.54</v>
      </c>
      <c r="AS127" s="8"/>
      <c r="AT127" s="8">
        <v>1064.57</v>
      </c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>
        <v>83.48</v>
      </c>
      <c r="BH127" s="9">
        <f t="shared" si="9"/>
        <v>2343.0699999999997</v>
      </c>
      <c r="BI127" s="9">
        <f t="shared" si="10"/>
        <v>16.170000000000002</v>
      </c>
      <c r="BJ127" s="9">
        <f t="shared" si="11"/>
        <v>1.63</v>
      </c>
      <c r="BK127" s="9">
        <f t="shared" si="12"/>
        <v>18.760000000000002</v>
      </c>
      <c r="BL127" s="9">
        <f t="shared" si="13"/>
        <v>0</v>
      </c>
      <c r="BM127" s="9">
        <f t="shared" si="14"/>
        <v>101.77000000000001</v>
      </c>
      <c r="BN127" s="9">
        <f t="shared" si="15"/>
        <v>1064.57</v>
      </c>
      <c r="BO127" s="9">
        <f t="shared" si="16"/>
        <v>0</v>
      </c>
      <c r="BP127" s="9">
        <f t="shared" si="17"/>
        <v>0</v>
      </c>
    </row>
    <row r="128" spans="1:68">
      <c r="A128" s="6">
        <v>44581</v>
      </c>
      <c r="B128" s="7">
        <v>3200</v>
      </c>
      <c r="C128" s="8">
        <v>3349.66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>
        <v>8.4</v>
      </c>
      <c r="P128" s="8"/>
      <c r="Q128" s="8"/>
      <c r="R128" s="8"/>
      <c r="S128" s="8">
        <v>13.09</v>
      </c>
      <c r="T128" s="8"/>
      <c r="U128" s="8">
        <v>50.43</v>
      </c>
      <c r="V128" s="8"/>
      <c r="W128" s="8"/>
      <c r="X128" s="8"/>
      <c r="Y128" s="8"/>
      <c r="Z128" s="8">
        <v>705.26</v>
      </c>
      <c r="AA128" s="8"/>
      <c r="AB128" s="8"/>
      <c r="AC128" s="8"/>
      <c r="AD128" s="8"/>
      <c r="AE128" s="8">
        <v>51.29</v>
      </c>
      <c r="AF128" s="8">
        <v>167.66</v>
      </c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>
        <v>2298.4899999999998</v>
      </c>
      <c r="AU128" s="8"/>
      <c r="AV128" s="8"/>
      <c r="AW128" s="8">
        <v>9.86</v>
      </c>
      <c r="AX128" s="8"/>
      <c r="AY128" s="8"/>
      <c r="AZ128" s="8"/>
      <c r="BA128" s="8"/>
      <c r="BB128" s="8"/>
      <c r="BC128" s="8"/>
      <c r="BD128" s="8"/>
      <c r="BE128" s="8"/>
      <c r="BF128" s="8">
        <v>161.13</v>
      </c>
      <c r="BG128" s="8">
        <v>166.66</v>
      </c>
      <c r="BH128" s="9">
        <f t="shared" si="9"/>
        <v>3349.66</v>
      </c>
      <c r="BI128" s="9">
        <f t="shared" si="10"/>
        <v>8.4</v>
      </c>
      <c r="BJ128" s="9">
        <f t="shared" si="11"/>
        <v>13.09</v>
      </c>
      <c r="BK128" s="9">
        <f t="shared" si="12"/>
        <v>50.43</v>
      </c>
      <c r="BL128" s="9">
        <f t="shared" si="13"/>
        <v>705.26</v>
      </c>
      <c r="BM128" s="9">
        <f t="shared" si="14"/>
        <v>218.95</v>
      </c>
      <c r="BN128" s="9">
        <f t="shared" si="15"/>
        <v>2298.4899999999998</v>
      </c>
      <c r="BO128" s="9">
        <f t="shared" si="16"/>
        <v>9.86</v>
      </c>
      <c r="BP128" s="9">
        <f t="shared" si="17"/>
        <v>161.13</v>
      </c>
    </row>
    <row r="129" spans="1:68">
      <c r="A129" s="6">
        <v>44581</v>
      </c>
      <c r="B129" s="7">
        <v>3079</v>
      </c>
      <c r="C129" s="8"/>
      <c r="D129" s="8"/>
      <c r="E129" s="8"/>
      <c r="F129" s="8">
        <v>488.61</v>
      </c>
      <c r="G129" s="8"/>
      <c r="H129" s="8"/>
      <c r="I129" s="8">
        <v>3950.33</v>
      </c>
      <c r="J129" s="8"/>
      <c r="K129" s="8"/>
      <c r="L129" s="8"/>
      <c r="M129" s="8"/>
      <c r="N129" s="8">
        <v>33.32</v>
      </c>
      <c r="O129" s="8"/>
      <c r="P129" s="8"/>
      <c r="Q129" s="8"/>
      <c r="R129" s="8"/>
      <c r="S129" s="8">
        <v>1.75</v>
      </c>
      <c r="T129" s="8">
        <v>44.38</v>
      </c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>
        <v>17.97</v>
      </c>
      <c r="AN129" s="8">
        <v>45.03</v>
      </c>
      <c r="AO129" s="8"/>
      <c r="AP129" s="8"/>
      <c r="AQ129" s="8"/>
      <c r="AR129" s="8">
        <v>111.43</v>
      </c>
      <c r="AS129" s="8"/>
      <c r="AT129" s="8">
        <v>1689.03</v>
      </c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>
        <v>122.1</v>
      </c>
      <c r="BH129" s="9">
        <f t="shared" si="9"/>
        <v>4438.9399999999996</v>
      </c>
      <c r="BI129" s="9">
        <f t="shared" si="10"/>
        <v>33.32</v>
      </c>
      <c r="BJ129" s="9">
        <f t="shared" si="11"/>
        <v>1.75</v>
      </c>
      <c r="BK129" s="9">
        <f t="shared" si="12"/>
        <v>44.38</v>
      </c>
      <c r="BL129" s="9">
        <f t="shared" si="13"/>
        <v>0</v>
      </c>
      <c r="BM129" s="9">
        <f t="shared" si="14"/>
        <v>174.43</v>
      </c>
      <c r="BN129" s="9">
        <f t="shared" si="15"/>
        <v>1689.03</v>
      </c>
      <c r="BO129" s="9">
        <f t="shared" si="16"/>
        <v>0</v>
      </c>
      <c r="BP129" s="9">
        <f t="shared" si="17"/>
        <v>0</v>
      </c>
    </row>
    <row r="130" spans="1:68">
      <c r="A130" s="6">
        <v>44581</v>
      </c>
      <c r="B130" s="7">
        <v>3205</v>
      </c>
      <c r="C130" s="8">
        <f>661.38+672.92</f>
        <v>1334.3</v>
      </c>
      <c r="D130" s="8">
        <f>369.27+374.68</f>
        <v>743.95</v>
      </c>
      <c r="E130" s="8">
        <f>441.9+449.77</f>
        <v>891.67</v>
      </c>
      <c r="F130" s="8"/>
      <c r="G130" s="8"/>
      <c r="H130" s="8"/>
      <c r="I130" s="8"/>
      <c r="J130" s="8"/>
      <c r="K130" s="8"/>
      <c r="L130" s="8"/>
      <c r="M130" s="8"/>
      <c r="N130" s="8"/>
      <c r="O130" s="8">
        <f>5.9+6</f>
        <v>11.9</v>
      </c>
      <c r="P130" s="8"/>
      <c r="Q130" s="8"/>
      <c r="R130" s="8"/>
      <c r="S130" s="8">
        <f>6.3+6.18</f>
        <v>12.48</v>
      </c>
      <c r="T130" s="8"/>
      <c r="U130" s="8">
        <f>17.68+18.04</f>
        <v>35.72</v>
      </c>
      <c r="V130" s="8"/>
      <c r="W130" s="8"/>
      <c r="X130" s="8"/>
      <c r="Y130" s="8"/>
      <c r="Z130" s="8">
        <f>147.41+150.23</f>
        <v>297.64</v>
      </c>
      <c r="AA130" s="8"/>
      <c r="AB130" s="8">
        <f>14.81+15.11</f>
        <v>29.92</v>
      </c>
      <c r="AC130" s="8"/>
      <c r="AD130" s="8"/>
      <c r="AE130" s="8">
        <f>7.57+7.72</f>
        <v>15.29</v>
      </c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>
        <f>382.69+391.67</f>
        <v>774.36</v>
      </c>
      <c r="AU130" s="8">
        <f>191.6+195</f>
        <v>386.6</v>
      </c>
      <c r="AV130" s="8"/>
      <c r="AW130" s="8">
        <f>6.38+6.46</f>
        <v>12.84</v>
      </c>
      <c r="AX130" s="8"/>
      <c r="AY130" s="8"/>
      <c r="AZ130" s="8"/>
      <c r="BA130" s="8"/>
      <c r="BB130" s="8"/>
      <c r="BC130" s="8"/>
      <c r="BD130" s="8"/>
      <c r="BE130" s="8"/>
      <c r="BF130" s="8"/>
      <c r="BG130" s="8">
        <f>34.58+35.19</f>
        <v>69.77</v>
      </c>
      <c r="BH130" s="9">
        <f t="shared" si="9"/>
        <v>2969.92</v>
      </c>
      <c r="BI130" s="9">
        <f t="shared" si="10"/>
        <v>11.9</v>
      </c>
      <c r="BJ130" s="9">
        <f t="shared" si="11"/>
        <v>12.48</v>
      </c>
      <c r="BK130" s="9">
        <f t="shared" si="12"/>
        <v>35.72</v>
      </c>
      <c r="BL130" s="9">
        <f t="shared" si="13"/>
        <v>297.64</v>
      </c>
      <c r="BM130" s="9">
        <f t="shared" si="14"/>
        <v>45.21</v>
      </c>
      <c r="BN130" s="9">
        <f t="shared" si="15"/>
        <v>1160.96</v>
      </c>
      <c r="BO130" s="9">
        <f t="shared" si="16"/>
        <v>12.84</v>
      </c>
      <c r="BP130" s="9">
        <f t="shared" si="17"/>
        <v>0</v>
      </c>
    </row>
    <row r="131" spans="1:68">
      <c r="A131" s="6">
        <v>44581</v>
      </c>
      <c r="B131" s="7">
        <v>3704</v>
      </c>
      <c r="C131" s="8">
        <v>290.44</v>
      </c>
      <c r="D131" s="8">
        <v>449.83</v>
      </c>
      <c r="E131" s="8"/>
      <c r="F131" s="8"/>
      <c r="G131" s="8"/>
      <c r="H131" s="8"/>
      <c r="I131" s="8"/>
      <c r="J131" s="8"/>
      <c r="K131" s="8"/>
      <c r="L131" s="8"/>
      <c r="M131" s="8">
        <v>2.2400000000000002</v>
      </c>
      <c r="N131" s="8"/>
      <c r="O131" s="8"/>
      <c r="P131" s="8"/>
      <c r="Q131" s="8"/>
      <c r="R131" s="8"/>
      <c r="S131" s="8">
        <v>2.62</v>
      </c>
      <c r="T131" s="8"/>
      <c r="U131" s="8">
        <v>12.07</v>
      </c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>
        <v>17.98</v>
      </c>
      <c r="AL131" s="8"/>
      <c r="AM131" s="8"/>
      <c r="AN131" s="8"/>
      <c r="AO131" s="8"/>
      <c r="AP131" s="8"/>
      <c r="AQ131" s="8"/>
      <c r="AR131" s="8"/>
      <c r="AS131" s="8"/>
      <c r="AT131" s="8">
        <v>129.05000000000001</v>
      </c>
      <c r="AU131" s="8">
        <v>64.709999999999994</v>
      </c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>
        <v>12.07</v>
      </c>
      <c r="BH131" s="9">
        <f t="shared" si="9"/>
        <v>740.27</v>
      </c>
      <c r="BI131" s="9">
        <f t="shared" si="10"/>
        <v>2.2400000000000002</v>
      </c>
      <c r="BJ131" s="9">
        <f t="shared" si="11"/>
        <v>2.62</v>
      </c>
      <c r="BK131" s="9">
        <f t="shared" si="12"/>
        <v>12.07</v>
      </c>
      <c r="BL131" s="9">
        <f t="shared" si="13"/>
        <v>0</v>
      </c>
      <c r="BM131" s="9">
        <f t="shared" si="14"/>
        <v>17.98</v>
      </c>
      <c r="BN131" s="9">
        <f t="shared" si="15"/>
        <v>193.76</v>
      </c>
      <c r="BO131" s="9">
        <f t="shared" si="16"/>
        <v>0</v>
      </c>
      <c r="BP131" s="9">
        <f t="shared" si="17"/>
        <v>0</v>
      </c>
    </row>
    <row r="132" spans="1:68">
      <c r="A132" s="6">
        <v>44582</v>
      </c>
      <c r="B132" s="7">
        <v>3122</v>
      </c>
      <c r="C132" s="8">
        <v>1280.6199999999999</v>
      </c>
      <c r="D132" s="8"/>
      <c r="E132" s="8"/>
      <c r="F132" s="8"/>
      <c r="G132" s="8"/>
      <c r="H132" s="8"/>
      <c r="I132" s="8"/>
      <c r="J132" s="8"/>
      <c r="K132" s="8"/>
      <c r="L132" s="8"/>
      <c r="M132" s="8">
        <v>2.2999999999999998</v>
      </c>
      <c r="N132" s="8">
        <v>2.3199999999999998</v>
      </c>
      <c r="O132" s="8"/>
      <c r="P132" s="8"/>
      <c r="Q132" s="8"/>
      <c r="R132" s="8"/>
      <c r="S132" s="8">
        <v>5.13</v>
      </c>
      <c r="T132" s="8">
        <v>9.02</v>
      </c>
      <c r="U132" s="8">
        <v>3.85</v>
      </c>
      <c r="V132" s="8"/>
      <c r="W132" s="8"/>
      <c r="X132" s="8"/>
      <c r="Y132" s="8"/>
      <c r="Z132" s="8"/>
      <c r="AA132" s="8"/>
      <c r="AB132" s="8"/>
      <c r="AC132" s="8">
        <v>5.13</v>
      </c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>
        <v>569.1</v>
      </c>
      <c r="AU132" s="8"/>
      <c r="AV132" s="8">
        <v>43.67</v>
      </c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>
        <v>41.72</v>
      </c>
      <c r="BH132" s="9">
        <f t="shared" ref="BH132:BH195" si="18">SUM(C132:L132)</f>
        <v>1280.6199999999999</v>
      </c>
      <c r="BI132" s="9">
        <f t="shared" ref="BI132:BI195" si="19">SUM(M132:R132)</f>
        <v>4.6199999999999992</v>
      </c>
      <c r="BJ132" s="9">
        <f t="shared" ref="BJ132:BJ195" si="20">SUM(S132)</f>
        <v>5.13</v>
      </c>
      <c r="BK132" s="9">
        <f t="shared" ref="BK132:BK195" si="21">SUM(T132:Y132)</f>
        <v>12.87</v>
      </c>
      <c r="BL132" s="9">
        <f t="shared" ref="BL132:BL195" si="22">SUM(Z132:AA132)</f>
        <v>0</v>
      </c>
      <c r="BM132" s="9">
        <f t="shared" ref="BM132:BM195" si="23">SUM(AB132:AS132)</f>
        <v>5.13</v>
      </c>
      <c r="BN132" s="9">
        <f t="shared" ref="BN132:BN195" si="24">SUM(AT132:AU132)</f>
        <v>569.1</v>
      </c>
      <c r="BO132" s="9">
        <f t="shared" ref="BO132:BO195" si="25">SUM(AV132:BE132)</f>
        <v>43.67</v>
      </c>
      <c r="BP132" s="9">
        <f t="shared" ref="BP132:BP195" si="26">SUM(BF132)</f>
        <v>0</v>
      </c>
    </row>
    <row r="133" spans="1:68">
      <c r="A133" s="6">
        <v>44582</v>
      </c>
      <c r="B133" s="7">
        <v>3117</v>
      </c>
      <c r="C133" s="8">
        <v>1391.18</v>
      </c>
      <c r="D133" s="8"/>
      <c r="E133" s="8"/>
      <c r="F133" s="8"/>
      <c r="G133" s="8"/>
      <c r="H133" s="8"/>
      <c r="I133" s="8"/>
      <c r="J133" s="8"/>
      <c r="K133" s="8"/>
      <c r="L133" s="8"/>
      <c r="M133" s="8">
        <v>3.02</v>
      </c>
      <c r="N133" s="8"/>
      <c r="O133" s="8"/>
      <c r="P133" s="8"/>
      <c r="Q133" s="8"/>
      <c r="R133" s="8"/>
      <c r="S133" s="8">
        <v>4.8899999999999997</v>
      </c>
      <c r="T133" s="8">
        <v>13.92</v>
      </c>
      <c r="U133" s="8"/>
      <c r="V133" s="8"/>
      <c r="W133" s="8"/>
      <c r="X133" s="8"/>
      <c r="Y133" s="8"/>
      <c r="Z133" s="8"/>
      <c r="AA133" s="8"/>
      <c r="AB133" s="8"/>
      <c r="AC133" s="8">
        <v>5.58</v>
      </c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>
        <v>880.75</v>
      </c>
      <c r="AU133" s="8"/>
      <c r="AV133" s="8">
        <v>34.909999999999997</v>
      </c>
      <c r="AW133" s="8"/>
      <c r="AX133" s="8"/>
      <c r="AY133" s="8"/>
      <c r="AZ133" s="8"/>
      <c r="BA133" s="8"/>
      <c r="BB133" s="8"/>
      <c r="BC133" s="8"/>
      <c r="BD133" s="8"/>
      <c r="BE133" s="8"/>
      <c r="BF133" s="8">
        <v>55.96</v>
      </c>
      <c r="BG133" s="8">
        <v>66.88</v>
      </c>
      <c r="BH133" s="9">
        <f t="shared" si="18"/>
        <v>1391.18</v>
      </c>
      <c r="BI133" s="9">
        <f t="shared" si="19"/>
        <v>3.02</v>
      </c>
      <c r="BJ133" s="9">
        <f t="shared" si="20"/>
        <v>4.8899999999999997</v>
      </c>
      <c r="BK133" s="9">
        <f t="shared" si="21"/>
        <v>13.92</v>
      </c>
      <c r="BL133" s="9">
        <f t="shared" si="22"/>
        <v>0</v>
      </c>
      <c r="BM133" s="9">
        <f t="shared" si="23"/>
        <v>5.58</v>
      </c>
      <c r="BN133" s="9">
        <f t="shared" si="24"/>
        <v>880.75</v>
      </c>
      <c r="BO133" s="9">
        <f t="shared" si="25"/>
        <v>34.909999999999997</v>
      </c>
      <c r="BP133" s="9">
        <f t="shared" si="26"/>
        <v>55.96</v>
      </c>
    </row>
    <row r="134" spans="1:68">
      <c r="A134" s="6">
        <v>44582</v>
      </c>
      <c r="B134" s="7">
        <v>3422</v>
      </c>
      <c r="C134" s="8">
        <v>457.85</v>
      </c>
      <c r="D134" s="8">
        <v>309.27</v>
      </c>
      <c r="E134" s="8"/>
      <c r="F134" s="8"/>
      <c r="G134" s="8"/>
      <c r="H134" s="8"/>
      <c r="I134" s="8"/>
      <c r="J134" s="8"/>
      <c r="K134" s="8"/>
      <c r="L134" s="8"/>
      <c r="M134" s="8">
        <v>2.34</v>
      </c>
      <c r="N134" s="8"/>
      <c r="O134" s="8"/>
      <c r="P134" s="8"/>
      <c r="Q134" s="8"/>
      <c r="R134" s="8"/>
      <c r="S134" s="8">
        <v>1.79</v>
      </c>
      <c r="T134" s="8">
        <v>7.79</v>
      </c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>
        <v>367.35</v>
      </c>
      <c r="AU134" s="8"/>
      <c r="AV134" s="8"/>
      <c r="AW134" s="8"/>
      <c r="AX134" s="8"/>
      <c r="AY134" s="8"/>
      <c r="AZ134" s="8"/>
      <c r="BA134" s="8"/>
      <c r="BB134" s="8">
        <v>1.1499999999999999</v>
      </c>
      <c r="BC134" s="8"/>
      <c r="BD134" s="8"/>
      <c r="BE134" s="8"/>
      <c r="BF134" s="8"/>
      <c r="BG134" s="8">
        <v>25.49</v>
      </c>
      <c r="BH134" s="9">
        <f t="shared" si="18"/>
        <v>767.12</v>
      </c>
      <c r="BI134" s="9">
        <f t="shared" si="19"/>
        <v>2.34</v>
      </c>
      <c r="BJ134" s="9">
        <f t="shared" si="20"/>
        <v>1.79</v>
      </c>
      <c r="BK134" s="9">
        <f t="shared" si="21"/>
        <v>7.79</v>
      </c>
      <c r="BL134" s="9">
        <f t="shared" si="22"/>
        <v>0</v>
      </c>
      <c r="BM134" s="9">
        <f t="shared" si="23"/>
        <v>0</v>
      </c>
      <c r="BN134" s="9">
        <f t="shared" si="24"/>
        <v>367.35</v>
      </c>
      <c r="BO134" s="9">
        <f t="shared" si="25"/>
        <v>1.1499999999999999</v>
      </c>
      <c r="BP134" s="9">
        <f t="shared" si="26"/>
        <v>0</v>
      </c>
    </row>
    <row r="135" spans="1:68">
      <c r="A135" s="6">
        <v>44582</v>
      </c>
      <c r="B135" s="7">
        <v>3428</v>
      </c>
      <c r="C135" s="8">
        <v>695.83</v>
      </c>
      <c r="D135" s="8"/>
      <c r="E135" s="8"/>
      <c r="F135" s="8"/>
      <c r="G135" s="8"/>
      <c r="H135" s="8"/>
      <c r="I135" s="8"/>
      <c r="J135" s="8"/>
      <c r="K135" s="8"/>
      <c r="L135" s="8"/>
      <c r="M135" s="8">
        <v>2.09</v>
      </c>
      <c r="N135" s="8"/>
      <c r="O135" s="8"/>
      <c r="P135" s="8"/>
      <c r="Q135" s="8"/>
      <c r="R135" s="8"/>
      <c r="S135" s="8">
        <v>1.61</v>
      </c>
      <c r="T135" s="8">
        <v>6.98</v>
      </c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>
        <v>349.13</v>
      </c>
      <c r="AU135" s="8"/>
      <c r="AV135" s="8"/>
      <c r="AW135" s="8"/>
      <c r="AX135" s="8"/>
      <c r="AY135" s="8"/>
      <c r="AZ135" s="8"/>
      <c r="BA135" s="8"/>
      <c r="BB135" s="8">
        <v>1.07</v>
      </c>
      <c r="BC135" s="8"/>
      <c r="BD135" s="8"/>
      <c r="BE135" s="8"/>
      <c r="BF135" s="8"/>
      <c r="BG135" s="8">
        <v>23.87</v>
      </c>
      <c r="BH135" s="9">
        <f t="shared" si="18"/>
        <v>695.83</v>
      </c>
      <c r="BI135" s="9">
        <f t="shared" si="19"/>
        <v>2.09</v>
      </c>
      <c r="BJ135" s="9">
        <f t="shared" si="20"/>
        <v>1.61</v>
      </c>
      <c r="BK135" s="9">
        <f t="shared" si="21"/>
        <v>6.98</v>
      </c>
      <c r="BL135" s="9">
        <f t="shared" si="22"/>
        <v>0</v>
      </c>
      <c r="BM135" s="9">
        <f t="shared" si="23"/>
        <v>0</v>
      </c>
      <c r="BN135" s="9">
        <f t="shared" si="24"/>
        <v>349.13</v>
      </c>
      <c r="BO135" s="9">
        <f t="shared" si="25"/>
        <v>1.07</v>
      </c>
      <c r="BP135" s="9">
        <f t="shared" si="26"/>
        <v>0</v>
      </c>
    </row>
    <row r="136" spans="1:68">
      <c r="A136" s="6">
        <v>44582</v>
      </c>
      <c r="B136" s="7">
        <v>3307</v>
      </c>
      <c r="C136" s="8"/>
      <c r="D136" s="8">
        <v>1917.36</v>
      </c>
      <c r="E136" s="8"/>
      <c r="F136" s="8"/>
      <c r="G136" s="8"/>
      <c r="H136" s="8"/>
      <c r="I136" s="8"/>
      <c r="J136" s="8"/>
      <c r="K136" s="8"/>
      <c r="L136" s="8"/>
      <c r="M136" s="8">
        <v>2.9</v>
      </c>
      <c r="N136" s="8"/>
      <c r="O136" s="8"/>
      <c r="P136" s="8"/>
      <c r="Q136" s="8"/>
      <c r="R136" s="8"/>
      <c r="S136" s="8">
        <v>14.01</v>
      </c>
      <c r="T136" s="8">
        <v>19.260000000000002</v>
      </c>
      <c r="U136" s="8"/>
      <c r="V136" s="8"/>
      <c r="W136" s="8"/>
      <c r="X136" s="8"/>
      <c r="Y136" s="8"/>
      <c r="Z136" s="8"/>
      <c r="AA136" s="8"/>
      <c r="AB136" s="8"/>
      <c r="AC136" s="8">
        <v>11.52</v>
      </c>
      <c r="AD136" s="8"/>
      <c r="AE136" s="8"/>
      <c r="AF136" s="8"/>
      <c r="AG136" s="8">
        <v>19.18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>
        <v>961.91</v>
      </c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>
        <v>69.02</v>
      </c>
      <c r="BH136" s="9">
        <f t="shared" si="18"/>
        <v>1917.36</v>
      </c>
      <c r="BI136" s="9">
        <f t="shared" si="19"/>
        <v>2.9</v>
      </c>
      <c r="BJ136" s="9">
        <f t="shared" si="20"/>
        <v>14.01</v>
      </c>
      <c r="BK136" s="9">
        <f t="shared" si="21"/>
        <v>19.260000000000002</v>
      </c>
      <c r="BL136" s="9">
        <f t="shared" si="22"/>
        <v>0</v>
      </c>
      <c r="BM136" s="9">
        <f t="shared" si="23"/>
        <v>30.7</v>
      </c>
      <c r="BN136" s="9">
        <f t="shared" si="24"/>
        <v>961.91</v>
      </c>
      <c r="BO136" s="9">
        <f t="shared" si="25"/>
        <v>0</v>
      </c>
      <c r="BP136" s="9">
        <f t="shared" si="26"/>
        <v>0</v>
      </c>
    </row>
    <row r="137" spans="1:68">
      <c r="A137" s="6">
        <v>44582</v>
      </c>
      <c r="B137" s="7">
        <v>3028</v>
      </c>
      <c r="C137" s="8"/>
      <c r="D137" s="8">
        <v>717.52</v>
      </c>
      <c r="E137" s="8"/>
      <c r="F137" s="8">
        <v>658.92</v>
      </c>
      <c r="G137" s="8"/>
      <c r="H137" s="8"/>
      <c r="I137" s="8">
        <v>1489.67</v>
      </c>
      <c r="J137" s="8"/>
      <c r="K137" s="8"/>
      <c r="L137" s="8"/>
      <c r="M137" s="8"/>
      <c r="N137" s="8">
        <v>21.48</v>
      </c>
      <c r="O137" s="8"/>
      <c r="P137" s="8"/>
      <c r="Q137" s="8"/>
      <c r="R137" s="8"/>
      <c r="S137" s="8">
        <v>4.01</v>
      </c>
      <c r="T137" s="8"/>
      <c r="U137" s="8"/>
      <c r="V137" s="8"/>
      <c r="W137" s="8">
        <v>21.72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>
        <v>29.11</v>
      </c>
      <c r="AN137" s="8">
        <v>20.27</v>
      </c>
      <c r="AO137" s="8"/>
      <c r="AP137" s="8"/>
      <c r="AQ137" s="8"/>
      <c r="AR137" s="8"/>
      <c r="AS137" s="8">
        <v>94.32</v>
      </c>
      <c r="AT137" s="8">
        <v>955.71</v>
      </c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>
        <v>65.25</v>
      </c>
      <c r="BH137" s="9">
        <f t="shared" si="18"/>
        <v>2866.11</v>
      </c>
      <c r="BI137" s="9">
        <f t="shared" si="19"/>
        <v>21.48</v>
      </c>
      <c r="BJ137" s="9">
        <f t="shared" si="20"/>
        <v>4.01</v>
      </c>
      <c r="BK137" s="9">
        <f t="shared" si="21"/>
        <v>21.72</v>
      </c>
      <c r="BL137" s="9">
        <f t="shared" si="22"/>
        <v>0</v>
      </c>
      <c r="BM137" s="9">
        <f t="shared" si="23"/>
        <v>143.69999999999999</v>
      </c>
      <c r="BN137" s="9">
        <f t="shared" si="24"/>
        <v>955.71</v>
      </c>
      <c r="BO137" s="9">
        <f t="shared" si="25"/>
        <v>0</v>
      </c>
      <c r="BP137" s="9">
        <f t="shared" si="26"/>
        <v>0</v>
      </c>
    </row>
    <row r="138" spans="1:68">
      <c r="A138" s="6">
        <v>44582</v>
      </c>
      <c r="B138" s="7">
        <v>3020</v>
      </c>
      <c r="C138" s="8"/>
      <c r="D138" s="8">
        <v>306.77</v>
      </c>
      <c r="E138" s="8"/>
      <c r="F138" s="8"/>
      <c r="G138" s="8"/>
      <c r="H138" s="8"/>
      <c r="I138" s="8">
        <v>1733.2</v>
      </c>
      <c r="J138" s="8"/>
      <c r="K138" s="8"/>
      <c r="L138" s="8"/>
      <c r="M138" s="8"/>
      <c r="N138" s="8">
        <v>12.26</v>
      </c>
      <c r="O138" s="8"/>
      <c r="P138" s="8"/>
      <c r="Q138" s="8"/>
      <c r="R138" s="8"/>
      <c r="S138" s="8">
        <v>3.66</v>
      </c>
      <c r="T138" s="8"/>
      <c r="U138" s="8"/>
      <c r="V138" s="8"/>
      <c r="W138" s="8">
        <v>20.57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>
        <v>20.18</v>
      </c>
      <c r="AN138" s="8"/>
      <c r="AO138" s="8"/>
      <c r="AP138" s="8"/>
      <c r="AQ138" s="8"/>
      <c r="AR138" s="8"/>
      <c r="AS138" s="8">
        <v>51.22</v>
      </c>
      <c r="AT138" s="8">
        <v>1001.43</v>
      </c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>
        <v>73.37</v>
      </c>
      <c r="BH138" s="9">
        <f t="shared" si="18"/>
        <v>2039.97</v>
      </c>
      <c r="BI138" s="9">
        <f t="shared" si="19"/>
        <v>12.26</v>
      </c>
      <c r="BJ138" s="9">
        <f t="shared" si="20"/>
        <v>3.66</v>
      </c>
      <c r="BK138" s="9">
        <f t="shared" si="21"/>
        <v>20.57</v>
      </c>
      <c r="BL138" s="9">
        <f t="shared" si="22"/>
        <v>0</v>
      </c>
      <c r="BM138" s="9">
        <f t="shared" si="23"/>
        <v>71.400000000000006</v>
      </c>
      <c r="BN138" s="9">
        <f t="shared" si="24"/>
        <v>1001.43</v>
      </c>
      <c r="BO138" s="9">
        <f t="shared" si="25"/>
        <v>0</v>
      </c>
      <c r="BP138" s="9">
        <f t="shared" si="26"/>
        <v>0</v>
      </c>
    </row>
    <row r="139" spans="1:68">
      <c r="A139" s="6">
        <v>44582</v>
      </c>
      <c r="B139" s="7">
        <v>3106</v>
      </c>
      <c r="C139" s="8">
        <v>5192.09</v>
      </c>
      <c r="D139" s="8"/>
      <c r="E139" s="8"/>
      <c r="F139" s="8"/>
      <c r="G139" s="8"/>
      <c r="H139" s="8"/>
      <c r="I139" s="8"/>
      <c r="J139" s="8"/>
      <c r="K139" s="8"/>
      <c r="L139" s="8"/>
      <c r="M139" s="8">
        <v>14.04</v>
      </c>
      <c r="N139" s="8"/>
      <c r="O139" s="8"/>
      <c r="P139" s="8"/>
      <c r="Q139" s="8"/>
      <c r="R139" s="8"/>
      <c r="S139" s="8">
        <v>16.100000000000001</v>
      </c>
      <c r="T139" s="8">
        <v>66.209999999999994</v>
      </c>
      <c r="U139" s="8"/>
      <c r="V139" s="8"/>
      <c r="W139" s="8"/>
      <c r="X139" s="8"/>
      <c r="Y139" s="8"/>
      <c r="Z139" s="8"/>
      <c r="AA139" s="8"/>
      <c r="AB139" s="8"/>
      <c r="AC139" s="8">
        <v>20.79</v>
      </c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>
        <v>2969.72</v>
      </c>
      <c r="AU139" s="8"/>
      <c r="AV139" s="8"/>
      <c r="AW139" s="8"/>
      <c r="AX139" s="8">
        <v>6.5</v>
      </c>
      <c r="AY139" s="8"/>
      <c r="AZ139" s="8"/>
      <c r="BA139" s="8"/>
      <c r="BB139" s="8"/>
      <c r="BC139" s="8"/>
      <c r="BD139" s="8"/>
      <c r="BE139" s="8"/>
      <c r="BF139" s="8"/>
      <c r="BG139" s="8">
        <v>223.3</v>
      </c>
      <c r="BH139" s="9">
        <f t="shared" si="18"/>
        <v>5192.09</v>
      </c>
      <c r="BI139" s="9">
        <f t="shared" si="19"/>
        <v>14.04</v>
      </c>
      <c r="BJ139" s="9">
        <f t="shared" si="20"/>
        <v>16.100000000000001</v>
      </c>
      <c r="BK139" s="9">
        <f t="shared" si="21"/>
        <v>66.209999999999994</v>
      </c>
      <c r="BL139" s="9">
        <f t="shared" si="22"/>
        <v>0</v>
      </c>
      <c r="BM139" s="9">
        <f t="shared" si="23"/>
        <v>20.79</v>
      </c>
      <c r="BN139" s="9">
        <f t="shared" si="24"/>
        <v>2969.72</v>
      </c>
      <c r="BO139" s="9">
        <f t="shared" si="25"/>
        <v>6.5</v>
      </c>
      <c r="BP139" s="9">
        <f t="shared" si="26"/>
        <v>0</v>
      </c>
    </row>
    <row r="140" spans="1:68">
      <c r="A140" s="6">
        <v>44582</v>
      </c>
      <c r="B140" s="7">
        <v>3121</v>
      </c>
      <c r="C140" s="8">
        <v>1984.97</v>
      </c>
      <c r="D140" s="8"/>
      <c r="E140" s="8"/>
      <c r="F140" s="8"/>
      <c r="G140" s="8"/>
      <c r="H140" s="8"/>
      <c r="I140" s="8"/>
      <c r="J140" s="8"/>
      <c r="K140" s="8"/>
      <c r="L140" s="8"/>
      <c r="M140" s="8">
        <v>4.96</v>
      </c>
      <c r="N140" s="8"/>
      <c r="O140" s="8"/>
      <c r="P140" s="8"/>
      <c r="Q140" s="8"/>
      <c r="R140" s="8"/>
      <c r="S140" s="8">
        <v>6.96</v>
      </c>
      <c r="T140" s="8">
        <v>25.19</v>
      </c>
      <c r="U140" s="8"/>
      <c r="V140" s="8"/>
      <c r="W140" s="8"/>
      <c r="X140" s="8"/>
      <c r="Y140" s="8"/>
      <c r="Z140" s="8"/>
      <c r="AA140" s="8"/>
      <c r="AB140" s="8"/>
      <c r="AC140" s="8">
        <v>7.95</v>
      </c>
      <c r="AD140" s="8"/>
      <c r="AE140" s="8">
        <v>20.100000000000001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>
        <v>1053.51</v>
      </c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>
        <v>77.36</v>
      </c>
      <c r="BH140" s="9">
        <f t="shared" si="18"/>
        <v>1984.97</v>
      </c>
      <c r="BI140" s="9">
        <f t="shared" si="19"/>
        <v>4.96</v>
      </c>
      <c r="BJ140" s="9">
        <f t="shared" si="20"/>
        <v>6.96</v>
      </c>
      <c r="BK140" s="9">
        <f t="shared" si="21"/>
        <v>25.19</v>
      </c>
      <c r="BL140" s="9">
        <f t="shared" si="22"/>
        <v>0</v>
      </c>
      <c r="BM140" s="9">
        <f t="shared" si="23"/>
        <v>28.05</v>
      </c>
      <c r="BN140" s="9">
        <f t="shared" si="24"/>
        <v>1053.51</v>
      </c>
      <c r="BO140" s="9">
        <f t="shared" si="25"/>
        <v>0</v>
      </c>
      <c r="BP140" s="9">
        <f t="shared" si="26"/>
        <v>0</v>
      </c>
    </row>
    <row r="141" spans="1:68">
      <c r="A141" s="6">
        <v>44582</v>
      </c>
      <c r="B141" s="7">
        <v>3112</v>
      </c>
      <c r="C141" s="8">
        <v>1610.91</v>
      </c>
      <c r="D141" s="8"/>
      <c r="E141" s="8"/>
      <c r="F141" s="8"/>
      <c r="G141" s="8"/>
      <c r="H141" s="8"/>
      <c r="I141" s="8"/>
      <c r="J141" s="8"/>
      <c r="K141" s="8"/>
      <c r="L141" s="8"/>
      <c r="M141" s="8">
        <v>1.62</v>
      </c>
      <c r="N141" s="8">
        <v>1.62</v>
      </c>
      <c r="O141" s="8"/>
      <c r="P141" s="8"/>
      <c r="Q141" s="8"/>
      <c r="R141" s="8"/>
      <c r="S141" s="8">
        <v>5</v>
      </c>
      <c r="T141" s="8">
        <v>16.11</v>
      </c>
      <c r="U141" s="8"/>
      <c r="V141" s="8"/>
      <c r="W141" s="8"/>
      <c r="X141" s="8"/>
      <c r="Y141" s="8"/>
      <c r="Z141" s="8"/>
      <c r="AA141" s="8"/>
      <c r="AB141" s="8"/>
      <c r="AC141" s="8">
        <v>6.44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>
        <v>674.69</v>
      </c>
      <c r="AU141" s="8"/>
      <c r="AV141" s="8"/>
      <c r="AW141" s="8"/>
      <c r="AX141" s="8"/>
      <c r="AY141" s="8"/>
      <c r="AZ141" s="8"/>
      <c r="BA141" s="8">
        <v>21.27</v>
      </c>
      <c r="BB141" s="8"/>
      <c r="BC141" s="8"/>
      <c r="BD141" s="8"/>
      <c r="BE141" s="8"/>
      <c r="BF141" s="8"/>
      <c r="BG141" s="8">
        <v>48.27</v>
      </c>
      <c r="BH141" s="9">
        <f t="shared" si="18"/>
        <v>1610.91</v>
      </c>
      <c r="BI141" s="9">
        <f t="shared" si="19"/>
        <v>3.24</v>
      </c>
      <c r="BJ141" s="9">
        <f t="shared" si="20"/>
        <v>5</v>
      </c>
      <c r="BK141" s="9">
        <f t="shared" si="21"/>
        <v>16.11</v>
      </c>
      <c r="BL141" s="9">
        <f t="shared" si="22"/>
        <v>0</v>
      </c>
      <c r="BM141" s="9">
        <f t="shared" si="23"/>
        <v>6.44</v>
      </c>
      <c r="BN141" s="9">
        <f t="shared" si="24"/>
        <v>674.69</v>
      </c>
      <c r="BO141" s="9">
        <f t="shared" si="25"/>
        <v>21.27</v>
      </c>
      <c r="BP141" s="9">
        <f t="shared" si="26"/>
        <v>0</v>
      </c>
    </row>
    <row r="142" spans="1:68">
      <c r="A142" s="6">
        <v>44585</v>
      </c>
      <c r="B142" s="7">
        <v>3432</v>
      </c>
      <c r="C142" s="8">
        <v>904.18</v>
      </c>
      <c r="D142" s="8"/>
      <c r="E142" s="8"/>
      <c r="F142" s="8"/>
      <c r="G142" s="8"/>
      <c r="H142" s="8"/>
      <c r="I142" s="8"/>
      <c r="J142" s="8"/>
      <c r="K142" s="8"/>
      <c r="L142" s="8"/>
      <c r="M142" s="8">
        <v>2.76</v>
      </c>
      <c r="N142" s="8"/>
      <c r="O142" s="8"/>
      <c r="P142" s="8"/>
      <c r="Q142" s="8"/>
      <c r="R142" s="8"/>
      <c r="S142" s="8">
        <v>3.67</v>
      </c>
      <c r="T142" s="8"/>
      <c r="U142" s="8"/>
      <c r="V142" s="8"/>
      <c r="W142" s="8"/>
      <c r="X142" s="8">
        <v>9.2100000000000009</v>
      </c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>
        <v>417.19</v>
      </c>
      <c r="AU142" s="8"/>
      <c r="AV142" s="8"/>
      <c r="AW142" s="8"/>
      <c r="AX142" s="8"/>
      <c r="AY142" s="8"/>
      <c r="AZ142" s="8"/>
      <c r="BA142" s="8"/>
      <c r="BB142" s="8">
        <v>2.79</v>
      </c>
      <c r="BC142" s="8"/>
      <c r="BD142" s="8"/>
      <c r="BE142" s="8"/>
      <c r="BF142" s="8">
        <v>45.95</v>
      </c>
      <c r="BG142" s="8">
        <v>30.52</v>
      </c>
      <c r="BH142" s="9">
        <f t="shared" si="18"/>
        <v>904.18</v>
      </c>
      <c r="BI142" s="9">
        <f t="shared" si="19"/>
        <v>2.76</v>
      </c>
      <c r="BJ142" s="9">
        <f t="shared" si="20"/>
        <v>3.67</v>
      </c>
      <c r="BK142" s="9">
        <f t="shared" si="21"/>
        <v>9.2100000000000009</v>
      </c>
      <c r="BL142" s="9">
        <f t="shared" si="22"/>
        <v>0</v>
      </c>
      <c r="BM142" s="9">
        <f t="shared" si="23"/>
        <v>0</v>
      </c>
      <c r="BN142" s="9">
        <f t="shared" si="24"/>
        <v>417.19</v>
      </c>
      <c r="BO142" s="9">
        <f t="shared" si="25"/>
        <v>2.79</v>
      </c>
      <c r="BP142" s="9">
        <f t="shared" si="26"/>
        <v>45.95</v>
      </c>
    </row>
    <row r="143" spans="1:68">
      <c r="A143" s="6">
        <v>44585</v>
      </c>
      <c r="B143" s="7">
        <v>3022</v>
      </c>
      <c r="C143" s="8"/>
      <c r="D143" s="8">
        <v>1047.31</v>
      </c>
      <c r="E143" s="8"/>
      <c r="F143" s="8"/>
      <c r="G143" s="8"/>
      <c r="H143" s="8"/>
      <c r="I143" s="8">
        <v>857.66</v>
      </c>
      <c r="J143" s="8"/>
      <c r="K143" s="8"/>
      <c r="L143" s="8"/>
      <c r="M143" s="8"/>
      <c r="N143" s="8">
        <v>9.51</v>
      </c>
      <c r="O143" s="8"/>
      <c r="P143" s="8"/>
      <c r="Q143" s="8"/>
      <c r="R143" s="8"/>
      <c r="S143" s="8">
        <v>3.43</v>
      </c>
      <c r="T143" s="8"/>
      <c r="U143" s="8"/>
      <c r="V143" s="8"/>
      <c r="W143" s="8">
        <v>19.670000000000002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>
        <v>25.03</v>
      </c>
      <c r="AN143" s="8"/>
      <c r="AO143" s="8"/>
      <c r="AP143" s="8"/>
      <c r="AQ143" s="8"/>
      <c r="AR143" s="8"/>
      <c r="AS143" s="8">
        <v>66.239999999999995</v>
      </c>
      <c r="AT143" s="8">
        <v>891.61</v>
      </c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>
        <v>68.5</v>
      </c>
      <c r="BH143" s="9">
        <f t="shared" si="18"/>
        <v>1904.9699999999998</v>
      </c>
      <c r="BI143" s="9">
        <f t="shared" si="19"/>
        <v>9.51</v>
      </c>
      <c r="BJ143" s="9">
        <f t="shared" si="20"/>
        <v>3.43</v>
      </c>
      <c r="BK143" s="9">
        <f t="shared" si="21"/>
        <v>19.670000000000002</v>
      </c>
      <c r="BL143" s="9">
        <f t="shared" si="22"/>
        <v>0</v>
      </c>
      <c r="BM143" s="9">
        <f t="shared" si="23"/>
        <v>91.27</v>
      </c>
      <c r="BN143" s="9">
        <f t="shared" si="24"/>
        <v>891.61</v>
      </c>
      <c r="BO143" s="9">
        <f t="shared" si="25"/>
        <v>0</v>
      </c>
      <c r="BP143" s="9">
        <f t="shared" si="26"/>
        <v>0</v>
      </c>
    </row>
    <row r="144" spans="1:68">
      <c r="A144" s="6">
        <v>44585</v>
      </c>
      <c r="B144" s="7">
        <v>3017</v>
      </c>
      <c r="C144" s="8"/>
      <c r="D144" s="8">
        <v>482.22</v>
      </c>
      <c r="E144" s="8"/>
      <c r="F144" s="8"/>
      <c r="G144" s="8"/>
      <c r="H144" s="8"/>
      <c r="I144" s="8">
        <v>666.49</v>
      </c>
      <c r="J144" s="8"/>
      <c r="K144" s="8"/>
      <c r="L144" s="8"/>
      <c r="M144" s="8"/>
      <c r="N144" s="8">
        <v>8.0500000000000007</v>
      </c>
      <c r="O144" s="8"/>
      <c r="P144" s="8"/>
      <c r="Q144" s="8"/>
      <c r="R144" s="8"/>
      <c r="S144" s="8">
        <v>0.8</v>
      </c>
      <c r="T144" s="8"/>
      <c r="U144" s="8"/>
      <c r="V144" s="8"/>
      <c r="W144" s="8">
        <v>8.64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>
        <v>4.68</v>
      </c>
      <c r="AN144" s="8">
        <v>11.78</v>
      </c>
      <c r="AO144" s="8"/>
      <c r="AP144" s="8"/>
      <c r="AQ144" s="8"/>
      <c r="AR144" s="8">
        <v>46.19</v>
      </c>
      <c r="AS144" s="8"/>
      <c r="AT144" s="8">
        <v>494.26</v>
      </c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>
        <v>35.72</v>
      </c>
      <c r="BH144" s="9">
        <f t="shared" si="18"/>
        <v>1148.71</v>
      </c>
      <c r="BI144" s="9">
        <f t="shared" si="19"/>
        <v>8.0500000000000007</v>
      </c>
      <c r="BJ144" s="9">
        <f t="shared" si="20"/>
        <v>0.8</v>
      </c>
      <c r="BK144" s="9">
        <f t="shared" si="21"/>
        <v>8.64</v>
      </c>
      <c r="BL144" s="9">
        <f t="shared" si="22"/>
        <v>0</v>
      </c>
      <c r="BM144" s="9">
        <f t="shared" si="23"/>
        <v>62.65</v>
      </c>
      <c r="BN144" s="9">
        <f t="shared" si="24"/>
        <v>494.26</v>
      </c>
      <c r="BO144" s="9">
        <f t="shared" si="25"/>
        <v>0</v>
      </c>
      <c r="BP144" s="9">
        <f t="shared" si="26"/>
        <v>0</v>
      </c>
    </row>
    <row r="145" spans="1:68">
      <c r="A145" s="6">
        <v>44585</v>
      </c>
      <c r="B145" s="7">
        <v>3029</v>
      </c>
      <c r="C145" s="8"/>
      <c r="D145" s="8">
        <v>455.43</v>
      </c>
      <c r="E145" s="8"/>
      <c r="F145" s="8">
        <v>321.45999999999998</v>
      </c>
      <c r="G145" s="8"/>
      <c r="H145" s="8"/>
      <c r="I145" s="8">
        <v>1897.98</v>
      </c>
      <c r="J145" s="8"/>
      <c r="K145" s="8"/>
      <c r="L145" s="8"/>
      <c r="M145" s="8"/>
      <c r="N145" s="8">
        <v>20.329999999999998</v>
      </c>
      <c r="O145" s="8"/>
      <c r="P145" s="8"/>
      <c r="Q145" s="8"/>
      <c r="R145" s="8"/>
      <c r="S145" s="8">
        <v>1.6</v>
      </c>
      <c r="T145" s="8"/>
      <c r="U145" s="8"/>
      <c r="V145" s="8"/>
      <c r="W145" s="8">
        <v>27.16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>
        <v>9.5</v>
      </c>
      <c r="AN145" s="8">
        <v>13.57</v>
      </c>
      <c r="AO145" s="8"/>
      <c r="AP145" s="8"/>
      <c r="AQ145" s="8"/>
      <c r="AR145" s="8">
        <v>80.61</v>
      </c>
      <c r="AS145" s="8"/>
      <c r="AT145" s="8">
        <v>1015.55</v>
      </c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>
        <v>70.86</v>
      </c>
      <c r="BH145" s="9">
        <f t="shared" si="18"/>
        <v>2674.87</v>
      </c>
      <c r="BI145" s="9">
        <f t="shared" si="19"/>
        <v>20.329999999999998</v>
      </c>
      <c r="BJ145" s="9">
        <f t="shared" si="20"/>
        <v>1.6</v>
      </c>
      <c r="BK145" s="9">
        <f t="shared" si="21"/>
        <v>27.16</v>
      </c>
      <c r="BL145" s="9">
        <f t="shared" si="22"/>
        <v>0</v>
      </c>
      <c r="BM145" s="9">
        <f t="shared" si="23"/>
        <v>103.68</v>
      </c>
      <c r="BN145" s="9">
        <f t="shared" si="24"/>
        <v>1015.55</v>
      </c>
      <c r="BO145" s="9">
        <f t="shared" si="25"/>
        <v>0</v>
      </c>
      <c r="BP145" s="9">
        <f t="shared" si="26"/>
        <v>0</v>
      </c>
    </row>
    <row r="146" spans="1:68">
      <c r="A146" s="6">
        <v>44585</v>
      </c>
      <c r="B146" s="7">
        <v>3080</v>
      </c>
      <c r="C146" s="8"/>
      <c r="D146" s="8"/>
      <c r="E146" s="8"/>
      <c r="F146" s="8">
        <v>744.89</v>
      </c>
      <c r="G146" s="8"/>
      <c r="H146" s="8"/>
      <c r="I146" s="8">
        <v>1117.52</v>
      </c>
      <c r="J146" s="8"/>
      <c r="K146" s="8"/>
      <c r="L146" s="8"/>
      <c r="M146" s="8"/>
      <c r="N146" s="8">
        <v>13.09</v>
      </c>
      <c r="O146" s="8"/>
      <c r="P146" s="8">
        <v>7.3</v>
      </c>
      <c r="Q146" s="11"/>
      <c r="R146" s="11"/>
      <c r="S146" s="8">
        <v>1.1200000000000001</v>
      </c>
      <c r="T146" s="8">
        <v>18.690000000000001</v>
      </c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>
        <v>28.69</v>
      </c>
      <c r="AJ146" s="8"/>
      <c r="AK146" s="8"/>
      <c r="AL146" s="8"/>
      <c r="AM146" s="8"/>
      <c r="AN146" s="8"/>
      <c r="AO146" s="8"/>
      <c r="AP146" s="11"/>
      <c r="AQ146" s="8">
        <v>19.14</v>
      </c>
      <c r="AR146" s="8">
        <v>65.44</v>
      </c>
      <c r="AS146" s="8"/>
      <c r="AT146" s="8">
        <v>655.73</v>
      </c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>
        <v>35.340000000000003</v>
      </c>
      <c r="BH146" s="9">
        <f t="shared" si="18"/>
        <v>1862.4099999999999</v>
      </c>
      <c r="BI146" s="9">
        <f t="shared" si="19"/>
        <v>20.39</v>
      </c>
      <c r="BJ146" s="9">
        <f t="shared" si="20"/>
        <v>1.1200000000000001</v>
      </c>
      <c r="BK146" s="9">
        <f t="shared" si="21"/>
        <v>18.690000000000001</v>
      </c>
      <c r="BL146" s="9">
        <f t="shared" si="22"/>
        <v>0</v>
      </c>
      <c r="BM146" s="9">
        <f t="shared" si="23"/>
        <v>113.27</v>
      </c>
      <c r="BN146" s="9">
        <f t="shared" si="24"/>
        <v>655.73</v>
      </c>
      <c r="BO146" s="9">
        <f t="shared" si="25"/>
        <v>0</v>
      </c>
      <c r="BP146" s="9">
        <f t="shared" si="26"/>
        <v>0</v>
      </c>
    </row>
    <row r="147" spans="1:68">
      <c r="A147" s="6">
        <v>44585</v>
      </c>
      <c r="B147" s="7">
        <v>3141</v>
      </c>
      <c r="C147" s="8">
        <v>2413.96</v>
      </c>
      <c r="D147" s="8">
        <v>424.35</v>
      </c>
      <c r="E147" s="8"/>
      <c r="F147" s="8"/>
      <c r="G147" s="8"/>
      <c r="H147" s="8"/>
      <c r="I147" s="8"/>
      <c r="J147" s="8"/>
      <c r="K147" s="8"/>
      <c r="L147" s="8"/>
      <c r="M147" s="8">
        <v>7.67</v>
      </c>
      <c r="N147" s="8"/>
      <c r="O147" s="8"/>
      <c r="P147" s="8"/>
      <c r="Q147" s="8"/>
      <c r="R147" s="8"/>
      <c r="S147" s="8">
        <v>12.86</v>
      </c>
      <c r="T147" s="8">
        <v>21.43</v>
      </c>
      <c r="U147" s="8">
        <v>21.48</v>
      </c>
      <c r="V147" s="8"/>
      <c r="W147" s="8"/>
      <c r="X147" s="8"/>
      <c r="Y147" s="8"/>
      <c r="Z147" s="8"/>
      <c r="AA147" s="8"/>
      <c r="AB147" s="8"/>
      <c r="AC147" s="8">
        <v>11.44</v>
      </c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>
        <v>1885.8</v>
      </c>
      <c r="AU147" s="8"/>
      <c r="AV147" s="8"/>
      <c r="AW147" s="8"/>
      <c r="AX147" s="8"/>
      <c r="AY147" s="8"/>
      <c r="AZ147" s="8"/>
      <c r="BA147" s="8">
        <v>65.53</v>
      </c>
      <c r="BB147" s="8"/>
      <c r="BC147" s="8"/>
      <c r="BD147" s="8"/>
      <c r="BE147" s="8"/>
      <c r="BF147" s="8">
        <v>200.16</v>
      </c>
      <c r="BG147" s="8">
        <v>148.37</v>
      </c>
      <c r="BH147" s="9">
        <f t="shared" si="18"/>
        <v>2838.31</v>
      </c>
      <c r="BI147" s="9">
        <f t="shared" si="19"/>
        <v>7.67</v>
      </c>
      <c r="BJ147" s="9">
        <f t="shared" si="20"/>
        <v>12.86</v>
      </c>
      <c r="BK147" s="9">
        <f t="shared" si="21"/>
        <v>42.91</v>
      </c>
      <c r="BL147" s="9">
        <f t="shared" si="22"/>
        <v>0</v>
      </c>
      <c r="BM147" s="9">
        <f t="shared" si="23"/>
        <v>11.44</v>
      </c>
      <c r="BN147" s="9">
        <f t="shared" si="24"/>
        <v>1885.8</v>
      </c>
      <c r="BO147" s="9">
        <f t="shared" si="25"/>
        <v>65.53</v>
      </c>
      <c r="BP147" s="9">
        <f t="shared" si="26"/>
        <v>200.16</v>
      </c>
    </row>
    <row r="148" spans="1:68">
      <c r="A148" s="6">
        <v>44585</v>
      </c>
      <c r="B148" s="7">
        <v>3016</v>
      </c>
      <c r="C148" s="8"/>
      <c r="D148" s="8">
        <v>2226.9699999999998</v>
      </c>
      <c r="E148" s="8"/>
      <c r="F148" s="8"/>
      <c r="G148" s="8"/>
      <c r="H148" s="8"/>
      <c r="I148" s="8">
        <v>2050.14</v>
      </c>
      <c r="J148" s="8"/>
      <c r="K148" s="8"/>
      <c r="L148" s="8"/>
      <c r="M148" s="8"/>
      <c r="N148" s="8">
        <v>25.69</v>
      </c>
      <c r="O148" s="8"/>
      <c r="P148" s="8"/>
      <c r="Q148" s="8"/>
      <c r="R148" s="8"/>
      <c r="S148" s="8">
        <v>2.99</v>
      </c>
      <c r="T148" s="8">
        <v>42.89</v>
      </c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>
        <v>17.579999999999998</v>
      </c>
      <c r="AN148" s="8">
        <v>51.29</v>
      </c>
      <c r="AO148" s="8"/>
      <c r="AP148" s="8"/>
      <c r="AQ148" s="8"/>
      <c r="AR148" s="8">
        <v>106.84</v>
      </c>
      <c r="AS148" s="8"/>
      <c r="AT148" s="8">
        <v>1591.28</v>
      </c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>
        <v>116.38</v>
      </c>
      <c r="BH148" s="9">
        <f t="shared" si="18"/>
        <v>4277.1099999999997</v>
      </c>
      <c r="BI148" s="9">
        <f t="shared" si="19"/>
        <v>25.69</v>
      </c>
      <c r="BJ148" s="9">
        <f t="shared" si="20"/>
        <v>2.99</v>
      </c>
      <c r="BK148" s="9">
        <f t="shared" si="21"/>
        <v>42.89</v>
      </c>
      <c r="BL148" s="9">
        <f t="shared" si="22"/>
        <v>0</v>
      </c>
      <c r="BM148" s="9">
        <f t="shared" si="23"/>
        <v>175.71</v>
      </c>
      <c r="BN148" s="9">
        <f t="shared" si="24"/>
        <v>1591.28</v>
      </c>
      <c r="BO148" s="9">
        <f t="shared" si="25"/>
        <v>0</v>
      </c>
      <c r="BP148" s="9">
        <f t="shared" si="26"/>
        <v>0</v>
      </c>
    </row>
    <row r="149" spans="1:68">
      <c r="A149" s="6">
        <v>44585</v>
      </c>
      <c r="B149" s="7">
        <v>3429</v>
      </c>
      <c r="C149" s="8">
        <v>701.4</v>
      </c>
      <c r="D149" s="8"/>
      <c r="E149" s="8"/>
      <c r="F149" s="8"/>
      <c r="G149" s="8"/>
      <c r="H149" s="8"/>
      <c r="I149" s="8"/>
      <c r="J149" s="8"/>
      <c r="K149" s="8"/>
      <c r="L149" s="8"/>
      <c r="M149" s="8">
        <v>2.4500000000000002</v>
      </c>
      <c r="N149" s="8"/>
      <c r="O149" s="8"/>
      <c r="P149" s="8"/>
      <c r="Q149" s="8"/>
      <c r="R149" s="8"/>
      <c r="S149" s="8">
        <v>1.97</v>
      </c>
      <c r="T149" s="8">
        <v>7.06</v>
      </c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>
        <v>362.23</v>
      </c>
      <c r="AU149" s="8"/>
      <c r="AV149" s="8">
        <v>21.19</v>
      </c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>
        <v>24.69</v>
      </c>
      <c r="BH149" s="9">
        <f t="shared" si="18"/>
        <v>701.4</v>
      </c>
      <c r="BI149" s="9">
        <f t="shared" si="19"/>
        <v>2.4500000000000002</v>
      </c>
      <c r="BJ149" s="9">
        <f t="shared" si="20"/>
        <v>1.97</v>
      </c>
      <c r="BK149" s="9">
        <f t="shared" si="21"/>
        <v>7.06</v>
      </c>
      <c r="BL149" s="9">
        <f t="shared" si="22"/>
        <v>0</v>
      </c>
      <c r="BM149" s="9">
        <f t="shared" si="23"/>
        <v>0</v>
      </c>
      <c r="BN149" s="9">
        <f t="shared" si="24"/>
        <v>362.23</v>
      </c>
      <c r="BO149" s="9">
        <f t="shared" si="25"/>
        <v>21.19</v>
      </c>
      <c r="BP149" s="9">
        <f t="shared" si="26"/>
        <v>0</v>
      </c>
    </row>
    <row r="150" spans="1:68">
      <c r="A150" s="6">
        <v>44585</v>
      </c>
      <c r="B150" s="7">
        <v>3139</v>
      </c>
      <c r="C150" s="8">
        <v>1554.91</v>
      </c>
      <c r="D150" s="8"/>
      <c r="E150" s="8"/>
      <c r="F150" s="8"/>
      <c r="G150" s="8"/>
      <c r="H150" s="8">
        <v>646.25</v>
      </c>
      <c r="I150" s="8"/>
      <c r="J150" s="8"/>
      <c r="K150" s="8"/>
      <c r="L150" s="8"/>
      <c r="M150" s="8">
        <v>3.59</v>
      </c>
      <c r="N150" s="8"/>
      <c r="O150" s="8"/>
      <c r="P150" s="8"/>
      <c r="Q150" s="8"/>
      <c r="R150" s="8"/>
      <c r="S150" s="8">
        <v>6.5</v>
      </c>
      <c r="T150" s="8">
        <v>22.96</v>
      </c>
      <c r="U150" s="8"/>
      <c r="V150" s="8"/>
      <c r="W150" s="8"/>
      <c r="X150" s="8"/>
      <c r="Y150" s="8"/>
      <c r="Z150" s="8"/>
      <c r="AA150" s="8"/>
      <c r="AB150" s="8"/>
      <c r="AC150" s="8">
        <v>7.66</v>
      </c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>
        <v>1134.07</v>
      </c>
      <c r="AU150" s="8"/>
      <c r="AV150" s="8">
        <v>38.35</v>
      </c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>
        <v>82.3</v>
      </c>
      <c r="BH150" s="9">
        <f t="shared" si="18"/>
        <v>2201.16</v>
      </c>
      <c r="BI150" s="9">
        <f t="shared" si="19"/>
        <v>3.59</v>
      </c>
      <c r="BJ150" s="9">
        <f t="shared" si="20"/>
        <v>6.5</v>
      </c>
      <c r="BK150" s="9">
        <f t="shared" si="21"/>
        <v>22.96</v>
      </c>
      <c r="BL150" s="9">
        <f t="shared" si="22"/>
        <v>0</v>
      </c>
      <c r="BM150" s="9">
        <f t="shared" si="23"/>
        <v>7.66</v>
      </c>
      <c r="BN150" s="9">
        <f t="shared" si="24"/>
        <v>1134.07</v>
      </c>
      <c r="BO150" s="9">
        <f t="shared" si="25"/>
        <v>38.35</v>
      </c>
      <c r="BP150" s="9">
        <f t="shared" si="26"/>
        <v>0</v>
      </c>
    </row>
    <row r="151" spans="1:68">
      <c r="A151" s="6">
        <v>44586</v>
      </c>
      <c r="B151" s="7">
        <v>3602</v>
      </c>
      <c r="C151" s="8">
        <v>601.94000000000005</v>
      </c>
      <c r="D151" s="8"/>
      <c r="E151" s="8"/>
      <c r="F151" s="8"/>
      <c r="G151" s="8">
        <v>903.53</v>
      </c>
      <c r="H151" s="8"/>
      <c r="I151" s="8"/>
      <c r="J151" s="8"/>
      <c r="K151" s="8"/>
      <c r="L151" s="8"/>
      <c r="M151" s="8">
        <v>1.6</v>
      </c>
      <c r="N151" s="8"/>
      <c r="O151" s="8"/>
      <c r="P151" s="8"/>
      <c r="Q151" s="8"/>
      <c r="R151" s="8"/>
      <c r="S151" s="8">
        <v>8.24</v>
      </c>
      <c r="T151" s="8"/>
      <c r="U151" s="8">
        <v>4.83</v>
      </c>
      <c r="V151" s="8">
        <v>14.68</v>
      </c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>
        <v>628.66999999999996</v>
      </c>
      <c r="AU151" s="8"/>
      <c r="AV151" s="8"/>
      <c r="AW151" s="8">
        <v>39.049999999999997</v>
      </c>
      <c r="AX151" s="8"/>
      <c r="AY151" s="8"/>
      <c r="AZ151" s="8"/>
      <c r="BA151" s="8"/>
      <c r="BB151" s="8"/>
      <c r="BC151" s="8"/>
      <c r="BD151" s="8"/>
      <c r="BE151" s="8"/>
      <c r="BF151" s="8">
        <v>48.37</v>
      </c>
      <c r="BG151" s="8">
        <v>47.3</v>
      </c>
      <c r="BH151" s="9">
        <f t="shared" si="18"/>
        <v>1505.47</v>
      </c>
      <c r="BI151" s="9">
        <f t="shared" si="19"/>
        <v>1.6</v>
      </c>
      <c r="BJ151" s="9">
        <f t="shared" si="20"/>
        <v>8.24</v>
      </c>
      <c r="BK151" s="9">
        <f t="shared" si="21"/>
        <v>19.509999999999998</v>
      </c>
      <c r="BL151" s="9">
        <f t="shared" si="22"/>
        <v>0</v>
      </c>
      <c r="BM151" s="9">
        <f t="shared" si="23"/>
        <v>0</v>
      </c>
      <c r="BN151" s="9">
        <f t="shared" si="24"/>
        <v>628.66999999999996</v>
      </c>
      <c r="BO151" s="9">
        <f t="shared" si="25"/>
        <v>39.049999999999997</v>
      </c>
      <c r="BP151" s="9">
        <f t="shared" si="26"/>
        <v>48.37</v>
      </c>
    </row>
    <row r="152" spans="1:68">
      <c r="A152" s="6">
        <v>44586</v>
      </c>
      <c r="B152" s="7">
        <v>3200</v>
      </c>
      <c r="C152" s="8">
        <v>2247.83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>
        <v>5.62</v>
      </c>
      <c r="P152" s="8"/>
      <c r="Q152" s="8"/>
      <c r="R152" s="8"/>
      <c r="S152" s="8">
        <v>8.77</v>
      </c>
      <c r="T152" s="8"/>
      <c r="U152" s="8">
        <v>33.74</v>
      </c>
      <c r="V152" s="8"/>
      <c r="W152" s="8"/>
      <c r="X152" s="8"/>
      <c r="Y152" s="8"/>
      <c r="Z152" s="8">
        <v>472.13</v>
      </c>
      <c r="AA152" s="8"/>
      <c r="AB152" s="8"/>
      <c r="AC152" s="8"/>
      <c r="AD152" s="8"/>
      <c r="AE152" s="8">
        <v>33.83</v>
      </c>
      <c r="AF152" s="8">
        <v>112.24</v>
      </c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>
        <v>1538.34</v>
      </c>
      <c r="AU152" s="8"/>
      <c r="AV152" s="8"/>
      <c r="AW152" s="8">
        <v>6.56</v>
      </c>
      <c r="AX152" s="8"/>
      <c r="AY152" s="8"/>
      <c r="AZ152" s="8"/>
      <c r="BA152" s="8"/>
      <c r="BB152" s="8"/>
      <c r="BC152" s="8"/>
      <c r="BD152" s="8"/>
      <c r="BE152" s="8"/>
      <c r="BF152" s="8">
        <v>108.03</v>
      </c>
      <c r="BG152" s="8">
        <v>111.01</v>
      </c>
      <c r="BH152" s="9">
        <f t="shared" si="18"/>
        <v>2247.83</v>
      </c>
      <c r="BI152" s="9">
        <f t="shared" si="19"/>
        <v>5.62</v>
      </c>
      <c r="BJ152" s="9">
        <f t="shared" si="20"/>
        <v>8.77</v>
      </c>
      <c r="BK152" s="9">
        <f t="shared" si="21"/>
        <v>33.74</v>
      </c>
      <c r="BL152" s="9">
        <f t="shared" si="22"/>
        <v>472.13</v>
      </c>
      <c r="BM152" s="9">
        <f t="shared" si="23"/>
        <v>146.07</v>
      </c>
      <c r="BN152" s="9">
        <f t="shared" si="24"/>
        <v>1538.34</v>
      </c>
      <c r="BO152" s="9">
        <f t="shared" si="25"/>
        <v>6.56</v>
      </c>
      <c r="BP152" s="9">
        <f t="shared" si="26"/>
        <v>108.03</v>
      </c>
    </row>
    <row r="153" spans="1:68">
      <c r="A153" s="6">
        <v>44586</v>
      </c>
      <c r="B153" s="7">
        <v>3201</v>
      </c>
      <c r="C153" s="8">
        <v>1184.96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>
        <v>2.96</v>
      </c>
      <c r="P153" s="8"/>
      <c r="Q153" s="8"/>
      <c r="R153" s="8"/>
      <c r="S153" s="8">
        <v>4.62</v>
      </c>
      <c r="T153" s="8"/>
      <c r="U153" s="8">
        <v>17.82</v>
      </c>
      <c r="V153" s="8"/>
      <c r="W153" s="8"/>
      <c r="X153" s="8"/>
      <c r="Y153" s="8"/>
      <c r="Z153" s="8">
        <v>249.3</v>
      </c>
      <c r="AA153" s="8"/>
      <c r="AB153" s="8"/>
      <c r="AC153" s="8"/>
      <c r="AD153" s="8"/>
      <c r="AE153" s="8">
        <v>17.829999999999998</v>
      </c>
      <c r="AF153" s="8">
        <v>59.28</v>
      </c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>
        <v>826.76</v>
      </c>
      <c r="AU153" s="8"/>
      <c r="AV153" s="8"/>
      <c r="AW153" s="8"/>
      <c r="AX153" s="8"/>
      <c r="AY153" s="8"/>
      <c r="AZ153" s="8"/>
      <c r="BA153" s="8"/>
      <c r="BB153" s="8"/>
      <c r="BC153" s="8">
        <v>3.09</v>
      </c>
      <c r="BD153" s="8"/>
      <c r="BE153" s="8"/>
      <c r="BF153" s="8">
        <v>57</v>
      </c>
      <c r="BG153" s="8">
        <v>58.82</v>
      </c>
      <c r="BH153" s="9">
        <f t="shared" si="18"/>
        <v>1184.96</v>
      </c>
      <c r="BI153" s="9">
        <f t="shared" si="19"/>
        <v>2.96</v>
      </c>
      <c r="BJ153" s="9">
        <f t="shared" si="20"/>
        <v>4.62</v>
      </c>
      <c r="BK153" s="9">
        <f t="shared" si="21"/>
        <v>17.82</v>
      </c>
      <c r="BL153" s="9">
        <f t="shared" si="22"/>
        <v>249.3</v>
      </c>
      <c r="BM153" s="9">
        <f t="shared" si="23"/>
        <v>77.11</v>
      </c>
      <c r="BN153" s="9">
        <f t="shared" si="24"/>
        <v>826.76</v>
      </c>
      <c r="BO153" s="9">
        <f t="shared" si="25"/>
        <v>3.09</v>
      </c>
      <c r="BP153" s="9">
        <f t="shared" si="26"/>
        <v>57</v>
      </c>
    </row>
    <row r="154" spans="1:68">
      <c r="A154" s="6">
        <v>44586</v>
      </c>
      <c r="B154" s="7">
        <v>3023</v>
      </c>
      <c r="C154" s="8"/>
      <c r="D154" s="8">
        <v>1600.28</v>
      </c>
      <c r="E154" s="8"/>
      <c r="F154" s="8"/>
      <c r="G154" s="8"/>
      <c r="H154" s="8"/>
      <c r="I154" s="8">
        <v>863.71</v>
      </c>
      <c r="J154" s="8"/>
      <c r="K154" s="8"/>
      <c r="L154" s="8"/>
      <c r="M154" s="8"/>
      <c r="N154" s="8">
        <v>13.78</v>
      </c>
      <c r="O154" s="8"/>
      <c r="P154" s="8"/>
      <c r="Q154" s="8"/>
      <c r="R154" s="8"/>
      <c r="S154" s="8">
        <v>3.94</v>
      </c>
      <c r="T154" s="8"/>
      <c r="U154" s="8"/>
      <c r="V154" s="8"/>
      <c r="W154" s="8">
        <v>22.26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>
        <v>24.82</v>
      </c>
      <c r="AN154" s="8">
        <v>17.39</v>
      </c>
      <c r="AO154" s="8"/>
      <c r="AP154" s="8"/>
      <c r="AQ154" s="8"/>
      <c r="AR154" s="8"/>
      <c r="AS154" s="8">
        <v>81.489999999999995</v>
      </c>
      <c r="AT154" s="8">
        <v>1009.34</v>
      </c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>
        <v>76.3</v>
      </c>
      <c r="BH154" s="9">
        <f t="shared" si="18"/>
        <v>2463.9899999999998</v>
      </c>
      <c r="BI154" s="9">
        <f t="shared" si="19"/>
        <v>13.78</v>
      </c>
      <c r="BJ154" s="9">
        <f t="shared" si="20"/>
        <v>3.94</v>
      </c>
      <c r="BK154" s="9">
        <f t="shared" si="21"/>
        <v>22.26</v>
      </c>
      <c r="BL154" s="9">
        <f t="shared" si="22"/>
        <v>0</v>
      </c>
      <c r="BM154" s="9">
        <f t="shared" si="23"/>
        <v>123.69999999999999</v>
      </c>
      <c r="BN154" s="9">
        <f t="shared" si="24"/>
        <v>1009.34</v>
      </c>
      <c r="BO154" s="9">
        <f t="shared" si="25"/>
        <v>0</v>
      </c>
      <c r="BP154" s="9">
        <f t="shared" si="26"/>
        <v>0</v>
      </c>
    </row>
    <row r="155" spans="1:68">
      <c r="A155" s="6">
        <v>44586</v>
      </c>
      <c r="B155" s="7">
        <v>3021</v>
      </c>
      <c r="C155" s="8"/>
      <c r="D155" s="8">
        <v>199.36</v>
      </c>
      <c r="E155" s="8"/>
      <c r="F155" s="8"/>
      <c r="G155" s="8"/>
      <c r="H155" s="8"/>
      <c r="I155" s="8">
        <v>370.49</v>
      </c>
      <c r="J155" s="8"/>
      <c r="K155" s="8"/>
      <c r="L155" s="8"/>
      <c r="M155" s="8"/>
      <c r="N155" s="8">
        <v>3.02</v>
      </c>
      <c r="O155" s="8"/>
      <c r="P155" s="8"/>
      <c r="Q155" s="8"/>
      <c r="R155" s="8"/>
      <c r="S155" s="8">
        <v>1.03</v>
      </c>
      <c r="T155" s="8"/>
      <c r="U155" s="8"/>
      <c r="V155" s="8"/>
      <c r="W155" s="8">
        <v>5.78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>
        <v>5.69</v>
      </c>
      <c r="AN155" s="8"/>
      <c r="AO155" s="8"/>
      <c r="AP155" s="8"/>
      <c r="AQ155" s="8"/>
      <c r="AR155" s="8"/>
      <c r="AS155" s="8">
        <v>14.29</v>
      </c>
      <c r="AT155" s="8">
        <v>268.44</v>
      </c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>
        <v>20.2</v>
      </c>
      <c r="BH155" s="9">
        <f t="shared" si="18"/>
        <v>569.85</v>
      </c>
      <c r="BI155" s="9">
        <f t="shared" si="19"/>
        <v>3.02</v>
      </c>
      <c r="BJ155" s="9">
        <f t="shared" si="20"/>
        <v>1.03</v>
      </c>
      <c r="BK155" s="9">
        <f t="shared" si="21"/>
        <v>5.78</v>
      </c>
      <c r="BL155" s="9">
        <f t="shared" si="22"/>
        <v>0</v>
      </c>
      <c r="BM155" s="9">
        <f t="shared" si="23"/>
        <v>19.98</v>
      </c>
      <c r="BN155" s="9">
        <f t="shared" si="24"/>
        <v>268.44</v>
      </c>
      <c r="BO155" s="9">
        <f t="shared" si="25"/>
        <v>0</v>
      </c>
      <c r="BP155" s="9">
        <f t="shared" si="26"/>
        <v>0</v>
      </c>
    </row>
    <row r="156" spans="1:68">
      <c r="A156" s="6">
        <v>44586</v>
      </c>
      <c r="B156" s="7">
        <v>3031</v>
      </c>
      <c r="C156" s="8"/>
      <c r="D156" s="8"/>
      <c r="E156" s="8"/>
      <c r="F156" s="8"/>
      <c r="G156" s="8"/>
      <c r="H156" s="8"/>
      <c r="I156" s="8">
        <v>651.82000000000005</v>
      </c>
      <c r="J156" s="8"/>
      <c r="K156" s="8"/>
      <c r="L156" s="8"/>
      <c r="M156" s="8"/>
      <c r="N156" s="8">
        <v>4.6399999999999997</v>
      </c>
      <c r="O156" s="8"/>
      <c r="P156" s="8"/>
      <c r="Q156" s="8"/>
      <c r="R156" s="8"/>
      <c r="S156" s="8">
        <v>0.45</v>
      </c>
      <c r="T156" s="8">
        <v>6.53</v>
      </c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>
        <v>9.84</v>
      </c>
      <c r="AJ156" s="8"/>
      <c r="AK156" s="8"/>
      <c r="AL156" s="8"/>
      <c r="AM156" s="8"/>
      <c r="AN156" s="8">
        <v>6.6</v>
      </c>
      <c r="AO156" s="8"/>
      <c r="AP156" s="8"/>
      <c r="AQ156" s="8"/>
      <c r="AR156" s="8">
        <v>19.670000000000002</v>
      </c>
      <c r="AS156" s="8"/>
      <c r="AT156" s="8">
        <v>310.17</v>
      </c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>
        <v>21.1</v>
      </c>
      <c r="BH156" s="9">
        <f t="shared" si="18"/>
        <v>651.82000000000005</v>
      </c>
      <c r="BI156" s="9">
        <f t="shared" si="19"/>
        <v>4.6399999999999997</v>
      </c>
      <c r="BJ156" s="9">
        <f t="shared" si="20"/>
        <v>0.45</v>
      </c>
      <c r="BK156" s="9">
        <f t="shared" si="21"/>
        <v>6.53</v>
      </c>
      <c r="BL156" s="9">
        <f t="shared" si="22"/>
        <v>0</v>
      </c>
      <c r="BM156" s="9">
        <f t="shared" si="23"/>
        <v>36.11</v>
      </c>
      <c r="BN156" s="9">
        <f t="shared" si="24"/>
        <v>310.17</v>
      </c>
      <c r="BO156" s="9">
        <f t="shared" si="25"/>
        <v>0</v>
      </c>
      <c r="BP156" s="9">
        <f t="shared" si="26"/>
        <v>0</v>
      </c>
    </row>
    <row r="157" spans="1:68">
      <c r="A157" s="6">
        <v>44586</v>
      </c>
      <c r="B157" s="7">
        <v>3113</v>
      </c>
      <c r="C157" s="8">
        <f>3031.67+331.54</f>
        <v>3363.21</v>
      </c>
      <c r="D157" s="8"/>
      <c r="E157" s="8"/>
      <c r="F157" s="8"/>
      <c r="G157" s="8"/>
      <c r="H157" s="8"/>
      <c r="I157" s="8"/>
      <c r="J157" s="8"/>
      <c r="K157" s="8"/>
      <c r="L157" s="8"/>
      <c r="M157" s="8">
        <f>3.04+0.34</f>
        <v>3.38</v>
      </c>
      <c r="N157" s="8">
        <f>3.04+0.33</f>
        <v>3.37</v>
      </c>
      <c r="O157" s="8"/>
      <c r="P157" s="8"/>
      <c r="Q157" s="8"/>
      <c r="R157" s="8"/>
      <c r="S157" s="8">
        <f>9.11+1</f>
        <v>10.11</v>
      </c>
      <c r="T157" s="8">
        <f>30.34+3.32</f>
        <v>33.659999999999997</v>
      </c>
      <c r="U157" s="8"/>
      <c r="V157" s="8"/>
      <c r="W157" s="8"/>
      <c r="X157" s="8"/>
      <c r="Y157" s="8"/>
      <c r="Z157" s="8"/>
      <c r="AA157" s="8"/>
      <c r="AB157" s="8"/>
      <c r="AC157" s="8">
        <f>12.13+1.33</f>
        <v>13.46</v>
      </c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>
        <f>1270.94+138.92</f>
        <v>1409.8600000000001</v>
      </c>
      <c r="AU157" s="8"/>
      <c r="AV157" s="8">
        <f>103.16+11.28</f>
        <v>114.44</v>
      </c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>
        <f>90.76+10</f>
        <v>100.76</v>
      </c>
      <c r="BH157" s="9">
        <f t="shared" si="18"/>
        <v>3363.21</v>
      </c>
      <c r="BI157" s="9">
        <f t="shared" si="19"/>
        <v>6.75</v>
      </c>
      <c r="BJ157" s="9">
        <f t="shared" si="20"/>
        <v>10.11</v>
      </c>
      <c r="BK157" s="9">
        <f t="shared" si="21"/>
        <v>33.659999999999997</v>
      </c>
      <c r="BL157" s="9">
        <f t="shared" si="22"/>
        <v>0</v>
      </c>
      <c r="BM157" s="9">
        <f t="shared" si="23"/>
        <v>13.46</v>
      </c>
      <c r="BN157" s="9">
        <f t="shared" si="24"/>
        <v>1409.8600000000001</v>
      </c>
      <c r="BO157" s="9">
        <f t="shared" si="25"/>
        <v>114.44</v>
      </c>
      <c r="BP157" s="9">
        <f t="shared" si="26"/>
        <v>0</v>
      </c>
    </row>
    <row r="158" spans="1:68">
      <c r="A158" s="6">
        <v>44586</v>
      </c>
      <c r="B158" s="7">
        <v>3079</v>
      </c>
      <c r="C158" s="8"/>
      <c r="D158" s="8"/>
      <c r="E158" s="8"/>
      <c r="F158" s="8">
        <v>479.29</v>
      </c>
      <c r="G158" s="8"/>
      <c r="H158" s="8"/>
      <c r="I158" s="8">
        <v>3871.39</v>
      </c>
      <c r="J158" s="8"/>
      <c r="K158" s="8"/>
      <c r="L158" s="8"/>
      <c r="M158" s="8"/>
      <c r="N158" s="8">
        <v>32.68</v>
      </c>
      <c r="O158" s="8"/>
      <c r="P158" s="8"/>
      <c r="Q158" s="8"/>
      <c r="R158" s="8"/>
      <c r="S158" s="8">
        <v>1.74</v>
      </c>
      <c r="T158" s="8">
        <v>43.6</v>
      </c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>
        <v>17.579999999999998</v>
      </c>
      <c r="AN158" s="8">
        <v>44.42</v>
      </c>
      <c r="AO158" s="8"/>
      <c r="AP158" s="8"/>
      <c r="AQ158" s="8"/>
      <c r="AR158" s="8">
        <v>109.08</v>
      </c>
      <c r="AS158" s="8"/>
      <c r="AT158" s="8">
        <v>1659.66</v>
      </c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>
        <v>119.72</v>
      </c>
      <c r="BH158" s="9">
        <f t="shared" si="18"/>
        <v>4350.68</v>
      </c>
      <c r="BI158" s="9">
        <f t="shared" si="19"/>
        <v>32.68</v>
      </c>
      <c r="BJ158" s="9">
        <f t="shared" si="20"/>
        <v>1.74</v>
      </c>
      <c r="BK158" s="9">
        <f t="shared" si="21"/>
        <v>43.6</v>
      </c>
      <c r="BL158" s="9">
        <f t="shared" si="22"/>
        <v>0</v>
      </c>
      <c r="BM158" s="9">
        <f t="shared" si="23"/>
        <v>171.07999999999998</v>
      </c>
      <c r="BN158" s="9">
        <f t="shared" si="24"/>
        <v>1659.66</v>
      </c>
      <c r="BO158" s="9">
        <f t="shared" si="25"/>
        <v>0</v>
      </c>
      <c r="BP158" s="9">
        <f t="shared" si="26"/>
        <v>0</v>
      </c>
    </row>
    <row r="159" spans="1:68">
      <c r="A159" s="6">
        <v>44586</v>
      </c>
      <c r="B159" s="7">
        <v>3016</v>
      </c>
      <c r="C159" s="8"/>
      <c r="D159" s="8">
        <v>2235.63</v>
      </c>
      <c r="E159" s="8"/>
      <c r="F159" s="8"/>
      <c r="G159" s="8"/>
      <c r="H159" s="8"/>
      <c r="I159" s="8">
        <v>2062.9</v>
      </c>
      <c r="J159" s="8"/>
      <c r="K159" s="8"/>
      <c r="L159" s="8"/>
      <c r="M159" s="8"/>
      <c r="N159" s="8">
        <v>25.83</v>
      </c>
      <c r="O159" s="8"/>
      <c r="P159" s="8"/>
      <c r="Q159" s="8"/>
      <c r="R159" s="8"/>
      <c r="S159" s="8">
        <v>3</v>
      </c>
      <c r="T159" s="8">
        <v>43.06</v>
      </c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>
        <v>17.36</v>
      </c>
      <c r="AN159" s="8">
        <v>52.07</v>
      </c>
      <c r="AO159" s="8"/>
      <c r="AP159" s="8"/>
      <c r="AQ159" s="8"/>
      <c r="AR159" s="8">
        <v>107.68</v>
      </c>
      <c r="AS159" s="8"/>
      <c r="AT159" s="8">
        <v>1597.59</v>
      </c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>
        <v>116.85</v>
      </c>
      <c r="BH159" s="9">
        <f t="shared" si="18"/>
        <v>4298.5300000000007</v>
      </c>
      <c r="BI159" s="9">
        <f t="shared" si="19"/>
        <v>25.83</v>
      </c>
      <c r="BJ159" s="9">
        <f t="shared" si="20"/>
        <v>3</v>
      </c>
      <c r="BK159" s="9">
        <f t="shared" si="21"/>
        <v>43.06</v>
      </c>
      <c r="BL159" s="9">
        <f t="shared" si="22"/>
        <v>0</v>
      </c>
      <c r="BM159" s="9">
        <f t="shared" si="23"/>
        <v>177.11</v>
      </c>
      <c r="BN159" s="9">
        <f t="shared" si="24"/>
        <v>1597.59</v>
      </c>
      <c r="BO159" s="9">
        <f t="shared" si="25"/>
        <v>0</v>
      </c>
      <c r="BP159" s="9">
        <f t="shared" si="26"/>
        <v>0</v>
      </c>
    </row>
    <row r="160" spans="1:68">
      <c r="A160" s="6">
        <v>44587</v>
      </c>
      <c r="B160" s="7">
        <v>3139</v>
      </c>
      <c r="C160" s="8">
        <v>1873.55</v>
      </c>
      <c r="D160" s="8"/>
      <c r="E160" s="8"/>
      <c r="F160" s="8"/>
      <c r="G160" s="8"/>
      <c r="H160" s="8">
        <v>778.73</v>
      </c>
      <c r="I160" s="8"/>
      <c r="J160" s="8"/>
      <c r="K160" s="8"/>
      <c r="L160" s="8"/>
      <c r="M160" s="8">
        <v>4.3899999999999997</v>
      </c>
      <c r="N160" s="8"/>
      <c r="O160" s="8"/>
      <c r="P160" s="8"/>
      <c r="Q160" s="8"/>
      <c r="R160" s="8"/>
      <c r="S160" s="8">
        <v>7.84</v>
      </c>
      <c r="T160" s="8">
        <v>27.65</v>
      </c>
      <c r="U160" s="8"/>
      <c r="V160" s="8"/>
      <c r="W160" s="8"/>
      <c r="X160" s="8"/>
      <c r="Y160" s="8"/>
      <c r="Z160" s="8"/>
      <c r="AA160" s="8"/>
      <c r="AB160" s="8"/>
      <c r="AC160" s="8">
        <v>9.2200000000000006</v>
      </c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>
        <v>1367.47</v>
      </c>
      <c r="AU160" s="8"/>
      <c r="AV160" s="8">
        <v>46.11</v>
      </c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>
        <v>99.16</v>
      </c>
      <c r="BH160" s="9">
        <f t="shared" si="18"/>
        <v>2652.2799999999997</v>
      </c>
      <c r="BI160" s="9">
        <f t="shared" si="19"/>
        <v>4.3899999999999997</v>
      </c>
      <c r="BJ160" s="9">
        <f t="shared" si="20"/>
        <v>7.84</v>
      </c>
      <c r="BK160" s="9">
        <f t="shared" si="21"/>
        <v>27.65</v>
      </c>
      <c r="BL160" s="9">
        <f t="shared" si="22"/>
        <v>0</v>
      </c>
      <c r="BM160" s="9">
        <f t="shared" si="23"/>
        <v>9.2200000000000006</v>
      </c>
      <c r="BN160" s="9">
        <f t="shared" si="24"/>
        <v>1367.47</v>
      </c>
      <c r="BO160" s="9">
        <f t="shared" si="25"/>
        <v>46.11</v>
      </c>
      <c r="BP160" s="9">
        <f t="shared" si="26"/>
        <v>0</v>
      </c>
    </row>
    <row r="161" spans="1:68">
      <c r="A161" s="6">
        <v>44587</v>
      </c>
      <c r="B161" s="7">
        <v>3203</v>
      </c>
      <c r="C161" s="8">
        <v>869.68</v>
      </c>
      <c r="D161" s="8"/>
      <c r="E161" s="8">
        <v>374.63</v>
      </c>
      <c r="F161" s="8"/>
      <c r="G161" s="8"/>
      <c r="H161" s="8"/>
      <c r="I161" s="8"/>
      <c r="J161" s="8"/>
      <c r="K161" s="8"/>
      <c r="L161" s="8"/>
      <c r="M161" s="8"/>
      <c r="N161" s="8"/>
      <c r="O161" s="8">
        <v>3.74</v>
      </c>
      <c r="P161" s="8"/>
      <c r="Q161" s="8"/>
      <c r="R161" s="8"/>
      <c r="S161" s="8">
        <v>4.8899999999999997</v>
      </c>
      <c r="T161" s="8"/>
      <c r="U161" s="8">
        <v>15.58</v>
      </c>
      <c r="V161" s="8"/>
      <c r="W161" s="8"/>
      <c r="X161" s="8"/>
      <c r="Y161" s="8"/>
      <c r="Z161" s="8">
        <v>197.28</v>
      </c>
      <c r="AA161" s="8">
        <v>154.9</v>
      </c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>
        <v>466.45</v>
      </c>
      <c r="AU161" s="8">
        <v>233.32</v>
      </c>
      <c r="AV161" s="8"/>
      <c r="AW161" s="8"/>
      <c r="AX161" s="8"/>
      <c r="AY161" s="8"/>
      <c r="AZ161" s="8"/>
      <c r="BA161" s="8"/>
      <c r="BB161" s="8"/>
      <c r="BC161" s="8">
        <v>3.26</v>
      </c>
      <c r="BD161" s="8"/>
      <c r="BE161" s="8"/>
      <c r="BF161" s="8"/>
      <c r="BG161" s="8">
        <v>45.23</v>
      </c>
      <c r="BH161" s="9">
        <f t="shared" si="18"/>
        <v>1244.31</v>
      </c>
      <c r="BI161" s="9">
        <f t="shared" si="19"/>
        <v>3.74</v>
      </c>
      <c r="BJ161" s="9">
        <f t="shared" si="20"/>
        <v>4.8899999999999997</v>
      </c>
      <c r="BK161" s="9">
        <f t="shared" si="21"/>
        <v>15.58</v>
      </c>
      <c r="BL161" s="9">
        <f t="shared" si="22"/>
        <v>352.18</v>
      </c>
      <c r="BM161" s="9">
        <f t="shared" si="23"/>
        <v>0</v>
      </c>
      <c r="BN161" s="9">
        <f t="shared" si="24"/>
        <v>699.77</v>
      </c>
      <c r="BO161" s="9">
        <f t="shared" si="25"/>
        <v>3.26</v>
      </c>
      <c r="BP161" s="9">
        <f t="shared" si="26"/>
        <v>0</v>
      </c>
    </row>
    <row r="162" spans="1:68">
      <c r="A162" s="6">
        <v>44587</v>
      </c>
      <c r="B162" s="7">
        <v>3307</v>
      </c>
      <c r="C162" s="8"/>
      <c r="D162" s="8">
        <v>1877.31</v>
      </c>
      <c r="E162" s="8"/>
      <c r="F162" s="8"/>
      <c r="G162" s="8"/>
      <c r="H162" s="8"/>
      <c r="I162" s="8"/>
      <c r="J162" s="8"/>
      <c r="K162" s="8"/>
      <c r="L162" s="8"/>
      <c r="M162" s="8">
        <v>2.82</v>
      </c>
      <c r="N162" s="8"/>
      <c r="O162" s="8"/>
      <c r="P162" s="8"/>
      <c r="Q162" s="8"/>
      <c r="R162" s="8"/>
      <c r="S162" s="8">
        <v>13.7</v>
      </c>
      <c r="T162" s="8">
        <v>18.77</v>
      </c>
      <c r="U162" s="8"/>
      <c r="V162" s="8"/>
      <c r="W162" s="8"/>
      <c r="X162" s="8"/>
      <c r="Y162" s="8"/>
      <c r="Z162" s="8"/>
      <c r="AA162" s="8"/>
      <c r="AB162" s="8"/>
      <c r="AC162" s="8">
        <v>11.27</v>
      </c>
      <c r="AD162" s="8"/>
      <c r="AE162" s="8"/>
      <c r="AF162" s="8"/>
      <c r="AG162" s="8">
        <v>18.79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>
        <v>940.44</v>
      </c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>
        <v>67.650000000000006</v>
      </c>
      <c r="BH162" s="9">
        <f t="shared" si="18"/>
        <v>1877.31</v>
      </c>
      <c r="BI162" s="9">
        <f t="shared" si="19"/>
        <v>2.82</v>
      </c>
      <c r="BJ162" s="9">
        <f t="shared" si="20"/>
        <v>13.7</v>
      </c>
      <c r="BK162" s="9">
        <f t="shared" si="21"/>
        <v>18.77</v>
      </c>
      <c r="BL162" s="9">
        <f t="shared" si="22"/>
        <v>0</v>
      </c>
      <c r="BM162" s="9">
        <f t="shared" si="23"/>
        <v>30.06</v>
      </c>
      <c r="BN162" s="9">
        <f t="shared" si="24"/>
        <v>940.44</v>
      </c>
      <c r="BO162" s="9">
        <f t="shared" si="25"/>
        <v>0</v>
      </c>
      <c r="BP162" s="9">
        <f t="shared" si="26"/>
        <v>0</v>
      </c>
    </row>
    <row r="163" spans="1:68">
      <c r="A163" s="6">
        <v>44587</v>
      </c>
      <c r="B163" s="7">
        <v>3204</v>
      </c>
      <c r="C163" s="8"/>
      <c r="D163" s="8">
        <v>1694.57</v>
      </c>
      <c r="E163" s="8">
        <v>725.56</v>
      </c>
      <c r="F163" s="8"/>
      <c r="G163" s="8"/>
      <c r="H163" s="8"/>
      <c r="I163" s="8"/>
      <c r="J163" s="8"/>
      <c r="K163" s="8"/>
      <c r="L163" s="8"/>
      <c r="M163" s="8"/>
      <c r="N163" s="8"/>
      <c r="O163" s="8">
        <v>12.09</v>
      </c>
      <c r="P163" s="8"/>
      <c r="Q163" s="8"/>
      <c r="R163" s="8"/>
      <c r="S163" s="8">
        <v>8.2200000000000006</v>
      </c>
      <c r="T163" s="8">
        <v>14.52</v>
      </c>
      <c r="U163" s="8">
        <v>12.11</v>
      </c>
      <c r="V163" s="8"/>
      <c r="W163" s="8"/>
      <c r="X163" s="8"/>
      <c r="Y163" s="8"/>
      <c r="Z163" s="8">
        <v>363.15</v>
      </c>
      <c r="AA163" s="8"/>
      <c r="AB163" s="8">
        <v>12.37</v>
      </c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>
        <v>1064.3499999999999</v>
      </c>
      <c r="AU163" s="8"/>
      <c r="AV163" s="8"/>
      <c r="AW163" s="8">
        <v>7.75</v>
      </c>
      <c r="AX163" s="8"/>
      <c r="AY163" s="8"/>
      <c r="AZ163" s="8"/>
      <c r="BA163" s="8"/>
      <c r="BB163" s="8"/>
      <c r="BC163" s="8"/>
      <c r="BD163" s="8"/>
      <c r="BE163" s="8"/>
      <c r="BF163" s="8"/>
      <c r="BG163" s="8">
        <v>78.67</v>
      </c>
      <c r="BH163" s="9">
        <f t="shared" si="18"/>
        <v>2420.13</v>
      </c>
      <c r="BI163" s="9">
        <f t="shared" si="19"/>
        <v>12.09</v>
      </c>
      <c r="BJ163" s="9">
        <f t="shared" si="20"/>
        <v>8.2200000000000006</v>
      </c>
      <c r="BK163" s="9">
        <f t="shared" si="21"/>
        <v>26.63</v>
      </c>
      <c r="BL163" s="9">
        <f t="shared" si="22"/>
        <v>363.15</v>
      </c>
      <c r="BM163" s="9">
        <f t="shared" si="23"/>
        <v>12.37</v>
      </c>
      <c r="BN163" s="9">
        <f t="shared" si="24"/>
        <v>1064.3499999999999</v>
      </c>
      <c r="BO163" s="9">
        <f t="shared" si="25"/>
        <v>7.75</v>
      </c>
      <c r="BP163" s="9">
        <f t="shared" si="26"/>
        <v>0</v>
      </c>
    </row>
    <row r="164" spans="1:68">
      <c r="A164" s="6">
        <v>44587</v>
      </c>
      <c r="B164" s="7">
        <v>3020</v>
      </c>
      <c r="C164" s="8"/>
      <c r="D164" s="8">
        <v>299.45</v>
      </c>
      <c r="E164" s="8"/>
      <c r="F164" s="8"/>
      <c r="G164" s="8"/>
      <c r="H164" s="8"/>
      <c r="I164" s="8">
        <v>1709.42</v>
      </c>
      <c r="J164" s="8"/>
      <c r="K164" s="8"/>
      <c r="L164" s="8"/>
      <c r="M164" s="8"/>
      <c r="N164" s="8">
        <v>12.12</v>
      </c>
      <c r="O164" s="8"/>
      <c r="P164" s="8"/>
      <c r="Q164" s="8"/>
      <c r="R164" s="8"/>
      <c r="S164" s="8">
        <v>3.63</v>
      </c>
      <c r="T164" s="8"/>
      <c r="U164" s="8"/>
      <c r="V164" s="8"/>
      <c r="W164" s="8">
        <v>20.420000000000002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>
        <v>19.71</v>
      </c>
      <c r="AN164" s="8"/>
      <c r="AO164" s="8"/>
      <c r="AP164" s="8"/>
      <c r="AQ164" s="8"/>
      <c r="AR164" s="8"/>
      <c r="AS164" s="8">
        <v>50.96</v>
      </c>
      <c r="AT164" s="8">
        <v>991.06</v>
      </c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72.62</v>
      </c>
      <c r="BH164" s="9">
        <f t="shared" si="18"/>
        <v>2008.8700000000001</v>
      </c>
      <c r="BI164" s="9">
        <f t="shared" si="19"/>
        <v>12.12</v>
      </c>
      <c r="BJ164" s="9">
        <f t="shared" si="20"/>
        <v>3.63</v>
      </c>
      <c r="BK164" s="9">
        <f t="shared" si="21"/>
        <v>20.420000000000002</v>
      </c>
      <c r="BL164" s="9">
        <f t="shared" si="22"/>
        <v>0</v>
      </c>
      <c r="BM164" s="9">
        <f t="shared" si="23"/>
        <v>70.67</v>
      </c>
      <c r="BN164" s="9">
        <f t="shared" si="24"/>
        <v>991.06</v>
      </c>
      <c r="BO164" s="9">
        <f t="shared" si="25"/>
        <v>0</v>
      </c>
      <c r="BP164" s="9">
        <f t="shared" si="26"/>
        <v>0</v>
      </c>
    </row>
    <row r="165" spans="1:68">
      <c r="A165" s="6">
        <v>44587</v>
      </c>
      <c r="B165" s="7">
        <v>3007</v>
      </c>
      <c r="C165" s="8">
        <v>803.75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>
        <v>0.8</v>
      </c>
      <c r="O165" s="8"/>
      <c r="P165" s="8"/>
      <c r="Q165" s="8"/>
      <c r="R165" s="8"/>
      <c r="S165" s="8">
        <v>2.97</v>
      </c>
      <c r="T165" s="8">
        <v>8.0500000000000007</v>
      </c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>
        <v>402.75</v>
      </c>
      <c r="AU165" s="8"/>
      <c r="AV165" s="8"/>
      <c r="AW165" s="8">
        <v>8.92</v>
      </c>
      <c r="AX165" s="8"/>
      <c r="AY165" s="8"/>
      <c r="AZ165" s="8"/>
      <c r="BA165" s="8"/>
      <c r="BB165" s="8"/>
      <c r="BC165" s="8"/>
      <c r="BD165" s="8"/>
      <c r="BE165" s="8"/>
      <c r="BF165" s="8"/>
      <c r="BG165" s="8">
        <v>29.3</v>
      </c>
      <c r="BH165" s="9">
        <f t="shared" si="18"/>
        <v>803.75</v>
      </c>
      <c r="BI165" s="9">
        <f t="shared" si="19"/>
        <v>0.8</v>
      </c>
      <c r="BJ165" s="9">
        <f t="shared" si="20"/>
        <v>2.97</v>
      </c>
      <c r="BK165" s="9">
        <f t="shared" si="21"/>
        <v>8.0500000000000007</v>
      </c>
      <c r="BL165" s="9">
        <f t="shared" si="22"/>
        <v>0</v>
      </c>
      <c r="BM165" s="9">
        <f t="shared" si="23"/>
        <v>0</v>
      </c>
      <c r="BN165" s="9">
        <f t="shared" si="24"/>
        <v>402.75</v>
      </c>
      <c r="BO165" s="9">
        <f t="shared" si="25"/>
        <v>8.92</v>
      </c>
      <c r="BP165" s="9">
        <f t="shared" si="26"/>
        <v>0</v>
      </c>
    </row>
    <row r="166" spans="1:68">
      <c r="A166" s="6">
        <v>44587</v>
      </c>
      <c r="B166" s="7">
        <v>3010</v>
      </c>
      <c r="C166" s="8">
        <v>620.04</v>
      </c>
      <c r="D166" s="8">
        <v>411.35</v>
      </c>
      <c r="E166" s="8"/>
      <c r="F166" s="8"/>
      <c r="G166" s="8"/>
      <c r="H166" s="8"/>
      <c r="I166" s="8"/>
      <c r="J166" s="8"/>
      <c r="K166" s="8"/>
      <c r="L166" s="8"/>
      <c r="M166" s="8"/>
      <c r="N166" s="8">
        <v>2.06</v>
      </c>
      <c r="O166" s="8"/>
      <c r="P166" s="8"/>
      <c r="Q166" s="8"/>
      <c r="R166" s="8"/>
      <c r="S166" s="8">
        <v>2.78</v>
      </c>
      <c r="T166" s="8">
        <v>10.3</v>
      </c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>
        <v>346.23</v>
      </c>
      <c r="AU166" s="8"/>
      <c r="AV166" s="8"/>
      <c r="AW166" s="8">
        <v>11.45</v>
      </c>
      <c r="AX166" s="8"/>
      <c r="AY166" s="8"/>
      <c r="AZ166" s="8"/>
      <c r="BA166" s="8"/>
      <c r="BB166" s="8"/>
      <c r="BC166" s="8"/>
      <c r="BD166" s="8"/>
      <c r="BE166" s="8"/>
      <c r="BF166" s="8"/>
      <c r="BG166" s="8">
        <v>22.78</v>
      </c>
      <c r="BH166" s="9">
        <f t="shared" si="18"/>
        <v>1031.3899999999999</v>
      </c>
      <c r="BI166" s="9">
        <f t="shared" si="19"/>
        <v>2.06</v>
      </c>
      <c r="BJ166" s="9">
        <f t="shared" si="20"/>
        <v>2.78</v>
      </c>
      <c r="BK166" s="9">
        <f t="shared" si="21"/>
        <v>10.3</v>
      </c>
      <c r="BL166" s="9">
        <f t="shared" si="22"/>
        <v>0</v>
      </c>
      <c r="BM166" s="9">
        <f t="shared" si="23"/>
        <v>0</v>
      </c>
      <c r="BN166" s="9">
        <f t="shared" si="24"/>
        <v>346.23</v>
      </c>
      <c r="BO166" s="9">
        <f t="shared" si="25"/>
        <v>11.45</v>
      </c>
      <c r="BP166" s="9">
        <f t="shared" si="26"/>
        <v>0</v>
      </c>
    </row>
    <row r="167" spans="1:68">
      <c r="A167" s="6">
        <v>44587</v>
      </c>
      <c r="B167" s="7">
        <v>3141</v>
      </c>
      <c r="C167" s="8">
        <v>2424.6999999999998</v>
      </c>
      <c r="D167" s="8">
        <v>426.16</v>
      </c>
      <c r="E167" s="8"/>
      <c r="F167" s="8"/>
      <c r="G167" s="8"/>
      <c r="H167" s="8"/>
      <c r="I167" s="8"/>
      <c r="J167" s="8"/>
      <c r="K167" s="8"/>
      <c r="L167" s="8"/>
      <c r="M167" s="8">
        <v>7.71</v>
      </c>
      <c r="N167" s="8"/>
      <c r="O167" s="8"/>
      <c r="P167" s="8"/>
      <c r="Q167" s="11"/>
      <c r="R167" s="11"/>
      <c r="S167" s="8">
        <v>12.87</v>
      </c>
      <c r="T167" s="8">
        <v>21.48</v>
      </c>
      <c r="U167" s="8">
        <v>21.45</v>
      </c>
      <c r="V167" s="8"/>
      <c r="W167" s="8"/>
      <c r="X167" s="8"/>
      <c r="Y167" s="8"/>
      <c r="Z167" s="8"/>
      <c r="AA167" s="8"/>
      <c r="AB167" s="8"/>
      <c r="AC167" s="8">
        <v>11.45</v>
      </c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11"/>
      <c r="AQ167" s="8"/>
      <c r="AR167" s="8"/>
      <c r="AS167" s="8"/>
      <c r="AT167" s="8">
        <v>1896.18</v>
      </c>
      <c r="AU167" s="8"/>
      <c r="AV167" s="8"/>
      <c r="AW167" s="8"/>
      <c r="AX167" s="8"/>
      <c r="AY167" s="8"/>
      <c r="AZ167" s="8"/>
      <c r="BA167" s="8">
        <v>65.59</v>
      </c>
      <c r="BB167" s="8"/>
      <c r="BC167" s="8"/>
      <c r="BD167" s="8"/>
      <c r="BE167" s="8"/>
      <c r="BF167" s="8">
        <v>199.85</v>
      </c>
      <c r="BG167" s="8">
        <v>148.6</v>
      </c>
      <c r="BH167" s="9">
        <f t="shared" si="18"/>
        <v>2850.8599999999997</v>
      </c>
      <c r="BI167" s="9">
        <f t="shared" si="19"/>
        <v>7.71</v>
      </c>
      <c r="BJ167" s="9">
        <f t="shared" si="20"/>
        <v>12.87</v>
      </c>
      <c r="BK167" s="9">
        <f t="shared" si="21"/>
        <v>42.93</v>
      </c>
      <c r="BL167" s="9">
        <f t="shared" si="22"/>
        <v>0</v>
      </c>
      <c r="BM167" s="9">
        <f t="shared" si="23"/>
        <v>11.45</v>
      </c>
      <c r="BN167" s="9">
        <f t="shared" si="24"/>
        <v>1896.18</v>
      </c>
      <c r="BO167" s="9">
        <f t="shared" si="25"/>
        <v>65.59</v>
      </c>
      <c r="BP167" s="9">
        <f t="shared" si="26"/>
        <v>199.85</v>
      </c>
    </row>
    <row r="168" spans="1:68">
      <c r="A168" s="6">
        <v>44587</v>
      </c>
      <c r="B168" s="7">
        <v>3106</v>
      </c>
      <c r="C168" s="8">
        <v>4134.18</v>
      </c>
      <c r="D168" s="8"/>
      <c r="E168" s="8"/>
      <c r="F168" s="8"/>
      <c r="G168" s="8"/>
      <c r="H168" s="8"/>
      <c r="I168" s="8"/>
      <c r="J168" s="8"/>
      <c r="K168" s="8"/>
      <c r="L168" s="8"/>
      <c r="M168" s="8">
        <v>11.16</v>
      </c>
      <c r="N168" s="8"/>
      <c r="O168" s="8"/>
      <c r="P168" s="8"/>
      <c r="Q168" s="11"/>
      <c r="R168" s="11"/>
      <c r="S168" s="8">
        <v>12.83</v>
      </c>
      <c r="T168" s="8">
        <v>52.48</v>
      </c>
      <c r="U168" s="8"/>
      <c r="V168" s="8"/>
      <c r="W168" s="8"/>
      <c r="X168" s="8"/>
      <c r="Y168" s="8"/>
      <c r="Z168" s="8"/>
      <c r="AA168" s="8"/>
      <c r="AB168" s="8"/>
      <c r="AC168" s="8">
        <v>16.55</v>
      </c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11"/>
      <c r="AQ168" s="8"/>
      <c r="AR168" s="8"/>
      <c r="AS168" s="8"/>
      <c r="AT168" s="8">
        <v>2367.34</v>
      </c>
      <c r="AU168" s="8"/>
      <c r="AV168" s="8"/>
      <c r="AW168" s="8"/>
      <c r="AX168" s="8">
        <v>5.18</v>
      </c>
      <c r="AY168" s="8"/>
      <c r="AZ168" s="8"/>
      <c r="BA168" s="8"/>
      <c r="BB168" s="8"/>
      <c r="BC168" s="8"/>
      <c r="BD168" s="8"/>
      <c r="BE168" s="8"/>
      <c r="BF168" s="8"/>
      <c r="BG168" s="8">
        <v>177.73</v>
      </c>
      <c r="BH168" s="9">
        <f t="shared" si="18"/>
        <v>4134.18</v>
      </c>
      <c r="BI168" s="9">
        <f t="shared" si="19"/>
        <v>11.16</v>
      </c>
      <c r="BJ168" s="9">
        <f t="shared" si="20"/>
        <v>12.83</v>
      </c>
      <c r="BK168" s="9">
        <f t="shared" si="21"/>
        <v>52.48</v>
      </c>
      <c r="BL168" s="9">
        <f t="shared" si="22"/>
        <v>0</v>
      </c>
      <c r="BM168" s="9">
        <f t="shared" si="23"/>
        <v>16.55</v>
      </c>
      <c r="BN168" s="9">
        <f t="shared" si="24"/>
        <v>2367.34</v>
      </c>
      <c r="BO168" s="9">
        <f t="shared" si="25"/>
        <v>5.18</v>
      </c>
      <c r="BP168" s="9">
        <f t="shared" si="26"/>
        <v>0</v>
      </c>
    </row>
    <row r="169" spans="1:68">
      <c r="A169" s="6">
        <v>44587</v>
      </c>
      <c r="B169" s="7">
        <v>3134</v>
      </c>
      <c r="C169" s="8">
        <v>1040.49</v>
      </c>
      <c r="D169" s="8">
        <v>146.29</v>
      </c>
      <c r="E169" s="8"/>
      <c r="F169" s="8"/>
      <c r="G169" s="8"/>
      <c r="H169" s="8">
        <v>491.95</v>
      </c>
      <c r="I169" s="8"/>
      <c r="J169" s="8"/>
      <c r="K169" s="8"/>
      <c r="L169" s="8"/>
      <c r="M169" s="8">
        <v>3.21</v>
      </c>
      <c r="N169" s="8"/>
      <c r="O169" s="8"/>
      <c r="P169" s="8"/>
      <c r="Q169" s="11"/>
      <c r="R169" s="11"/>
      <c r="S169" s="8">
        <v>6.57</v>
      </c>
      <c r="T169" s="8">
        <v>10.220000000000001</v>
      </c>
      <c r="U169" s="8">
        <v>8.75</v>
      </c>
      <c r="V169" s="8"/>
      <c r="W169" s="8"/>
      <c r="X169" s="8"/>
      <c r="Y169" s="8"/>
      <c r="Z169" s="8"/>
      <c r="AA169" s="8"/>
      <c r="AB169" s="8"/>
      <c r="AC169" s="8">
        <v>5.83</v>
      </c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11"/>
      <c r="AQ169" s="8"/>
      <c r="AR169" s="8"/>
      <c r="AS169" s="8"/>
      <c r="AT169" s="8">
        <v>1028.93</v>
      </c>
      <c r="AU169" s="8"/>
      <c r="AV169" s="8"/>
      <c r="AW169" s="8"/>
      <c r="AX169" s="8"/>
      <c r="AY169" s="8">
        <v>14.93</v>
      </c>
      <c r="AZ169" s="8"/>
      <c r="BA169" s="8"/>
      <c r="BB169" s="8"/>
      <c r="BC169" s="8"/>
      <c r="BD169" s="8"/>
      <c r="BE169" s="8"/>
      <c r="BF169" s="8">
        <v>65.75</v>
      </c>
      <c r="BG169" s="8">
        <v>77.53</v>
      </c>
      <c r="BH169" s="9">
        <f t="shared" si="18"/>
        <v>1678.73</v>
      </c>
      <c r="BI169" s="9">
        <f t="shared" si="19"/>
        <v>3.21</v>
      </c>
      <c r="BJ169" s="9">
        <f t="shared" si="20"/>
        <v>6.57</v>
      </c>
      <c r="BK169" s="9">
        <f t="shared" si="21"/>
        <v>18.97</v>
      </c>
      <c r="BL169" s="9">
        <f t="shared" si="22"/>
        <v>0</v>
      </c>
      <c r="BM169" s="9">
        <f t="shared" si="23"/>
        <v>5.83</v>
      </c>
      <c r="BN169" s="9">
        <f t="shared" si="24"/>
        <v>1028.93</v>
      </c>
      <c r="BO169" s="9">
        <f t="shared" si="25"/>
        <v>14.93</v>
      </c>
      <c r="BP169" s="9">
        <f t="shared" si="26"/>
        <v>65.75</v>
      </c>
    </row>
    <row r="170" spans="1:68">
      <c r="A170" s="6">
        <v>44588</v>
      </c>
      <c r="B170" s="7">
        <v>3310</v>
      </c>
      <c r="C170" s="8"/>
      <c r="D170" s="8">
        <v>2441.44</v>
      </c>
      <c r="E170" s="8"/>
      <c r="F170" s="8"/>
      <c r="G170" s="8"/>
      <c r="H170" s="8"/>
      <c r="I170" s="8"/>
      <c r="J170" s="8"/>
      <c r="K170" s="8"/>
      <c r="L170" s="8"/>
      <c r="M170" s="8">
        <v>2.92</v>
      </c>
      <c r="N170" s="8"/>
      <c r="O170" s="8"/>
      <c r="P170" s="8"/>
      <c r="Q170" s="11"/>
      <c r="R170" s="11"/>
      <c r="S170" s="8">
        <v>17.34</v>
      </c>
      <c r="T170" s="8">
        <v>21.98</v>
      </c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>
        <v>24.45</v>
      </c>
      <c r="AH170" s="8"/>
      <c r="AI170" s="8"/>
      <c r="AJ170" s="8"/>
      <c r="AK170" s="8"/>
      <c r="AL170" s="8"/>
      <c r="AM170" s="8"/>
      <c r="AN170" s="8"/>
      <c r="AO170" s="8"/>
      <c r="AP170" s="11"/>
      <c r="AQ170" s="8"/>
      <c r="AR170" s="8"/>
      <c r="AS170" s="8"/>
      <c r="AT170" s="8"/>
      <c r="AU170" s="8">
        <v>1053.6199999999999</v>
      </c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>
        <v>70.849999999999994</v>
      </c>
      <c r="BH170" s="9">
        <f t="shared" si="18"/>
        <v>2441.44</v>
      </c>
      <c r="BI170" s="9">
        <f t="shared" si="19"/>
        <v>2.92</v>
      </c>
      <c r="BJ170" s="9">
        <f t="shared" si="20"/>
        <v>17.34</v>
      </c>
      <c r="BK170" s="9">
        <f t="shared" si="21"/>
        <v>21.98</v>
      </c>
      <c r="BL170" s="9">
        <f t="shared" si="22"/>
        <v>0</v>
      </c>
      <c r="BM170" s="9">
        <f t="shared" si="23"/>
        <v>24.45</v>
      </c>
      <c r="BN170" s="9">
        <f t="shared" si="24"/>
        <v>1053.6199999999999</v>
      </c>
      <c r="BO170" s="9">
        <f t="shared" si="25"/>
        <v>0</v>
      </c>
      <c r="BP170" s="9">
        <f t="shared" si="26"/>
        <v>0</v>
      </c>
    </row>
    <row r="171" spans="1:68">
      <c r="A171" s="6">
        <v>44588</v>
      </c>
      <c r="B171" s="7">
        <v>3602</v>
      </c>
      <c r="C171" s="8">
        <v>603.89</v>
      </c>
      <c r="D171" s="8"/>
      <c r="E171" s="8"/>
      <c r="F171" s="8"/>
      <c r="G171" s="8">
        <v>905.57</v>
      </c>
      <c r="H171" s="8"/>
      <c r="I171" s="8"/>
      <c r="J171" s="8"/>
      <c r="K171" s="8"/>
      <c r="L171" s="8"/>
      <c r="M171" s="8">
        <v>1.6</v>
      </c>
      <c r="N171" s="8"/>
      <c r="O171" s="8"/>
      <c r="P171" s="8"/>
      <c r="Q171" s="8"/>
      <c r="R171" s="8"/>
      <c r="S171" s="8">
        <v>8.4600000000000009</v>
      </c>
      <c r="T171" s="8"/>
      <c r="U171" s="8">
        <v>4.84</v>
      </c>
      <c r="V171" s="8">
        <v>14.71</v>
      </c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>
        <v>629.95000000000005</v>
      </c>
      <c r="AU171" s="8"/>
      <c r="AV171" s="8"/>
      <c r="AW171" s="8">
        <v>39.090000000000003</v>
      </c>
      <c r="AX171" s="8"/>
      <c r="AY171" s="8"/>
      <c r="AZ171" s="8"/>
      <c r="BA171" s="8"/>
      <c r="BB171" s="8"/>
      <c r="BC171" s="8"/>
      <c r="BD171" s="8"/>
      <c r="BE171" s="8"/>
      <c r="BF171" s="8">
        <v>48.4</v>
      </c>
      <c r="BG171" s="8">
        <v>47.3</v>
      </c>
      <c r="BH171" s="9">
        <f t="shared" si="18"/>
        <v>1509.46</v>
      </c>
      <c r="BI171" s="9">
        <f t="shared" si="19"/>
        <v>1.6</v>
      </c>
      <c r="BJ171" s="9">
        <f t="shared" si="20"/>
        <v>8.4600000000000009</v>
      </c>
      <c r="BK171" s="9">
        <f t="shared" si="21"/>
        <v>19.55</v>
      </c>
      <c r="BL171" s="9">
        <f t="shared" si="22"/>
        <v>0</v>
      </c>
      <c r="BM171" s="9">
        <f t="shared" si="23"/>
        <v>0</v>
      </c>
      <c r="BN171" s="9">
        <f t="shared" si="24"/>
        <v>629.95000000000005</v>
      </c>
      <c r="BO171" s="9">
        <f t="shared" si="25"/>
        <v>39.090000000000003</v>
      </c>
      <c r="BP171" s="9">
        <f t="shared" si="26"/>
        <v>48.4</v>
      </c>
    </row>
    <row r="172" spans="1:68">
      <c r="A172" s="6">
        <v>44588</v>
      </c>
      <c r="B172" s="7">
        <v>3601</v>
      </c>
      <c r="C172" s="8">
        <v>301.8</v>
      </c>
      <c r="D172" s="8"/>
      <c r="E172" s="8"/>
      <c r="F172" s="8"/>
      <c r="G172" s="8">
        <v>452.25</v>
      </c>
      <c r="H172" s="8"/>
      <c r="I172" s="8"/>
      <c r="J172" s="8"/>
      <c r="K172" s="8"/>
      <c r="L172" s="8"/>
      <c r="M172" s="8">
        <v>0.9</v>
      </c>
      <c r="N172" s="8"/>
      <c r="O172" s="8"/>
      <c r="P172" s="8"/>
      <c r="Q172" s="8"/>
      <c r="R172" s="8"/>
      <c r="S172" s="8">
        <v>4.0199999999999996</v>
      </c>
      <c r="T172" s="8"/>
      <c r="U172" s="8">
        <v>4.53</v>
      </c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>
        <v>370.22</v>
      </c>
      <c r="AU172" s="8"/>
      <c r="AV172" s="8"/>
      <c r="AW172" s="8">
        <v>22.94</v>
      </c>
      <c r="AX172" s="8"/>
      <c r="AY172" s="8"/>
      <c r="AZ172" s="8"/>
      <c r="BA172" s="8"/>
      <c r="BB172" s="8"/>
      <c r="BC172" s="8"/>
      <c r="BD172" s="8"/>
      <c r="BE172" s="8"/>
      <c r="BF172" s="8">
        <v>42.16</v>
      </c>
      <c r="BG172" s="8">
        <v>28</v>
      </c>
      <c r="BH172" s="9">
        <f t="shared" si="18"/>
        <v>754.05</v>
      </c>
      <c r="BI172" s="9">
        <f t="shared" si="19"/>
        <v>0.9</v>
      </c>
      <c r="BJ172" s="9">
        <f t="shared" si="20"/>
        <v>4.0199999999999996</v>
      </c>
      <c r="BK172" s="9">
        <f t="shared" si="21"/>
        <v>4.53</v>
      </c>
      <c r="BL172" s="9">
        <f t="shared" si="22"/>
        <v>0</v>
      </c>
      <c r="BM172" s="9">
        <f t="shared" si="23"/>
        <v>0</v>
      </c>
      <c r="BN172" s="9">
        <f t="shared" si="24"/>
        <v>370.22</v>
      </c>
      <c r="BO172" s="9">
        <f t="shared" si="25"/>
        <v>22.94</v>
      </c>
      <c r="BP172" s="9">
        <f t="shared" si="26"/>
        <v>42.16</v>
      </c>
    </row>
    <row r="173" spans="1:68">
      <c r="A173" s="6">
        <v>44588</v>
      </c>
      <c r="B173" s="7">
        <v>3702</v>
      </c>
      <c r="C173" s="8">
        <v>425.75</v>
      </c>
      <c r="D173" s="8">
        <v>283.7</v>
      </c>
      <c r="E173" s="8"/>
      <c r="F173" s="8"/>
      <c r="G173" s="8"/>
      <c r="H173" s="8"/>
      <c r="I173" s="8"/>
      <c r="J173" s="8"/>
      <c r="K173" s="8"/>
      <c r="L173" s="8"/>
      <c r="M173" s="8">
        <v>1.41</v>
      </c>
      <c r="N173" s="8"/>
      <c r="O173" s="8"/>
      <c r="P173" s="8"/>
      <c r="Q173" s="8"/>
      <c r="R173" s="8"/>
      <c r="S173" s="8">
        <v>3.33</v>
      </c>
      <c r="T173" s="8"/>
      <c r="U173" s="8">
        <v>5.68</v>
      </c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>
        <v>172.97</v>
      </c>
      <c r="AU173" s="8">
        <v>86.54</v>
      </c>
      <c r="AV173" s="8"/>
      <c r="AW173" s="8">
        <v>1.55</v>
      </c>
      <c r="AX173" s="8"/>
      <c r="AY173" s="8"/>
      <c r="AZ173" s="8"/>
      <c r="BA173" s="8"/>
      <c r="BB173" s="8"/>
      <c r="BC173" s="8"/>
      <c r="BD173" s="8"/>
      <c r="BE173" s="8"/>
      <c r="BF173" s="8"/>
      <c r="BG173" s="8">
        <v>18.13</v>
      </c>
      <c r="BH173" s="9">
        <f t="shared" si="18"/>
        <v>709.45</v>
      </c>
      <c r="BI173" s="9">
        <f t="shared" si="19"/>
        <v>1.41</v>
      </c>
      <c r="BJ173" s="9">
        <f t="shared" si="20"/>
        <v>3.33</v>
      </c>
      <c r="BK173" s="9">
        <f t="shared" si="21"/>
        <v>5.68</v>
      </c>
      <c r="BL173" s="9">
        <f t="shared" si="22"/>
        <v>0</v>
      </c>
      <c r="BM173" s="9">
        <f t="shared" si="23"/>
        <v>0</v>
      </c>
      <c r="BN173" s="9">
        <f t="shared" si="24"/>
        <v>259.51</v>
      </c>
      <c r="BO173" s="9">
        <f t="shared" si="25"/>
        <v>1.55</v>
      </c>
      <c r="BP173" s="9">
        <f t="shared" si="26"/>
        <v>0</v>
      </c>
    </row>
    <row r="174" spans="1:68">
      <c r="A174" s="6">
        <v>44588</v>
      </c>
      <c r="B174" s="7">
        <v>3703</v>
      </c>
      <c r="C174" s="8">
        <v>431.57</v>
      </c>
      <c r="D174" s="8">
        <v>292.52999999999997</v>
      </c>
      <c r="E174" s="8"/>
      <c r="F174" s="8"/>
      <c r="G174" s="8"/>
      <c r="H174" s="8"/>
      <c r="I174" s="8"/>
      <c r="J174" s="8"/>
      <c r="K174" s="8"/>
      <c r="L174" s="8"/>
      <c r="M174" s="8">
        <v>1.46</v>
      </c>
      <c r="N174" s="8"/>
      <c r="O174" s="8"/>
      <c r="P174" s="8"/>
      <c r="Q174" s="11"/>
      <c r="R174" s="11"/>
      <c r="S174" s="8">
        <v>3.59</v>
      </c>
      <c r="T174" s="8"/>
      <c r="U174" s="8">
        <v>5.86</v>
      </c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>
        <v>14.65</v>
      </c>
      <c r="AL174" s="8"/>
      <c r="AM174" s="8"/>
      <c r="AN174" s="8"/>
      <c r="AO174" s="8"/>
      <c r="AP174" s="11"/>
      <c r="AQ174" s="8"/>
      <c r="AR174" s="8"/>
      <c r="AS174" s="8"/>
      <c r="AT174" s="8">
        <v>178.14</v>
      </c>
      <c r="AU174" s="8">
        <v>89.16</v>
      </c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>
        <v>18.62</v>
      </c>
      <c r="BH174" s="9">
        <f t="shared" si="18"/>
        <v>724.09999999999991</v>
      </c>
      <c r="BI174" s="9">
        <f t="shared" si="19"/>
        <v>1.46</v>
      </c>
      <c r="BJ174" s="9">
        <f t="shared" si="20"/>
        <v>3.59</v>
      </c>
      <c r="BK174" s="9">
        <f t="shared" si="21"/>
        <v>5.86</v>
      </c>
      <c r="BL174" s="9">
        <f t="shared" si="22"/>
        <v>0</v>
      </c>
      <c r="BM174" s="9">
        <f t="shared" si="23"/>
        <v>14.65</v>
      </c>
      <c r="BN174" s="9">
        <f t="shared" si="24"/>
        <v>267.29999999999995</v>
      </c>
      <c r="BO174" s="9">
        <f t="shared" si="25"/>
        <v>0</v>
      </c>
      <c r="BP174" s="9">
        <f t="shared" si="26"/>
        <v>0</v>
      </c>
    </row>
    <row r="175" spans="1:68">
      <c r="A175" s="6">
        <v>44588</v>
      </c>
      <c r="B175" s="7">
        <v>3083</v>
      </c>
      <c r="C175" s="8"/>
      <c r="D175" s="8">
        <v>701.42</v>
      </c>
      <c r="E175" s="8"/>
      <c r="F175" s="8"/>
      <c r="G175" s="8"/>
      <c r="H175" s="8"/>
      <c r="I175" s="8">
        <v>1638.85</v>
      </c>
      <c r="J175" s="8"/>
      <c r="K175" s="8"/>
      <c r="L175" s="8"/>
      <c r="M175" s="8"/>
      <c r="N175" s="8">
        <v>16.18</v>
      </c>
      <c r="O175" s="8"/>
      <c r="P175" s="8"/>
      <c r="Q175" s="11"/>
      <c r="R175" s="11"/>
      <c r="S175" s="8">
        <v>1.63</v>
      </c>
      <c r="T175" s="8">
        <v>18.79</v>
      </c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>
        <v>9.5399999999999991</v>
      </c>
      <c r="AN175" s="8">
        <v>33.06</v>
      </c>
      <c r="AO175" s="8"/>
      <c r="AP175" s="11"/>
      <c r="AQ175" s="8"/>
      <c r="AR175" s="8">
        <v>59.08</v>
      </c>
      <c r="AS175" s="8"/>
      <c r="AT175" s="8">
        <v>1062.6300000000001</v>
      </c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>
        <v>83.87</v>
      </c>
      <c r="BH175" s="9">
        <f t="shared" si="18"/>
        <v>2340.27</v>
      </c>
      <c r="BI175" s="9">
        <f t="shared" si="19"/>
        <v>16.18</v>
      </c>
      <c r="BJ175" s="9">
        <f t="shared" si="20"/>
        <v>1.63</v>
      </c>
      <c r="BK175" s="9">
        <f t="shared" si="21"/>
        <v>18.79</v>
      </c>
      <c r="BL175" s="9">
        <f t="shared" si="22"/>
        <v>0</v>
      </c>
      <c r="BM175" s="9">
        <f t="shared" si="23"/>
        <v>101.68</v>
      </c>
      <c r="BN175" s="9">
        <f t="shared" si="24"/>
        <v>1062.6300000000001</v>
      </c>
      <c r="BO175" s="9">
        <f t="shared" si="25"/>
        <v>0</v>
      </c>
      <c r="BP175" s="9">
        <f t="shared" si="26"/>
        <v>0</v>
      </c>
    </row>
    <row r="176" spans="1:68">
      <c r="A176" s="6">
        <v>44588</v>
      </c>
      <c r="B176" s="7">
        <v>3016</v>
      </c>
      <c r="C176" s="8"/>
      <c r="D176" s="8">
        <v>2221.7399999999998</v>
      </c>
      <c r="E176" s="8"/>
      <c r="F176" s="8"/>
      <c r="G176" s="8"/>
      <c r="H176" s="8"/>
      <c r="I176" s="8">
        <v>2048.6</v>
      </c>
      <c r="J176" s="8"/>
      <c r="K176" s="8"/>
      <c r="L176" s="8"/>
      <c r="M176" s="8"/>
      <c r="N176" s="8">
        <v>25.61</v>
      </c>
      <c r="O176" s="8"/>
      <c r="P176" s="8"/>
      <c r="Q176" s="11"/>
      <c r="R176" s="11"/>
      <c r="S176" s="8">
        <v>3</v>
      </c>
      <c r="T176" s="8">
        <v>42.84</v>
      </c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>
        <v>17.38</v>
      </c>
      <c r="AN176" s="8">
        <v>51.42</v>
      </c>
      <c r="AO176" s="8"/>
      <c r="AP176" s="11"/>
      <c r="AQ176" s="8"/>
      <c r="AR176" s="8">
        <v>107.16</v>
      </c>
      <c r="AS176" s="8"/>
      <c r="AT176" s="8">
        <v>1586.94</v>
      </c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>
        <v>116.44</v>
      </c>
      <c r="BH176" s="9">
        <f t="shared" si="18"/>
        <v>4270.34</v>
      </c>
      <c r="BI176" s="9">
        <f t="shared" si="19"/>
        <v>25.61</v>
      </c>
      <c r="BJ176" s="9">
        <f t="shared" si="20"/>
        <v>3</v>
      </c>
      <c r="BK176" s="9">
        <f t="shared" si="21"/>
        <v>42.84</v>
      </c>
      <c r="BL176" s="9">
        <f t="shared" si="22"/>
        <v>0</v>
      </c>
      <c r="BM176" s="9">
        <f t="shared" si="23"/>
        <v>175.95999999999998</v>
      </c>
      <c r="BN176" s="9">
        <f t="shared" si="24"/>
        <v>1586.94</v>
      </c>
      <c r="BO176" s="9">
        <f t="shared" si="25"/>
        <v>0</v>
      </c>
      <c r="BP176" s="9">
        <f t="shared" si="26"/>
        <v>0</v>
      </c>
    </row>
    <row r="177" spans="1:68">
      <c r="A177" s="6">
        <v>44588</v>
      </c>
      <c r="B177" s="7">
        <v>3141</v>
      </c>
      <c r="C177" s="8">
        <v>2428.73</v>
      </c>
      <c r="D177" s="8">
        <v>428.7</v>
      </c>
      <c r="E177" s="8"/>
      <c r="F177" s="8"/>
      <c r="G177" s="8"/>
      <c r="H177" s="8"/>
      <c r="I177" s="8"/>
      <c r="J177" s="8"/>
      <c r="K177" s="8"/>
      <c r="L177" s="8"/>
      <c r="M177" s="8">
        <v>7.11</v>
      </c>
      <c r="N177" s="8"/>
      <c r="O177" s="8"/>
      <c r="P177" s="8"/>
      <c r="Q177" s="11"/>
      <c r="R177" s="11"/>
      <c r="S177" s="8">
        <v>13.45</v>
      </c>
      <c r="T177" s="8">
        <v>21.47</v>
      </c>
      <c r="U177" s="8">
        <v>21.46</v>
      </c>
      <c r="V177" s="8"/>
      <c r="W177" s="8"/>
      <c r="X177" s="8"/>
      <c r="Y177" s="8"/>
      <c r="Z177" s="8"/>
      <c r="AA177" s="8"/>
      <c r="AB177" s="8"/>
      <c r="AC177" s="8">
        <v>11.43</v>
      </c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11"/>
      <c r="AQ177" s="8"/>
      <c r="AR177" s="8"/>
      <c r="AS177" s="8"/>
      <c r="AT177" s="8">
        <v>1892.16</v>
      </c>
      <c r="AU177" s="8"/>
      <c r="AV177" s="8"/>
      <c r="AW177" s="8"/>
      <c r="AX177" s="8"/>
      <c r="AY177" s="8"/>
      <c r="AZ177" s="8"/>
      <c r="BA177" s="8">
        <v>65.540000000000006</v>
      </c>
      <c r="BB177" s="8"/>
      <c r="BC177" s="8"/>
      <c r="BD177" s="8"/>
      <c r="BE177" s="8"/>
      <c r="BF177" s="8">
        <v>199.92</v>
      </c>
      <c r="BG177" s="8">
        <v>148.16999999999999</v>
      </c>
      <c r="BH177" s="9">
        <f t="shared" si="18"/>
        <v>2857.43</v>
      </c>
      <c r="BI177" s="9">
        <f t="shared" si="19"/>
        <v>7.11</v>
      </c>
      <c r="BJ177" s="9">
        <f t="shared" si="20"/>
        <v>13.45</v>
      </c>
      <c r="BK177" s="9">
        <f t="shared" si="21"/>
        <v>42.93</v>
      </c>
      <c r="BL177" s="9">
        <f t="shared" si="22"/>
        <v>0</v>
      </c>
      <c r="BM177" s="9">
        <f t="shared" si="23"/>
        <v>11.43</v>
      </c>
      <c r="BN177" s="9">
        <f t="shared" si="24"/>
        <v>1892.16</v>
      </c>
      <c r="BO177" s="9">
        <f t="shared" si="25"/>
        <v>65.540000000000006</v>
      </c>
      <c r="BP177" s="9">
        <f t="shared" si="26"/>
        <v>199.92</v>
      </c>
    </row>
    <row r="178" spans="1:68">
      <c r="A178" s="6">
        <v>44588</v>
      </c>
      <c r="B178" s="7">
        <v>3135</v>
      </c>
      <c r="C178" s="8">
        <v>1042.0999999999999</v>
      </c>
      <c r="D178" s="8">
        <v>145.93</v>
      </c>
      <c r="E178" s="8"/>
      <c r="F178" s="8"/>
      <c r="G178" s="8"/>
      <c r="H178" s="8">
        <v>493.14</v>
      </c>
      <c r="I178" s="8"/>
      <c r="J178" s="8"/>
      <c r="K178" s="8"/>
      <c r="L178" s="8"/>
      <c r="M178" s="8">
        <v>3.23</v>
      </c>
      <c r="N178" s="8"/>
      <c r="O178" s="8"/>
      <c r="P178" s="8"/>
      <c r="Q178" s="8"/>
      <c r="R178" s="8"/>
      <c r="S178" s="8">
        <v>6.73</v>
      </c>
      <c r="T178" s="8">
        <v>10.24</v>
      </c>
      <c r="U178" s="8">
        <v>8.77</v>
      </c>
      <c r="V178" s="8"/>
      <c r="W178" s="8"/>
      <c r="X178" s="8"/>
      <c r="Y178" s="8"/>
      <c r="Z178" s="8"/>
      <c r="AA178" s="8"/>
      <c r="AB178" s="8"/>
      <c r="AC178" s="8">
        <v>5.85</v>
      </c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>
        <v>1032.1600000000001</v>
      </c>
      <c r="AU178" s="8"/>
      <c r="AV178" s="8"/>
      <c r="AW178" s="8"/>
      <c r="AX178" s="8"/>
      <c r="AY178" s="8"/>
      <c r="AZ178" s="8"/>
      <c r="BA178" s="8">
        <v>33.35</v>
      </c>
      <c r="BB178" s="8"/>
      <c r="BC178" s="8"/>
      <c r="BD178" s="8"/>
      <c r="BE178" s="8"/>
      <c r="BF178" s="8">
        <v>65.849999999999994</v>
      </c>
      <c r="BG178" s="8">
        <v>77.44</v>
      </c>
      <c r="BH178" s="9">
        <f t="shared" si="18"/>
        <v>1681.17</v>
      </c>
      <c r="BI178" s="9">
        <f t="shared" si="19"/>
        <v>3.23</v>
      </c>
      <c r="BJ178" s="9">
        <f t="shared" si="20"/>
        <v>6.73</v>
      </c>
      <c r="BK178" s="9">
        <f t="shared" si="21"/>
        <v>19.009999999999998</v>
      </c>
      <c r="BL178" s="9">
        <f t="shared" si="22"/>
        <v>0</v>
      </c>
      <c r="BM178" s="9">
        <f t="shared" si="23"/>
        <v>5.85</v>
      </c>
      <c r="BN178" s="9">
        <f t="shared" si="24"/>
        <v>1032.1600000000001</v>
      </c>
      <c r="BO178" s="9">
        <f t="shared" si="25"/>
        <v>33.35</v>
      </c>
      <c r="BP178" s="9">
        <f t="shared" si="26"/>
        <v>65.849999999999994</v>
      </c>
    </row>
    <row r="179" spans="1:68">
      <c r="A179" s="6">
        <v>44589</v>
      </c>
      <c r="B179" s="7">
        <v>3029</v>
      </c>
      <c r="C179" s="8"/>
      <c r="D179" s="8">
        <v>455.59</v>
      </c>
      <c r="E179" s="8"/>
      <c r="F179" s="8">
        <v>319.23</v>
      </c>
      <c r="G179" s="8"/>
      <c r="H179" s="8"/>
      <c r="I179" s="8">
        <v>1887.47</v>
      </c>
      <c r="J179" s="8"/>
      <c r="K179" s="8"/>
      <c r="L179" s="8"/>
      <c r="M179" s="8"/>
      <c r="N179" s="8">
        <v>20.22</v>
      </c>
      <c r="O179" s="8"/>
      <c r="P179" s="8"/>
      <c r="Q179" s="8"/>
      <c r="R179" s="8"/>
      <c r="S179" s="8">
        <v>1.59</v>
      </c>
      <c r="T179" s="8"/>
      <c r="U179" s="8"/>
      <c r="V179" s="8"/>
      <c r="W179" s="8">
        <v>27.06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>
        <v>9.4700000000000006</v>
      </c>
      <c r="AN179" s="8">
        <v>13.53</v>
      </c>
      <c r="AO179" s="8"/>
      <c r="AP179" s="8"/>
      <c r="AQ179" s="8"/>
      <c r="AR179" s="8">
        <v>80.02</v>
      </c>
      <c r="AS179" s="8"/>
      <c r="AT179" s="8">
        <v>1008.86</v>
      </c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>
        <v>70.290000000000006</v>
      </c>
      <c r="BH179" s="9">
        <f t="shared" si="18"/>
        <v>2662.29</v>
      </c>
      <c r="BI179" s="9">
        <f t="shared" si="19"/>
        <v>20.22</v>
      </c>
      <c r="BJ179" s="9">
        <f t="shared" si="20"/>
        <v>1.59</v>
      </c>
      <c r="BK179" s="9">
        <f t="shared" si="21"/>
        <v>27.06</v>
      </c>
      <c r="BL179" s="9">
        <f t="shared" si="22"/>
        <v>0</v>
      </c>
      <c r="BM179" s="9">
        <f t="shared" si="23"/>
        <v>103.02</v>
      </c>
      <c r="BN179" s="9">
        <f t="shared" si="24"/>
        <v>1008.86</v>
      </c>
      <c r="BO179" s="9">
        <f t="shared" si="25"/>
        <v>0</v>
      </c>
      <c r="BP179" s="9">
        <f t="shared" si="26"/>
        <v>0</v>
      </c>
    </row>
    <row r="180" spans="1:68">
      <c r="A180" s="6">
        <v>44589</v>
      </c>
      <c r="B180" s="7">
        <v>3079</v>
      </c>
      <c r="C180" s="8"/>
      <c r="D180" s="8"/>
      <c r="E180" s="8"/>
      <c r="F180" s="8">
        <v>321.33999999999997</v>
      </c>
      <c r="G180" s="8"/>
      <c r="H180" s="8"/>
      <c r="I180" s="8">
        <v>2600.58</v>
      </c>
      <c r="J180" s="8"/>
      <c r="K180" s="8"/>
      <c r="L180" s="8"/>
      <c r="M180" s="8"/>
      <c r="N180" s="8">
        <v>21.94</v>
      </c>
      <c r="O180" s="8"/>
      <c r="P180" s="8"/>
      <c r="Q180" s="8"/>
      <c r="R180" s="8"/>
      <c r="S180" s="8">
        <v>1.17</v>
      </c>
      <c r="T180" s="8">
        <v>29.28</v>
      </c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>
        <v>11.68</v>
      </c>
      <c r="AN180" s="8">
        <v>29.67</v>
      </c>
      <c r="AO180" s="8"/>
      <c r="AP180" s="8"/>
      <c r="AQ180" s="8"/>
      <c r="AR180" s="8">
        <v>73.27</v>
      </c>
      <c r="AS180" s="8"/>
      <c r="AT180" s="8">
        <v>1110.98</v>
      </c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>
        <v>80.41</v>
      </c>
      <c r="BH180" s="9">
        <f t="shared" si="18"/>
        <v>2921.92</v>
      </c>
      <c r="BI180" s="9">
        <f t="shared" si="19"/>
        <v>21.94</v>
      </c>
      <c r="BJ180" s="9">
        <f t="shared" si="20"/>
        <v>1.17</v>
      </c>
      <c r="BK180" s="9">
        <f t="shared" si="21"/>
        <v>29.28</v>
      </c>
      <c r="BL180" s="9">
        <f t="shared" si="22"/>
        <v>0</v>
      </c>
      <c r="BM180" s="9">
        <f t="shared" si="23"/>
        <v>114.62</v>
      </c>
      <c r="BN180" s="9">
        <f t="shared" si="24"/>
        <v>1110.98</v>
      </c>
      <c r="BO180" s="9">
        <f t="shared" si="25"/>
        <v>0</v>
      </c>
      <c r="BP180" s="9">
        <f t="shared" si="26"/>
        <v>0</v>
      </c>
    </row>
    <row r="181" spans="1:68">
      <c r="A181" s="6">
        <v>44589</v>
      </c>
      <c r="B181" s="7">
        <v>3141</v>
      </c>
      <c r="C181" s="8">
        <v>2410.4299999999998</v>
      </c>
      <c r="D181" s="8">
        <v>426.06</v>
      </c>
      <c r="E181" s="8"/>
      <c r="F181" s="8"/>
      <c r="G181" s="8"/>
      <c r="H181" s="8"/>
      <c r="I181" s="8"/>
      <c r="J181" s="8"/>
      <c r="K181" s="8"/>
      <c r="L181" s="8"/>
      <c r="M181" s="8">
        <v>7.06</v>
      </c>
      <c r="N181" s="8"/>
      <c r="O181" s="8"/>
      <c r="P181" s="8"/>
      <c r="Q181" s="8"/>
      <c r="R181" s="8"/>
      <c r="S181" s="8">
        <v>13.36</v>
      </c>
      <c r="T181" s="8">
        <v>21.32</v>
      </c>
      <c r="U181" s="8">
        <v>21.31</v>
      </c>
      <c r="V181" s="8"/>
      <c r="W181" s="8"/>
      <c r="X181" s="8"/>
      <c r="Y181" s="8"/>
      <c r="Z181" s="8"/>
      <c r="AA181" s="8"/>
      <c r="AB181" s="8"/>
      <c r="AC181" s="8">
        <v>11.36</v>
      </c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>
        <v>1887.34</v>
      </c>
      <c r="AU181" s="8"/>
      <c r="AV181" s="8"/>
      <c r="AW181" s="8"/>
      <c r="AX181" s="8"/>
      <c r="AY181" s="8"/>
      <c r="AZ181" s="8"/>
      <c r="BA181" s="8">
        <v>65.17</v>
      </c>
      <c r="BB181" s="8"/>
      <c r="BC181" s="8"/>
      <c r="BD181" s="8"/>
      <c r="BE181" s="8"/>
      <c r="BF181" s="8">
        <v>198.65</v>
      </c>
      <c r="BG181" s="8">
        <v>147.5</v>
      </c>
      <c r="BH181" s="9">
        <f t="shared" si="18"/>
        <v>2836.49</v>
      </c>
      <c r="BI181" s="9">
        <f t="shared" si="19"/>
        <v>7.06</v>
      </c>
      <c r="BJ181" s="9">
        <f t="shared" si="20"/>
        <v>13.36</v>
      </c>
      <c r="BK181" s="9">
        <f t="shared" si="21"/>
        <v>42.629999999999995</v>
      </c>
      <c r="BL181" s="9">
        <f t="shared" si="22"/>
        <v>0</v>
      </c>
      <c r="BM181" s="9">
        <f t="shared" si="23"/>
        <v>11.36</v>
      </c>
      <c r="BN181" s="9">
        <f t="shared" si="24"/>
        <v>1887.34</v>
      </c>
      <c r="BO181" s="9">
        <f t="shared" si="25"/>
        <v>65.17</v>
      </c>
      <c r="BP181" s="9">
        <f t="shared" si="26"/>
        <v>198.65</v>
      </c>
    </row>
    <row r="182" spans="1:68">
      <c r="A182" s="6">
        <v>44589</v>
      </c>
      <c r="B182" s="7">
        <v>3112</v>
      </c>
      <c r="C182" s="8">
        <v>1602.79</v>
      </c>
      <c r="D182" s="8"/>
      <c r="E182" s="8"/>
      <c r="F182" s="8"/>
      <c r="G182" s="8"/>
      <c r="H182" s="8"/>
      <c r="I182" s="8"/>
      <c r="J182" s="8"/>
      <c r="K182" s="8"/>
      <c r="L182" s="8"/>
      <c r="M182" s="8">
        <v>1.63</v>
      </c>
      <c r="N182" s="8">
        <v>1.6</v>
      </c>
      <c r="O182" s="8"/>
      <c r="P182" s="8"/>
      <c r="Q182" s="8"/>
      <c r="R182" s="8"/>
      <c r="S182" s="8">
        <v>5.05</v>
      </c>
      <c r="T182" s="8">
        <v>16.28</v>
      </c>
      <c r="U182" s="8"/>
      <c r="V182" s="8"/>
      <c r="W182" s="8"/>
      <c r="X182" s="8"/>
      <c r="Y182" s="8"/>
      <c r="Z182" s="8"/>
      <c r="AA182" s="8"/>
      <c r="AB182" s="8"/>
      <c r="AC182" s="8">
        <v>6.42</v>
      </c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>
        <v>674.57</v>
      </c>
      <c r="AU182" s="8"/>
      <c r="AV182" s="8"/>
      <c r="AW182" s="8"/>
      <c r="AX182" s="8"/>
      <c r="AY182" s="8"/>
      <c r="AZ182" s="8"/>
      <c r="BA182" s="8">
        <v>21.22</v>
      </c>
      <c r="BB182" s="8"/>
      <c r="BC182" s="8"/>
      <c r="BD182" s="8"/>
      <c r="BE182" s="8"/>
      <c r="BF182" s="8"/>
      <c r="BG182" s="8">
        <v>16.28</v>
      </c>
      <c r="BH182" s="9">
        <f t="shared" si="18"/>
        <v>1602.79</v>
      </c>
      <c r="BI182" s="9">
        <f t="shared" si="19"/>
        <v>3.23</v>
      </c>
      <c r="BJ182" s="9">
        <f t="shared" si="20"/>
        <v>5.05</v>
      </c>
      <c r="BK182" s="9">
        <f t="shared" si="21"/>
        <v>16.28</v>
      </c>
      <c r="BL182" s="9">
        <f t="shared" si="22"/>
        <v>0</v>
      </c>
      <c r="BM182" s="9">
        <f t="shared" si="23"/>
        <v>6.42</v>
      </c>
      <c r="BN182" s="9">
        <f t="shared" si="24"/>
        <v>674.57</v>
      </c>
      <c r="BO182" s="9">
        <f t="shared" si="25"/>
        <v>21.22</v>
      </c>
      <c r="BP182" s="9">
        <f t="shared" si="26"/>
        <v>0</v>
      </c>
    </row>
    <row r="183" spans="1:68">
      <c r="A183" s="6">
        <v>44589</v>
      </c>
      <c r="B183" s="7">
        <v>3104</v>
      </c>
      <c r="C183" s="8">
        <v>1492.62</v>
      </c>
      <c r="D183" s="8"/>
      <c r="E183" s="8"/>
      <c r="F183" s="8"/>
      <c r="G183" s="8"/>
      <c r="H183" s="8">
        <v>385.99</v>
      </c>
      <c r="I183" s="8"/>
      <c r="J183" s="8"/>
      <c r="K183" s="8"/>
      <c r="L183" s="8"/>
      <c r="M183" s="8">
        <v>3.92</v>
      </c>
      <c r="N183" s="8"/>
      <c r="O183" s="8"/>
      <c r="P183" s="8"/>
      <c r="Q183" s="8"/>
      <c r="R183" s="8"/>
      <c r="S183" s="8">
        <v>7.86</v>
      </c>
      <c r="T183" s="8">
        <v>13.74</v>
      </c>
      <c r="U183" s="8">
        <v>5.98</v>
      </c>
      <c r="V183" s="8"/>
      <c r="W183" s="8"/>
      <c r="X183" s="8"/>
      <c r="Y183" s="8"/>
      <c r="Z183" s="8"/>
      <c r="AA183" s="8"/>
      <c r="AB183" s="8"/>
      <c r="AC183" s="8">
        <v>6.84</v>
      </c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>
        <v>1094.32</v>
      </c>
      <c r="AU183" s="8"/>
      <c r="AV183" s="8"/>
      <c r="AW183" s="8"/>
      <c r="AX183" s="8"/>
      <c r="AY183" s="8"/>
      <c r="AZ183" s="8"/>
      <c r="BA183" s="8">
        <v>38.94</v>
      </c>
      <c r="BB183" s="8"/>
      <c r="BC183" s="8"/>
      <c r="BD183" s="8"/>
      <c r="BE183" s="8"/>
      <c r="BF183" s="8">
        <v>34.35</v>
      </c>
      <c r="BG183" s="8">
        <v>84.58</v>
      </c>
      <c r="BH183" s="9">
        <f t="shared" si="18"/>
        <v>1878.61</v>
      </c>
      <c r="BI183" s="9">
        <f t="shared" si="19"/>
        <v>3.92</v>
      </c>
      <c r="BJ183" s="9">
        <f t="shared" si="20"/>
        <v>7.86</v>
      </c>
      <c r="BK183" s="9">
        <f t="shared" si="21"/>
        <v>19.72</v>
      </c>
      <c r="BL183" s="9">
        <f t="shared" si="22"/>
        <v>0</v>
      </c>
      <c r="BM183" s="9">
        <f t="shared" si="23"/>
        <v>6.84</v>
      </c>
      <c r="BN183" s="9">
        <f t="shared" si="24"/>
        <v>1094.32</v>
      </c>
      <c r="BO183" s="9">
        <f t="shared" si="25"/>
        <v>38.94</v>
      </c>
      <c r="BP183" s="9">
        <f t="shared" si="26"/>
        <v>34.35</v>
      </c>
    </row>
    <row r="184" spans="1:68">
      <c r="A184" s="6">
        <v>44589</v>
      </c>
      <c r="B184" s="7">
        <v>3134</v>
      </c>
      <c r="C184" s="8">
        <v>1038.32</v>
      </c>
      <c r="D184" s="8">
        <v>145.44999999999999</v>
      </c>
      <c r="E184" s="8"/>
      <c r="F184" s="8"/>
      <c r="G184" s="8"/>
      <c r="H184" s="8">
        <v>491.34</v>
      </c>
      <c r="I184" s="8"/>
      <c r="J184" s="8"/>
      <c r="K184" s="8"/>
      <c r="L184" s="8"/>
      <c r="M184" s="8">
        <v>3.14</v>
      </c>
      <c r="N184" s="8"/>
      <c r="O184" s="8"/>
      <c r="P184" s="8"/>
      <c r="Q184" s="8"/>
      <c r="R184" s="8"/>
      <c r="S184" s="8">
        <v>6.57</v>
      </c>
      <c r="T184" s="8">
        <v>10.210000000000001</v>
      </c>
      <c r="U184" s="8">
        <v>8.74</v>
      </c>
      <c r="V184" s="8"/>
      <c r="W184" s="8"/>
      <c r="X184" s="8"/>
      <c r="Y184" s="8"/>
      <c r="Z184" s="8"/>
      <c r="AA184" s="8"/>
      <c r="AB184" s="8"/>
      <c r="AC184" s="8">
        <v>5.83</v>
      </c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>
        <v>1029.5999999999999</v>
      </c>
      <c r="AU184" s="8"/>
      <c r="AV184" s="8"/>
      <c r="AW184" s="8"/>
      <c r="AX184" s="8"/>
      <c r="AY184" s="8">
        <v>15.03</v>
      </c>
      <c r="AZ184" s="8"/>
      <c r="BA184" s="8"/>
      <c r="BB184" s="8"/>
      <c r="BC184" s="8"/>
      <c r="BD184" s="8"/>
      <c r="BE184" s="8"/>
      <c r="BF184" s="8">
        <v>65.63</v>
      </c>
      <c r="BG184" s="8">
        <v>77.17</v>
      </c>
      <c r="BH184" s="9">
        <f t="shared" si="18"/>
        <v>1675.11</v>
      </c>
      <c r="BI184" s="9">
        <f t="shared" si="19"/>
        <v>3.14</v>
      </c>
      <c r="BJ184" s="9">
        <f t="shared" si="20"/>
        <v>6.57</v>
      </c>
      <c r="BK184" s="9">
        <f t="shared" si="21"/>
        <v>18.950000000000003</v>
      </c>
      <c r="BL184" s="9">
        <f t="shared" si="22"/>
        <v>0</v>
      </c>
      <c r="BM184" s="9">
        <f t="shared" si="23"/>
        <v>5.83</v>
      </c>
      <c r="BN184" s="9">
        <f t="shared" si="24"/>
        <v>1029.5999999999999</v>
      </c>
      <c r="BO184" s="9">
        <f t="shared" si="25"/>
        <v>15.03</v>
      </c>
      <c r="BP184" s="9">
        <f t="shared" si="26"/>
        <v>65.63</v>
      </c>
    </row>
    <row r="185" spans="1:68">
      <c r="A185" s="6">
        <v>44589</v>
      </c>
      <c r="B185" s="7">
        <v>3223</v>
      </c>
      <c r="C185" s="8">
        <v>422.57</v>
      </c>
      <c r="D185" s="8"/>
      <c r="E185" s="8">
        <v>181.49</v>
      </c>
      <c r="F185" s="8"/>
      <c r="G185" s="8"/>
      <c r="H185" s="8"/>
      <c r="I185" s="8"/>
      <c r="J185" s="8"/>
      <c r="K185" s="8"/>
      <c r="L185" s="8"/>
      <c r="M185" s="8"/>
      <c r="N185" s="8"/>
      <c r="O185" s="8">
        <v>1.82</v>
      </c>
      <c r="P185" s="8"/>
      <c r="Q185" s="8"/>
      <c r="R185" s="8"/>
      <c r="S185" s="8">
        <v>2.36</v>
      </c>
      <c r="T185" s="8"/>
      <c r="U185" s="8">
        <v>7.51</v>
      </c>
      <c r="V185" s="8"/>
      <c r="W185" s="8"/>
      <c r="X185" s="8"/>
      <c r="Y185" s="8"/>
      <c r="Z185" s="8">
        <v>95.32</v>
      </c>
      <c r="AA185" s="8">
        <v>72.73</v>
      </c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>
        <v>225.09</v>
      </c>
      <c r="AU185" s="8">
        <v>112.66</v>
      </c>
      <c r="AV185" s="8"/>
      <c r="AW185" s="8">
        <v>16.46</v>
      </c>
      <c r="AX185" s="8"/>
      <c r="AY185" s="8"/>
      <c r="AZ185" s="8"/>
      <c r="BA185" s="8"/>
      <c r="BB185" s="8"/>
      <c r="BC185" s="8"/>
      <c r="BD185" s="8"/>
      <c r="BE185" s="8"/>
      <c r="BF185" s="8"/>
      <c r="BG185" s="8">
        <v>22.15</v>
      </c>
      <c r="BH185" s="9">
        <f t="shared" si="18"/>
        <v>604.05999999999995</v>
      </c>
      <c r="BI185" s="9">
        <f t="shared" si="19"/>
        <v>1.82</v>
      </c>
      <c r="BJ185" s="9">
        <f t="shared" si="20"/>
        <v>2.36</v>
      </c>
      <c r="BK185" s="9">
        <f t="shared" si="21"/>
        <v>7.51</v>
      </c>
      <c r="BL185" s="9">
        <f t="shared" si="22"/>
        <v>168.05</v>
      </c>
      <c r="BM185" s="9">
        <f t="shared" si="23"/>
        <v>0</v>
      </c>
      <c r="BN185" s="9">
        <f t="shared" si="24"/>
        <v>337.75</v>
      </c>
      <c r="BO185" s="9">
        <f t="shared" si="25"/>
        <v>16.46</v>
      </c>
      <c r="BP185" s="9">
        <f t="shared" si="26"/>
        <v>0</v>
      </c>
    </row>
    <row r="186" spans="1:68">
      <c r="A186" s="6">
        <v>44589</v>
      </c>
      <c r="B186" s="7">
        <v>3200</v>
      </c>
      <c r="C186" s="8">
        <v>3320.92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>
        <v>8.34</v>
      </c>
      <c r="P186" s="8"/>
      <c r="Q186" s="8"/>
      <c r="R186" s="8"/>
      <c r="S186" s="8">
        <v>12.98</v>
      </c>
      <c r="T186" s="8"/>
      <c r="U186" s="8">
        <v>50.01</v>
      </c>
      <c r="V186" s="8"/>
      <c r="W186" s="8"/>
      <c r="X186" s="8"/>
      <c r="Y186" s="8"/>
      <c r="Z186" s="8">
        <v>699.34</v>
      </c>
      <c r="AA186" s="8"/>
      <c r="AB186" s="8"/>
      <c r="AC186" s="8"/>
      <c r="AD186" s="8"/>
      <c r="AE186" s="8">
        <v>50.59</v>
      </c>
      <c r="AF186" s="8">
        <v>165.97</v>
      </c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>
        <v>2277.25</v>
      </c>
      <c r="AU186" s="8"/>
      <c r="AV186" s="8"/>
      <c r="AW186" s="8">
        <v>9.77</v>
      </c>
      <c r="AX186" s="8"/>
      <c r="AY186" s="8"/>
      <c r="AZ186" s="8"/>
      <c r="BA186" s="8"/>
      <c r="BB186" s="8"/>
      <c r="BC186" s="8"/>
      <c r="BD186" s="8"/>
      <c r="BE186" s="8"/>
      <c r="BF186" s="8">
        <v>159.74</v>
      </c>
      <c r="BG186" s="8">
        <v>164.4</v>
      </c>
      <c r="BH186" s="9">
        <f t="shared" si="18"/>
        <v>3320.92</v>
      </c>
      <c r="BI186" s="9">
        <f t="shared" si="19"/>
        <v>8.34</v>
      </c>
      <c r="BJ186" s="9">
        <f t="shared" si="20"/>
        <v>12.98</v>
      </c>
      <c r="BK186" s="9">
        <f t="shared" si="21"/>
        <v>50.01</v>
      </c>
      <c r="BL186" s="9">
        <f t="shared" si="22"/>
        <v>699.34</v>
      </c>
      <c r="BM186" s="9">
        <f t="shared" si="23"/>
        <v>216.56</v>
      </c>
      <c r="BN186" s="9">
        <f t="shared" si="24"/>
        <v>2277.25</v>
      </c>
      <c r="BO186" s="9">
        <f t="shared" si="25"/>
        <v>9.77</v>
      </c>
      <c r="BP186" s="9">
        <f t="shared" si="26"/>
        <v>159.74</v>
      </c>
    </row>
    <row r="187" spans="1:68">
      <c r="A187" s="6">
        <v>44589</v>
      </c>
      <c r="B187" s="7">
        <v>3801</v>
      </c>
      <c r="C187" s="8">
        <v>493.58</v>
      </c>
      <c r="D187" s="8"/>
      <c r="E187" s="8"/>
      <c r="F187" s="8"/>
      <c r="G187" s="8"/>
      <c r="H187" s="8"/>
      <c r="I187" s="8"/>
      <c r="J187" s="8"/>
      <c r="K187" s="8"/>
      <c r="L187" s="8">
        <v>409.72</v>
      </c>
      <c r="M187" s="8"/>
      <c r="N187" s="8">
        <v>1.01</v>
      </c>
      <c r="O187" s="8"/>
      <c r="P187" s="8"/>
      <c r="Q187" s="8"/>
      <c r="R187" s="8"/>
      <c r="S187" s="8">
        <v>4.0199999999999996</v>
      </c>
      <c r="T187" s="8"/>
      <c r="U187" s="8">
        <v>4.3099999999999996</v>
      </c>
      <c r="V187" s="8"/>
      <c r="W187" s="8"/>
      <c r="X187" s="8"/>
      <c r="Y187" s="8"/>
      <c r="Z187" s="8">
        <v>71.89</v>
      </c>
      <c r="AA187" s="8">
        <v>29.12</v>
      </c>
      <c r="AB187" s="8"/>
      <c r="AC187" s="8"/>
      <c r="AD187" s="8"/>
      <c r="AE187" s="8">
        <v>2.5499999999999998</v>
      </c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>
        <v>350.2</v>
      </c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>
        <v>26.59</v>
      </c>
      <c r="BH187" s="9">
        <f t="shared" si="18"/>
        <v>903.3</v>
      </c>
      <c r="BI187" s="9">
        <f t="shared" si="19"/>
        <v>1.01</v>
      </c>
      <c r="BJ187" s="9">
        <f t="shared" si="20"/>
        <v>4.0199999999999996</v>
      </c>
      <c r="BK187" s="9">
        <f t="shared" si="21"/>
        <v>4.3099999999999996</v>
      </c>
      <c r="BL187" s="9">
        <f t="shared" si="22"/>
        <v>101.01</v>
      </c>
      <c r="BM187" s="9">
        <f t="shared" si="23"/>
        <v>2.5499999999999998</v>
      </c>
      <c r="BN187" s="9">
        <f t="shared" si="24"/>
        <v>350.2</v>
      </c>
      <c r="BO187" s="9">
        <f t="shared" si="25"/>
        <v>0</v>
      </c>
      <c r="BP187" s="9">
        <f t="shared" si="26"/>
        <v>0</v>
      </c>
    </row>
    <row r="188" spans="1:68">
      <c r="A188" s="6">
        <v>44589</v>
      </c>
      <c r="B188" s="7">
        <v>3118</v>
      </c>
      <c r="C188" s="8">
        <v>662.61</v>
      </c>
      <c r="D188" s="8"/>
      <c r="E188" s="8"/>
      <c r="F188" s="8"/>
      <c r="G188" s="8"/>
      <c r="H188" s="8"/>
      <c r="I188" s="8"/>
      <c r="J188" s="8"/>
      <c r="K188" s="8"/>
      <c r="L188" s="8"/>
      <c r="M188" s="8">
        <v>2.0099999999999998</v>
      </c>
      <c r="N188" s="8"/>
      <c r="O188" s="8"/>
      <c r="P188" s="8"/>
      <c r="Q188" s="8"/>
      <c r="R188" s="8"/>
      <c r="S188" s="8">
        <v>3.51</v>
      </c>
      <c r="T188" s="8">
        <v>3.97</v>
      </c>
      <c r="U188" s="8">
        <v>3.97</v>
      </c>
      <c r="V188" s="8"/>
      <c r="W188" s="8"/>
      <c r="X188" s="8"/>
      <c r="Y188" s="8"/>
      <c r="Z188" s="8"/>
      <c r="AA188" s="8"/>
      <c r="AB188" s="8"/>
      <c r="AC188" s="8">
        <v>2.65</v>
      </c>
      <c r="AD188" s="8"/>
      <c r="AE188" s="8">
        <v>6.78</v>
      </c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>
        <v>430.63</v>
      </c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>
        <v>46.39</v>
      </c>
      <c r="BG188" s="8">
        <v>32.869999999999997</v>
      </c>
      <c r="BH188" s="9">
        <f t="shared" si="18"/>
        <v>662.61</v>
      </c>
      <c r="BI188" s="9">
        <f t="shared" si="19"/>
        <v>2.0099999999999998</v>
      </c>
      <c r="BJ188" s="9">
        <f t="shared" si="20"/>
        <v>3.51</v>
      </c>
      <c r="BK188" s="9">
        <f t="shared" si="21"/>
        <v>7.94</v>
      </c>
      <c r="BL188" s="9">
        <f t="shared" si="22"/>
        <v>0</v>
      </c>
      <c r="BM188" s="9">
        <f t="shared" si="23"/>
        <v>9.43</v>
      </c>
      <c r="BN188" s="9">
        <f t="shared" si="24"/>
        <v>430.63</v>
      </c>
      <c r="BO188" s="9">
        <f t="shared" si="25"/>
        <v>0</v>
      </c>
      <c r="BP188" s="9">
        <f t="shared" si="26"/>
        <v>46.39</v>
      </c>
    </row>
    <row r="189" spans="1:68">
      <c r="A189" s="6">
        <v>44592</v>
      </c>
      <c r="B189" s="7">
        <v>3704</v>
      </c>
      <c r="C189" s="8">
        <v>401.36</v>
      </c>
      <c r="D189" s="8">
        <v>620.45000000000005</v>
      </c>
      <c r="E189" s="8"/>
      <c r="F189" s="8"/>
      <c r="G189" s="8"/>
      <c r="H189" s="8"/>
      <c r="I189" s="8"/>
      <c r="J189" s="8"/>
      <c r="K189" s="8"/>
      <c r="L189" s="8"/>
      <c r="M189" s="8">
        <v>3.1</v>
      </c>
      <c r="N189" s="8"/>
      <c r="O189" s="8"/>
      <c r="P189" s="8"/>
      <c r="Q189" s="8"/>
      <c r="R189" s="8"/>
      <c r="S189" s="8">
        <v>3.62</v>
      </c>
      <c r="T189" s="8"/>
      <c r="U189" s="8">
        <v>7.78</v>
      </c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>
        <v>24.87</v>
      </c>
      <c r="AL189" s="8"/>
      <c r="AM189" s="8"/>
      <c r="AN189" s="8"/>
      <c r="AO189" s="8"/>
      <c r="AP189" s="8"/>
      <c r="AQ189" s="8"/>
      <c r="AR189" s="8"/>
      <c r="AS189" s="8"/>
      <c r="AT189" s="8">
        <v>179.15</v>
      </c>
      <c r="AU189" s="8">
        <v>89.33</v>
      </c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>
        <v>16.61</v>
      </c>
      <c r="BH189" s="9">
        <f t="shared" si="18"/>
        <v>1021.8100000000001</v>
      </c>
      <c r="BI189" s="9">
        <f t="shared" si="19"/>
        <v>3.1</v>
      </c>
      <c r="BJ189" s="9">
        <f t="shared" si="20"/>
        <v>3.62</v>
      </c>
      <c r="BK189" s="9">
        <f t="shared" si="21"/>
        <v>7.78</v>
      </c>
      <c r="BL189" s="9">
        <f t="shared" si="22"/>
        <v>0</v>
      </c>
      <c r="BM189" s="9">
        <f t="shared" si="23"/>
        <v>24.87</v>
      </c>
      <c r="BN189" s="9">
        <f t="shared" si="24"/>
        <v>268.48</v>
      </c>
      <c r="BO189" s="9">
        <f t="shared" si="25"/>
        <v>0</v>
      </c>
      <c r="BP189" s="9">
        <f t="shared" si="26"/>
        <v>0</v>
      </c>
    </row>
    <row r="190" spans="1:68">
      <c r="A190" s="6">
        <v>44592</v>
      </c>
      <c r="B190" s="7">
        <v>3139</v>
      </c>
      <c r="C190" s="8">
        <v>1566.59</v>
      </c>
      <c r="D190" s="8"/>
      <c r="E190" s="8"/>
      <c r="F190" s="8"/>
      <c r="G190" s="8"/>
      <c r="H190" s="8">
        <v>650.29</v>
      </c>
      <c r="I190" s="8"/>
      <c r="J190" s="8"/>
      <c r="K190" s="8"/>
      <c r="L190" s="8"/>
      <c r="M190" s="8">
        <v>3.66</v>
      </c>
      <c r="N190" s="8"/>
      <c r="O190" s="8"/>
      <c r="P190" s="8"/>
      <c r="Q190" s="8"/>
      <c r="R190" s="8"/>
      <c r="S190" s="8">
        <v>6.56</v>
      </c>
      <c r="T190" s="8">
        <v>23.17</v>
      </c>
      <c r="U190" s="8"/>
      <c r="V190" s="8"/>
      <c r="W190" s="8"/>
      <c r="X190" s="8"/>
      <c r="Y190" s="8"/>
      <c r="Z190" s="8"/>
      <c r="AA190" s="8"/>
      <c r="AB190" s="8"/>
      <c r="AC190" s="8">
        <v>7.72</v>
      </c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>
        <v>1146.4000000000001</v>
      </c>
      <c r="AU190" s="8"/>
      <c r="AV190" s="8">
        <v>38.65</v>
      </c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>
        <v>83.01</v>
      </c>
      <c r="BH190" s="9">
        <f t="shared" si="18"/>
        <v>2216.88</v>
      </c>
      <c r="BI190" s="9">
        <f t="shared" si="19"/>
        <v>3.66</v>
      </c>
      <c r="BJ190" s="9">
        <f t="shared" si="20"/>
        <v>6.56</v>
      </c>
      <c r="BK190" s="9">
        <f t="shared" si="21"/>
        <v>23.17</v>
      </c>
      <c r="BL190" s="9">
        <f t="shared" si="22"/>
        <v>0</v>
      </c>
      <c r="BM190" s="9">
        <f t="shared" si="23"/>
        <v>7.72</v>
      </c>
      <c r="BN190" s="9">
        <f t="shared" si="24"/>
        <v>1146.4000000000001</v>
      </c>
      <c r="BO190" s="9">
        <f t="shared" si="25"/>
        <v>38.65</v>
      </c>
      <c r="BP190" s="9">
        <f t="shared" si="26"/>
        <v>0</v>
      </c>
    </row>
    <row r="191" spans="1:68">
      <c r="A191" s="6">
        <v>44592</v>
      </c>
      <c r="B191" s="7">
        <v>3020</v>
      </c>
      <c r="C191" s="8"/>
      <c r="D191" s="8">
        <v>304.66000000000003</v>
      </c>
      <c r="E191" s="8"/>
      <c r="F191" s="8"/>
      <c r="G191" s="8"/>
      <c r="H191" s="8"/>
      <c r="I191" s="8">
        <v>1724.57</v>
      </c>
      <c r="J191" s="8"/>
      <c r="K191" s="8"/>
      <c r="L191" s="8"/>
      <c r="M191" s="8"/>
      <c r="N191" s="8">
        <v>12.19</v>
      </c>
      <c r="O191" s="8"/>
      <c r="P191" s="8"/>
      <c r="Q191" s="8"/>
      <c r="R191" s="8"/>
      <c r="S191" s="8">
        <v>3.66</v>
      </c>
      <c r="T191" s="8"/>
      <c r="U191" s="8"/>
      <c r="V191" s="8"/>
      <c r="W191" s="8">
        <v>20.69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>
        <v>20.58</v>
      </c>
      <c r="AN191" s="8"/>
      <c r="AO191" s="8"/>
      <c r="AP191" s="8"/>
      <c r="AQ191" s="8"/>
      <c r="AR191" s="8"/>
      <c r="AS191" s="8">
        <v>51.31</v>
      </c>
      <c r="AT191" s="8">
        <v>995.41</v>
      </c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>
        <v>72.98</v>
      </c>
      <c r="BH191" s="9">
        <f t="shared" si="18"/>
        <v>2029.23</v>
      </c>
      <c r="BI191" s="9">
        <f t="shared" si="19"/>
        <v>12.19</v>
      </c>
      <c r="BJ191" s="9">
        <f t="shared" si="20"/>
        <v>3.66</v>
      </c>
      <c r="BK191" s="9">
        <f t="shared" si="21"/>
        <v>20.69</v>
      </c>
      <c r="BL191" s="9">
        <f t="shared" si="22"/>
        <v>0</v>
      </c>
      <c r="BM191" s="9">
        <f t="shared" si="23"/>
        <v>71.89</v>
      </c>
      <c r="BN191" s="9">
        <f t="shared" si="24"/>
        <v>995.41</v>
      </c>
      <c r="BO191" s="9">
        <f t="shared" si="25"/>
        <v>0</v>
      </c>
      <c r="BP191" s="9">
        <f t="shared" si="26"/>
        <v>0</v>
      </c>
    </row>
    <row r="192" spans="1:68">
      <c r="A192" s="6">
        <v>44592</v>
      </c>
      <c r="B192" s="7">
        <v>3083</v>
      </c>
      <c r="C192" s="8"/>
      <c r="D192" s="8">
        <v>700.29</v>
      </c>
      <c r="E192" s="8"/>
      <c r="F192" s="8"/>
      <c r="G192" s="8"/>
      <c r="H192" s="8"/>
      <c r="I192" s="8">
        <v>1635.8</v>
      </c>
      <c r="J192" s="8"/>
      <c r="K192" s="8"/>
      <c r="L192" s="8"/>
      <c r="M192" s="8"/>
      <c r="N192" s="8">
        <v>16.18</v>
      </c>
      <c r="O192" s="8"/>
      <c r="P192" s="8"/>
      <c r="Q192" s="8"/>
      <c r="R192" s="8"/>
      <c r="S192" s="8">
        <v>1.63</v>
      </c>
      <c r="T192" s="8">
        <v>18.760000000000002</v>
      </c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>
        <v>9.64</v>
      </c>
      <c r="AN192" s="8">
        <v>33.200000000000003</v>
      </c>
      <c r="AO192" s="8"/>
      <c r="AP192" s="8"/>
      <c r="AQ192" s="8"/>
      <c r="AR192" s="8">
        <v>58.96</v>
      </c>
      <c r="AS192" s="8"/>
      <c r="AT192" s="8">
        <v>1062.3800000000001</v>
      </c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>
        <v>83.68</v>
      </c>
      <c r="BH192" s="9">
        <f t="shared" si="18"/>
        <v>2336.09</v>
      </c>
      <c r="BI192" s="9">
        <f t="shared" si="19"/>
        <v>16.18</v>
      </c>
      <c r="BJ192" s="9">
        <f t="shared" si="20"/>
        <v>1.63</v>
      </c>
      <c r="BK192" s="9">
        <f t="shared" si="21"/>
        <v>18.760000000000002</v>
      </c>
      <c r="BL192" s="9">
        <f t="shared" si="22"/>
        <v>0</v>
      </c>
      <c r="BM192" s="9">
        <f t="shared" si="23"/>
        <v>101.80000000000001</v>
      </c>
      <c r="BN192" s="9">
        <f t="shared" si="24"/>
        <v>1062.3800000000001</v>
      </c>
      <c r="BO192" s="9">
        <f t="shared" si="25"/>
        <v>0</v>
      </c>
      <c r="BP192" s="9">
        <f t="shared" si="26"/>
        <v>0</v>
      </c>
    </row>
    <row r="193" spans="1:68">
      <c r="A193" s="6">
        <v>44592</v>
      </c>
      <c r="B193" s="7">
        <v>3017</v>
      </c>
      <c r="C193" s="8"/>
      <c r="D193" s="8">
        <v>483.63</v>
      </c>
      <c r="E193" s="8"/>
      <c r="F193" s="8"/>
      <c r="G193" s="8"/>
      <c r="H193" s="8"/>
      <c r="I193" s="8">
        <v>686.12</v>
      </c>
      <c r="J193" s="8"/>
      <c r="K193" s="8"/>
      <c r="L193" s="8"/>
      <c r="M193" s="8"/>
      <c r="N193" s="8">
        <v>8.07</v>
      </c>
      <c r="O193" s="8"/>
      <c r="P193" s="8"/>
      <c r="Q193" s="8"/>
      <c r="R193" s="8"/>
      <c r="S193" s="8">
        <v>0.81</v>
      </c>
      <c r="T193" s="8"/>
      <c r="U193" s="8"/>
      <c r="V193" s="8"/>
      <c r="W193" s="8">
        <v>8.76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>
        <v>4.68</v>
      </c>
      <c r="AN193" s="8">
        <v>11.67</v>
      </c>
      <c r="AO193" s="8"/>
      <c r="AP193" s="8"/>
      <c r="AQ193" s="8"/>
      <c r="AR193" s="8">
        <v>46.28</v>
      </c>
      <c r="AS193" s="8"/>
      <c r="AT193" s="8">
        <v>494.14</v>
      </c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>
        <v>35.78</v>
      </c>
      <c r="BH193" s="9">
        <f t="shared" si="18"/>
        <v>1169.75</v>
      </c>
      <c r="BI193" s="9">
        <f t="shared" si="19"/>
        <v>8.07</v>
      </c>
      <c r="BJ193" s="9">
        <f t="shared" si="20"/>
        <v>0.81</v>
      </c>
      <c r="BK193" s="9">
        <f t="shared" si="21"/>
        <v>8.76</v>
      </c>
      <c r="BL193" s="9">
        <f t="shared" si="22"/>
        <v>0</v>
      </c>
      <c r="BM193" s="9">
        <f t="shared" si="23"/>
        <v>62.63</v>
      </c>
      <c r="BN193" s="9">
        <f t="shared" si="24"/>
        <v>494.14</v>
      </c>
      <c r="BO193" s="9">
        <f t="shared" si="25"/>
        <v>0</v>
      </c>
      <c r="BP193" s="9">
        <f t="shared" si="26"/>
        <v>0</v>
      </c>
    </row>
    <row r="194" spans="1:68">
      <c r="A194" s="6">
        <v>44592</v>
      </c>
      <c r="B194" s="7">
        <v>3029</v>
      </c>
      <c r="C194" s="8"/>
      <c r="D194" s="8">
        <v>449.59</v>
      </c>
      <c r="E194" s="8"/>
      <c r="F194" s="8">
        <v>316.23</v>
      </c>
      <c r="G194" s="8"/>
      <c r="H194" s="8"/>
      <c r="I194" s="8">
        <v>1869.5</v>
      </c>
      <c r="J194" s="8"/>
      <c r="K194" s="8"/>
      <c r="L194" s="8"/>
      <c r="M194" s="8"/>
      <c r="N194" s="8">
        <v>20.03</v>
      </c>
      <c r="O194" s="8"/>
      <c r="P194" s="8"/>
      <c r="Q194" s="8"/>
      <c r="R194" s="8"/>
      <c r="S194" s="8">
        <v>1.57</v>
      </c>
      <c r="T194" s="8"/>
      <c r="U194" s="8"/>
      <c r="V194" s="8"/>
      <c r="W194" s="8">
        <v>26.81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>
        <v>9.3800000000000008</v>
      </c>
      <c r="AN194" s="8">
        <v>13.41</v>
      </c>
      <c r="AO194" s="8"/>
      <c r="AP194" s="8"/>
      <c r="AQ194" s="8"/>
      <c r="AR194" s="8">
        <v>79.290000000000006</v>
      </c>
      <c r="AS194" s="8"/>
      <c r="AT194" s="8">
        <v>999.34</v>
      </c>
      <c r="AU194" s="8"/>
      <c r="AV194" s="8"/>
      <c r="AW194" s="8"/>
      <c r="AX194" s="8"/>
      <c r="AY194" s="8"/>
      <c r="AZ194" s="8"/>
      <c r="BA194" s="8"/>
      <c r="BB194" s="8"/>
      <c r="BC194" s="10"/>
      <c r="BD194" s="8"/>
      <c r="BE194" s="8"/>
      <c r="BF194" s="8"/>
      <c r="BG194" s="8">
        <v>70.040000000000006</v>
      </c>
      <c r="BH194" s="9">
        <f t="shared" si="18"/>
        <v>2635.3199999999997</v>
      </c>
      <c r="BI194" s="9">
        <f t="shared" si="19"/>
        <v>20.03</v>
      </c>
      <c r="BJ194" s="9">
        <f t="shared" si="20"/>
        <v>1.57</v>
      </c>
      <c r="BK194" s="9">
        <f t="shared" si="21"/>
        <v>26.81</v>
      </c>
      <c r="BL194" s="9">
        <f t="shared" si="22"/>
        <v>0</v>
      </c>
      <c r="BM194" s="9">
        <f t="shared" si="23"/>
        <v>102.08000000000001</v>
      </c>
      <c r="BN194" s="9">
        <f t="shared" si="24"/>
        <v>999.34</v>
      </c>
      <c r="BO194" s="9">
        <f t="shared" si="25"/>
        <v>0</v>
      </c>
      <c r="BP194" s="9">
        <f t="shared" si="26"/>
        <v>0</v>
      </c>
    </row>
    <row r="195" spans="1:68">
      <c r="A195" s="6">
        <v>44592</v>
      </c>
      <c r="B195" s="7">
        <v>3136</v>
      </c>
      <c r="C195" s="8">
        <v>1264.4100000000001</v>
      </c>
      <c r="D195" s="8"/>
      <c r="E195" s="8"/>
      <c r="F195" s="8"/>
      <c r="G195" s="8"/>
      <c r="H195" s="8">
        <v>523.54999999999995</v>
      </c>
      <c r="I195" s="8"/>
      <c r="J195" s="8"/>
      <c r="K195" s="8"/>
      <c r="L195" s="8"/>
      <c r="M195" s="8">
        <v>2.36</v>
      </c>
      <c r="N195" s="8"/>
      <c r="O195" s="8"/>
      <c r="P195" s="8"/>
      <c r="Q195" s="8"/>
      <c r="R195" s="8"/>
      <c r="S195" s="8">
        <v>7.8</v>
      </c>
      <c r="T195" s="8">
        <v>10.92</v>
      </c>
      <c r="U195" s="8">
        <v>9.35</v>
      </c>
      <c r="V195" s="8"/>
      <c r="W195" s="8"/>
      <c r="X195" s="8"/>
      <c r="Y195" s="8"/>
      <c r="Z195" s="8"/>
      <c r="AA195" s="8"/>
      <c r="AB195" s="8"/>
      <c r="AC195" s="8">
        <v>6.23</v>
      </c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>
        <v>1013.03</v>
      </c>
      <c r="AU195" s="8"/>
      <c r="AV195" s="8"/>
      <c r="AW195" s="8"/>
      <c r="AX195" s="8"/>
      <c r="AY195" s="8"/>
      <c r="AZ195" s="8"/>
      <c r="BA195" s="8">
        <v>15.34</v>
      </c>
      <c r="BB195" s="8"/>
      <c r="BC195" s="8"/>
      <c r="BD195" s="8"/>
      <c r="BE195" s="8"/>
      <c r="BF195" s="8">
        <v>62.31</v>
      </c>
      <c r="BG195" s="8">
        <v>76.5</v>
      </c>
      <c r="BH195" s="9">
        <f t="shared" si="18"/>
        <v>1787.96</v>
      </c>
      <c r="BI195" s="9">
        <f t="shared" si="19"/>
        <v>2.36</v>
      </c>
      <c r="BJ195" s="9">
        <f t="shared" si="20"/>
        <v>7.8</v>
      </c>
      <c r="BK195" s="9">
        <f t="shared" si="21"/>
        <v>20.27</v>
      </c>
      <c r="BL195" s="9">
        <f t="shared" si="22"/>
        <v>0</v>
      </c>
      <c r="BM195" s="9">
        <f t="shared" si="23"/>
        <v>6.23</v>
      </c>
      <c r="BN195" s="9">
        <f t="shared" si="24"/>
        <v>1013.03</v>
      </c>
      <c r="BO195" s="9">
        <f t="shared" si="25"/>
        <v>15.34</v>
      </c>
      <c r="BP195" s="9">
        <f t="shared" si="26"/>
        <v>62.31</v>
      </c>
    </row>
    <row r="196" spans="1:68">
      <c r="A196" s="6">
        <v>44592</v>
      </c>
      <c r="B196" s="7">
        <v>3106</v>
      </c>
      <c r="C196" s="8">
        <v>4161.38</v>
      </c>
      <c r="D196" s="8"/>
      <c r="E196" s="8"/>
      <c r="F196" s="8"/>
      <c r="G196" s="8"/>
      <c r="H196" s="8"/>
      <c r="I196" s="8"/>
      <c r="J196" s="8"/>
      <c r="K196" s="8"/>
      <c r="L196" s="8"/>
      <c r="M196" s="8">
        <v>11.24</v>
      </c>
      <c r="N196" s="8"/>
      <c r="O196" s="8"/>
      <c r="P196" s="8"/>
      <c r="Q196" s="8"/>
      <c r="R196" s="8"/>
      <c r="S196" s="8">
        <v>12.91</v>
      </c>
      <c r="T196" s="8">
        <v>52.84</v>
      </c>
      <c r="U196" s="8"/>
      <c r="V196" s="8"/>
      <c r="W196" s="8"/>
      <c r="X196" s="8"/>
      <c r="Y196" s="8"/>
      <c r="Z196" s="8"/>
      <c r="AA196" s="8"/>
      <c r="AB196" s="8"/>
      <c r="AC196" s="8">
        <v>16.66</v>
      </c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>
        <v>2383.25</v>
      </c>
      <c r="AU196" s="8"/>
      <c r="AV196" s="8"/>
      <c r="AW196" s="8"/>
      <c r="AX196" s="8">
        <v>5.21</v>
      </c>
      <c r="AY196" s="8"/>
      <c r="AZ196" s="8"/>
      <c r="BA196" s="8"/>
      <c r="BB196" s="8"/>
      <c r="BC196" s="8"/>
      <c r="BD196" s="8"/>
      <c r="BE196" s="8"/>
      <c r="BF196" s="8"/>
      <c r="BG196" s="8">
        <v>179.08</v>
      </c>
      <c r="BH196" s="9">
        <f t="shared" ref="BH196:BH259" si="27">SUM(C196:L196)</f>
        <v>4161.38</v>
      </c>
      <c r="BI196" s="9">
        <f t="shared" ref="BI196:BI259" si="28">SUM(M196:R196)</f>
        <v>11.24</v>
      </c>
      <c r="BJ196" s="9">
        <f t="shared" ref="BJ196:BJ259" si="29">SUM(S196)</f>
        <v>12.91</v>
      </c>
      <c r="BK196" s="9">
        <f t="shared" ref="BK196:BK259" si="30">SUM(T196:Y196)</f>
        <v>52.84</v>
      </c>
      <c r="BL196" s="9">
        <f t="shared" ref="BL196:BL259" si="31">SUM(Z196:AA196)</f>
        <v>0</v>
      </c>
      <c r="BM196" s="9">
        <f t="shared" ref="BM196:BM259" si="32">SUM(AB196:AS196)</f>
        <v>16.66</v>
      </c>
      <c r="BN196" s="9">
        <f t="shared" ref="BN196:BN259" si="33">SUM(AT196:AU196)</f>
        <v>2383.25</v>
      </c>
      <c r="BO196" s="9">
        <f t="shared" ref="BO196:BO259" si="34">SUM(AV196:BE196)</f>
        <v>5.21</v>
      </c>
      <c r="BP196" s="9">
        <f t="shared" ref="BP196:BP259" si="35">SUM(BF196)</f>
        <v>0</v>
      </c>
    </row>
    <row r="197" spans="1:68">
      <c r="A197" s="6">
        <v>44594</v>
      </c>
      <c r="B197" s="7">
        <v>3106</v>
      </c>
      <c r="C197" s="8">
        <v>3147.42</v>
      </c>
      <c r="D197" s="8"/>
      <c r="E197" s="8"/>
      <c r="F197" s="8"/>
      <c r="G197" s="8"/>
      <c r="H197" s="8"/>
      <c r="I197" s="8"/>
      <c r="J197" s="8"/>
      <c r="K197" s="8"/>
      <c r="L197" s="8"/>
      <c r="M197" s="8">
        <v>8.51</v>
      </c>
      <c r="N197" s="8"/>
      <c r="O197" s="8"/>
      <c r="P197" s="8"/>
      <c r="Q197" s="8"/>
      <c r="R197" s="8"/>
      <c r="S197" s="8">
        <v>9.77</v>
      </c>
      <c r="T197" s="8">
        <v>39.979999999999997</v>
      </c>
      <c r="U197" s="8"/>
      <c r="V197" s="8"/>
      <c r="W197" s="8"/>
      <c r="X197" s="8"/>
      <c r="Y197" s="8"/>
      <c r="Z197" s="8"/>
      <c r="AA197" s="8"/>
      <c r="AB197" s="8"/>
      <c r="AC197" s="8">
        <v>12.6</v>
      </c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>
        <v>1803.97</v>
      </c>
      <c r="AU197" s="8"/>
      <c r="AV197" s="8"/>
      <c r="AW197" s="8"/>
      <c r="AX197" s="8">
        <v>3.94</v>
      </c>
      <c r="AY197" s="8"/>
      <c r="AZ197" s="8"/>
      <c r="BA197" s="8"/>
      <c r="BB197" s="8"/>
      <c r="BC197" s="8"/>
      <c r="BD197" s="8"/>
      <c r="BE197" s="8"/>
      <c r="BF197" s="8"/>
      <c r="BG197" s="8">
        <v>135.84</v>
      </c>
      <c r="BH197" s="9">
        <f t="shared" si="27"/>
        <v>3147.42</v>
      </c>
      <c r="BI197" s="9">
        <f t="shared" si="28"/>
        <v>8.51</v>
      </c>
      <c r="BJ197" s="9">
        <f t="shared" si="29"/>
        <v>9.77</v>
      </c>
      <c r="BK197" s="9">
        <f t="shared" si="30"/>
        <v>39.979999999999997</v>
      </c>
      <c r="BL197" s="9">
        <f t="shared" si="31"/>
        <v>0</v>
      </c>
      <c r="BM197" s="9">
        <f t="shared" si="32"/>
        <v>12.6</v>
      </c>
      <c r="BN197" s="9">
        <f t="shared" si="33"/>
        <v>1803.97</v>
      </c>
      <c r="BO197" s="9">
        <f t="shared" si="34"/>
        <v>3.94</v>
      </c>
      <c r="BP197" s="9">
        <f t="shared" si="35"/>
        <v>0</v>
      </c>
    </row>
    <row r="198" spans="1:68">
      <c r="A198" s="6">
        <v>44594</v>
      </c>
      <c r="B198" s="7">
        <v>3307</v>
      </c>
      <c r="C198" s="8"/>
      <c r="D198" s="8">
        <v>1874.73</v>
      </c>
      <c r="E198" s="8"/>
      <c r="F198" s="8"/>
      <c r="G198" s="8"/>
      <c r="H198" s="8"/>
      <c r="I198" s="8"/>
      <c r="J198" s="8"/>
      <c r="K198" s="8"/>
      <c r="L198" s="8"/>
      <c r="M198" s="8">
        <v>2.8</v>
      </c>
      <c r="N198" s="8"/>
      <c r="O198" s="8"/>
      <c r="P198" s="8"/>
      <c r="Q198" s="8"/>
      <c r="R198" s="8"/>
      <c r="S198" s="8">
        <v>13.7</v>
      </c>
      <c r="T198" s="8">
        <v>18.78</v>
      </c>
      <c r="U198" s="8"/>
      <c r="V198" s="8"/>
      <c r="W198" s="8"/>
      <c r="X198" s="8"/>
      <c r="Y198" s="8"/>
      <c r="Z198" s="8"/>
      <c r="AA198" s="8"/>
      <c r="AB198" s="8"/>
      <c r="AC198" s="8">
        <v>11.27</v>
      </c>
      <c r="AD198" s="8"/>
      <c r="AE198" s="8"/>
      <c r="AF198" s="8"/>
      <c r="AG198" s="8">
        <v>18.850000000000001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>
        <v>941.35</v>
      </c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>
        <v>67.48</v>
      </c>
      <c r="BH198" s="9">
        <f t="shared" si="27"/>
        <v>1874.73</v>
      </c>
      <c r="BI198" s="9">
        <f t="shared" si="28"/>
        <v>2.8</v>
      </c>
      <c r="BJ198" s="9">
        <f t="shared" si="29"/>
        <v>13.7</v>
      </c>
      <c r="BK198" s="9">
        <f t="shared" si="30"/>
        <v>18.78</v>
      </c>
      <c r="BL198" s="9">
        <f t="shared" si="31"/>
        <v>0</v>
      </c>
      <c r="BM198" s="9">
        <f t="shared" si="32"/>
        <v>30.12</v>
      </c>
      <c r="BN198" s="9">
        <f t="shared" si="33"/>
        <v>941.35</v>
      </c>
      <c r="BO198" s="9">
        <f t="shared" si="34"/>
        <v>0</v>
      </c>
      <c r="BP198" s="9">
        <f t="shared" si="35"/>
        <v>0</v>
      </c>
    </row>
    <row r="199" spans="1:68">
      <c r="A199" s="6">
        <v>44594</v>
      </c>
      <c r="B199" s="7">
        <v>3101</v>
      </c>
      <c r="C199" s="8">
        <v>614.17999999999995</v>
      </c>
      <c r="D199" s="8"/>
      <c r="E199" s="8"/>
      <c r="F199" s="8"/>
      <c r="G199" s="8"/>
      <c r="H199" s="8"/>
      <c r="I199" s="8"/>
      <c r="J199" s="8"/>
      <c r="K199" s="8"/>
      <c r="L199" s="8"/>
      <c r="M199" s="8">
        <v>1.22</v>
      </c>
      <c r="N199" s="8"/>
      <c r="O199" s="8"/>
      <c r="P199" s="8"/>
      <c r="Q199" s="8"/>
      <c r="R199" s="8"/>
      <c r="S199" s="8">
        <v>3.57</v>
      </c>
      <c r="T199" s="8"/>
      <c r="U199" s="8">
        <v>9.84</v>
      </c>
      <c r="V199" s="8"/>
      <c r="W199" s="8"/>
      <c r="X199" s="8"/>
      <c r="Y199" s="8"/>
      <c r="Z199" s="8"/>
      <c r="AA199" s="8"/>
      <c r="AB199" s="8"/>
      <c r="AC199" s="8">
        <v>2.46</v>
      </c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>
        <v>413.26</v>
      </c>
      <c r="AU199" s="8"/>
      <c r="AV199" s="8"/>
      <c r="AW199" s="8">
        <v>13.09</v>
      </c>
      <c r="AX199" s="8"/>
      <c r="AY199" s="8"/>
      <c r="AZ199" s="8"/>
      <c r="BA199" s="8"/>
      <c r="BB199" s="8"/>
      <c r="BC199" s="8"/>
      <c r="BD199" s="8"/>
      <c r="BE199" s="8"/>
      <c r="BF199" s="8">
        <v>79.900000000000006</v>
      </c>
      <c r="BG199" s="8">
        <v>31.59</v>
      </c>
      <c r="BH199" s="9">
        <f t="shared" si="27"/>
        <v>614.17999999999995</v>
      </c>
      <c r="BI199" s="9">
        <f t="shared" si="28"/>
        <v>1.22</v>
      </c>
      <c r="BJ199" s="9">
        <f t="shared" si="29"/>
        <v>3.57</v>
      </c>
      <c r="BK199" s="9">
        <f t="shared" si="30"/>
        <v>9.84</v>
      </c>
      <c r="BL199" s="9">
        <f t="shared" si="31"/>
        <v>0</v>
      </c>
      <c r="BM199" s="9">
        <f t="shared" si="32"/>
        <v>2.46</v>
      </c>
      <c r="BN199" s="9">
        <f t="shared" si="33"/>
        <v>413.26</v>
      </c>
      <c r="BO199" s="9">
        <f t="shared" si="34"/>
        <v>13.09</v>
      </c>
      <c r="BP199" s="9">
        <f t="shared" si="35"/>
        <v>79.900000000000006</v>
      </c>
    </row>
    <row r="200" spans="1:68">
      <c r="A200" s="6">
        <v>44594</v>
      </c>
      <c r="B200" s="7">
        <v>3141</v>
      </c>
      <c r="C200" s="8">
        <v>2429.63</v>
      </c>
      <c r="D200" s="8">
        <v>429.13</v>
      </c>
      <c r="E200" s="8"/>
      <c r="F200" s="8"/>
      <c r="G200" s="8"/>
      <c r="H200" s="8"/>
      <c r="I200" s="8"/>
      <c r="J200" s="8"/>
      <c r="K200" s="8"/>
      <c r="L200" s="8"/>
      <c r="M200" s="8">
        <v>7.32</v>
      </c>
      <c r="N200" s="8"/>
      <c r="O200" s="8"/>
      <c r="P200" s="8"/>
      <c r="Q200" s="11"/>
      <c r="R200" s="11"/>
      <c r="S200" s="8">
        <v>13.46</v>
      </c>
      <c r="T200" s="8">
        <v>21.48</v>
      </c>
      <c r="U200" s="8">
        <v>21.47</v>
      </c>
      <c r="V200" s="8"/>
      <c r="W200" s="8"/>
      <c r="X200" s="8"/>
      <c r="Y200" s="8"/>
      <c r="Z200" s="8"/>
      <c r="AA200" s="8"/>
      <c r="AB200" s="8"/>
      <c r="AC200" s="8">
        <v>11.46</v>
      </c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11"/>
      <c r="AQ200" s="8"/>
      <c r="AR200" s="8"/>
      <c r="AS200" s="8"/>
      <c r="AT200" s="8">
        <v>1890.61</v>
      </c>
      <c r="AU200" s="8"/>
      <c r="AV200" s="8"/>
      <c r="AW200" s="8"/>
      <c r="AX200" s="8"/>
      <c r="AY200" s="8"/>
      <c r="AZ200" s="8"/>
      <c r="BA200" s="8">
        <v>65.599999999999994</v>
      </c>
      <c r="BB200" s="8"/>
      <c r="BC200" s="8"/>
      <c r="BD200" s="8"/>
      <c r="BE200" s="8"/>
      <c r="BF200" s="8">
        <v>200.32</v>
      </c>
      <c r="BG200" s="8">
        <v>148.77000000000001</v>
      </c>
      <c r="BH200" s="9">
        <f t="shared" si="27"/>
        <v>2858.76</v>
      </c>
      <c r="BI200" s="9">
        <f t="shared" si="28"/>
        <v>7.32</v>
      </c>
      <c r="BJ200" s="9">
        <f t="shared" si="29"/>
        <v>13.46</v>
      </c>
      <c r="BK200" s="9">
        <f t="shared" si="30"/>
        <v>42.95</v>
      </c>
      <c r="BL200" s="9">
        <f t="shared" si="31"/>
        <v>0</v>
      </c>
      <c r="BM200" s="9">
        <f t="shared" si="32"/>
        <v>11.46</v>
      </c>
      <c r="BN200" s="9">
        <f t="shared" si="33"/>
        <v>1890.61</v>
      </c>
      <c r="BO200" s="9">
        <f t="shared" si="34"/>
        <v>65.599999999999994</v>
      </c>
      <c r="BP200" s="9">
        <f t="shared" si="35"/>
        <v>200.32</v>
      </c>
    </row>
    <row r="201" spans="1:68">
      <c r="A201" s="6">
        <v>44594</v>
      </c>
      <c r="B201" s="7">
        <v>3079</v>
      </c>
      <c r="C201" s="8"/>
      <c r="D201" s="8"/>
      <c r="E201" s="8"/>
      <c r="F201" s="8">
        <v>474.22</v>
      </c>
      <c r="G201" s="8"/>
      <c r="H201" s="8"/>
      <c r="I201" s="8">
        <v>3852.3</v>
      </c>
      <c r="J201" s="8"/>
      <c r="K201" s="8"/>
      <c r="L201" s="8"/>
      <c r="M201" s="8"/>
      <c r="N201" s="8">
        <v>32.520000000000003</v>
      </c>
      <c r="O201" s="8"/>
      <c r="P201" s="8"/>
      <c r="Q201" s="8"/>
      <c r="R201" s="8"/>
      <c r="S201" s="8">
        <v>1.72</v>
      </c>
      <c r="T201" s="8">
        <v>43.3</v>
      </c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>
        <v>17.66</v>
      </c>
      <c r="AN201" s="8">
        <v>43.65</v>
      </c>
      <c r="AO201" s="8"/>
      <c r="AP201" s="8"/>
      <c r="AQ201" s="8"/>
      <c r="AR201" s="8">
        <v>108.83</v>
      </c>
      <c r="AS201" s="8"/>
      <c r="AT201" s="8">
        <v>1649.09</v>
      </c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>
        <v>119.09</v>
      </c>
      <c r="BH201" s="9">
        <f t="shared" si="27"/>
        <v>4326.5200000000004</v>
      </c>
      <c r="BI201" s="9">
        <f t="shared" si="28"/>
        <v>32.520000000000003</v>
      </c>
      <c r="BJ201" s="9">
        <f t="shared" si="29"/>
        <v>1.72</v>
      </c>
      <c r="BK201" s="9">
        <f t="shared" si="30"/>
        <v>43.3</v>
      </c>
      <c r="BL201" s="9">
        <f t="shared" si="31"/>
        <v>0</v>
      </c>
      <c r="BM201" s="9">
        <f t="shared" si="32"/>
        <v>170.14</v>
      </c>
      <c r="BN201" s="9">
        <f t="shared" si="33"/>
        <v>1649.09</v>
      </c>
      <c r="BO201" s="9">
        <f t="shared" si="34"/>
        <v>0</v>
      </c>
      <c r="BP201" s="9">
        <f t="shared" si="35"/>
        <v>0</v>
      </c>
    </row>
    <row r="202" spans="1:68">
      <c r="A202" s="6">
        <v>44594</v>
      </c>
      <c r="B202" s="7">
        <v>3016</v>
      </c>
      <c r="C202" s="8"/>
      <c r="D202" s="8">
        <v>2228.79</v>
      </c>
      <c r="E202" s="8"/>
      <c r="F202" s="8"/>
      <c r="G202" s="8"/>
      <c r="H202" s="8"/>
      <c r="I202" s="8">
        <v>2059.16</v>
      </c>
      <c r="J202" s="8"/>
      <c r="K202" s="8"/>
      <c r="L202" s="8"/>
      <c r="M202" s="8"/>
      <c r="N202" s="8">
        <v>25.73</v>
      </c>
      <c r="O202" s="8"/>
      <c r="P202" s="8"/>
      <c r="Q202" s="8"/>
      <c r="R202" s="8"/>
      <c r="S202" s="8">
        <v>3.01</v>
      </c>
      <c r="T202" s="8">
        <v>42.83</v>
      </c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>
        <v>17.46</v>
      </c>
      <c r="AN202" s="8">
        <v>51.43</v>
      </c>
      <c r="AO202" s="8"/>
      <c r="AP202" s="8"/>
      <c r="AQ202" s="8"/>
      <c r="AR202" s="8">
        <v>107.63</v>
      </c>
      <c r="AS202" s="8"/>
      <c r="AT202" s="8">
        <v>1593.54</v>
      </c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>
        <v>116.73</v>
      </c>
      <c r="BH202" s="9">
        <f t="shared" si="27"/>
        <v>4287.95</v>
      </c>
      <c r="BI202" s="9">
        <f t="shared" si="28"/>
        <v>25.73</v>
      </c>
      <c r="BJ202" s="9">
        <f t="shared" si="29"/>
        <v>3.01</v>
      </c>
      <c r="BK202" s="9">
        <f t="shared" si="30"/>
        <v>42.83</v>
      </c>
      <c r="BL202" s="9">
        <f t="shared" si="31"/>
        <v>0</v>
      </c>
      <c r="BM202" s="9">
        <f t="shared" si="32"/>
        <v>176.51999999999998</v>
      </c>
      <c r="BN202" s="9">
        <f t="shared" si="33"/>
        <v>1593.54</v>
      </c>
      <c r="BO202" s="9">
        <f t="shared" si="34"/>
        <v>0</v>
      </c>
      <c r="BP202" s="9">
        <f t="shared" si="35"/>
        <v>0</v>
      </c>
    </row>
    <row r="203" spans="1:68">
      <c r="A203" s="6">
        <v>44594</v>
      </c>
      <c r="B203" s="7">
        <v>3017</v>
      </c>
      <c r="C203" s="8"/>
      <c r="D203" s="8">
        <v>930.35</v>
      </c>
      <c r="E203" s="8"/>
      <c r="F203" s="8"/>
      <c r="G203" s="8"/>
      <c r="H203" s="8"/>
      <c r="I203" s="8">
        <v>1280.32</v>
      </c>
      <c r="J203" s="8"/>
      <c r="K203" s="8"/>
      <c r="L203" s="8"/>
      <c r="M203" s="8"/>
      <c r="N203" s="8">
        <v>15.47</v>
      </c>
      <c r="O203" s="8"/>
      <c r="P203" s="8"/>
      <c r="Q203" s="8"/>
      <c r="R203" s="8"/>
      <c r="S203" s="8">
        <v>1.55</v>
      </c>
      <c r="T203" s="8"/>
      <c r="U203" s="8"/>
      <c r="V203" s="8"/>
      <c r="W203" s="8">
        <v>16.579999999999998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>
        <v>8.8800000000000008</v>
      </c>
      <c r="AN203" s="8">
        <v>22.4</v>
      </c>
      <c r="AO203" s="8"/>
      <c r="AP203" s="8"/>
      <c r="AQ203" s="8"/>
      <c r="AR203" s="8">
        <v>88.8</v>
      </c>
      <c r="AS203" s="8"/>
      <c r="AT203" s="8">
        <v>948.54</v>
      </c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>
        <v>69</v>
      </c>
      <c r="BH203" s="9">
        <f t="shared" si="27"/>
        <v>2210.67</v>
      </c>
      <c r="BI203" s="9">
        <f t="shared" si="28"/>
        <v>15.47</v>
      </c>
      <c r="BJ203" s="9">
        <f t="shared" si="29"/>
        <v>1.55</v>
      </c>
      <c r="BK203" s="9">
        <f t="shared" si="30"/>
        <v>16.579999999999998</v>
      </c>
      <c r="BL203" s="9">
        <f t="shared" si="31"/>
        <v>0</v>
      </c>
      <c r="BM203" s="9">
        <f t="shared" si="32"/>
        <v>120.08</v>
      </c>
      <c r="BN203" s="9">
        <f t="shared" si="33"/>
        <v>948.54</v>
      </c>
      <c r="BO203" s="9">
        <f t="shared" si="34"/>
        <v>0</v>
      </c>
      <c r="BP203" s="9">
        <f t="shared" si="35"/>
        <v>0</v>
      </c>
    </row>
    <row r="204" spans="1:68">
      <c r="A204" s="6">
        <v>44595</v>
      </c>
      <c r="B204" s="7">
        <v>3429</v>
      </c>
      <c r="C204" s="8">
        <v>706.17</v>
      </c>
      <c r="D204" s="8"/>
      <c r="E204" s="8"/>
      <c r="F204" s="8"/>
      <c r="G204" s="8"/>
      <c r="H204" s="8"/>
      <c r="I204" s="8"/>
      <c r="J204" s="8"/>
      <c r="K204" s="8"/>
      <c r="L204" s="8"/>
      <c r="M204" s="8">
        <v>2.48</v>
      </c>
      <c r="N204" s="8"/>
      <c r="O204" s="8"/>
      <c r="P204" s="8"/>
      <c r="Q204" s="8"/>
      <c r="R204" s="8"/>
      <c r="S204" s="8">
        <v>1.98</v>
      </c>
      <c r="T204" s="8">
        <v>7.08</v>
      </c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>
        <v>363.36</v>
      </c>
      <c r="AU204" s="8"/>
      <c r="AV204" s="8">
        <v>21.26</v>
      </c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>
        <v>24.75</v>
      </c>
      <c r="BH204" s="9">
        <f t="shared" si="27"/>
        <v>706.17</v>
      </c>
      <c r="BI204" s="9">
        <f t="shared" si="28"/>
        <v>2.48</v>
      </c>
      <c r="BJ204" s="9">
        <f t="shared" si="29"/>
        <v>1.98</v>
      </c>
      <c r="BK204" s="9">
        <f t="shared" si="30"/>
        <v>7.08</v>
      </c>
      <c r="BL204" s="9">
        <f t="shared" si="31"/>
        <v>0</v>
      </c>
      <c r="BM204" s="9">
        <f t="shared" si="32"/>
        <v>0</v>
      </c>
      <c r="BN204" s="9">
        <f t="shared" si="33"/>
        <v>363.36</v>
      </c>
      <c r="BO204" s="9">
        <f t="shared" si="34"/>
        <v>21.26</v>
      </c>
      <c r="BP204" s="9">
        <f t="shared" si="35"/>
        <v>0</v>
      </c>
    </row>
    <row r="205" spans="1:68">
      <c r="A205" s="6">
        <v>44595</v>
      </c>
      <c r="B205" s="7">
        <v>3423</v>
      </c>
      <c r="C205" s="8">
        <v>374.35</v>
      </c>
      <c r="D205" s="8">
        <v>374.17</v>
      </c>
      <c r="E205" s="8"/>
      <c r="F205" s="8"/>
      <c r="G205" s="8"/>
      <c r="H205" s="8"/>
      <c r="I205" s="8"/>
      <c r="J205" s="8"/>
      <c r="K205" s="8"/>
      <c r="L205" s="8"/>
      <c r="M205" s="8">
        <v>3.01</v>
      </c>
      <c r="N205" s="8"/>
      <c r="O205" s="8"/>
      <c r="P205" s="8"/>
      <c r="Q205" s="8"/>
      <c r="R205" s="8"/>
      <c r="S205" s="8">
        <v>1.73</v>
      </c>
      <c r="T205" s="8"/>
      <c r="U205" s="8"/>
      <c r="V205" s="8"/>
      <c r="W205" s="8"/>
      <c r="X205" s="8">
        <v>7.53</v>
      </c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>
        <v>348.9</v>
      </c>
      <c r="AU205" s="8"/>
      <c r="AV205" s="8">
        <v>22.53</v>
      </c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>
        <v>24.9</v>
      </c>
      <c r="BH205" s="9">
        <f t="shared" si="27"/>
        <v>748.52</v>
      </c>
      <c r="BI205" s="9">
        <f t="shared" si="28"/>
        <v>3.01</v>
      </c>
      <c r="BJ205" s="9">
        <f t="shared" si="29"/>
        <v>1.73</v>
      </c>
      <c r="BK205" s="9">
        <f t="shared" si="30"/>
        <v>7.53</v>
      </c>
      <c r="BL205" s="9">
        <f t="shared" si="31"/>
        <v>0</v>
      </c>
      <c r="BM205" s="9">
        <f t="shared" si="32"/>
        <v>0</v>
      </c>
      <c r="BN205" s="9">
        <f t="shared" si="33"/>
        <v>348.9</v>
      </c>
      <c r="BO205" s="9">
        <f t="shared" si="34"/>
        <v>22.53</v>
      </c>
      <c r="BP205" s="9">
        <f t="shared" si="35"/>
        <v>0</v>
      </c>
    </row>
    <row r="206" spans="1:68">
      <c r="A206" s="6">
        <v>44595</v>
      </c>
      <c r="B206" s="7">
        <v>3118</v>
      </c>
      <c r="C206" s="8">
        <v>1215.32</v>
      </c>
      <c r="D206" s="8"/>
      <c r="E206" s="8"/>
      <c r="F206" s="8"/>
      <c r="G206" s="8"/>
      <c r="H206" s="8"/>
      <c r="I206" s="8"/>
      <c r="J206" s="8"/>
      <c r="K206" s="8"/>
      <c r="L206" s="8"/>
      <c r="M206" s="8">
        <v>3.65</v>
      </c>
      <c r="N206" s="8"/>
      <c r="O206" s="8"/>
      <c r="P206" s="8"/>
      <c r="Q206" s="8"/>
      <c r="R206" s="8"/>
      <c r="S206" s="8">
        <v>6.45</v>
      </c>
      <c r="T206" s="8">
        <v>7.3</v>
      </c>
      <c r="U206" s="8">
        <v>7.3</v>
      </c>
      <c r="V206" s="8"/>
      <c r="W206" s="8"/>
      <c r="X206" s="8"/>
      <c r="Y206" s="8"/>
      <c r="Z206" s="8"/>
      <c r="AA206" s="8"/>
      <c r="AB206" s="8"/>
      <c r="AC206" s="8">
        <v>4.8600000000000003</v>
      </c>
      <c r="AD206" s="8"/>
      <c r="AE206" s="8">
        <v>12.05</v>
      </c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>
        <v>790.08</v>
      </c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>
        <v>85.09</v>
      </c>
      <c r="BG206" s="8">
        <v>60</v>
      </c>
      <c r="BH206" s="9">
        <f t="shared" si="27"/>
        <v>1215.32</v>
      </c>
      <c r="BI206" s="9">
        <f t="shared" si="28"/>
        <v>3.65</v>
      </c>
      <c r="BJ206" s="9">
        <f t="shared" si="29"/>
        <v>6.45</v>
      </c>
      <c r="BK206" s="9">
        <f t="shared" si="30"/>
        <v>14.6</v>
      </c>
      <c r="BL206" s="9">
        <f t="shared" si="31"/>
        <v>0</v>
      </c>
      <c r="BM206" s="9">
        <f t="shared" si="32"/>
        <v>16.91</v>
      </c>
      <c r="BN206" s="9">
        <f t="shared" si="33"/>
        <v>790.08</v>
      </c>
      <c r="BO206" s="9">
        <f t="shared" si="34"/>
        <v>0</v>
      </c>
      <c r="BP206" s="9">
        <f t="shared" si="35"/>
        <v>85.09</v>
      </c>
    </row>
    <row r="207" spans="1:68">
      <c r="A207" s="6">
        <v>44595</v>
      </c>
      <c r="B207" s="7">
        <v>3601</v>
      </c>
      <c r="C207" s="8">
        <v>311.81</v>
      </c>
      <c r="D207" s="8"/>
      <c r="E207" s="8"/>
      <c r="F207" s="8"/>
      <c r="G207" s="8">
        <v>467.68</v>
      </c>
      <c r="H207" s="8"/>
      <c r="I207" s="8"/>
      <c r="J207" s="8"/>
      <c r="K207" s="8"/>
      <c r="L207" s="8"/>
      <c r="M207" s="8">
        <v>0.95</v>
      </c>
      <c r="N207" s="8"/>
      <c r="O207" s="8"/>
      <c r="P207" s="8"/>
      <c r="Q207" s="11"/>
      <c r="R207" s="11"/>
      <c r="S207" s="8">
        <v>4.1900000000000004</v>
      </c>
      <c r="T207" s="8"/>
      <c r="U207" s="8">
        <v>4.7</v>
      </c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11"/>
      <c r="AQ207" s="8"/>
      <c r="AR207" s="8"/>
      <c r="AS207" s="8"/>
      <c r="AT207" s="8">
        <v>381.67</v>
      </c>
      <c r="AU207" s="8"/>
      <c r="AV207" s="8"/>
      <c r="AW207" s="8">
        <v>23.74</v>
      </c>
      <c r="AX207" s="8"/>
      <c r="AY207" s="8"/>
      <c r="AZ207" s="8"/>
      <c r="BA207" s="8"/>
      <c r="BB207" s="8"/>
      <c r="BC207" s="8"/>
      <c r="BD207" s="8"/>
      <c r="BE207" s="8"/>
      <c r="BF207" s="8">
        <v>43.78</v>
      </c>
      <c r="BG207" s="8">
        <v>28.99</v>
      </c>
      <c r="BH207" s="9">
        <f t="shared" si="27"/>
        <v>779.49</v>
      </c>
      <c r="BI207" s="9">
        <f t="shared" si="28"/>
        <v>0.95</v>
      </c>
      <c r="BJ207" s="9">
        <f t="shared" si="29"/>
        <v>4.1900000000000004</v>
      </c>
      <c r="BK207" s="9">
        <f t="shared" si="30"/>
        <v>4.7</v>
      </c>
      <c r="BL207" s="9">
        <f t="shared" si="31"/>
        <v>0</v>
      </c>
      <c r="BM207" s="9">
        <f t="shared" si="32"/>
        <v>0</v>
      </c>
      <c r="BN207" s="9">
        <f t="shared" si="33"/>
        <v>381.67</v>
      </c>
      <c r="BO207" s="9">
        <f t="shared" si="34"/>
        <v>23.74</v>
      </c>
      <c r="BP207" s="9">
        <f t="shared" si="35"/>
        <v>43.78</v>
      </c>
    </row>
    <row r="208" spans="1:68">
      <c r="A208" s="6">
        <v>44595</v>
      </c>
      <c r="B208" s="7">
        <v>3204</v>
      </c>
      <c r="C208" s="8"/>
      <c r="D208" s="8">
        <v>901.68</v>
      </c>
      <c r="E208" s="8">
        <v>385.43</v>
      </c>
      <c r="F208" s="8"/>
      <c r="G208" s="8"/>
      <c r="H208" s="8"/>
      <c r="I208" s="8"/>
      <c r="J208" s="8"/>
      <c r="K208" s="8"/>
      <c r="L208" s="8"/>
      <c r="M208" s="8"/>
      <c r="N208" s="8"/>
      <c r="O208" s="8">
        <v>6.45</v>
      </c>
      <c r="P208" s="8"/>
      <c r="Q208" s="11"/>
      <c r="R208" s="11"/>
      <c r="S208" s="8">
        <v>4.38</v>
      </c>
      <c r="T208" s="8">
        <v>7.75</v>
      </c>
      <c r="U208" s="8">
        <v>6.45</v>
      </c>
      <c r="V208" s="8"/>
      <c r="W208" s="8"/>
      <c r="X208" s="8"/>
      <c r="Y208" s="8"/>
      <c r="Z208" s="8">
        <v>193.76</v>
      </c>
      <c r="AA208" s="8"/>
      <c r="AB208" s="8">
        <v>6.35</v>
      </c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11"/>
      <c r="AQ208" s="8"/>
      <c r="AR208" s="8"/>
      <c r="AS208" s="8"/>
      <c r="AT208" s="8">
        <v>567.99</v>
      </c>
      <c r="AU208" s="8"/>
      <c r="AV208" s="8"/>
      <c r="AW208" s="8">
        <v>4.12</v>
      </c>
      <c r="AX208" s="8"/>
      <c r="AY208" s="8"/>
      <c r="AZ208" s="8"/>
      <c r="BA208" s="8"/>
      <c r="BB208" s="8"/>
      <c r="BC208" s="8"/>
      <c r="BD208" s="8"/>
      <c r="BE208" s="8"/>
      <c r="BF208" s="8"/>
      <c r="BG208" s="8">
        <v>41.97</v>
      </c>
      <c r="BH208" s="9">
        <f t="shared" si="27"/>
        <v>1287.1099999999999</v>
      </c>
      <c r="BI208" s="9">
        <f t="shared" si="28"/>
        <v>6.45</v>
      </c>
      <c r="BJ208" s="9">
        <f t="shared" si="29"/>
        <v>4.38</v>
      </c>
      <c r="BK208" s="9">
        <f t="shared" si="30"/>
        <v>14.2</v>
      </c>
      <c r="BL208" s="9">
        <f t="shared" si="31"/>
        <v>193.76</v>
      </c>
      <c r="BM208" s="9">
        <f t="shared" si="32"/>
        <v>6.35</v>
      </c>
      <c r="BN208" s="9">
        <f t="shared" si="33"/>
        <v>567.99</v>
      </c>
      <c r="BO208" s="9">
        <f t="shared" si="34"/>
        <v>4.12</v>
      </c>
      <c r="BP208" s="9">
        <f t="shared" si="35"/>
        <v>0</v>
      </c>
    </row>
    <row r="209" spans="1:68">
      <c r="A209" s="6">
        <v>44595</v>
      </c>
      <c r="B209" s="7">
        <v>3023</v>
      </c>
      <c r="C209" s="8"/>
      <c r="D209" s="8">
        <v>1581.82</v>
      </c>
      <c r="E209" s="8"/>
      <c r="F209" s="8"/>
      <c r="G209" s="8"/>
      <c r="H209" s="8"/>
      <c r="I209" s="8">
        <v>855.42</v>
      </c>
      <c r="J209" s="8"/>
      <c r="K209" s="8"/>
      <c r="L209" s="8"/>
      <c r="M209" s="8"/>
      <c r="N209" s="8">
        <v>13.66</v>
      </c>
      <c r="O209" s="8"/>
      <c r="P209" s="8"/>
      <c r="Q209" s="8"/>
      <c r="R209" s="8"/>
      <c r="S209" s="8">
        <v>3.91</v>
      </c>
      <c r="T209" s="8"/>
      <c r="U209" s="8"/>
      <c r="V209" s="8"/>
      <c r="W209" s="8">
        <v>22.19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>
        <v>24.15</v>
      </c>
      <c r="AN209" s="8">
        <v>17.11</v>
      </c>
      <c r="AO209" s="8"/>
      <c r="AP209" s="8"/>
      <c r="AQ209" s="8"/>
      <c r="AR209" s="8"/>
      <c r="AS209" s="8">
        <v>80.430000000000007</v>
      </c>
      <c r="AT209" s="8">
        <v>1001.57</v>
      </c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>
        <v>75.58</v>
      </c>
      <c r="BH209" s="9">
        <f t="shared" si="27"/>
        <v>2437.2399999999998</v>
      </c>
      <c r="BI209" s="9">
        <f t="shared" si="28"/>
        <v>13.66</v>
      </c>
      <c r="BJ209" s="9">
        <f t="shared" si="29"/>
        <v>3.91</v>
      </c>
      <c r="BK209" s="9">
        <f t="shared" si="30"/>
        <v>22.19</v>
      </c>
      <c r="BL209" s="9">
        <f t="shared" si="31"/>
        <v>0</v>
      </c>
      <c r="BM209" s="9">
        <f t="shared" si="32"/>
        <v>121.69</v>
      </c>
      <c r="BN209" s="9">
        <f t="shared" si="33"/>
        <v>1001.57</v>
      </c>
      <c r="BO209" s="9">
        <f t="shared" si="34"/>
        <v>0</v>
      </c>
      <c r="BP209" s="9">
        <f t="shared" si="35"/>
        <v>0</v>
      </c>
    </row>
    <row r="210" spans="1:68">
      <c r="A210" s="6">
        <v>44595</v>
      </c>
      <c r="B210" s="7">
        <v>3020</v>
      </c>
      <c r="C210" s="8"/>
      <c r="D210" s="8">
        <v>306.76</v>
      </c>
      <c r="E210" s="8"/>
      <c r="F210" s="8"/>
      <c r="G210" s="8"/>
      <c r="H210" s="8"/>
      <c r="I210" s="8">
        <v>1732.4</v>
      </c>
      <c r="J210" s="8"/>
      <c r="K210" s="8"/>
      <c r="L210" s="8"/>
      <c r="M210" s="8"/>
      <c r="N210" s="8">
        <v>12.25</v>
      </c>
      <c r="O210" s="8"/>
      <c r="P210" s="8"/>
      <c r="Q210" s="8"/>
      <c r="R210" s="8"/>
      <c r="S210" s="8">
        <v>3.68</v>
      </c>
      <c r="T210" s="8"/>
      <c r="U210" s="8"/>
      <c r="V210" s="8"/>
      <c r="W210" s="8">
        <v>20.62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>
        <v>20.86</v>
      </c>
      <c r="AN210" s="8"/>
      <c r="AO210" s="8"/>
      <c r="AP210" s="8"/>
      <c r="AQ210" s="8"/>
      <c r="AR210" s="8"/>
      <c r="AS210" s="8">
        <v>51.77</v>
      </c>
      <c r="AT210" s="8">
        <v>1002.22</v>
      </c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>
        <v>73.38</v>
      </c>
      <c r="BH210" s="9">
        <f t="shared" si="27"/>
        <v>2039.16</v>
      </c>
      <c r="BI210" s="9">
        <f t="shared" si="28"/>
        <v>12.25</v>
      </c>
      <c r="BJ210" s="9">
        <f t="shared" si="29"/>
        <v>3.68</v>
      </c>
      <c r="BK210" s="9">
        <f t="shared" si="30"/>
        <v>20.62</v>
      </c>
      <c r="BL210" s="9">
        <f t="shared" si="31"/>
        <v>0</v>
      </c>
      <c r="BM210" s="9">
        <f t="shared" si="32"/>
        <v>72.63</v>
      </c>
      <c r="BN210" s="9">
        <f t="shared" si="33"/>
        <v>1002.22</v>
      </c>
      <c r="BO210" s="9">
        <f t="shared" si="34"/>
        <v>0</v>
      </c>
      <c r="BP210" s="9">
        <f t="shared" si="35"/>
        <v>0</v>
      </c>
    </row>
    <row r="211" spans="1:68">
      <c r="A211" s="6">
        <v>44595</v>
      </c>
      <c r="B211" s="7">
        <v>3141</v>
      </c>
      <c r="C211" s="8">
        <v>2432.67</v>
      </c>
      <c r="D211" s="8">
        <v>429.59</v>
      </c>
      <c r="E211" s="8"/>
      <c r="F211" s="8"/>
      <c r="G211" s="8"/>
      <c r="H211" s="8"/>
      <c r="I211" s="8"/>
      <c r="J211" s="8"/>
      <c r="K211" s="8"/>
      <c r="L211" s="8"/>
      <c r="M211" s="8">
        <v>7.41</v>
      </c>
      <c r="N211" s="8"/>
      <c r="O211" s="8"/>
      <c r="P211" s="8"/>
      <c r="Q211" s="8"/>
      <c r="R211" s="8"/>
      <c r="S211" s="8">
        <v>13.47</v>
      </c>
      <c r="T211" s="8">
        <v>21.5</v>
      </c>
      <c r="U211" s="8">
        <v>21.51</v>
      </c>
      <c r="V211" s="8"/>
      <c r="W211" s="8"/>
      <c r="X211" s="8"/>
      <c r="Y211" s="8"/>
      <c r="Z211" s="8"/>
      <c r="AA211" s="8"/>
      <c r="AB211" s="8"/>
      <c r="AC211" s="8">
        <v>11.46</v>
      </c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>
        <v>1900.93</v>
      </c>
      <c r="AU211" s="8"/>
      <c r="AV211" s="8"/>
      <c r="AW211" s="8"/>
      <c r="AX211" s="8"/>
      <c r="AY211" s="8"/>
      <c r="AZ211" s="8"/>
      <c r="BA211" s="8">
        <v>65.62</v>
      </c>
      <c r="BB211" s="8"/>
      <c r="BC211" s="8"/>
      <c r="BD211" s="8"/>
      <c r="BE211" s="8"/>
      <c r="BF211" s="8">
        <v>200.41</v>
      </c>
      <c r="BG211" s="8">
        <v>148.77000000000001</v>
      </c>
      <c r="BH211" s="9">
        <f t="shared" si="27"/>
        <v>2862.26</v>
      </c>
      <c r="BI211" s="9">
        <f t="shared" si="28"/>
        <v>7.41</v>
      </c>
      <c r="BJ211" s="9">
        <f t="shared" si="29"/>
        <v>13.47</v>
      </c>
      <c r="BK211" s="9">
        <f t="shared" si="30"/>
        <v>43.010000000000005</v>
      </c>
      <c r="BL211" s="9">
        <f t="shared" si="31"/>
        <v>0</v>
      </c>
      <c r="BM211" s="9">
        <f t="shared" si="32"/>
        <v>11.46</v>
      </c>
      <c r="BN211" s="9">
        <f t="shared" si="33"/>
        <v>1900.93</v>
      </c>
      <c r="BO211" s="9">
        <f t="shared" si="34"/>
        <v>65.62</v>
      </c>
      <c r="BP211" s="9">
        <f t="shared" si="35"/>
        <v>200.41</v>
      </c>
    </row>
    <row r="212" spans="1:68">
      <c r="A212" s="6">
        <v>44595</v>
      </c>
      <c r="B212" s="7">
        <v>3119</v>
      </c>
      <c r="C212" s="8">
        <v>2625.28</v>
      </c>
      <c r="D212" s="8"/>
      <c r="E212" s="8"/>
      <c r="F212" s="8"/>
      <c r="G212" s="8"/>
      <c r="H212" s="8"/>
      <c r="I212" s="8"/>
      <c r="J212" s="8"/>
      <c r="K212" s="8"/>
      <c r="L212" s="8"/>
      <c r="M212" s="8">
        <v>7.87</v>
      </c>
      <c r="N212" s="8"/>
      <c r="O212" s="8"/>
      <c r="P212" s="8"/>
      <c r="Q212" s="8"/>
      <c r="R212" s="8"/>
      <c r="S212" s="8">
        <v>12.8</v>
      </c>
      <c r="T212" s="8">
        <v>26.23</v>
      </c>
      <c r="U212" s="8"/>
      <c r="V212" s="8"/>
      <c r="W212" s="8"/>
      <c r="X212" s="8"/>
      <c r="Y212" s="8"/>
      <c r="Z212" s="8"/>
      <c r="AA212" s="8"/>
      <c r="AB212" s="8"/>
      <c r="AC212" s="8">
        <v>6.57</v>
      </c>
      <c r="AD212" s="8"/>
      <c r="AE212" s="8"/>
      <c r="AF212" s="8"/>
      <c r="AG212" s="8">
        <v>7.88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>
        <v>984.08</v>
      </c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>
        <v>183.67</v>
      </c>
      <c r="BG212" s="8">
        <v>69.58</v>
      </c>
      <c r="BH212" s="9">
        <f t="shared" si="27"/>
        <v>2625.28</v>
      </c>
      <c r="BI212" s="9">
        <f t="shared" si="28"/>
        <v>7.87</v>
      </c>
      <c r="BJ212" s="9">
        <f t="shared" si="29"/>
        <v>12.8</v>
      </c>
      <c r="BK212" s="9">
        <f t="shared" si="30"/>
        <v>26.23</v>
      </c>
      <c r="BL212" s="9">
        <f t="shared" si="31"/>
        <v>0</v>
      </c>
      <c r="BM212" s="9">
        <f t="shared" si="32"/>
        <v>14.45</v>
      </c>
      <c r="BN212" s="9">
        <f t="shared" si="33"/>
        <v>984.08</v>
      </c>
      <c r="BO212" s="9">
        <f t="shared" si="34"/>
        <v>0</v>
      </c>
      <c r="BP212" s="9">
        <f t="shared" si="35"/>
        <v>183.67</v>
      </c>
    </row>
    <row r="213" spans="1:68">
      <c r="A213" s="6">
        <v>44595</v>
      </c>
      <c r="B213" s="7">
        <v>3108</v>
      </c>
      <c r="C213" s="8">
        <v>2266.81</v>
      </c>
      <c r="D213" s="8"/>
      <c r="E213" s="8"/>
      <c r="F213" s="8"/>
      <c r="G213" s="8"/>
      <c r="H213" s="8"/>
      <c r="I213" s="8"/>
      <c r="J213" s="8"/>
      <c r="K213" s="8"/>
      <c r="L213" s="8"/>
      <c r="M213" s="8">
        <v>5.68</v>
      </c>
      <c r="N213" s="8"/>
      <c r="O213" s="8"/>
      <c r="P213" s="8"/>
      <c r="Q213" s="8"/>
      <c r="R213" s="8"/>
      <c r="S213" s="8">
        <v>7.74</v>
      </c>
      <c r="T213" s="8">
        <v>28.82</v>
      </c>
      <c r="U213" s="8"/>
      <c r="V213" s="8"/>
      <c r="W213" s="8"/>
      <c r="X213" s="8"/>
      <c r="Y213" s="8"/>
      <c r="Z213" s="8"/>
      <c r="AA213" s="8"/>
      <c r="AB213" s="8"/>
      <c r="AC213" s="8">
        <v>9.09</v>
      </c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>
        <v>1238.8</v>
      </c>
      <c r="AU213" s="8"/>
      <c r="AV213" s="8"/>
      <c r="AW213" s="8"/>
      <c r="AX213" s="8"/>
      <c r="AY213" s="8"/>
      <c r="AZ213" s="8"/>
      <c r="BA213" s="8"/>
      <c r="BB213" s="8">
        <v>42.25</v>
      </c>
      <c r="BC213" s="8"/>
      <c r="BD213" s="8"/>
      <c r="BE213" s="8"/>
      <c r="BF213" s="8"/>
      <c r="BG213" s="8">
        <v>91.98</v>
      </c>
      <c r="BH213" s="9">
        <f t="shared" si="27"/>
        <v>2266.81</v>
      </c>
      <c r="BI213" s="9">
        <f t="shared" si="28"/>
        <v>5.68</v>
      </c>
      <c r="BJ213" s="9">
        <f t="shared" si="29"/>
        <v>7.74</v>
      </c>
      <c r="BK213" s="9">
        <f t="shared" si="30"/>
        <v>28.82</v>
      </c>
      <c r="BL213" s="9">
        <f t="shared" si="31"/>
        <v>0</v>
      </c>
      <c r="BM213" s="9">
        <f t="shared" si="32"/>
        <v>9.09</v>
      </c>
      <c r="BN213" s="9">
        <f t="shared" si="33"/>
        <v>1238.8</v>
      </c>
      <c r="BO213" s="9">
        <f t="shared" si="34"/>
        <v>42.25</v>
      </c>
      <c r="BP213" s="9">
        <f t="shared" si="35"/>
        <v>0</v>
      </c>
    </row>
    <row r="214" spans="1:68">
      <c r="A214" s="6">
        <v>44595</v>
      </c>
      <c r="B214" s="7">
        <v>3135</v>
      </c>
      <c r="C214" s="8">
        <v>1044.69</v>
      </c>
      <c r="D214" s="8">
        <v>146.1</v>
      </c>
      <c r="E214" s="8"/>
      <c r="F214" s="8"/>
      <c r="G214" s="8"/>
      <c r="H214" s="8">
        <v>493.69</v>
      </c>
      <c r="I214" s="8"/>
      <c r="J214" s="8"/>
      <c r="K214" s="8"/>
      <c r="L214" s="8"/>
      <c r="M214" s="8">
        <v>3.22</v>
      </c>
      <c r="N214" s="8"/>
      <c r="O214" s="8"/>
      <c r="P214" s="8"/>
      <c r="Q214" s="8"/>
      <c r="R214" s="8"/>
      <c r="S214" s="8">
        <v>6.74</v>
      </c>
      <c r="T214" s="8">
        <v>10.24</v>
      </c>
      <c r="U214" s="8">
        <v>8.7899999999999991</v>
      </c>
      <c r="V214" s="8"/>
      <c r="W214" s="8"/>
      <c r="X214" s="8"/>
      <c r="Y214" s="8"/>
      <c r="Z214" s="8"/>
      <c r="AA214" s="8"/>
      <c r="AB214" s="8"/>
      <c r="AC214" s="8">
        <v>5.86</v>
      </c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>
        <v>1031.7</v>
      </c>
      <c r="AU214" s="8"/>
      <c r="AV214" s="8"/>
      <c r="AW214" s="8"/>
      <c r="AX214" s="8"/>
      <c r="AY214" s="8"/>
      <c r="AZ214" s="8"/>
      <c r="BA214" s="8">
        <v>33.409999999999997</v>
      </c>
      <c r="BB214" s="8"/>
      <c r="BC214" s="8"/>
      <c r="BD214" s="8"/>
      <c r="BE214" s="8"/>
      <c r="BF214" s="8">
        <v>65.94</v>
      </c>
      <c r="BG214" s="8">
        <v>77.55</v>
      </c>
      <c r="BH214" s="9">
        <f t="shared" si="27"/>
        <v>1684.48</v>
      </c>
      <c r="BI214" s="9">
        <f t="shared" si="28"/>
        <v>3.22</v>
      </c>
      <c r="BJ214" s="9">
        <f t="shared" si="29"/>
        <v>6.74</v>
      </c>
      <c r="BK214" s="9">
        <f t="shared" si="30"/>
        <v>19.03</v>
      </c>
      <c r="BL214" s="9">
        <f t="shared" si="31"/>
        <v>0</v>
      </c>
      <c r="BM214" s="9">
        <f t="shared" si="32"/>
        <v>5.86</v>
      </c>
      <c r="BN214" s="9">
        <f t="shared" si="33"/>
        <v>1031.7</v>
      </c>
      <c r="BO214" s="9">
        <f t="shared" si="34"/>
        <v>33.409999999999997</v>
      </c>
      <c r="BP214" s="9">
        <f t="shared" si="35"/>
        <v>65.94</v>
      </c>
    </row>
    <row r="215" spans="1:68">
      <c r="A215" s="6">
        <v>44596</v>
      </c>
      <c r="B215" s="7">
        <v>3206</v>
      </c>
      <c r="C215" s="8">
        <v>601.69000000000005</v>
      </c>
      <c r="D215" s="8">
        <v>1077.78</v>
      </c>
      <c r="E215" s="8">
        <v>718.44</v>
      </c>
      <c r="F215" s="8"/>
      <c r="G215" s="8"/>
      <c r="H215" s="8"/>
      <c r="I215" s="8"/>
      <c r="J215" s="8"/>
      <c r="K215" s="8"/>
      <c r="L215" s="8"/>
      <c r="M215" s="8"/>
      <c r="N215" s="8"/>
      <c r="O215" s="8">
        <v>4.7699999999999996</v>
      </c>
      <c r="P215" s="8"/>
      <c r="Q215" s="8"/>
      <c r="R215" s="8"/>
      <c r="S215" s="8">
        <v>12.18</v>
      </c>
      <c r="T215" s="8"/>
      <c r="U215" s="8">
        <v>8.3800000000000008</v>
      </c>
      <c r="V215" s="8"/>
      <c r="W215" s="8"/>
      <c r="X215" s="8"/>
      <c r="Y215" s="8"/>
      <c r="Z215" s="8">
        <v>143.44</v>
      </c>
      <c r="AA215" s="8"/>
      <c r="AB215" s="8">
        <v>12.18</v>
      </c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>
        <v>417.13</v>
      </c>
      <c r="AU215" s="8">
        <v>208.16</v>
      </c>
      <c r="AV215" s="8"/>
      <c r="AW215" s="8">
        <v>9.07</v>
      </c>
      <c r="AX215" s="8"/>
      <c r="AY215" s="8"/>
      <c r="AZ215" s="8"/>
      <c r="BA215" s="8"/>
      <c r="BB215" s="8"/>
      <c r="BC215" s="8"/>
      <c r="BD215" s="8"/>
      <c r="BE215" s="8"/>
      <c r="BF215" s="8"/>
      <c r="BG215" s="8">
        <v>41.55</v>
      </c>
      <c r="BH215" s="9">
        <f t="shared" si="27"/>
        <v>2397.91</v>
      </c>
      <c r="BI215" s="9">
        <f t="shared" si="28"/>
        <v>4.7699999999999996</v>
      </c>
      <c r="BJ215" s="9">
        <f t="shared" si="29"/>
        <v>12.18</v>
      </c>
      <c r="BK215" s="9">
        <f t="shared" si="30"/>
        <v>8.3800000000000008</v>
      </c>
      <c r="BL215" s="9">
        <f t="shared" si="31"/>
        <v>143.44</v>
      </c>
      <c r="BM215" s="9">
        <f t="shared" si="32"/>
        <v>12.18</v>
      </c>
      <c r="BN215" s="9">
        <f t="shared" si="33"/>
        <v>625.29</v>
      </c>
      <c r="BO215" s="9">
        <f t="shared" si="34"/>
        <v>9.07</v>
      </c>
      <c r="BP215" s="9">
        <f t="shared" si="35"/>
        <v>0</v>
      </c>
    </row>
    <row r="216" spans="1:68">
      <c r="A216" s="6">
        <v>44596</v>
      </c>
      <c r="B216" s="7">
        <v>3031</v>
      </c>
      <c r="C216" s="8"/>
      <c r="D216" s="8"/>
      <c r="E216" s="8"/>
      <c r="F216" s="8"/>
      <c r="G216" s="8"/>
      <c r="H216" s="8"/>
      <c r="I216" s="8">
        <v>1120.52</v>
      </c>
      <c r="J216" s="8"/>
      <c r="K216" s="8"/>
      <c r="L216" s="8"/>
      <c r="M216" s="8"/>
      <c r="N216" s="8">
        <v>7.99</v>
      </c>
      <c r="O216" s="8"/>
      <c r="P216" s="8"/>
      <c r="Q216" s="8"/>
      <c r="R216" s="8"/>
      <c r="S216" s="8">
        <v>0.78</v>
      </c>
      <c r="T216" s="8">
        <v>11.25</v>
      </c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>
        <v>16.68</v>
      </c>
      <c r="AJ216" s="8"/>
      <c r="AK216" s="8"/>
      <c r="AL216" s="8"/>
      <c r="AM216" s="8"/>
      <c r="AN216" s="8">
        <v>11.39</v>
      </c>
      <c r="AO216" s="8"/>
      <c r="AP216" s="8"/>
      <c r="AQ216" s="8"/>
      <c r="AR216" s="8">
        <v>34</v>
      </c>
      <c r="AS216" s="8"/>
      <c r="AT216" s="8">
        <v>533.04</v>
      </c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>
        <v>36.04</v>
      </c>
      <c r="BH216" s="9">
        <f t="shared" si="27"/>
        <v>1120.52</v>
      </c>
      <c r="BI216" s="9">
        <f t="shared" si="28"/>
        <v>7.99</v>
      </c>
      <c r="BJ216" s="9">
        <f t="shared" si="29"/>
        <v>0.78</v>
      </c>
      <c r="BK216" s="9">
        <f t="shared" si="30"/>
        <v>11.25</v>
      </c>
      <c r="BL216" s="9">
        <f t="shared" si="31"/>
        <v>0</v>
      </c>
      <c r="BM216" s="9">
        <f t="shared" si="32"/>
        <v>62.07</v>
      </c>
      <c r="BN216" s="9">
        <f t="shared" si="33"/>
        <v>533.04</v>
      </c>
      <c r="BO216" s="9">
        <f t="shared" si="34"/>
        <v>0</v>
      </c>
      <c r="BP216" s="9">
        <f t="shared" si="35"/>
        <v>0</v>
      </c>
    </row>
    <row r="217" spans="1:68">
      <c r="A217" s="6">
        <v>44596</v>
      </c>
      <c r="B217" s="7">
        <v>3029</v>
      </c>
      <c r="C217" s="8"/>
      <c r="D217" s="8">
        <v>442.24</v>
      </c>
      <c r="E217" s="8"/>
      <c r="F217" s="8">
        <v>311.66000000000003</v>
      </c>
      <c r="G217" s="8"/>
      <c r="H217" s="8"/>
      <c r="I217" s="8">
        <v>1847.15</v>
      </c>
      <c r="J217" s="8"/>
      <c r="K217" s="8"/>
      <c r="L217" s="8"/>
      <c r="M217" s="8"/>
      <c r="N217" s="8">
        <v>19.78</v>
      </c>
      <c r="O217" s="8"/>
      <c r="P217" s="8"/>
      <c r="Q217" s="8"/>
      <c r="R217" s="8"/>
      <c r="S217" s="8">
        <v>1.56</v>
      </c>
      <c r="T217" s="8"/>
      <c r="U217" s="8"/>
      <c r="V217" s="8"/>
      <c r="W217" s="8">
        <v>26.4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>
        <v>9.17</v>
      </c>
      <c r="AN217" s="8">
        <v>12.85</v>
      </c>
      <c r="AO217" s="8"/>
      <c r="AP217" s="8"/>
      <c r="AQ217" s="8"/>
      <c r="AR217" s="8">
        <v>78.430000000000007</v>
      </c>
      <c r="AS217" s="8"/>
      <c r="AT217" s="8">
        <v>988.16</v>
      </c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>
        <v>69.08</v>
      </c>
      <c r="BH217" s="9">
        <f t="shared" si="27"/>
        <v>2601.0500000000002</v>
      </c>
      <c r="BI217" s="9">
        <f t="shared" si="28"/>
        <v>19.78</v>
      </c>
      <c r="BJ217" s="9">
        <f t="shared" si="29"/>
        <v>1.56</v>
      </c>
      <c r="BK217" s="9">
        <f t="shared" si="30"/>
        <v>26.4</v>
      </c>
      <c r="BL217" s="9">
        <f t="shared" si="31"/>
        <v>0</v>
      </c>
      <c r="BM217" s="9">
        <f t="shared" si="32"/>
        <v>100.45</v>
      </c>
      <c r="BN217" s="9">
        <f t="shared" si="33"/>
        <v>988.16</v>
      </c>
      <c r="BO217" s="9">
        <f t="shared" si="34"/>
        <v>0</v>
      </c>
      <c r="BP217" s="9">
        <f t="shared" si="35"/>
        <v>0</v>
      </c>
    </row>
    <row r="218" spans="1:68">
      <c r="A218" s="6">
        <v>44596</v>
      </c>
      <c r="B218" s="7">
        <v>3141</v>
      </c>
      <c r="C218" s="8">
        <v>2431.69</v>
      </c>
      <c r="D218" s="8">
        <v>429.33</v>
      </c>
      <c r="E218" s="8"/>
      <c r="F218" s="8"/>
      <c r="G218" s="8"/>
      <c r="H218" s="8"/>
      <c r="I218" s="8"/>
      <c r="J218" s="8"/>
      <c r="K218" s="8"/>
      <c r="L218" s="8"/>
      <c r="M218" s="8">
        <v>7.74</v>
      </c>
      <c r="N218" s="8"/>
      <c r="O218" s="8"/>
      <c r="P218" s="8"/>
      <c r="Q218" s="8"/>
      <c r="R218" s="8"/>
      <c r="S218" s="8">
        <v>13.47</v>
      </c>
      <c r="T218" s="8">
        <v>21.49</v>
      </c>
      <c r="U218" s="8">
        <v>21.48</v>
      </c>
      <c r="V218" s="8"/>
      <c r="W218" s="8"/>
      <c r="X218" s="8"/>
      <c r="Y218" s="8"/>
      <c r="Z218" s="8"/>
      <c r="AA218" s="8"/>
      <c r="AB218" s="8"/>
      <c r="AC218" s="8">
        <v>11.45</v>
      </c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>
        <v>1904.31</v>
      </c>
      <c r="AU218" s="8"/>
      <c r="AV218" s="8"/>
      <c r="AW218" s="8"/>
      <c r="AX218" s="8"/>
      <c r="AY218" s="8"/>
      <c r="AZ218" s="8"/>
      <c r="BA218" s="8">
        <v>65.59</v>
      </c>
      <c r="BB218" s="8"/>
      <c r="BC218" s="8"/>
      <c r="BD218" s="8"/>
      <c r="BE218" s="8"/>
      <c r="BF218" s="8">
        <v>200.41</v>
      </c>
      <c r="BG218" s="8">
        <v>148.79</v>
      </c>
      <c r="BH218" s="9">
        <f t="shared" si="27"/>
        <v>2861.02</v>
      </c>
      <c r="BI218" s="9">
        <f t="shared" si="28"/>
        <v>7.74</v>
      </c>
      <c r="BJ218" s="9">
        <f t="shared" si="29"/>
        <v>13.47</v>
      </c>
      <c r="BK218" s="9">
        <f t="shared" si="30"/>
        <v>42.97</v>
      </c>
      <c r="BL218" s="9">
        <f t="shared" si="31"/>
        <v>0</v>
      </c>
      <c r="BM218" s="9">
        <f t="shared" si="32"/>
        <v>11.45</v>
      </c>
      <c r="BN218" s="9">
        <f t="shared" si="33"/>
        <v>1904.31</v>
      </c>
      <c r="BO218" s="9">
        <f t="shared" si="34"/>
        <v>65.59</v>
      </c>
      <c r="BP218" s="9">
        <f t="shared" si="35"/>
        <v>200.41</v>
      </c>
    </row>
    <row r="219" spans="1:68">
      <c r="A219" s="6">
        <v>44596</v>
      </c>
      <c r="B219" s="7">
        <v>3110</v>
      </c>
      <c r="C219" s="8">
        <v>1242.01</v>
      </c>
      <c r="D219" s="8"/>
      <c r="E219" s="8"/>
      <c r="F219" s="8"/>
      <c r="G219" s="8"/>
      <c r="H219" s="8"/>
      <c r="I219" s="8"/>
      <c r="J219" s="8"/>
      <c r="K219" s="8"/>
      <c r="L219" s="8"/>
      <c r="M219" s="8">
        <v>2.4900000000000002</v>
      </c>
      <c r="N219" s="8"/>
      <c r="O219" s="8"/>
      <c r="P219" s="8"/>
      <c r="Q219" s="8"/>
      <c r="R219" s="8"/>
      <c r="S219" s="8">
        <v>4.2300000000000004</v>
      </c>
      <c r="T219" s="8">
        <v>12.3</v>
      </c>
      <c r="U219" s="8"/>
      <c r="V219" s="8"/>
      <c r="W219" s="8"/>
      <c r="X219" s="8"/>
      <c r="Y219" s="8"/>
      <c r="Z219" s="8"/>
      <c r="AA219" s="8"/>
      <c r="AB219" s="8"/>
      <c r="AC219" s="8">
        <v>4.97</v>
      </c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>
        <v>649.94000000000005</v>
      </c>
      <c r="AU219" s="8"/>
      <c r="AV219" s="8">
        <v>21.13</v>
      </c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>
        <v>47.95</v>
      </c>
      <c r="BH219" s="9">
        <f t="shared" si="27"/>
        <v>1242.01</v>
      </c>
      <c r="BI219" s="9">
        <f t="shared" si="28"/>
        <v>2.4900000000000002</v>
      </c>
      <c r="BJ219" s="9">
        <f t="shared" si="29"/>
        <v>4.2300000000000004</v>
      </c>
      <c r="BK219" s="9">
        <f t="shared" si="30"/>
        <v>12.3</v>
      </c>
      <c r="BL219" s="9">
        <f t="shared" si="31"/>
        <v>0</v>
      </c>
      <c r="BM219" s="9">
        <f t="shared" si="32"/>
        <v>4.97</v>
      </c>
      <c r="BN219" s="9">
        <f t="shared" si="33"/>
        <v>649.94000000000005</v>
      </c>
      <c r="BO219" s="9">
        <f t="shared" si="34"/>
        <v>21.13</v>
      </c>
      <c r="BP219" s="9">
        <f t="shared" si="35"/>
        <v>0</v>
      </c>
    </row>
    <row r="220" spans="1:68">
      <c r="A220" s="6">
        <v>44596</v>
      </c>
      <c r="B220" s="7">
        <v>3106</v>
      </c>
      <c r="C220" s="8">
        <v>6136</v>
      </c>
      <c r="D220" s="8"/>
      <c r="E220" s="8"/>
      <c r="F220" s="8"/>
      <c r="G220" s="8"/>
      <c r="H220" s="8"/>
      <c r="I220" s="8"/>
      <c r="J220" s="8"/>
      <c r="K220" s="8"/>
      <c r="L220" s="8"/>
      <c r="M220" s="8">
        <v>16.53</v>
      </c>
      <c r="N220" s="8"/>
      <c r="O220" s="8"/>
      <c r="P220" s="8"/>
      <c r="Q220" s="8"/>
      <c r="R220" s="8"/>
      <c r="S220" s="8">
        <v>19.02</v>
      </c>
      <c r="T220" s="8">
        <v>77.900000000000006</v>
      </c>
      <c r="U220" s="8"/>
      <c r="V220" s="8"/>
      <c r="W220" s="8"/>
      <c r="X220" s="8"/>
      <c r="Y220" s="8"/>
      <c r="Z220" s="8"/>
      <c r="AA220" s="8"/>
      <c r="AB220" s="8"/>
      <c r="AC220" s="8">
        <v>24.55</v>
      </c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>
        <v>3511.46</v>
      </c>
      <c r="AU220" s="8"/>
      <c r="AV220" s="8"/>
      <c r="AW220" s="8"/>
      <c r="AX220" s="8">
        <v>7.68</v>
      </c>
      <c r="AY220" s="8"/>
      <c r="AZ220" s="8"/>
      <c r="BA220" s="8"/>
      <c r="BB220" s="8"/>
      <c r="BC220" s="8"/>
      <c r="BD220" s="8"/>
      <c r="BE220" s="8"/>
      <c r="BF220" s="8"/>
      <c r="BG220" s="8">
        <v>263.64999999999998</v>
      </c>
      <c r="BH220" s="9">
        <f t="shared" si="27"/>
        <v>6136</v>
      </c>
      <c r="BI220" s="9">
        <f t="shared" si="28"/>
        <v>16.53</v>
      </c>
      <c r="BJ220" s="9">
        <f t="shared" si="29"/>
        <v>19.02</v>
      </c>
      <c r="BK220" s="9">
        <f t="shared" si="30"/>
        <v>77.900000000000006</v>
      </c>
      <c r="BL220" s="9">
        <f t="shared" si="31"/>
        <v>0</v>
      </c>
      <c r="BM220" s="9">
        <f t="shared" si="32"/>
        <v>24.55</v>
      </c>
      <c r="BN220" s="9">
        <f t="shared" si="33"/>
        <v>3511.46</v>
      </c>
      <c r="BO220" s="9">
        <f t="shared" si="34"/>
        <v>7.68</v>
      </c>
      <c r="BP220" s="9">
        <f t="shared" si="35"/>
        <v>0</v>
      </c>
    </row>
    <row r="221" spans="1:68">
      <c r="A221" s="6">
        <v>44596</v>
      </c>
      <c r="B221" s="7">
        <v>3005</v>
      </c>
      <c r="C221" s="8">
        <v>781.32</v>
      </c>
      <c r="D221" s="8">
        <v>518.49</v>
      </c>
      <c r="E221" s="8"/>
      <c r="F221" s="8"/>
      <c r="G221" s="8"/>
      <c r="H221" s="8"/>
      <c r="I221" s="8"/>
      <c r="J221" s="8"/>
      <c r="K221" s="8"/>
      <c r="L221" s="8"/>
      <c r="M221" s="8"/>
      <c r="N221" s="8">
        <v>1.3</v>
      </c>
      <c r="O221" s="8"/>
      <c r="P221" s="8"/>
      <c r="Q221" s="8"/>
      <c r="R221" s="8"/>
      <c r="S221" s="8">
        <v>4.54</v>
      </c>
      <c r="T221" s="8">
        <v>14.29</v>
      </c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>
        <v>634.96</v>
      </c>
      <c r="AU221" s="8"/>
      <c r="AV221" s="8"/>
      <c r="AW221" s="8">
        <v>14.4</v>
      </c>
      <c r="AX221" s="8"/>
      <c r="AY221" s="8"/>
      <c r="AZ221" s="8"/>
      <c r="BA221" s="8"/>
      <c r="BB221" s="8"/>
      <c r="BC221" s="8"/>
      <c r="BD221" s="8"/>
      <c r="BE221" s="8"/>
      <c r="BF221" s="8"/>
      <c r="BG221" s="8">
        <v>47.28</v>
      </c>
      <c r="BH221" s="9">
        <f t="shared" si="27"/>
        <v>1299.81</v>
      </c>
      <c r="BI221" s="9">
        <f t="shared" si="28"/>
        <v>1.3</v>
      </c>
      <c r="BJ221" s="9">
        <f t="shared" si="29"/>
        <v>4.54</v>
      </c>
      <c r="BK221" s="9">
        <f t="shared" si="30"/>
        <v>14.29</v>
      </c>
      <c r="BL221" s="9">
        <f t="shared" si="31"/>
        <v>0</v>
      </c>
      <c r="BM221" s="9">
        <f t="shared" si="32"/>
        <v>0</v>
      </c>
      <c r="BN221" s="9">
        <f t="shared" si="33"/>
        <v>634.96</v>
      </c>
      <c r="BO221" s="9">
        <f t="shared" si="34"/>
        <v>14.4</v>
      </c>
      <c r="BP221" s="9">
        <f t="shared" si="35"/>
        <v>0</v>
      </c>
    </row>
    <row r="222" spans="1:68">
      <c r="A222" s="6">
        <v>44596</v>
      </c>
      <c r="B222" s="7">
        <v>3010</v>
      </c>
      <c r="C222" s="8">
        <v>1102.2</v>
      </c>
      <c r="D222" s="8">
        <v>735.11</v>
      </c>
      <c r="E222" s="8"/>
      <c r="F222" s="8"/>
      <c r="G222" s="8"/>
      <c r="H222" s="8"/>
      <c r="I222" s="8"/>
      <c r="J222" s="8"/>
      <c r="K222" s="8"/>
      <c r="L222" s="8"/>
      <c r="M222" s="8"/>
      <c r="N222" s="8">
        <v>3.66</v>
      </c>
      <c r="O222" s="8"/>
      <c r="P222" s="8"/>
      <c r="Q222" s="8"/>
      <c r="R222" s="8"/>
      <c r="S222" s="8">
        <v>4.95</v>
      </c>
      <c r="T222" s="8">
        <v>18.329999999999998</v>
      </c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>
        <v>616.9</v>
      </c>
      <c r="AU222" s="8"/>
      <c r="AV222" s="8"/>
      <c r="AW222" s="8">
        <v>20.37</v>
      </c>
      <c r="AX222" s="8"/>
      <c r="AY222" s="8"/>
      <c r="AZ222" s="8"/>
      <c r="BA222" s="8"/>
      <c r="BB222" s="8"/>
      <c r="BC222" s="8"/>
      <c r="BD222" s="8"/>
      <c r="BE222" s="8"/>
      <c r="BF222" s="8"/>
      <c r="BG222" s="8">
        <v>40.51</v>
      </c>
      <c r="BH222" s="9">
        <f t="shared" si="27"/>
        <v>1837.31</v>
      </c>
      <c r="BI222" s="9">
        <f t="shared" si="28"/>
        <v>3.66</v>
      </c>
      <c r="BJ222" s="9">
        <f t="shared" si="29"/>
        <v>4.95</v>
      </c>
      <c r="BK222" s="9">
        <f t="shared" si="30"/>
        <v>18.329999999999998</v>
      </c>
      <c r="BL222" s="9">
        <f t="shared" si="31"/>
        <v>0</v>
      </c>
      <c r="BM222" s="9">
        <f t="shared" si="32"/>
        <v>0</v>
      </c>
      <c r="BN222" s="9">
        <f t="shared" si="33"/>
        <v>616.9</v>
      </c>
      <c r="BO222" s="9">
        <f t="shared" si="34"/>
        <v>20.37</v>
      </c>
      <c r="BP222" s="9">
        <f t="shared" si="35"/>
        <v>0</v>
      </c>
    </row>
    <row r="223" spans="1:68">
      <c r="A223" s="6">
        <v>44596</v>
      </c>
      <c r="B223" s="7">
        <v>3101</v>
      </c>
      <c r="C223" s="8">
        <v>196.12</v>
      </c>
      <c r="D223" s="8"/>
      <c r="E223" s="8"/>
      <c r="F223" s="8"/>
      <c r="G223" s="8"/>
      <c r="H223" s="8"/>
      <c r="I223" s="8"/>
      <c r="J223" s="8"/>
      <c r="K223" s="8"/>
      <c r="L223" s="8"/>
      <c r="M223" s="8">
        <v>0.4</v>
      </c>
      <c r="N223" s="8"/>
      <c r="O223" s="8"/>
      <c r="P223" s="8"/>
      <c r="Q223" s="8"/>
      <c r="R223" s="8"/>
      <c r="S223" s="8">
        <v>1.1399999999999999</v>
      </c>
      <c r="T223" s="8"/>
      <c r="U223" s="8">
        <v>3.16</v>
      </c>
      <c r="V223" s="8"/>
      <c r="W223" s="8"/>
      <c r="X223" s="8"/>
      <c r="Y223" s="8"/>
      <c r="Z223" s="8"/>
      <c r="AA223" s="8"/>
      <c r="AB223" s="8"/>
      <c r="AC223" s="8">
        <v>0.79</v>
      </c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>
        <v>132.59</v>
      </c>
      <c r="AU223" s="8"/>
      <c r="AV223" s="8"/>
      <c r="AW223" s="8">
        <v>4.1900000000000004</v>
      </c>
      <c r="AX223" s="8"/>
      <c r="AY223" s="8"/>
      <c r="AZ223" s="8"/>
      <c r="BA223" s="8"/>
      <c r="BB223" s="8"/>
      <c r="BC223" s="8"/>
      <c r="BD223" s="8"/>
      <c r="BE223" s="8"/>
      <c r="BF223" s="8">
        <v>25.57</v>
      </c>
      <c r="BG223" s="8">
        <v>10.119999999999999</v>
      </c>
      <c r="BH223" s="9">
        <f t="shared" si="27"/>
        <v>196.12</v>
      </c>
      <c r="BI223" s="9">
        <f t="shared" si="28"/>
        <v>0.4</v>
      </c>
      <c r="BJ223" s="9">
        <f t="shared" si="29"/>
        <v>1.1399999999999999</v>
      </c>
      <c r="BK223" s="9">
        <f t="shared" si="30"/>
        <v>3.16</v>
      </c>
      <c r="BL223" s="9">
        <f t="shared" si="31"/>
        <v>0</v>
      </c>
      <c r="BM223" s="9">
        <f t="shared" si="32"/>
        <v>0.79</v>
      </c>
      <c r="BN223" s="9">
        <f t="shared" si="33"/>
        <v>132.59</v>
      </c>
      <c r="BO223" s="9">
        <f t="shared" si="34"/>
        <v>4.1900000000000004</v>
      </c>
      <c r="BP223" s="9">
        <f t="shared" si="35"/>
        <v>25.57</v>
      </c>
    </row>
    <row r="224" spans="1:68">
      <c r="A224" s="6">
        <v>44596</v>
      </c>
      <c r="B224" s="7">
        <v>3802</v>
      </c>
      <c r="C224" s="8">
        <v>249.44</v>
      </c>
      <c r="D224" s="8"/>
      <c r="E224" s="8"/>
      <c r="F224" s="8"/>
      <c r="G224" s="8"/>
      <c r="H224" s="8"/>
      <c r="I224" s="8"/>
      <c r="J224" s="8"/>
      <c r="K224" s="8"/>
      <c r="L224" s="8">
        <v>200.33</v>
      </c>
      <c r="M224" s="8"/>
      <c r="N224" s="8">
        <v>0.65</v>
      </c>
      <c r="O224" s="8"/>
      <c r="P224" s="8"/>
      <c r="Q224" s="8"/>
      <c r="R224" s="8"/>
      <c r="S224" s="8">
        <v>1.82</v>
      </c>
      <c r="T224" s="8"/>
      <c r="U224" s="8">
        <v>3.63</v>
      </c>
      <c r="V224" s="8"/>
      <c r="W224" s="8"/>
      <c r="X224" s="8"/>
      <c r="Y224" s="8"/>
      <c r="Z224" s="8">
        <v>54.4</v>
      </c>
      <c r="AA224" s="8">
        <v>18.07</v>
      </c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7.38</v>
      </c>
      <c r="AT224" s="8">
        <v>220.17</v>
      </c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>
        <v>17.100000000000001</v>
      </c>
      <c r="BH224" s="9">
        <f t="shared" si="27"/>
        <v>449.77</v>
      </c>
      <c r="BI224" s="9">
        <f t="shared" si="28"/>
        <v>0.65</v>
      </c>
      <c r="BJ224" s="9">
        <f t="shared" si="29"/>
        <v>1.82</v>
      </c>
      <c r="BK224" s="9">
        <f t="shared" si="30"/>
        <v>3.63</v>
      </c>
      <c r="BL224" s="9">
        <f t="shared" si="31"/>
        <v>72.47</v>
      </c>
      <c r="BM224" s="9">
        <f t="shared" si="32"/>
        <v>7.38</v>
      </c>
      <c r="BN224" s="9">
        <f t="shared" si="33"/>
        <v>220.17</v>
      </c>
      <c r="BO224" s="9">
        <f t="shared" si="34"/>
        <v>0</v>
      </c>
      <c r="BP224" s="9">
        <f t="shared" si="35"/>
        <v>0</v>
      </c>
    </row>
    <row r="225" spans="1:68">
      <c r="A225" s="6">
        <v>44596</v>
      </c>
      <c r="B225" s="7">
        <v>3302</v>
      </c>
      <c r="C225" s="8"/>
      <c r="D225" s="8">
        <v>1251.04</v>
      </c>
      <c r="E225" s="8"/>
      <c r="F225" s="8"/>
      <c r="G225" s="8"/>
      <c r="H225" s="8"/>
      <c r="I225" s="8"/>
      <c r="J225" s="8"/>
      <c r="K225" s="8"/>
      <c r="L225" s="8"/>
      <c r="M225" s="8">
        <v>1.87</v>
      </c>
      <c r="N225" s="8"/>
      <c r="O225" s="8"/>
      <c r="P225" s="8"/>
      <c r="Q225" s="8"/>
      <c r="R225" s="8"/>
      <c r="S225" s="8">
        <v>9.1300000000000008</v>
      </c>
      <c r="T225" s="8">
        <v>12.55</v>
      </c>
      <c r="U225" s="8"/>
      <c r="V225" s="8"/>
      <c r="W225" s="8"/>
      <c r="X225" s="8"/>
      <c r="Y225" s="8"/>
      <c r="Z225" s="8"/>
      <c r="AA225" s="8"/>
      <c r="AB225" s="8"/>
      <c r="AC225" s="8">
        <v>7.5</v>
      </c>
      <c r="AD225" s="8"/>
      <c r="AE225" s="8"/>
      <c r="AF225" s="8"/>
      <c r="AG225" s="8">
        <v>12.53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>
        <v>627.19000000000005</v>
      </c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>
        <v>45.07</v>
      </c>
      <c r="BH225" s="9">
        <f t="shared" si="27"/>
        <v>1251.04</v>
      </c>
      <c r="BI225" s="9">
        <f t="shared" si="28"/>
        <v>1.87</v>
      </c>
      <c r="BJ225" s="9">
        <f t="shared" si="29"/>
        <v>9.1300000000000008</v>
      </c>
      <c r="BK225" s="9">
        <f t="shared" si="30"/>
        <v>12.55</v>
      </c>
      <c r="BL225" s="9">
        <f t="shared" si="31"/>
        <v>0</v>
      </c>
      <c r="BM225" s="9">
        <f t="shared" si="32"/>
        <v>20.03</v>
      </c>
      <c r="BN225" s="9">
        <f t="shared" si="33"/>
        <v>627.19000000000005</v>
      </c>
      <c r="BO225" s="9">
        <f t="shared" si="34"/>
        <v>0</v>
      </c>
      <c r="BP225" s="9">
        <f t="shared" si="35"/>
        <v>0</v>
      </c>
    </row>
    <row r="226" spans="1:68">
      <c r="A226" s="6">
        <v>44599</v>
      </c>
      <c r="B226" s="7">
        <v>3602</v>
      </c>
      <c r="C226" s="8">
        <v>596.84</v>
      </c>
      <c r="D226" s="8"/>
      <c r="E226" s="8"/>
      <c r="F226" s="8"/>
      <c r="G226" s="8">
        <v>895.4</v>
      </c>
      <c r="H226" s="8"/>
      <c r="I226" s="8"/>
      <c r="J226" s="8"/>
      <c r="K226" s="8"/>
      <c r="L226" s="8"/>
      <c r="M226" s="8">
        <v>1.57</v>
      </c>
      <c r="N226" s="8"/>
      <c r="O226" s="8"/>
      <c r="P226" s="8"/>
      <c r="Q226" s="8"/>
      <c r="R226" s="8"/>
      <c r="S226" s="8">
        <v>8.3699999999999992</v>
      </c>
      <c r="T226" s="8"/>
      <c r="U226" s="8">
        <v>4.79</v>
      </c>
      <c r="V226" s="8">
        <v>14.55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>
        <v>623.61</v>
      </c>
      <c r="AU226" s="8"/>
      <c r="AV226" s="8"/>
      <c r="AW226" s="8">
        <v>38.6</v>
      </c>
      <c r="AX226" s="8"/>
      <c r="AY226" s="8"/>
      <c r="AZ226" s="8"/>
      <c r="BA226" s="8"/>
      <c r="BB226" s="8"/>
      <c r="BC226" s="8"/>
      <c r="BD226" s="8"/>
      <c r="BE226" s="8"/>
      <c r="BF226" s="8">
        <v>48.05</v>
      </c>
      <c r="BG226" s="8">
        <v>46.49</v>
      </c>
      <c r="BH226" s="9">
        <f t="shared" si="27"/>
        <v>1492.24</v>
      </c>
      <c r="BI226" s="9">
        <f t="shared" si="28"/>
        <v>1.57</v>
      </c>
      <c r="BJ226" s="9">
        <f t="shared" si="29"/>
        <v>8.3699999999999992</v>
      </c>
      <c r="BK226" s="9">
        <f t="shared" si="30"/>
        <v>19.34</v>
      </c>
      <c r="BL226" s="9">
        <f t="shared" si="31"/>
        <v>0</v>
      </c>
      <c r="BM226" s="9">
        <f t="shared" si="32"/>
        <v>0</v>
      </c>
      <c r="BN226" s="9">
        <f t="shared" si="33"/>
        <v>623.61</v>
      </c>
      <c r="BO226" s="9">
        <f t="shared" si="34"/>
        <v>38.6</v>
      </c>
      <c r="BP226" s="9">
        <f t="shared" si="35"/>
        <v>48.05</v>
      </c>
    </row>
    <row r="227" spans="1:68">
      <c r="A227" s="6">
        <v>44599</v>
      </c>
      <c r="B227" s="7">
        <v>3080</v>
      </c>
      <c r="C227" s="8"/>
      <c r="D227" s="8"/>
      <c r="E227" s="8"/>
      <c r="F227" s="8">
        <v>786.24</v>
      </c>
      <c r="G227" s="8"/>
      <c r="H227" s="8"/>
      <c r="I227" s="8">
        <v>1180.1500000000001</v>
      </c>
      <c r="J227" s="8"/>
      <c r="K227" s="8"/>
      <c r="L227" s="8"/>
      <c r="M227" s="8"/>
      <c r="N227" s="8">
        <v>13.86</v>
      </c>
      <c r="O227" s="8"/>
      <c r="P227" s="8">
        <v>8.0299999999999994</v>
      </c>
      <c r="Q227" s="8"/>
      <c r="R227" s="8"/>
      <c r="S227" s="8">
        <v>1.18</v>
      </c>
      <c r="T227" s="8">
        <v>19.850000000000001</v>
      </c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>
        <v>29.56</v>
      </c>
      <c r="AJ227" s="8"/>
      <c r="AK227" s="8"/>
      <c r="AL227" s="8"/>
      <c r="AM227" s="8"/>
      <c r="AN227" s="8"/>
      <c r="AO227" s="8"/>
      <c r="AP227" s="8"/>
      <c r="AQ227" s="8">
        <v>19.86</v>
      </c>
      <c r="AR227" s="8">
        <v>69.38</v>
      </c>
      <c r="AS227" s="8"/>
      <c r="AT227" s="8">
        <v>694.38</v>
      </c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>
        <v>37.159999999999997</v>
      </c>
      <c r="BH227" s="9">
        <f t="shared" si="27"/>
        <v>1966.39</v>
      </c>
      <c r="BI227" s="9">
        <f t="shared" si="28"/>
        <v>21.89</v>
      </c>
      <c r="BJ227" s="9">
        <f t="shared" si="29"/>
        <v>1.18</v>
      </c>
      <c r="BK227" s="9">
        <f t="shared" si="30"/>
        <v>19.850000000000001</v>
      </c>
      <c r="BL227" s="9">
        <f t="shared" si="31"/>
        <v>0</v>
      </c>
      <c r="BM227" s="9">
        <f t="shared" si="32"/>
        <v>118.8</v>
      </c>
      <c r="BN227" s="9">
        <f t="shared" si="33"/>
        <v>694.38</v>
      </c>
      <c r="BO227" s="9">
        <f t="shared" si="34"/>
        <v>0</v>
      </c>
      <c r="BP227" s="9">
        <f t="shared" si="35"/>
        <v>0</v>
      </c>
    </row>
    <row r="228" spans="1:68">
      <c r="A228" s="6">
        <v>44599</v>
      </c>
      <c r="B228" s="7">
        <v>3016</v>
      </c>
      <c r="C228" s="8"/>
      <c r="D228" s="8">
        <v>2331.4299999999998</v>
      </c>
      <c r="E228" s="8"/>
      <c r="F228" s="8"/>
      <c r="G228" s="8"/>
      <c r="H228" s="8"/>
      <c r="I228" s="8">
        <v>2154.98</v>
      </c>
      <c r="J228" s="8"/>
      <c r="K228" s="8"/>
      <c r="L228" s="8"/>
      <c r="M228" s="8"/>
      <c r="N228" s="8">
        <v>26.94</v>
      </c>
      <c r="O228" s="8"/>
      <c r="P228" s="8"/>
      <c r="Q228" s="8"/>
      <c r="R228" s="8"/>
      <c r="S228" s="8">
        <v>3.13</v>
      </c>
      <c r="T228" s="8">
        <v>44.96</v>
      </c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>
        <v>18.18</v>
      </c>
      <c r="AN228" s="8">
        <v>54.95</v>
      </c>
      <c r="AO228" s="8"/>
      <c r="AP228" s="8"/>
      <c r="AQ228" s="8"/>
      <c r="AR228" s="8">
        <v>113.53</v>
      </c>
      <c r="AS228" s="8"/>
      <c r="AT228" s="8">
        <v>1670.02</v>
      </c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>
        <v>122.25</v>
      </c>
      <c r="BH228" s="9">
        <f t="shared" si="27"/>
        <v>4486.41</v>
      </c>
      <c r="BI228" s="9">
        <f t="shared" si="28"/>
        <v>26.94</v>
      </c>
      <c r="BJ228" s="9">
        <f t="shared" si="29"/>
        <v>3.13</v>
      </c>
      <c r="BK228" s="9">
        <f t="shared" si="30"/>
        <v>44.96</v>
      </c>
      <c r="BL228" s="9">
        <f t="shared" si="31"/>
        <v>0</v>
      </c>
      <c r="BM228" s="9">
        <f t="shared" si="32"/>
        <v>186.66</v>
      </c>
      <c r="BN228" s="9">
        <f t="shared" si="33"/>
        <v>1670.02</v>
      </c>
      <c r="BO228" s="9">
        <f t="shared" si="34"/>
        <v>0</v>
      </c>
      <c r="BP228" s="9">
        <f t="shared" si="35"/>
        <v>0</v>
      </c>
    </row>
    <row r="229" spans="1:68">
      <c r="A229" s="6">
        <v>44599</v>
      </c>
      <c r="B229" s="7">
        <v>3083</v>
      </c>
      <c r="C229" s="8"/>
      <c r="D229" s="8">
        <v>1427.18</v>
      </c>
      <c r="E229" s="8"/>
      <c r="F229" s="8"/>
      <c r="G229" s="8"/>
      <c r="H229" s="8"/>
      <c r="I229" s="8">
        <v>3320.32</v>
      </c>
      <c r="J229" s="8"/>
      <c r="K229" s="8"/>
      <c r="L229" s="8"/>
      <c r="M229" s="8"/>
      <c r="N229" s="8">
        <v>32.71</v>
      </c>
      <c r="O229" s="8"/>
      <c r="P229" s="8"/>
      <c r="Q229" s="8"/>
      <c r="R229" s="8"/>
      <c r="S229" s="8">
        <v>3.31</v>
      </c>
      <c r="T229" s="8">
        <v>37.94</v>
      </c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>
        <v>19.23</v>
      </c>
      <c r="AN229" s="8">
        <v>67.03</v>
      </c>
      <c r="AO229" s="8"/>
      <c r="AP229" s="8"/>
      <c r="AQ229" s="8"/>
      <c r="AR229" s="8">
        <v>120.04</v>
      </c>
      <c r="AS229" s="8"/>
      <c r="AT229" s="8">
        <v>2155.7600000000002</v>
      </c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>
        <v>169.6</v>
      </c>
      <c r="BH229" s="9">
        <f t="shared" si="27"/>
        <v>4747.5</v>
      </c>
      <c r="BI229" s="9">
        <f t="shared" si="28"/>
        <v>32.71</v>
      </c>
      <c r="BJ229" s="9">
        <f t="shared" si="29"/>
        <v>3.31</v>
      </c>
      <c r="BK229" s="9">
        <f t="shared" si="30"/>
        <v>37.94</v>
      </c>
      <c r="BL229" s="9">
        <f t="shared" si="31"/>
        <v>0</v>
      </c>
      <c r="BM229" s="9">
        <f t="shared" si="32"/>
        <v>206.3</v>
      </c>
      <c r="BN229" s="9">
        <f t="shared" si="33"/>
        <v>2155.7600000000002</v>
      </c>
      <c r="BO229" s="9">
        <f t="shared" si="34"/>
        <v>0</v>
      </c>
      <c r="BP229" s="9">
        <f t="shared" si="35"/>
        <v>0</v>
      </c>
    </row>
    <row r="230" spans="1:68">
      <c r="A230" s="6">
        <v>44599</v>
      </c>
      <c r="B230" s="7">
        <v>3200</v>
      </c>
      <c r="C230" s="8">
        <v>3348.39</v>
      </c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>
        <v>8.39</v>
      </c>
      <c r="P230" s="8"/>
      <c r="Q230" s="8"/>
      <c r="R230" s="8"/>
      <c r="S230" s="8">
        <v>13.06</v>
      </c>
      <c r="T230" s="8"/>
      <c r="U230" s="8">
        <v>50.32</v>
      </c>
      <c r="V230" s="8"/>
      <c r="W230" s="8"/>
      <c r="X230" s="8"/>
      <c r="Y230" s="8"/>
      <c r="Z230" s="8">
        <v>704.48</v>
      </c>
      <c r="AA230" s="8"/>
      <c r="AB230" s="8"/>
      <c r="AC230" s="8"/>
      <c r="AD230" s="8"/>
      <c r="AE230" s="8">
        <v>50.98</v>
      </c>
      <c r="AF230" s="8">
        <v>166.99</v>
      </c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>
        <v>2290.5700000000002</v>
      </c>
      <c r="AU230" s="8"/>
      <c r="AV230" s="8"/>
      <c r="AW230" s="8">
        <v>9.83</v>
      </c>
      <c r="AX230" s="8"/>
      <c r="AY230" s="8"/>
      <c r="AZ230" s="8"/>
      <c r="BA230" s="8"/>
      <c r="BB230" s="8"/>
      <c r="BC230" s="8"/>
      <c r="BD230" s="8"/>
      <c r="BE230" s="8"/>
      <c r="BF230" s="8">
        <v>160.82</v>
      </c>
      <c r="BG230" s="8">
        <v>166.38</v>
      </c>
      <c r="BH230" s="9">
        <f t="shared" si="27"/>
        <v>3348.39</v>
      </c>
      <c r="BI230" s="9">
        <f t="shared" si="28"/>
        <v>8.39</v>
      </c>
      <c r="BJ230" s="9">
        <f t="shared" si="29"/>
        <v>13.06</v>
      </c>
      <c r="BK230" s="9">
        <f t="shared" si="30"/>
        <v>50.32</v>
      </c>
      <c r="BL230" s="9">
        <f t="shared" si="31"/>
        <v>704.48</v>
      </c>
      <c r="BM230" s="9">
        <f t="shared" si="32"/>
        <v>217.97</v>
      </c>
      <c r="BN230" s="9">
        <f t="shared" si="33"/>
        <v>2290.5700000000002</v>
      </c>
      <c r="BO230" s="9">
        <f t="shared" si="34"/>
        <v>9.83</v>
      </c>
      <c r="BP230" s="9">
        <f t="shared" si="35"/>
        <v>160.82</v>
      </c>
    </row>
    <row r="231" spans="1:68">
      <c r="A231" s="6">
        <v>44599</v>
      </c>
      <c r="B231" s="7">
        <v>3139</v>
      </c>
      <c r="C231" s="8">
        <v>960.19</v>
      </c>
      <c r="D231" s="8"/>
      <c r="E231" s="8"/>
      <c r="F231" s="8"/>
      <c r="G231" s="8"/>
      <c r="H231" s="8">
        <v>396.42</v>
      </c>
      <c r="I231" s="8"/>
      <c r="J231" s="8"/>
      <c r="K231" s="8"/>
      <c r="L231" s="8"/>
      <c r="M231" s="8">
        <v>2.2799999999999998</v>
      </c>
      <c r="N231" s="8"/>
      <c r="O231" s="8"/>
      <c r="P231" s="8"/>
      <c r="Q231" s="8"/>
      <c r="R231" s="8"/>
      <c r="S231" s="8">
        <v>4.04</v>
      </c>
      <c r="T231" s="8">
        <v>14.34</v>
      </c>
      <c r="U231" s="8"/>
      <c r="V231" s="8"/>
      <c r="W231" s="8"/>
      <c r="X231" s="8"/>
      <c r="Y231" s="8"/>
      <c r="Z231" s="8"/>
      <c r="AA231" s="8"/>
      <c r="AB231" s="8"/>
      <c r="AC231" s="8">
        <v>4.76</v>
      </c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>
        <v>703.46</v>
      </c>
      <c r="AU231" s="8"/>
      <c r="AV231" s="8">
        <v>23.78</v>
      </c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>
        <v>51.15</v>
      </c>
      <c r="BH231" s="9">
        <f t="shared" si="27"/>
        <v>1356.6100000000001</v>
      </c>
      <c r="BI231" s="9">
        <f t="shared" si="28"/>
        <v>2.2799999999999998</v>
      </c>
      <c r="BJ231" s="9">
        <f t="shared" si="29"/>
        <v>4.04</v>
      </c>
      <c r="BK231" s="9">
        <f t="shared" si="30"/>
        <v>14.34</v>
      </c>
      <c r="BL231" s="9">
        <f t="shared" si="31"/>
        <v>0</v>
      </c>
      <c r="BM231" s="9">
        <f t="shared" si="32"/>
        <v>4.76</v>
      </c>
      <c r="BN231" s="9">
        <f t="shared" si="33"/>
        <v>703.46</v>
      </c>
      <c r="BO231" s="9">
        <f t="shared" si="34"/>
        <v>23.78</v>
      </c>
      <c r="BP231" s="9">
        <f t="shared" si="35"/>
        <v>0</v>
      </c>
    </row>
    <row r="232" spans="1:68">
      <c r="A232" s="6">
        <v>44600</v>
      </c>
      <c r="B232" s="7">
        <v>3117</v>
      </c>
      <c r="C232" s="8">
        <v>1399.07</v>
      </c>
      <c r="D232" s="8"/>
      <c r="E232" s="8"/>
      <c r="F232" s="8"/>
      <c r="G232" s="8"/>
      <c r="H232" s="8"/>
      <c r="I232" s="8"/>
      <c r="J232" s="8"/>
      <c r="K232" s="8"/>
      <c r="L232" s="8"/>
      <c r="M232" s="8">
        <v>3.25</v>
      </c>
      <c r="N232" s="8"/>
      <c r="O232" s="8"/>
      <c r="P232" s="8"/>
      <c r="Q232" s="8"/>
      <c r="R232" s="8"/>
      <c r="S232" s="8">
        <v>4.9000000000000004</v>
      </c>
      <c r="T232" s="8">
        <v>14</v>
      </c>
      <c r="U232" s="8"/>
      <c r="V232" s="8"/>
      <c r="W232" s="8"/>
      <c r="X232" s="8"/>
      <c r="Y232" s="8"/>
      <c r="Z232" s="8"/>
      <c r="AA232" s="8"/>
      <c r="AB232" s="8"/>
      <c r="AC232" s="8">
        <v>5.6</v>
      </c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>
        <v>884.91</v>
      </c>
      <c r="AU232" s="8"/>
      <c r="AV232" s="8">
        <v>35.06</v>
      </c>
      <c r="AW232" s="8"/>
      <c r="AX232" s="8"/>
      <c r="AY232" s="8"/>
      <c r="AZ232" s="8"/>
      <c r="BA232" s="8"/>
      <c r="BB232" s="8"/>
      <c r="BC232" s="8"/>
      <c r="BD232" s="8"/>
      <c r="BE232" s="8"/>
      <c r="BF232" s="8">
        <v>56.02</v>
      </c>
      <c r="BG232" s="8">
        <v>67.19</v>
      </c>
      <c r="BH232" s="9">
        <f t="shared" si="27"/>
        <v>1399.07</v>
      </c>
      <c r="BI232" s="9">
        <f t="shared" si="28"/>
        <v>3.25</v>
      </c>
      <c r="BJ232" s="9">
        <f t="shared" si="29"/>
        <v>4.9000000000000004</v>
      </c>
      <c r="BK232" s="9">
        <f t="shared" si="30"/>
        <v>14</v>
      </c>
      <c r="BL232" s="9">
        <f t="shared" si="31"/>
        <v>0</v>
      </c>
      <c r="BM232" s="9">
        <f t="shared" si="32"/>
        <v>5.6</v>
      </c>
      <c r="BN232" s="9">
        <f t="shared" si="33"/>
        <v>884.91</v>
      </c>
      <c r="BO232" s="9">
        <f t="shared" si="34"/>
        <v>35.06</v>
      </c>
      <c r="BP232" s="9">
        <f t="shared" si="35"/>
        <v>56.02</v>
      </c>
    </row>
    <row r="233" spans="1:68">
      <c r="A233" s="6">
        <v>44600</v>
      </c>
      <c r="B233" s="7">
        <v>3601</v>
      </c>
      <c r="C233" s="8">
        <v>575.29</v>
      </c>
      <c r="D233" s="8"/>
      <c r="E233" s="8"/>
      <c r="F233" s="8"/>
      <c r="G233" s="8">
        <v>863.32</v>
      </c>
      <c r="H233" s="8"/>
      <c r="I233" s="8"/>
      <c r="J233" s="8"/>
      <c r="K233" s="8"/>
      <c r="L233" s="8"/>
      <c r="M233" s="8">
        <v>1.72</v>
      </c>
      <c r="N233" s="8"/>
      <c r="O233" s="8"/>
      <c r="P233" s="8"/>
      <c r="Q233" s="11"/>
      <c r="R233" s="11"/>
      <c r="S233" s="8">
        <v>7.72</v>
      </c>
      <c r="T233" s="8"/>
      <c r="U233" s="8">
        <v>8.6300000000000008</v>
      </c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11"/>
      <c r="AQ233" s="8"/>
      <c r="AR233" s="8"/>
      <c r="AS233" s="8"/>
      <c r="AT233" s="8">
        <v>704.34</v>
      </c>
      <c r="AU233" s="8"/>
      <c r="AV233" s="8"/>
      <c r="AW233" s="8">
        <v>43.77</v>
      </c>
      <c r="AX233" s="8"/>
      <c r="AY233" s="8"/>
      <c r="AZ233" s="8"/>
      <c r="BA233" s="8"/>
      <c r="BB233" s="8"/>
      <c r="BC233" s="8"/>
      <c r="BD233" s="8"/>
      <c r="BE233" s="8"/>
      <c r="BF233" s="8">
        <v>80.52</v>
      </c>
      <c r="BG233" s="8">
        <v>53.68</v>
      </c>
      <c r="BH233" s="9">
        <f t="shared" si="27"/>
        <v>1438.6100000000001</v>
      </c>
      <c r="BI233" s="9">
        <f t="shared" si="28"/>
        <v>1.72</v>
      </c>
      <c r="BJ233" s="9">
        <f t="shared" si="29"/>
        <v>7.72</v>
      </c>
      <c r="BK233" s="9">
        <f t="shared" si="30"/>
        <v>8.6300000000000008</v>
      </c>
      <c r="BL233" s="9">
        <f t="shared" si="31"/>
        <v>0</v>
      </c>
      <c r="BM233" s="9">
        <f t="shared" si="32"/>
        <v>0</v>
      </c>
      <c r="BN233" s="9">
        <f t="shared" si="33"/>
        <v>704.34</v>
      </c>
      <c r="BO233" s="9">
        <f t="shared" si="34"/>
        <v>43.77</v>
      </c>
      <c r="BP233" s="9">
        <f t="shared" si="35"/>
        <v>80.52</v>
      </c>
    </row>
    <row r="234" spans="1:68">
      <c r="A234" s="6">
        <v>44600</v>
      </c>
      <c r="B234" s="7">
        <v>3204</v>
      </c>
      <c r="C234" s="8"/>
      <c r="D234" s="8">
        <v>1698.75</v>
      </c>
      <c r="E234" s="8">
        <v>727.42</v>
      </c>
      <c r="F234" s="8"/>
      <c r="G234" s="8"/>
      <c r="H234" s="8"/>
      <c r="I234" s="8"/>
      <c r="J234" s="8"/>
      <c r="K234" s="8"/>
      <c r="L234" s="8"/>
      <c r="M234" s="8"/>
      <c r="N234" s="8"/>
      <c r="O234" s="8">
        <v>12.12</v>
      </c>
      <c r="P234" s="8"/>
      <c r="Q234" s="11"/>
      <c r="R234" s="11"/>
      <c r="S234" s="8">
        <v>8.24</v>
      </c>
      <c r="T234" s="8">
        <v>14.56</v>
      </c>
      <c r="U234" s="8">
        <v>12.13</v>
      </c>
      <c r="V234" s="8"/>
      <c r="W234" s="8"/>
      <c r="X234" s="8"/>
      <c r="Y234" s="8"/>
      <c r="Z234" s="8">
        <v>364.13</v>
      </c>
      <c r="AA234" s="8"/>
      <c r="AB234" s="8">
        <v>12.15</v>
      </c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11"/>
      <c r="AQ234" s="8"/>
      <c r="AR234" s="8"/>
      <c r="AS234" s="8"/>
      <c r="AT234" s="8">
        <v>1067.6099999999999</v>
      </c>
      <c r="AU234" s="8"/>
      <c r="AV234" s="8"/>
      <c r="AW234" s="8">
        <v>7.78</v>
      </c>
      <c r="AX234" s="8"/>
      <c r="AY234" s="8"/>
      <c r="AZ234" s="8"/>
      <c r="BA234" s="8"/>
      <c r="BB234" s="8"/>
      <c r="BC234" s="8"/>
      <c r="BD234" s="8"/>
      <c r="BE234" s="8"/>
      <c r="BF234" s="8"/>
      <c r="BG234" s="8">
        <v>78.87</v>
      </c>
      <c r="BH234" s="9">
        <f t="shared" si="27"/>
        <v>2426.17</v>
      </c>
      <c r="BI234" s="9">
        <f t="shared" si="28"/>
        <v>12.12</v>
      </c>
      <c r="BJ234" s="9">
        <f t="shared" si="29"/>
        <v>8.24</v>
      </c>
      <c r="BK234" s="9">
        <f t="shared" si="30"/>
        <v>26.69</v>
      </c>
      <c r="BL234" s="9">
        <f t="shared" si="31"/>
        <v>364.13</v>
      </c>
      <c r="BM234" s="9">
        <f t="shared" si="32"/>
        <v>12.15</v>
      </c>
      <c r="BN234" s="9">
        <f t="shared" si="33"/>
        <v>1067.6099999999999</v>
      </c>
      <c r="BO234" s="9">
        <f t="shared" si="34"/>
        <v>7.78</v>
      </c>
      <c r="BP234" s="9">
        <f t="shared" si="35"/>
        <v>0</v>
      </c>
    </row>
    <row r="235" spans="1:68">
      <c r="A235" s="6">
        <v>44600</v>
      </c>
      <c r="B235" s="7">
        <v>3302</v>
      </c>
      <c r="C235" s="8"/>
      <c r="D235" s="8">
        <v>1468.97</v>
      </c>
      <c r="E235" s="8"/>
      <c r="F235" s="8"/>
      <c r="G235" s="8"/>
      <c r="H235" s="8"/>
      <c r="I235" s="8"/>
      <c r="J235" s="8"/>
      <c r="K235" s="8"/>
      <c r="L235" s="8"/>
      <c r="M235" s="8">
        <v>2.16</v>
      </c>
      <c r="N235" s="8"/>
      <c r="O235" s="8"/>
      <c r="P235" s="8"/>
      <c r="Q235" s="8"/>
      <c r="R235" s="8"/>
      <c r="S235" s="8">
        <v>10.72</v>
      </c>
      <c r="T235" s="8">
        <v>14.7</v>
      </c>
      <c r="U235" s="8"/>
      <c r="V235" s="8"/>
      <c r="W235" s="8"/>
      <c r="X235" s="8"/>
      <c r="Y235" s="8"/>
      <c r="Z235" s="8"/>
      <c r="AA235" s="8"/>
      <c r="AB235" s="8"/>
      <c r="AC235" s="8">
        <v>8.81</v>
      </c>
      <c r="AD235" s="8"/>
      <c r="AE235" s="8"/>
      <c r="AF235" s="8"/>
      <c r="AG235" s="8">
        <v>14.7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>
        <v>739.9</v>
      </c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>
        <v>52.79</v>
      </c>
      <c r="BH235" s="9">
        <f t="shared" si="27"/>
        <v>1468.97</v>
      </c>
      <c r="BI235" s="9">
        <f t="shared" si="28"/>
        <v>2.16</v>
      </c>
      <c r="BJ235" s="9">
        <f t="shared" si="29"/>
        <v>10.72</v>
      </c>
      <c r="BK235" s="9">
        <f t="shared" si="30"/>
        <v>14.7</v>
      </c>
      <c r="BL235" s="9">
        <f t="shared" si="31"/>
        <v>0</v>
      </c>
      <c r="BM235" s="9">
        <f t="shared" si="32"/>
        <v>23.509999999999998</v>
      </c>
      <c r="BN235" s="9">
        <f t="shared" si="33"/>
        <v>739.9</v>
      </c>
      <c r="BO235" s="9">
        <f t="shared" si="34"/>
        <v>0</v>
      </c>
      <c r="BP235" s="9">
        <f t="shared" si="35"/>
        <v>0</v>
      </c>
    </row>
    <row r="236" spans="1:68">
      <c r="A236" s="6">
        <v>44600</v>
      </c>
      <c r="B236" s="7">
        <v>3141</v>
      </c>
      <c r="C236" s="8">
        <v>3595.84</v>
      </c>
      <c r="D236" s="8">
        <v>634.08000000000004</v>
      </c>
      <c r="E236" s="8"/>
      <c r="F236" s="8"/>
      <c r="G236" s="8"/>
      <c r="H236" s="8"/>
      <c r="I236" s="8"/>
      <c r="J236" s="8"/>
      <c r="K236" s="8"/>
      <c r="L236" s="8"/>
      <c r="M236" s="8">
        <v>11.57</v>
      </c>
      <c r="N236" s="8"/>
      <c r="O236" s="8"/>
      <c r="P236" s="8"/>
      <c r="Q236" s="8"/>
      <c r="R236" s="8"/>
      <c r="S236" s="8">
        <v>19.920000000000002</v>
      </c>
      <c r="T236" s="8">
        <v>31.8</v>
      </c>
      <c r="U236" s="8">
        <v>31.81</v>
      </c>
      <c r="V236" s="8"/>
      <c r="W236" s="8"/>
      <c r="X236" s="8"/>
      <c r="Y236" s="8"/>
      <c r="Z236" s="8"/>
      <c r="AA236" s="8"/>
      <c r="AB236" s="8"/>
      <c r="AC236" s="8">
        <v>16.96</v>
      </c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>
        <v>2795.5</v>
      </c>
      <c r="AU236" s="8"/>
      <c r="AV236" s="8"/>
      <c r="AW236" s="8"/>
      <c r="AX236" s="8"/>
      <c r="AY236" s="8"/>
      <c r="AZ236" s="8"/>
      <c r="BA236" s="8">
        <v>97.06</v>
      </c>
      <c r="BB236" s="8"/>
      <c r="BC236" s="8"/>
      <c r="BD236" s="8"/>
      <c r="BE236" s="8"/>
      <c r="BF236" s="8">
        <v>296.52999999999997</v>
      </c>
      <c r="BG236" s="8">
        <v>220.96</v>
      </c>
      <c r="BH236" s="9">
        <f t="shared" si="27"/>
        <v>4229.92</v>
      </c>
      <c r="BI236" s="9">
        <f t="shared" si="28"/>
        <v>11.57</v>
      </c>
      <c r="BJ236" s="9">
        <f t="shared" si="29"/>
        <v>19.920000000000002</v>
      </c>
      <c r="BK236" s="9">
        <f t="shared" si="30"/>
        <v>63.61</v>
      </c>
      <c r="BL236" s="9">
        <f t="shared" si="31"/>
        <v>0</v>
      </c>
      <c r="BM236" s="9">
        <f t="shared" si="32"/>
        <v>16.96</v>
      </c>
      <c r="BN236" s="9">
        <f t="shared" si="33"/>
        <v>2795.5</v>
      </c>
      <c r="BO236" s="9">
        <f t="shared" si="34"/>
        <v>97.06</v>
      </c>
      <c r="BP236" s="9">
        <f t="shared" si="35"/>
        <v>296.52999999999997</v>
      </c>
    </row>
    <row r="237" spans="1:68">
      <c r="A237" s="6">
        <v>44600</v>
      </c>
      <c r="B237" s="7">
        <v>3432</v>
      </c>
      <c r="C237" s="8">
        <v>909.73</v>
      </c>
      <c r="D237" s="8"/>
      <c r="E237" s="8"/>
      <c r="F237" s="8"/>
      <c r="G237" s="8"/>
      <c r="H237" s="8"/>
      <c r="I237" s="8"/>
      <c r="J237" s="8"/>
      <c r="K237" s="8"/>
      <c r="L237" s="8"/>
      <c r="M237" s="8">
        <v>2.75</v>
      </c>
      <c r="N237" s="8"/>
      <c r="O237" s="8"/>
      <c r="P237" s="8"/>
      <c r="Q237" s="8"/>
      <c r="R237" s="8"/>
      <c r="S237" s="8">
        <v>3.65</v>
      </c>
      <c r="T237" s="8"/>
      <c r="U237" s="8"/>
      <c r="V237" s="8"/>
      <c r="W237" s="8"/>
      <c r="X237" s="8">
        <v>9.2100000000000009</v>
      </c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>
        <v>413.8</v>
      </c>
      <c r="AU237" s="8"/>
      <c r="AV237" s="8"/>
      <c r="AW237" s="8"/>
      <c r="AX237" s="8"/>
      <c r="AY237" s="8"/>
      <c r="AZ237" s="8"/>
      <c r="BA237" s="8">
        <v>4.08</v>
      </c>
      <c r="BB237" s="8"/>
      <c r="BC237" s="8"/>
      <c r="BD237" s="8"/>
      <c r="BE237" s="8"/>
      <c r="BF237" s="8">
        <v>45.74</v>
      </c>
      <c r="BG237" s="8">
        <v>30.43</v>
      </c>
      <c r="BH237" s="9">
        <f t="shared" si="27"/>
        <v>909.73</v>
      </c>
      <c r="BI237" s="9">
        <f t="shared" si="28"/>
        <v>2.75</v>
      </c>
      <c r="BJ237" s="9">
        <f t="shared" si="29"/>
        <v>3.65</v>
      </c>
      <c r="BK237" s="9">
        <f t="shared" si="30"/>
        <v>9.2100000000000009</v>
      </c>
      <c r="BL237" s="9">
        <f t="shared" si="31"/>
        <v>0</v>
      </c>
      <c r="BM237" s="9">
        <f t="shared" si="32"/>
        <v>0</v>
      </c>
      <c r="BN237" s="9">
        <f t="shared" si="33"/>
        <v>413.8</v>
      </c>
      <c r="BO237" s="9">
        <f t="shared" si="34"/>
        <v>4.08</v>
      </c>
      <c r="BP237" s="9">
        <f t="shared" si="35"/>
        <v>45.74</v>
      </c>
    </row>
    <row r="238" spans="1:68">
      <c r="A238" s="6">
        <v>44600</v>
      </c>
      <c r="B238" s="7">
        <v>3028</v>
      </c>
      <c r="C238" s="8"/>
      <c r="D238" s="8">
        <v>792.56</v>
      </c>
      <c r="E238" s="8"/>
      <c r="F238" s="8">
        <v>728.28</v>
      </c>
      <c r="G238" s="8"/>
      <c r="H238" s="8"/>
      <c r="I238" s="8">
        <v>1645.93</v>
      </c>
      <c r="J238" s="8"/>
      <c r="K238" s="8"/>
      <c r="L238" s="8"/>
      <c r="M238" s="8"/>
      <c r="N238" s="8">
        <v>23.74</v>
      </c>
      <c r="O238" s="8"/>
      <c r="P238" s="8"/>
      <c r="Q238" s="8"/>
      <c r="R238" s="8"/>
      <c r="S238" s="8">
        <v>4.43</v>
      </c>
      <c r="T238" s="8"/>
      <c r="U238" s="8"/>
      <c r="V238" s="8"/>
      <c r="W238" s="8">
        <v>23.99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>
        <v>30.86</v>
      </c>
      <c r="AN238" s="8">
        <v>20.32</v>
      </c>
      <c r="AO238" s="8"/>
      <c r="AP238" s="8"/>
      <c r="AQ238" s="8"/>
      <c r="AR238" s="8"/>
      <c r="AS238" s="8">
        <v>104.8</v>
      </c>
      <c r="AT238" s="8">
        <v>1055.42</v>
      </c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>
        <v>71.62</v>
      </c>
      <c r="BH238" s="9">
        <f t="shared" si="27"/>
        <v>3166.77</v>
      </c>
      <c r="BI238" s="9">
        <f t="shared" si="28"/>
        <v>23.74</v>
      </c>
      <c r="BJ238" s="9">
        <f t="shared" si="29"/>
        <v>4.43</v>
      </c>
      <c r="BK238" s="9">
        <f t="shared" si="30"/>
        <v>23.99</v>
      </c>
      <c r="BL238" s="9">
        <f t="shared" si="31"/>
        <v>0</v>
      </c>
      <c r="BM238" s="9">
        <f t="shared" si="32"/>
        <v>155.97999999999999</v>
      </c>
      <c r="BN238" s="9">
        <f t="shared" si="33"/>
        <v>1055.42</v>
      </c>
      <c r="BO238" s="9">
        <f t="shared" si="34"/>
        <v>0</v>
      </c>
      <c r="BP238" s="9">
        <f t="shared" si="35"/>
        <v>0</v>
      </c>
    </row>
    <row r="239" spans="1:68">
      <c r="A239" s="6">
        <v>44600</v>
      </c>
      <c r="B239" s="7">
        <v>3102</v>
      </c>
      <c r="C239" s="8">
        <v>217.93</v>
      </c>
      <c r="D239" s="8"/>
      <c r="E239" s="8"/>
      <c r="F239" s="8"/>
      <c r="G239" s="8"/>
      <c r="H239" s="8"/>
      <c r="I239" s="8"/>
      <c r="J239" s="8"/>
      <c r="K239" s="8"/>
      <c r="L239" s="8"/>
      <c r="M239" s="8">
        <v>0.6</v>
      </c>
      <c r="N239" s="8"/>
      <c r="O239" s="8"/>
      <c r="P239" s="8"/>
      <c r="Q239" s="8"/>
      <c r="R239" s="8"/>
      <c r="S239" s="8">
        <v>0.98</v>
      </c>
      <c r="T239" s="8">
        <v>1.31</v>
      </c>
      <c r="U239" s="8">
        <v>1.31</v>
      </c>
      <c r="V239" s="8"/>
      <c r="W239" s="8"/>
      <c r="X239" s="8"/>
      <c r="Y239" s="8"/>
      <c r="Z239" s="8"/>
      <c r="AA239" s="8"/>
      <c r="AB239" s="8"/>
      <c r="AC239" s="8">
        <v>0.87</v>
      </c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>
        <v>144.1</v>
      </c>
      <c r="AU239" s="8"/>
      <c r="AV239" s="8"/>
      <c r="AW239" s="8"/>
      <c r="AX239" s="8"/>
      <c r="AY239" s="8"/>
      <c r="AZ239" s="8"/>
      <c r="BA239" s="8">
        <v>0.98</v>
      </c>
      <c r="BB239" s="8"/>
      <c r="BC239" s="8"/>
      <c r="BD239" s="8"/>
      <c r="BE239" s="8"/>
      <c r="BF239" s="8">
        <v>15.28</v>
      </c>
      <c r="BG239" s="8">
        <v>10.8</v>
      </c>
      <c r="BH239" s="9">
        <f t="shared" si="27"/>
        <v>217.93</v>
      </c>
      <c r="BI239" s="9">
        <f t="shared" si="28"/>
        <v>0.6</v>
      </c>
      <c r="BJ239" s="9">
        <f t="shared" si="29"/>
        <v>0.98</v>
      </c>
      <c r="BK239" s="9">
        <f t="shared" si="30"/>
        <v>2.62</v>
      </c>
      <c r="BL239" s="9">
        <f t="shared" si="31"/>
        <v>0</v>
      </c>
      <c r="BM239" s="9">
        <f t="shared" si="32"/>
        <v>0.87</v>
      </c>
      <c r="BN239" s="9">
        <f t="shared" si="33"/>
        <v>144.1</v>
      </c>
      <c r="BO239" s="9">
        <f t="shared" si="34"/>
        <v>0.98</v>
      </c>
      <c r="BP239" s="9">
        <f t="shared" si="35"/>
        <v>15.28</v>
      </c>
    </row>
    <row r="240" spans="1:68">
      <c r="A240" s="6">
        <v>44601</v>
      </c>
      <c r="B240" s="7">
        <v>3203</v>
      </c>
      <c r="C240" s="8">
        <v>1661.93</v>
      </c>
      <c r="D240" s="8"/>
      <c r="E240" s="8">
        <v>713.05</v>
      </c>
      <c r="F240" s="8"/>
      <c r="G240" s="8"/>
      <c r="H240" s="8"/>
      <c r="I240" s="8"/>
      <c r="J240" s="8"/>
      <c r="K240" s="8"/>
      <c r="L240" s="8"/>
      <c r="M240" s="8"/>
      <c r="N240" s="8"/>
      <c r="O240" s="8">
        <v>7.14</v>
      </c>
      <c r="P240" s="8"/>
      <c r="Q240" s="8"/>
      <c r="R240" s="8"/>
      <c r="S240" s="8">
        <v>9.27</v>
      </c>
      <c r="T240" s="8"/>
      <c r="U240" s="8">
        <v>29.5</v>
      </c>
      <c r="V240" s="8"/>
      <c r="W240" s="8"/>
      <c r="X240" s="8"/>
      <c r="Y240" s="8"/>
      <c r="Z240" s="8">
        <v>374.58</v>
      </c>
      <c r="AA240" s="8">
        <v>293.58999999999997</v>
      </c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>
        <v>888.61</v>
      </c>
      <c r="AU240" s="8">
        <v>444.32</v>
      </c>
      <c r="AV240" s="8"/>
      <c r="AW240" s="8"/>
      <c r="AX240" s="8"/>
      <c r="AY240" s="8"/>
      <c r="AZ240" s="8"/>
      <c r="BA240" s="8"/>
      <c r="BB240" s="8"/>
      <c r="BC240" s="8">
        <v>6.18</v>
      </c>
      <c r="BD240" s="8"/>
      <c r="BE240" s="8"/>
      <c r="BF240" s="8"/>
      <c r="BG240" s="8">
        <v>86.2</v>
      </c>
      <c r="BH240" s="9">
        <f t="shared" si="27"/>
        <v>2374.98</v>
      </c>
      <c r="BI240" s="9">
        <f t="shared" si="28"/>
        <v>7.14</v>
      </c>
      <c r="BJ240" s="9">
        <f t="shared" si="29"/>
        <v>9.27</v>
      </c>
      <c r="BK240" s="9">
        <f t="shared" si="30"/>
        <v>29.5</v>
      </c>
      <c r="BL240" s="9">
        <f t="shared" si="31"/>
        <v>668.17</v>
      </c>
      <c r="BM240" s="9">
        <f t="shared" si="32"/>
        <v>0</v>
      </c>
      <c r="BN240" s="9">
        <f t="shared" si="33"/>
        <v>1332.93</v>
      </c>
      <c r="BO240" s="9">
        <f t="shared" si="34"/>
        <v>6.18</v>
      </c>
      <c r="BP240" s="9">
        <f t="shared" si="35"/>
        <v>0</v>
      </c>
    </row>
    <row r="241" spans="1:68">
      <c r="A241" s="6">
        <v>44601</v>
      </c>
      <c r="B241" s="7">
        <v>3307</v>
      </c>
      <c r="C241" s="8"/>
      <c r="D241" s="8">
        <v>1896.07</v>
      </c>
      <c r="E241" s="8"/>
      <c r="F241" s="8"/>
      <c r="G241" s="8"/>
      <c r="H241" s="8"/>
      <c r="I241" s="8"/>
      <c r="J241" s="8"/>
      <c r="K241" s="8"/>
      <c r="L241" s="8"/>
      <c r="M241" s="8">
        <v>2.5299999999999998</v>
      </c>
      <c r="N241" s="8"/>
      <c r="O241" s="8"/>
      <c r="P241" s="8"/>
      <c r="Q241" s="8"/>
      <c r="R241" s="8"/>
      <c r="S241" s="8">
        <v>13.84</v>
      </c>
      <c r="T241" s="8">
        <v>18.95</v>
      </c>
      <c r="U241" s="8"/>
      <c r="V241" s="8"/>
      <c r="W241" s="8"/>
      <c r="X241" s="8"/>
      <c r="Y241" s="8"/>
      <c r="Z241" s="8"/>
      <c r="AA241" s="8"/>
      <c r="AB241" s="8"/>
      <c r="AC241" s="8">
        <v>11.38</v>
      </c>
      <c r="AD241" s="8"/>
      <c r="AE241" s="8"/>
      <c r="AF241" s="8"/>
      <c r="AG241" s="8">
        <v>18.96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>
        <v>950.07</v>
      </c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>
        <v>68.16</v>
      </c>
      <c r="BH241" s="9">
        <f t="shared" si="27"/>
        <v>1896.07</v>
      </c>
      <c r="BI241" s="9">
        <f t="shared" si="28"/>
        <v>2.5299999999999998</v>
      </c>
      <c r="BJ241" s="9">
        <f t="shared" si="29"/>
        <v>13.84</v>
      </c>
      <c r="BK241" s="9">
        <f t="shared" si="30"/>
        <v>18.95</v>
      </c>
      <c r="BL241" s="9">
        <f t="shared" si="31"/>
        <v>0</v>
      </c>
      <c r="BM241" s="9">
        <f t="shared" si="32"/>
        <v>30.340000000000003</v>
      </c>
      <c r="BN241" s="9">
        <f t="shared" si="33"/>
        <v>950.07</v>
      </c>
      <c r="BO241" s="9">
        <f t="shared" si="34"/>
        <v>0</v>
      </c>
      <c r="BP241" s="9">
        <f t="shared" si="35"/>
        <v>0</v>
      </c>
    </row>
    <row r="242" spans="1:68">
      <c r="A242" s="6">
        <v>44601</v>
      </c>
      <c r="B242" s="7">
        <v>3200</v>
      </c>
      <c r="C242" s="8">
        <v>2239.5500000000002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>
        <v>5.58</v>
      </c>
      <c r="P242" s="8"/>
      <c r="Q242" s="11"/>
      <c r="R242" s="11"/>
      <c r="S242" s="8">
        <v>8.74</v>
      </c>
      <c r="T242" s="8"/>
      <c r="U242" s="8">
        <v>33.61</v>
      </c>
      <c r="V242" s="8"/>
      <c r="W242" s="8"/>
      <c r="X242" s="8"/>
      <c r="Y242" s="8"/>
      <c r="Z242" s="8">
        <v>471.16</v>
      </c>
      <c r="AA242" s="8"/>
      <c r="AB242" s="8"/>
      <c r="AC242" s="8"/>
      <c r="AD242" s="8"/>
      <c r="AE242" s="8">
        <v>34</v>
      </c>
      <c r="AF242" s="8">
        <v>111.61</v>
      </c>
      <c r="AG242" s="8"/>
      <c r="AH242" s="8"/>
      <c r="AI242" s="8"/>
      <c r="AJ242" s="8"/>
      <c r="AK242" s="8"/>
      <c r="AL242" s="8"/>
      <c r="AM242" s="8"/>
      <c r="AN242" s="8"/>
      <c r="AO242" s="8"/>
      <c r="AP242" s="11"/>
      <c r="AQ242" s="8"/>
      <c r="AR242" s="8"/>
      <c r="AS242" s="8"/>
      <c r="AT242" s="8">
        <v>1536.64</v>
      </c>
      <c r="AU242" s="8"/>
      <c r="AV242" s="8"/>
      <c r="AW242" s="8">
        <v>6.43</v>
      </c>
      <c r="AX242" s="8"/>
      <c r="AY242" s="8"/>
      <c r="AZ242" s="8"/>
      <c r="BA242" s="8"/>
      <c r="BB242" s="8"/>
      <c r="BC242" s="8"/>
      <c r="BD242" s="8"/>
      <c r="BE242" s="8"/>
      <c r="BF242" s="8">
        <v>107.55</v>
      </c>
      <c r="BG242" s="8">
        <v>110.75</v>
      </c>
      <c r="BH242" s="9">
        <f t="shared" si="27"/>
        <v>2239.5500000000002</v>
      </c>
      <c r="BI242" s="9">
        <f t="shared" si="28"/>
        <v>5.58</v>
      </c>
      <c r="BJ242" s="9">
        <f t="shared" si="29"/>
        <v>8.74</v>
      </c>
      <c r="BK242" s="9">
        <f t="shared" si="30"/>
        <v>33.61</v>
      </c>
      <c r="BL242" s="9">
        <f t="shared" si="31"/>
        <v>471.16</v>
      </c>
      <c r="BM242" s="9">
        <f t="shared" si="32"/>
        <v>145.61000000000001</v>
      </c>
      <c r="BN242" s="9">
        <f t="shared" si="33"/>
        <v>1536.64</v>
      </c>
      <c r="BO242" s="9">
        <f t="shared" si="34"/>
        <v>6.43</v>
      </c>
      <c r="BP242" s="9">
        <f t="shared" si="35"/>
        <v>107.55</v>
      </c>
    </row>
    <row r="243" spans="1:68">
      <c r="A243" s="6">
        <v>44601</v>
      </c>
      <c r="B243" s="7">
        <v>3106</v>
      </c>
      <c r="C243" s="8">
        <v>4135.82</v>
      </c>
      <c r="D243" s="8"/>
      <c r="E243" s="8"/>
      <c r="F243" s="8"/>
      <c r="G243" s="8"/>
      <c r="H243" s="8"/>
      <c r="I243" s="8"/>
      <c r="J243" s="8"/>
      <c r="K243" s="8"/>
      <c r="L243" s="8"/>
      <c r="M243" s="8">
        <v>11.16</v>
      </c>
      <c r="N243" s="8"/>
      <c r="O243" s="8"/>
      <c r="P243" s="8"/>
      <c r="Q243" s="11"/>
      <c r="R243" s="11"/>
      <c r="S243" s="8">
        <v>12.83</v>
      </c>
      <c r="T243" s="8">
        <v>52.51</v>
      </c>
      <c r="U243" s="8"/>
      <c r="V243" s="8"/>
      <c r="W243" s="8"/>
      <c r="X243" s="8"/>
      <c r="Y243" s="8"/>
      <c r="Z243" s="8"/>
      <c r="AA243" s="8"/>
      <c r="AB243" s="8"/>
      <c r="AC243" s="8">
        <v>16.54</v>
      </c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11"/>
      <c r="AQ243" s="8"/>
      <c r="AR243" s="8"/>
      <c r="AS243" s="8"/>
      <c r="AT243" s="8">
        <v>2365.8000000000002</v>
      </c>
      <c r="AU243" s="8"/>
      <c r="AV243" s="8"/>
      <c r="AW243" s="8"/>
      <c r="AX243" s="8">
        <v>5.18</v>
      </c>
      <c r="AY243" s="8"/>
      <c r="AZ243" s="8"/>
      <c r="BA243" s="8"/>
      <c r="BB243" s="8"/>
      <c r="BC243" s="8"/>
      <c r="BD243" s="8"/>
      <c r="BE243" s="8"/>
      <c r="BF243" s="8"/>
      <c r="BG243" s="8">
        <v>177.96</v>
      </c>
      <c r="BH243" s="9">
        <f t="shared" si="27"/>
        <v>4135.82</v>
      </c>
      <c r="BI243" s="9">
        <f t="shared" si="28"/>
        <v>11.16</v>
      </c>
      <c r="BJ243" s="9">
        <f t="shared" si="29"/>
        <v>12.83</v>
      </c>
      <c r="BK243" s="9">
        <f t="shared" si="30"/>
        <v>52.51</v>
      </c>
      <c r="BL243" s="9">
        <f t="shared" si="31"/>
        <v>0</v>
      </c>
      <c r="BM243" s="9">
        <f t="shared" si="32"/>
        <v>16.54</v>
      </c>
      <c r="BN243" s="9">
        <f t="shared" si="33"/>
        <v>2365.8000000000002</v>
      </c>
      <c r="BO243" s="9">
        <f t="shared" si="34"/>
        <v>5.18</v>
      </c>
      <c r="BP243" s="9">
        <f t="shared" si="35"/>
        <v>0</v>
      </c>
    </row>
    <row r="244" spans="1:68">
      <c r="A244" s="6">
        <v>44601</v>
      </c>
      <c r="B244" s="7">
        <v>3141</v>
      </c>
      <c r="C244" s="8">
        <v>2433.67</v>
      </c>
      <c r="D244" s="8">
        <v>429.71</v>
      </c>
      <c r="E244" s="8"/>
      <c r="F244" s="8"/>
      <c r="G244" s="8"/>
      <c r="H244" s="8"/>
      <c r="I244" s="8"/>
      <c r="J244" s="8"/>
      <c r="K244" s="8"/>
      <c r="L244" s="8"/>
      <c r="M244" s="8">
        <v>7.73</v>
      </c>
      <c r="N244" s="8"/>
      <c r="O244" s="8"/>
      <c r="P244" s="8"/>
      <c r="Q244" s="11"/>
      <c r="R244" s="11"/>
      <c r="S244" s="8">
        <v>13.48</v>
      </c>
      <c r="T244" s="8">
        <v>21.51</v>
      </c>
      <c r="U244" s="8">
        <v>21.51</v>
      </c>
      <c r="V244" s="8"/>
      <c r="W244" s="8"/>
      <c r="X244" s="8"/>
      <c r="Y244" s="8"/>
      <c r="Z244" s="8"/>
      <c r="AA244" s="8"/>
      <c r="AB244" s="8"/>
      <c r="AC244" s="8">
        <v>11.47</v>
      </c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11"/>
      <c r="AQ244" s="8"/>
      <c r="AR244" s="8"/>
      <c r="AS244" s="8"/>
      <c r="AT244" s="8">
        <v>1894.73</v>
      </c>
      <c r="AU244" s="8"/>
      <c r="AV244" s="8"/>
      <c r="AW244" s="8"/>
      <c r="AX244" s="8"/>
      <c r="AY244" s="8"/>
      <c r="AZ244" s="8"/>
      <c r="BA244" s="8">
        <v>65.61</v>
      </c>
      <c r="BB244" s="8"/>
      <c r="BC244" s="8"/>
      <c r="BD244" s="8"/>
      <c r="BE244" s="8"/>
      <c r="BF244" s="8">
        <v>200.85</v>
      </c>
      <c r="BG244" s="8">
        <v>149.08000000000001</v>
      </c>
      <c r="BH244" s="9">
        <f t="shared" si="27"/>
        <v>2863.38</v>
      </c>
      <c r="BI244" s="9">
        <f t="shared" si="28"/>
        <v>7.73</v>
      </c>
      <c r="BJ244" s="9">
        <f t="shared" si="29"/>
        <v>13.48</v>
      </c>
      <c r="BK244" s="9">
        <f t="shared" si="30"/>
        <v>43.02</v>
      </c>
      <c r="BL244" s="9">
        <f t="shared" si="31"/>
        <v>0</v>
      </c>
      <c r="BM244" s="9">
        <f t="shared" si="32"/>
        <v>11.47</v>
      </c>
      <c r="BN244" s="9">
        <f t="shared" si="33"/>
        <v>1894.73</v>
      </c>
      <c r="BO244" s="9">
        <f t="shared" si="34"/>
        <v>65.61</v>
      </c>
      <c r="BP244" s="9">
        <f t="shared" si="35"/>
        <v>200.85</v>
      </c>
    </row>
    <row r="245" spans="1:68">
      <c r="A245" s="6">
        <v>44601</v>
      </c>
      <c r="B245" s="7">
        <v>3701</v>
      </c>
      <c r="C245" s="8">
        <v>358.47</v>
      </c>
      <c r="D245" s="8"/>
      <c r="E245" s="8"/>
      <c r="F245" s="8"/>
      <c r="G245" s="8"/>
      <c r="H245" s="8"/>
      <c r="I245" s="8"/>
      <c r="J245" s="8">
        <v>578.53</v>
      </c>
      <c r="K245" s="8"/>
      <c r="L245" s="8"/>
      <c r="M245" s="8"/>
      <c r="N245" s="8">
        <v>2.2400000000000002</v>
      </c>
      <c r="O245" s="8"/>
      <c r="P245" s="8"/>
      <c r="Q245" s="11"/>
      <c r="R245" s="11"/>
      <c r="S245" s="8">
        <v>2.62</v>
      </c>
      <c r="T245" s="8"/>
      <c r="U245" s="8">
        <v>5.83</v>
      </c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>
        <v>19.489999999999998</v>
      </c>
      <c r="AH245" s="8"/>
      <c r="AI245" s="8"/>
      <c r="AJ245" s="8">
        <v>29.31</v>
      </c>
      <c r="AK245" s="8"/>
      <c r="AL245" s="8"/>
      <c r="AM245" s="8"/>
      <c r="AN245" s="8"/>
      <c r="AO245" s="8"/>
      <c r="AP245" s="11"/>
      <c r="AQ245" s="8"/>
      <c r="AR245" s="8"/>
      <c r="AS245" s="8"/>
      <c r="AT245" s="8"/>
      <c r="AU245" s="8">
        <v>343.59</v>
      </c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>
        <v>23.47</v>
      </c>
      <c r="BH245" s="9">
        <f t="shared" si="27"/>
        <v>937</v>
      </c>
      <c r="BI245" s="9">
        <f t="shared" si="28"/>
        <v>2.2400000000000002</v>
      </c>
      <c r="BJ245" s="9">
        <f t="shared" si="29"/>
        <v>2.62</v>
      </c>
      <c r="BK245" s="9">
        <f t="shared" si="30"/>
        <v>5.83</v>
      </c>
      <c r="BL245" s="9">
        <f t="shared" si="31"/>
        <v>0</v>
      </c>
      <c r="BM245" s="9">
        <f t="shared" si="32"/>
        <v>48.8</v>
      </c>
      <c r="BN245" s="9">
        <f t="shared" si="33"/>
        <v>343.59</v>
      </c>
      <c r="BO245" s="9">
        <f t="shared" si="34"/>
        <v>0</v>
      </c>
      <c r="BP245" s="9">
        <f t="shared" si="35"/>
        <v>0</v>
      </c>
    </row>
    <row r="246" spans="1:68">
      <c r="A246" s="6">
        <v>44601</v>
      </c>
      <c r="B246" s="7">
        <v>3801</v>
      </c>
      <c r="C246" s="8">
        <v>497.66</v>
      </c>
      <c r="D246" s="8"/>
      <c r="E246" s="8"/>
      <c r="F246" s="8"/>
      <c r="G246" s="8"/>
      <c r="H246" s="8"/>
      <c r="I246" s="8"/>
      <c r="J246" s="8"/>
      <c r="K246" s="8"/>
      <c r="L246" s="8">
        <v>415.89</v>
      </c>
      <c r="M246" s="8"/>
      <c r="N246" s="8">
        <v>1.02</v>
      </c>
      <c r="O246" s="8"/>
      <c r="P246" s="8"/>
      <c r="Q246" s="11"/>
      <c r="R246" s="11"/>
      <c r="S246" s="8">
        <v>4.0599999999999996</v>
      </c>
      <c r="T246" s="8"/>
      <c r="U246" s="8">
        <v>4.3600000000000003</v>
      </c>
      <c r="V246" s="8"/>
      <c r="W246" s="8"/>
      <c r="X246" s="8"/>
      <c r="Y246" s="8"/>
      <c r="Z246" s="8">
        <v>72.489999999999995</v>
      </c>
      <c r="AA246" s="8">
        <v>28.93</v>
      </c>
      <c r="AB246" s="8"/>
      <c r="AC246" s="8"/>
      <c r="AD246" s="8"/>
      <c r="AE246" s="8">
        <v>2.6</v>
      </c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11"/>
      <c r="AQ246" s="8"/>
      <c r="AR246" s="8"/>
      <c r="AS246" s="8"/>
      <c r="AT246" s="8">
        <v>352.52</v>
      </c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>
        <v>26.84</v>
      </c>
      <c r="BH246" s="9">
        <f t="shared" si="27"/>
        <v>913.55</v>
      </c>
      <c r="BI246" s="9">
        <f t="shared" si="28"/>
        <v>1.02</v>
      </c>
      <c r="BJ246" s="9">
        <f t="shared" si="29"/>
        <v>4.0599999999999996</v>
      </c>
      <c r="BK246" s="9">
        <f t="shared" si="30"/>
        <v>4.3600000000000003</v>
      </c>
      <c r="BL246" s="9">
        <f t="shared" si="31"/>
        <v>101.41999999999999</v>
      </c>
      <c r="BM246" s="9">
        <f t="shared" si="32"/>
        <v>2.6</v>
      </c>
      <c r="BN246" s="9">
        <f t="shared" si="33"/>
        <v>352.52</v>
      </c>
      <c r="BO246" s="9">
        <f t="shared" si="34"/>
        <v>0</v>
      </c>
      <c r="BP246" s="9">
        <f t="shared" si="35"/>
        <v>0</v>
      </c>
    </row>
    <row r="247" spans="1:68">
      <c r="A247" s="6">
        <v>44601</v>
      </c>
      <c r="B247" s="7">
        <v>3802</v>
      </c>
      <c r="C247" s="8">
        <v>433.53</v>
      </c>
      <c r="D247" s="8"/>
      <c r="E247" s="8"/>
      <c r="F247" s="8"/>
      <c r="G247" s="8"/>
      <c r="H247" s="8"/>
      <c r="I247" s="8"/>
      <c r="J247" s="8"/>
      <c r="K247" s="8"/>
      <c r="L247" s="8">
        <v>355.28</v>
      </c>
      <c r="M247" s="8"/>
      <c r="N247" s="8">
        <v>1.1299999999999999</v>
      </c>
      <c r="O247" s="8"/>
      <c r="P247" s="8"/>
      <c r="Q247" s="11"/>
      <c r="R247" s="11"/>
      <c r="S247" s="8">
        <v>3.17</v>
      </c>
      <c r="T247" s="8"/>
      <c r="U247" s="8">
        <v>6.4</v>
      </c>
      <c r="V247" s="8"/>
      <c r="W247" s="8"/>
      <c r="X247" s="8"/>
      <c r="Y247" s="8"/>
      <c r="Z247" s="8">
        <v>94.74</v>
      </c>
      <c r="AA247" s="8">
        <v>31.75</v>
      </c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11"/>
      <c r="AQ247" s="8"/>
      <c r="AR247" s="8"/>
      <c r="AS247" s="8">
        <v>12.92</v>
      </c>
      <c r="AT247" s="8">
        <v>384.49</v>
      </c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>
        <v>29.26</v>
      </c>
      <c r="BH247" s="9">
        <f t="shared" si="27"/>
        <v>788.81</v>
      </c>
      <c r="BI247" s="9">
        <f t="shared" si="28"/>
        <v>1.1299999999999999</v>
      </c>
      <c r="BJ247" s="9">
        <f t="shared" si="29"/>
        <v>3.17</v>
      </c>
      <c r="BK247" s="9">
        <f t="shared" si="30"/>
        <v>6.4</v>
      </c>
      <c r="BL247" s="9">
        <f t="shared" si="31"/>
        <v>126.49</v>
      </c>
      <c r="BM247" s="9">
        <f t="shared" si="32"/>
        <v>12.92</v>
      </c>
      <c r="BN247" s="9">
        <f t="shared" si="33"/>
        <v>384.49</v>
      </c>
      <c r="BO247" s="9">
        <f t="shared" si="34"/>
        <v>0</v>
      </c>
      <c r="BP247" s="9">
        <f t="shared" si="35"/>
        <v>0</v>
      </c>
    </row>
    <row r="248" spans="1:68">
      <c r="A248" s="6">
        <v>44602</v>
      </c>
      <c r="B248" s="7">
        <v>3423</v>
      </c>
      <c r="C248" s="8">
        <v>379.64</v>
      </c>
      <c r="D248" s="8">
        <v>378.36</v>
      </c>
      <c r="E248" s="8"/>
      <c r="F248" s="8"/>
      <c r="G248" s="8"/>
      <c r="H248" s="8"/>
      <c r="I248" s="8"/>
      <c r="J248" s="8"/>
      <c r="K248" s="8"/>
      <c r="L248" s="8"/>
      <c r="M248" s="8">
        <v>3.03</v>
      </c>
      <c r="N248" s="8"/>
      <c r="O248" s="8"/>
      <c r="P248" s="8"/>
      <c r="Q248" s="11"/>
      <c r="R248" s="11"/>
      <c r="S248" s="8">
        <v>1.75</v>
      </c>
      <c r="T248" s="8"/>
      <c r="U248" s="8"/>
      <c r="V248" s="8"/>
      <c r="W248" s="8"/>
      <c r="X248" s="8">
        <v>7.64</v>
      </c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11"/>
      <c r="AQ248" s="8"/>
      <c r="AR248" s="8"/>
      <c r="AS248" s="8"/>
      <c r="AT248" s="8">
        <v>351.8</v>
      </c>
      <c r="AU248" s="8"/>
      <c r="AV248" s="8">
        <v>22.77</v>
      </c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>
        <v>25.12</v>
      </c>
      <c r="BH248" s="9">
        <f t="shared" si="27"/>
        <v>758</v>
      </c>
      <c r="BI248" s="9">
        <f t="shared" si="28"/>
        <v>3.03</v>
      </c>
      <c r="BJ248" s="9">
        <f t="shared" si="29"/>
        <v>1.75</v>
      </c>
      <c r="BK248" s="9">
        <f t="shared" si="30"/>
        <v>7.64</v>
      </c>
      <c r="BL248" s="9">
        <f t="shared" si="31"/>
        <v>0</v>
      </c>
      <c r="BM248" s="9">
        <f t="shared" si="32"/>
        <v>0</v>
      </c>
      <c r="BN248" s="9">
        <f t="shared" si="33"/>
        <v>351.8</v>
      </c>
      <c r="BO248" s="9">
        <f t="shared" si="34"/>
        <v>22.77</v>
      </c>
      <c r="BP248" s="9">
        <f t="shared" si="35"/>
        <v>0</v>
      </c>
    </row>
    <row r="249" spans="1:68">
      <c r="A249" s="6">
        <v>44602</v>
      </c>
      <c r="B249" s="7">
        <v>3702</v>
      </c>
      <c r="C249" s="8">
        <v>449.5</v>
      </c>
      <c r="D249" s="8">
        <v>300</v>
      </c>
      <c r="E249" s="8"/>
      <c r="F249" s="8"/>
      <c r="G249" s="8"/>
      <c r="H249" s="8"/>
      <c r="I249" s="8"/>
      <c r="J249" s="8"/>
      <c r="K249" s="8"/>
      <c r="L249" s="8"/>
      <c r="M249" s="8">
        <v>1.49</v>
      </c>
      <c r="N249" s="8"/>
      <c r="O249" s="8"/>
      <c r="P249" s="8"/>
      <c r="Q249" s="11"/>
      <c r="R249" s="11"/>
      <c r="S249" s="8">
        <v>3.53</v>
      </c>
      <c r="T249" s="8"/>
      <c r="U249" s="8">
        <v>6.02</v>
      </c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11"/>
      <c r="AQ249" s="8"/>
      <c r="AR249" s="8"/>
      <c r="AS249" s="8"/>
      <c r="AT249" s="8">
        <v>182.34</v>
      </c>
      <c r="AU249" s="8">
        <v>91.36</v>
      </c>
      <c r="AV249" s="8"/>
      <c r="AW249" s="8">
        <v>1.64</v>
      </c>
      <c r="AX249" s="8"/>
      <c r="AY249" s="8"/>
      <c r="AZ249" s="8"/>
      <c r="BA249" s="8"/>
      <c r="BB249" s="8"/>
      <c r="BC249" s="8"/>
      <c r="BD249" s="8"/>
      <c r="BE249" s="8"/>
      <c r="BF249" s="8"/>
      <c r="BG249" s="8">
        <v>19.2</v>
      </c>
      <c r="BH249" s="9">
        <f t="shared" si="27"/>
        <v>749.5</v>
      </c>
      <c r="BI249" s="9">
        <f t="shared" si="28"/>
        <v>1.49</v>
      </c>
      <c r="BJ249" s="9">
        <f t="shared" si="29"/>
        <v>3.53</v>
      </c>
      <c r="BK249" s="9">
        <f t="shared" si="30"/>
        <v>6.02</v>
      </c>
      <c r="BL249" s="9">
        <f t="shared" si="31"/>
        <v>0</v>
      </c>
      <c r="BM249" s="9">
        <f t="shared" si="32"/>
        <v>0</v>
      </c>
      <c r="BN249" s="9">
        <f t="shared" si="33"/>
        <v>273.7</v>
      </c>
      <c r="BO249" s="9">
        <f t="shared" si="34"/>
        <v>1.64</v>
      </c>
      <c r="BP249" s="9">
        <f t="shared" si="35"/>
        <v>0</v>
      </c>
    </row>
    <row r="250" spans="1:68">
      <c r="A250" s="6">
        <v>44602</v>
      </c>
      <c r="B250" s="7">
        <v>3704</v>
      </c>
      <c r="C250" s="8">
        <v>388.41</v>
      </c>
      <c r="D250" s="8">
        <v>603.37</v>
      </c>
      <c r="E250" s="8"/>
      <c r="F250" s="8"/>
      <c r="G250" s="8"/>
      <c r="H250" s="8"/>
      <c r="I250" s="8"/>
      <c r="J250" s="8"/>
      <c r="K250" s="8"/>
      <c r="L250" s="8"/>
      <c r="M250" s="8">
        <v>2.99</v>
      </c>
      <c r="N250" s="8"/>
      <c r="O250" s="8"/>
      <c r="P250" s="8"/>
      <c r="Q250" s="11"/>
      <c r="R250" s="11"/>
      <c r="S250" s="8">
        <v>3.5</v>
      </c>
      <c r="T250" s="8"/>
      <c r="U250" s="8">
        <v>7.52</v>
      </c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>
        <v>24.19</v>
      </c>
      <c r="AL250" s="8"/>
      <c r="AM250" s="8"/>
      <c r="AN250" s="8"/>
      <c r="AO250" s="8"/>
      <c r="AP250" s="11"/>
      <c r="AQ250" s="8"/>
      <c r="AR250" s="8"/>
      <c r="AS250" s="8"/>
      <c r="AT250" s="8">
        <v>174.13</v>
      </c>
      <c r="AU250" s="8">
        <v>86.44</v>
      </c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>
        <v>15.9</v>
      </c>
      <c r="BH250" s="9">
        <f t="shared" si="27"/>
        <v>991.78</v>
      </c>
      <c r="BI250" s="9">
        <f t="shared" si="28"/>
        <v>2.99</v>
      </c>
      <c r="BJ250" s="9">
        <f t="shared" si="29"/>
        <v>3.5</v>
      </c>
      <c r="BK250" s="9">
        <f t="shared" si="30"/>
        <v>7.52</v>
      </c>
      <c r="BL250" s="9">
        <f t="shared" si="31"/>
        <v>0</v>
      </c>
      <c r="BM250" s="9">
        <f t="shared" si="32"/>
        <v>24.19</v>
      </c>
      <c r="BN250" s="9">
        <f t="shared" si="33"/>
        <v>260.57</v>
      </c>
      <c r="BO250" s="9">
        <f t="shared" si="34"/>
        <v>0</v>
      </c>
      <c r="BP250" s="9">
        <f t="shared" si="35"/>
        <v>0</v>
      </c>
    </row>
    <row r="251" spans="1:68">
      <c r="A251" s="6">
        <v>44602</v>
      </c>
      <c r="B251" s="7">
        <v>3016</v>
      </c>
      <c r="C251" s="8"/>
      <c r="D251" s="8">
        <v>2392.0100000000002</v>
      </c>
      <c r="E251" s="8"/>
      <c r="F251" s="8"/>
      <c r="G251" s="8"/>
      <c r="H251" s="8"/>
      <c r="I251" s="8">
        <v>2202.77</v>
      </c>
      <c r="J251" s="8"/>
      <c r="K251" s="8"/>
      <c r="L251" s="8"/>
      <c r="M251" s="8"/>
      <c r="N251" s="8">
        <v>27.57</v>
      </c>
      <c r="O251" s="8"/>
      <c r="P251" s="8"/>
      <c r="Q251" s="11"/>
      <c r="R251" s="11"/>
      <c r="S251" s="8">
        <v>3.2</v>
      </c>
      <c r="T251" s="8">
        <v>46.04</v>
      </c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>
        <v>18.940000000000001</v>
      </c>
      <c r="AN251" s="8">
        <v>55.18</v>
      </c>
      <c r="AO251" s="8"/>
      <c r="AP251" s="11"/>
      <c r="AQ251" s="8"/>
      <c r="AR251" s="8">
        <v>115.83</v>
      </c>
      <c r="AS251" s="8"/>
      <c r="AT251" s="8">
        <v>1710.46</v>
      </c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>
        <v>125.84</v>
      </c>
      <c r="BH251" s="9">
        <f t="shared" si="27"/>
        <v>4594.7800000000007</v>
      </c>
      <c r="BI251" s="9">
        <f t="shared" si="28"/>
        <v>27.57</v>
      </c>
      <c r="BJ251" s="9">
        <f t="shared" si="29"/>
        <v>3.2</v>
      </c>
      <c r="BK251" s="9">
        <f t="shared" si="30"/>
        <v>46.04</v>
      </c>
      <c r="BL251" s="9">
        <f t="shared" si="31"/>
        <v>0</v>
      </c>
      <c r="BM251" s="9">
        <f t="shared" si="32"/>
        <v>189.95</v>
      </c>
      <c r="BN251" s="9">
        <f t="shared" si="33"/>
        <v>1710.46</v>
      </c>
      <c r="BO251" s="9">
        <f t="shared" si="34"/>
        <v>0</v>
      </c>
      <c r="BP251" s="9">
        <f t="shared" si="35"/>
        <v>0</v>
      </c>
    </row>
    <row r="252" spans="1:68">
      <c r="A252" s="6">
        <v>44602</v>
      </c>
      <c r="B252" s="7">
        <v>3029</v>
      </c>
      <c r="C252" s="8"/>
      <c r="D252" s="8">
        <v>685.61</v>
      </c>
      <c r="E252" s="8"/>
      <c r="F252" s="8">
        <v>484.76</v>
      </c>
      <c r="G252" s="8"/>
      <c r="H252" s="8"/>
      <c r="I252" s="8">
        <v>2863.85</v>
      </c>
      <c r="J252" s="8"/>
      <c r="K252" s="8"/>
      <c r="L252" s="8"/>
      <c r="M252" s="8"/>
      <c r="N252" s="8">
        <v>30.67</v>
      </c>
      <c r="O252" s="8"/>
      <c r="P252" s="8"/>
      <c r="Q252" s="11"/>
      <c r="R252" s="11"/>
      <c r="S252" s="8">
        <v>2.42</v>
      </c>
      <c r="T252" s="8"/>
      <c r="U252" s="8"/>
      <c r="V252" s="8"/>
      <c r="W252" s="8">
        <v>41.03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>
        <v>14.27</v>
      </c>
      <c r="AN252" s="8">
        <v>20.62</v>
      </c>
      <c r="AO252" s="8"/>
      <c r="AP252" s="11"/>
      <c r="AQ252" s="8"/>
      <c r="AR252" s="8">
        <v>121.57</v>
      </c>
      <c r="AS252" s="8"/>
      <c r="AT252" s="8">
        <v>1530.4</v>
      </c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>
        <v>106.74</v>
      </c>
      <c r="BH252" s="9">
        <f t="shared" si="27"/>
        <v>4034.22</v>
      </c>
      <c r="BI252" s="9">
        <f t="shared" si="28"/>
        <v>30.67</v>
      </c>
      <c r="BJ252" s="9">
        <f t="shared" si="29"/>
        <v>2.42</v>
      </c>
      <c r="BK252" s="9">
        <f t="shared" si="30"/>
        <v>41.03</v>
      </c>
      <c r="BL252" s="9">
        <f t="shared" si="31"/>
        <v>0</v>
      </c>
      <c r="BM252" s="9">
        <f t="shared" si="32"/>
        <v>156.45999999999998</v>
      </c>
      <c r="BN252" s="9">
        <f t="shared" si="33"/>
        <v>1530.4</v>
      </c>
      <c r="BO252" s="9">
        <f t="shared" si="34"/>
        <v>0</v>
      </c>
      <c r="BP252" s="9">
        <f t="shared" si="35"/>
        <v>0</v>
      </c>
    </row>
    <row r="253" spans="1:68">
      <c r="A253" s="6">
        <v>44602</v>
      </c>
      <c r="B253" s="7">
        <v>3106</v>
      </c>
      <c r="C253" s="8">
        <v>4089.27</v>
      </c>
      <c r="D253" s="8"/>
      <c r="E253" s="8"/>
      <c r="F253" s="8"/>
      <c r="G253" s="8"/>
      <c r="H253" s="8"/>
      <c r="I253" s="8"/>
      <c r="J253" s="8"/>
      <c r="K253" s="8"/>
      <c r="L253" s="8"/>
      <c r="M253" s="8">
        <v>11.03</v>
      </c>
      <c r="N253" s="8"/>
      <c r="O253" s="8"/>
      <c r="P253" s="8"/>
      <c r="Q253" s="11"/>
      <c r="R253" s="11"/>
      <c r="S253" s="8">
        <v>12.69</v>
      </c>
      <c r="T253" s="8">
        <v>51.95</v>
      </c>
      <c r="U253" s="8"/>
      <c r="V253" s="8"/>
      <c r="W253" s="8"/>
      <c r="X253" s="8"/>
      <c r="Y253" s="8"/>
      <c r="Z253" s="8"/>
      <c r="AA253" s="8"/>
      <c r="AB253" s="8"/>
      <c r="AC253" s="8">
        <v>16.37</v>
      </c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11"/>
      <c r="AQ253" s="8"/>
      <c r="AR253" s="8"/>
      <c r="AS253" s="8"/>
      <c r="AT253" s="8">
        <v>2340.69</v>
      </c>
      <c r="AU253" s="8"/>
      <c r="AV253" s="8"/>
      <c r="AW253" s="8"/>
      <c r="AX253" s="8">
        <v>5.12</v>
      </c>
      <c r="AY253" s="8"/>
      <c r="AZ253" s="8"/>
      <c r="BA253" s="8"/>
      <c r="BB253" s="8"/>
      <c r="BC253" s="8"/>
      <c r="BD253" s="8"/>
      <c r="BE253" s="8"/>
      <c r="BF253" s="8"/>
      <c r="BG253" s="8">
        <v>175.81</v>
      </c>
      <c r="BH253" s="9">
        <f t="shared" si="27"/>
        <v>4089.27</v>
      </c>
      <c r="BI253" s="9">
        <f t="shared" si="28"/>
        <v>11.03</v>
      </c>
      <c r="BJ253" s="9">
        <f t="shared" si="29"/>
        <v>12.69</v>
      </c>
      <c r="BK253" s="9">
        <f t="shared" si="30"/>
        <v>51.95</v>
      </c>
      <c r="BL253" s="9">
        <f t="shared" si="31"/>
        <v>0</v>
      </c>
      <c r="BM253" s="9">
        <f t="shared" si="32"/>
        <v>16.37</v>
      </c>
      <c r="BN253" s="9">
        <f t="shared" si="33"/>
        <v>2340.69</v>
      </c>
      <c r="BO253" s="9">
        <f t="shared" si="34"/>
        <v>5.12</v>
      </c>
      <c r="BP253" s="9">
        <f t="shared" si="35"/>
        <v>0</v>
      </c>
    </row>
    <row r="254" spans="1:68">
      <c r="A254" s="6">
        <v>44602</v>
      </c>
      <c r="B254" s="7">
        <v>3134</v>
      </c>
      <c r="C254" s="8">
        <v>1033.05</v>
      </c>
      <c r="D254" s="8">
        <v>142.47999999999999</v>
      </c>
      <c r="E254" s="8"/>
      <c r="F254" s="8"/>
      <c r="G254" s="8"/>
      <c r="H254" s="8">
        <v>489.46</v>
      </c>
      <c r="I254" s="8"/>
      <c r="J254" s="8"/>
      <c r="K254" s="8"/>
      <c r="L254" s="8"/>
      <c r="M254" s="8">
        <v>3.03</v>
      </c>
      <c r="N254" s="8"/>
      <c r="O254" s="8"/>
      <c r="P254" s="8"/>
      <c r="Q254" s="11"/>
      <c r="R254" s="11"/>
      <c r="S254" s="8">
        <v>6.53</v>
      </c>
      <c r="T254" s="8">
        <v>10.17</v>
      </c>
      <c r="U254" s="8">
        <v>8.7100000000000009</v>
      </c>
      <c r="V254" s="8"/>
      <c r="W254" s="8"/>
      <c r="X254" s="8"/>
      <c r="Y254" s="8"/>
      <c r="Z254" s="8"/>
      <c r="AA254" s="8"/>
      <c r="AB254" s="8"/>
      <c r="AC254" s="8">
        <v>5.8</v>
      </c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11"/>
      <c r="AQ254" s="8"/>
      <c r="AR254" s="8"/>
      <c r="AS254" s="8"/>
      <c r="AT254" s="8">
        <v>1022.36</v>
      </c>
      <c r="AU254" s="8"/>
      <c r="AV254" s="8"/>
      <c r="AW254" s="8"/>
      <c r="AX254" s="8"/>
      <c r="AY254" s="8">
        <v>14.88</v>
      </c>
      <c r="AZ254" s="8"/>
      <c r="BA254" s="8"/>
      <c r="BB254" s="8"/>
      <c r="BC254" s="8"/>
      <c r="BD254" s="8"/>
      <c r="BE254" s="8"/>
      <c r="BF254" s="8">
        <v>65.239999999999995</v>
      </c>
      <c r="BG254" s="8">
        <v>77.36</v>
      </c>
      <c r="BH254" s="9">
        <f t="shared" si="27"/>
        <v>1664.99</v>
      </c>
      <c r="BI254" s="9">
        <f t="shared" si="28"/>
        <v>3.03</v>
      </c>
      <c r="BJ254" s="9">
        <f t="shared" si="29"/>
        <v>6.53</v>
      </c>
      <c r="BK254" s="9">
        <f t="shared" si="30"/>
        <v>18.880000000000003</v>
      </c>
      <c r="BL254" s="9">
        <f t="shared" si="31"/>
        <v>0</v>
      </c>
      <c r="BM254" s="9">
        <f t="shared" si="32"/>
        <v>5.8</v>
      </c>
      <c r="BN254" s="9">
        <f t="shared" si="33"/>
        <v>1022.36</v>
      </c>
      <c r="BO254" s="9">
        <f t="shared" si="34"/>
        <v>14.88</v>
      </c>
      <c r="BP254" s="9">
        <f t="shared" si="35"/>
        <v>65.239999999999995</v>
      </c>
    </row>
    <row r="255" spans="1:68">
      <c r="A255" s="6">
        <v>44602</v>
      </c>
      <c r="B255" s="7">
        <v>3135</v>
      </c>
      <c r="C255" s="8">
        <v>1058.03</v>
      </c>
      <c r="D255" s="8">
        <v>148.28</v>
      </c>
      <c r="E255" s="8"/>
      <c r="F255" s="8"/>
      <c r="G255" s="8"/>
      <c r="H255" s="8">
        <v>500.37</v>
      </c>
      <c r="I255" s="8"/>
      <c r="J255" s="8"/>
      <c r="K255" s="8"/>
      <c r="L255" s="8"/>
      <c r="M255" s="8">
        <v>3.24</v>
      </c>
      <c r="N255" s="8"/>
      <c r="O255" s="8"/>
      <c r="P255" s="8"/>
      <c r="Q255" s="11"/>
      <c r="R255" s="11"/>
      <c r="S255" s="8">
        <v>6.7</v>
      </c>
      <c r="T255" s="8">
        <v>10.42</v>
      </c>
      <c r="U255" s="8">
        <v>8.93</v>
      </c>
      <c r="V255" s="8"/>
      <c r="W255" s="8"/>
      <c r="X255" s="8"/>
      <c r="Y255" s="8"/>
      <c r="Z255" s="8"/>
      <c r="AA255" s="8"/>
      <c r="AB255" s="8"/>
      <c r="AC255" s="8">
        <v>5.94</v>
      </c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11"/>
      <c r="AQ255" s="8"/>
      <c r="AR255" s="8"/>
      <c r="AS255" s="8"/>
      <c r="AT255" s="8">
        <v>1050.8499999999999</v>
      </c>
      <c r="AU255" s="8"/>
      <c r="AV255" s="8"/>
      <c r="AW255" s="8"/>
      <c r="AX255" s="8"/>
      <c r="AY255" s="8"/>
      <c r="AZ255" s="8"/>
      <c r="BA255" s="8">
        <v>33.92</v>
      </c>
      <c r="BB255" s="8"/>
      <c r="BC255" s="8"/>
      <c r="BD255" s="8"/>
      <c r="BE255" s="8"/>
      <c r="BF255" s="8">
        <v>66.989999999999995</v>
      </c>
      <c r="BG255" s="8">
        <v>78.72</v>
      </c>
      <c r="BH255" s="9">
        <f t="shared" si="27"/>
        <v>1706.6799999999998</v>
      </c>
      <c r="BI255" s="9">
        <f t="shared" si="28"/>
        <v>3.24</v>
      </c>
      <c r="BJ255" s="9">
        <f t="shared" si="29"/>
        <v>6.7</v>
      </c>
      <c r="BK255" s="9">
        <f t="shared" si="30"/>
        <v>19.350000000000001</v>
      </c>
      <c r="BL255" s="9">
        <f t="shared" si="31"/>
        <v>0</v>
      </c>
      <c r="BM255" s="9">
        <f t="shared" si="32"/>
        <v>5.94</v>
      </c>
      <c r="BN255" s="9">
        <f t="shared" si="33"/>
        <v>1050.8499999999999</v>
      </c>
      <c r="BO255" s="9">
        <f t="shared" si="34"/>
        <v>33.92</v>
      </c>
      <c r="BP255" s="9">
        <f t="shared" si="35"/>
        <v>66.989999999999995</v>
      </c>
    </row>
    <row r="256" spans="1:68">
      <c r="A256" s="6">
        <v>44606</v>
      </c>
      <c r="B256" s="7">
        <v>3010</v>
      </c>
      <c r="C256" s="8">
        <v>1171.68</v>
      </c>
      <c r="D256" s="8">
        <v>782.43</v>
      </c>
      <c r="E256" s="8"/>
      <c r="F256" s="8"/>
      <c r="G256" s="8"/>
      <c r="H256" s="8"/>
      <c r="I256" s="8"/>
      <c r="J256" s="8"/>
      <c r="K256" s="8"/>
      <c r="L256" s="8"/>
      <c r="M256" s="8"/>
      <c r="N256" s="8">
        <v>3.91</v>
      </c>
      <c r="O256" s="8"/>
      <c r="P256" s="8"/>
      <c r="Q256" s="11"/>
      <c r="R256" s="11"/>
      <c r="S256" s="8">
        <v>5.21</v>
      </c>
      <c r="T256" s="8">
        <v>19.579999999999998</v>
      </c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11"/>
      <c r="AQ256" s="8"/>
      <c r="AR256" s="8"/>
      <c r="AS256" s="8"/>
      <c r="AT256" s="8">
        <v>655.07000000000005</v>
      </c>
      <c r="AU256" s="8"/>
      <c r="AV256" s="8"/>
      <c r="AW256" s="8">
        <v>21.71</v>
      </c>
      <c r="AX256" s="8"/>
      <c r="AY256" s="8"/>
      <c r="AZ256" s="8"/>
      <c r="BA256" s="8"/>
      <c r="BB256" s="8"/>
      <c r="BC256" s="8"/>
      <c r="BD256" s="8"/>
      <c r="BE256" s="8"/>
      <c r="BF256" s="8"/>
      <c r="BG256" s="8">
        <v>43.13</v>
      </c>
      <c r="BH256" s="9">
        <f t="shared" si="27"/>
        <v>1954.1100000000001</v>
      </c>
      <c r="BI256" s="9">
        <f t="shared" si="28"/>
        <v>3.91</v>
      </c>
      <c r="BJ256" s="9">
        <f t="shared" si="29"/>
        <v>5.21</v>
      </c>
      <c r="BK256" s="9">
        <f t="shared" si="30"/>
        <v>19.579999999999998</v>
      </c>
      <c r="BL256" s="9">
        <f t="shared" si="31"/>
        <v>0</v>
      </c>
      <c r="BM256" s="9">
        <f t="shared" si="32"/>
        <v>0</v>
      </c>
      <c r="BN256" s="9">
        <f t="shared" si="33"/>
        <v>655.07000000000005</v>
      </c>
      <c r="BO256" s="9">
        <f t="shared" si="34"/>
        <v>21.71</v>
      </c>
      <c r="BP256" s="9">
        <f t="shared" si="35"/>
        <v>0</v>
      </c>
    </row>
    <row r="257" spans="1:68">
      <c r="A257" s="6">
        <v>44606</v>
      </c>
      <c r="B257" s="7">
        <v>3079</v>
      </c>
      <c r="C257" s="8"/>
      <c r="D257" s="8"/>
      <c r="E257" s="8"/>
      <c r="F257" s="8">
        <v>506.69</v>
      </c>
      <c r="G257" s="8"/>
      <c r="H257" s="8"/>
      <c r="I257" s="8">
        <v>4094.64</v>
      </c>
      <c r="J257" s="8"/>
      <c r="K257" s="8"/>
      <c r="L257" s="8"/>
      <c r="M257" s="8"/>
      <c r="N257" s="8">
        <v>34.53</v>
      </c>
      <c r="O257" s="8"/>
      <c r="P257" s="8"/>
      <c r="Q257" s="11"/>
      <c r="R257" s="11"/>
      <c r="S257" s="8">
        <v>1.85</v>
      </c>
      <c r="T257" s="8">
        <v>46.17</v>
      </c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>
        <v>18.97</v>
      </c>
      <c r="AN257" s="8">
        <v>45.61</v>
      </c>
      <c r="AO257" s="8"/>
      <c r="AP257" s="11"/>
      <c r="AQ257" s="8"/>
      <c r="AR257" s="8">
        <v>114.85</v>
      </c>
      <c r="AS257" s="8"/>
      <c r="AT257" s="8">
        <v>1754.73</v>
      </c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>
        <v>126.57</v>
      </c>
      <c r="BH257" s="9">
        <f t="shared" si="27"/>
        <v>4601.33</v>
      </c>
      <c r="BI257" s="9">
        <f t="shared" si="28"/>
        <v>34.53</v>
      </c>
      <c r="BJ257" s="9">
        <f t="shared" si="29"/>
        <v>1.85</v>
      </c>
      <c r="BK257" s="9">
        <f t="shared" si="30"/>
        <v>46.17</v>
      </c>
      <c r="BL257" s="9">
        <f t="shared" si="31"/>
        <v>0</v>
      </c>
      <c r="BM257" s="9">
        <f t="shared" si="32"/>
        <v>179.43</v>
      </c>
      <c r="BN257" s="9">
        <f t="shared" si="33"/>
        <v>1754.73</v>
      </c>
      <c r="BO257" s="9">
        <f t="shared" si="34"/>
        <v>0</v>
      </c>
      <c r="BP257" s="9">
        <f t="shared" si="35"/>
        <v>0</v>
      </c>
    </row>
    <row r="258" spans="1:68">
      <c r="A258" s="6">
        <v>44606</v>
      </c>
      <c r="B258" s="7">
        <v>3083</v>
      </c>
      <c r="C258" s="8"/>
      <c r="D258" s="8">
        <v>1100.68</v>
      </c>
      <c r="E258" s="8"/>
      <c r="F258" s="8"/>
      <c r="G258" s="8"/>
      <c r="H258" s="8"/>
      <c r="I258" s="8">
        <v>2562.94</v>
      </c>
      <c r="J258" s="8"/>
      <c r="K258" s="8"/>
      <c r="L258" s="8"/>
      <c r="M258" s="8"/>
      <c r="N258" s="8">
        <v>25.33</v>
      </c>
      <c r="O258" s="8"/>
      <c r="P258" s="8"/>
      <c r="Q258" s="11"/>
      <c r="R258" s="11"/>
      <c r="S258" s="8">
        <v>2.5499999999999998</v>
      </c>
      <c r="T258" s="8">
        <v>29.35</v>
      </c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>
        <v>14.87</v>
      </c>
      <c r="AN258" s="8">
        <v>52.13</v>
      </c>
      <c r="AO258" s="8"/>
      <c r="AP258" s="11"/>
      <c r="AQ258" s="8"/>
      <c r="AR258" s="8">
        <v>92.06</v>
      </c>
      <c r="AS258" s="8"/>
      <c r="AT258" s="8">
        <v>1668.03</v>
      </c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>
        <v>130.93</v>
      </c>
      <c r="BH258" s="9">
        <f t="shared" si="27"/>
        <v>3663.62</v>
      </c>
      <c r="BI258" s="9">
        <f t="shared" si="28"/>
        <v>25.33</v>
      </c>
      <c r="BJ258" s="9">
        <f t="shared" si="29"/>
        <v>2.5499999999999998</v>
      </c>
      <c r="BK258" s="9">
        <f t="shared" si="30"/>
        <v>29.35</v>
      </c>
      <c r="BL258" s="9">
        <f t="shared" si="31"/>
        <v>0</v>
      </c>
      <c r="BM258" s="9">
        <f t="shared" si="32"/>
        <v>159.06</v>
      </c>
      <c r="BN258" s="9">
        <f t="shared" si="33"/>
        <v>1668.03</v>
      </c>
      <c r="BO258" s="9">
        <f t="shared" si="34"/>
        <v>0</v>
      </c>
      <c r="BP258" s="9">
        <f t="shared" si="35"/>
        <v>0</v>
      </c>
    </row>
    <row r="259" spans="1:68">
      <c r="A259" s="6">
        <v>44606</v>
      </c>
      <c r="B259" s="7">
        <v>3141</v>
      </c>
      <c r="C259" s="8">
        <v>3617.41</v>
      </c>
      <c r="D259" s="8">
        <v>637.55999999999995</v>
      </c>
      <c r="E259" s="8"/>
      <c r="F259" s="8"/>
      <c r="G259" s="8"/>
      <c r="H259" s="8"/>
      <c r="I259" s="8"/>
      <c r="J259" s="8"/>
      <c r="K259" s="8"/>
      <c r="L259" s="8"/>
      <c r="M259" s="8">
        <v>11.93</v>
      </c>
      <c r="N259" s="8"/>
      <c r="O259" s="8"/>
      <c r="P259" s="8"/>
      <c r="Q259" s="11"/>
      <c r="R259" s="11"/>
      <c r="S259" s="8">
        <v>20</v>
      </c>
      <c r="T259" s="8">
        <v>31.91</v>
      </c>
      <c r="U259" s="8">
        <v>31.9</v>
      </c>
      <c r="V259" s="8"/>
      <c r="W259" s="8"/>
      <c r="X259" s="8"/>
      <c r="Y259" s="8"/>
      <c r="Z259" s="8"/>
      <c r="AA259" s="8"/>
      <c r="AB259" s="8"/>
      <c r="AC259" s="8">
        <v>17.02</v>
      </c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11"/>
      <c r="AQ259" s="8"/>
      <c r="AR259" s="8"/>
      <c r="AS259" s="8"/>
      <c r="AT259" s="8">
        <v>2810.85</v>
      </c>
      <c r="AU259" s="8"/>
      <c r="AV259" s="8"/>
      <c r="AW259" s="8"/>
      <c r="AX259" s="8"/>
      <c r="AY259" s="8"/>
      <c r="AZ259" s="8"/>
      <c r="BA259" s="8">
        <v>97.44</v>
      </c>
      <c r="BB259" s="8"/>
      <c r="BC259" s="8"/>
      <c r="BD259" s="8"/>
      <c r="BE259" s="8"/>
      <c r="BF259" s="8">
        <v>297.88</v>
      </c>
      <c r="BG259" s="8">
        <v>221.38</v>
      </c>
      <c r="BH259" s="9">
        <f t="shared" si="27"/>
        <v>4254.9699999999993</v>
      </c>
      <c r="BI259" s="9">
        <f t="shared" si="28"/>
        <v>11.93</v>
      </c>
      <c r="BJ259" s="9">
        <f t="shared" si="29"/>
        <v>20</v>
      </c>
      <c r="BK259" s="9">
        <f t="shared" si="30"/>
        <v>63.81</v>
      </c>
      <c r="BL259" s="9">
        <f t="shared" si="31"/>
        <v>0</v>
      </c>
      <c r="BM259" s="9">
        <f t="shared" si="32"/>
        <v>17.02</v>
      </c>
      <c r="BN259" s="9">
        <f t="shared" si="33"/>
        <v>2810.85</v>
      </c>
      <c r="BO259" s="9">
        <f t="shared" si="34"/>
        <v>97.44</v>
      </c>
      <c r="BP259" s="9">
        <f t="shared" si="35"/>
        <v>297.88</v>
      </c>
    </row>
    <row r="260" spans="1:68">
      <c r="A260" s="6">
        <v>44606</v>
      </c>
      <c r="B260" s="7">
        <v>3112</v>
      </c>
      <c r="C260" s="8">
        <v>3130.61</v>
      </c>
      <c r="D260" s="8"/>
      <c r="E260" s="8"/>
      <c r="F260" s="8"/>
      <c r="G260" s="8"/>
      <c r="H260" s="8"/>
      <c r="I260" s="8"/>
      <c r="J260" s="8"/>
      <c r="K260" s="8"/>
      <c r="L260" s="8"/>
      <c r="M260" s="8">
        <v>3.14</v>
      </c>
      <c r="N260" s="8">
        <v>3.13</v>
      </c>
      <c r="O260" s="8"/>
      <c r="P260" s="8"/>
      <c r="Q260" s="11"/>
      <c r="R260" s="11"/>
      <c r="S260" s="8">
        <v>9.74</v>
      </c>
      <c r="T260" s="8">
        <v>31.35</v>
      </c>
      <c r="U260" s="8"/>
      <c r="V260" s="8"/>
      <c r="W260" s="8"/>
      <c r="X260" s="8"/>
      <c r="Y260" s="8"/>
      <c r="Z260" s="8"/>
      <c r="AA260" s="8"/>
      <c r="AB260" s="8"/>
      <c r="AC260" s="8">
        <v>12.54</v>
      </c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11"/>
      <c r="AQ260" s="8"/>
      <c r="AR260" s="8"/>
      <c r="AS260" s="8"/>
      <c r="AT260" s="8">
        <v>1314.49</v>
      </c>
      <c r="AU260" s="8"/>
      <c r="AV260" s="8"/>
      <c r="AW260" s="8"/>
      <c r="AX260" s="8"/>
      <c r="AY260" s="8"/>
      <c r="AZ260" s="8"/>
      <c r="BA260" s="8">
        <v>41.44</v>
      </c>
      <c r="BB260" s="8"/>
      <c r="BC260" s="8"/>
      <c r="BD260" s="8"/>
      <c r="BE260" s="8"/>
      <c r="BF260" s="8"/>
      <c r="BG260" s="8">
        <v>94.08</v>
      </c>
      <c r="BH260" s="9">
        <f t="shared" ref="BH260:BH323" si="36">SUM(C260:L260)</f>
        <v>3130.61</v>
      </c>
      <c r="BI260" s="9">
        <f t="shared" ref="BI260:BI323" si="37">SUM(M260:R260)</f>
        <v>6.27</v>
      </c>
      <c r="BJ260" s="9">
        <f t="shared" ref="BJ260:BJ323" si="38">SUM(S260)</f>
        <v>9.74</v>
      </c>
      <c r="BK260" s="9">
        <f t="shared" ref="BK260:BK323" si="39">SUM(T260:Y260)</f>
        <v>31.35</v>
      </c>
      <c r="BL260" s="9">
        <f t="shared" ref="BL260:BL323" si="40">SUM(Z260:AA260)</f>
        <v>0</v>
      </c>
      <c r="BM260" s="9">
        <f t="shared" ref="BM260:BM323" si="41">SUM(AB260:AS260)</f>
        <v>12.54</v>
      </c>
      <c r="BN260" s="9">
        <f t="shared" ref="BN260:BN323" si="42">SUM(AT260:AU260)</f>
        <v>1314.49</v>
      </c>
      <c r="BO260" s="9">
        <f t="shared" ref="BO260:BO323" si="43">SUM(AV260:BE260)</f>
        <v>41.44</v>
      </c>
      <c r="BP260" s="9">
        <f t="shared" ref="BP260:BP323" si="44">SUM(BF260)</f>
        <v>0</v>
      </c>
    </row>
    <row r="261" spans="1:68">
      <c r="A261" s="6">
        <v>44606</v>
      </c>
      <c r="B261" s="7">
        <v>3136</v>
      </c>
      <c r="C261" s="8">
        <v>1236.94</v>
      </c>
      <c r="D261" s="8"/>
      <c r="E261" s="8"/>
      <c r="F261" s="8"/>
      <c r="G261" s="8"/>
      <c r="H261" s="8">
        <v>513.4</v>
      </c>
      <c r="I261" s="8"/>
      <c r="J261" s="8"/>
      <c r="K261" s="8"/>
      <c r="L261" s="8"/>
      <c r="M261" s="8">
        <v>2.31</v>
      </c>
      <c r="N261" s="8"/>
      <c r="O261" s="8"/>
      <c r="P261" s="8"/>
      <c r="Q261" s="11"/>
      <c r="R261" s="11"/>
      <c r="S261" s="8">
        <v>7.62</v>
      </c>
      <c r="T261" s="8">
        <v>10.68</v>
      </c>
      <c r="U261" s="8">
        <v>9.14</v>
      </c>
      <c r="V261" s="8"/>
      <c r="W261" s="8"/>
      <c r="X261" s="8"/>
      <c r="Y261" s="8"/>
      <c r="Z261" s="8"/>
      <c r="AA261" s="8"/>
      <c r="AB261" s="8"/>
      <c r="AC261" s="8">
        <v>6.09</v>
      </c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11"/>
      <c r="AQ261" s="8"/>
      <c r="AR261" s="8"/>
      <c r="AS261" s="8"/>
      <c r="AT261" s="8">
        <v>990.16</v>
      </c>
      <c r="AU261" s="8"/>
      <c r="AV261" s="8"/>
      <c r="AW261" s="8"/>
      <c r="AX261" s="8"/>
      <c r="AY261" s="8"/>
      <c r="AZ261" s="8"/>
      <c r="BA261" s="8">
        <v>15.12</v>
      </c>
      <c r="BB261" s="8"/>
      <c r="BC261" s="8"/>
      <c r="BD261" s="8"/>
      <c r="BE261" s="8"/>
      <c r="BF261" s="8">
        <v>60.85</v>
      </c>
      <c r="BG261" s="8">
        <v>74.77</v>
      </c>
      <c r="BH261" s="9">
        <f t="shared" si="36"/>
        <v>1750.3400000000001</v>
      </c>
      <c r="BI261" s="9">
        <f t="shared" si="37"/>
        <v>2.31</v>
      </c>
      <c r="BJ261" s="9">
        <f t="shared" si="38"/>
        <v>7.62</v>
      </c>
      <c r="BK261" s="9">
        <f t="shared" si="39"/>
        <v>19.82</v>
      </c>
      <c r="BL261" s="9">
        <f t="shared" si="40"/>
        <v>0</v>
      </c>
      <c r="BM261" s="9">
        <f t="shared" si="41"/>
        <v>6.09</v>
      </c>
      <c r="BN261" s="9">
        <f t="shared" si="42"/>
        <v>990.16</v>
      </c>
      <c r="BO261" s="9">
        <f t="shared" si="43"/>
        <v>15.12</v>
      </c>
      <c r="BP261" s="9">
        <f t="shared" si="44"/>
        <v>60.85</v>
      </c>
    </row>
    <row r="262" spans="1:68">
      <c r="A262" s="6">
        <v>44606</v>
      </c>
      <c r="B262" s="7">
        <v>3104</v>
      </c>
      <c r="C262" s="8">
        <v>1519.69</v>
      </c>
      <c r="D262" s="8"/>
      <c r="E262" s="8"/>
      <c r="F262" s="8"/>
      <c r="G262" s="8"/>
      <c r="H262" s="8">
        <v>389.86</v>
      </c>
      <c r="I262" s="8"/>
      <c r="J262" s="8"/>
      <c r="K262" s="8"/>
      <c r="L262" s="8"/>
      <c r="M262" s="8">
        <v>4.0199999999999996</v>
      </c>
      <c r="N262" s="8"/>
      <c r="O262" s="8"/>
      <c r="P262" s="8"/>
      <c r="Q262" s="11"/>
      <c r="R262" s="11"/>
      <c r="S262" s="8">
        <v>8</v>
      </c>
      <c r="T262" s="8">
        <v>13.87</v>
      </c>
      <c r="U262" s="8">
        <v>6.09</v>
      </c>
      <c r="V262" s="8"/>
      <c r="W262" s="8"/>
      <c r="X262" s="8"/>
      <c r="Y262" s="8"/>
      <c r="Z262" s="8"/>
      <c r="AA262" s="8"/>
      <c r="AB262" s="8"/>
      <c r="AC262" s="8">
        <v>6.95</v>
      </c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11"/>
      <c r="AQ262" s="8"/>
      <c r="AR262" s="8"/>
      <c r="AS262" s="8"/>
      <c r="AT262" s="8">
        <v>1110.21</v>
      </c>
      <c r="AU262" s="8"/>
      <c r="AV262" s="8"/>
      <c r="AW262" s="8"/>
      <c r="AX262" s="8"/>
      <c r="AY262" s="8"/>
      <c r="AZ262" s="8"/>
      <c r="BA262" s="8">
        <v>39.61</v>
      </c>
      <c r="BB262" s="8"/>
      <c r="BC262" s="8"/>
      <c r="BD262" s="8"/>
      <c r="BE262" s="8"/>
      <c r="BF262" s="8">
        <v>34.86</v>
      </c>
      <c r="BG262" s="8">
        <v>86.28</v>
      </c>
      <c r="BH262" s="9">
        <f t="shared" si="36"/>
        <v>1909.5500000000002</v>
      </c>
      <c r="BI262" s="9">
        <f t="shared" si="37"/>
        <v>4.0199999999999996</v>
      </c>
      <c r="BJ262" s="9">
        <f t="shared" si="38"/>
        <v>8</v>
      </c>
      <c r="BK262" s="9">
        <f t="shared" si="39"/>
        <v>19.96</v>
      </c>
      <c r="BL262" s="9">
        <f t="shared" si="40"/>
        <v>0</v>
      </c>
      <c r="BM262" s="9">
        <f t="shared" si="41"/>
        <v>6.95</v>
      </c>
      <c r="BN262" s="9">
        <f t="shared" si="42"/>
        <v>1110.21</v>
      </c>
      <c r="BO262" s="9">
        <f t="shared" si="43"/>
        <v>39.61</v>
      </c>
      <c r="BP262" s="9">
        <f t="shared" si="44"/>
        <v>34.86</v>
      </c>
    </row>
    <row r="263" spans="1:68">
      <c r="A263" s="6">
        <v>44607</v>
      </c>
      <c r="B263" s="7">
        <v>3201</v>
      </c>
      <c r="C263" s="8">
        <v>1175.9000000000001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>
        <v>2.97</v>
      </c>
      <c r="P263" s="8"/>
      <c r="Q263" s="11"/>
      <c r="R263" s="11"/>
      <c r="S263" s="8">
        <v>4.59</v>
      </c>
      <c r="T263" s="8"/>
      <c r="U263" s="8">
        <v>17.86</v>
      </c>
      <c r="V263" s="8"/>
      <c r="W263" s="8"/>
      <c r="X263" s="8"/>
      <c r="Y263" s="8"/>
      <c r="Z263" s="8">
        <v>249.59</v>
      </c>
      <c r="AA263" s="8"/>
      <c r="AB263" s="8"/>
      <c r="AC263" s="8"/>
      <c r="AD263" s="8"/>
      <c r="AE263" s="8"/>
      <c r="AF263" s="8">
        <v>58.92</v>
      </c>
      <c r="AG263" s="8"/>
      <c r="AH263" s="8"/>
      <c r="AI263" s="8"/>
      <c r="AJ263" s="8"/>
      <c r="AK263" s="8"/>
      <c r="AL263" s="8"/>
      <c r="AM263" s="8"/>
      <c r="AN263" s="8"/>
      <c r="AO263" s="8"/>
      <c r="AP263" s="11"/>
      <c r="AQ263" s="8"/>
      <c r="AR263" s="8"/>
      <c r="AS263" s="8"/>
      <c r="AT263" s="8">
        <v>823.76</v>
      </c>
      <c r="AU263" s="8"/>
      <c r="AV263" s="8"/>
      <c r="AW263" s="8"/>
      <c r="AX263" s="8"/>
      <c r="AY263" s="8"/>
      <c r="AZ263" s="8"/>
      <c r="BA263" s="8"/>
      <c r="BB263" s="8"/>
      <c r="BC263" s="8">
        <v>3.09</v>
      </c>
      <c r="BD263" s="8"/>
      <c r="BE263" s="8"/>
      <c r="BF263" s="8">
        <v>57</v>
      </c>
      <c r="BG263" s="8">
        <v>58.93</v>
      </c>
      <c r="BH263" s="9">
        <f t="shared" si="36"/>
        <v>1175.9000000000001</v>
      </c>
      <c r="BI263" s="9">
        <f t="shared" si="37"/>
        <v>2.97</v>
      </c>
      <c r="BJ263" s="9">
        <f t="shared" si="38"/>
        <v>4.59</v>
      </c>
      <c r="BK263" s="9">
        <f t="shared" si="39"/>
        <v>17.86</v>
      </c>
      <c r="BL263" s="9">
        <f t="shared" si="40"/>
        <v>249.59</v>
      </c>
      <c r="BM263" s="9">
        <f t="shared" si="41"/>
        <v>58.92</v>
      </c>
      <c r="BN263" s="9">
        <f t="shared" si="42"/>
        <v>823.76</v>
      </c>
      <c r="BO263" s="9">
        <f t="shared" si="43"/>
        <v>3.09</v>
      </c>
      <c r="BP263" s="9">
        <f t="shared" si="44"/>
        <v>57</v>
      </c>
    </row>
    <row r="264" spans="1:68">
      <c r="A264" s="6">
        <v>44607</v>
      </c>
      <c r="B264" s="7">
        <v>3141</v>
      </c>
      <c r="C264" s="8">
        <v>3600.07</v>
      </c>
      <c r="D264" s="8">
        <v>634.83000000000004</v>
      </c>
      <c r="E264" s="8"/>
      <c r="F264" s="8"/>
      <c r="G264" s="8"/>
      <c r="H264" s="8"/>
      <c r="I264" s="8"/>
      <c r="J264" s="8"/>
      <c r="K264" s="8"/>
      <c r="L264" s="8"/>
      <c r="M264" s="8">
        <v>11.86</v>
      </c>
      <c r="N264" s="8"/>
      <c r="O264" s="8"/>
      <c r="P264" s="8"/>
      <c r="Q264" s="11"/>
      <c r="R264" s="11"/>
      <c r="S264" s="8">
        <v>19.96</v>
      </c>
      <c r="T264" s="8">
        <v>31.84</v>
      </c>
      <c r="U264" s="8">
        <v>31.85</v>
      </c>
      <c r="V264" s="8"/>
      <c r="W264" s="8"/>
      <c r="X264" s="8"/>
      <c r="Y264" s="8"/>
      <c r="Z264" s="8"/>
      <c r="AA264" s="8"/>
      <c r="AB264" s="8"/>
      <c r="AC264" s="8">
        <v>16.98</v>
      </c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11"/>
      <c r="AQ264" s="8"/>
      <c r="AR264" s="8"/>
      <c r="AS264" s="8"/>
      <c r="AT264" s="8">
        <v>2815.58</v>
      </c>
      <c r="AU264" s="8"/>
      <c r="AV264" s="8"/>
      <c r="AW264" s="8"/>
      <c r="AX264" s="8"/>
      <c r="AY264" s="8"/>
      <c r="AZ264" s="8"/>
      <c r="BA264" s="8">
        <v>97.26</v>
      </c>
      <c r="BB264" s="8"/>
      <c r="BC264" s="8"/>
      <c r="BD264" s="8"/>
      <c r="BE264" s="8"/>
      <c r="BF264" s="8">
        <v>296.55</v>
      </c>
      <c r="BG264" s="8">
        <v>220.84</v>
      </c>
      <c r="BH264" s="9">
        <f t="shared" si="36"/>
        <v>4234.9000000000005</v>
      </c>
      <c r="BI264" s="9">
        <f t="shared" si="37"/>
        <v>11.86</v>
      </c>
      <c r="BJ264" s="9">
        <f t="shared" si="38"/>
        <v>19.96</v>
      </c>
      <c r="BK264" s="9">
        <f t="shared" si="39"/>
        <v>63.69</v>
      </c>
      <c r="BL264" s="9">
        <f t="shared" si="40"/>
        <v>0</v>
      </c>
      <c r="BM264" s="9">
        <f t="shared" si="41"/>
        <v>16.98</v>
      </c>
      <c r="BN264" s="9">
        <f t="shared" si="42"/>
        <v>2815.58</v>
      </c>
      <c r="BO264" s="9">
        <f t="shared" si="43"/>
        <v>97.26</v>
      </c>
      <c r="BP264" s="9">
        <f t="shared" si="44"/>
        <v>296.55</v>
      </c>
    </row>
    <row r="265" spans="1:68">
      <c r="A265" s="6">
        <v>44607</v>
      </c>
      <c r="B265" s="7">
        <v>3106</v>
      </c>
      <c r="C265" s="8">
        <v>4153.5600000000004</v>
      </c>
      <c r="D265" s="8"/>
      <c r="E265" s="8"/>
      <c r="F265" s="8"/>
      <c r="G265" s="8"/>
      <c r="H265" s="8"/>
      <c r="I265" s="8"/>
      <c r="J265" s="8"/>
      <c r="K265" s="8"/>
      <c r="L265" s="8"/>
      <c r="M265" s="8">
        <v>11.21</v>
      </c>
      <c r="N265" s="8"/>
      <c r="O265" s="8"/>
      <c r="P265" s="8"/>
      <c r="Q265" s="11"/>
      <c r="R265" s="11"/>
      <c r="S265" s="8">
        <v>12.89</v>
      </c>
      <c r="T265" s="8">
        <v>52.74</v>
      </c>
      <c r="U265" s="8"/>
      <c r="V265" s="8"/>
      <c r="W265" s="8"/>
      <c r="X265" s="8"/>
      <c r="Y265" s="8"/>
      <c r="Z265" s="8"/>
      <c r="AA265" s="8"/>
      <c r="AB265" s="8"/>
      <c r="AC265" s="8">
        <v>16.63</v>
      </c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11"/>
      <c r="AQ265" s="8"/>
      <c r="AR265" s="8"/>
      <c r="AS265" s="8"/>
      <c r="AT265" s="8">
        <v>2377.79</v>
      </c>
      <c r="AU265" s="8"/>
      <c r="AV265" s="8"/>
      <c r="AW265" s="8"/>
      <c r="AX265" s="8">
        <v>5.2</v>
      </c>
      <c r="AY265" s="8"/>
      <c r="AZ265" s="8"/>
      <c r="BA265" s="8"/>
      <c r="BB265" s="8"/>
      <c r="BC265" s="8"/>
      <c r="BD265" s="8"/>
      <c r="BE265" s="8"/>
      <c r="BF265" s="8"/>
      <c r="BG265" s="8">
        <v>179.05</v>
      </c>
      <c r="BH265" s="9">
        <f t="shared" si="36"/>
        <v>4153.5600000000004</v>
      </c>
      <c r="BI265" s="9">
        <f t="shared" si="37"/>
        <v>11.21</v>
      </c>
      <c r="BJ265" s="9">
        <f t="shared" si="38"/>
        <v>12.89</v>
      </c>
      <c r="BK265" s="9">
        <f t="shared" si="39"/>
        <v>52.74</v>
      </c>
      <c r="BL265" s="9">
        <f t="shared" si="40"/>
        <v>0</v>
      </c>
      <c r="BM265" s="9">
        <f t="shared" si="41"/>
        <v>16.63</v>
      </c>
      <c r="BN265" s="9">
        <f t="shared" si="42"/>
        <v>2377.79</v>
      </c>
      <c r="BO265" s="9">
        <f t="shared" si="43"/>
        <v>5.2</v>
      </c>
      <c r="BP265" s="9">
        <f t="shared" si="44"/>
        <v>0</v>
      </c>
    </row>
    <row r="266" spans="1:68">
      <c r="A266" s="6">
        <v>44607</v>
      </c>
      <c r="B266" s="7">
        <v>3204</v>
      </c>
      <c r="C266" s="8"/>
      <c r="D266" s="8">
        <v>1784.3</v>
      </c>
      <c r="E266" s="8">
        <v>763.58</v>
      </c>
      <c r="F266" s="8"/>
      <c r="G266" s="8"/>
      <c r="H266" s="8"/>
      <c r="I266" s="8"/>
      <c r="J266" s="8"/>
      <c r="K266" s="8"/>
      <c r="L266" s="8"/>
      <c r="M266" s="8"/>
      <c r="N266" s="8"/>
      <c r="O266" s="8">
        <v>12.76</v>
      </c>
      <c r="P266" s="8"/>
      <c r="Q266" s="11"/>
      <c r="R266" s="11"/>
      <c r="S266" s="8">
        <v>8.66</v>
      </c>
      <c r="T266" s="8">
        <v>15.3</v>
      </c>
      <c r="U266" s="8">
        <v>12.76</v>
      </c>
      <c r="V266" s="8"/>
      <c r="W266" s="8"/>
      <c r="X266" s="8"/>
      <c r="Y266" s="8"/>
      <c r="Z266" s="8">
        <v>382.74</v>
      </c>
      <c r="AA266" s="8"/>
      <c r="AB266" s="8">
        <v>12.72</v>
      </c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11"/>
      <c r="AQ266" s="8"/>
      <c r="AR266" s="8"/>
      <c r="AS266" s="8"/>
      <c r="AT266" s="8">
        <v>1123.06</v>
      </c>
      <c r="AU266" s="8"/>
      <c r="AV266" s="8"/>
      <c r="AW266" s="8">
        <v>8.11</v>
      </c>
      <c r="AX266" s="8"/>
      <c r="AY266" s="8"/>
      <c r="AZ266" s="8"/>
      <c r="BA266" s="8"/>
      <c r="BB266" s="8"/>
      <c r="BC266" s="8"/>
      <c r="BD266" s="8"/>
      <c r="BE266" s="8"/>
      <c r="BF266" s="8"/>
      <c r="BG266" s="8">
        <v>82.94</v>
      </c>
      <c r="BH266" s="9">
        <f t="shared" si="36"/>
        <v>2547.88</v>
      </c>
      <c r="BI266" s="9">
        <f t="shared" si="37"/>
        <v>12.76</v>
      </c>
      <c r="BJ266" s="9">
        <f t="shared" si="38"/>
        <v>8.66</v>
      </c>
      <c r="BK266" s="9">
        <f t="shared" si="39"/>
        <v>28.060000000000002</v>
      </c>
      <c r="BL266" s="9">
        <f t="shared" si="40"/>
        <v>382.74</v>
      </c>
      <c r="BM266" s="9">
        <f t="shared" si="41"/>
        <v>12.72</v>
      </c>
      <c r="BN266" s="9">
        <f t="shared" si="42"/>
        <v>1123.06</v>
      </c>
      <c r="BO266" s="9">
        <f t="shared" si="43"/>
        <v>8.11</v>
      </c>
      <c r="BP266" s="9">
        <f t="shared" si="44"/>
        <v>0</v>
      </c>
    </row>
    <row r="267" spans="1:68">
      <c r="A267" s="6">
        <v>44607</v>
      </c>
      <c r="B267" s="7">
        <v>3022</v>
      </c>
      <c r="C267" s="8"/>
      <c r="D267" s="8">
        <v>596.66999999999996</v>
      </c>
      <c r="E267" s="8"/>
      <c r="F267" s="8"/>
      <c r="G267" s="8"/>
      <c r="H267" s="8"/>
      <c r="I267" s="8">
        <v>488.42</v>
      </c>
      <c r="J267" s="8"/>
      <c r="K267" s="8"/>
      <c r="L267" s="8"/>
      <c r="M267" s="8"/>
      <c r="N267" s="8">
        <v>5.43</v>
      </c>
      <c r="O267" s="8"/>
      <c r="P267" s="8"/>
      <c r="Q267" s="11"/>
      <c r="R267" s="11"/>
      <c r="S267" s="8">
        <v>1.96</v>
      </c>
      <c r="T267" s="8"/>
      <c r="U267" s="8"/>
      <c r="V267" s="8"/>
      <c r="W267" s="8">
        <v>11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>
        <v>13.96</v>
      </c>
      <c r="AN267" s="8"/>
      <c r="AO267" s="8"/>
      <c r="AP267" s="11"/>
      <c r="AQ267" s="8"/>
      <c r="AR267" s="8"/>
      <c r="AS267" s="8">
        <v>37.78</v>
      </c>
      <c r="AT267" s="8">
        <v>507.32</v>
      </c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>
        <v>39.1</v>
      </c>
      <c r="BH267" s="9">
        <f t="shared" si="36"/>
        <v>1085.0899999999999</v>
      </c>
      <c r="BI267" s="9">
        <f t="shared" si="37"/>
        <v>5.43</v>
      </c>
      <c r="BJ267" s="9">
        <f t="shared" si="38"/>
        <v>1.96</v>
      </c>
      <c r="BK267" s="9">
        <f t="shared" si="39"/>
        <v>11</v>
      </c>
      <c r="BL267" s="9">
        <f t="shared" si="40"/>
        <v>0</v>
      </c>
      <c r="BM267" s="9">
        <f t="shared" si="41"/>
        <v>51.74</v>
      </c>
      <c r="BN267" s="9">
        <f t="shared" si="42"/>
        <v>507.32</v>
      </c>
      <c r="BO267" s="9">
        <f t="shared" si="43"/>
        <v>0</v>
      </c>
      <c r="BP267" s="9">
        <f t="shared" si="44"/>
        <v>0</v>
      </c>
    </row>
    <row r="268" spans="1:68">
      <c r="A268" s="6">
        <v>44607</v>
      </c>
      <c r="B268" s="7">
        <v>3025</v>
      </c>
      <c r="C268" s="8"/>
      <c r="D268" s="8">
        <v>202.02</v>
      </c>
      <c r="E268" s="8"/>
      <c r="F268" s="8"/>
      <c r="G268" s="8"/>
      <c r="H268" s="8"/>
      <c r="I268" s="8">
        <v>1130.3599999999999</v>
      </c>
      <c r="J268" s="8"/>
      <c r="K268" s="8"/>
      <c r="L268" s="8"/>
      <c r="M268" s="8"/>
      <c r="N268" s="8">
        <v>7.2</v>
      </c>
      <c r="O268" s="8"/>
      <c r="P268" s="8"/>
      <c r="Q268" s="11"/>
      <c r="R268" s="11"/>
      <c r="S268" s="8">
        <v>2.13</v>
      </c>
      <c r="T268" s="8"/>
      <c r="U268" s="8"/>
      <c r="V268" s="8"/>
      <c r="W268" s="8">
        <v>12.09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>
        <v>13.52</v>
      </c>
      <c r="AN268" s="8">
        <v>9.48</v>
      </c>
      <c r="AO268" s="8"/>
      <c r="AP268" s="11"/>
      <c r="AQ268" s="8"/>
      <c r="AR268" s="8"/>
      <c r="AS268" s="8">
        <v>44.27</v>
      </c>
      <c r="AT268" s="8">
        <v>461.58</v>
      </c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>
        <v>30.57</v>
      </c>
      <c r="BH268" s="9">
        <f t="shared" si="36"/>
        <v>1332.3799999999999</v>
      </c>
      <c r="BI268" s="9">
        <f t="shared" si="37"/>
        <v>7.2</v>
      </c>
      <c r="BJ268" s="9">
        <f t="shared" si="38"/>
        <v>2.13</v>
      </c>
      <c r="BK268" s="9">
        <f t="shared" si="39"/>
        <v>12.09</v>
      </c>
      <c r="BL268" s="9">
        <f t="shared" si="40"/>
        <v>0</v>
      </c>
      <c r="BM268" s="9">
        <f t="shared" si="41"/>
        <v>67.27000000000001</v>
      </c>
      <c r="BN268" s="9">
        <f t="shared" si="42"/>
        <v>461.58</v>
      </c>
      <c r="BO268" s="9">
        <f t="shared" si="43"/>
        <v>0</v>
      </c>
      <c r="BP268" s="9">
        <f t="shared" si="44"/>
        <v>0</v>
      </c>
    </row>
    <row r="269" spans="1:68">
      <c r="A269" s="6">
        <v>44607</v>
      </c>
      <c r="B269" s="7">
        <v>3307</v>
      </c>
      <c r="C269" s="8"/>
      <c r="D269" s="8">
        <v>994.84</v>
      </c>
      <c r="E269" s="8"/>
      <c r="F269" s="8"/>
      <c r="G269" s="8"/>
      <c r="H269" s="8"/>
      <c r="I269" s="8"/>
      <c r="J269" s="8"/>
      <c r="K269" s="8"/>
      <c r="L269" s="8"/>
      <c r="M269" s="8">
        <v>1.29</v>
      </c>
      <c r="N269" s="8"/>
      <c r="O269" s="8"/>
      <c r="P269" s="8"/>
      <c r="Q269" s="11"/>
      <c r="R269" s="11"/>
      <c r="S269" s="8">
        <v>7.26</v>
      </c>
      <c r="T269" s="8">
        <v>9.9700000000000006</v>
      </c>
      <c r="U269" s="8"/>
      <c r="V269" s="8"/>
      <c r="W269" s="8"/>
      <c r="X269" s="8"/>
      <c r="Y269" s="8"/>
      <c r="Z269" s="8"/>
      <c r="AA269" s="8"/>
      <c r="AB269" s="8"/>
      <c r="AC269" s="8">
        <v>5.97</v>
      </c>
      <c r="AD269" s="8"/>
      <c r="AE269" s="8"/>
      <c r="AF269" s="8"/>
      <c r="AG269" s="8">
        <v>9.98</v>
      </c>
      <c r="AH269" s="8"/>
      <c r="AI269" s="8"/>
      <c r="AJ269" s="8"/>
      <c r="AK269" s="8"/>
      <c r="AL269" s="8"/>
      <c r="AM269" s="8"/>
      <c r="AN269" s="8"/>
      <c r="AO269" s="8"/>
      <c r="AP269" s="11"/>
      <c r="AQ269" s="8"/>
      <c r="AR269" s="8"/>
      <c r="AS269" s="8"/>
      <c r="AT269" s="8"/>
      <c r="AU269" s="8">
        <v>498.56</v>
      </c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>
        <v>35.770000000000003</v>
      </c>
      <c r="BH269" s="9">
        <f t="shared" si="36"/>
        <v>994.84</v>
      </c>
      <c r="BI269" s="9">
        <f t="shared" si="37"/>
        <v>1.29</v>
      </c>
      <c r="BJ269" s="9">
        <f t="shared" si="38"/>
        <v>7.26</v>
      </c>
      <c r="BK269" s="9">
        <f t="shared" si="39"/>
        <v>9.9700000000000006</v>
      </c>
      <c r="BL269" s="9">
        <f t="shared" si="40"/>
        <v>0</v>
      </c>
      <c r="BM269" s="9">
        <f t="shared" si="41"/>
        <v>15.95</v>
      </c>
      <c r="BN269" s="9">
        <f t="shared" si="42"/>
        <v>498.56</v>
      </c>
      <c r="BO269" s="9">
        <f t="shared" si="43"/>
        <v>0</v>
      </c>
      <c r="BP269" s="9">
        <f t="shared" si="44"/>
        <v>0</v>
      </c>
    </row>
    <row r="270" spans="1:68">
      <c r="A270" s="6">
        <v>44607</v>
      </c>
      <c r="B270" s="7">
        <v>3310</v>
      </c>
      <c r="C270" s="8"/>
      <c r="D270" s="8">
        <v>1633.86</v>
      </c>
      <c r="E270" s="8"/>
      <c r="F270" s="8"/>
      <c r="G270" s="8"/>
      <c r="H270" s="8"/>
      <c r="I270" s="8"/>
      <c r="J270" s="8"/>
      <c r="K270" s="8"/>
      <c r="L270" s="8"/>
      <c r="M270" s="8">
        <v>1.94</v>
      </c>
      <c r="N270" s="8"/>
      <c r="O270" s="8"/>
      <c r="P270" s="8"/>
      <c r="Q270" s="11"/>
      <c r="R270" s="11"/>
      <c r="S270" s="8">
        <v>11.61</v>
      </c>
      <c r="T270" s="8">
        <v>14.72</v>
      </c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>
        <v>16.36</v>
      </c>
      <c r="AH270" s="8"/>
      <c r="AI270" s="8"/>
      <c r="AJ270" s="8"/>
      <c r="AK270" s="8"/>
      <c r="AL270" s="8"/>
      <c r="AM270" s="8"/>
      <c r="AN270" s="8"/>
      <c r="AO270" s="8"/>
      <c r="AP270" s="11"/>
      <c r="AQ270" s="8"/>
      <c r="AR270" s="8"/>
      <c r="AS270" s="8"/>
      <c r="AT270" s="8"/>
      <c r="AU270" s="8">
        <v>705.9</v>
      </c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>
        <v>47.4</v>
      </c>
      <c r="BH270" s="9">
        <f t="shared" si="36"/>
        <v>1633.86</v>
      </c>
      <c r="BI270" s="9">
        <f t="shared" si="37"/>
        <v>1.94</v>
      </c>
      <c r="BJ270" s="9">
        <f t="shared" si="38"/>
        <v>11.61</v>
      </c>
      <c r="BK270" s="9">
        <f t="shared" si="39"/>
        <v>14.72</v>
      </c>
      <c r="BL270" s="9">
        <f t="shared" si="40"/>
        <v>0</v>
      </c>
      <c r="BM270" s="9">
        <f t="shared" si="41"/>
        <v>16.36</v>
      </c>
      <c r="BN270" s="9">
        <f t="shared" si="42"/>
        <v>705.9</v>
      </c>
      <c r="BO270" s="9">
        <f t="shared" si="43"/>
        <v>0</v>
      </c>
      <c r="BP270" s="9">
        <f t="shared" si="44"/>
        <v>0</v>
      </c>
    </row>
    <row r="271" spans="1:68">
      <c r="A271" s="6">
        <v>44607</v>
      </c>
      <c r="B271" s="7">
        <v>3122</v>
      </c>
      <c r="C271" s="8">
        <v>221.31</v>
      </c>
      <c r="D271" s="8"/>
      <c r="E271" s="8"/>
      <c r="F271" s="8"/>
      <c r="G271" s="8"/>
      <c r="H271" s="8"/>
      <c r="I271" s="8"/>
      <c r="J271" s="8"/>
      <c r="K271" s="8"/>
      <c r="L271" s="8"/>
      <c r="M271" s="8">
        <v>0.4</v>
      </c>
      <c r="N271" s="8">
        <v>0.4</v>
      </c>
      <c r="O271" s="8"/>
      <c r="P271" s="8"/>
      <c r="Q271" s="11"/>
      <c r="R271" s="11"/>
      <c r="S271" s="8">
        <v>0.88</v>
      </c>
      <c r="T271" s="8">
        <v>1.55</v>
      </c>
      <c r="U271" s="8">
        <v>0.67</v>
      </c>
      <c r="V271" s="8"/>
      <c r="W271" s="8"/>
      <c r="X271" s="8"/>
      <c r="Y271" s="8"/>
      <c r="Z271" s="8"/>
      <c r="AA271" s="8"/>
      <c r="AB271" s="8"/>
      <c r="AC271" s="8">
        <v>0.88</v>
      </c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11"/>
      <c r="AQ271" s="8"/>
      <c r="AR271" s="8"/>
      <c r="AS271" s="8"/>
      <c r="AT271" s="8">
        <v>97.52</v>
      </c>
      <c r="AU271" s="8"/>
      <c r="AV271" s="8">
        <v>7.5</v>
      </c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>
        <v>7.17</v>
      </c>
      <c r="BH271" s="9">
        <f t="shared" si="36"/>
        <v>221.31</v>
      </c>
      <c r="BI271" s="9">
        <f t="shared" si="37"/>
        <v>0.8</v>
      </c>
      <c r="BJ271" s="9">
        <f t="shared" si="38"/>
        <v>0.88</v>
      </c>
      <c r="BK271" s="9">
        <f t="shared" si="39"/>
        <v>2.2200000000000002</v>
      </c>
      <c r="BL271" s="9">
        <f t="shared" si="40"/>
        <v>0</v>
      </c>
      <c r="BM271" s="9">
        <f t="shared" si="41"/>
        <v>0.88</v>
      </c>
      <c r="BN271" s="9">
        <f t="shared" si="42"/>
        <v>97.52</v>
      </c>
      <c r="BO271" s="9">
        <f t="shared" si="43"/>
        <v>7.5</v>
      </c>
      <c r="BP271" s="9">
        <f t="shared" si="44"/>
        <v>0</v>
      </c>
    </row>
    <row r="272" spans="1:68">
      <c r="A272" s="6">
        <v>44607</v>
      </c>
      <c r="B272" s="7">
        <v>3602</v>
      </c>
      <c r="C272" s="8">
        <v>314.58999999999997</v>
      </c>
      <c r="D272" s="8"/>
      <c r="E272" s="8"/>
      <c r="F272" s="8"/>
      <c r="G272" s="8">
        <v>471.5</v>
      </c>
      <c r="H272" s="8"/>
      <c r="I272" s="8"/>
      <c r="J272" s="8"/>
      <c r="K272" s="8"/>
      <c r="L272" s="8"/>
      <c r="M272" s="8">
        <v>0.81</v>
      </c>
      <c r="N272" s="8"/>
      <c r="O272" s="8"/>
      <c r="P272" s="8"/>
      <c r="Q272" s="11"/>
      <c r="R272" s="11"/>
      <c r="S272" s="8">
        <v>4.29</v>
      </c>
      <c r="T272" s="8"/>
      <c r="U272" s="8">
        <v>2.5299999999999998</v>
      </c>
      <c r="V272" s="8">
        <v>7.69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11"/>
      <c r="AQ272" s="8"/>
      <c r="AR272" s="8"/>
      <c r="AS272" s="8"/>
      <c r="AT272" s="8">
        <v>329.06</v>
      </c>
      <c r="AU272" s="8"/>
      <c r="AV272" s="8"/>
      <c r="AW272" s="8">
        <v>20.38</v>
      </c>
      <c r="AX272" s="8"/>
      <c r="AY272" s="8"/>
      <c r="AZ272" s="8"/>
      <c r="BA272" s="8"/>
      <c r="BB272" s="8"/>
      <c r="BC272" s="8"/>
      <c r="BD272" s="8"/>
      <c r="BE272" s="8"/>
      <c r="BF272" s="8">
        <v>25.3</v>
      </c>
      <c r="BG272" s="8">
        <v>24.48</v>
      </c>
      <c r="BH272" s="9">
        <f t="shared" si="36"/>
        <v>786.08999999999992</v>
      </c>
      <c r="BI272" s="9">
        <f t="shared" si="37"/>
        <v>0.81</v>
      </c>
      <c r="BJ272" s="9">
        <f t="shared" si="38"/>
        <v>4.29</v>
      </c>
      <c r="BK272" s="9">
        <f t="shared" si="39"/>
        <v>10.220000000000001</v>
      </c>
      <c r="BL272" s="9">
        <f t="shared" si="40"/>
        <v>0</v>
      </c>
      <c r="BM272" s="9">
        <f t="shared" si="41"/>
        <v>0</v>
      </c>
      <c r="BN272" s="9">
        <f t="shared" si="42"/>
        <v>329.06</v>
      </c>
      <c r="BO272" s="9">
        <f t="shared" si="43"/>
        <v>20.38</v>
      </c>
      <c r="BP272" s="9">
        <f t="shared" si="44"/>
        <v>25.3</v>
      </c>
    </row>
    <row r="273" spans="1:68">
      <c r="A273" s="6">
        <v>44607</v>
      </c>
      <c r="B273" s="7">
        <v>3100</v>
      </c>
      <c r="C273" s="8">
        <v>649.17999999999995</v>
      </c>
      <c r="D273" s="8"/>
      <c r="E273" s="8"/>
      <c r="F273" s="8"/>
      <c r="G273" s="8"/>
      <c r="H273" s="8"/>
      <c r="I273" s="8"/>
      <c r="J273" s="8"/>
      <c r="K273" s="8"/>
      <c r="L273" s="8"/>
      <c r="M273" s="8">
        <v>0.95</v>
      </c>
      <c r="N273" s="8"/>
      <c r="O273" s="8"/>
      <c r="P273" s="8"/>
      <c r="Q273" s="11"/>
      <c r="R273" s="11"/>
      <c r="S273" s="8">
        <v>3.71</v>
      </c>
      <c r="T273" s="8"/>
      <c r="U273" s="8">
        <v>10.41</v>
      </c>
      <c r="V273" s="8"/>
      <c r="W273" s="8"/>
      <c r="X273" s="8"/>
      <c r="Y273" s="8"/>
      <c r="Z273" s="8"/>
      <c r="AA273" s="8"/>
      <c r="AB273" s="8"/>
      <c r="AC273" s="8">
        <v>2.6</v>
      </c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11"/>
      <c r="AQ273" s="8"/>
      <c r="AR273" s="8"/>
      <c r="AS273" s="8"/>
      <c r="AT273" s="8">
        <v>438.25</v>
      </c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>
        <v>84.47</v>
      </c>
      <c r="BG273" s="8">
        <v>33.44</v>
      </c>
      <c r="BH273" s="9">
        <f t="shared" si="36"/>
        <v>649.17999999999995</v>
      </c>
      <c r="BI273" s="9">
        <f t="shared" si="37"/>
        <v>0.95</v>
      </c>
      <c r="BJ273" s="9">
        <f t="shared" si="38"/>
        <v>3.71</v>
      </c>
      <c r="BK273" s="9">
        <f t="shared" si="39"/>
        <v>10.41</v>
      </c>
      <c r="BL273" s="9">
        <f t="shared" si="40"/>
        <v>0</v>
      </c>
      <c r="BM273" s="9">
        <f t="shared" si="41"/>
        <v>2.6</v>
      </c>
      <c r="BN273" s="9">
        <f t="shared" si="42"/>
        <v>438.25</v>
      </c>
      <c r="BO273" s="9">
        <f t="shared" si="43"/>
        <v>0</v>
      </c>
      <c r="BP273" s="9">
        <f t="shared" si="44"/>
        <v>84.47</v>
      </c>
    </row>
    <row r="274" spans="1:68">
      <c r="A274" s="6">
        <v>44608</v>
      </c>
      <c r="B274" s="7">
        <v>3031</v>
      </c>
      <c r="C274" s="8"/>
      <c r="D274" s="8"/>
      <c r="E274" s="8"/>
      <c r="F274" s="8"/>
      <c r="G274" s="8"/>
      <c r="H274" s="8"/>
      <c r="I274" s="8">
        <v>2108.9899999999998</v>
      </c>
      <c r="J274" s="8"/>
      <c r="K274" s="8"/>
      <c r="L274" s="8"/>
      <c r="M274" s="8"/>
      <c r="N274" s="8">
        <v>15.01</v>
      </c>
      <c r="O274" s="8"/>
      <c r="P274" s="8"/>
      <c r="Q274" s="11"/>
      <c r="R274" s="11"/>
      <c r="S274" s="8">
        <v>1.47</v>
      </c>
      <c r="T274" s="8">
        <v>21.17</v>
      </c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>
        <v>32.42</v>
      </c>
      <c r="AJ274" s="8"/>
      <c r="AK274" s="8"/>
      <c r="AL274" s="8"/>
      <c r="AM274" s="8"/>
      <c r="AN274" s="8">
        <v>21.28</v>
      </c>
      <c r="AO274" s="8"/>
      <c r="AP274" s="11"/>
      <c r="AQ274" s="8"/>
      <c r="AR274" s="8">
        <v>63.68</v>
      </c>
      <c r="AS274" s="8"/>
      <c r="AT274" s="8">
        <v>1004.6</v>
      </c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>
        <v>68.12</v>
      </c>
      <c r="BH274" s="9">
        <f t="shared" si="36"/>
        <v>2108.9899999999998</v>
      </c>
      <c r="BI274" s="9">
        <f t="shared" si="37"/>
        <v>15.01</v>
      </c>
      <c r="BJ274" s="9">
        <f t="shared" si="38"/>
        <v>1.47</v>
      </c>
      <c r="BK274" s="9">
        <f t="shared" si="39"/>
        <v>21.17</v>
      </c>
      <c r="BL274" s="9">
        <f t="shared" si="40"/>
        <v>0</v>
      </c>
      <c r="BM274" s="9">
        <f t="shared" si="41"/>
        <v>117.38</v>
      </c>
      <c r="BN274" s="9">
        <f t="shared" si="42"/>
        <v>1004.6</v>
      </c>
      <c r="BO274" s="9">
        <f t="shared" si="43"/>
        <v>0</v>
      </c>
      <c r="BP274" s="9">
        <f t="shared" si="44"/>
        <v>0</v>
      </c>
    </row>
    <row r="275" spans="1:68">
      <c r="A275" s="6">
        <v>44608</v>
      </c>
      <c r="B275" s="7">
        <v>3432</v>
      </c>
      <c r="C275" s="8">
        <v>921.32</v>
      </c>
      <c r="D275" s="8"/>
      <c r="E275" s="8"/>
      <c r="F275" s="8"/>
      <c r="G275" s="8"/>
      <c r="H275" s="8"/>
      <c r="I275" s="8"/>
      <c r="J275" s="8"/>
      <c r="K275" s="8"/>
      <c r="L275" s="8"/>
      <c r="M275" s="8">
        <v>2.8</v>
      </c>
      <c r="N275" s="8"/>
      <c r="O275" s="8"/>
      <c r="P275" s="8"/>
      <c r="Q275" s="11"/>
      <c r="R275" s="11"/>
      <c r="S275" s="8">
        <v>3.71</v>
      </c>
      <c r="T275" s="8"/>
      <c r="U275" s="8"/>
      <c r="V275" s="8"/>
      <c r="W275" s="8"/>
      <c r="X275" s="8">
        <v>9.51</v>
      </c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11"/>
      <c r="AQ275" s="8"/>
      <c r="AR275" s="8"/>
      <c r="AS275" s="8"/>
      <c r="AT275" s="8">
        <v>421.6</v>
      </c>
      <c r="AU275" s="8"/>
      <c r="AV275" s="8"/>
      <c r="AW275" s="8"/>
      <c r="AX275" s="8"/>
      <c r="AY275" s="8"/>
      <c r="AZ275" s="8"/>
      <c r="BA275" s="8">
        <v>4.16</v>
      </c>
      <c r="BB275" s="8"/>
      <c r="BC275" s="8"/>
      <c r="BD275" s="8"/>
      <c r="BE275" s="8"/>
      <c r="BF275" s="8">
        <v>46.51</v>
      </c>
      <c r="BG275" s="8">
        <v>30.9</v>
      </c>
      <c r="BH275" s="9">
        <f t="shared" si="36"/>
        <v>921.32</v>
      </c>
      <c r="BI275" s="9">
        <f t="shared" si="37"/>
        <v>2.8</v>
      </c>
      <c r="BJ275" s="9">
        <f t="shared" si="38"/>
        <v>3.71</v>
      </c>
      <c r="BK275" s="9">
        <f t="shared" si="39"/>
        <v>9.51</v>
      </c>
      <c r="BL275" s="9">
        <f t="shared" si="40"/>
        <v>0</v>
      </c>
      <c r="BM275" s="9">
        <f t="shared" si="41"/>
        <v>0</v>
      </c>
      <c r="BN275" s="9">
        <f t="shared" si="42"/>
        <v>421.6</v>
      </c>
      <c r="BO275" s="9">
        <f t="shared" si="43"/>
        <v>4.16</v>
      </c>
      <c r="BP275" s="9">
        <f t="shared" si="44"/>
        <v>46.51</v>
      </c>
    </row>
    <row r="276" spans="1:68">
      <c r="A276" s="6">
        <v>44608</v>
      </c>
      <c r="B276" s="7">
        <v>3016</v>
      </c>
      <c r="C276" s="8"/>
      <c r="D276" s="8">
        <v>2388.6799999999998</v>
      </c>
      <c r="E276" s="8"/>
      <c r="F276" s="8"/>
      <c r="G276" s="8"/>
      <c r="H276" s="8"/>
      <c r="I276" s="8">
        <v>2199.29</v>
      </c>
      <c r="J276" s="8"/>
      <c r="K276" s="8"/>
      <c r="L276" s="8"/>
      <c r="M276" s="8"/>
      <c r="N276" s="8">
        <v>27.57</v>
      </c>
      <c r="O276" s="8"/>
      <c r="P276" s="8"/>
      <c r="Q276" s="11"/>
      <c r="R276" s="11"/>
      <c r="S276" s="8">
        <v>3.21</v>
      </c>
      <c r="T276" s="8">
        <v>46</v>
      </c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>
        <v>18.7</v>
      </c>
      <c r="AN276" s="8">
        <v>54.31</v>
      </c>
      <c r="AO276" s="8"/>
      <c r="AP276" s="11"/>
      <c r="AQ276" s="8"/>
      <c r="AR276" s="8">
        <v>116.13</v>
      </c>
      <c r="AS276" s="8"/>
      <c r="AT276" s="8">
        <v>1705.93</v>
      </c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>
        <v>124.73</v>
      </c>
      <c r="BH276" s="9">
        <f t="shared" si="36"/>
        <v>4587.9699999999993</v>
      </c>
      <c r="BI276" s="9">
        <f t="shared" si="37"/>
        <v>27.57</v>
      </c>
      <c r="BJ276" s="9">
        <f t="shared" si="38"/>
        <v>3.21</v>
      </c>
      <c r="BK276" s="9">
        <f t="shared" si="39"/>
        <v>46</v>
      </c>
      <c r="BL276" s="9">
        <f t="shared" si="40"/>
        <v>0</v>
      </c>
      <c r="BM276" s="9">
        <f t="shared" si="41"/>
        <v>189.14</v>
      </c>
      <c r="BN276" s="9">
        <f t="shared" si="42"/>
        <v>1705.93</v>
      </c>
      <c r="BO276" s="9">
        <f t="shared" si="43"/>
        <v>0</v>
      </c>
      <c r="BP276" s="9">
        <f t="shared" si="44"/>
        <v>0</v>
      </c>
    </row>
    <row r="277" spans="1:68">
      <c r="A277" s="6">
        <v>44608</v>
      </c>
      <c r="B277" s="7">
        <v>3113</v>
      </c>
      <c r="C277" s="8">
        <v>3114.6</v>
      </c>
      <c r="D277" s="8"/>
      <c r="E277" s="8"/>
      <c r="F277" s="8"/>
      <c r="G277" s="8"/>
      <c r="H277" s="8"/>
      <c r="I277" s="8"/>
      <c r="J277" s="8"/>
      <c r="K277" s="8"/>
      <c r="L277" s="8"/>
      <c r="M277" s="8">
        <v>3.12</v>
      </c>
      <c r="N277" s="8">
        <v>3.12</v>
      </c>
      <c r="O277" s="8"/>
      <c r="P277" s="8"/>
      <c r="Q277" s="11"/>
      <c r="R277" s="11"/>
      <c r="S277" s="8">
        <v>9.41</v>
      </c>
      <c r="T277" s="8">
        <v>31.77</v>
      </c>
      <c r="U277" s="8"/>
      <c r="V277" s="8"/>
      <c r="W277" s="8"/>
      <c r="X277" s="8"/>
      <c r="Y277" s="8"/>
      <c r="Z277" s="8"/>
      <c r="AA277" s="8"/>
      <c r="AB277" s="8"/>
      <c r="AC277" s="8">
        <v>12.49</v>
      </c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11"/>
      <c r="AQ277" s="8"/>
      <c r="AR277" s="8"/>
      <c r="AS277" s="8"/>
      <c r="AT277" s="8">
        <v>1309.51</v>
      </c>
      <c r="AU277" s="8"/>
      <c r="AV277" s="8">
        <v>106.33</v>
      </c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>
        <v>93.6</v>
      </c>
      <c r="BH277" s="9">
        <f t="shared" si="36"/>
        <v>3114.6</v>
      </c>
      <c r="BI277" s="9">
        <f t="shared" si="37"/>
        <v>6.24</v>
      </c>
      <c r="BJ277" s="9">
        <f t="shared" si="38"/>
        <v>9.41</v>
      </c>
      <c r="BK277" s="9">
        <f t="shared" si="39"/>
        <v>31.77</v>
      </c>
      <c r="BL277" s="9">
        <f t="shared" si="40"/>
        <v>0</v>
      </c>
      <c r="BM277" s="9">
        <f t="shared" si="41"/>
        <v>12.49</v>
      </c>
      <c r="BN277" s="9">
        <f t="shared" si="42"/>
        <v>1309.51</v>
      </c>
      <c r="BO277" s="9">
        <f t="shared" si="43"/>
        <v>106.33</v>
      </c>
      <c r="BP277" s="9">
        <f t="shared" si="44"/>
        <v>0</v>
      </c>
    </row>
    <row r="278" spans="1:68">
      <c r="A278" s="6">
        <v>44608</v>
      </c>
      <c r="B278" s="7">
        <v>3134</v>
      </c>
      <c r="C278" s="8">
        <v>1023.28</v>
      </c>
      <c r="D278" s="8">
        <v>143.4</v>
      </c>
      <c r="E278" s="8"/>
      <c r="F278" s="8"/>
      <c r="G278" s="8"/>
      <c r="H278" s="8">
        <v>485.19</v>
      </c>
      <c r="I278" s="8"/>
      <c r="J278" s="8"/>
      <c r="K278" s="8"/>
      <c r="L278" s="8"/>
      <c r="M278" s="8">
        <v>3.02</v>
      </c>
      <c r="N278" s="8"/>
      <c r="O278" s="8"/>
      <c r="P278" s="8"/>
      <c r="Q278" s="11"/>
      <c r="R278" s="11"/>
      <c r="S278" s="8">
        <v>6.48</v>
      </c>
      <c r="T278" s="8">
        <v>10.050000000000001</v>
      </c>
      <c r="U278" s="8">
        <v>8.6199999999999992</v>
      </c>
      <c r="V278" s="8"/>
      <c r="W278" s="8"/>
      <c r="X278" s="8"/>
      <c r="Y278" s="8"/>
      <c r="Z278" s="8"/>
      <c r="AA278" s="8"/>
      <c r="AB278" s="8"/>
      <c r="AC278" s="8">
        <v>5.75</v>
      </c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11"/>
      <c r="AQ278" s="8"/>
      <c r="AR278" s="8"/>
      <c r="AS278" s="8"/>
      <c r="AT278" s="8">
        <v>1014.73</v>
      </c>
      <c r="AU278" s="8"/>
      <c r="AV278" s="8"/>
      <c r="AW278" s="8"/>
      <c r="AX278" s="8"/>
      <c r="AY278" s="8">
        <v>14.38</v>
      </c>
      <c r="AZ278" s="8"/>
      <c r="BA278" s="8"/>
      <c r="BB278" s="8"/>
      <c r="BC278" s="8"/>
      <c r="BD278" s="8"/>
      <c r="BE278" s="8"/>
      <c r="BF278" s="8">
        <v>64.73</v>
      </c>
      <c r="BG278" s="8">
        <v>76.13</v>
      </c>
      <c r="BH278" s="9">
        <f t="shared" si="36"/>
        <v>1651.8700000000001</v>
      </c>
      <c r="BI278" s="9">
        <f t="shared" si="37"/>
        <v>3.02</v>
      </c>
      <c r="BJ278" s="9">
        <f t="shared" si="38"/>
        <v>6.48</v>
      </c>
      <c r="BK278" s="9">
        <f t="shared" si="39"/>
        <v>18.670000000000002</v>
      </c>
      <c r="BL278" s="9">
        <f t="shared" si="40"/>
        <v>0</v>
      </c>
      <c r="BM278" s="9">
        <f t="shared" si="41"/>
        <v>5.75</v>
      </c>
      <c r="BN278" s="9">
        <f t="shared" si="42"/>
        <v>1014.73</v>
      </c>
      <c r="BO278" s="9">
        <f t="shared" si="43"/>
        <v>14.38</v>
      </c>
      <c r="BP278" s="9">
        <f t="shared" si="44"/>
        <v>64.73</v>
      </c>
    </row>
    <row r="279" spans="1:68">
      <c r="A279" s="6">
        <v>44608</v>
      </c>
      <c r="B279" s="7">
        <v>3135</v>
      </c>
      <c r="C279" s="8">
        <v>1033.97</v>
      </c>
      <c r="D279" s="8">
        <v>144.83000000000001</v>
      </c>
      <c r="E279" s="8"/>
      <c r="F279" s="8"/>
      <c r="G279" s="8"/>
      <c r="H279" s="8">
        <v>489.44</v>
      </c>
      <c r="I279" s="8"/>
      <c r="J279" s="8"/>
      <c r="K279" s="8"/>
      <c r="L279" s="8"/>
      <c r="M279" s="8">
        <v>3.05</v>
      </c>
      <c r="N279" s="8"/>
      <c r="O279" s="8"/>
      <c r="P279" s="8"/>
      <c r="Q279" s="11"/>
      <c r="R279" s="11"/>
      <c r="S279" s="8">
        <v>6.54</v>
      </c>
      <c r="T279" s="8">
        <v>10.15</v>
      </c>
      <c r="U279" s="8">
        <v>8.6999999999999993</v>
      </c>
      <c r="V279" s="8"/>
      <c r="W279" s="8"/>
      <c r="X279" s="8"/>
      <c r="Y279" s="8"/>
      <c r="Z279" s="8"/>
      <c r="AA279" s="8"/>
      <c r="AB279" s="8"/>
      <c r="AC279" s="8">
        <v>5.8</v>
      </c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11"/>
      <c r="AQ279" s="8"/>
      <c r="AR279" s="8"/>
      <c r="AS279" s="8"/>
      <c r="AT279" s="8">
        <v>1022.75</v>
      </c>
      <c r="AU279" s="8"/>
      <c r="AV279" s="8"/>
      <c r="AW279" s="8"/>
      <c r="AX279" s="8"/>
      <c r="AY279" s="8"/>
      <c r="AZ279" s="8"/>
      <c r="BA279" s="8">
        <v>33.1</v>
      </c>
      <c r="BB279" s="8"/>
      <c r="BC279" s="8"/>
      <c r="BD279" s="8"/>
      <c r="BE279" s="8"/>
      <c r="BF279" s="8">
        <v>65.400000000000006</v>
      </c>
      <c r="BG279" s="8">
        <v>76.84</v>
      </c>
      <c r="BH279" s="9">
        <f t="shared" si="36"/>
        <v>1668.24</v>
      </c>
      <c r="BI279" s="9">
        <f t="shared" si="37"/>
        <v>3.05</v>
      </c>
      <c r="BJ279" s="9">
        <f t="shared" si="38"/>
        <v>6.54</v>
      </c>
      <c r="BK279" s="9">
        <f t="shared" si="39"/>
        <v>18.850000000000001</v>
      </c>
      <c r="BL279" s="9">
        <f t="shared" si="40"/>
        <v>0</v>
      </c>
      <c r="BM279" s="9">
        <f t="shared" si="41"/>
        <v>5.8</v>
      </c>
      <c r="BN279" s="9">
        <f t="shared" si="42"/>
        <v>1022.75</v>
      </c>
      <c r="BO279" s="9">
        <f t="shared" si="43"/>
        <v>33.1</v>
      </c>
      <c r="BP279" s="9">
        <f t="shared" si="44"/>
        <v>65.400000000000006</v>
      </c>
    </row>
    <row r="280" spans="1:68">
      <c r="A280" s="6">
        <v>44608</v>
      </c>
      <c r="B280" s="7">
        <v>3141</v>
      </c>
      <c r="C280" s="8">
        <v>2402.16</v>
      </c>
      <c r="D280" s="8">
        <v>424.61</v>
      </c>
      <c r="E280" s="8"/>
      <c r="F280" s="8"/>
      <c r="G280" s="8"/>
      <c r="H280" s="8"/>
      <c r="I280" s="8"/>
      <c r="J280" s="8"/>
      <c r="K280" s="8"/>
      <c r="L280" s="8"/>
      <c r="M280" s="8">
        <v>7.94</v>
      </c>
      <c r="N280" s="8"/>
      <c r="O280" s="8"/>
      <c r="P280" s="8"/>
      <c r="Q280" s="11"/>
      <c r="R280" s="11"/>
      <c r="S280" s="8">
        <v>13.32</v>
      </c>
      <c r="T280" s="8">
        <v>21.22</v>
      </c>
      <c r="U280" s="8">
        <v>21.23</v>
      </c>
      <c r="V280" s="8"/>
      <c r="W280" s="8"/>
      <c r="X280" s="8"/>
      <c r="Y280" s="8"/>
      <c r="Z280" s="8"/>
      <c r="AA280" s="8"/>
      <c r="AB280" s="8"/>
      <c r="AC280" s="8">
        <v>11.34</v>
      </c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11"/>
      <c r="AQ280" s="8"/>
      <c r="AR280" s="8"/>
      <c r="AS280" s="8"/>
      <c r="AT280" s="8">
        <v>1869.48</v>
      </c>
      <c r="AU280" s="8"/>
      <c r="AV280" s="8"/>
      <c r="AW280" s="8"/>
      <c r="AX280" s="8"/>
      <c r="AY280" s="8"/>
      <c r="AZ280" s="8"/>
      <c r="BA280" s="8">
        <v>64.760000000000005</v>
      </c>
      <c r="BB280" s="8"/>
      <c r="BC280" s="8"/>
      <c r="BD280" s="8"/>
      <c r="BE280" s="8"/>
      <c r="BF280" s="8">
        <v>198.19</v>
      </c>
      <c r="BG280" s="8">
        <v>147.5</v>
      </c>
      <c r="BH280" s="9">
        <f t="shared" si="36"/>
        <v>2826.77</v>
      </c>
      <c r="BI280" s="9">
        <f t="shared" si="37"/>
        <v>7.94</v>
      </c>
      <c r="BJ280" s="9">
        <f t="shared" si="38"/>
        <v>13.32</v>
      </c>
      <c r="BK280" s="9">
        <f t="shared" si="39"/>
        <v>42.45</v>
      </c>
      <c r="BL280" s="9">
        <f t="shared" si="40"/>
        <v>0</v>
      </c>
      <c r="BM280" s="9">
        <f t="shared" si="41"/>
        <v>11.34</v>
      </c>
      <c r="BN280" s="9">
        <f t="shared" si="42"/>
        <v>1869.48</v>
      </c>
      <c r="BO280" s="9">
        <f t="shared" si="43"/>
        <v>64.760000000000005</v>
      </c>
      <c r="BP280" s="9">
        <f t="shared" si="44"/>
        <v>198.19</v>
      </c>
    </row>
    <row r="281" spans="1:68">
      <c r="A281" s="6">
        <v>44608</v>
      </c>
      <c r="B281" s="7">
        <v>3204</v>
      </c>
      <c r="C281" s="8"/>
      <c r="D281" s="8">
        <v>1723.25</v>
      </c>
      <c r="E281" s="8">
        <v>734.52</v>
      </c>
      <c r="F281" s="8"/>
      <c r="G281" s="8"/>
      <c r="H281" s="8"/>
      <c r="I281" s="8"/>
      <c r="J281" s="8"/>
      <c r="K281" s="8"/>
      <c r="L281" s="8"/>
      <c r="M281" s="8"/>
      <c r="N281" s="8"/>
      <c r="O281" s="8">
        <v>12.25</v>
      </c>
      <c r="P281" s="8"/>
      <c r="Q281" s="11"/>
      <c r="R281" s="11"/>
      <c r="S281" s="8">
        <v>8.35</v>
      </c>
      <c r="T281" s="8">
        <v>14.79</v>
      </c>
      <c r="U281" s="8">
        <v>12.3</v>
      </c>
      <c r="V281" s="8"/>
      <c r="W281" s="8"/>
      <c r="X281" s="8"/>
      <c r="Y281" s="8"/>
      <c r="Z281" s="8">
        <v>369.11</v>
      </c>
      <c r="AA281" s="8"/>
      <c r="AB281" s="8">
        <v>12.34</v>
      </c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11"/>
      <c r="AQ281" s="8"/>
      <c r="AR281" s="8"/>
      <c r="AS281" s="8"/>
      <c r="AT281" s="8">
        <v>1081.25</v>
      </c>
      <c r="AU281" s="8"/>
      <c r="AV281" s="8"/>
      <c r="AW281" s="8">
        <v>7.8</v>
      </c>
      <c r="AX281" s="8"/>
      <c r="AY281" s="8"/>
      <c r="AZ281" s="8"/>
      <c r="BA281" s="8"/>
      <c r="BB281" s="8"/>
      <c r="BC281" s="8"/>
      <c r="BD281" s="8"/>
      <c r="BE281" s="8"/>
      <c r="BF281" s="8"/>
      <c r="BG281" s="8">
        <v>79.95</v>
      </c>
      <c r="BH281" s="9">
        <f t="shared" si="36"/>
        <v>2457.77</v>
      </c>
      <c r="BI281" s="9">
        <f t="shared" si="37"/>
        <v>12.25</v>
      </c>
      <c r="BJ281" s="9">
        <f t="shared" si="38"/>
        <v>8.35</v>
      </c>
      <c r="BK281" s="9">
        <f t="shared" si="39"/>
        <v>27.09</v>
      </c>
      <c r="BL281" s="9">
        <f t="shared" si="40"/>
        <v>369.11</v>
      </c>
      <c r="BM281" s="9">
        <f t="shared" si="41"/>
        <v>12.34</v>
      </c>
      <c r="BN281" s="9">
        <f t="shared" si="42"/>
        <v>1081.25</v>
      </c>
      <c r="BO281" s="9">
        <f t="shared" si="43"/>
        <v>7.8</v>
      </c>
      <c r="BP281" s="9">
        <f t="shared" si="44"/>
        <v>0</v>
      </c>
    </row>
    <row r="282" spans="1:68">
      <c r="A282" s="6">
        <v>44608</v>
      </c>
      <c r="B282" s="7">
        <v>3304</v>
      </c>
      <c r="C282" s="8"/>
      <c r="D282" s="8">
        <v>1638.53</v>
      </c>
      <c r="E282" s="8"/>
      <c r="F282" s="8"/>
      <c r="G282" s="8"/>
      <c r="H282" s="8"/>
      <c r="I282" s="8"/>
      <c r="J282" s="8"/>
      <c r="K282" s="8"/>
      <c r="L282" s="8"/>
      <c r="M282" s="8">
        <v>1.96</v>
      </c>
      <c r="N282" s="8"/>
      <c r="O282" s="8"/>
      <c r="P282" s="8"/>
      <c r="Q282" s="11"/>
      <c r="R282" s="11"/>
      <c r="S282" s="8">
        <v>11.64</v>
      </c>
      <c r="T282" s="8">
        <v>14.75</v>
      </c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>
        <v>16.440000000000001</v>
      </c>
      <c r="AH282" s="8"/>
      <c r="AI282" s="8"/>
      <c r="AJ282" s="8"/>
      <c r="AK282" s="8"/>
      <c r="AL282" s="8"/>
      <c r="AM282" s="8"/>
      <c r="AN282" s="8"/>
      <c r="AO282" s="8"/>
      <c r="AP282" s="11"/>
      <c r="AQ282" s="8"/>
      <c r="AR282" s="8"/>
      <c r="AS282" s="8"/>
      <c r="AT282" s="8"/>
      <c r="AU282" s="8">
        <v>707.41</v>
      </c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>
        <v>47.45</v>
      </c>
      <c r="BH282" s="9">
        <f t="shared" si="36"/>
        <v>1638.53</v>
      </c>
      <c r="BI282" s="9">
        <f t="shared" si="37"/>
        <v>1.96</v>
      </c>
      <c r="BJ282" s="9">
        <f t="shared" si="38"/>
        <v>11.64</v>
      </c>
      <c r="BK282" s="9">
        <f t="shared" si="39"/>
        <v>14.75</v>
      </c>
      <c r="BL282" s="9">
        <f t="shared" si="40"/>
        <v>0</v>
      </c>
      <c r="BM282" s="9">
        <f t="shared" si="41"/>
        <v>16.440000000000001</v>
      </c>
      <c r="BN282" s="9">
        <f t="shared" si="42"/>
        <v>707.41</v>
      </c>
      <c r="BO282" s="9">
        <f t="shared" si="43"/>
        <v>0</v>
      </c>
      <c r="BP282" s="9">
        <f t="shared" si="44"/>
        <v>0</v>
      </c>
    </row>
    <row r="283" spans="1:68">
      <c r="A283" s="6">
        <v>44609</v>
      </c>
      <c r="B283" s="7">
        <v>3601</v>
      </c>
      <c r="C283" s="8">
        <v>312.04000000000002</v>
      </c>
      <c r="D283" s="8"/>
      <c r="E283" s="8"/>
      <c r="F283" s="8"/>
      <c r="G283" s="8">
        <v>468.24</v>
      </c>
      <c r="H283" s="8"/>
      <c r="I283" s="8"/>
      <c r="J283" s="8"/>
      <c r="K283" s="8"/>
      <c r="L283" s="8"/>
      <c r="M283" s="8">
        <v>0.94</v>
      </c>
      <c r="N283" s="8"/>
      <c r="O283" s="8"/>
      <c r="P283" s="8"/>
      <c r="Q283" s="11"/>
      <c r="R283" s="11"/>
      <c r="S283" s="8">
        <v>4.1900000000000004</v>
      </c>
      <c r="T283" s="8"/>
      <c r="U283" s="8">
        <v>4.6900000000000004</v>
      </c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11"/>
      <c r="AQ283" s="8"/>
      <c r="AR283" s="8"/>
      <c r="AS283" s="8"/>
      <c r="AT283" s="8">
        <v>382.45</v>
      </c>
      <c r="AU283" s="8"/>
      <c r="AV283" s="8"/>
      <c r="AW283" s="8">
        <v>23.76</v>
      </c>
      <c r="AX283" s="8"/>
      <c r="AY283" s="8"/>
      <c r="AZ283" s="8"/>
      <c r="BA283" s="8"/>
      <c r="BB283" s="8"/>
      <c r="BC283" s="8"/>
      <c r="BD283" s="8"/>
      <c r="BE283" s="8"/>
      <c r="BF283" s="8">
        <v>43.75</v>
      </c>
      <c r="BG283" s="8">
        <v>29.09</v>
      </c>
      <c r="BH283" s="9">
        <f t="shared" si="36"/>
        <v>780.28</v>
      </c>
      <c r="BI283" s="9">
        <f t="shared" si="37"/>
        <v>0.94</v>
      </c>
      <c r="BJ283" s="9">
        <f t="shared" si="38"/>
        <v>4.1900000000000004</v>
      </c>
      <c r="BK283" s="9">
        <f t="shared" si="39"/>
        <v>4.6900000000000004</v>
      </c>
      <c r="BL283" s="9">
        <f t="shared" si="40"/>
        <v>0</v>
      </c>
      <c r="BM283" s="9">
        <f t="shared" si="41"/>
        <v>0</v>
      </c>
      <c r="BN283" s="9">
        <f t="shared" si="42"/>
        <v>382.45</v>
      </c>
      <c r="BO283" s="9">
        <f t="shared" si="43"/>
        <v>23.76</v>
      </c>
      <c r="BP283" s="9">
        <f t="shared" si="44"/>
        <v>43.75</v>
      </c>
    </row>
    <row r="284" spans="1:68">
      <c r="A284" s="6">
        <v>44609</v>
      </c>
      <c r="B284" s="7">
        <v>3205</v>
      </c>
      <c r="C284" s="8">
        <v>672.94</v>
      </c>
      <c r="D284" s="8">
        <v>375.31</v>
      </c>
      <c r="E284" s="8">
        <v>448.96</v>
      </c>
      <c r="F284" s="8"/>
      <c r="G284" s="8"/>
      <c r="H284" s="8"/>
      <c r="I284" s="8"/>
      <c r="J284" s="8"/>
      <c r="K284" s="8"/>
      <c r="L284" s="8"/>
      <c r="M284" s="8"/>
      <c r="N284" s="8"/>
      <c r="O284" s="8">
        <v>5.99</v>
      </c>
      <c r="P284" s="8"/>
      <c r="Q284" s="11"/>
      <c r="R284" s="11"/>
      <c r="S284" s="8">
        <v>6.29</v>
      </c>
      <c r="T284" s="8"/>
      <c r="U284" s="8">
        <v>17.989999999999998</v>
      </c>
      <c r="V284" s="8"/>
      <c r="W284" s="8"/>
      <c r="X284" s="8"/>
      <c r="Y284" s="8"/>
      <c r="Z284" s="8">
        <v>149.84</v>
      </c>
      <c r="AA284" s="8"/>
      <c r="AB284" s="8">
        <v>15.36</v>
      </c>
      <c r="AC284" s="8"/>
      <c r="AD284" s="8"/>
      <c r="AE284" s="8">
        <v>7.66</v>
      </c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11"/>
      <c r="AQ284" s="8"/>
      <c r="AR284" s="8"/>
      <c r="AS284" s="8"/>
      <c r="AT284" s="8">
        <v>389.56</v>
      </c>
      <c r="AU284" s="8">
        <v>195.08</v>
      </c>
      <c r="AV284" s="8"/>
      <c r="AW284" s="8">
        <v>6.45</v>
      </c>
      <c r="AX284" s="8"/>
      <c r="AY284" s="8"/>
      <c r="AZ284" s="8"/>
      <c r="BA284" s="8"/>
      <c r="BB284" s="8"/>
      <c r="BC284" s="8"/>
      <c r="BD284" s="8"/>
      <c r="BE284" s="8"/>
      <c r="BF284" s="8"/>
      <c r="BG284" s="8">
        <v>35.21</v>
      </c>
      <c r="BH284" s="9">
        <f t="shared" si="36"/>
        <v>1497.21</v>
      </c>
      <c r="BI284" s="9">
        <f t="shared" si="37"/>
        <v>5.99</v>
      </c>
      <c r="BJ284" s="9">
        <f t="shared" si="38"/>
        <v>6.29</v>
      </c>
      <c r="BK284" s="9">
        <f t="shared" si="39"/>
        <v>17.989999999999998</v>
      </c>
      <c r="BL284" s="9">
        <f t="shared" si="40"/>
        <v>149.84</v>
      </c>
      <c r="BM284" s="9">
        <f t="shared" si="41"/>
        <v>23.02</v>
      </c>
      <c r="BN284" s="9">
        <f t="shared" si="42"/>
        <v>584.64</v>
      </c>
      <c r="BO284" s="9">
        <f t="shared" si="43"/>
        <v>6.45</v>
      </c>
      <c r="BP284" s="9">
        <f t="shared" si="44"/>
        <v>0</v>
      </c>
    </row>
    <row r="285" spans="1:68">
      <c r="A285" s="6">
        <v>44609</v>
      </c>
      <c r="B285" s="7">
        <v>3307</v>
      </c>
      <c r="C285" s="8"/>
      <c r="D285" s="8">
        <v>1000.29</v>
      </c>
      <c r="E285" s="8"/>
      <c r="F285" s="8"/>
      <c r="G285" s="8"/>
      <c r="H285" s="8"/>
      <c r="I285" s="8"/>
      <c r="J285" s="8"/>
      <c r="K285" s="8"/>
      <c r="L285" s="8"/>
      <c r="M285" s="8">
        <v>1.32</v>
      </c>
      <c r="N285" s="8"/>
      <c r="O285" s="8"/>
      <c r="P285" s="8"/>
      <c r="Q285" s="11"/>
      <c r="R285" s="11"/>
      <c r="S285" s="8">
        <v>7.3</v>
      </c>
      <c r="T285" s="8">
        <v>10.02</v>
      </c>
      <c r="U285" s="8"/>
      <c r="V285" s="8"/>
      <c r="W285" s="8"/>
      <c r="X285" s="8"/>
      <c r="Y285" s="8"/>
      <c r="Z285" s="8"/>
      <c r="AA285" s="8"/>
      <c r="AB285" s="8"/>
      <c r="AC285" s="8">
        <v>6</v>
      </c>
      <c r="AD285" s="8"/>
      <c r="AE285" s="8"/>
      <c r="AF285" s="8"/>
      <c r="AG285" s="8">
        <v>10.029999999999999</v>
      </c>
      <c r="AH285" s="8"/>
      <c r="AI285" s="8"/>
      <c r="AJ285" s="8"/>
      <c r="AK285" s="8"/>
      <c r="AL285" s="8"/>
      <c r="AM285" s="8"/>
      <c r="AN285" s="8"/>
      <c r="AO285" s="8"/>
      <c r="AP285" s="11"/>
      <c r="AQ285" s="8"/>
      <c r="AR285" s="8"/>
      <c r="AS285" s="8"/>
      <c r="AT285" s="8"/>
      <c r="AU285" s="8">
        <v>501.48</v>
      </c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>
        <v>35.96</v>
      </c>
      <c r="BH285" s="9">
        <f t="shared" si="36"/>
        <v>1000.29</v>
      </c>
      <c r="BI285" s="9">
        <f t="shared" si="37"/>
        <v>1.32</v>
      </c>
      <c r="BJ285" s="9">
        <f t="shared" si="38"/>
        <v>7.3</v>
      </c>
      <c r="BK285" s="9">
        <f t="shared" si="39"/>
        <v>10.02</v>
      </c>
      <c r="BL285" s="9">
        <f t="shared" si="40"/>
        <v>0</v>
      </c>
      <c r="BM285" s="9">
        <f t="shared" si="41"/>
        <v>16.03</v>
      </c>
      <c r="BN285" s="9">
        <f t="shared" si="42"/>
        <v>501.48</v>
      </c>
      <c r="BO285" s="9">
        <f t="shared" si="43"/>
        <v>0</v>
      </c>
      <c r="BP285" s="9">
        <f t="shared" si="44"/>
        <v>0</v>
      </c>
    </row>
    <row r="286" spans="1:68">
      <c r="A286" s="6">
        <v>44609</v>
      </c>
      <c r="B286" s="7">
        <v>3029</v>
      </c>
      <c r="C286" s="8"/>
      <c r="D286" s="8">
        <v>687.15</v>
      </c>
      <c r="E286" s="8"/>
      <c r="F286" s="8">
        <v>481.25</v>
      </c>
      <c r="G286" s="8"/>
      <c r="H286" s="8"/>
      <c r="I286" s="8">
        <v>2860.16</v>
      </c>
      <c r="J286" s="8"/>
      <c r="K286" s="8"/>
      <c r="L286" s="8"/>
      <c r="M286" s="8"/>
      <c r="N286" s="8">
        <v>30.73</v>
      </c>
      <c r="O286" s="8"/>
      <c r="P286" s="8"/>
      <c r="Q286" s="11"/>
      <c r="R286" s="11"/>
      <c r="S286" s="8">
        <v>2.41</v>
      </c>
      <c r="T286" s="8"/>
      <c r="U286" s="8"/>
      <c r="V286" s="8"/>
      <c r="W286" s="8">
        <v>41.36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>
        <v>14.41</v>
      </c>
      <c r="AN286" s="8">
        <v>20.71</v>
      </c>
      <c r="AO286" s="8"/>
      <c r="AP286" s="11"/>
      <c r="AQ286" s="8"/>
      <c r="AR286" s="8">
        <v>123.82</v>
      </c>
      <c r="AS286" s="8"/>
      <c r="AT286" s="8">
        <v>1530.93</v>
      </c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>
        <v>106.74</v>
      </c>
      <c r="BH286" s="9">
        <f t="shared" si="36"/>
        <v>4028.56</v>
      </c>
      <c r="BI286" s="9">
        <f t="shared" si="37"/>
        <v>30.73</v>
      </c>
      <c r="BJ286" s="9">
        <f t="shared" si="38"/>
        <v>2.41</v>
      </c>
      <c r="BK286" s="9">
        <f t="shared" si="39"/>
        <v>41.36</v>
      </c>
      <c r="BL286" s="9">
        <f t="shared" si="40"/>
        <v>0</v>
      </c>
      <c r="BM286" s="9">
        <f t="shared" si="41"/>
        <v>158.94</v>
      </c>
      <c r="BN286" s="9">
        <f t="shared" si="42"/>
        <v>1530.93</v>
      </c>
      <c r="BO286" s="9">
        <f t="shared" si="43"/>
        <v>0</v>
      </c>
      <c r="BP286" s="9">
        <f t="shared" si="44"/>
        <v>0</v>
      </c>
    </row>
    <row r="287" spans="1:68">
      <c r="A287" s="6">
        <v>44609</v>
      </c>
      <c r="B287" s="7">
        <v>3106</v>
      </c>
      <c r="C287" s="8">
        <v>4074.14</v>
      </c>
      <c r="D287" s="8"/>
      <c r="E287" s="8"/>
      <c r="F287" s="8"/>
      <c r="G287" s="8"/>
      <c r="H287" s="8"/>
      <c r="I287" s="8"/>
      <c r="J287" s="8"/>
      <c r="K287" s="8"/>
      <c r="L287" s="8"/>
      <c r="M287" s="8">
        <v>11</v>
      </c>
      <c r="N287" s="8"/>
      <c r="O287" s="8"/>
      <c r="P287" s="8"/>
      <c r="Q287" s="11"/>
      <c r="R287" s="11"/>
      <c r="S287" s="8">
        <v>12.63</v>
      </c>
      <c r="T287" s="8">
        <v>51.68</v>
      </c>
      <c r="U287" s="8"/>
      <c r="V287" s="8"/>
      <c r="W287" s="8"/>
      <c r="X287" s="8"/>
      <c r="Y287" s="8"/>
      <c r="Z287" s="8"/>
      <c r="AA287" s="8"/>
      <c r="AB287" s="8"/>
      <c r="AC287" s="8">
        <v>16.3</v>
      </c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11"/>
      <c r="AQ287" s="8"/>
      <c r="AR287" s="8"/>
      <c r="AS287" s="8"/>
      <c r="AT287" s="8">
        <v>2331.1999999999998</v>
      </c>
      <c r="AU287" s="8"/>
      <c r="AV287" s="8"/>
      <c r="AW287" s="8"/>
      <c r="AX287" s="8">
        <v>5.0999999999999996</v>
      </c>
      <c r="AY287" s="8"/>
      <c r="AZ287" s="8"/>
      <c r="BA287" s="8"/>
      <c r="BB287" s="8"/>
      <c r="BC287" s="8"/>
      <c r="BD287" s="8"/>
      <c r="BE287" s="8"/>
      <c r="BF287" s="8"/>
      <c r="BG287" s="8">
        <v>175.93</v>
      </c>
      <c r="BH287" s="9">
        <f t="shared" si="36"/>
        <v>4074.14</v>
      </c>
      <c r="BI287" s="9">
        <f t="shared" si="37"/>
        <v>11</v>
      </c>
      <c r="BJ287" s="9">
        <f t="shared" si="38"/>
        <v>12.63</v>
      </c>
      <c r="BK287" s="9">
        <f t="shared" si="39"/>
        <v>51.68</v>
      </c>
      <c r="BL287" s="9">
        <f t="shared" si="40"/>
        <v>0</v>
      </c>
      <c r="BM287" s="9">
        <f t="shared" si="41"/>
        <v>16.3</v>
      </c>
      <c r="BN287" s="9">
        <f t="shared" si="42"/>
        <v>2331.1999999999998</v>
      </c>
      <c r="BO287" s="9">
        <f t="shared" si="43"/>
        <v>5.0999999999999996</v>
      </c>
      <c r="BP287" s="9">
        <f t="shared" si="44"/>
        <v>0</v>
      </c>
    </row>
    <row r="288" spans="1:68">
      <c r="A288" s="6">
        <v>44609</v>
      </c>
      <c r="B288" s="7">
        <v>3141</v>
      </c>
      <c r="C288" s="8">
        <v>3592.47</v>
      </c>
      <c r="D288" s="8">
        <v>634.16</v>
      </c>
      <c r="E288" s="8"/>
      <c r="F288" s="8"/>
      <c r="G288" s="8"/>
      <c r="H288" s="8"/>
      <c r="I288" s="8"/>
      <c r="J288" s="8"/>
      <c r="K288" s="8"/>
      <c r="L288" s="8"/>
      <c r="M288" s="8">
        <v>11.84</v>
      </c>
      <c r="N288" s="8"/>
      <c r="O288" s="8"/>
      <c r="P288" s="8"/>
      <c r="Q288" s="11"/>
      <c r="R288" s="11"/>
      <c r="S288" s="8">
        <v>19.89</v>
      </c>
      <c r="T288" s="8">
        <v>31.75</v>
      </c>
      <c r="U288" s="8">
        <v>31.73</v>
      </c>
      <c r="V288" s="8"/>
      <c r="W288" s="8"/>
      <c r="X288" s="8"/>
      <c r="Y288" s="8"/>
      <c r="Z288" s="8"/>
      <c r="AA288" s="8"/>
      <c r="AB288" s="8"/>
      <c r="AC288" s="8">
        <v>16.920000000000002</v>
      </c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11"/>
      <c r="AQ288" s="8"/>
      <c r="AR288" s="8"/>
      <c r="AS288" s="8"/>
      <c r="AT288" s="8">
        <v>2788.19</v>
      </c>
      <c r="AU288" s="8"/>
      <c r="AV288" s="8"/>
      <c r="AW288" s="8"/>
      <c r="AX288" s="8"/>
      <c r="AY288" s="8"/>
      <c r="AZ288" s="8"/>
      <c r="BA288" s="8">
        <v>96.86</v>
      </c>
      <c r="BB288" s="8"/>
      <c r="BC288" s="8"/>
      <c r="BD288" s="8"/>
      <c r="BE288" s="8"/>
      <c r="BF288" s="8">
        <v>296.11</v>
      </c>
      <c r="BG288" s="8">
        <v>219.71</v>
      </c>
      <c r="BH288" s="9">
        <f t="shared" si="36"/>
        <v>4226.63</v>
      </c>
      <c r="BI288" s="9">
        <f t="shared" si="37"/>
        <v>11.84</v>
      </c>
      <c r="BJ288" s="9">
        <f t="shared" si="38"/>
        <v>19.89</v>
      </c>
      <c r="BK288" s="9">
        <f t="shared" si="39"/>
        <v>63.480000000000004</v>
      </c>
      <c r="BL288" s="9">
        <f t="shared" si="40"/>
        <v>0</v>
      </c>
      <c r="BM288" s="9">
        <f t="shared" si="41"/>
        <v>16.920000000000002</v>
      </c>
      <c r="BN288" s="9">
        <f t="shared" si="42"/>
        <v>2788.19</v>
      </c>
      <c r="BO288" s="9">
        <f t="shared" si="43"/>
        <v>96.86</v>
      </c>
      <c r="BP288" s="9">
        <f t="shared" si="44"/>
        <v>296.11</v>
      </c>
    </row>
    <row r="289" spans="1:68">
      <c r="A289" s="6">
        <v>44609</v>
      </c>
      <c r="B289" s="7">
        <v>3102</v>
      </c>
      <c r="C289" s="8">
        <v>256.01</v>
      </c>
      <c r="D289" s="8"/>
      <c r="E289" s="8"/>
      <c r="F289" s="8"/>
      <c r="G289" s="8"/>
      <c r="H289" s="8"/>
      <c r="I289" s="8"/>
      <c r="J289" s="8"/>
      <c r="K289" s="8"/>
      <c r="L289" s="8"/>
      <c r="M289" s="8">
        <v>0.72</v>
      </c>
      <c r="N289" s="8"/>
      <c r="O289" s="8"/>
      <c r="P289" s="8"/>
      <c r="Q289" s="11"/>
      <c r="R289" s="11"/>
      <c r="S289" s="8">
        <v>1.1599999999999999</v>
      </c>
      <c r="T289" s="8">
        <v>1.54</v>
      </c>
      <c r="U289" s="8">
        <v>1.54</v>
      </c>
      <c r="V289" s="8"/>
      <c r="W289" s="8"/>
      <c r="X289" s="8"/>
      <c r="Y289" s="8"/>
      <c r="Z289" s="8"/>
      <c r="AA289" s="8"/>
      <c r="AB289" s="8"/>
      <c r="AC289" s="8">
        <v>1.03</v>
      </c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11"/>
      <c r="AQ289" s="8"/>
      <c r="AR289" s="8"/>
      <c r="AS289" s="8"/>
      <c r="AT289" s="8">
        <v>171.05</v>
      </c>
      <c r="AU289" s="8"/>
      <c r="AV289" s="8"/>
      <c r="AW289" s="8"/>
      <c r="AX289" s="8"/>
      <c r="AY289" s="8"/>
      <c r="AZ289" s="8"/>
      <c r="BA289" s="8">
        <v>5.85</v>
      </c>
      <c r="BB289" s="8"/>
      <c r="BC289" s="8"/>
      <c r="BD289" s="8"/>
      <c r="BE289" s="8"/>
      <c r="BF289" s="8">
        <v>17.98</v>
      </c>
      <c r="BG289" s="8">
        <v>12.68</v>
      </c>
      <c r="BH289" s="9">
        <f t="shared" si="36"/>
        <v>256.01</v>
      </c>
      <c r="BI289" s="9">
        <f t="shared" si="37"/>
        <v>0.72</v>
      </c>
      <c r="BJ289" s="9">
        <f t="shared" si="38"/>
        <v>1.1599999999999999</v>
      </c>
      <c r="BK289" s="9">
        <f t="shared" si="39"/>
        <v>3.08</v>
      </c>
      <c r="BL289" s="9">
        <f t="shared" si="40"/>
        <v>0</v>
      </c>
      <c r="BM289" s="9">
        <f t="shared" si="41"/>
        <v>1.03</v>
      </c>
      <c r="BN289" s="9">
        <f t="shared" si="42"/>
        <v>171.05</v>
      </c>
      <c r="BO289" s="9">
        <f t="shared" si="43"/>
        <v>5.85</v>
      </c>
      <c r="BP289" s="9">
        <f t="shared" si="44"/>
        <v>17.98</v>
      </c>
    </row>
    <row r="290" spans="1:68">
      <c r="A290" s="6">
        <v>44609</v>
      </c>
      <c r="B290" s="7">
        <v>3200</v>
      </c>
      <c r="C290" s="8">
        <v>2271.25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>
        <v>5.69</v>
      </c>
      <c r="P290" s="8"/>
      <c r="Q290" s="11"/>
      <c r="R290" s="11"/>
      <c r="S290" s="8">
        <v>8.86</v>
      </c>
      <c r="T290" s="8"/>
      <c r="U290" s="8">
        <v>34.119999999999997</v>
      </c>
      <c r="V290" s="8"/>
      <c r="W290" s="8"/>
      <c r="X290" s="8"/>
      <c r="Y290" s="8"/>
      <c r="Z290" s="8">
        <v>477.31</v>
      </c>
      <c r="AA290" s="8"/>
      <c r="AB290" s="8"/>
      <c r="AC290" s="8"/>
      <c r="AD290" s="8"/>
      <c r="AE290" s="8">
        <v>34.67</v>
      </c>
      <c r="AF290" s="8">
        <v>112.15</v>
      </c>
      <c r="AG290" s="8"/>
      <c r="AH290" s="8"/>
      <c r="AI290" s="8"/>
      <c r="AJ290" s="8"/>
      <c r="AK290" s="8"/>
      <c r="AL290" s="8"/>
      <c r="AM290" s="8"/>
      <c r="AN290" s="8"/>
      <c r="AO290" s="8"/>
      <c r="AP290" s="11"/>
      <c r="AQ290" s="8"/>
      <c r="AR290" s="8"/>
      <c r="AS290" s="8"/>
      <c r="AT290" s="8">
        <v>1555.96</v>
      </c>
      <c r="AU290" s="8"/>
      <c r="AV290" s="8"/>
      <c r="AW290" s="8">
        <v>6.55</v>
      </c>
      <c r="AX290" s="8"/>
      <c r="AY290" s="8"/>
      <c r="AZ290" s="8"/>
      <c r="BA290" s="8"/>
      <c r="BB290" s="8"/>
      <c r="BC290" s="8"/>
      <c r="BD290" s="8"/>
      <c r="BE290" s="8"/>
      <c r="BF290" s="8">
        <v>109.03</v>
      </c>
      <c r="BG290" s="8">
        <v>112.39</v>
      </c>
      <c r="BH290" s="9">
        <f t="shared" si="36"/>
        <v>2271.25</v>
      </c>
      <c r="BI290" s="9">
        <f t="shared" si="37"/>
        <v>5.69</v>
      </c>
      <c r="BJ290" s="9">
        <f t="shared" si="38"/>
        <v>8.86</v>
      </c>
      <c r="BK290" s="9">
        <f t="shared" si="39"/>
        <v>34.119999999999997</v>
      </c>
      <c r="BL290" s="9">
        <f t="shared" si="40"/>
        <v>477.31</v>
      </c>
      <c r="BM290" s="9">
        <f t="shared" si="41"/>
        <v>146.82</v>
      </c>
      <c r="BN290" s="9">
        <f t="shared" si="42"/>
        <v>1555.96</v>
      </c>
      <c r="BO290" s="9">
        <f t="shared" si="43"/>
        <v>6.55</v>
      </c>
      <c r="BP290" s="9">
        <f t="shared" si="44"/>
        <v>109.03</v>
      </c>
    </row>
    <row r="291" spans="1:68">
      <c r="A291" s="6">
        <v>44610</v>
      </c>
      <c r="B291" s="7">
        <v>3139</v>
      </c>
      <c r="C291" s="8">
        <v>2314.04</v>
      </c>
      <c r="D291" s="8"/>
      <c r="E291" s="8"/>
      <c r="F291" s="8"/>
      <c r="G291" s="8"/>
      <c r="H291" s="8">
        <v>960.2</v>
      </c>
      <c r="I291" s="8"/>
      <c r="J291" s="8"/>
      <c r="K291" s="8"/>
      <c r="L291" s="8"/>
      <c r="M291" s="8">
        <v>5.39</v>
      </c>
      <c r="N291" s="8"/>
      <c r="O291" s="8"/>
      <c r="P291" s="8"/>
      <c r="Q291" s="11"/>
      <c r="R291" s="11"/>
      <c r="S291" s="8">
        <v>9.68</v>
      </c>
      <c r="T291" s="8">
        <v>34.18</v>
      </c>
      <c r="U291" s="8"/>
      <c r="V291" s="8"/>
      <c r="W291" s="8"/>
      <c r="X291" s="8"/>
      <c r="Y291" s="8"/>
      <c r="Z291" s="8"/>
      <c r="AA291" s="8"/>
      <c r="AB291" s="8"/>
      <c r="AC291" s="8">
        <v>11.4</v>
      </c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11"/>
      <c r="AQ291" s="8"/>
      <c r="AR291" s="8"/>
      <c r="AS291" s="8"/>
      <c r="AT291" s="8">
        <v>1689</v>
      </c>
      <c r="AU291" s="8"/>
      <c r="AV291" s="8">
        <v>56.9</v>
      </c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>
        <v>122.56</v>
      </c>
      <c r="BH291" s="9">
        <f t="shared" si="36"/>
        <v>3274.24</v>
      </c>
      <c r="BI291" s="9">
        <f t="shared" si="37"/>
        <v>5.39</v>
      </c>
      <c r="BJ291" s="9">
        <f t="shared" si="38"/>
        <v>9.68</v>
      </c>
      <c r="BK291" s="9">
        <f t="shared" si="39"/>
        <v>34.18</v>
      </c>
      <c r="BL291" s="9">
        <f t="shared" si="40"/>
        <v>0</v>
      </c>
      <c r="BM291" s="9">
        <f t="shared" si="41"/>
        <v>11.4</v>
      </c>
      <c r="BN291" s="9">
        <f t="shared" si="42"/>
        <v>1689</v>
      </c>
      <c r="BO291" s="9">
        <f t="shared" si="43"/>
        <v>56.9</v>
      </c>
      <c r="BP291" s="9">
        <f t="shared" si="44"/>
        <v>0</v>
      </c>
    </row>
    <row r="292" spans="1:68">
      <c r="A292" s="6">
        <v>44610</v>
      </c>
      <c r="B292" s="7">
        <v>3020</v>
      </c>
      <c r="C292" s="8"/>
      <c r="D292" s="8">
        <v>319.94</v>
      </c>
      <c r="E292" s="8"/>
      <c r="F292" s="8"/>
      <c r="G292" s="8"/>
      <c r="H292" s="8"/>
      <c r="I292" s="8">
        <v>1821.54</v>
      </c>
      <c r="J292" s="8"/>
      <c r="K292" s="8"/>
      <c r="L292" s="8"/>
      <c r="M292" s="8"/>
      <c r="N292" s="8">
        <v>12.89</v>
      </c>
      <c r="O292" s="8"/>
      <c r="P292" s="8"/>
      <c r="Q292" s="11"/>
      <c r="R292" s="11"/>
      <c r="S292" s="8">
        <v>3.85</v>
      </c>
      <c r="T292" s="8"/>
      <c r="U292" s="8"/>
      <c r="V292" s="8"/>
      <c r="W292" s="8">
        <v>21.66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>
        <v>21.57</v>
      </c>
      <c r="AN292" s="8"/>
      <c r="AO292" s="8"/>
      <c r="AP292" s="11"/>
      <c r="AQ292" s="8"/>
      <c r="AR292" s="8"/>
      <c r="AS292" s="8">
        <v>54.27</v>
      </c>
      <c r="AT292" s="8">
        <v>1054.1600000000001</v>
      </c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>
        <v>77.17</v>
      </c>
      <c r="BH292" s="9">
        <f t="shared" si="36"/>
        <v>2141.48</v>
      </c>
      <c r="BI292" s="9">
        <f t="shared" si="37"/>
        <v>12.89</v>
      </c>
      <c r="BJ292" s="9">
        <f t="shared" si="38"/>
        <v>3.85</v>
      </c>
      <c r="BK292" s="9">
        <f t="shared" si="39"/>
        <v>21.66</v>
      </c>
      <c r="BL292" s="9">
        <f t="shared" si="40"/>
        <v>0</v>
      </c>
      <c r="BM292" s="9">
        <f t="shared" si="41"/>
        <v>75.84</v>
      </c>
      <c r="BN292" s="9">
        <f t="shared" si="42"/>
        <v>1054.1600000000001</v>
      </c>
      <c r="BO292" s="9">
        <f t="shared" si="43"/>
        <v>0</v>
      </c>
      <c r="BP292" s="9">
        <f t="shared" si="44"/>
        <v>0</v>
      </c>
    </row>
    <row r="293" spans="1:68">
      <c r="A293" s="6">
        <v>44610</v>
      </c>
      <c r="B293" s="7">
        <v>3028</v>
      </c>
      <c r="C293" s="8"/>
      <c r="D293" s="8">
        <v>749.62</v>
      </c>
      <c r="E293" s="8"/>
      <c r="F293" s="8">
        <v>692.29</v>
      </c>
      <c r="G293" s="8"/>
      <c r="H293" s="8"/>
      <c r="I293" s="8">
        <v>1564.06</v>
      </c>
      <c r="J293" s="8"/>
      <c r="K293" s="8"/>
      <c r="L293" s="8"/>
      <c r="M293" s="8"/>
      <c r="N293" s="8">
        <v>22.55</v>
      </c>
      <c r="O293" s="8"/>
      <c r="P293" s="8"/>
      <c r="Q293" s="11"/>
      <c r="R293" s="11"/>
      <c r="S293" s="8">
        <v>4.21</v>
      </c>
      <c r="T293" s="8"/>
      <c r="U293" s="8"/>
      <c r="V293" s="8"/>
      <c r="W293" s="8">
        <v>22.72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>
        <v>30.62</v>
      </c>
      <c r="AN293" s="8">
        <v>21.01</v>
      </c>
      <c r="AO293" s="8"/>
      <c r="AP293" s="11"/>
      <c r="AQ293" s="8"/>
      <c r="AR293" s="8"/>
      <c r="AS293" s="8">
        <v>99.49</v>
      </c>
      <c r="AT293" s="8">
        <v>1004.07</v>
      </c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>
        <v>68.010000000000005</v>
      </c>
      <c r="BH293" s="9">
        <f t="shared" si="36"/>
        <v>3005.97</v>
      </c>
      <c r="BI293" s="9">
        <f t="shared" si="37"/>
        <v>22.55</v>
      </c>
      <c r="BJ293" s="9">
        <f t="shared" si="38"/>
        <v>4.21</v>
      </c>
      <c r="BK293" s="9">
        <f t="shared" si="39"/>
        <v>22.72</v>
      </c>
      <c r="BL293" s="9">
        <f t="shared" si="40"/>
        <v>0</v>
      </c>
      <c r="BM293" s="9">
        <f t="shared" si="41"/>
        <v>151.12</v>
      </c>
      <c r="BN293" s="9">
        <f t="shared" si="42"/>
        <v>1004.07</v>
      </c>
      <c r="BO293" s="9">
        <f t="shared" si="43"/>
        <v>0</v>
      </c>
      <c r="BP293" s="9">
        <f t="shared" si="44"/>
        <v>0</v>
      </c>
    </row>
    <row r="294" spans="1:68">
      <c r="A294" s="6">
        <v>44610</v>
      </c>
      <c r="B294" s="7">
        <v>3021</v>
      </c>
      <c r="C294" s="8"/>
      <c r="D294" s="8">
        <v>353.51</v>
      </c>
      <c r="E294" s="8"/>
      <c r="F294" s="8"/>
      <c r="G294" s="8"/>
      <c r="H294" s="8"/>
      <c r="I294" s="8">
        <v>653.05999999999995</v>
      </c>
      <c r="J294" s="8"/>
      <c r="K294" s="8"/>
      <c r="L294" s="8"/>
      <c r="M294" s="8"/>
      <c r="N294" s="8">
        <v>5.34</v>
      </c>
      <c r="O294" s="8"/>
      <c r="P294" s="8"/>
      <c r="Q294" s="11"/>
      <c r="R294" s="11"/>
      <c r="S294" s="8">
        <v>1.82</v>
      </c>
      <c r="T294" s="8"/>
      <c r="U294" s="8"/>
      <c r="V294" s="8"/>
      <c r="W294" s="8">
        <v>10.050000000000001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>
        <v>10.17</v>
      </c>
      <c r="AN294" s="8"/>
      <c r="AO294" s="8"/>
      <c r="AP294" s="11"/>
      <c r="AQ294" s="8"/>
      <c r="AR294" s="8"/>
      <c r="AS294" s="8">
        <v>25.2</v>
      </c>
      <c r="AT294" s="8">
        <v>474.08</v>
      </c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>
        <v>35.729999999999997</v>
      </c>
      <c r="BH294" s="9">
        <f t="shared" si="36"/>
        <v>1006.5699999999999</v>
      </c>
      <c r="BI294" s="9">
        <f t="shared" si="37"/>
        <v>5.34</v>
      </c>
      <c r="BJ294" s="9">
        <f t="shared" si="38"/>
        <v>1.82</v>
      </c>
      <c r="BK294" s="9">
        <f t="shared" si="39"/>
        <v>10.050000000000001</v>
      </c>
      <c r="BL294" s="9">
        <f t="shared" si="40"/>
        <v>0</v>
      </c>
      <c r="BM294" s="9">
        <f t="shared" si="41"/>
        <v>35.369999999999997</v>
      </c>
      <c r="BN294" s="9">
        <f t="shared" si="42"/>
        <v>474.08</v>
      </c>
      <c r="BO294" s="9">
        <f t="shared" si="43"/>
        <v>0</v>
      </c>
      <c r="BP294" s="9">
        <f t="shared" si="44"/>
        <v>0</v>
      </c>
    </row>
    <row r="295" spans="1:68">
      <c r="A295" s="6">
        <v>44610</v>
      </c>
      <c r="B295" s="7">
        <v>3080</v>
      </c>
      <c r="C295" s="8"/>
      <c r="D295" s="8"/>
      <c r="E295" s="8"/>
      <c r="F295" s="8">
        <v>781.94</v>
      </c>
      <c r="G295" s="8"/>
      <c r="H295" s="8"/>
      <c r="I295" s="8">
        <v>1175.19</v>
      </c>
      <c r="J295" s="8"/>
      <c r="K295" s="8"/>
      <c r="L295" s="8"/>
      <c r="M295" s="8"/>
      <c r="N295" s="8">
        <v>13.76</v>
      </c>
      <c r="O295" s="8"/>
      <c r="P295" s="8">
        <v>8.06</v>
      </c>
      <c r="Q295" s="11"/>
      <c r="R295" s="11"/>
      <c r="S295" s="8">
        <v>1.17</v>
      </c>
      <c r="T295" s="8">
        <v>19.649999999999999</v>
      </c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>
        <v>29.55</v>
      </c>
      <c r="AJ295" s="8"/>
      <c r="AK295" s="8"/>
      <c r="AL295" s="8"/>
      <c r="AM295" s="8"/>
      <c r="AN295" s="8"/>
      <c r="AO295" s="8"/>
      <c r="AP295" s="11"/>
      <c r="AQ295" s="8">
        <v>19.73</v>
      </c>
      <c r="AR295" s="8">
        <v>68.84</v>
      </c>
      <c r="AS295" s="8"/>
      <c r="AT295" s="8">
        <v>689.03</v>
      </c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>
        <v>37.08</v>
      </c>
      <c r="BH295" s="9">
        <f t="shared" si="36"/>
        <v>1957.13</v>
      </c>
      <c r="BI295" s="9">
        <f t="shared" si="37"/>
        <v>21.82</v>
      </c>
      <c r="BJ295" s="9">
        <f t="shared" si="38"/>
        <v>1.17</v>
      </c>
      <c r="BK295" s="9">
        <f t="shared" si="39"/>
        <v>19.649999999999999</v>
      </c>
      <c r="BL295" s="9">
        <f t="shared" si="40"/>
        <v>0</v>
      </c>
      <c r="BM295" s="9">
        <f t="shared" si="41"/>
        <v>118.12</v>
      </c>
      <c r="BN295" s="9">
        <f t="shared" si="42"/>
        <v>689.03</v>
      </c>
      <c r="BO295" s="9">
        <f t="shared" si="43"/>
        <v>0</v>
      </c>
      <c r="BP295" s="9">
        <f t="shared" si="44"/>
        <v>0</v>
      </c>
    </row>
    <row r="296" spans="1:68">
      <c r="A296" s="6">
        <v>44610</v>
      </c>
      <c r="B296" s="7">
        <v>3016</v>
      </c>
      <c r="C296" s="8"/>
      <c r="D296" s="8">
        <v>2384.98</v>
      </c>
      <c r="E296" s="8"/>
      <c r="F296" s="8"/>
      <c r="G296" s="8"/>
      <c r="H296" s="8"/>
      <c r="I296" s="8">
        <v>2197.86</v>
      </c>
      <c r="J296" s="8"/>
      <c r="K296" s="8"/>
      <c r="L296" s="8"/>
      <c r="M296" s="8"/>
      <c r="N296" s="8">
        <v>27.51</v>
      </c>
      <c r="O296" s="8"/>
      <c r="P296" s="8"/>
      <c r="Q296" s="11"/>
      <c r="R296" s="11"/>
      <c r="S296" s="8">
        <v>3.2</v>
      </c>
      <c r="T296" s="8">
        <v>45.86</v>
      </c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>
        <v>18.45</v>
      </c>
      <c r="AN296" s="8">
        <v>54.37</v>
      </c>
      <c r="AO296" s="8"/>
      <c r="AP296" s="11"/>
      <c r="AQ296" s="8"/>
      <c r="AR296" s="8">
        <v>115.02</v>
      </c>
      <c r="AS296" s="8"/>
      <c r="AT296" s="8">
        <v>1700.7</v>
      </c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>
        <v>125.12</v>
      </c>
      <c r="BH296" s="9">
        <f t="shared" si="36"/>
        <v>4582.84</v>
      </c>
      <c r="BI296" s="9">
        <f t="shared" si="37"/>
        <v>27.51</v>
      </c>
      <c r="BJ296" s="9">
        <f t="shared" si="38"/>
        <v>3.2</v>
      </c>
      <c r="BK296" s="9">
        <f t="shared" si="39"/>
        <v>45.86</v>
      </c>
      <c r="BL296" s="9">
        <f t="shared" si="40"/>
        <v>0</v>
      </c>
      <c r="BM296" s="9">
        <f t="shared" si="41"/>
        <v>187.83999999999997</v>
      </c>
      <c r="BN296" s="9">
        <f t="shared" si="42"/>
        <v>1700.7</v>
      </c>
      <c r="BO296" s="9">
        <f t="shared" si="43"/>
        <v>0</v>
      </c>
      <c r="BP296" s="9">
        <f t="shared" si="44"/>
        <v>0</v>
      </c>
    </row>
    <row r="297" spans="1:68">
      <c r="A297" s="6">
        <v>44610</v>
      </c>
      <c r="B297" s="7">
        <v>3412</v>
      </c>
      <c r="C297" s="8">
        <v>626.95000000000005</v>
      </c>
      <c r="D297" s="8">
        <v>418.12</v>
      </c>
      <c r="E297" s="8"/>
      <c r="F297" s="8"/>
      <c r="G297" s="8"/>
      <c r="H297" s="8"/>
      <c r="I297" s="8"/>
      <c r="J297" s="8"/>
      <c r="K297" s="8"/>
      <c r="L297" s="8"/>
      <c r="M297" s="8">
        <v>3.06</v>
      </c>
      <c r="N297" s="8"/>
      <c r="O297" s="8"/>
      <c r="P297" s="8"/>
      <c r="Q297" s="11"/>
      <c r="R297" s="11"/>
      <c r="S297" s="8">
        <v>2.4</v>
      </c>
      <c r="T297" s="8">
        <v>10.46</v>
      </c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11"/>
      <c r="AQ297" s="8"/>
      <c r="AR297" s="8"/>
      <c r="AS297" s="8"/>
      <c r="AT297" s="8">
        <v>494.66</v>
      </c>
      <c r="AU297" s="8"/>
      <c r="AV297" s="8"/>
      <c r="AW297" s="8"/>
      <c r="AX297" s="8"/>
      <c r="AY297" s="8"/>
      <c r="AZ297" s="8"/>
      <c r="BA297" s="8">
        <v>4.71</v>
      </c>
      <c r="BB297" s="8"/>
      <c r="BC297" s="8"/>
      <c r="BD297" s="8"/>
      <c r="BE297" s="8"/>
      <c r="BF297" s="8"/>
      <c r="BG297" s="8">
        <v>34.770000000000003</v>
      </c>
      <c r="BH297" s="9">
        <f t="shared" si="36"/>
        <v>1045.0700000000002</v>
      </c>
      <c r="BI297" s="9">
        <f t="shared" si="37"/>
        <v>3.06</v>
      </c>
      <c r="BJ297" s="9">
        <f t="shared" si="38"/>
        <v>2.4</v>
      </c>
      <c r="BK297" s="9">
        <f t="shared" si="39"/>
        <v>10.46</v>
      </c>
      <c r="BL297" s="9">
        <f t="shared" si="40"/>
        <v>0</v>
      </c>
      <c r="BM297" s="9">
        <f t="shared" si="41"/>
        <v>0</v>
      </c>
      <c r="BN297" s="9">
        <f t="shared" si="42"/>
        <v>494.66</v>
      </c>
      <c r="BO297" s="9">
        <f t="shared" si="43"/>
        <v>4.71</v>
      </c>
      <c r="BP297" s="9">
        <f t="shared" si="44"/>
        <v>0</v>
      </c>
    </row>
    <row r="298" spans="1:68">
      <c r="A298" s="6">
        <v>44613</v>
      </c>
      <c r="B298" s="7">
        <v>3083</v>
      </c>
      <c r="C298" s="8"/>
      <c r="D298" s="8">
        <v>1095.01</v>
      </c>
      <c r="E298" s="8"/>
      <c r="F298" s="8"/>
      <c r="G298" s="8"/>
      <c r="H298" s="8"/>
      <c r="I298" s="8">
        <v>2553.83</v>
      </c>
      <c r="J298" s="8"/>
      <c r="K298" s="8"/>
      <c r="L298" s="8"/>
      <c r="M298" s="8"/>
      <c r="N298" s="8">
        <v>25.17</v>
      </c>
      <c r="O298" s="8"/>
      <c r="P298" s="8"/>
      <c r="Q298" s="11"/>
      <c r="R298" s="11"/>
      <c r="S298" s="8">
        <v>2.5499999999999998</v>
      </c>
      <c r="T298" s="8">
        <v>29.19</v>
      </c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>
        <v>14.81</v>
      </c>
      <c r="AN298" s="8">
        <v>52.41</v>
      </c>
      <c r="AO298" s="8"/>
      <c r="AP298" s="11"/>
      <c r="AQ298" s="8"/>
      <c r="AR298" s="8">
        <v>91.39</v>
      </c>
      <c r="AS298" s="8"/>
      <c r="AT298" s="8">
        <v>1657.36</v>
      </c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>
        <v>130.51</v>
      </c>
      <c r="BH298" s="9">
        <f t="shared" si="36"/>
        <v>3648.84</v>
      </c>
      <c r="BI298" s="9">
        <f t="shared" si="37"/>
        <v>25.17</v>
      </c>
      <c r="BJ298" s="9">
        <f t="shared" si="38"/>
        <v>2.5499999999999998</v>
      </c>
      <c r="BK298" s="9">
        <f t="shared" si="39"/>
        <v>29.19</v>
      </c>
      <c r="BL298" s="9">
        <f t="shared" si="40"/>
        <v>0</v>
      </c>
      <c r="BM298" s="9">
        <f t="shared" si="41"/>
        <v>158.61000000000001</v>
      </c>
      <c r="BN298" s="9">
        <f t="shared" si="42"/>
        <v>1657.36</v>
      </c>
      <c r="BO298" s="9">
        <f t="shared" si="43"/>
        <v>0</v>
      </c>
      <c r="BP298" s="9">
        <f t="shared" si="44"/>
        <v>0</v>
      </c>
    </row>
    <row r="299" spans="1:68">
      <c r="A299" s="6">
        <v>44613</v>
      </c>
      <c r="B299" s="7">
        <v>3079</v>
      </c>
      <c r="C299" s="8"/>
      <c r="D299" s="8"/>
      <c r="E299" s="8"/>
      <c r="F299" s="8">
        <v>500.87</v>
      </c>
      <c r="G299" s="8"/>
      <c r="H299" s="8"/>
      <c r="I299" s="8">
        <v>4047.07</v>
      </c>
      <c r="J299" s="8"/>
      <c r="K299" s="8"/>
      <c r="L299" s="8"/>
      <c r="M299" s="8"/>
      <c r="N299" s="8">
        <v>34.130000000000003</v>
      </c>
      <c r="O299" s="8"/>
      <c r="P299" s="8"/>
      <c r="Q299" s="11"/>
      <c r="R299" s="11"/>
      <c r="S299" s="8">
        <v>1.83</v>
      </c>
      <c r="T299" s="8">
        <v>45.56</v>
      </c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>
        <v>18.5</v>
      </c>
      <c r="AN299" s="8">
        <v>45.77</v>
      </c>
      <c r="AO299" s="8"/>
      <c r="AP299" s="11"/>
      <c r="AQ299" s="8"/>
      <c r="AR299" s="8">
        <v>115.61</v>
      </c>
      <c r="AS299" s="8"/>
      <c r="AT299" s="8">
        <v>1731.84</v>
      </c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>
        <v>125.12</v>
      </c>
      <c r="BH299" s="9">
        <f t="shared" si="36"/>
        <v>4547.9400000000005</v>
      </c>
      <c r="BI299" s="9">
        <f t="shared" si="37"/>
        <v>34.130000000000003</v>
      </c>
      <c r="BJ299" s="9">
        <f t="shared" si="38"/>
        <v>1.83</v>
      </c>
      <c r="BK299" s="9">
        <f t="shared" si="39"/>
        <v>45.56</v>
      </c>
      <c r="BL299" s="9">
        <f t="shared" si="40"/>
        <v>0</v>
      </c>
      <c r="BM299" s="9">
        <f t="shared" si="41"/>
        <v>179.88</v>
      </c>
      <c r="BN299" s="9">
        <f t="shared" si="42"/>
        <v>1731.84</v>
      </c>
      <c r="BO299" s="9">
        <f t="shared" si="43"/>
        <v>0</v>
      </c>
      <c r="BP299" s="9">
        <f t="shared" si="44"/>
        <v>0</v>
      </c>
    </row>
    <row r="300" spans="1:68">
      <c r="A300" s="6">
        <v>44613</v>
      </c>
      <c r="B300" s="7">
        <v>3200</v>
      </c>
      <c r="C300" s="8">
        <v>2247.48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>
        <v>5.65</v>
      </c>
      <c r="P300" s="8"/>
      <c r="Q300" s="11"/>
      <c r="R300" s="11"/>
      <c r="S300" s="8">
        <v>8.82</v>
      </c>
      <c r="T300" s="8"/>
      <c r="U300" s="8">
        <v>33.979999999999997</v>
      </c>
      <c r="V300" s="8"/>
      <c r="W300" s="8"/>
      <c r="X300" s="8"/>
      <c r="Y300" s="8"/>
      <c r="Z300" s="8">
        <v>475.01</v>
      </c>
      <c r="AA300" s="8"/>
      <c r="AB300" s="8"/>
      <c r="AC300" s="8"/>
      <c r="AD300" s="8"/>
      <c r="AE300" s="8">
        <v>33.950000000000003</v>
      </c>
      <c r="AF300" s="8">
        <v>112.18</v>
      </c>
      <c r="AG300" s="8"/>
      <c r="AH300" s="8"/>
      <c r="AI300" s="8"/>
      <c r="AJ300" s="8"/>
      <c r="AK300" s="8"/>
      <c r="AL300" s="8"/>
      <c r="AM300" s="8"/>
      <c r="AN300" s="8"/>
      <c r="AO300" s="8"/>
      <c r="AP300" s="11"/>
      <c r="AQ300" s="8"/>
      <c r="AR300" s="8"/>
      <c r="AS300" s="8"/>
      <c r="AT300" s="8">
        <v>1546.12</v>
      </c>
      <c r="AU300" s="8"/>
      <c r="AV300" s="8"/>
      <c r="AW300" s="8">
        <v>6.56</v>
      </c>
      <c r="AX300" s="8"/>
      <c r="AY300" s="8"/>
      <c r="AZ300" s="8"/>
      <c r="BA300" s="8"/>
      <c r="BB300" s="8"/>
      <c r="BC300" s="8"/>
      <c r="BD300" s="8"/>
      <c r="BE300" s="8"/>
      <c r="BF300" s="8">
        <v>109.27</v>
      </c>
      <c r="BG300" s="8">
        <v>112.32</v>
      </c>
      <c r="BH300" s="9">
        <f t="shared" si="36"/>
        <v>2247.48</v>
      </c>
      <c r="BI300" s="9">
        <f t="shared" si="37"/>
        <v>5.65</v>
      </c>
      <c r="BJ300" s="9">
        <f t="shared" si="38"/>
        <v>8.82</v>
      </c>
      <c r="BK300" s="9">
        <f t="shared" si="39"/>
        <v>33.979999999999997</v>
      </c>
      <c r="BL300" s="9">
        <f t="shared" si="40"/>
        <v>475.01</v>
      </c>
      <c r="BM300" s="9">
        <f t="shared" si="41"/>
        <v>146.13</v>
      </c>
      <c r="BN300" s="9">
        <f t="shared" si="42"/>
        <v>1546.12</v>
      </c>
      <c r="BO300" s="9">
        <f t="shared" si="43"/>
        <v>6.56</v>
      </c>
      <c r="BP300" s="9">
        <f t="shared" si="44"/>
        <v>109.27</v>
      </c>
    </row>
    <row r="301" spans="1:68">
      <c r="A301" s="6">
        <v>44613</v>
      </c>
      <c r="B301" s="7">
        <v>3703</v>
      </c>
      <c r="C301" s="8">
        <v>826.77</v>
      </c>
      <c r="D301" s="8">
        <v>561.05999999999995</v>
      </c>
      <c r="E301" s="8"/>
      <c r="F301" s="8"/>
      <c r="G301" s="8"/>
      <c r="H301" s="8"/>
      <c r="I301" s="8"/>
      <c r="J301" s="8"/>
      <c r="K301" s="8"/>
      <c r="L301" s="8"/>
      <c r="M301" s="8">
        <v>2.82</v>
      </c>
      <c r="N301" s="8"/>
      <c r="O301" s="8"/>
      <c r="P301" s="8"/>
      <c r="Q301" s="11"/>
      <c r="R301" s="11"/>
      <c r="S301" s="8">
        <v>6.89</v>
      </c>
      <c r="T301" s="8"/>
      <c r="U301" s="8">
        <v>11.27</v>
      </c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>
        <v>27.94</v>
      </c>
      <c r="AL301" s="8"/>
      <c r="AM301" s="8"/>
      <c r="AN301" s="8"/>
      <c r="AO301" s="8"/>
      <c r="AP301" s="11"/>
      <c r="AQ301" s="8"/>
      <c r="AR301" s="8"/>
      <c r="AS301" s="8"/>
      <c r="AT301" s="8">
        <v>342.58</v>
      </c>
      <c r="AU301" s="8">
        <v>170.91</v>
      </c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>
        <v>35.92</v>
      </c>
      <c r="BH301" s="9">
        <f t="shared" si="36"/>
        <v>1387.83</v>
      </c>
      <c r="BI301" s="9">
        <f t="shared" si="37"/>
        <v>2.82</v>
      </c>
      <c r="BJ301" s="9">
        <f t="shared" si="38"/>
        <v>6.89</v>
      </c>
      <c r="BK301" s="9">
        <f t="shared" si="39"/>
        <v>11.27</v>
      </c>
      <c r="BL301" s="9">
        <f t="shared" si="40"/>
        <v>0</v>
      </c>
      <c r="BM301" s="9">
        <f t="shared" si="41"/>
        <v>27.94</v>
      </c>
      <c r="BN301" s="9">
        <f t="shared" si="42"/>
        <v>513.49</v>
      </c>
      <c r="BO301" s="9">
        <f t="shared" si="43"/>
        <v>0</v>
      </c>
      <c r="BP301" s="9">
        <f t="shared" si="44"/>
        <v>0</v>
      </c>
    </row>
    <row r="302" spans="1:68">
      <c r="A302" s="6">
        <v>44614</v>
      </c>
      <c r="B302" s="7">
        <v>3704</v>
      </c>
      <c r="C302" s="8">
        <v>610.21</v>
      </c>
      <c r="D302" s="8">
        <v>941.97</v>
      </c>
      <c r="E302" s="8"/>
      <c r="F302" s="8"/>
      <c r="G302" s="8"/>
      <c r="H302" s="8"/>
      <c r="I302" s="8"/>
      <c r="J302" s="8"/>
      <c r="K302" s="8"/>
      <c r="L302" s="8"/>
      <c r="M302" s="8">
        <v>4.71</v>
      </c>
      <c r="N302" s="8"/>
      <c r="O302" s="8"/>
      <c r="P302" s="8"/>
      <c r="Q302" s="11"/>
      <c r="R302" s="11"/>
      <c r="S302" s="8">
        <v>5.48</v>
      </c>
      <c r="T302" s="8"/>
      <c r="U302" s="8">
        <v>11.77</v>
      </c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>
        <v>37.630000000000003</v>
      </c>
      <c r="AL302" s="8"/>
      <c r="AM302" s="8"/>
      <c r="AN302" s="8"/>
      <c r="AO302" s="8"/>
      <c r="AP302" s="11"/>
      <c r="AQ302" s="8"/>
      <c r="AR302" s="8"/>
      <c r="AS302" s="8"/>
      <c r="AT302" s="8">
        <v>271.98</v>
      </c>
      <c r="AU302" s="8">
        <v>135.58000000000001</v>
      </c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>
        <v>24.98</v>
      </c>
      <c r="BH302" s="9">
        <f t="shared" si="36"/>
        <v>1552.18</v>
      </c>
      <c r="BI302" s="9">
        <f t="shared" si="37"/>
        <v>4.71</v>
      </c>
      <c r="BJ302" s="9">
        <f t="shared" si="38"/>
        <v>5.48</v>
      </c>
      <c r="BK302" s="9">
        <f t="shared" si="39"/>
        <v>11.77</v>
      </c>
      <c r="BL302" s="9">
        <f t="shared" si="40"/>
        <v>0</v>
      </c>
      <c r="BM302" s="9">
        <f t="shared" si="41"/>
        <v>37.630000000000003</v>
      </c>
      <c r="BN302" s="9">
        <f t="shared" si="42"/>
        <v>407.56000000000006</v>
      </c>
      <c r="BO302" s="9">
        <f t="shared" si="43"/>
        <v>0</v>
      </c>
      <c r="BP302" s="9">
        <f t="shared" si="44"/>
        <v>0</v>
      </c>
    </row>
    <row r="303" spans="1:68">
      <c r="A303" s="6">
        <v>44614</v>
      </c>
      <c r="B303" s="7">
        <v>3307</v>
      </c>
      <c r="C303" s="8"/>
      <c r="D303" s="8">
        <v>1892.55</v>
      </c>
      <c r="E303" s="8"/>
      <c r="F303" s="8"/>
      <c r="G303" s="8"/>
      <c r="H303" s="8"/>
      <c r="I303" s="8"/>
      <c r="J303" s="8"/>
      <c r="K303" s="8"/>
      <c r="L303" s="8"/>
      <c r="M303" s="8">
        <v>2.4700000000000002</v>
      </c>
      <c r="N303" s="8"/>
      <c r="O303" s="8"/>
      <c r="P303" s="8"/>
      <c r="Q303" s="11"/>
      <c r="R303" s="11"/>
      <c r="S303" s="8">
        <v>13.82</v>
      </c>
      <c r="T303" s="8">
        <v>18.93</v>
      </c>
      <c r="U303" s="8"/>
      <c r="V303" s="8"/>
      <c r="W303" s="8"/>
      <c r="X303" s="8"/>
      <c r="Y303" s="8"/>
      <c r="Z303" s="8"/>
      <c r="AA303" s="8"/>
      <c r="AB303" s="8"/>
      <c r="AC303" s="8">
        <v>11.36</v>
      </c>
      <c r="AD303" s="8"/>
      <c r="AE303" s="8"/>
      <c r="AF303" s="8"/>
      <c r="AG303" s="8">
        <v>18.95</v>
      </c>
      <c r="AH303" s="8"/>
      <c r="AI303" s="8"/>
      <c r="AJ303" s="8"/>
      <c r="AK303" s="8"/>
      <c r="AL303" s="8"/>
      <c r="AM303" s="8"/>
      <c r="AN303" s="8"/>
      <c r="AO303" s="8"/>
      <c r="AP303" s="11"/>
      <c r="AQ303" s="8"/>
      <c r="AR303" s="8"/>
      <c r="AS303" s="8"/>
      <c r="AT303" s="8"/>
      <c r="AU303" s="8">
        <v>947.9</v>
      </c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>
        <v>68.03</v>
      </c>
      <c r="BH303" s="9">
        <f t="shared" si="36"/>
        <v>1892.55</v>
      </c>
      <c r="BI303" s="9">
        <f t="shared" si="37"/>
        <v>2.4700000000000002</v>
      </c>
      <c r="BJ303" s="9">
        <f t="shared" si="38"/>
        <v>13.82</v>
      </c>
      <c r="BK303" s="9">
        <f t="shared" si="39"/>
        <v>18.93</v>
      </c>
      <c r="BL303" s="9">
        <f t="shared" si="40"/>
        <v>0</v>
      </c>
      <c r="BM303" s="9">
        <f t="shared" si="41"/>
        <v>30.31</v>
      </c>
      <c r="BN303" s="9">
        <f t="shared" si="42"/>
        <v>947.9</v>
      </c>
      <c r="BO303" s="9">
        <f t="shared" si="43"/>
        <v>0</v>
      </c>
      <c r="BP303" s="9">
        <f t="shared" si="44"/>
        <v>0</v>
      </c>
    </row>
    <row r="304" spans="1:68">
      <c r="A304" s="6">
        <v>44614</v>
      </c>
      <c r="B304" s="7">
        <v>3203</v>
      </c>
      <c r="C304" s="8">
        <v>1649.68</v>
      </c>
      <c r="D304" s="8"/>
      <c r="E304" s="8">
        <v>709.35</v>
      </c>
      <c r="F304" s="8"/>
      <c r="G304" s="8"/>
      <c r="H304" s="8"/>
      <c r="I304" s="8"/>
      <c r="J304" s="8"/>
      <c r="K304" s="8"/>
      <c r="L304" s="8"/>
      <c r="M304" s="8"/>
      <c r="N304" s="8"/>
      <c r="O304" s="8">
        <v>7.1</v>
      </c>
      <c r="P304" s="8"/>
      <c r="Q304" s="11"/>
      <c r="R304" s="11"/>
      <c r="S304" s="8">
        <v>9.27</v>
      </c>
      <c r="T304" s="8"/>
      <c r="U304" s="8">
        <v>29.41</v>
      </c>
      <c r="V304" s="8"/>
      <c r="W304" s="8"/>
      <c r="X304" s="8"/>
      <c r="Y304" s="8"/>
      <c r="Z304" s="8">
        <v>373.84</v>
      </c>
      <c r="AA304" s="8">
        <v>290.98</v>
      </c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11"/>
      <c r="AQ304" s="8"/>
      <c r="AR304" s="8"/>
      <c r="AS304" s="8"/>
      <c r="AT304" s="8">
        <v>886.53</v>
      </c>
      <c r="AU304" s="8">
        <v>443.79</v>
      </c>
      <c r="AV304" s="8"/>
      <c r="AW304" s="8"/>
      <c r="AX304" s="8"/>
      <c r="AY304" s="8"/>
      <c r="AZ304" s="8"/>
      <c r="BA304" s="8"/>
      <c r="BB304" s="8"/>
      <c r="BC304" s="8">
        <v>6.17</v>
      </c>
      <c r="BD304" s="8"/>
      <c r="BE304" s="8"/>
      <c r="BF304" s="8"/>
      <c r="BG304" s="8">
        <v>87.19</v>
      </c>
      <c r="BH304" s="9">
        <f t="shared" si="36"/>
        <v>2359.0300000000002</v>
      </c>
      <c r="BI304" s="9">
        <f t="shared" si="37"/>
        <v>7.1</v>
      </c>
      <c r="BJ304" s="9">
        <f t="shared" si="38"/>
        <v>9.27</v>
      </c>
      <c r="BK304" s="9">
        <f t="shared" si="39"/>
        <v>29.41</v>
      </c>
      <c r="BL304" s="9">
        <f t="shared" si="40"/>
        <v>664.81999999999994</v>
      </c>
      <c r="BM304" s="9">
        <f t="shared" si="41"/>
        <v>0</v>
      </c>
      <c r="BN304" s="9">
        <f t="shared" si="42"/>
        <v>1330.32</v>
      </c>
      <c r="BO304" s="9">
        <f t="shared" si="43"/>
        <v>6.17</v>
      </c>
      <c r="BP304" s="9">
        <f t="shared" si="44"/>
        <v>0</v>
      </c>
    </row>
    <row r="305" spans="1:68">
      <c r="A305" s="6">
        <v>44614</v>
      </c>
      <c r="B305" s="7">
        <v>3020</v>
      </c>
      <c r="C305" s="8"/>
      <c r="D305" s="8">
        <v>321.98</v>
      </c>
      <c r="E305" s="8"/>
      <c r="F305" s="8"/>
      <c r="G305" s="8"/>
      <c r="H305" s="8"/>
      <c r="I305" s="8">
        <v>1818.94</v>
      </c>
      <c r="J305" s="8"/>
      <c r="K305" s="8"/>
      <c r="L305" s="8"/>
      <c r="M305" s="8"/>
      <c r="N305" s="8">
        <v>12.84</v>
      </c>
      <c r="O305" s="8"/>
      <c r="P305" s="8"/>
      <c r="Q305" s="11"/>
      <c r="R305" s="11"/>
      <c r="S305" s="8">
        <v>3.85</v>
      </c>
      <c r="T305" s="8"/>
      <c r="U305" s="8"/>
      <c r="V305" s="8"/>
      <c r="W305" s="8">
        <v>21.24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>
        <v>21.95</v>
      </c>
      <c r="AN305" s="8"/>
      <c r="AO305" s="8"/>
      <c r="AP305" s="11"/>
      <c r="AQ305" s="8"/>
      <c r="AR305" s="8"/>
      <c r="AS305" s="8">
        <v>54.74</v>
      </c>
      <c r="AT305" s="8">
        <v>1052.1300000000001</v>
      </c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>
        <v>77.03</v>
      </c>
      <c r="BH305" s="9">
        <f t="shared" si="36"/>
        <v>2140.92</v>
      </c>
      <c r="BI305" s="9">
        <f t="shared" si="37"/>
        <v>12.84</v>
      </c>
      <c r="BJ305" s="9">
        <f t="shared" si="38"/>
        <v>3.85</v>
      </c>
      <c r="BK305" s="9">
        <f t="shared" si="39"/>
        <v>21.24</v>
      </c>
      <c r="BL305" s="9">
        <f t="shared" si="40"/>
        <v>0</v>
      </c>
      <c r="BM305" s="9">
        <f t="shared" si="41"/>
        <v>76.69</v>
      </c>
      <c r="BN305" s="9">
        <f t="shared" si="42"/>
        <v>1052.1300000000001</v>
      </c>
      <c r="BO305" s="9">
        <f t="shared" si="43"/>
        <v>0</v>
      </c>
      <c r="BP305" s="9">
        <f t="shared" si="44"/>
        <v>0</v>
      </c>
    </row>
    <row r="306" spans="1:68">
      <c r="A306" s="6">
        <v>44614</v>
      </c>
      <c r="B306" s="7">
        <v>3025</v>
      </c>
      <c r="C306" s="8"/>
      <c r="D306" s="8">
        <v>210.95</v>
      </c>
      <c r="E306" s="8"/>
      <c r="F306" s="8"/>
      <c r="G306" s="8"/>
      <c r="H306" s="8"/>
      <c r="I306" s="8">
        <v>1188.79</v>
      </c>
      <c r="J306" s="8"/>
      <c r="K306" s="8"/>
      <c r="L306" s="8"/>
      <c r="M306" s="8"/>
      <c r="N306" s="8">
        <v>7.56</v>
      </c>
      <c r="O306" s="8"/>
      <c r="P306" s="8"/>
      <c r="Q306" s="11"/>
      <c r="R306" s="11"/>
      <c r="S306" s="8">
        <v>2.2599999999999998</v>
      </c>
      <c r="T306" s="8"/>
      <c r="U306" s="8"/>
      <c r="V306" s="8"/>
      <c r="W306" s="8">
        <v>12.75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>
        <v>14.29</v>
      </c>
      <c r="AN306" s="8">
        <v>9.91</v>
      </c>
      <c r="AO306" s="8"/>
      <c r="AP306" s="11"/>
      <c r="AQ306" s="8"/>
      <c r="AR306" s="8"/>
      <c r="AS306" s="8">
        <v>46.29</v>
      </c>
      <c r="AT306" s="8">
        <v>484.33</v>
      </c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>
        <v>32.090000000000003</v>
      </c>
      <c r="BH306" s="9">
        <f t="shared" si="36"/>
        <v>1399.74</v>
      </c>
      <c r="BI306" s="9">
        <f t="shared" si="37"/>
        <v>7.56</v>
      </c>
      <c r="BJ306" s="9">
        <f t="shared" si="38"/>
        <v>2.2599999999999998</v>
      </c>
      <c r="BK306" s="9">
        <f t="shared" si="39"/>
        <v>12.75</v>
      </c>
      <c r="BL306" s="9">
        <f t="shared" si="40"/>
        <v>0</v>
      </c>
      <c r="BM306" s="9">
        <f t="shared" si="41"/>
        <v>70.489999999999995</v>
      </c>
      <c r="BN306" s="9">
        <f t="shared" si="42"/>
        <v>484.33</v>
      </c>
      <c r="BO306" s="9">
        <f t="shared" si="43"/>
        <v>0</v>
      </c>
      <c r="BP306" s="9">
        <f t="shared" si="44"/>
        <v>0</v>
      </c>
    </row>
    <row r="307" spans="1:68">
      <c r="A307" s="6">
        <v>44614</v>
      </c>
      <c r="B307" s="7">
        <v>3121</v>
      </c>
      <c r="C307" s="8">
        <v>1898.95</v>
      </c>
      <c r="D307" s="8"/>
      <c r="E307" s="8"/>
      <c r="F307" s="8"/>
      <c r="G307" s="8"/>
      <c r="H307" s="8"/>
      <c r="I307" s="8"/>
      <c r="J307" s="8"/>
      <c r="K307" s="8"/>
      <c r="L307" s="8"/>
      <c r="M307" s="8">
        <v>4.4000000000000004</v>
      </c>
      <c r="N307" s="8"/>
      <c r="O307" s="8"/>
      <c r="P307" s="8"/>
      <c r="Q307" s="11"/>
      <c r="R307" s="11"/>
      <c r="S307" s="8">
        <v>6.66</v>
      </c>
      <c r="T307" s="8">
        <v>24.11</v>
      </c>
      <c r="U307" s="8"/>
      <c r="V307" s="8"/>
      <c r="W307" s="8"/>
      <c r="X307" s="8"/>
      <c r="Y307" s="8"/>
      <c r="Z307" s="8"/>
      <c r="AA307" s="8"/>
      <c r="AB307" s="8"/>
      <c r="AC307" s="8">
        <v>7.6</v>
      </c>
      <c r="AD307" s="8"/>
      <c r="AE307" s="8">
        <v>19.100000000000001</v>
      </c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11"/>
      <c r="AQ307" s="8"/>
      <c r="AR307" s="8"/>
      <c r="AS307" s="8"/>
      <c r="AT307" s="8">
        <v>1007.44</v>
      </c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>
        <v>73.86</v>
      </c>
      <c r="BH307" s="9">
        <f t="shared" si="36"/>
        <v>1898.95</v>
      </c>
      <c r="BI307" s="9">
        <f t="shared" si="37"/>
        <v>4.4000000000000004</v>
      </c>
      <c r="BJ307" s="9">
        <f t="shared" si="38"/>
        <v>6.66</v>
      </c>
      <c r="BK307" s="9">
        <f t="shared" si="39"/>
        <v>24.11</v>
      </c>
      <c r="BL307" s="9">
        <f t="shared" si="40"/>
        <v>0</v>
      </c>
      <c r="BM307" s="9">
        <f t="shared" si="41"/>
        <v>26.700000000000003</v>
      </c>
      <c r="BN307" s="9">
        <f t="shared" si="42"/>
        <v>1007.44</v>
      </c>
      <c r="BO307" s="9">
        <f t="shared" si="43"/>
        <v>0</v>
      </c>
      <c r="BP307" s="9">
        <f t="shared" si="44"/>
        <v>0</v>
      </c>
    </row>
    <row r="308" spans="1:68">
      <c r="A308" s="6">
        <v>44614</v>
      </c>
      <c r="B308" s="7">
        <v>3106</v>
      </c>
      <c r="C308" s="8">
        <v>4155.3</v>
      </c>
      <c r="D308" s="8"/>
      <c r="E308" s="8"/>
      <c r="F308" s="8"/>
      <c r="G308" s="8"/>
      <c r="H308" s="8"/>
      <c r="I308" s="8"/>
      <c r="J308" s="8"/>
      <c r="K308" s="8"/>
      <c r="L308" s="8"/>
      <c r="M308" s="8">
        <v>11.2</v>
      </c>
      <c r="N308" s="8"/>
      <c r="O308" s="8"/>
      <c r="P308" s="8"/>
      <c r="Q308" s="11"/>
      <c r="R308" s="11"/>
      <c r="S308" s="8">
        <v>12.9</v>
      </c>
      <c r="T308" s="8">
        <v>52.95</v>
      </c>
      <c r="U308" s="8"/>
      <c r="V308" s="8"/>
      <c r="W308" s="8"/>
      <c r="X308" s="8"/>
      <c r="Y308" s="8"/>
      <c r="Z308" s="8"/>
      <c r="AA308" s="8"/>
      <c r="AB308" s="8"/>
      <c r="AC308" s="8">
        <v>16.62</v>
      </c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11"/>
      <c r="AQ308" s="8"/>
      <c r="AR308" s="8"/>
      <c r="AS308" s="8"/>
      <c r="AT308" s="8">
        <v>2379.33</v>
      </c>
      <c r="AU308" s="8"/>
      <c r="AV308" s="8"/>
      <c r="AW308" s="8"/>
      <c r="AX308" s="8">
        <v>5.2</v>
      </c>
      <c r="AY308" s="8"/>
      <c r="AZ308" s="8"/>
      <c r="BA308" s="8"/>
      <c r="BB308" s="8"/>
      <c r="BC308" s="8"/>
      <c r="BD308" s="8"/>
      <c r="BE308" s="8"/>
      <c r="BF308" s="8"/>
      <c r="BG308" s="8">
        <v>178.18</v>
      </c>
      <c r="BH308" s="9">
        <f t="shared" si="36"/>
        <v>4155.3</v>
      </c>
      <c r="BI308" s="9">
        <f t="shared" si="37"/>
        <v>11.2</v>
      </c>
      <c r="BJ308" s="9">
        <f t="shared" si="38"/>
        <v>12.9</v>
      </c>
      <c r="BK308" s="9">
        <f t="shared" si="39"/>
        <v>52.95</v>
      </c>
      <c r="BL308" s="9">
        <f t="shared" si="40"/>
        <v>0</v>
      </c>
      <c r="BM308" s="9">
        <f t="shared" si="41"/>
        <v>16.62</v>
      </c>
      <c r="BN308" s="9">
        <f t="shared" si="42"/>
        <v>2379.33</v>
      </c>
      <c r="BO308" s="9">
        <f t="shared" si="43"/>
        <v>5.2</v>
      </c>
      <c r="BP308" s="9">
        <f t="shared" si="44"/>
        <v>0</v>
      </c>
    </row>
    <row r="309" spans="1:68">
      <c r="A309" s="6">
        <v>44614</v>
      </c>
      <c r="B309" s="7">
        <v>3141</v>
      </c>
      <c r="C309" s="8">
        <v>2449.0300000000002</v>
      </c>
      <c r="D309" s="8">
        <v>430.58</v>
      </c>
      <c r="E309" s="8"/>
      <c r="F309" s="8"/>
      <c r="G309" s="8"/>
      <c r="H309" s="8"/>
      <c r="I309" s="8"/>
      <c r="J309" s="8"/>
      <c r="K309" s="8"/>
      <c r="L309" s="8"/>
      <c r="M309" s="8">
        <v>8.1199999999999992</v>
      </c>
      <c r="N309" s="8"/>
      <c r="O309" s="8"/>
      <c r="P309" s="8"/>
      <c r="Q309" s="11"/>
      <c r="R309" s="11"/>
      <c r="S309" s="8">
        <v>13.63</v>
      </c>
      <c r="T309" s="8">
        <v>21.75</v>
      </c>
      <c r="U309" s="8">
        <v>21.76</v>
      </c>
      <c r="V309" s="8"/>
      <c r="W309" s="8"/>
      <c r="X309" s="8"/>
      <c r="Y309" s="8"/>
      <c r="Z309" s="8"/>
      <c r="AA309" s="8"/>
      <c r="AB309" s="8"/>
      <c r="AC309" s="8">
        <v>11.61</v>
      </c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11"/>
      <c r="AQ309" s="8"/>
      <c r="AR309" s="8"/>
      <c r="AS309" s="8"/>
      <c r="AT309" s="8">
        <v>1912.83</v>
      </c>
      <c r="AU309" s="8"/>
      <c r="AV309" s="8"/>
      <c r="AW309" s="8"/>
      <c r="AX309" s="8"/>
      <c r="AY309" s="8"/>
      <c r="AZ309" s="8"/>
      <c r="BA309" s="8">
        <v>66.31</v>
      </c>
      <c r="BB309" s="8"/>
      <c r="BC309" s="8"/>
      <c r="BD309" s="8"/>
      <c r="BE309" s="8"/>
      <c r="BF309" s="8">
        <v>202.18</v>
      </c>
      <c r="BG309" s="8">
        <v>150.76</v>
      </c>
      <c r="BH309" s="9">
        <f t="shared" si="36"/>
        <v>2879.61</v>
      </c>
      <c r="BI309" s="9">
        <f t="shared" si="37"/>
        <v>8.1199999999999992</v>
      </c>
      <c r="BJ309" s="9">
        <f t="shared" si="38"/>
        <v>13.63</v>
      </c>
      <c r="BK309" s="9">
        <f t="shared" si="39"/>
        <v>43.510000000000005</v>
      </c>
      <c r="BL309" s="9">
        <f t="shared" si="40"/>
        <v>0</v>
      </c>
      <c r="BM309" s="9">
        <f t="shared" si="41"/>
        <v>11.61</v>
      </c>
      <c r="BN309" s="9">
        <f t="shared" si="42"/>
        <v>1912.83</v>
      </c>
      <c r="BO309" s="9">
        <f t="shared" si="43"/>
        <v>66.31</v>
      </c>
      <c r="BP309" s="9">
        <f t="shared" si="44"/>
        <v>202.18</v>
      </c>
    </row>
    <row r="310" spans="1:68">
      <c r="A310" s="6">
        <v>44614</v>
      </c>
      <c r="B310" s="7">
        <v>3127</v>
      </c>
      <c r="C310" s="8">
        <v>1123.51</v>
      </c>
      <c r="D310" s="8"/>
      <c r="E310" s="8"/>
      <c r="F310" s="8"/>
      <c r="G310" s="8"/>
      <c r="H310" s="8"/>
      <c r="I310" s="8"/>
      <c r="J310" s="8"/>
      <c r="K310" s="8"/>
      <c r="L310" s="8"/>
      <c r="M310" s="8">
        <v>3.23</v>
      </c>
      <c r="N310" s="8"/>
      <c r="O310" s="8"/>
      <c r="P310" s="8"/>
      <c r="Q310" s="11"/>
      <c r="R310" s="11"/>
      <c r="S310" s="8">
        <v>5.53</v>
      </c>
      <c r="T310" s="8">
        <v>11.27</v>
      </c>
      <c r="U310" s="8"/>
      <c r="V310" s="8"/>
      <c r="W310" s="8"/>
      <c r="X310" s="8"/>
      <c r="Y310" s="8"/>
      <c r="Z310" s="8">
        <v>169.1</v>
      </c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11"/>
      <c r="AQ310" s="8"/>
      <c r="AR310" s="8"/>
      <c r="AS310" s="8"/>
      <c r="AT310" s="8">
        <v>551.98</v>
      </c>
      <c r="AU310" s="8"/>
      <c r="AV310" s="8">
        <v>22.54</v>
      </c>
      <c r="AW310" s="8"/>
      <c r="AX310" s="8"/>
      <c r="AY310" s="8"/>
      <c r="AZ310" s="8"/>
      <c r="BA310" s="8"/>
      <c r="BB310" s="8"/>
      <c r="BC310" s="8"/>
      <c r="BD310" s="8"/>
      <c r="BE310" s="8"/>
      <c r="BF310" s="8">
        <v>56.32</v>
      </c>
      <c r="BG310" s="8">
        <v>39.409999999999997</v>
      </c>
      <c r="BH310" s="9">
        <f t="shared" si="36"/>
        <v>1123.51</v>
      </c>
      <c r="BI310" s="9">
        <f t="shared" si="37"/>
        <v>3.23</v>
      </c>
      <c r="BJ310" s="9">
        <f t="shared" si="38"/>
        <v>5.53</v>
      </c>
      <c r="BK310" s="9">
        <f t="shared" si="39"/>
        <v>11.27</v>
      </c>
      <c r="BL310" s="9">
        <f t="shared" si="40"/>
        <v>169.1</v>
      </c>
      <c r="BM310" s="9">
        <f t="shared" si="41"/>
        <v>0</v>
      </c>
      <c r="BN310" s="9">
        <f t="shared" si="42"/>
        <v>551.98</v>
      </c>
      <c r="BO310" s="9">
        <f t="shared" si="43"/>
        <v>22.54</v>
      </c>
      <c r="BP310" s="9">
        <f t="shared" si="44"/>
        <v>56.32</v>
      </c>
    </row>
    <row r="311" spans="1:68">
      <c r="A311" s="6">
        <v>44615</v>
      </c>
      <c r="B311" s="7">
        <v>3200</v>
      </c>
      <c r="C311" s="8">
        <v>4388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>
        <v>10.97</v>
      </c>
      <c r="P311" s="8"/>
      <c r="Q311" s="11"/>
      <c r="R311" s="11"/>
      <c r="S311" s="8">
        <v>17.100000000000001</v>
      </c>
      <c r="T311" s="8"/>
      <c r="U311" s="8">
        <v>65.95</v>
      </c>
      <c r="V311" s="8"/>
      <c r="W311" s="8"/>
      <c r="X311" s="8"/>
      <c r="Y311" s="8"/>
      <c r="Z311" s="8">
        <v>922.58</v>
      </c>
      <c r="AA311" s="8"/>
      <c r="AB311" s="8"/>
      <c r="AC311" s="8"/>
      <c r="AD311" s="8"/>
      <c r="AE311" s="8">
        <v>67.12</v>
      </c>
      <c r="AF311" s="8">
        <v>218.7</v>
      </c>
      <c r="AG311" s="8"/>
      <c r="AH311" s="8"/>
      <c r="AI311" s="8"/>
      <c r="AJ311" s="8"/>
      <c r="AK311" s="8"/>
      <c r="AL311" s="8"/>
      <c r="AM311" s="8"/>
      <c r="AN311" s="8"/>
      <c r="AO311" s="8"/>
      <c r="AP311" s="11"/>
      <c r="AQ311" s="8"/>
      <c r="AR311" s="8"/>
      <c r="AS311" s="8"/>
      <c r="AT311" s="8">
        <v>3004.01</v>
      </c>
      <c r="AU311" s="8"/>
      <c r="AV311" s="8"/>
      <c r="AW311" s="8">
        <v>12.64</v>
      </c>
      <c r="AX311" s="8"/>
      <c r="AY311" s="8"/>
      <c r="AZ311" s="8"/>
      <c r="BA311" s="8"/>
      <c r="BB311" s="8"/>
      <c r="BC311" s="8"/>
      <c r="BD311" s="8"/>
      <c r="BE311" s="8"/>
      <c r="BF311" s="8">
        <v>211</v>
      </c>
      <c r="BG311" s="8">
        <v>216.3</v>
      </c>
      <c r="BH311" s="9">
        <f t="shared" si="36"/>
        <v>4388</v>
      </c>
      <c r="BI311" s="9">
        <f t="shared" si="37"/>
        <v>10.97</v>
      </c>
      <c r="BJ311" s="9">
        <f t="shared" si="38"/>
        <v>17.100000000000001</v>
      </c>
      <c r="BK311" s="9">
        <f t="shared" si="39"/>
        <v>65.95</v>
      </c>
      <c r="BL311" s="9">
        <f t="shared" si="40"/>
        <v>922.58</v>
      </c>
      <c r="BM311" s="9">
        <f t="shared" si="41"/>
        <v>285.82</v>
      </c>
      <c r="BN311" s="9">
        <f t="shared" si="42"/>
        <v>3004.01</v>
      </c>
      <c r="BO311" s="9">
        <f t="shared" si="43"/>
        <v>12.64</v>
      </c>
      <c r="BP311" s="9">
        <f t="shared" si="44"/>
        <v>211</v>
      </c>
    </row>
    <row r="312" spans="1:68">
      <c r="A312" s="6">
        <v>44615</v>
      </c>
      <c r="B312" s="7">
        <v>3308</v>
      </c>
      <c r="C312" s="8"/>
      <c r="D312" s="8">
        <v>679.78</v>
      </c>
      <c r="E312" s="8"/>
      <c r="F312" s="8"/>
      <c r="G312" s="8"/>
      <c r="H312" s="8"/>
      <c r="I312" s="8"/>
      <c r="J312" s="8"/>
      <c r="K312" s="8"/>
      <c r="L312" s="8"/>
      <c r="M312" s="8">
        <v>1</v>
      </c>
      <c r="N312" s="8"/>
      <c r="O312" s="8"/>
      <c r="P312" s="8"/>
      <c r="Q312" s="11"/>
      <c r="R312" s="11"/>
      <c r="S312" s="8">
        <v>4.97</v>
      </c>
      <c r="T312" s="8">
        <v>6.83</v>
      </c>
      <c r="U312" s="8"/>
      <c r="V312" s="8"/>
      <c r="W312" s="8"/>
      <c r="X312" s="8"/>
      <c r="Y312" s="8"/>
      <c r="Z312" s="8"/>
      <c r="AA312" s="8"/>
      <c r="AB312" s="8"/>
      <c r="AC312" s="8">
        <v>4.08</v>
      </c>
      <c r="AD312" s="8"/>
      <c r="AE312" s="8"/>
      <c r="AF312" s="8"/>
      <c r="AG312" s="8">
        <v>6.87</v>
      </c>
      <c r="AH312" s="8"/>
      <c r="AI312" s="8"/>
      <c r="AJ312" s="8"/>
      <c r="AK312" s="8"/>
      <c r="AL312" s="8"/>
      <c r="AM312" s="8"/>
      <c r="AN312" s="8"/>
      <c r="AO312" s="8"/>
      <c r="AP312" s="11"/>
      <c r="AQ312" s="8"/>
      <c r="AR312" s="8"/>
      <c r="AS312" s="8"/>
      <c r="AT312" s="8"/>
      <c r="AU312" s="8">
        <v>340.55</v>
      </c>
      <c r="AV312" s="8"/>
      <c r="AW312" s="8"/>
      <c r="AX312" s="8"/>
      <c r="AY312" s="8"/>
      <c r="AZ312" s="8"/>
      <c r="BA312" s="8"/>
      <c r="BB312" s="8"/>
      <c r="BC312" s="8">
        <v>0.63</v>
      </c>
      <c r="BD312" s="8"/>
      <c r="BE312" s="8"/>
      <c r="BF312" s="8"/>
      <c r="BG312" s="8">
        <v>24.5</v>
      </c>
      <c r="BH312" s="9">
        <f t="shared" si="36"/>
        <v>679.78</v>
      </c>
      <c r="BI312" s="9">
        <f t="shared" si="37"/>
        <v>1</v>
      </c>
      <c r="BJ312" s="9">
        <f t="shared" si="38"/>
        <v>4.97</v>
      </c>
      <c r="BK312" s="9">
        <f t="shared" si="39"/>
        <v>6.83</v>
      </c>
      <c r="BL312" s="9">
        <f t="shared" si="40"/>
        <v>0</v>
      </c>
      <c r="BM312" s="9">
        <f t="shared" si="41"/>
        <v>10.95</v>
      </c>
      <c r="BN312" s="9">
        <f t="shared" si="42"/>
        <v>340.55</v>
      </c>
      <c r="BO312" s="9">
        <f t="shared" si="43"/>
        <v>0.63</v>
      </c>
      <c r="BP312" s="9">
        <f t="shared" si="44"/>
        <v>0</v>
      </c>
    </row>
    <row r="313" spans="1:68">
      <c r="A313" s="6">
        <v>44615</v>
      </c>
      <c r="B313" s="7">
        <v>3101</v>
      </c>
      <c r="C313" s="8">
        <v>604.08000000000004</v>
      </c>
      <c r="D313" s="8"/>
      <c r="E313" s="8"/>
      <c r="F313" s="8"/>
      <c r="G313" s="8"/>
      <c r="H313" s="8"/>
      <c r="I313" s="8"/>
      <c r="J313" s="8"/>
      <c r="K313" s="8"/>
      <c r="L313" s="8"/>
      <c r="M313" s="8">
        <v>1.21</v>
      </c>
      <c r="N313" s="8"/>
      <c r="O313" s="8"/>
      <c r="P313" s="8"/>
      <c r="Q313" s="11"/>
      <c r="R313" s="11"/>
      <c r="S313" s="8">
        <v>3.53</v>
      </c>
      <c r="T313" s="8"/>
      <c r="U313" s="8">
        <v>9.75</v>
      </c>
      <c r="V313" s="8"/>
      <c r="W313" s="8"/>
      <c r="X313" s="8"/>
      <c r="Y313" s="8"/>
      <c r="Z313" s="8"/>
      <c r="AA313" s="8"/>
      <c r="AB313" s="8"/>
      <c r="AC313" s="8">
        <v>2.44</v>
      </c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11"/>
      <c r="AQ313" s="8"/>
      <c r="AR313" s="8"/>
      <c r="AS313" s="8"/>
      <c r="AT313" s="8">
        <v>409.68</v>
      </c>
      <c r="AU313" s="8"/>
      <c r="AV313" s="8"/>
      <c r="AW313" s="8">
        <v>12.97</v>
      </c>
      <c r="AX313" s="8"/>
      <c r="AY313" s="8"/>
      <c r="AZ313" s="8"/>
      <c r="BA313" s="8"/>
      <c r="BB313" s="8"/>
      <c r="BC313" s="8"/>
      <c r="BD313" s="8"/>
      <c r="BE313" s="8"/>
      <c r="BF313" s="8">
        <v>79.22</v>
      </c>
      <c r="BG313" s="8">
        <v>31.32</v>
      </c>
      <c r="BH313" s="9">
        <f t="shared" si="36"/>
        <v>604.08000000000004</v>
      </c>
      <c r="BI313" s="9">
        <f t="shared" si="37"/>
        <v>1.21</v>
      </c>
      <c r="BJ313" s="9">
        <f t="shared" si="38"/>
        <v>3.53</v>
      </c>
      <c r="BK313" s="9">
        <f t="shared" si="39"/>
        <v>9.75</v>
      </c>
      <c r="BL313" s="9">
        <f t="shared" si="40"/>
        <v>0</v>
      </c>
      <c r="BM313" s="9">
        <f t="shared" si="41"/>
        <v>2.44</v>
      </c>
      <c r="BN313" s="9">
        <f t="shared" si="42"/>
        <v>409.68</v>
      </c>
      <c r="BO313" s="9">
        <f t="shared" si="43"/>
        <v>12.97</v>
      </c>
      <c r="BP313" s="9">
        <f t="shared" si="44"/>
        <v>79.22</v>
      </c>
    </row>
    <row r="314" spans="1:68">
      <c r="A314" s="6">
        <v>44615</v>
      </c>
      <c r="B314" s="7">
        <v>3134</v>
      </c>
      <c r="C314" s="8">
        <v>1026.3599999999999</v>
      </c>
      <c r="D314" s="8">
        <v>144.65</v>
      </c>
      <c r="E314" s="8"/>
      <c r="F314" s="8"/>
      <c r="G314" s="8"/>
      <c r="H314" s="8">
        <v>486.05</v>
      </c>
      <c r="I314" s="8"/>
      <c r="J314" s="8"/>
      <c r="K314" s="8"/>
      <c r="L314" s="8"/>
      <c r="M314" s="8">
        <v>3.05</v>
      </c>
      <c r="N314" s="8"/>
      <c r="O314" s="8"/>
      <c r="P314" s="8"/>
      <c r="Q314" s="11"/>
      <c r="R314" s="11"/>
      <c r="S314" s="8">
        <v>6.49</v>
      </c>
      <c r="T314" s="8">
        <v>10.09</v>
      </c>
      <c r="U314" s="8">
        <v>8.64</v>
      </c>
      <c r="V314" s="8"/>
      <c r="W314" s="8"/>
      <c r="X314" s="8"/>
      <c r="Y314" s="8"/>
      <c r="Z314" s="8"/>
      <c r="AA314" s="8"/>
      <c r="AB314" s="8"/>
      <c r="AC314" s="8">
        <v>5.76</v>
      </c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11"/>
      <c r="AQ314" s="8"/>
      <c r="AR314" s="8"/>
      <c r="AS314" s="8"/>
      <c r="AT314" s="8">
        <v>1014.52</v>
      </c>
      <c r="AU314" s="8"/>
      <c r="AV314" s="8"/>
      <c r="AW314" s="8"/>
      <c r="AX314" s="8"/>
      <c r="AY314" s="8">
        <v>14.68</v>
      </c>
      <c r="AZ314" s="8"/>
      <c r="BA314" s="8"/>
      <c r="BB314" s="8"/>
      <c r="BC314" s="8"/>
      <c r="BD314" s="8"/>
      <c r="BE314" s="8"/>
      <c r="BF314" s="8">
        <v>64.89</v>
      </c>
      <c r="BG314" s="8">
        <v>76.27</v>
      </c>
      <c r="BH314" s="9">
        <f t="shared" si="36"/>
        <v>1657.06</v>
      </c>
      <c r="BI314" s="9">
        <f t="shared" si="37"/>
        <v>3.05</v>
      </c>
      <c r="BJ314" s="9">
        <f t="shared" si="38"/>
        <v>6.49</v>
      </c>
      <c r="BK314" s="9">
        <f t="shared" si="39"/>
        <v>18.73</v>
      </c>
      <c r="BL314" s="9">
        <f t="shared" si="40"/>
        <v>0</v>
      </c>
      <c r="BM314" s="9">
        <f t="shared" si="41"/>
        <v>5.76</v>
      </c>
      <c r="BN314" s="9">
        <f t="shared" si="42"/>
        <v>1014.52</v>
      </c>
      <c r="BO314" s="9">
        <f t="shared" si="43"/>
        <v>14.68</v>
      </c>
      <c r="BP314" s="9">
        <f t="shared" si="44"/>
        <v>64.89</v>
      </c>
    </row>
    <row r="315" spans="1:68">
      <c r="A315" s="6">
        <v>44615</v>
      </c>
      <c r="B315" s="7">
        <v>3135</v>
      </c>
      <c r="C315" s="8">
        <v>1039.3</v>
      </c>
      <c r="D315" s="8">
        <v>145.47999999999999</v>
      </c>
      <c r="E315" s="8"/>
      <c r="F315" s="8"/>
      <c r="G315" s="8"/>
      <c r="H315" s="8">
        <v>491.59</v>
      </c>
      <c r="I315" s="8"/>
      <c r="J315" s="8"/>
      <c r="K315" s="8"/>
      <c r="L315" s="8"/>
      <c r="M315" s="8">
        <v>3.08</v>
      </c>
      <c r="N315" s="8"/>
      <c r="O315" s="8"/>
      <c r="P315" s="8"/>
      <c r="Q315" s="11"/>
      <c r="R315" s="11"/>
      <c r="S315" s="8">
        <v>6.57</v>
      </c>
      <c r="T315" s="8">
        <v>10.210000000000001</v>
      </c>
      <c r="U315" s="8">
        <v>8.75</v>
      </c>
      <c r="V315" s="8"/>
      <c r="W315" s="8"/>
      <c r="X315" s="8"/>
      <c r="Y315" s="8"/>
      <c r="Z315" s="8"/>
      <c r="AA315" s="8"/>
      <c r="AB315" s="8"/>
      <c r="AC315" s="8">
        <v>5.83</v>
      </c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11"/>
      <c r="AQ315" s="8"/>
      <c r="AR315" s="8"/>
      <c r="AS315" s="8"/>
      <c r="AT315" s="8">
        <v>1029.52</v>
      </c>
      <c r="AU315" s="8"/>
      <c r="AV315" s="8"/>
      <c r="AW315" s="8"/>
      <c r="AX315" s="8"/>
      <c r="AY315" s="8"/>
      <c r="AZ315" s="8"/>
      <c r="BA315" s="8">
        <v>33.26</v>
      </c>
      <c r="BB315" s="8"/>
      <c r="BC315" s="8"/>
      <c r="BD315" s="8"/>
      <c r="BE315" s="8"/>
      <c r="BF315" s="8">
        <v>65.72</v>
      </c>
      <c r="BG315" s="8">
        <v>77.290000000000006</v>
      </c>
      <c r="BH315" s="9">
        <f t="shared" si="36"/>
        <v>1676.37</v>
      </c>
      <c r="BI315" s="9">
        <f t="shared" si="37"/>
        <v>3.08</v>
      </c>
      <c r="BJ315" s="9">
        <f t="shared" si="38"/>
        <v>6.57</v>
      </c>
      <c r="BK315" s="9">
        <f t="shared" si="39"/>
        <v>18.96</v>
      </c>
      <c r="BL315" s="9">
        <f t="shared" si="40"/>
        <v>0</v>
      </c>
      <c r="BM315" s="9">
        <f t="shared" si="41"/>
        <v>5.83</v>
      </c>
      <c r="BN315" s="9">
        <f t="shared" si="42"/>
        <v>1029.52</v>
      </c>
      <c r="BO315" s="9">
        <f t="shared" si="43"/>
        <v>33.26</v>
      </c>
      <c r="BP315" s="9">
        <f t="shared" si="44"/>
        <v>65.72</v>
      </c>
    </row>
    <row r="316" spans="1:68">
      <c r="A316" s="6">
        <v>44615</v>
      </c>
      <c r="B316" s="7">
        <v>3141</v>
      </c>
      <c r="C316" s="8">
        <v>2421.58</v>
      </c>
      <c r="D316" s="8">
        <v>428.62</v>
      </c>
      <c r="E316" s="8"/>
      <c r="F316" s="8"/>
      <c r="G316" s="8"/>
      <c r="H316" s="8"/>
      <c r="I316" s="8"/>
      <c r="J316" s="8"/>
      <c r="K316" s="8"/>
      <c r="L316" s="8"/>
      <c r="M316" s="8">
        <v>7.73</v>
      </c>
      <c r="N316" s="8"/>
      <c r="O316" s="8"/>
      <c r="P316" s="8"/>
      <c r="Q316" s="11"/>
      <c r="R316" s="11"/>
      <c r="S316" s="8">
        <v>13.44</v>
      </c>
      <c r="T316" s="8">
        <v>21.46</v>
      </c>
      <c r="U316" s="8">
        <v>21.45</v>
      </c>
      <c r="V316" s="8"/>
      <c r="W316" s="8"/>
      <c r="X316" s="8"/>
      <c r="Y316" s="8"/>
      <c r="Z316" s="8"/>
      <c r="AA316" s="8"/>
      <c r="AB316" s="8"/>
      <c r="AC316" s="8">
        <v>11.44</v>
      </c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11"/>
      <c r="AQ316" s="8"/>
      <c r="AR316" s="8"/>
      <c r="AS316" s="8"/>
      <c r="AT316" s="8">
        <v>1892.71</v>
      </c>
      <c r="AU316" s="8"/>
      <c r="AV316" s="8"/>
      <c r="AW316" s="8"/>
      <c r="AX316" s="8"/>
      <c r="AY316" s="8"/>
      <c r="AZ316" s="8"/>
      <c r="BA316" s="8">
        <v>65.709999999999994</v>
      </c>
      <c r="BB316" s="8"/>
      <c r="BC316" s="8"/>
      <c r="BD316" s="8"/>
      <c r="BE316" s="8"/>
      <c r="BF316" s="8">
        <v>200.07</v>
      </c>
      <c r="BG316" s="8">
        <v>148.66</v>
      </c>
      <c r="BH316" s="9">
        <f t="shared" si="36"/>
        <v>2850.2</v>
      </c>
      <c r="BI316" s="9">
        <f t="shared" si="37"/>
        <v>7.73</v>
      </c>
      <c r="BJ316" s="9">
        <f t="shared" si="38"/>
        <v>13.44</v>
      </c>
      <c r="BK316" s="9">
        <f t="shared" si="39"/>
        <v>42.91</v>
      </c>
      <c r="BL316" s="9">
        <f t="shared" si="40"/>
        <v>0</v>
      </c>
      <c r="BM316" s="9">
        <f t="shared" si="41"/>
        <v>11.44</v>
      </c>
      <c r="BN316" s="9">
        <f t="shared" si="42"/>
        <v>1892.71</v>
      </c>
      <c r="BO316" s="9">
        <f t="shared" si="43"/>
        <v>65.709999999999994</v>
      </c>
      <c r="BP316" s="9">
        <f t="shared" si="44"/>
        <v>200.07</v>
      </c>
    </row>
    <row r="317" spans="1:68">
      <c r="A317" s="6">
        <v>44616</v>
      </c>
      <c r="B317" s="7">
        <v>3118</v>
      </c>
      <c r="C317" s="8">
        <v>637.51</v>
      </c>
      <c r="D317" s="8"/>
      <c r="E317" s="8"/>
      <c r="F317" s="8"/>
      <c r="G317" s="8"/>
      <c r="H317" s="8"/>
      <c r="I317" s="8"/>
      <c r="J317" s="8"/>
      <c r="K317" s="8"/>
      <c r="L317" s="8"/>
      <c r="M317" s="8">
        <v>1.9</v>
      </c>
      <c r="N317" s="8"/>
      <c r="O317" s="8"/>
      <c r="P317" s="8"/>
      <c r="Q317" s="11"/>
      <c r="R317" s="11"/>
      <c r="S317" s="8">
        <v>3.38</v>
      </c>
      <c r="T317" s="8">
        <v>3.83</v>
      </c>
      <c r="U317" s="8">
        <v>3.83</v>
      </c>
      <c r="V317" s="8"/>
      <c r="W317" s="8"/>
      <c r="X317" s="8"/>
      <c r="Y317" s="8"/>
      <c r="Z317" s="8"/>
      <c r="AA317" s="8"/>
      <c r="AB317" s="8"/>
      <c r="AC317" s="8">
        <v>2.5499999999999998</v>
      </c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11"/>
      <c r="AQ317" s="8"/>
      <c r="AR317" s="8"/>
      <c r="AS317" s="8"/>
      <c r="AT317" s="8">
        <v>413.65</v>
      </c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>
        <v>44.66</v>
      </c>
      <c r="BG317" s="8">
        <v>31.69</v>
      </c>
      <c r="BH317" s="9">
        <f t="shared" si="36"/>
        <v>637.51</v>
      </c>
      <c r="BI317" s="9">
        <f t="shared" si="37"/>
        <v>1.9</v>
      </c>
      <c r="BJ317" s="9">
        <f t="shared" si="38"/>
        <v>3.38</v>
      </c>
      <c r="BK317" s="9">
        <f t="shared" si="39"/>
        <v>7.66</v>
      </c>
      <c r="BL317" s="9">
        <f t="shared" si="40"/>
        <v>0</v>
      </c>
      <c r="BM317" s="9">
        <f t="shared" si="41"/>
        <v>2.5499999999999998</v>
      </c>
      <c r="BN317" s="9">
        <f t="shared" si="42"/>
        <v>413.65</v>
      </c>
      <c r="BO317" s="9">
        <f t="shared" si="43"/>
        <v>0</v>
      </c>
      <c r="BP317" s="9">
        <f t="shared" si="44"/>
        <v>44.66</v>
      </c>
    </row>
    <row r="318" spans="1:68">
      <c r="A318" s="6">
        <v>44616</v>
      </c>
      <c r="B318" s="7">
        <v>3139</v>
      </c>
      <c r="C318" s="8">
        <v>1557.61</v>
      </c>
      <c r="D318" s="8"/>
      <c r="E318" s="8"/>
      <c r="F318" s="8"/>
      <c r="G318" s="8"/>
      <c r="H318" s="8">
        <v>647.15</v>
      </c>
      <c r="I318" s="8"/>
      <c r="J318" s="8"/>
      <c r="K318" s="8"/>
      <c r="L318" s="8"/>
      <c r="M318" s="8">
        <v>3.6</v>
      </c>
      <c r="N318" s="8"/>
      <c r="O318" s="8"/>
      <c r="P318" s="8"/>
      <c r="Q318" s="11"/>
      <c r="R318" s="11"/>
      <c r="S318" s="8">
        <v>6.52</v>
      </c>
      <c r="T318" s="8">
        <v>22.98</v>
      </c>
      <c r="U318" s="8"/>
      <c r="V318" s="8"/>
      <c r="W318" s="8"/>
      <c r="X318" s="8"/>
      <c r="Y318" s="8"/>
      <c r="Z318" s="8"/>
      <c r="AA318" s="8"/>
      <c r="AB318" s="8"/>
      <c r="AC318" s="8">
        <v>7.67</v>
      </c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11"/>
      <c r="AQ318" s="8"/>
      <c r="AR318" s="8"/>
      <c r="AS318" s="8"/>
      <c r="AT318" s="8">
        <v>1137.05</v>
      </c>
      <c r="AU318" s="8"/>
      <c r="AV318" s="8">
        <v>38.36</v>
      </c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>
        <v>82.46</v>
      </c>
      <c r="BH318" s="9">
        <f t="shared" si="36"/>
        <v>2204.7599999999998</v>
      </c>
      <c r="BI318" s="9">
        <f t="shared" si="37"/>
        <v>3.6</v>
      </c>
      <c r="BJ318" s="9">
        <f t="shared" si="38"/>
        <v>6.52</v>
      </c>
      <c r="BK318" s="9">
        <f t="shared" si="39"/>
        <v>22.98</v>
      </c>
      <c r="BL318" s="9">
        <f t="shared" si="40"/>
        <v>0</v>
      </c>
      <c r="BM318" s="9">
        <f t="shared" si="41"/>
        <v>7.67</v>
      </c>
      <c r="BN318" s="9">
        <f t="shared" si="42"/>
        <v>1137.05</v>
      </c>
      <c r="BO318" s="9">
        <f t="shared" si="43"/>
        <v>38.36</v>
      </c>
      <c r="BP318" s="9">
        <f t="shared" si="44"/>
        <v>0</v>
      </c>
    </row>
    <row r="319" spans="1:68">
      <c r="A319" s="6">
        <v>44616</v>
      </c>
      <c r="B319" s="7">
        <v>3602</v>
      </c>
      <c r="C319" s="8">
        <v>600.47</v>
      </c>
      <c r="D319" s="8"/>
      <c r="E319" s="8"/>
      <c r="F319" s="8"/>
      <c r="G319" s="8">
        <v>901.43</v>
      </c>
      <c r="H319" s="8"/>
      <c r="I319" s="8"/>
      <c r="J319" s="8"/>
      <c r="K319" s="8"/>
      <c r="L319" s="8"/>
      <c r="M319" s="8">
        <v>1.57</v>
      </c>
      <c r="N319" s="8"/>
      <c r="O319" s="8"/>
      <c r="P319" s="8"/>
      <c r="Q319" s="11"/>
      <c r="R319" s="11"/>
      <c r="S319" s="8">
        <v>8.07</v>
      </c>
      <c r="T319" s="8"/>
      <c r="U319" s="8">
        <v>4.82</v>
      </c>
      <c r="V319" s="8">
        <v>14.72</v>
      </c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11"/>
      <c r="AQ319" s="8"/>
      <c r="AR319" s="8"/>
      <c r="AS319" s="8"/>
      <c r="AT319" s="8">
        <v>627.91</v>
      </c>
      <c r="AU319" s="8"/>
      <c r="AV319" s="8"/>
      <c r="AW319" s="8">
        <v>38.92</v>
      </c>
      <c r="AX319" s="8"/>
      <c r="AY319" s="8"/>
      <c r="AZ319" s="8"/>
      <c r="BA319" s="8"/>
      <c r="BB319" s="8"/>
      <c r="BC319" s="8"/>
      <c r="BD319" s="8"/>
      <c r="BE319" s="8"/>
      <c r="BF319" s="8">
        <v>48.22</v>
      </c>
      <c r="BG319" s="8">
        <v>47.06</v>
      </c>
      <c r="BH319" s="9">
        <f t="shared" si="36"/>
        <v>1501.9</v>
      </c>
      <c r="BI319" s="9">
        <f t="shared" si="37"/>
        <v>1.57</v>
      </c>
      <c r="BJ319" s="9">
        <f t="shared" si="38"/>
        <v>8.07</v>
      </c>
      <c r="BK319" s="9">
        <f t="shared" si="39"/>
        <v>19.54</v>
      </c>
      <c r="BL319" s="9">
        <f t="shared" si="40"/>
        <v>0</v>
      </c>
      <c r="BM319" s="9">
        <f t="shared" si="41"/>
        <v>0</v>
      </c>
      <c r="BN319" s="9">
        <f t="shared" si="42"/>
        <v>627.91</v>
      </c>
      <c r="BO319" s="9">
        <f t="shared" si="43"/>
        <v>38.92</v>
      </c>
      <c r="BP319" s="9">
        <f t="shared" si="44"/>
        <v>48.22</v>
      </c>
    </row>
    <row r="320" spans="1:68">
      <c r="A320" s="6">
        <v>44616</v>
      </c>
      <c r="B320" s="7">
        <v>3601</v>
      </c>
      <c r="C320" s="8">
        <v>302.64999999999998</v>
      </c>
      <c r="D320" s="8"/>
      <c r="E320" s="8"/>
      <c r="F320" s="8"/>
      <c r="G320" s="8">
        <v>453.22</v>
      </c>
      <c r="H320" s="8"/>
      <c r="I320" s="8"/>
      <c r="J320" s="8"/>
      <c r="K320" s="8"/>
      <c r="L320" s="8"/>
      <c r="M320" s="8">
        <v>0.9</v>
      </c>
      <c r="N320" s="8"/>
      <c r="O320" s="8"/>
      <c r="P320" s="8"/>
      <c r="Q320" s="11"/>
      <c r="R320" s="11"/>
      <c r="S320" s="8">
        <v>4.05</v>
      </c>
      <c r="T320" s="8"/>
      <c r="U320" s="8">
        <v>4.54</v>
      </c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11"/>
      <c r="AQ320" s="8"/>
      <c r="AR320" s="8"/>
      <c r="AS320" s="8"/>
      <c r="AT320" s="8">
        <v>370.22</v>
      </c>
      <c r="AU320" s="8"/>
      <c r="AV320" s="8"/>
      <c r="AW320" s="8">
        <v>22.97</v>
      </c>
      <c r="AX320" s="8"/>
      <c r="AY320" s="8"/>
      <c r="AZ320" s="8"/>
      <c r="BA320" s="8"/>
      <c r="BB320" s="8"/>
      <c r="BC320" s="8"/>
      <c r="BD320" s="8"/>
      <c r="BE320" s="8"/>
      <c r="BF320" s="8">
        <v>42.24</v>
      </c>
      <c r="BG320" s="8">
        <v>28.02</v>
      </c>
      <c r="BH320" s="9">
        <f t="shared" si="36"/>
        <v>755.87</v>
      </c>
      <c r="BI320" s="9">
        <f t="shared" si="37"/>
        <v>0.9</v>
      </c>
      <c r="BJ320" s="9">
        <f t="shared" si="38"/>
        <v>4.05</v>
      </c>
      <c r="BK320" s="9">
        <f t="shared" si="39"/>
        <v>4.54</v>
      </c>
      <c r="BL320" s="9">
        <f t="shared" si="40"/>
        <v>0</v>
      </c>
      <c r="BM320" s="9">
        <f t="shared" si="41"/>
        <v>0</v>
      </c>
      <c r="BN320" s="9">
        <f t="shared" si="42"/>
        <v>370.22</v>
      </c>
      <c r="BO320" s="9">
        <f t="shared" si="43"/>
        <v>22.97</v>
      </c>
      <c r="BP320" s="9">
        <f t="shared" si="44"/>
        <v>42.24</v>
      </c>
    </row>
    <row r="321" spans="1:68">
      <c r="A321" s="6">
        <v>44616</v>
      </c>
      <c r="B321" s="7">
        <v>3204</v>
      </c>
      <c r="C321" s="8"/>
      <c r="D321" s="8">
        <v>1731.21</v>
      </c>
      <c r="E321" s="8">
        <v>741.39</v>
      </c>
      <c r="F321" s="8"/>
      <c r="G321" s="8"/>
      <c r="H321" s="8"/>
      <c r="I321" s="8"/>
      <c r="J321" s="8"/>
      <c r="K321" s="8"/>
      <c r="L321" s="8"/>
      <c r="M321" s="8"/>
      <c r="N321" s="8"/>
      <c r="O321" s="8">
        <v>12.35</v>
      </c>
      <c r="P321" s="8"/>
      <c r="Q321" s="11"/>
      <c r="R321" s="11"/>
      <c r="S321" s="8">
        <v>8.4</v>
      </c>
      <c r="T321" s="8">
        <v>14.85</v>
      </c>
      <c r="U321" s="8">
        <v>12.38</v>
      </c>
      <c r="V321" s="8"/>
      <c r="W321" s="8"/>
      <c r="X321" s="8"/>
      <c r="Y321" s="8"/>
      <c r="Z321" s="8">
        <v>371.22</v>
      </c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11"/>
      <c r="AQ321" s="8"/>
      <c r="AR321" s="8"/>
      <c r="AS321" s="8"/>
      <c r="AT321" s="8">
        <v>1088.99</v>
      </c>
      <c r="AU321" s="8"/>
      <c r="AV321" s="8"/>
      <c r="AW321" s="8">
        <v>7.92</v>
      </c>
      <c r="AX321" s="8"/>
      <c r="AY321" s="8"/>
      <c r="AZ321" s="8"/>
      <c r="BA321" s="8"/>
      <c r="BB321" s="8"/>
      <c r="BC321" s="8"/>
      <c r="BD321" s="8"/>
      <c r="BE321" s="8"/>
      <c r="BF321" s="8"/>
      <c r="BG321" s="8">
        <v>80.42</v>
      </c>
      <c r="BH321" s="9">
        <f t="shared" si="36"/>
        <v>2472.6</v>
      </c>
      <c r="BI321" s="9">
        <f t="shared" si="37"/>
        <v>12.35</v>
      </c>
      <c r="BJ321" s="9">
        <f t="shared" si="38"/>
        <v>8.4</v>
      </c>
      <c r="BK321" s="9">
        <f t="shared" si="39"/>
        <v>27.23</v>
      </c>
      <c r="BL321" s="9">
        <f t="shared" si="40"/>
        <v>371.22</v>
      </c>
      <c r="BM321" s="9">
        <f t="shared" si="41"/>
        <v>0</v>
      </c>
      <c r="BN321" s="9">
        <f t="shared" si="42"/>
        <v>1088.99</v>
      </c>
      <c r="BO321" s="9">
        <f t="shared" si="43"/>
        <v>7.92</v>
      </c>
      <c r="BP321" s="9">
        <f t="shared" si="44"/>
        <v>0</v>
      </c>
    </row>
    <row r="322" spans="1:68">
      <c r="A322" s="6">
        <v>44616</v>
      </c>
      <c r="B322" s="7">
        <v>3205</v>
      </c>
      <c r="C322" s="8">
        <v>671.44</v>
      </c>
      <c r="D322" s="8">
        <v>374.17</v>
      </c>
      <c r="E322" s="8">
        <v>447.97</v>
      </c>
      <c r="F322" s="8"/>
      <c r="G322" s="8"/>
      <c r="H322" s="8"/>
      <c r="I322" s="8"/>
      <c r="J322" s="8"/>
      <c r="K322" s="8"/>
      <c r="L322" s="8"/>
      <c r="M322" s="8"/>
      <c r="N322" s="8"/>
      <c r="O322" s="8">
        <v>5.99</v>
      </c>
      <c r="P322" s="8"/>
      <c r="Q322" s="11"/>
      <c r="R322" s="11"/>
      <c r="S322" s="8">
        <v>6.28</v>
      </c>
      <c r="T322" s="8"/>
      <c r="U322" s="8">
        <v>17.97</v>
      </c>
      <c r="V322" s="8"/>
      <c r="W322" s="8"/>
      <c r="X322" s="8"/>
      <c r="Y322" s="8"/>
      <c r="Z322" s="8">
        <v>149.76</v>
      </c>
      <c r="AA322" s="8"/>
      <c r="AB322" s="8">
        <v>15.04</v>
      </c>
      <c r="AC322" s="8"/>
      <c r="AD322" s="8"/>
      <c r="AE322" s="8">
        <v>7.64</v>
      </c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11"/>
      <c r="AQ322" s="8"/>
      <c r="AR322" s="8"/>
      <c r="AS322" s="8"/>
      <c r="AT322" s="8">
        <v>389.59</v>
      </c>
      <c r="AU322" s="8">
        <v>195.09</v>
      </c>
      <c r="AV322" s="8"/>
      <c r="AW322" s="8">
        <v>6.41</v>
      </c>
      <c r="AX322" s="8"/>
      <c r="AY322" s="8"/>
      <c r="AZ322" s="8"/>
      <c r="BA322" s="8"/>
      <c r="BB322" s="8"/>
      <c r="BC322" s="8"/>
      <c r="BD322" s="8"/>
      <c r="BE322" s="8"/>
      <c r="BF322" s="8"/>
      <c r="BG322" s="8">
        <v>35.36</v>
      </c>
      <c r="BH322" s="9">
        <f t="shared" si="36"/>
        <v>1493.5800000000002</v>
      </c>
      <c r="BI322" s="9">
        <f t="shared" si="37"/>
        <v>5.99</v>
      </c>
      <c r="BJ322" s="9">
        <f t="shared" si="38"/>
        <v>6.28</v>
      </c>
      <c r="BK322" s="9">
        <f t="shared" si="39"/>
        <v>17.97</v>
      </c>
      <c r="BL322" s="9">
        <f t="shared" si="40"/>
        <v>149.76</v>
      </c>
      <c r="BM322" s="9">
        <f t="shared" si="41"/>
        <v>22.68</v>
      </c>
      <c r="BN322" s="9">
        <f t="shared" si="42"/>
        <v>584.67999999999995</v>
      </c>
      <c r="BO322" s="9">
        <f t="shared" si="43"/>
        <v>6.41</v>
      </c>
      <c r="BP322" s="9">
        <f t="shared" si="44"/>
        <v>0</v>
      </c>
    </row>
    <row r="323" spans="1:68">
      <c r="A323" s="6">
        <v>44616</v>
      </c>
      <c r="B323" s="7">
        <v>3141</v>
      </c>
      <c r="C323" s="8">
        <v>2439.9299999999998</v>
      </c>
      <c r="D323" s="8">
        <v>430.8</v>
      </c>
      <c r="E323" s="8"/>
      <c r="F323" s="8"/>
      <c r="G323" s="8"/>
      <c r="H323" s="8"/>
      <c r="I323" s="8"/>
      <c r="J323" s="8"/>
      <c r="K323" s="8"/>
      <c r="L323" s="8"/>
      <c r="M323" s="8">
        <v>7.73</v>
      </c>
      <c r="N323" s="8"/>
      <c r="O323" s="8"/>
      <c r="P323" s="8"/>
      <c r="Q323" s="11"/>
      <c r="R323" s="11"/>
      <c r="S323" s="8">
        <v>13.51</v>
      </c>
      <c r="T323" s="8">
        <v>21.57</v>
      </c>
      <c r="U323" s="8">
        <v>21.55</v>
      </c>
      <c r="V323" s="8"/>
      <c r="W323" s="8"/>
      <c r="X323" s="8"/>
      <c r="Y323" s="8"/>
      <c r="Z323" s="8"/>
      <c r="AA323" s="8"/>
      <c r="AB323" s="8"/>
      <c r="AC323" s="8">
        <v>11.49</v>
      </c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11"/>
      <c r="AQ323" s="8"/>
      <c r="AR323" s="8"/>
      <c r="AS323" s="8"/>
      <c r="AT323" s="8">
        <v>1899.22</v>
      </c>
      <c r="AU323" s="8"/>
      <c r="AV323" s="8"/>
      <c r="AW323" s="8"/>
      <c r="AX323" s="8"/>
      <c r="AY323" s="8"/>
      <c r="AZ323" s="8"/>
      <c r="BA323" s="8">
        <v>65.78</v>
      </c>
      <c r="BB323" s="8"/>
      <c r="BC323" s="8"/>
      <c r="BD323" s="8"/>
      <c r="BE323" s="8"/>
      <c r="BF323" s="8">
        <v>149.13</v>
      </c>
      <c r="BG323" s="8">
        <v>201.08</v>
      </c>
      <c r="BH323" s="9">
        <f t="shared" si="36"/>
        <v>2870.73</v>
      </c>
      <c r="BI323" s="9">
        <f t="shared" si="37"/>
        <v>7.73</v>
      </c>
      <c r="BJ323" s="9">
        <f t="shared" si="38"/>
        <v>13.51</v>
      </c>
      <c r="BK323" s="9">
        <f t="shared" si="39"/>
        <v>43.120000000000005</v>
      </c>
      <c r="BL323" s="9">
        <f t="shared" si="40"/>
        <v>0</v>
      </c>
      <c r="BM323" s="9">
        <f t="shared" si="41"/>
        <v>11.49</v>
      </c>
      <c r="BN323" s="9">
        <f t="shared" si="42"/>
        <v>1899.22</v>
      </c>
      <c r="BO323" s="9">
        <f t="shared" si="43"/>
        <v>65.78</v>
      </c>
      <c r="BP323" s="9">
        <f t="shared" si="44"/>
        <v>149.13</v>
      </c>
    </row>
    <row r="324" spans="1:68">
      <c r="A324" s="6">
        <v>44616</v>
      </c>
      <c r="B324" s="7">
        <v>3106</v>
      </c>
      <c r="C324" s="8">
        <v>4142.07</v>
      </c>
      <c r="D324" s="8"/>
      <c r="E324" s="8"/>
      <c r="F324" s="8"/>
      <c r="G324" s="8"/>
      <c r="H324" s="8"/>
      <c r="I324" s="8"/>
      <c r="J324" s="8"/>
      <c r="K324" s="8"/>
      <c r="L324" s="8"/>
      <c r="M324" s="8">
        <v>11.19</v>
      </c>
      <c r="N324" s="8"/>
      <c r="O324" s="8"/>
      <c r="P324" s="8"/>
      <c r="Q324" s="11"/>
      <c r="R324" s="11"/>
      <c r="S324" s="8">
        <v>12.85</v>
      </c>
      <c r="T324" s="8">
        <v>52.6</v>
      </c>
      <c r="U324" s="8"/>
      <c r="V324" s="8"/>
      <c r="W324" s="8"/>
      <c r="X324" s="8"/>
      <c r="Y324" s="8"/>
      <c r="Z324" s="8"/>
      <c r="AA324" s="8"/>
      <c r="AB324" s="8"/>
      <c r="AC324" s="8">
        <v>16.579999999999998</v>
      </c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11"/>
      <c r="AQ324" s="8"/>
      <c r="AR324" s="8"/>
      <c r="AS324" s="8"/>
      <c r="AT324" s="8">
        <v>2370.9499999999998</v>
      </c>
      <c r="AU324" s="8"/>
      <c r="AV324" s="8"/>
      <c r="AW324" s="8"/>
      <c r="AX324" s="8">
        <v>5.19</v>
      </c>
      <c r="AY324" s="8"/>
      <c r="AZ324" s="8"/>
      <c r="BA324" s="8"/>
      <c r="BB324" s="8"/>
      <c r="BC324" s="8"/>
      <c r="BD324" s="8"/>
      <c r="BE324" s="8"/>
      <c r="BF324" s="8"/>
      <c r="BG324" s="8">
        <v>177.88</v>
      </c>
      <c r="BH324" s="9">
        <f t="shared" ref="BH324:BH387" si="45">SUM(C324:L324)</f>
        <v>4142.07</v>
      </c>
      <c r="BI324" s="9">
        <f t="shared" ref="BI324:BI387" si="46">SUM(M324:R324)</f>
        <v>11.19</v>
      </c>
      <c r="BJ324" s="9">
        <f t="shared" ref="BJ324:BJ387" si="47">SUM(S324)</f>
        <v>12.85</v>
      </c>
      <c r="BK324" s="9">
        <f t="shared" ref="BK324:BK387" si="48">SUM(T324:Y324)</f>
        <v>52.6</v>
      </c>
      <c r="BL324" s="9">
        <f t="shared" ref="BL324:BL387" si="49">SUM(Z324:AA324)</f>
        <v>0</v>
      </c>
      <c r="BM324" s="9">
        <f t="shared" ref="BM324:BM387" si="50">SUM(AB324:AS324)</f>
        <v>16.579999999999998</v>
      </c>
      <c r="BN324" s="9">
        <f t="shared" ref="BN324:BN387" si="51">SUM(AT324:AU324)</f>
        <v>2370.9499999999998</v>
      </c>
      <c r="BO324" s="9">
        <f t="shared" ref="BO324:BO387" si="52">SUM(AV324:BE324)</f>
        <v>5.19</v>
      </c>
      <c r="BP324" s="9">
        <f t="shared" ref="BP324:BP387" si="53">SUM(BF324)</f>
        <v>0</v>
      </c>
    </row>
    <row r="325" spans="1:68">
      <c r="A325" s="6">
        <v>44617</v>
      </c>
      <c r="B325" s="7">
        <v>3028</v>
      </c>
      <c r="C325" s="8"/>
      <c r="D325" s="8">
        <v>789.53</v>
      </c>
      <c r="E325" s="8"/>
      <c r="F325" s="8">
        <v>726.59</v>
      </c>
      <c r="G325" s="8"/>
      <c r="H325" s="8"/>
      <c r="I325" s="8">
        <v>1642.33</v>
      </c>
      <c r="J325" s="8"/>
      <c r="K325" s="8"/>
      <c r="L325" s="8"/>
      <c r="M325" s="8"/>
      <c r="N325" s="8">
        <v>23.66</v>
      </c>
      <c r="O325" s="8"/>
      <c r="P325" s="8"/>
      <c r="Q325" s="11"/>
      <c r="R325" s="11"/>
      <c r="S325" s="8">
        <v>4.41</v>
      </c>
      <c r="T325" s="8"/>
      <c r="U325" s="8"/>
      <c r="V325" s="8"/>
      <c r="W325" s="8">
        <v>23.79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>
        <v>32.08</v>
      </c>
      <c r="AN325" s="8">
        <v>22.36</v>
      </c>
      <c r="AO325" s="8"/>
      <c r="AP325" s="11"/>
      <c r="AQ325" s="8"/>
      <c r="AR325" s="8"/>
      <c r="AS325" s="8">
        <v>103.78</v>
      </c>
      <c r="AT325" s="8">
        <v>1052.71</v>
      </c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>
        <v>71.86</v>
      </c>
      <c r="BH325" s="9">
        <f t="shared" si="45"/>
        <v>3158.45</v>
      </c>
      <c r="BI325" s="9">
        <f t="shared" si="46"/>
        <v>23.66</v>
      </c>
      <c r="BJ325" s="9">
        <f t="shared" si="47"/>
        <v>4.41</v>
      </c>
      <c r="BK325" s="9">
        <f t="shared" si="48"/>
        <v>23.79</v>
      </c>
      <c r="BL325" s="9">
        <f t="shared" si="49"/>
        <v>0</v>
      </c>
      <c r="BM325" s="9">
        <f t="shared" si="50"/>
        <v>158.22</v>
      </c>
      <c r="BN325" s="9">
        <f t="shared" si="51"/>
        <v>1052.71</v>
      </c>
      <c r="BO325" s="9">
        <f t="shared" si="52"/>
        <v>0</v>
      </c>
      <c r="BP325" s="9">
        <f t="shared" si="53"/>
        <v>0</v>
      </c>
    </row>
    <row r="326" spans="1:68">
      <c r="A326" s="6">
        <v>44617</v>
      </c>
      <c r="B326" s="7">
        <v>3023</v>
      </c>
      <c r="C326" s="8"/>
      <c r="D326" s="8">
        <v>861.19</v>
      </c>
      <c r="E326" s="8"/>
      <c r="F326" s="8"/>
      <c r="G326" s="8"/>
      <c r="H326" s="8"/>
      <c r="I326" s="8">
        <v>463.6</v>
      </c>
      <c r="J326" s="8"/>
      <c r="K326" s="8"/>
      <c r="L326" s="8"/>
      <c r="M326" s="8"/>
      <c r="N326" s="8">
        <v>7.43</v>
      </c>
      <c r="O326" s="8"/>
      <c r="P326" s="8"/>
      <c r="Q326" s="11"/>
      <c r="R326" s="11"/>
      <c r="S326" s="8">
        <v>2.12</v>
      </c>
      <c r="T326" s="8"/>
      <c r="U326" s="8"/>
      <c r="V326" s="8"/>
      <c r="W326" s="8">
        <v>12.04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>
        <v>13.33</v>
      </c>
      <c r="AN326" s="8">
        <v>9.35</v>
      </c>
      <c r="AO326" s="8"/>
      <c r="AP326" s="11"/>
      <c r="AQ326" s="8"/>
      <c r="AR326" s="8"/>
      <c r="AS326" s="8">
        <v>43.83</v>
      </c>
      <c r="AT326" s="8">
        <v>542.77</v>
      </c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>
        <v>41.05</v>
      </c>
      <c r="BH326" s="9">
        <f t="shared" si="45"/>
        <v>1324.79</v>
      </c>
      <c r="BI326" s="9">
        <f t="shared" si="46"/>
        <v>7.43</v>
      </c>
      <c r="BJ326" s="9">
        <f t="shared" si="47"/>
        <v>2.12</v>
      </c>
      <c r="BK326" s="9">
        <f t="shared" si="48"/>
        <v>12.04</v>
      </c>
      <c r="BL326" s="9">
        <f t="shared" si="49"/>
        <v>0</v>
      </c>
      <c r="BM326" s="9">
        <f t="shared" si="50"/>
        <v>66.509999999999991</v>
      </c>
      <c r="BN326" s="9">
        <f t="shared" si="51"/>
        <v>542.77</v>
      </c>
      <c r="BO326" s="9">
        <f t="shared" si="52"/>
        <v>0</v>
      </c>
      <c r="BP326" s="9">
        <f t="shared" si="53"/>
        <v>0</v>
      </c>
    </row>
    <row r="327" spans="1:68">
      <c r="A327" s="6">
        <v>44617</v>
      </c>
      <c r="B327" s="7">
        <v>3027</v>
      </c>
      <c r="C327" s="8"/>
      <c r="D327" s="8">
        <v>983.84</v>
      </c>
      <c r="E327" s="8"/>
      <c r="F327" s="8"/>
      <c r="G327" s="8"/>
      <c r="H327" s="8"/>
      <c r="I327" s="8">
        <v>806.68</v>
      </c>
      <c r="J327" s="8"/>
      <c r="K327" s="8"/>
      <c r="L327" s="8"/>
      <c r="M327" s="8"/>
      <c r="N327" s="8">
        <v>9.86</v>
      </c>
      <c r="O327" s="8"/>
      <c r="P327" s="8"/>
      <c r="Q327" s="11"/>
      <c r="R327" s="11"/>
      <c r="S327" s="8">
        <v>2.86</v>
      </c>
      <c r="T327" s="8"/>
      <c r="U327" s="8"/>
      <c r="V327" s="8"/>
      <c r="W327" s="8">
        <v>13.51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>
        <v>18.07</v>
      </c>
      <c r="AN327" s="8">
        <v>12.66</v>
      </c>
      <c r="AO327" s="8"/>
      <c r="AP327" s="11"/>
      <c r="AQ327" s="8"/>
      <c r="AR327" s="8"/>
      <c r="AS327" s="8">
        <v>59.12</v>
      </c>
      <c r="AT327" s="8">
        <v>596.08000000000004</v>
      </c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>
        <v>42.01</v>
      </c>
      <c r="BH327" s="9">
        <f t="shared" si="45"/>
        <v>1790.52</v>
      </c>
      <c r="BI327" s="9">
        <f t="shared" si="46"/>
        <v>9.86</v>
      </c>
      <c r="BJ327" s="9">
        <f t="shared" si="47"/>
        <v>2.86</v>
      </c>
      <c r="BK327" s="9">
        <f t="shared" si="48"/>
        <v>13.51</v>
      </c>
      <c r="BL327" s="9">
        <f t="shared" si="49"/>
        <v>0</v>
      </c>
      <c r="BM327" s="9">
        <f t="shared" si="50"/>
        <v>89.85</v>
      </c>
      <c r="BN327" s="9">
        <f t="shared" si="51"/>
        <v>596.08000000000004</v>
      </c>
      <c r="BO327" s="9">
        <f t="shared" si="52"/>
        <v>0</v>
      </c>
      <c r="BP327" s="9">
        <f t="shared" si="53"/>
        <v>0</v>
      </c>
    </row>
    <row r="328" spans="1:68">
      <c r="A328" s="6">
        <v>44617</v>
      </c>
      <c r="B328" s="7">
        <v>3029</v>
      </c>
      <c r="C328" s="8"/>
      <c r="D328" s="8">
        <v>479.69</v>
      </c>
      <c r="E328" s="8"/>
      <c r="F328" s="8">
        <v>339.34</v>
      </c>
      <c r="G328" s="8"/>
      <c r="H328" s="8"/>
      <c r="I328" s="8">
        <v>2004.18</v>
      </c>
      <c r="J328" s="8"/>
      <c r="K328" s="8"/>
      <c r="L328" s="8"/>
      <c r="M328" s="8"/>
      <c r="N328" s="8">
        <v>21.46</v>
      </c>
      <c r="O328" s="8"/>
      <c r="P328" s="8"/>
      <c r="Q328" s="11"/>
      <c r="R328" s="11"/>
      <c r="S328" s="8">
        <v>1.68</v>
      </c>
      <c r="T328" s="8"/>
      <c r="U328" s="8"/>
      <c r="V328" s="8"/>
      <c r="W328" s="8">
        <v>28.91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>
        <v>9.92</v>
      </c>
      <c r="AN328" s="8">
        <v>14.17</v>
      </c>
      <c r="AO328" s="8"/>
      <c r="AP328" s="11"/>
      <c r="AQ328" s="8"/>
      <c r="AR328" s="8">
        <v>84.61</v>
      </c>
      <c r="AS328" s="8"/>
      <c r="AT328" s="8">
        <v>1072.55</v>
      </c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>
        <v>74.55</v>
      </c>
      <c r="BH328" s="9">
        <f t="shared" si="45"/>
        <v>2823.21</v>
      </c>
      <c r="BI328" s="9">
        <f t="shared" si="46"/>
        <v>21.46</v>
      </c>
      <c r="BJ328" s="9">
        <f t="shared" si="47"/>
        <v>1.68</v>
      </c>
      <c r="BK328" s="9">
        <f t="shared" si="48"/>
        <v>28.91</v>
      </c>
      <c r="BL328" s="9">
        <f t="shared" si="49"/>
        <v>0</v>
      </c>
      <c r="BM328" s="9">
        <f t="shared" si="50"/>
        <v>108.7</v>
      </c>
      <c r="BN328" s="9">
        <f t="shared" si="51"/>
        <v>1072.55</v>
      </c>
      <c r="BO328" s="9">
        <f t="shared" si="52"/>
        <v>0</v>
      </c>
      <c r="BP328" s="9">
        <f t="shared" si="53"/>
        <v>0</v>
      </c>
    </row>
    <row r="329" spans="1:68">
      <c r="A329" s="6">
        <v>44617</v>
      </c>
      <c r="B329" s="7">
        <v>3016</v>
      </c>
      <c r="C329" s="8"/>
      <c r="D329" s="8">
        <v>2378.88</v>
      </c>
      <c r="E329" s="8"/>
      <c r="F329" s="8"/>
      <c r="G329" s="8"/>
      <c r="H329" s="8"/>
      <c r="I329" s="8">
        <v>2190.34</v>
      </c>
      <c r="J329" s="8"/>
      <c r="K329" s="8"/>
      <c r="L329" s="8"/>
      <c r="M329" s="8"/>
      <c r="N329" s="8">
        <v>27.42</v>
      </c>
      <c r="O329" s="8"/>
      <c r="P329" s="8"/>
      <c r="Q329" s="11"/>
      <c r="R329" s="11"/>
      <c r="S329" s="8">
        <v>3.18</v>
      </c>
      <c r="T329" s="8">
        <v>45.76</v>
      </c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>
        <v>18.79</v>
      </c>
      <c r="AN329" s="8">
        <v>54.41</v>
      </c>
      <c r="AO329" s="8"/>
      <c r="AP329" s="11"/>
      <c r="AQ329" s="8"/>
      <c r="AR329" s="8">
        <v>114.46</v>
      </c>
      <c r="AS329" s="8"/>
      <c r="AT329" s="8">
        <v>1699.99</v>
      </c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>
        <v>124.43</v>
      </c>
      <c r="BH329" s="9">
        <f t="shared" si="45"/>
        <v>4569.22</v>
      </c>
      <c r="BI329" s="9">
        <f t="shared" si="46"/>
        <v>27.42</v>
      </c>
      <c r="BJ329" s="9">
        <f t="shared" si="47"/>
        <v>3.18</v>
      </c>
      <c r="BK329" s="9">
        <f t="shared" si="48"/>
        <v>45.76</v>
      </c>
      <c r="BL329" s="9">
        <f t="shared" si="49"/>
        <v>0</v>
      </c>
      <c r="BM329" s="9">
        <f t="shared" si="50"/>
        <v>187.65999999999997</v>
      </c>
      <c r="BN329" s="9">
        <f t="shared" si="51"/>
        <v>1699.99</v>
      </c>
      <c r="BO329" s="9">
        <f t="shared" si="52"/>
        <v>0</v>
      </c>
      <c r="BP329" s="9">
        <f t="shared" si="53"/>
        <v>0</v>
      </c>
    </row>
    <row r="330" spans="1:68">
      <c r="A330" s="6">
        <v>44621</v>
      </c>
      <c r="B330" s="7">
        <v>3704</v>
      </c>
      <c r="C330" s="8">
        <v>727.33</v>
      </c>
      <c r="D330" s="8">
        <v>1125.94</v>
      </c>
      <c r="E330" s="8"/>
      <c r="F330" s="8"/>
      <c r="G330" s="8"/>
      <c r="H330" s="8"/>
      <c r="I330" s="8"/>
      <c r="J330" s="8"/>
      <c r="K330" s="8"/>
      <c r="L330" s="8"/>
      <c r="M330" s="8">
        <v>5.62</v>
      </c>
      <c r="N330" s="8"/>
      <c r="O330" s="8"/>
      <c r="P330" s="8"/>
      <c r="Q330" s="11"/>
      <c r="R330" s="11"/>
      <c r="S330" s="8">
        <v>6.55</v>
      </c>
      <c r="T330" s="8"/>
      <c r="U330" s="8">
        <v>14.07</v>
      </c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>
        <v>44.93</v>
      </c>
      <c r="AL330" s="8"/>
      <c r="AM330" s="8"/>
      <c r="AN330" s="8"/>
      <c r="AO330" s="8"/>
      <c r="AP330" s="11"/>
      <c r="AQ330" s="8"/>
      <c r="AR330" s="8"/>
      <c r="AS330" s="8"/>
      <c r="AT330" s="8">
        <v>325.01</v>
      </c>
      <c r="AU330" s="8">
        <v>161.59</v>
      </c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>
        <v>29.78</v>
      </c>
      <c r="BH330" s="9">
        <f t="shared" si="45"/>
        <v>1853.27</v>
      </c>
      <c r="BI330" s="9">
        <f t="shared" si="46"/>
        <v>5.62</v>
      </c>
      <c r="BJ330" s="9">
        <f t="shared" si="47"/>
        <v>6.55</v>
      </c>
      <c r="BK330" s="9">
        <f t="shared" si="48"/>
        <v>14.07</v>
      </c>
      <c r="BL330" s="9">
        <f t="shared" si="49"/>
        <v>0</v>
      </c>
      <c r="BM330" s="9">
        <f t="shared" si="50"/>
        <v>44.93</v>
      </c>
      <c r="BN330" s="9">
        <f t="shared" si="51"/>
        <v>486.6</v>
      </c>
      <c r="BO330" s="9">
        <f t="shared" si="52"/>
        <v>0</v>
      </c>
      <c r="BP330" s="9">
        <f t="shared" si="53"/>
        <v>0</v>
      </c>
    </row>
    <row r="331" spans="1:68">
      <c r="A331" s="6">
        <v>44621</v>
      </c>
      <c r="B331" s="7">
        <v>3702</v>
      </c>
      <c r="C331" s="8">
        <v>831.44</v>
      </c>
      <c r="D331" s="8">
        <v>559.23</v>
      </c>
      <c r="E331" s="8"/>
      <c r="F331" s="8"/>
      <c r="G331" s="8"/>
      <c r="H331" s="8"/>
      <c r="I331" s="8"/>
      <c r="J331" s="8"/>
      <c r="K331" s="8"/>
      <c r="L331" s="8"/>
      <c r="M331" s="8">
        <v>2.79</v>
      </c>
      <c r="N331" s="8"/>
      <c r="O331" s="8"/>
      <c r="P331" s="8"/>
      <c r="Q331" s="11"/>
      <c r="R331" s="11"/>
      <c r="S331" s="8">
        <v>6.55</v>
      </c>
      <c r="T331" s="8"/>
      <c r="U331" s="8">
        <v>11.26</v>
      </c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11"/>
      <c r="AQ331" s="8"/>
      <c r="AR331" s="8"/>
      <c r="AS331" s="8"/>
      <c r="AT331" s="8">
        <v>339.93</v>
      </c>
      <c r="AU331" s="8">
        <v>170.21</v>
      </c>
      <c r="AV331" s="8"/>
      <c r="AW331" s="8">
        <v>3.12</v>
      </c>
      <c r="AX331" s="8"/>
      <c r="AY331" s="8"/>
      <c r="AZ331" s="8"/>
      <c r="BA331" s="8"/>
      <c r="BB331" s="8"/>
      <c r="BC331" s="8"/>
      <c r="BD331" s="8"/>
      <c r="BE331" s="8"/>
      <c r="BF331" s="8"/>
      <c r="BG331" s="8">
        <v>35.75</v>
      </c>
      <c r="BH331" s="9">
        <f t="shared" si="45"/>
        <v>1390.67</v>
      </c>
      <c r="BI331" s="9">
        <f t="shared" si="46"/>
        <v>2.79</v>
      </c>
      <c r="BJ331" s="9">
        <f t="shared" si="47"/>
        <v>6.55</v>
      </c>
      <c r="BK331" s="9">
        <f t="shared" si="48"/>
        <v>11.26</v>
      </c>
      <c r="BL331" s="9">
        <f t="shared" si="49"/>
        <v>0</v>
      </c>
      <c r="BM331" s="9">
        <f t="shared" si="50"/>
        <v>0</v>
      </c>
      <c r="BN331" s="9">
        <f t="shared" si="51"/>
        <v>510.14</v>
      </c>
      <c r="BO331" s="9">
        <f t="shared" si="52"/>
        <v>3.12</v>
      </c>
      <c r="BP331" s="9">
        <f t="shared" si="53"/>
        <v>0</v>
      </c>
    </row>
    <row r="332" spans="1:68">
      <c r="A332" s="6">
        <v>44621</v>
      </c>
      <c r="B332" s="7">
        <v>3304</v>
      </c>
      <c r="C332" s="8"/>
      <c r="D332" s="8">
        <v>1732.45</v>
      </c>
      <c r="E332" s="8"/>
      <c r="F332" s="8"/>
      <c r="G332" s="8"/>
      <c r="H332" s="8"/>
      <c r="I332" s="8"/>
      <c r="J332" s="8"/>
      <c r="K332" s="8"/>
      <c r="L332" s="8"/>
      <c r="M332" s="8">
        <v>2.04</v>
      </c>
      <c r="N332" s="8"/>
      <c r="O332" s="8"/>
      <c r="P332" s="8"/>
      <c r="Q332" s="11"/>
      <c r="R332" s="11"/>
      <c r="S332" s="8">
        <v>12.33</v>
      </c>
      <c r="T332" s="8">
        <v>15.67</v>
      </c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>
        <v>17.46</v>
      </c>
      <c r="AH332" s="8"/>
      <c r="AI332" s="8"/>
      <c r="AJ332" s="8"/>
      <c r="AK332" s="8"/>
      <c r="AL332" s="8"/>
      <c r="AM332" s="8"/>
      <c r="AN332" s="8"/>
      <c r="AO332" s="8"/>
      <c r="AP332" s="11"/>
      <c r="AQ332" s="8"/>
      <c r="AR332" s="8"/>
      <c r="AS332" s="8"/>
      <c r="AT332" s="8"/>
      <c r="AU332" s="8">
        <v>750.17</v>
      </c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>
        <v>50.67</v>
      </c>
      <c r="BH332" s="9">
        <f t="shared" si="45"/>
        <v>1732.45</v>
      </c>
      <c r="BI332" s="9">
        <f t="shared" si="46"/>
        <v>2.04</v>
      </c>
      <c r="BJ332" s="9">
        <f t="shared" si="47"/>
        <v>12.33</v>
      </c>
      <c r="BK332" s="9">
        <f t="shared" si="48"/>
        <v>15.67</v>
      </c>
      <c r="BL332" s="9">
        <f t="shared" si="49"/>
        <v>0</v>
      </c>
      <c r="BM332" s="9">
        <f t="shared" si="50"/>
        <v>17.46</v>
      </c>
      <c r="BN332" s="9">
        <f t="shared" si="51"/>
        <v>750.17</v>
      </c>
      <c r="BO332" s="9">
        <f t="shared" si="52"/>
        <v>0</v>
      </c>
      <c r="BP332" s="9">
        <f t="shared" si="53"/>
        <v>0</v>
      </c>
    </row>
    <row r="333" spans="1:68">
      <c r="A333" s="6">
        <v>44621</v>
      </c>
      <c r="B333" s="7">
        <v>3117</v>
      </c>
      <c r="C333" s="8">
        <v>1408.95</v>
      </c>
      <c r="D333" s="8"/>
      <c r="E333" s="8"/>
      <c r="F333" s="8"/>
      <c r="G333" s="8"/>
      <c r="H333" s="8"/>
      <c r="I333" s="8"/>
      <c r="J333" s="8"/>
      <c r="K333" s="8"/>
      <c r="L333" s="8"/>
      <c r="M333" s="8">
        <v>3.25</v>
      </c>
      <c r="N333" s="8"/>
      <c r="O333" s="8"/>
      <c r="P333" s="8"/>
      <c r="Q333" s="11"/>
      <c r="R333" s="11"/>
      <c r="S333" s="8">
        <v>4.9400000000000004</v>
      </c>
      <c r="T333" s="8">
        <v>14.15</v>
      </c>
      <c r="U333" s="8"/>
      <c r="V333" s="8"/>
      <c r="W333" s="8"/>
      <c r="X333" s="8"/>
      <c r="Y333" s="8"/>
      <c r="Z333" s="8"/>
      <c r="AA333" s="8"/>
      <c r="AB333" s="8"/>
      <c r="AC333" s="8">
        <v>5.65</v>
      </c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11"/>
      <c r="AQ333" s="8"/>
      <c r="AR333" s="8"/>
      <c r="AS333" s="8"/>
      <c r="AT333" s="8">
        <v>890.88</v>
      </c>
      <c r="AU333" s="8"/>
      <c r="AV333" s="8">
        <v>35.28</v>
      </c>
      <c r="AW333" s="8"/>
      <c r="AX333" s="8"/>
      <c r="AY333" s="8"/>
      <c r="AZ333" s="8"/>
      <c r="BA333" s="8"/>
      <c r="BB333" s="8"/>
      <c r="BC333" s="8"/>
      <c r="BD333" s="8"/>
      <c r="BE333" s="8"/>
      <c r="BF333" s="8">
        <v>56.52</v>
      </c>
      <c r="BG333" s="8">
        <v>67.709999999999994</v>
      </c>
      <c r="BH333" s="9">
        <f t="shared" si="45"/>
        <v>1408.95</v>
      </c>
      <c r="BI333" s="9">
        <f t="shared" si="46"/>
        <v>3.25</v>
      </c>
      <c r="BJ333" s="9">
        <f t="shared" si="47"/>
        <v>4.9400000000000004</v>
      </c>
      <c r="BK333" s="9">
        <f t="shared" si="48"/>
        <v>14.15</v>
      </c>
      <c r="BL333" s="9">
        <f t="shared" si="49"/>
        <v>0</v>
      </c>
      <c r="BM333" s="9">
        <f t="shared" si="50"/>
        <v>5.65</v>
      </c>
      <c r="BN333" s="9">
        <f t="shared" si="51"/>
        <v>890.88</v>
      </c>
      <c r="BO333" s="9">
        <f t="shared" si="52"/>
        <v>35.28</v>
      </c>
      <c r="BP333" s="9">
        <f t="shared" si="53"/>
        <v>56.52</v>
      </c>
    </row>
    <row r="334" spans="1:68">
      <c r="A334" s="6">
        <v>44621</v>
      </c>
      <c r="B334" s="7">
        <v>3203</v>
      </c>
      <c r="C334" s="8">
        <v>876.03</v>
      </c>
      <c r="D334" s="8"/>
      <c r="E334" s="8">
        <v>375.05</v>
      </c>
      <c r="F334" s="8"/>
      <c r="G334" s="8"/>
      <c r="H334" s="8"/>
      <c r="I334" s="8"/>
      <c r="J334" s="8"/>
      <c r="K334" s="8"/>
      <c r="L334" s="8"/>
      <c r="M334" s="8"/>
      <c r="N334" s="8"/>
      <c r="O334" s="8">
        <v>3.76</v>
      </c>
      <c r="P334" s="8"/>
      <c r="Q334" s="11"/>
      <c r="R334" s="11"/>
      <c r="S334" s="8">
        <v>4.9000000000000004</v>
      </c>
      <c r="T334" s="8"/>
      <c r="U334" s="8">
        <v>15.56</v>
      </c>
      <c r="V334" s="8"/>
      <c r="W334" s="8"/>
      <c r="X334" s="8"/>
      <c r="Y334" s="8"/>
      <c r="Z334" s="8">
        <v>197.62</v>
      </c>
      <c r="AA334" s="8">
        <v>155.13999999999999</v>
      </c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11"/>
      <c r="AQ334" s="8"/>
      <c r="AR334" s="8"/>
      <c r="AS334" s="8"/>
      <c r="AT334" s="8">
        <v>469.12</v>
      </c>
      <c r="AU334" s="8">
        <v>234.5</v>
      </c>
      <c r="AV334" s="8"/>
      <c r="AW334" s="8"/>
      <c r="AX334" s="8"/>
      <c r="AY334" s="8"/>
      <c r="AZ334" s="8"/>
      <c r="BA334" s="8"/>
      <c r="BB334" s="8"/>
      <c r="BC334" s="8">
        <v>3.26</v>
      </c>
      <c r="BD334" s="8"/>
      <c r="BE334" s="8"/>
      <c r="BF334" s="8"/>
      <c r="BG334" s="8">
        <v>46.03</v>
      </c>
      <c r="BH334" s="9">
        <f t="shared" si="45"/>
        <v>1251.08</v>
      </c>
      <c r="BI334" s="9">
        <f t="shared" si="46"/>
        <v>3.76</v>
      </c>
      <c r="BJ334" s="9">
        <f t="shared" si="47"/>
        <v>4.9000000000000004</v>
      </c>
      <c r="BK334" s="9">
        <f t="shared" si="48"/>
        <v>15.56</v>
      </c>
      <c r="BL334" s="9">
        <f t="shared" si="49"/>
        <v>352.76</v>
      </c>
      <c r="BM334" s="9">
        <f t="shared" si="50"/>
        <v>0</v>
      </c>
      <c r="BN334" s="9">
        <f t="shared" si="51"/>
        <v>703.62</v>
      </c>
      <c r="BO334" s="9">
        <f t="shared" si="52"/>
        <v>3.26</v>
      </c>
      <c r="BP334" s="9">
        <f t="shared" si="53"/>
        <v>0</v>
      </c>
    </row>
    <row r="335" spans="1:68">
      <c r="A335" s="6">
        <v>44621</v>
      </c>
      <c r="B335" s="7">
        <v>3106</v>
      </c>
      <c r="C335" s="8">
        <v>4142.04</v>
      </c>
      <c r="D335" s="8"/>
      <c r="E335" s="8"/>
      <c r="F335" s="8"/>
      <c r="G335" s="8"/>
      <c r="H335" s="8"/>
      <c r="I335" s="8"/>
      <c r="J335" s="8"/>
      <c r="K335" s="8"/>
      <c r="L335" s="8"/>
      <c r="M335" s="8">
        <v>11.57</v>
      </c>
      <c r="N335" s="8"/>
      <c r="O335" s="8"/>
      <c r="P335" s="8"/>
      <c r="Q335" s="11"/>
      <c r="R335" s="11"/>
      <c r="S335" s="8">
        <v>12.84</v>
      </c>
      <c r="T335" s="8">
        <v>52.65</v>
      </c>
      <c r="U335" s="8"/>
      <c r="V335" s="8"/>
      <c r="W335" s="8"/>
      <c r="X335" s="8"/>
      <c r="Y335" s="8"/>
      <c r="Z335" s="8"/>
      <c r="AA335" s="8"/>
      <c r="AB335" s="8"/>
      <c r="AC335" s="8">
        <v>16.57</v>
      </c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11"/>
      <c r="AQ335" s="8"/>
      <c r="AR335" s="8"/>
      <c r="AS335" s="8"/>
      <c r="AT335" s="8">
        <v>2369.17</v>
      </c>
      <c r="AU335" s="8"/>
      <c r="AV335" s="8"/>
      <c r="AW335" s="8"/>
      <c r="AX335" s="8">
        <v>5.18</v>
      </c>
      <c r="AY335" s="8"/>
      <c r="AZ335" s="8"/>
      <c r="BA335" s="8"/>
      <c r="BB335" s="8"/>
      <c r="BC335" s="8"/>
      <c r="BD335" s="8"/>
      <c r="BE335" s="8"/>
      <c r="BF335" s="8"/>
      <c r="BG335" s="8">
        <v>177.92</v>
      </c>
      <c r="BH335" s="9">
        <f t="shared" si="45"/>
        <v>4142.04</v>
      </c>
      <c r="BI335" s="9">
        <f t="shared" si="46"/>
        <v>11.57</v>
      </c>
      <c r="BJ335" s="9">
        <f t="shared" si="47"/>
        <v>12.84</v>
      </c>
      <c r="BK335" s="9">
        <f t="shared" si="48"/>
        <v>52.65</v>
      </c>
      <c r="BL335" s="9">
        <f t="shared" si="49"/>
        <v>0</v>
      </c>
      <c r="BM335" s="9">
        <f t="shared" si="50"/>
        <v>16.57</v>
      </c>
      <c r="BN335" s="9">
        <f t="shared" si="51"/>
        <v>2369.17</v>
      </c>
      <c r="BO335" s="9">
        <f t="shared" si="52"/>
        <v>5.18</v>
      </c>
      <c r="BP335" s="9">
        <f t="shared" si="53"/>
        <v>0</v>
      </c>
    </row>
    <row r="336" spans="1:68">
      <c r="A336" s="6">
        <v>44622</v>
      </c>
      <c r="B336" s="7">
        <v>3139</v>
      </c>
      <c r="C336" s="8">
        <v>964.27</v>
      </c>
      <c r="D336" s="8"/>
      <c r="E336" s="8"/>
      <c r="F336" s="8"/>
      <c r="G336" s="8"/>
      <c r="H336" s="8">
        <v>398.5</v>
      </c>
      <c r="I336" s="8"/>
      <c r="J336" s="8"/>
      <c r="K336" s="8"/>
      <c r="L336" s="8"/>
      <c r="M336" s="8">
        <v>2.27</v>
      </c>
      <c r="N336" s="8"/>
      <c r="O336" s="8"/>
      <c r="P336" s="8"/>
      <c r="Q336" s="11"/>
      <c r="R336" s="11"/>
      <c r="S336" s="8">
        <v>4.04</v>
      </c>
      <c r="T336" s="8">
        <v>14.28</v>
      </c>
      <c r="U336" s="8"/>
      <c r="V336" s="8"/>
      <c r="W336" s="8"/>
      <c r="X336" s="8"/>
      <c r="Y336" s="8"/>
      <c r="Z336" s="8"/>
      <c r="AA336" s="8"/>
      <c r="AB336" s="8"/>
      <c r="AC336" s="8">
        <v>4.76</v>
      </c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11"/>
      <c r="AQ336" s="8"/>
      <c r="AR336" s="8"/>
      <c r="AS336" s="8"/>
      <c r="AT336" s="8">
        <v>705.37</v>
      </c>
      <c r="AU336" s="8"/>
      <c r="AV336" s="8">
        <v>23.79</v>
      </c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>
        <v>51.18</v>
      </c>
      <c r="BH336" s="9">
        <f t="shared" si="45"/>
        <v>1362.77</v>
      </c>
      <c r="BI336" s="9">
        <f t="shared" si="46"/>
        <v>2.27</v>
      </c>
      <c r="BJ336" s="9">
        <f t="shared" si="47"/>
        <v>4.04</v>
      </c>
      <c r="BK336" s="9">
        <f t="shared" si="48"/>
        <v>14.28</v>
      </c>
      <c r="BL336" s="9">
        <f t="shared" si="49"/>
        <v>0</v>
      </c>
      <c r="BM336" s="9">
        <f t="shared" si="50"/>
        <v>4.76</v>
      </c>
      <c r="BN336" s="9">
        <f t="shared" si="51"/>
        <v>705.37</v>
      </c>
      <c r="BO336" s="9">
        <f t="shared" si="52"/>
        <v>23.79</v>
      </c>
      <c r="BP336" s="9">
        <f t="shared" si="53"/>
        <v>0</v>
      </c>
    </row>
    <row r="337" spans="1:68">
      <c r="A337" s="6">
        <v>44622</v>
      </c>
      <c r="B337" s="7">
        <v>3079</v>
      </c>
      <c r="C337" s="8"/>
      <c r="D337" s="8"/>
      <c r="E337" s="8"/>
      <c r="F337" s="8">
        <v>508.08</v>
      </c>
      <c r="G337" s="8"/>
      <c r="H337" s="8"/>
      <c r="I337" s="8">
        <v>4113.75</v>
      </c>
      <c r="J337" s="8"/>
      <c r="K337" s="8"/>
      <c r="L337" s="8"/>
      <c r="M337" s="8"/>
      <c r="N337" s="8">
        <v>34.729999999999997</v>
      </c>
      <c r="O337" s="8"/>
      <c r="P337" s="8"/>
      <c r="Q337" s="11"/>
      <c r="R337" s="11"/>
      <c r="S337" s="8">
        <v>1.83</v>
      </c>
      <c r="T337" s="8">
        <v>46.32</v>
      </c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>
        <v>18.649999999999999</v>
      </c>
      <c r="AN337" s="8">
        <v>47.25</v>
      </c>
      <c r="AO337" s="8"/>
      <c r="AP337" s="11"/>
      <c r="AQ337" s="8"/>
      <c r="AR337" s="8">
        <v>116.91</v>
      </c>
      <c r="AS337" s="8"/>
      <c r="AT337" s="8">
        <v>1762.12</v>
      </c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>
        <v>127.22</v>
      </c>
      <c r="BH337" s="9">
        <f t="shared" si="45"/>
        <v>4621.83</v>
      </c>
      <c r="BI337" s="9">
        <f t="shared" si="46"/>
        <v>34.729999999999997</v>
      </c>
      <c r="BJ337" s="9">
        <f t="shared" si="47"/>
        <v>1.83</v>
      </c>
      <c r="BK337" s="9">
        <f t="shared" si="48"/>
        <v>46.32</v>
      </c>
      <c r="BL337" s="9">
        <f t="shared" si="49"/>
        <v>0</v>
      </c>
      <c r="BM337" s="9">
        <f t="shared" si="50"/>
        <v>182.81</v>
      </c>
      <c r="BN337" s="9">
        <f t="shared" si="51"/>
        <v>1762.12</v>
      </c>
      <c r="BO337" s="9">
        <f t="shared" si="52"/>
        <v>0</v>
      </c>
      <c r="BP337" s="9">
        <f t="shared" si="53"/>
        <v>0</v>
      </c>
    </row>
    <row r="338" spans="1:68">
      <c r="A338" s="6">
        <v>44622</v>
      </c>
      <c r="B338" s="7">
        <v>3705</v>
      </c>
      <c r="C338" s="8"/>
      <c r="D338" s="8">
        <v>554.63</v>
      </c>
      <c r="E338" s="8"/>
      <c r="F338" s="8"/>
      <c r="G338" s="8"/>
      <c r="H338" s="8"/>
      <c r="I338" s="8">
        <v>122.36</v>
      </c>
      <c r="J338" s="8"/>
      <c r="K338" s="8"/>
      <c r="L338" s="8"/>
      <c r="M338" s="8">
        <v>2.0299999999999998</v>
      </c>
      <c r="N338" s="8"/>
      <c r="O338" s="8"/>
      <c r="P338" s="8"/>
      <c r="Q338" s="11"/>
      <c r="R338" s="11"/>
      <c r="S338" s="8">
        <v>2.36</v>
      </c>
      <c r="T338" s="8"/>
      <c r="U338" s="8">
        <v>4.75</v>
      </c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11"/>
      <c r="AQ338" s="8"/>
      <c r="AR338" s="8"/>
      <c r="AS338" s="8"/>
      <c r="AT338" s="8">
        <v>40.200000000000003</v>
      </c>
      <c r="AU338" s="8">
        <v>80.22</v>
      </c>
      <c r="AV338" s="8"/>
      <c r="AW338" s="8"/>
      <c r="AX338" s="8"/>
      <c r="AY338" s="8"/>
      <c r="AZ338" s="8"/>
      <c r="BA338" s="8"/>
      <c r="BB338" s="8"/>
      <c r="BC338" s="8"/>
      <c r="BD338" s="8">
        <v>1.35</v>
      </c>
      <c r="BE338" s="8"/>
      <c r="BF338" s="8"/>
      <c r="BG338" s="8">
        <v>6.64</v>
      </c>
      <c r="BH338" s="9">
        <f t="shared" si="45"/>
        <v>676.99</v>
      </c>
      <c r="BI338" s="9">
        <f t="shared" si="46"/>
        <v>2.0299999999999998</v>
      </c>
      <c r="BJ338" s="9">
        <f t="shared" si="47"/>
        <v>2.36</v>
      </c>
      <c r="BK338" s="9">
        <f t="shared" si="48"/>
        <v>4.75</v>
      </c>
      <c r="BL338" s="9">
        <f t="shared" si="49"/>
        <v>0</v>
      </c>
      <c r="BM338" s="9">
        <f t="shared" si="50"/>
        <v>0</v>
      </c>
      <c r="BN338" s="9">
        <f t="shared" si="51"/>
        <v>120.42</v>
      </c>
      <c r="BO338" s="9">
        <f t="shared" si="52"/>
        <v>1.35</v>
      </c>
      <c r="BP338" s="9">
        <f t="shared" si="53"/>
        <v>0</v>
      </c>
    </row>
    <row r="339" spans="1:68">
      <c r="A339" s="6">
        <v>44622</v>
      </c>
      <c r="B339" s="7">
        <v>3141</v>
      </c>
      <c r="C339" s="8">
        <v>2448.21</v>
      </c>
      <c r="D339" s="8">
        <v>432.76</v>
      </c>
      <c r="E339" s="8"/>
      <c r="F339" s="8"/>
      <c r="G339" s="8"/>
      <c r="H339" s="8"/>
      <c r="I339" s="8"/>
      <c r="J339" s="8"/>
      <c r="K339" s="8"/>
      <c r="L339" s="8"/>
      <c r="M339" s="8">
        <v>8.06</v>
      </c>
      <c r="N339" s="8"/>
      <c r="O339" s="8"/>
      <c r="P339" s="8"/>
      <c r="Q339" s="11"/>
      <c r="R339" s="11"/>
      <c r="S339" s="8">
        <v>13.57</v>
      </c>
      <c r="T339" s="8">
        <v>21.66</v>
      </c>
      <c r="U339" s="8">
        <v>21.66</v>
      </c>
      <c r="V339" s="8"/>
      <c r="W339" s="8"/>
      <c r="X339" s="8"/>
      <c r="Y339" s="8"/>
      <c r="Z339" s="8"/>
      <c r="AA339" s="8"/>
      <c r="AB339" s="8"/>
      <c r="AC339" s="8">
        <v>11.56</v>
      </c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11"/>
      <c r="AQ339" s="8"/>
      <c r="AR339" s="8"/>
      <c r="AS339" s="8"/>
      <c r="AT339" s="8">
        <v>1906.35</v>
      </c>
      <c r="AU339" s="8"/>
      <c r="AV339" s="8"/>
      <c r="AW339" s="8"/>
      <c r="AX339" s="8"/>
      <c r="AY339" s="8"/>
      <c r="AZ339" s="8"/>
      <c r="BA339" s="8">
        <v>66.3</v>
      </c>
      <c r="BB339" s="8"/>
      <c r="BC339" s="8"/>
      <c r="BD339" s="8"/>
      <c r="BE339" s="8"/>
      <c r="BF339" s="8">
        <v>201.86</v>
      </c>
      <c r="BG339" s="8">
        <v>150.13</v>
      </c>
      <c r="BH339" s="9">
        <f t="shared" si="45"/>
        <v>2880.9700000000003</v>
      </c>
      <c r="BI339" s="9">
        <f t="shared" si="46"/>
        <v>8.06</v>
      </c>
      <c r="BJ339" s="9">
        <f t="shared" si="47"/>
        <v>13.57</v>
      </c>
      <c r="BK339" s="9">
        <f t="shared" si="48"/>
        <v>43.32</v>
      </c>
      <c r="BL339" s="9">
        <f t="shared" si="49"/>
        <v>0</v>
      </c>
      <c r="BM339" s="9">
        <f t="shared" si="50"/>
        <v>11.56</v>
      </c>
      <c r="BN339" s="9">
        <f t="shared" si="51"/>
        <v>1906.35</v>
      </c>
      <c r="BO339" s="9">
        <f t="shared" si="52"/>
        <v>66.3</v>
      </c>
      <c r="BP339" s="9">
        <f t="shared" si="53"/>
        <v>201.86</v>
      </c>
    </row>
    <row r="340" spans="1:68">
      <c r="A340" s="6">
        <v>44622</v>
      </c>
      <c r="B340" s="7">
        <v>3106</v>
      </c>
      <c r="C340" s="8">
        <v>4093.25</v>
      </c>
      <c r="D340" s="8"/>
      <c r="E340" s="8"/>
      <c r="F340" s="8"/>
      <c r="G340" s="8"/>
      <c r="H340" s="8"/>
      <c r="I340" s="8"/>
      <c r="J340" s="8"/>
      <c r="K340" s="8"/>
      <c r="L340" s="8"/>
      <c r="M340" s="8">
        <v>11.45</v>
      </c>
      <c r="N340" s="8"/>
      <c r="O340" s="8"/>
      <c r="P340" s="8"/>
      <c r="Q340" s="11"/>
      <c r="R340" s="11"/>
      <c r="S340" s="8">
        <v>12.7</v>
      </c>
      <c r="T340" s="8">
        <v>52.13</v>
      </c>
      <c r="U340" s="8"/>
      <c r="V340" s="8"/>
      <c r="W340" s="8"/>
      <c r="X340" s="8"/>
      <c r="Y340" s="8"/>
      <c r="Z340" s="8"/>
      <c r="AA340" s="8"/>
      <c r="AB340" s="8"/>
      <c r="AC340" s="8">
        <v>16.38</v>
      </c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11"/>
      <c r="AQ340" s="8"/>
      <c r="AR340" s="8"/>
      <c r="AS340" s="8"/>
      <c r="AT340" s="8">
        <v>2343.7199999999998</v>
      </c>
      <c r="AU340" s="8"/>
      <c r="AV340" s="8"/>
      <c r="AW340" s="8"/>
      <c r="AX340" s="8">
        <v>5.12</v>
      </c>
      <c r="AY340" s="8"/>
      <c r="AZ340" s="8"/>
      <c r="BA340" s="8"/>
      <c r="BB340" s="8"/>
      <c r="BC340" s="8"/>
      <c r="BD340" s="8"/>
      <c r="BE340" s="8"/>
      <c r="BF340" s="8"/>
      <c r="BG340" s="8">
        <v>176.24</v>
      </c>
      <c r="BH340" s="9">
        <f t="shared" si="45"/>
        <v>4093.25</v>
      </c>
      <c r="BI340" s="9">
        <f t="shared" si="46"/>
        <v>11.45</v>
      </c>
      <c r="BJ340" s="9">
        <f t="shared" si="47"/>
        <v>12.7</v>
      </c>
      <c r="BK340" s="9">
        <f t="shared" si="48"/>
        <v>52.13</v>
      </c>
      <c r="BL340" s="9">
        <f t="shared" si="49"/>
        <v>0</v>
      </c>
      <c r="BM340" s="9">
        <f t="shared" si="50"/>
        <v>16.38</v>
      </c>
      <c r="BN340" s="9">
        <f t="shared" si="51"/>
        <v>2343.7199999999998</v>
      </c>
      <c r="BO340" s="9">
        <f t="shared" si="52"/>
        <v>5.12</v>
      </c>
      <c r="BP340" s="9">
        <f t="shared" si="53"/>
        <v>0</v>
      </c>
    </row>
    <row r="341" spans="1:68">
      <c r="A341" s="6">
        <v>44622</v>
      </c>
      <c r="B341" s="7">
        <v>3602</v>
      </c>
      <c r="C341" s="8">
        <f>228.48+465.25</f>
        <v>693.73</v>
      </c>
      <c r="D341" s="8"/>
      <c r="E341" s="8"/>
      <c r="F341" s="8"/>
      <c r="G341" s="8">
        <f>343.64+698.37</f>
        <v>1042.01</v>
      </c>
      <c r="H341" s="8"/>
      <c r="I341" s="8"/>
      <c r="J341" s="8"/>
      <c r="K341" s="8"/>
      <c r="L341" s="8"/>
      <c r="M341" s="8">
        <f>0.57+1.22</f>
        <v>1.79</v>
      </c>
      <c r="N341" s="8"/>
      <c r="O341" s="8"/>
      <c r="P341" s="8"/>
      <c r="Q341" s="11"/>
      <c r="R341" s="11"/>
      <c r="S341" s="8">
        <f>3.08+6.1</f>
        <v>9.18</v>
      </c>
      <c r="T341" s="8"/>
      <c r="U341" s="8">
        <f>1.84+3.73</f>
        <v>5.57</v>
      </c>
      <c r="V341" s="8">
        <f>5.69+11.58</f>
        <v>17.27</v>
      </c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11"/>
      <c r="AQ341" s="8"/>
      <c r="AR341" s="8"/>
      <c r="AS341" s="8"/>
      <c r="AT341" s="8">
        <f>239.59+485.93</f>
        <v>725.52</v>
      </c>
      <c r="AU341" s="8"/>
      <c r="AV341" s="8"/>
      <c r="AW341" s="8">
        <f>14.85+30.12</f>
        <v>44.97</v>
      </c>
      <c r="AX341" s="8"/>
      <c r="AY341" s="8"/>
      <c r="AZ341" s="8"/>
      <c r="BA341" s="8"/>
      <c r="BB341" s="8"/>
      <c r="BC341" s="8"/>
      <c r="BD341" s="8"/>
      <c r="BE341" s="8"/>
      <c r="BF341" s="8">
        <f>18.43+37.33</f>
        <v>55.76</v>
      </c>
      <c r="BG341" s="8">
        <f>36.29+17.88</f>
        <v>54.17</v>
      </c>
      <c r="BH341" s="9">
        <f t="shared" si="45"/>
        <v>1735.74</v>
      </c>
      <c r="BI341" s="9">
        <f t="shared" si="46"/>
        <v>1.79</v>
      </c>
      <c r="BJ341" s="9">
        <f t="shared" si="47"/>
        <v>9.18</v>
      </c>
      <c r="BK341" s="9">
        <f t="shared" si="48"/>
        <v>22.84</v>
      </c>
      <c r="BL341" s="9">
        <f t="shared" si="49"/>
        <v>0</v>
      </c>
      <c r="BM341" s="9">
        <f t="shared" si="50"/>
        <v>0</v>
      </c>
      <c r="BN341" s="9">
        <f t="shared" si="51"/>
        <v>725.52</v>
      </c>
      <c r="BO341" s="9">
        <f t="shared" si="52"/>
        <v>44.97</v>
      </c>
      <c r="BP341" s="9">
        <f t="shared" si="53"/>
        <v>55.76</v>
      </c>
    </row>
    <row r="342" spans="1:68">
      <c r="A342" s="6">
        <v>44622</v>
      </c>
      <c r="B342" s="7">
        <v>8246</v>
      </c>
      <c r="C342" s="8">
        <v>1788.79</v>
      </c>
      <c r="D342" s="8">
        <v>450.32</v>
      </c>
      <c r="E342" s="8"/>
      <c r="F342" s="8"/>
      <c r="G342" s="8"/>
      <c r="H342" s="8"/>
      <c r="I342" s="8"/>
      <c r="J342" s="8"/>
      <c r="K342" s="8"/>
      <c r="L342" s="8"/>
      <c r="M342" s="8">
        <v>4.47</v>
      </c>
      <c r="N342" s="8"/>
      <c r="O342" s="8"/>
      <c r="P342" s="8"/>
      <c r="Q342" s="11"/>
      <c r="R342" s="11"/>
      <c r="S342" s="8">
        <v>5.14</v>
      </c>
      <c r="T342" s="8"/>
      <c r="U342" s="8"/>
      <c r="V342" s="8"/>
      <c r="W342" s="8"/>
      <c r="X342" s="8">
        <v>26.93</v>
      </c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11"/>
      <c r="AQ342" s="8"/>
      <c r="AR342" s="8"/>
      <c r="AS342" s="8"/>
      <c r="AT342" s="8">
        <v>1124.98</v>
      </c>
      <c r="AU342" s="8"/>
      <c r="AV342" s="8"/>
      <c r="AW342" s="8"/>
      <c r="AX342" s="8"/>
      <c r="AY342" s="8"/>
      <c r="AZ342" s="8"/>
      <c r="BA342" s="8">
        <v>10.050000000000001</v>
      </c>
      <c r="BB342" s="8"/>
      <c r="BC342" s="8"/>
      <c r="BD342" s="8"/>
      <c r="BE342" s="8"/>
      <c r="BF342" s="8"/>
      <c r="BG342" s="8">
        <v>75.78</v>
      </c>
      <c r="BH342" s="9">
        <f t="shared" si="45"/>
        <v>2239.11</v>
      </c>
      <c r="BI342" s="9">
        <f t="shared" si="46"/>
        <v>4.47</v>
      </c>
      <c r="BJ342" s="9">
        <f t="shared" si="47"/>
        <v>5.14</v>
      </c>
      <c r="BK342" s="9">
        <f t="shared" si="48"/>
        <v>26.93</v>
      </c>
      <c r="BL342" s="9">
        <f t="shared" si="49"/>
        <v>0</v>
      </c>
      <c r="BM342" s="9">
        <f t="shared" si="50"/>
        <v>0</v>
      </c>
      <c r="BN342" s="9">
        <f t="shared" si="51"/>
        <v>1124.98</v>
      </c>
      <c r="BO342" s="9">
        <f t="shared" si="52"/>
        <v>10.050000000000001</v>
      </c>
      <c r="BP342" s="9">
        <f t="shared" si="53"/>
        <v>0</v>
      </c>
    </row>
    <row r="343" spans="1:68">
      <c r="A343" s="6">
        <v>44622</v>
      </c>
      <c r="B343" s="7">
        <v>8247</v>
      </c>
      <c r="C343" s="8">
        <v>787.03</v>
      </c>
      <c r="D343" s="8"/>
      <c r="E343" s="8"/>
      <c r="F343" s="8"/>
      <c r="G343" s="8"/>
      <c r="H343" s="8"/>
      <c r="I343" s="8"/>
      <c r="J343" s="8"/>
      <c r="K343" s="8"/>
      <c r="L343" s="8"/>
      <c r="M343" s="8">
        <v>2.36</v>
      </c>
      <c r="N343" s="8"/>
      <c r="O343" s="8"/>
      <c r="P343" s="8"/>
      <c r="Q343" s="11"/>
      <c r="R343" s="11"/>
      <c r="S343" s="8">
        <v>2.21</v>
      </c>
      <c r="T343" s="8">
        <v>7.89</v>
      </c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11"/>
      <c r="AQ343" s="8"/>
      <c r="AR343" s="8"/>
      <c r="AS343" s="8"/>
      <c r="AT343" s="8">
        <v>403.98</v>
      </c>
      <c r="AU343" s="8"/>
      <c r="AV343" s="8"/>
      <c r="AW343" s="8"/>
      <c r="AX343" s="8"/>
      <c r="AY343" s="8"/>
      <c r="AZ343" s="8"/>
      <c r="BA343" s="8">
        <v>3.56</v>
      </c>
      <c r="BB343" s="8"/>
      <c r="BC343" s="8"/>
      <c r="BD343" s="8"/>
      <c r="BE343" s="8"/>
      <c r="BF343" s="8"/>
      <c r="BG343" s="8">
        <v>27</v>
      </c>
      <c r="BH343" s="9">
        <f t="shared" si="45"/>
        <v>787.03</v>
      </c>
      <c r="BI343" s="9">
        <f t="shared" si="46"/>
        <v>2.36</v>
      </c>
      <c r="BJ343" s="9">
        <f t="shared" si="47"/>
        <v>2.21</v>
      </c>
      <c r="BK343" s="9">
        <f t="shared" si="48"/>
        <v>7.89</v>
      </c>
      <c r="BL343" s="9">
        <f t="shared" si="49"/>
        <v>0</v>
      </c>
      <c r="BM343" s="9">
        <f t="shared" si="50"/>
        <v>0</v>
      </c>
      <c r="BN343" s="9">
        <f t="shared" si="51"/>
        <v>403.98</v>
      </c>
      <c r="BO343" s="9">
        <f t="shared" si="52"/>
        <v>3.56</v>
      </c>
      <c r="BP343" s="9">
        <f t="shared" si="53"/>
        <v>0</v>
      </c>
    </row>
    <row r="344" spans="1:68">
      <c r="A344" s="6">
        <v>44624</v>
      </c>
      <c r="B344" s="7">
        <v>3601</v>
      </c>
      <c r="C344" s="8">
        <v>310.63</v>
      </c>
      <c r="D344" s="8"/>
      <c r="E344" s="8"/>
      <c r="F344" s="8"/>
      <c r="G344" s="8">
        <v>465.86</v>
      </c>
      <c r="H344" s="8"/>
      <c r="I344" s="8"/>
      <c r="J344" s="8"/>
      <c r="K344" s="8"/>
      <c r="L344" s="8"/>
      <c r="M344" s="8">
        <v>0.95</v>
      </c>
      <c r="N344" s="8"/>
      <c r="O344" s="8"/>
      <c r="P344" s="8"/>
      <c r="Q344" s="11"/>
      <c r="R344" s="11"/>
      <c r="S344" s="8">
        <v>4.18</v>
      </c>
      <c r="T344" s="8"/>
      <c r="U344" s="8">
        <v>4.68</v>
      </c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11"/>
      <c r="AQ344" s="8"/>
      <c r="AR344" s="8"/>
      <c r="AS344" s="8"/>
      <c r="AT344" s="8">
        <v>381.71</v>
      </c>
      <c r="AU344" s="8"/>
      <c r="AV344" s="8"/>
      <c r="AW344" s="8">
        <v>23.7</v>
      </c>
      <c r="AX344" s="8"/>
      <c r="AY344" s="8"/>
      <c r="AZ344" s="8"/>
      <c r="BA344" s="8"/>
      <c r="BB344" s="8"/>
      <c r="BC344" s="8"/>
      <c r="BD344" s="8"/>
      <c r="BE344" s="8"/>
      <c r="BF344" s="8">
        <v>43.64</v>
      </c>
      <c r="BG344" s="8">
        <v>28.9</v>
      </c>
      <c r="BH344" s="9">
        <f t="shared" si="45"/>
        <v>776.49</v>
      </c>
      <c r="BI344" s="9">
        <f t="shared" si="46"/>
        <v>0.95</v>
      </c>
      <c r="BJ344" s="9">
        <f t="shared" si="47"/>
        <v>4.18</v>
      </c>
      <c r="BK344" s="9">
        <f t="shared" si="48"/>
        <v>4.68</v>
      </c>
      <c r="BL344" s="9">
        <f t="shared" si="49"/>
        <v>0</v>
      </c>
      <c r="BM344" s="9">
        <f t="shared" si="50"/>
        <v>0</v>
      </c>
      <c r="BN344" s="9">
        <f t="shared" si="51"/>
        <v>381.71</v>
      </c>
      <c r="BO344" s="9">
        <f t="shared" si="52"/>
        <v>23.7</v>
      </c>
      <c r="BP344" s="9">
        <f t="shared" si="53"/>
        <v>43.64</v>
      </c>
    </row>
    <row r="345" spans="1:68">
      <c r="A345" s="6">
        <v>44624</v>
      </c>
      <c r="B345" s="7">
        <v>3206</v>
      </c>
      <c r="C345" s="8">
        <v>301.70999999999998</v>
      </c>
      <c r="D345" s="8">
        <v>544.79</v>
      </c>
      <c r="E345" s="8">
        <v>362.66</v>
      </c>
      <c r="F345" s="8"/>
      <c r="G345" s="8"/>
      <c r="H345" s="8"/>
      <c r="I345" s="8"/>
      <c r="J345" s="8"/>
      <c r="K345" s="8"/>
      <c r="L345" s="8"/>
      <c r="M345" s="8"/>
      <c r="N345" s="8"/>
      <c r="O345" s="8">
        <v>2.42</v>
      </c>
      <c r="P345" s="8"/>
      <c r="Q345" s="11"/>
      <c r="R345" s="11"/>
      <c r="S345" s="8">
        <v>6.05</v>
      </c>
      <c r="T345" s="8"/>
      <c r="U345" s="8">
        <v>4.24</v>
      </c>
      <c r="V345" s="8"/>
      <c r="W345" s="8"/>
      <c r="X345" s="8"/>
      <c r="Y345" s="8"/>
      <c r="Z345" s="8">
        <v>72.62</v>
      </c>
      <c r="AA345" s="8"/>
      <c r="AB345" s="8">
        <v>6.2</v>
      </c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11"/>
      <c r="AQ345" s="8"/>
      <c r="AR345" s="8"/>
      <c r="AS345" s="8"/>
      <c r="AT345" s="8">
        <v>211.97</v>
      </c>
      <c r="AU345" s="8">
        <v>105.82</v>
      </c>
      <c r="AV345" s="8"/>
      <c r="AW345" s="8">
        <v>4.6100000000000003</v>
      </c>
      <c r="AX345" s="8"/>
      <c r="AY345" s="8"/>
      <c r="AZ345" s="8"/>
      <c r="BA345" s="8"/>
      <c r="BB345" s="8"/>
      <c r="BC345" s="8"/>
      <c r="BD345" s="8"/>
      <c r="BE345" s="8"/>
      <c r="BF345" s="8"/>
      <c r="BG345" s="8">
        <v>21.18</v>
      </c>
      <c r="BH345" s="9">
        <f t="shared" si="45"/>
        <v>1209.1600000000001</v>
      </c>
      <c r="BI345" s="9">
        <f t="shared" si="46"/>
        <v>2.42</v>
      </c>
      <c r="BJ345" s="9">
        <f t="shared" si="47"/>
        <v>6.05</v>
      </c>
      <c r="BK345" s="9">
        <f t="shared" si="48"/>
        <v>4.24</v>
      </c>
      <c r="BL345" s="9">
        <f t="shared" si="49"/>
        <v>72.62</v>
      </c>
      <c r="BM345" s="9">
        <f t="shared" si="50"/>
        <v>6.2</v>
      </c>
      <c r="BN345" s="9">
        <f t="shared" si="51"/>
        <v>317.78999999999996</v>
      </c>
      <c r="BO345" s="9">
        <f t="shared" si="52"/>
        <v>4.6100000000000003</v>
      </c>
      <c r="BP345" s="9">
        <f t="shared" si="53"/>
        <v>0</v>
      </c>
    </row>
    <row r="346" spans="1:68">
      <c r="A346" s="6">
        <v>44624</v>
      </c>
      <c r="B346" s="7">
        <v>3020</v>
      </c>
      <c r="C346" s="8"/>
      <c r="D346" s="8">
        <v>326.14999999999998</v>
      </c>
      <c r="E346" s="8"/>
      <c r="F346" s="8"/>
      <c r="G346" s="8"/>
      <c r="H346" s="8"/>
      <c r="I346" s="8">
        <v>1843.5</v>
      </c>
      <c r="J346" s="8"/>
      <c r="K346" s="8"/>
      <c r="L346" s="8"/>
      <c r="M346" s="8"/>
      <c r="N346" s="8">
        <v>13.01</v>
      </c>
      <c r="O346" s="8"/>
      <c r="P346" s="8"/>
      <c r="Q346" s="11"/>
      <c r="R346" s="11"/>
      <c r="S346" s="8">
        <v>3.9</v>
      </c>
      <c r="T346" s="8"/>
      <c r="U346" s="8"/>
      <c r="V346" s="8"/>
      <c r="W346" s="8">
        <v>21.88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>
        <v>22.06</v>
      </c>
      <c r="AN346" s="8"/>
      <c r="AO346" s="8"/>
      <c r="AP346" s="11"/>
      <c r="AQ346" s="8"/>
      <c r="AR346" s="8"/>
      <c r="AS346" s="8">
        <v>54.96</v>
      </c>
      <c r="AT346" s="8">
        <v>1066.82</v>
      </c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>
        <v>78</v>
      </c>
      <c r="BH346" s="9">
        <f t="shared" si="45"/>
        <v>2169.65</v>
      </c>
      <c r="BI346" s="9">
        <f t="shared" si="46"/>
        <v>13.01</v>
      </c>
      <c r="BJ346" s="9">
        <f t="shared" si="47"/>
        <v>3.9</v>
      </c>
      <c r="BK346" s="9">
        <f t="shared" si="48"/>
        <v>21.88</v>
      </c>
      <c r="BL346" s="9">
        <f t="shared" si="49"/>
        <v>0</v>
      </c>
      <c r="BM346" s="9">
        <f t="shared" si="50"/>
        <v>77.02</v>
      </c>
      <c r="BN346" s="9">
        <f t="shared" si="51"/>
        <v>1066.82</v>
      </c>
      <c r="BO346" s="9">
        <f t="shared" si="52"/>
        <v>0</v>
      </c>
      <c r="BP346" s="9">
        <f t="shared" si="53"/>
        <v>0</v>
      </c>
    </row>
    <row r="347" spans="1:68">
      <c r="A347" s="6">
        <v>44624</v>
      </c>
      <c r="B347" s="7">
        <v>3023</v>
      </c>
      <c r="C347" s="8"/>
      <c r="D347" s="8">
        <v>869.81</v>
      </c>
      <c r="E347" s="8"/>
      <c r="F347" s="8"/>
      <c r="G347" s="8"/>
      <c r="H347" s="8"/>
      <c r="I347" s="8">
        <v>472.55</v>
      </c>
      <c r="J347" s="8"/>
      <c r="K347" s="8"/>
      <c r="L347" s="8"/>
      <c r="M347" s="8"/>
      <c r="N347" s="8">
        <v>7.52</v>
      </c>
      <c r="O347" s="8"/>
      <c r="P347" s="8"/>
      <c r="Q347" s="11"/>
      <c r="R347" s="11"/>
      <c r="S347" s="8">
        <v>2.14</v>
      </c>
      <c r="T347" s="8"/>
      <c r="U347" s="8"/>
      <c r="V347" s="8"/>
      <c r="W347" s="8">
        <v>12.26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>
        <v>13.52</v>
      </c>
      <c r="AN347" s="8">
        <v>9.4499999999999993</v>
      </c>
      <c r="AO347" s="8"/>
      <c r="AP347" s="11"/>
      <c r="AQ347" s="8"/>
      <c r="AR347" s="8"/>
      <c r="AS347" s="8">
        <v>44.34</v>
      </c>
      <c r="AT347" s="8">
        <v>551.39</v>
      </c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>
        <v>41.61</v>
      </c>
      <c r="BH347" s="9">
        <f t="shared" si="45"/>
        <v>1342.36</v>
      </c>
      <c r="BI347" s="9">
        <f t="shared" si="46"/>
        <v>7.52</v>
      </c>
      <c r="BJ347" s="9">
        <f t="shared" si="47"/>
        <v>2.14</v>
      </c>
      <c r="BK347" s="9">
        <f t="shared" si="48"/>
        <v>12.26</v>
      </c>
      <c r="BL347" s="9">
        <f t="shared" si="49"/>
        <v>0</v>
      </c>
      <c r="BM347" s="9">
        <f t="shared" si="50"/>
        <v>67.31</v>
      </c>
      <c r="BN347" s="9">
        <f t="shared" si="51"/>
        <v>551.39</v>
      </c>
      <c r="BO347" s="9">
        <f t="shared" si="52"/>
        <v>0</v>
      </c>
      <c r="BP347" s="9">
        <f t="shared" si="53"/>
        <v>0</v>
      </c>
    </row>
    <row r="348" spans="1:68">
      <c r="A348" s="6">
        <v>44624</v>
      </c>
      <c r="B348" s="7">
        <v>3141</v>
      </c>
      <c r="C348" s="8">
        <v>2454.3000000000002</v>
      </c>
      <c r="D348" s="8">
        <v>433.15</v>
      </c>
      <c r="E348" s="8"/>
      <c r="F348" s="8"/>
      <c r="G348" s="8"/>
      <c r="H348" s="8"/>
      <c r="I348" s="8"/>
      <c r="J348" s="8"/>
      <c r="K348" s="8"/>
      <c r="L348" s="8"/>
      <c r="M348" s="8">
        <v>8.1</v>
      </c>
      <c r="N348" s="8"/>
      <c r="O348" s="8"/>
      <c r="P348" s="8"/>
      <c r="Q348" s="11"/>
      <c r="R348" s="11"/>
      <c r="S348" s="8">
        <v>13.58</v>
      </c>
      <c r="T348" s="8">
        <v>21.68</v>
      </c>
      <c r="U348" s="8">
        <v>21.67</v>
      </c>
      <c r="V348" s="8"/>
      <c r="W348" s="8"/>
      <c r="X348" s="8"/>
      <c r="Y348" s="8"/>
      <c r="Z348" s="8"/>
      <c r="AA348" s="8"/>
      <c r="AB348" s="8"/>
      <c r="AC348" s="8">
        <v>11.56</v>
      </c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11"/>
      <c r="AQ348" s="8"/>
      <c r="AR348" s="8"/>
      <c r="AS348" s="8"/>
      <c r="AT348" s="8">
        <v>1917.23</v>
      </c>
      <c r="AU348" s="8"/>
      <c r="AV348" s="8"/>
      <c r="AW348" s="8"/>
      <c r="AX348" s="8"/>
      <c r="AY348" s="8"/>
      <c r="AZ348" s="8"/>
      <c r="BA348" s="8">
        <v>66.2</v>
      </c>
      <c r="BB348" s="8"/>
      <c r="BC348" s="8"/>
      <c r="BD348" s="8"/>
      <c r="BE348" s="8"/>
      <c r="BF348" s="8">
        <v>202.31</v>
      </c>
      <c r="BG348" s="8">
        <v>150.18</v>
      </c>
      <c r="BH348" s="9">
        <f t="shared" si="45"/>
        <v>2887.4500000000003</v>
      </c>
      <c r="BI348" s="9">
        <f t="shared" si="46"/>
        <v>8.1</v>
      </c>
      <c r="BJ348" s="9">
        <f t="shared" si="47"/>
        <v>13.58</v>
      </c>
      <c r="BK348" s="9">
        <f t="shared" si="48"/>
        <v>43.35</v>
      </c>
      <c r="BL348" s="9">
        <f t="shared" si="49"/>
        <v>0</v>
      </c>
      <c r="BM348" s="9">
        <f t="shared" si="50"/>
        <v>11.56</v>
      </c>
      <c r="BN348" s="9">
        <f t="shared" si="51"/>
        <v>1917.23</v>
      </c>
      <c r="BO348" s="9">
        <f t="shared" si="52"/>
        <v>66.2</v>
      </c>
      <c r="BP348" s="9">
        <f t="shared" si="53"/>
        <v>202.31</v>
      </c>
    </row>
    <row r="349" spans="1:68">
      <c r="A349" s="6">
        <v>44624</v>
      </c>
      <c r="B349" s="7">
        <v>3016</v>
      </c>
      <c r="C349" s="8"/>
      <c r="D349" s="8">
        <v>3133.18</v>
      </c>
      <c r="E349" s="8"/>
      <c r="F349" s="8"/>
      <c r="G349" s="8"/>
      <c r="H349" s="8"/>
      <c r="I349" s="8">
        <v>2886.68</v>
      </c>
      <c r="J349" s="8"/>
      <c r="K349" s="8"/>
      <c r="L349" s="8"/>
      <c r="M349" s="8"/>
      <c r="N349" s="8">
        <v>36.15</v>
      </c>
      <c r="O349" s="8"/>
      <c r="P349" s="8"/>
      <c r="Q349" s="11"/>
      <c r="R349" s="11"/>
      <c r="S349" s="8">
        <v>4.2</v>
      </c>
      <c r="T349" s="8">
        <v>60.31</v>
      </c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>
        <v>24.21</v>
      </c>
      <c r="AN349" s="8">
        <v>71.540000000000006</v>
      </c>
      <c r="AO349" s="8"/>
      <c r="AP349" s="11"/>
      <c r="AQ349" s="8"/>
      <c r="AR349" s="8">
        <v>152.72</v>
      </c>
      <c r="AS349" s="8"/>
      <c r="AT349" s="8">
        <v>2237.54</v>
      </c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>
        <v>163.94</v>
      </c>
      <c r="BH349" s="9">
        <f t="shared" si="45"/>
        <v>6019.86</v>
      </c>
      <c r="BI349" s="9">
        <f t="shared" si="46"/>
        <v>36.15</v>
      </c>
      <c r="BJ349" s="9">
        <f t="shared" si="47"/>
        <v>4.2</v>
      </c>
      <c r="BK349" s="9">
        <f t="shared" si="48"/>
        <v>60.31</v>
      </c>
      <c r="BL349" s="9">
        <f t="shared" si="49"/>
        <v>0</v>
      </c>
      <c r="BM349" s="9">
        <f t="shared" si="50"/>
        <v>248.47</v>
      </c>
      <c r="BN349" s="9">
        <f t="shared" si="51"/>
        <v>2237.54</v>
      </c>
      <c r="BO349" s="9">
        <f t="shared" si="52"/>
        <v>0</v>
      </c>
      <c r="BP349" s="9">
        <f t="shared" si="53"/>
        <v>0</v>
      </c>
    </row>
    <row r="350" spans="1:68">
      <c r="A350" s="6">
        <v>44624</v>
      </c>
      <c r="B350" s="7">
        <v>3106</v>
      </c>
      <c r="C350" s="8">
        <v>4161.5600000000004</v>
      </c>
      <c r="D350" s="8"/>
      <c r="E350" s="8"/>
      <c r="F350" s="8"/>
      <c r="G350" s="8"/>
      <c r="H350" s="8"/>
      <c r="I350" s="8"/>
      <c r="J350" s="8"/>
      <c r="K350" s="8"/>
      <c r="L350" s="8"/>
      <c r="M350" s="8">
        <v>11.23</v>
      </c>
      <c r="N350" s="8"/>
      <c r="O350" s="8"/>
      <c r="P350" s="8"/>
      <c r="Q350" s="11"/>
      <c r="R350" s="11"/>
      <c r="S350" s="8">
        <v>12.92</v>
      </c>
      <c r="T350" s="8">
        <v>52.86</v>
      </c>
      <c r="U350" s="8"/>
      <c r="V350" s="8"/>
      <c r="W350" s="8"/>
      <c r="X350" s="8"/>
      <c r="Y350" s="8"/>
      <c r="Z350" s="8"/>
      <c r="AA350" s="8"/>
      <c r="AB350" s="8"/>
      <c r="AC350" s="8">
        <v>16.66</v>
      </c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11"/>
      <c r="AQ350" s="8"/>
      <c r="AR350" s="8"/>
      <c r="AS350" s="8"/>
      <c r="AT350" s="8">
        <v>2384.66</v>
      </c>
      <c r="AU350" s="8"/>
      <c r="AV350" s="8"/>
      <c r="AW350" s="8"/>
      <c r="AX350" s="8">
        <v>5.21</v>
      </c>
      <c r="AY350" s="8"/>
      <c r="AZ350" s="8"/>
      <c r="BA350" s="8"/>
      <c r="BB350" s="8"/>
      <c r="BC350" s="8"/>
      <c r="BD350" s="8"/>
      <c r="BE350" s="8"/>
      <c r="BF350" s="8"/>
      <c r="BG350" s="8">
        <v>178.92</v>
      </c>
      <c r="BH350" s="9">
        <f t="shared" si="45"/>
        <v>4161.5600000000004</v>
      </c>
      <c r="BI350" s="9">
        <f t="shared" si="46"/>
        <v>11.23</v>
      </c>
      <c r="BJ350" s="9">
        <f t="shared" si="47"/>
        <v>12.92</v>
      </c>
      <c r="BK350" s="9">
        <f t="shared" si="48"/>
        <v>52.86</v>
      </c>
      <c r="BL350" s="9">
        <f t="shared" si="49"/>
        <v>0</v>
      </c>
      <c r="BM350" s="9">
        <f t="shared" si="50"/>
        <v>16.66</v>
      </c>
      <c r="BN350" s="9">
        <f t="shared" si="51"/>
        <v>2384.66</v>
      </c>
      <c r="BO350" s="9">
        <f t="shared" si="52"/>
        <v>5.21</v>
      </c>
      <c r="BP350" s="9">
        <f t="shared" si="53"/>
        <v>0</v>
      </c>
    </row>
    <row r="351" spans="1:68">
      <c r="A351" s="6">
        <v>44624</v>
      </c>
      <c r="B351" s="7">
        <v>3134</v>
      </c>
      <c r="C351" s="8">
        <v>1039.21</v>
      </c>
      <c r="D351" s="8">
        <v>145.96</v>
      </c>
      <c r="E351" s="8"/>
      <c r="F351" s="8"/>
      <c r="G351" s="8"/>
      <c r="H351" s="8">
        <v>491.95</v>
      </c>
      <c r="I351" s="8"/>
      <c r="J351" s="8"/>
      <c r="K351" s="8"/>
      <c r="L351" s="8"/>
      <c r="M351" s="8">
        <v>3.33</v>
      </c>
      <c r="N351" s="8"/>
      <c r="O351" s="8"/>
      <c r="P351" s="8"/>
      <c r="Q351" s="11"/>
      <c r="R351" s="11"/>
      <c r="S351" s="8">
        <v>6.57</v>
      </c>
      <c r="T351" s="8">
        <v>10.220000000000001</v>
      </c>
      <c r="U351" s="8">
        <v>8.76</v>
      </c>
      <c r="V351" s="8"/>
      <c r="W351" s="8"/>
      <c r="X351" s="8"/>
      <c r="Y351" s="8"/>
      <c r="Z351" s="8"/>
      <c r="AA351" s="8"/>
      <c r="AB351" s="8"/>
      <c r="AC351" s="8">
        <v>5.83</v>
      </c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11"/>
      <c r="AQ351" s="8"/>
      <c r="AR351" s="8"/>
      <c r="AS351" s="8"/>
      <c r="AT351" s="8">
        <v>1028.3800000000001</v>
      </c>
      <c r="AU351" s="8"/>
      <c r="AV351" s="8"/>
      <c r="AW351" s="8"/>
      <c r="AX351" s="8"/>
      <c r="AY351" s="8">
        <v>14.94</v>
      </c>
      <c r="AZ351" s="8"/>
      <c r="BA351" s="8"/>
      <c r="BB351" s="8"/>
      <c r="BC351" s="8"/>
      <c r="BD351" s="8"/>
      <c r="BE351" s="8"/>
      <c r="BF351" s="8">
        <v>65.69</v>
      </c>
      <c r="BG351" s="8">
        <v>77.38</v>
      </c>
      <c r="BH351" s="9">
        <f t="shared" si="45"/>
        <v>1677.1200000000001</v>
      </c>
      <c r="BI351" s="9">
        <f t="shared" si="46"/>
        <v>3.33</v>
      </c>
      <c r="BJ351" s="9">
        <f t="shared" si="47"/>
        <v>6.57</v>
      </c>
      <c r="BK351" s="9">
        <f t="shared" si="48"/>
        <v>18.98</v>
      </c>
      <c r="BL351" s="9">
        <f t="shared" si="49"/>
        <v>0</v>
      </c>
      <c r="BM351" s="9">
        <f t="shared" si="50"/>
        <v>5.83</v>
      </c>
      <c r="BN351" s="9">
        <f t="shared" si="51"/>
        <v>1028.3800000000001</v>
      </c>
      <c r="BO351" s="9">
        <f t="shared" si="52"/>
        <v>14.94</v>
      </c>
      <c r="BP351" s="9">
        <f t="shared" si="53"/>
        <v>65.69</v>
      </c>
    </row>
    <row r="352" spans="1:68">
      <c r="A352" s="6">
        <v>44627</v>
      </c>
      <c r="B352" s="7">
        <v>3029</v>
      </c>
      <c r="C352" s="8"/>
      <c r="D352" s="8">
        <v>489.53</v>
      </c>
      <c r="E352" s="8"/>
      <c r="F352" s="8">
        <v>345.34</v>
      </c>
      <c r="G352" s="8"/>
      <c r="H352" s="8"/>
      <c r="I352" s="8">
        <v>2043.99</v>
      </c>
      <c r="J352" s="8"/>
      <c r="K352" s="8"/>
      <c r="L352" s="8"/>
      <c r="M352" s="8"/>
      <c r="N352" s="8">
        <v>21.89</v>
      </c>
      <c r="O352" s="8"/>
      <c r="P352" s="8"/>
      <c r="Q352" s="11"/>
      <c r="R352" s="11"/>
      <c r="S352" s="8">
        <v>1.73</v>
      </c>
      <c r="T352" s="8"/>
      <c r="U352" s="8"/>
      <c r="V352" s="8"/>
      <c r="W352" s="8">
        <v>29.41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>
        <v>9.86</v>
      </c>
      <c r="AN352" s="8">
        <v>14.8</v>
      </c>
      <c r="AO352" s="8"/>
      <c r="AP352" s="11"/>
      <c r="AQ352" s="8"/>
      <c r="AR352" s="8">
        <v>86.76</v>
      </c>
      <c r="AS352" s="8"/>
      <c r="AT352" s="8">
        <v>1093.9000000000001</v>
      </c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>
        <v>76.739999999999995</v>
      </c>
      <c r="BH352" s="9">
        <f t="shared" si="45"/>
        <v>2878.8599999999997</v>
      </c>
      <c r="BI352" s="9">
        <f t="shared" si="46"/>
        <v>21.89</v>
      </c>
      <c r="BJ352" s="9">
        <f t="shared" si="47"/>
        <v>1.73</v>
      </c>
      <c r="BK352" s="9">
        <f t="shared" si="48"/>
        <v>29.41</v>
      </c>
      <c r="BL352" s="9">
        <f t="shared" si="49"/>
        <v>0</v>
      </c>
      <c r="BM352" s="9">
        <f t="shared" si="50"/>
        <v>111.42</v>
      </c>
      <c r="BN352" s="9">
        <f t="shared" si="51"/>
        <v>1093.9000000000001</v>
      </c>
      <c r="BO352" s="9">
        <f t="shared" si="52"/>
        <v>0</v>
      </c>
      <c r="BP352" s="9">
        <f t="shared" si="53"/>
        <v>0</v>
      </c>
    </row>
    <row r="353" spans="1:68">
      <c r="A353" s="6">
        <v>44627</v>
      </c>
      <c r="B353" s="7">
        <v>3200</v>
      </c>
      <c r="C353" s="8">
        <v>2274.41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>
        <v>5.69</v>
      </c>
      <c r="P353" s="8"/>
      <c r="Q353" s="11"/>
      <c r="R353" s="11"/>
      <c r="S353" s="8">
        <v>8.8800000000000008</v>
      </c>
      <c r="T353" s="8"/>
      <c r="U353" s="8">
        <v>34.159999999999997</v>
      </c>
      <c r="V353" s="8"/>
      <c r="W353" s="8"/>
      <c r="X353" s="8"/>
      <c r="Y353" s="8"/>
      <c r="Z353" s="8">
        <v>478.11</v>
      </c>
      <c r="AA353" s="8"/>
      <c r="AB353" s="8"/>
      <c r="AC353" s="8"/>
      <c r="AD353" s="8"/>
      <c r="AE353" s="8">
        <v>34.630000000000003</v>
      </c>
      <c r="AF353" s="8">
        <v>113.43</v>
      </c>
      <c r="AG353" s="8"/>
      <c r="AH353" s="8"/>
      <c r="AI353" s="8"/>
      <c r="AJ353" s="8"/>
      <c r="AK353" s="8"/>
      <c r="AL353" s="8"/>
      <c r="AM353" s="8"/>
      <c r="AN353" s="8"/>
      <c r="AO353" s="8"/>
      <c r="AP353" s="11"/>
      <c r="AQ353" s="8"/>
      <c r="AR353" s="8"/>
      <c r="AS353" s="8"/>
      <c r="AT353" s="8">
        <v>1557.8</v>
      </c>
      <c r="AU353" s="8"/>
      <c r="AV353" s="8"/>
      <c r="AW353" s="8">
        <v>6.61</v>
      </c>
      <c r="AX353" s="8"/>
      <c r="AY353" s="8"/>
      <c r="AZ353" s="8"/>
      <c r="BA353" s="8"/>
      <c r="BB353" s="8"/>
      <c r="BC353" s="8"/>
      <c r="BD353" s="8"/>
      <c r="BE353" s="8"/>
      <c r="BF353" s="8">
        <v>109.26</v>
      </c>
      <c r="BG353" s="8">
        <v>112.72</v>
      </c>
      <c r="BH353" s="9">
        <f t="shared" si="45"/>
        <v>2274.41</v>
      </c>
      <c r="BI353" s="9">
        <f t="shared" si="46"/>
        <v>5.69</v>
      </c>
      <c r="BJ353" s="9">
        <f t="shared" si="47"/>
        <v>8.8800000000000008</v>
      </c>
      <c r="BK353" s="9">
        <f t="shared" si="48"/>
        <v>34.159999999999997</v>
      </c>
      <c r="BL353" s="9">
        <f t="shared" si="49"/>
        <v>478.11</v>
      </c>
      <c r="BM353" s="9">
        <f t="shared" si="50"/>
        <v>148.06</v>
      </c>
      <c r="BN353" s="9">
        <f t="shared" si="51"/>
        <v>1557.8</v>
      </c>
      <c r="BO353" s="9">
        <f t="shared" si="52"/>
        <v>6.61</v>
      </c>
      <c r="BP353" s="9">
        <f t="shared" si="53"/>
        <v>109.26</v>
      </c>
    </row>
    <row r="354" spans="1:68">
      <c r="A354" s="6">
        <v>44627</v>
      </c>
      <c r="B354" s="7">
        <v>3432</v>
      </c>
      <c r="C354" s="8">
        <v>924.79</v>
      </c>
      <c r="D354" s="8"/>
      <c r="E354" s="8"/>
      <c r="F354" s="8"/>
      <c r="G354" s="8"/>
      <c r="H354" s="8"/>
      <c r="I354" s="8"/>
      <c r="J354" s="8"/>
      <c r="K354" s="8"/>
      <c r="L354" s="8"/>
      <c r="M354" s="8">
        <v>2.98</v>
      </c>
      <c r="N354" s="8"/>
      <c r="O354" s="8"/>
      <c r="P354" s="8"/>
      <c r="Q354" s="11"/>
      <c r="R354" s="11"/>
      <c r="S354" s="8">
        <v>3.7</v>
      </c>
      <c r="T354" s="8"/>
      <c r="U354" s="8"/>
      <c r="V354" s="8"/>
      <c r="W354" s="8"/>
      <c r="X354" s="8">
        <v>9.41</v>
      </c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11"/>
      <c r="AQ354" s="8"/>
      <c r="AR354" s="8"/>
      <c r="AS354" s="8"/>
      <c r="AT354" s="8">
        <v>418.96</v>
      </c>
      <c r="AU354" s="8"/>
      <c r="AV354" s="8"/>
      <c r="AW354" s="8"/>
      <c r="AX354" s="8"/>
      <c r="AY354" s="8"/>
      <c r="AZ354" s="8"/>
      <c r="BA354" s="8">
        <v>4.17</v>
      </c>
      <c r="BB354" s="8"/>
      <c r="BC354" s="8"/>
      <c r="BD354" s="8"/>
      <c r="BE354" s="8"/>
      <c r="BF354" s="8">
        <v>46.26</v>
      </c>
      <c r="BG354" s="8">
        <v>30.81</v>
      </c>
      <c r="BH354" s="9">
        <f t="shared" si="45"/>
        <v>924.79</v>
      </c>
      <c r="BI354" s="9">
        <f t="shared" si="46"/>
        <v>2.98</v>
      </c>
      <c r="BJ354" s="9">
        <f t="shared" si="47"/>
        <v>3.7</v>
      </c>
      <c r="BK354" s="9">
        <f t="shared" si="48"/>
        <v>9.41</v>
      </c>
      <c r="BL354" s="9">
        <f t="shared" si="49"/>
        <v>0</v>
      </c>
      <c r="BM354" s="9">
        <f t="shared" si="50"/>
        <v>0</v>
      </c>
      <c r="BN354" s="9">
        <f t="shared" si="51"/>
        <v>418.96</v>
      </c>
      <c r="BO354" s="9">
        <f t="shared" si="52"/>
        <v>4.17</v>
      </c>
      <c r="BP354" s="9">
        <f t="shared" si="53"/>
        <v>46.26</v>
      </c>
    </row>
    <row r="355" spans="1:68">
      <c r="A355" s="6">
        <v>44627</v>
      </c>
      <c r="B355" s="7">
        <v>3100</v>
      </c>
      <c r="C355" s="8">
        <v>648.54999999999995</v>
      </c>
      <c r="D355" s="8"/>
      <c r="E355" s="8"/>
      <c r="F355" s="8"/>
      <c r="G355" s="8"/>
      <c r="H355" s="8"/>
      <c r="I355" s="8"/>
      <c r="J355" s="8"/>
      <c r="K355" s="8"/>
      <c r="L355" s="8"/>
      <c r="M355" s="8">
        <v>0.96</v>
      </c>
      <c r="N355" s="8"/>
      <c r="O355" s="8"/>
      <c r="P355" s="8"/>
      <c r="Q355" s="11"/>
      <c r="R355" s="11"/>
      <c r="S355" s="8">
        <v>3.71</v>
      </c>
      <c r="T355" s="8"/>
      <c r="U355" s="8">
        <v>10.43</v>
      </c>
      <c r="V355" s="8"/>
      <c r="W355" s="8"/>
      <c r="X355" s="8"/>
      <c r="Y355" s="8"/>
      <c r="Z355" s="8"/>
      <c r="AA355" s="8"/>
      <c r="AB355" s="8"/>
      <c r="AC355" s="8">
        <v>2.6</v>
      </c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11"/>
      <c r="AQ355" s="8"/>
      <c r="AR355" s="8"/>
      <c r="AS355" s="8"/>
      <c r="AT355" s="8">
        <v>437.81</v>
      </c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>
        <v>84.56</v>
      </c>
      <c r="BG355" s="8">
        <v>33.47</v>
      </c>
      <c r="BH355" s="9">
        <f t="shared" si="45"/>
        <v>648.54999999999995</v>
      </c>
      <c r="BI355" s="9">
        <f t="shared" si="46"/>
        <v>0.96</v>
      </c>
      <c r="BJ355" s="9">
        <f t="shared" si="47"/>
        <v>3.71</v>
      </c>
      <c r="BK355" s="9">
        <f t="shared" si="48"/>
        <v>10.43</v>
      </c>
      <c r="BL355" s="9">
        <f t="shared" si="49"/>
        <v>0</v>
      </c>
      <c r="BM355" s="9">
        <f t="shared" si="50"/>
        <v>2.6</v>
      </c>
      <c r="BN355" s="9">
        <f t="shared" si="51"/>
        <v>437.81</v>
      </c>
      <c r="BO355" s="9">
        <f t="shared" si="52"/>
        <v>0</v>
      </c>
      <c r="BP355" s="9">
        <f t="shared" si="53"/>
        <v>84.56</v>
      </c>
    </row>
    <row r="356" spans="1:68">
      <c r="A356" s="6">
        <v>44627</v>
      </c>
      <c r="B356" s="7">
        <v>3602</v>
      </c>
      <c r="C356" s="8">
        <v>592.13</v>
      </c>
      <c r="D356" s="8"/>
      <c r="E356" s="8"/>
      <c r="F356" s="8"/>
      <c r="G356" s="8">
        <v>886.68</v>
      </c>
      <c r="H356" s="8"/>
      <c r="I356" s="8"/>
      <c r="J356" s="8"/>
      <c r="K356" s="8"/>
      <c r="L356" s="8"/>
      <c r="M356" s="8">
        <v>1.5</v>
      </c>
      <c r="N356" s="8"/>
      <c r="O356" s="8"/>
      <c r="P356" s="8"/>
      <c r="Q356" s="11"/>
      <c r="R356" s="11"/>
      <c r="S356" s="8">
        <v>8.17</v>
      </c>
      <c r="T356" s="8"/>
      <c r="U356" s="8">
        <v>4.74</v>
      </c>
      <c r="V356" s="8">
        <v>14.35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11"/>
      <c r="AQ356" s="8"/>
      <c r="AR356" s="8"/>
      <c r="AS356" s="8"/>
      <c r="AT356" s="8">
        <v>617.30999999999995</v>
      </c>
      <c r="AU356" s="8"/>
      <c r="AV356" s="8"/>
      <c r="AW356" s="8">
        <v>38.24</v>
      </c>
      <c r="AX356" s="8"/>
      <c r="AY356" s="8"/>
      <c r="AZ356" s="8"/>
      <c r="BA356" s="8"/>
      <c r="BB356" s="8"/>
      <c r="BC356" s="8"/>
      <c r="BD356" s="8"/>
      <c r="BE356" s="8"/>
      <c r="BF356" s="8">
        <v>47.27</v>
      </c>
      <c r="BG356" s="8">
        <v>46.37</v>
      </c>
      <c r="BH356" s="9">
        <f t="shared" si="45"/>
        <v>1478.81</v>
      </c>
      <c r="BI356" s="9">
        <f t="shared" si="46"/>
        <v>1.5</v>
      </c>
      <c r="BJ356" s="9">
        <f t="shared" si="47"/>
        <v>8.17</v>
      </c>
      <c r="BK356" s="9">
        <f t="shared" si="48"/>
        <v>19.09</v>
      </c>
      <c r="BL356" s="9">
        <f t="shared" si="49"/>
        <v>0</v>
      </c>
      <c r="BM356" s="9">
        <f t="shared" si="50"/>
        <v>0</v>
      </c>
      <c r="BN356" s="9">
        <f t="shared" si="51"/>
        <v>617.30999999999995</v>
      </c>
      <c r="BO356" s="9">
        <f t="shared" si="52"/>
        <v>38.24</v>
      </c>
      <c r="BP356" s="9">
        <f t="shared" si="53"/>
        <v>47.27</v>
      </c>
    </row>
    <row r="357" spans="1:68">
      <c r="A357" s="6">
        <v>44628</v>
      </c>
      <c r="B357" s="7">
        <v>3122</v>
      </c>
      <c r="C357" s="8">
        <v>1880.13</v>
      </c>
      <c r="D357" s="8"/>
      <c r="E357" s="8"/>
      <c r="F357" s="8"/>
      <c r="G357" s="8"/>
      <c r="H357" s="8"/>
      <c r="I357" s="8"/>
      <c r="J357" s="8"/>
      <c r="K357" s="8"/>
      <c r="L357" s="8"/>
      <c r="M357" s="8">
        <v>3.39</v>
      </c>
      <c r="N357" s="8">
        <v>3.39</v>
      </c>
      <c r="O357" s="8"/>
      <c r="P357" s="8"/>
      <c r="Q357" s="11"/>
      <c r="R357" s="11"/>
      <c r="S357" s="8">
        <v>7.52</v>
      </c>
      <c r="T357" s="8">
        <v>13.18</v>
      </c>
      <c r="U357" s="8">
        <v>5.64</v>
      </c>
      <c r="V357" s="8"/>
      <c r="W357" s="8"/>
      <c r="X357" s="8"/>
      <c r="Y357" s="8"/>
      <c r="Z357" s="8"/>
      <c r="AA357" s="8"/>
      <c r="AB357" s="8"/>
      <c r="AC357" s="8">
        <v>7.52</v>
      </c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11"/>
      <c r="AQ357" s="8"/>
      <c r="AR357" s="8"/>
      <c r="AS357" s="8"/>
      <c r="AT357" s="8">
        <v>835.52</v>
      </c>
      <c r="AU357" s="8"/>
      <c r="AV357" s="8">
        <v>63.92</v>
      </c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>
        <v>61.14</v>
      </c>
      <c r="BH357" s="9">
        <f t="shared" si="45"/>
        <v>1880.13</v>
      </c>
      <c r="BI357" s="9">
        <f t="shared" si="46"/>
        <v>6.78</v>
      </c>
      <c r="BJ357" s="9">
        <f t="shared" si="47"/>
        <v>7.52</v>
      </c>
      <c r="BK357" s="9">
        <f t="shared" si="48"/>
        <v>18.82</v>
      </c>
      <c r="BL357" s="9">
        <f t="shared" si="49"/>
        <v>0</v>
      </c>
      <c r="BM357" s="9">
        <f t="shared" si="50"/>
        <v>7.52</v>
      </c>
      <c r="BN357" s="9">
        <f t="shared" si="51"/>
        <v>835.52</v>
      </c>
      <c r="BO357" s="9">
        <f t="shared" si="52"/>
        <v>63.92</v>
      </c>
      <c r="BP357" s="9">
        <f t="shared" si="53"/>
        <v>0</v>
      </c>
    </row>
    <row r="358" spans="1:68">
      <c r="A358" s="6">
        <v>44628</v>
      </c>
      <c r="B358" s="7">
        <v>3801</v>
      </c>
      <c r="C358" s="8">
        <v>271.23</v>
      </c>
      <c r="D358" s="8"/>
      <c r="E358" s="8"/>
      <c r="F358" s="8"/>
      <c r="G358" s="8"/>
      <c r="H358" s="8"/>
      <c r="I358" s="8"/>
      <c r="J358" s="8"/>
      <c r="K358" s="8"/>
      <c r="L358" s="8">
        <v>221.41</v>
      </c>
      <c r="M358" s="8"/>
      <c r="N358" s="8">
        <v>56</v>
      </c>
      <c r="O358" s="8"/>
      <c r="P358" s="8"/>
      <c r="Q358" s="11"/>
      <c r="R358" s="11"/>
      <c r="S358" s="8">
        <v>2.21</v>
      </c>
      <c r="T358" s="8"/>
      <c r="U358" s="8">
        <v>2.37</v>
      </c>
      <c r="V358" s="8"/>
      <c r="W358" s="8"/>
      <c r="X358" s="8"/>
      <c r="Y358" s="8"/>
      <c r="Z358" s="8">
        <v>39.479999999999997</v>
      </c>
      <c r="AA358" s="8">
        <v>15.96</v>
      </c>
      <c r="AB358" s="8"/>
      <c r="AC358" s="8"/>
      <c r="AD358" s="8"/>
      <c r="AE358" s="8">
        <v>1.4</v>
      </c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11"/>
      <c r="AQ358" s="8"/>
      <c r="AR358" s="8"/>
      <c r="AS358" s="8"/>
      <c r="AT358" s="8">
        <v>192.59</v>
      </c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>
        <v>14.59</v>
      </c>
      <c r="BH358" s="9">
        <f t="shared" si="45"/>
        <v>492.64</v>
      </c>
      <c r="BI358" s="9">
        <f t="shared" si="46"/>
        <v>56</v>
      </c>
      <c r="BJ358" s="9">
        <f t="shared" si="47"/>
        <v>2.21</v>
      </c>
      <c r="BK358" s="9">
        <f t="shared" si="48"/>
        <v>2.37</v>
      </c>
      <c r="BL358" s="9">
        <f t="shared" si="49"/>
        <v>55.44</v>
      </c>
      <c r="BM358" s="9">
        <f t="shared" si="50"/>
        <v>1.4</v>
      </c>
      <c r="BN358" s="9">
        <f t="shared" si="51"/>
        <v>192.59</v>
      </c>
      <c r="BO358" s="9">
        <f t="shared" si="52"/>
        <v>0</v>
      </c>
      <c r="BP358" s="9">
        <f t="shared" si="53"/>
        <v>0</v>
      </c>
    </row>
    <row r="359" spans="1:68">
      <c r="A359" s="6">
        <v>44628</v>
      </c>
      <c r="B359" s="7">
        <v>3204</v>
      </c>
      <c r="C359" s="8"/>
      <c r="D359" s="8">
        <v>1732.57</v>
      </c>
      <c r="E359" s="8">
        <v>739.11</v>
      </c>
      <c r="F359" s="8"/>
      <c r="G359" s="8"/>
      <c r="H359" s="8"/>
      <c r="I359" s="8"/>
      <c r="J359" s="8"/>
      <c r="K359" s="8"/>
      <c r="L359" s="8"/>
      <c r="M359" s="8"/>
      <c r="N359" s="8"/>
      <c r="O359" s="8">
        <v>12.34</v>
      </c>
      <c r="P359" s="8"/>
      <c r="Q359" s="11"/>
      <c r="R359" s="11"/>
      <c r="S359" s="8">
        <v>8.3800000000000008</v>
      </c>
      <c r="T359" s="8">
        <v>14.82</v>
      </c>
      <c r="U359" s="8">
        <v>12.34</v>
      </c>
      <c r="V359" s="8"/>
      <c r="W359" s="8"/>
      <c r="X359" s="8"/>
      <c r="Y359" s="8"/>
      <c r="Z359" s="8">
        <v>370.11</v>
      </c>
      <c r="AA359" s="8"/>
      <c r="AB359" s="8">
        <v>12.55</v>
      </c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11"/>
      <c r="AQ359" s="8"/>
      <c r="AR359" s="8"/>
      <c r="AS359" s="8"/>
      <c r="AT359" s="8">
        <v>1087.1300000000001</v>
      </c>
      <c r="AU359" s="8"/>
      <c r="AV359" s="8"/>
      <c r="AW359" s="8">
        <v>7.9</v>
      </c>
      <c r="AX359" s="8"/>
      <c r="AY359" s="8"/>
      <c r="AZ359" s="8"/>
      <c r="BA359" s="8"/>
      <c r="BB359" s="8"/>
      <c r="BC359" s="8"/>
      <c r="BD359" s="8"/>
      <c r="BE359" s="8"/>
      <c r="BF359" s="8"/>
      <c r="BG359" s="8">
        <v>80.209999999999994</v>
      </c>
      <c r="BH359" s="9">
        <f t="shared" si="45"/>
        <v>2471.6799999999998</v>
      </c>
      <c r="BI359" s="9">
        <f t="shared" si="46"/>
        <v>12.34</v>
      </c>
      <c r="BJ359" s="9">
        <f t="shared" si="47"/>
        <v>8.3800000000000008</v>
      </c>
      <c r="BK359" s="9">
        <f t="shared" si="48"/>
        <v>27.16</v>
      </c>
      <c r="BL359" s="9">
        <f t="shared" si="49"/>
        <v>370.11</v>
      </c>
      <c r="BM359" s="9">
        <f t="shared" si="50"/>
        <v>12.55</v>
      </c>
      <c r="BN359" s="9">
        <f t="shared" si="51"/>
        <v>1087.1300000000001</v>
      </c>
      <c r="BO359" s="9">
        <f t="shared" si="52"/>
        <v>7.9</v>
      </c>
      <c r="BP359" s="9">
        <f t="shared" si="53"/>
        <v>0</v>
      </c>
    </row>
    <row r="360" spans="1:68">
      <c r="A360" s="6">
        <v>44628</v>
      </c>
      <c r="B360" s="7">
        <v>3200</v>
      </c>
      <c r="C360" s="8">
        <v>2257.46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>
        <v>5.67</v>
      </c>
      <c r="P360" s="8"/>
      <c r="Q360" s="11"/>
      <c r="R360" s="11"/>
      <c r="S360" s="8">
        <v>8.84</v>
      </c>
      <c r="T360" s="8"/>
      <c r="U360" s="8">
        <v>34.01</v>
      </c>
      <c r="V360" s="8"/>
      <c r="W360" s="8"/>
      <c r="X360" s="8"/>
      <c r="Y360" s="8"/>
      <c r="Z360" s="8">
        <v>476.03</v>
      </c>
      <c r="AA360" s="8"/>
      <c r="AB360" s="8"/>
      <c r="AC360" s="8"/>
      <c r="AD360" s="8"/>
      <c r="AE360" s="8">
        <v>34.700000000000003</v>
      </c>
      <c r="AF360" s="8">
        <v>112.96</v>
      </c>
      <c r="AG360" s="8"/>
      <c r="AH360" s="8"/>
      <c r="AI360" s="8"/>
      <c r="AJ360" s="8"/>
      <c r="AK360" s="8"/>
      <c r="AL360" s="8"/>
      <c r="AM360" s="8"/>
      <c r="AN360" s="8"/>
      <c r="AO360" s="8"/>
      <c r="AP360" s="11"/>
      <c r="AQ360" s="8"/>
      <c r="AR360" s="8"/>
      <c r="AS360" s="8"/>
      <c r="AT360" s="8">
        <v>1548.82</v>
      </c>
      <c r="AU360" s="8"/>
      <c r="AV360" s="8"/>
      <c r="AW360" s="8">
        <v>6.63</v>
      </c>
      <c r="AX360" s="8"/>
      <c r="AY360" s="8"/>
      <c r="AZ360" s="8"/>
      <c r="BA360" s="8"/>
      <c r="BB360" s="8"/>
      <c r="BC360" s="8"/>
      <c r="BD360" s="8"/>
      <c r="BE360" s="8"/>
      <c r="BF360" s="8">
        <v>108.74</v>
      </c>
      <c r="BG360" s="8">
        <v>112.25</v>
      </c>
      <c r="BH360" s="9">
        <f t="shared" si="45"/>
        <v>2257.46</v>
      </c>
      <c r="BI360" s="9">
        <f t="shared" si="46"/>
        <v>5.67</v>
      </c>
      <c r="BJ360" s="9">
        <f t="shared" si="47"/>
        <v>8.84</v>
      </c>
      <c r="BK360" s="9">
        <f t="shared" si="48"/>
        <v>34.01</v>
      </c>
      <c r="BL360" s="9">
        <f t="shared" si="49"/>
        <v>476.03</v>
      </c>
      <c r="BM360" s="9">
        <f t="shared" si="50"/>
        <v>147.66</v>
      </c>
      <c r="BN360" s="9">
        <f t="shared" si="51"/>
        <v>1548.82</v>
      </c>
      <c r="BO360" s="9">
        <f t="shared" si="52"/>
        <v>6.63</v>
      </c>
      <c r="BP360" s="9">
        <f t="shared" si="53"/>
        <v>108.74</v>
      </c>
    </row>
    <row r="361" spans="1:68">
      <c r="A361" s="6">
        <v>44628</v>
      </c>
      <c r="B361" s="7">
        <v>3141</v>
      </c>
      <c r="C361" s="8">
        <v>2430.12</v>
      </c>
      <c r="D361" s="8">
        <v>428.83</v>
      </c>
      <c r="E361" s="8"/>
      <c r="F361" s="8"/>
      <c r="G361" s="8"/>
      <c r="H361" s="8"/>
      <c r="I361" s="8"/>
      <c r="J361" s="8"/>
      <c r="K361" s="8"/>
      <c r="L361" s="8"/>
      <c r="M361" s="8">
        <v>7.99</v>
      </c>
      <c r="N361" s="8"/>
      <c r="O361" s="8"/>
      <c r="P361" s="8"/>
      <c r="Q361" s="11"/>
      <c r="R361" s="11"/>
      <c r="S361" s="8">
        <v>13.45</v>
      </c>
      <c r="T361" s="8">
        <v>21.47</v>
      </c>
      <c r="U361" s="8">
        <v>21.46</v>
      </c>
      <c r="V361" s="8"/>
      <c r="W361" s="8"/>
      <c r="X361" s="8"/>
      <c r="Y361" s="8"/>
      <c r="Z361" s="8"/>
      <c r="AA361" s="8"/>
      <c r="AB361" s="8"/>
      <c r="AC361" s="8">
        <v>11.44</v>
      </c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11"/>
      <c r="AQ361" s="8"/>
      <c r="AR361" s="8"/>
      <c r="AS361" s="8"/>
      <c r="AT361" s="8">
        <v>1894.73</v>
      </c>
      <c r="AU361" s="8"/>
      <c r="AV361" s="8"/>
      <c r="AW361" s="8"/>
      <c r="AX361" s="8"/>
      <c r="AY361" s="8"/>
      <c r="AZ361" s="8"/>
      <c r="BA361" s="8">
        <v>65.569999999999993</v>
      </c>
      <c r="BB361" s="8"/>
      <c r="BC361" s="8"/>
      <c r="BD361" s="8"/>
      <c r="BE361" s="8"/>
      <c r="BF361" s="8">
        <v>200.2</v>
      </c>
      <c r="BG361" s="8">
        <v>148.75</v>
      </c>
      <c r="BH361" s="9">
        <f t="shared" si="45"/>
        <v>2858.95</v>
      </c>
      <c r="BI361" s="9">
        <f t="shared" si="46"/>
        <v>7.99</v>
      </c>
      <c r="BJ361" s="9">
        <f t="shared" si="47"/>
        <v>13.45</v>
      </c>
      <c r="BK361" s="9">
        <f t="shared" si="48"/>
        <v>42.93</v>
      </c>
      <c r="BL361" s="9">
        <f t="shared" si="49"/>
        <v>0</v>
      </c>
      <c r="BM361" s="9">
        <f t="shared" si="50"/>
        <v>11.44</v>
      </c>
      <c r="BN361" s="9">
        <f t="shared" si="51"/>
        <v>1894.73</v>
      </c>
      <c r="BO361" s="9">
        <f t="shared" si="52"/>
        <v>65.569999999999993</v>
      </c>
      <c r="BP361" s="9">
        <f t="shared" si="53"/>
        <v>200.2</v>
      </c>
    </row>
    <row r="362" spans="1:68">
      <c r="A362" s="6">
        <v>44628</v>
      </c>
      <c r="B362" s="7">
        <v>3125</v>
      </c>
      <c r="C362" s="8">
        <v>674.96</v>
      </c>
      <c r="D362" s="8"/>
      <c r="E362" s="8"/>
      <c r="F362" s="8"/>
      <c r="G362" s="8"/>
      <c r="H362" s="8"/>
      <c r="I362" s="8"/>
      <c r="J362" s="8"/>
      <c r="K362" s="8"/>
      <c r="L362" s="8"/>
      <c r="M362" s="8">
        <v>1.82</v>
      </c>
      <c r="N362" s="8"/>
      <c r="O362" s="8"/>
      <c r="P362" s="8"/>
      <c r="Q362" s="11"/>
      <c r="R362" s="11"/>
      <c r="S362" s="8">
        <v>2.16</v>
      </c>
      <c r="T362" s="8">
        <v>29.09</v>
      </c>
      <c r="U362" s="8"/>
      <c r="V362" s="8"/>
      <c r="W362" s="8"/>
      <c r="X362" s="8"/>
      <c r="Y362" s="8"/>
      <c r="Z362" s="8"/>
      <c r="AA362" s="8"/>
      <c r="AB362" s="8"/>
      <c r="AC362" s="8">
        <v>2.7</v>
      </c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11"/>
      <c r="AQ362" s="8"/>
      <c r="AR362" s="8"/>
      <c r="AS362" s="8"/>
      <c r="AT362" s="8">
        <v>386.03</v>
      </c>
      <c r="AU362" s="8"/>
      <c r="AV362" s="8">
        <v>10.130000000000001</v>
      </c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>
        <v>29.09</v>
      </c>
      <c r="BH362" s="9">
        <f t="shared" si="45"/>
        <v>674.96</v>
      </c>
      <c r="BI362" s="9">
        <f t="shared" si="46"/>
        <v>1.82</v>
      </c>
      <c r="BJ362" s="9">
        <f t="shared" si="47"/>
        <v>2.16</v>
      </c>
      <c r="BK362" s="9">
        <f t="shared" si="48"/>
        <v>29.09</v>
      </c>
      <c r="BL362" s="9">
        <f t="shared" si="49"/>
        <v>0</v>
      </c>
      <c r="BM362" s="9">
        <f t="shared" si="50"/>
        <v>2.7</v>
      </c>
      <c r="BN362" s="9">
        <f t="shared" si="51"/>
        <v>386.03</v>
      </c>
      <c r="BO362" s="9">
        <f t="shared" si="52"/>
        <v>10.130000000000001</v>
      </c>
      <c r="BP362" s="9">
        <f t="shared" si="53"/>
        <v>0</v>
      </c>
    </row>
    <row r="363" spans="1:68">
      <c r="A363" s="6">
        <v>44628</v>
      </c>
      <c r="B363" s="7">
        <v>3106</v>
      </c>
      <c r="C363" s="8">
        <v>4090.57</v>
      </c>
      <c r="D363" s="8"/>
      <c r="E363" s="8"/>
      <c r="F363" s="8"/>
      <c r="G363" s="8"/>
      <c r="H363" s="8"/>
      <c r="I363" s="8"/>
      <c r="J363" s="8"/>
      <c r="K363" s="8"/>
      <c r="L363" s="8"/>
      <c r="M363" s="8">
        <v>11.02</v>
      </c>
      <c r="N363" s="8"/>
      <c r="O363" s="8"/>
      <c r="P363" s="8"/>
      <c r="Q363" s="11"/>
      <c r="R363" s="11"/>
      <c r="S363" s="8">
        <v>12.69</v>
      </c>
      <c r="T363" s="8">
        <v>51.88</v>
      </c>
      <c r="U363" s="8"/>
      <c r="V363" s="8"/>
      <c r="W363" s="8"/>
      <c r="X363" s="8"/>
      <c r="Y363" s="8"/>
      <c r="Z363" s="8"/>
      <c r="AA363" s="8"/>
      <c r="AB363" s="8"/>
      <c r="AC363" s="8">
        <v>16.36</v>
      </c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11"/>
      <c r="AQ363" s="8"/>
      <c r="AR363" s="8"/>
      <c r="AS363" s="8"/>
      <c r="AT363" s="8">
        <v>2337.62</v>
      </c>
      <c r="AU363" s="8"/>
      <c r="AV363" s="8"/>
      <c r="AW363" s="8"/>
      <c r="AX363" s="8">
        <v>5.1100000000000003</v>
      </c>
      <c r="AY363" s="8"/>
      <c r="AZ363" s="8"/>
      <c r="BA363" s="8"/>
      <c r="BB363" s="8"/>
      <c r="BC363" s="8"/>
      <c r="BD363" s="8"/>
      <c r="BE363" s="8"/>
      <c r="BF363" s="8"/>
      <c r="BG363" s="8">
        <v>176.55</v>
      </c>
      <c r="BH363" s="9">
        <f t="shared" si="45"/>
        <v>4090.57</v>
      </c>
      <c r="BI363" s="9">
        <f t="shared" si="46"/>
        <v>11.02</v>
      </c>
      <c r="BJ363" s="9">
        <f t="shared" si="47"/>
        <v>12.69</v>
      </c>
      <c r="BK363" s="9">
        <f t="shared" si="48"/>
        <v>51.88</v>
      </c>
      <c r="BL363" s="9">
        <f t="shared" si="49"/>
        <v>0</v>
      </c>
      <c r="BM363" s="9">
        <f t="shared" si="50"/>
        <v>16.36</v>
      </c>
      <c r="BN363" s="9">
        <f t="shared" si="51"/>
        <v>2337.62</v>
      </c>
      <c r="BO363" s="9">
        <f t="shared" si="52"/>
        <v>5.1100000000000003</v>
      </c>
      <c r="BP363" s="9">
        <f t="shared" si="53"/>
        <v>0</v>
      </c>
    </row>
    <row r="364" spans="1:68">
      <c r="A364" s="6">
        <v>44628</v>
      </c>
      <c r="B364" s="7">
        <v>3104</v>
      </c>
      <c r="C364" s="8">
        <v>1509.16</v>
      </c>
      <c r="D364" s="8"/>
      <c r="E364" s="8"/>
      <c r="F364" s="8"/>
      <c r="G364" s="8"/>
      <c r="H364" s="8">
        <v>389.26</v>
      </c>
      <c r="I364" s="8"/>
      <c r="J364" s="8"/>
      <c r="K364" s="8"/>
      <c r="L364" s="8"/>
      <c r="M364" s="8">
        <v>3.95</v>
      </c>
      <c r="N364" s="8"/>
      <c r="O364" s="8"/>
      <c r="P364" s="8"/>
      <c r="Q364" s="11"/>
      <c r="R364" s="11"/>
      <c r="S364" s="8">
        <v>7.95</v>
      </c>
      <c r="T364" s="8">
        <v>13.84</v>
      </c>
      <c r="U364" s="8">
        <v>6.05</v>
      </c>
      <c r="V364" s="8"/>
      <c r="W364" s="8"/>
      <c r="X364" s="8"/>
      <c r="Y364" s="8"/>
      <c r="Z364" s="8"/>
      <c r="AA364" s="8"/>
      <c r="AB364" s="8"/>
      <c r="AC364" s="8">
        <v>6.91</v>
      </c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11"/>
      <c r="AQ364" s="8"/>
      <c r="AR364" s="8"/>
      <c r="AS364" s="8"/>
      <c r="AT364" s="8">
        <v>1104.48</v>
      </c>
      <c r="AU364" s="8"/>
      <c r="AV364" s="8"/>
      <c r="AW364" s="8"/>
      <c r="AX364" s="8"/>
      <c r="AY364" s="8"/>
      <c r="AZ364" s="8"/>
      <c r="BA364" s="8">
        <v>39.450000000000003</v>
      </c>
      <c r="BB364" s="8"/>
      <c r="BC364" s="8"/>
      <c r="BD364" s="8"/>
      <c r="BE364" s="8"/>
      <c r="BF364" s="8">
        <v>34.659999999999997</v>
      </c>
      <c r="BG364" s="8">
        <v>85.42</v>
      </c>
      <c r="BH364" s="9">
        <f t="shared" si="45"/>
        <v>1898.42</v>
      </c>
      <c r="BI364" s="9">
        <f t="shared" si="46"/>
        <v>3.95</v>
      </c>
      <c r="BJ364" s="9">
        <f t="shared" si="47"/>
        <v>7.95</v>
      </c>
      <c r="BK364" s="9">
        <f t="shared" si="48"/>
        <v>19.89</v>
      </c>
      <c r="BL364" s="9">
        <f t="shared" si="49"/>
        <v>0</v>
      </c>
      <c r="BM364" s="9">
        <f t="shared" si="50"/>
        <v>6.91</v>
      </c>
      <c r="BN364" s="9">
        <f t="shared" si="51"/>
        <v>1104.48</v>
      </c>
      <c r="BO364" s="9">
        <f t="shared" si="52"/>
        <v>39.450000000000003</v>
      </c>
      <c r="BP364" s="9">
        <f t="shared" si="53"/>
        <v>34.659999999999997</v>
      </c>
    </row>
    <row r="365" spans="1:68">
      <c r="A365" s="6">
        <v>44628</v>
      </c>
      <c r="B365" s="7">
        <v>3134</v>
      </c>
      <c r="C365" s="8">
        <v>1044.6300000000001</v>
      </c>
      <c r="D365" s="8">
        <v>146.12</v>
      </c>
      <c r="E365" s="8"/>
      <c r="F365" s="8"/>
      <c r="G365" s="8"/>
      <c r="H365" s="8">
        <v>493.21</v>
      </c>
      <c r="I365" s="8"/>
      <c r="J365" s="8"/>
      <c r="K365" s="8"/>
      <c r="L365" s="8"/>
      <c r="M365" s="8">
        <v>3.21</v>
      </c>
      <c r="N365" s="8"/>
      <c r="O365" s="8"/>
      <c r="P365" s="8"/>
      <c r="Q365" s="11"/>
      <c r="R365" s="11"/>
      <c r="S365" s="8">
        <v>6.6</v>
      </c>
      <c r="T365" s="8">
        <v>10.24</v>
      </c>
      <c r="U365" s="8">
        <v>8.7799999999999994</v>
      </c>
      <c r="V365" s="8"/>
      <c r="W365" s="8"/>
      <c r="X365" s="8"/>
      <c r="Y365" s="8"/>
      <c r="Z365" s="8"/>
      <c r="AA365" s="8"/>
      <c r="AB365" s="8"/>
      <c r="AC365" s="8">
        <v>5.85</v>
      </c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11"/>
      <c r="AQ365" s="8"/>
      <c r="AR365" s="8"/>
      <c r="AS365" s="8"/>
      <c r="AT365" s="8">
        <v>1036.1500000000001</v>
      </c>
      <c r="AU365" s="8"/>
      <c r="AV365" s="8"/>
      <c r="AW365" s="8"/>
      <c r="AX365" s="8"/>
      <c r="AY365" s="8">
        <v>15.03</v>
      </c>
      <c r="AZ365" s="8"/>
      <c r="BA365" s="8"/>
      <c r="BB365" s="8"/>
      <c r="BC365" s="8"/>
      <c r="BD365" s="8"/>
      <c r="BE365" s="8"/>
      <c r="BF365" s="8">
        <v>65.989999999999995</v>
      </c>
      <c r="BG365" s="8">
        <v>78.099999999999994</v>
      </c>
      <c r="BH365" s="9">
        <f t="shared" si="45"/>
        <v>1683.96</v>
      </c>
      <c r="BI365" s="9">
        <f t="shared" si="46"/>
        <v>3.21</v>
      </c>
      <c r="BJ365" s="9">
        <f t="shared" si="47"/>
        <v>6.6</v>
      </c>
      <c r="BK365" s="9">
        <f t="shared" si="48"/>
        <v>19.02</v>
      </c>
      <c r="BL365" s="9">
        <f t="shared" si="49"/>
        <v>0</v>
      </c>
      <c r="BM365" s="9">
        <f t="shared" si="50"/>
        <v>5.85</v>
      </c>
      <c r="BN365" s="9">
        <f t="shared" si="51"/>
        <v>1036.1500000000001</v>
      </c>
      <c r="BO365" s="9">
        <f t="shared" si="52"/>
        <v>15.03</v>
      </c>
      <c r="BP365" s="9">
        <f t="shared" si="53"/>
        <v>65.989999999999995</v>
      </c>
    </row>
    <row r="366" spans="1:68">
      <c r="A366" s="6">
        <v>44629</v>
      </c>
      <c r="B366" s="7">
        <v>3083</v>
      </c>
      <c r="C366" s="8"/>
      <c r="D366" s="8">
        <v>1095.4100000000001</v>
      </c>
      <c r="E366" s="8"/>
      <c r="F366" s="8"/>
      <c r="G366" s="8"/>
      <c r="H366" s="8"/>
      <c r="I366" s="8">
        <v>2546.69</v>
      </c>
      <c r="J366" s="8"/>
      <c r="K366" s="8"/>
      <c r="L366" s="8"/>
      <c r="M366" s="8"/>
      <c r="N366" s="8">
        <v>25.13</v>
      </c>
      <c r="O366" s="8"/>
      <c r="P366" s="8"/>
      <c r="Q366" s="11"/>
      <c r="R366" s="11"/>
      <c r="S366" s="8">
        <v>2.54</v>
      </c>
      <c r="T366" s="8">
        <v>29.11</v>
      </c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>
        <v>14.8</v>
      </c>
      <c r="AN366" s="8">
        <v>53.39</v>
      </c>
      <c r="AO366" s="8"/>
      <c r="AP366" s="11"/>
      <c r="AQ366" s="8"/>
      <c r="AR366" s="8">
        <v>91.33</v>
      </c>
      <c r="AS366" s="8"/>
      <c r="AT366" s="8">
        <v>1655.01</v>
      </c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>
        <v>130.13999999999999</v>
      </c>
      <c r="BH366" s="9">
        <f t="shared" si="45"/>
        <v>3642.1000000000004</v>
      </c>
      <c r="BI366" s="9">
        <f t="shared" si="46"/>
        <v>25.13</v>
      </c>
      <c r="BJ366" s="9">
        <f t="shared" si="47"/>
        <v>2.54</v>
      </c>
      <c r="BK366" s="9">
        <f t="shared" si="48"/>
        <v>29.11</v>
      </c>
      <c r="BL366" s="9">
        <f t="shared" si="49"/>
        <v>0</v>
      </c>
      <c r="BM366" s="9">
        <f t="shared" si="50"/>
        <v>159.51999999999998</v>
      </c>
      <c r="BN366" s="9">
        <f t="shared" si="51"/>
        <v>1655.01</v>
      </c>
      <c r="BO366" s="9">
        <f t="shared" si="52"/>
        <v>0</v>
      </c>
      <c r="BP366" s="9">
        <f t="shared" si="53"/>
        <v>0</v>
      </c>
    </row>
    <row r="367" spans="1:68">
      <c r="A367" s="6">
        <v>44629</v>
      </c>
      <c r="B367" s="7">
        <v>3016</v>
      </c>
      <c r="C367" s="8"/>
      <c r="D367" s="8">
        <v>1601.22</v>
      </c>
      <c r="E367" s="8"/>
      <c r="F367" s="8"/>
      <c r="G367" s="8"/>
      <c r="H367" s="8"/>
      <c r="I367" s="8">
        <v>1480.1</v>
      </c>
      <c r="J367" s="8"/>
      <c r="K367" s="8"/>
      <c r="L367" s="8"/>
      <c r="M367" s="8"/>
      <c r="N367" s="8">
        <v>18.5</v>
      </c>
      <c r="O367" s="8"/>
      <c r="P367" s="8"/>
      <c r="Q367" s="11"/>
      <c r="R367" s="11"/>
      <c r="S367" s="8">
        <v>2.15</v>
      </c>
      <c r="T367" s="8">
        <v>30.87</v>
      </c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>
        <v>12.49</v>
      </c>
      <c r="AN367" s="8">
        <v>37.19</v>
      </c>
      <c r="AO367" s="8"/>
      <c r="AP367" s="11"/>
      <c r="AQ367" s="8"/>
      <c r="AR367" s="8">
        <v>76.83</v>
      </c>
      <c r="AS367" s="8"/>
      <c r="AT367" s="8">
        <v>1145.9100000000001</v>
      </c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>
        <v>84.21</v>
      </c>
      <c r="BH367" s="9">
        <f t="shared" si="45"/>
        <v>3081.3199999999997</v>
      </c>
      <c r="BI367" s="9">
        <f t="shared" si="46"/>
        <v>18.5</v>
      </c>
      <c r="BJ367" s="9">
        <f t="shared" si="47"/>
        <v>2.15</v>
      </c>
      <c r="BK367" s="9">
        <f t="shared" si="48"/>
        <v>30.87</v>
      </c>
      <c r="BL367" s="9">
        <f t="shared" si="49"/>
        <v>0</v>
      </c>
      <c r="BM367" s="9">
        <f t="shared" si="50"/>
        <v>126.50999999999999</v>
      </c>
      <c r="BN367" s="9">
        <f t="shared" si="51"/>
        <v>1145.9100000000001</v>
      </c>
      <c r="BO367" s="9">
        <f t="shared" si="52"/>
        <v>0</v>
      </c>
      <c r="BP367" s="9">
        <f t="shared" si="53"/>
        <v>0</v>
      </c>
    </row>
    <row r="368" spans="1:68">
      <c r="A368" s="6">
        <v>44629</v>
      </c>
      <c r="B368" s="7">
        <v>3106</v>
      </c>
      <c r="C368" s="8">
        <v>4138.92</v>
      </c>
      <c r="D368" s="8"/>
      <c r="E368" s="8"/>
      <c r="F368" s="8"/>
      <c r="G368" s="8"/>
      <c r="H368" s="8"/>
      <c r="I368" s="8"/>
      <c r="J368" s="8"/>
      <c r="K368" s="8"/>
      <c r="L368" s="8"/>
      <c r="M368" s="8">
        <v>11.17</v>
      </c>
      <c r="N368" s="8"/>
      <c r="O368" s="8"/>
      <c r="P368" s="8"/>
      <c r="Q368" s="11"/>
      <c r="R368" s="11"/>
      <c r="S368" s="8">
        <v>12.85</v>
      </c>
      <c r="T368" s="8">
        <v>52.57</v>
      </c>
      <c r="U368" s="8"/>
      <c r="V368" s="8"/>
      <c r="W368" s="8"/>
      <c r="X368" s="8"/>
      <c r="Y368" s="8"/>
      <c r="Z368" s="8"/>
      <c r="AA368" s="8"/>
      <c r="AB368" s="8"/>
      <c r="AC368" s="8">
        <v>16.57</v>
      </c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11"/>
      <c r="AQ368" s="8"/>
      <c r="AR368" s="8"/>
      <c r="AS368" s="8"/>
      <c r="AT368" s="8">
        <v>2371.73</v>
      </c>
      <c r="AU368" s="8"/>
      <c r="AV368" s="8"/>
      <c r="AW368" s="8"/>
      <c r="AX368" s="8">
        <v>5.19</v>
      </c>
      <c r="AY368" s="8"/>
      <c r="AZ368" s="8"/>
      <c r="BA368" s="8"/>
      <c r="BB368" s="8"/>
      <c r="BC368" s="8"/>
      <c r="BD368" s="8"/>
      <c r="BE368" s="8"/>
      <c r="BF368" s="8"/>
      <c r="BG368" s="8">
        <v>177.85</v>
      </c>
      <c r="BH368" s="9">
        <f t="shared" si="45"/>
        <v>4138.92</v>
      </c>
      <c r="BI368" s="9">
        <f t="shared" si="46"/>
        <v>11.17</v>
      </c>
      <c r="BJ368" s="9">
        <f t="shared" si="47"/>
        <v>12.85</v>
      </c>
      <c r="BK368" s="9">
        <f t="shared" si="48"/>
        <v>52.57</v>
      </c>
      <c r="BL368" s="9">
        <f t="shared" si="49"/>
        <v>0</v>
      </c>
      <c r="BM368" s="9">
        <f t="shared" si="50"/>
        <v>16.57</v>
      </c>
      <c r="BN368" s="9">
        <f t="shared" si="51"/>
        <v>2371.73</v>
      </c>
      <c r="BO368" s="9">
        <f t="shared" si="52"/>
        <v>5.19</v>
      </c>
      <c r="BP368" s="9">
        <f t="shared" si="53"/>
        <v>0</v>
      </c>
    </row>
    <row r="369" spans="1:68">
      <c r="A369" s="6">
        <v>44629</v>
      </c>
      <c r="B369" s="7">
        <v>3136</v>
      </c>
      <c r="C369" s="8">
        <v>1251.3399999999999</v>
      </c>
      <c r="D369" s="8"/>
      <c r="E369" s="8"/>
      <c r="F369" s="8"/>
      <c r="G369" s="8"/>
      <c r="H369" s="8">
        <v>519.98</v>
      </c>
      <c r="I369" s="8"/>
      <c r="J369" s="8"/>
      <c r="K369" s="8"/>
      <c r="L369" s="8"/>
      <c r="M369" s="8">
        <v>2.33</v>
      </c>
      <c r="N369" s="8"/>
      <c r="O369" s="8"/>
      <c r="P369" s="8"/>
      <c r="Q369" s="11"/>
      <c r="R369" s="11"/>
      <c r="S369" s="8">
        <v>7.72</v>
      </c>
      <c r="T369" s="8">
        <v>10.8</v>
      </c>
      <c r="U369" s="8">
        <v>9.25</v>
      </c>
      <c r="V369" s="8"/>
      <c r="W369" s="8"/>
      <c r="X369" s="8"/>
      <c r="Y369" s="8"/>
      <c r="Z369" s="8"/>
      <c r="AA369" s="8"/>
      <c r="AB369" s="8"/>
      <c r="AC369" s="8">
        <v>6.16</v>
      </c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11"/>
      <c r="AQ369" s="8"/>
      <c r="AR369" s="8"/>
      <c r="AS369" s="8"/>
      <c r="AT369" s="8">
        <v>1001.42</v>
      </c>
      <c r="AU369" s="8"/>
      <c r="AV369" s="8"/>
      <c r="AW369" s="8"/>
      <c r="AX369" s="8"/>
      <c r="AY369" s="8"/>
      <c r="AZ369" s="8"/>
      <c r="BA369" s="8">
        <v>15.29</v>
      </c>
      <c r="BB369" s="8"/>
      <c r="BC369" s="8"/>
      <c r="BD369" s="8"/>
      <c r="BE369" s="8"/>
      <c r="BF369" s="8">
        <v>61.68</v>
      </c>
      <c r="BG369" s="8">
        <v>75.58</v>
      </c>
      <c r="BH369" s="9">
        <f t="shared" si="45"/>
        <v>1771.32</v>
      </c>
      <c r="BI369" s="9">
        <f t="shared" si="46"/>
        <v>2.33</v>
      </c>
      <c r="BJ369" s="9">
        <f t="shared" si="47"/>
        <v>7.72</v>
      </c>
      <c r="BK369" s="9">
        <f t="shared" si="48"/>
        <v>20.05</v>
      </c>
      <c r="BL369" s="9">
        <f t="shared" si="49"/>
        <v>0</v>
      </c>
      <c r="BM369" s="9">
        <f t="shared" si="50"/>
        <v>6.16</v>
      </c>
      <c r="BN369" s="9">
        <f t="shared" si="51"/>
        <v>1001.42</v>
      </c>
      <c r="BO369" s="9">
        <f t="shared" si="52"/>
        <v>15.29</v>
      </c>
      <c r="BP369" s="9">
        <f t="shared" si="53"/>
        <v>61.68</v>
      </c>
    </row>
    <row r="370" spans="1:68">
      <c r="A370" s="6">
        <v>44629</v>
      </c>
      <c r="B370" s="7">
        <v>3307</v>
      </c>
      <c r="C370" s="8"/>
      <c r="D370" s="8">
        <v>1891.76</v>
      </c>
      <c r="E370" s="8"/>
      <c r="F370" s="8"/>
      <c r="G370" s="8"/>
      <c r="H370" s="8"/>
      <c r="I370" s="8"/>
      <c r="J370" s="8"/>
      <c r="K370" s="8"/>
      <c r="L370" s="8"/>
      <c r="M370" s="8">
        <v>2.46</v>
      </c>
      <c r="N370" s="8"/>
      <c r="O370" s="8"/>
      <c r="P370" s="8"/>
      <c r="Q370" s="11"/>
      <c r="R370" s="11"/>
      <c r="S370" s="8">
        <v>13.83</v>
      </c>
      <c r="T370" s="8">
        <v>18.95</v>
      </c>
      <c r="U370" s="8"/>
      <c r="V370" s="8"/>
      <c r="W370" s="8"/>
      <c r="X370" s="8"/>
      <c r="Y370" s="8"/>
      <c r="Z370" s="8"/>
      <c r="AA370" s="8"/>
      <c r="AB370" s="8"/>
      <c r="AC370" s="8">
        <v>11.37</v>
      </c>
      <c r="AD370" s="8"/>
      <c r="AE370" s="8"/>
      <c r="AF370" s="8"/>
      <c r="AG370" s="8">
        <v>18.97</v>
      </c>
      <c r="AH370" s="8"/>
      <c r="AI370" s="8"/>
      <c r="AJ370" s="8"/>
      <c r="AK370" s="8"/>
      <c r="AL370" s="8"/>
      <c r="AM370" s="8"/>
      <c r="AN370" s="8"/>
      <c r="AO370" s="8"/>
      <c r="AP370" s="11"/>
      <c r="AQ370" s="8"/>
      <c r="AR370" s="8"/>
      <c r="AS370" s="8"/>
      <c r="AT370" s="8"/>
      <c r="AU370" s="8">
        <v>948.59</v>
      </c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>
        <v>68.2</v>
      </c>
      <c r="BH370" s="9">
        <f t="shared" si="45"/>
        <v>1891.76</v>
      </c>
      <c r="BI370" s="9">
        <f t="shared" si="46"/>
        <v>2.46</v>
      </c>
      <c r="BJ370" s="9">
        <f t="shared" si="47"/>
        <v>13.83</v>
      </c>
      <c r="BK370" s="9">
        <f t="shared" si="48"/>
        <v>18.95</v>
      </c>
      <c r="BL370" s="9">
        <f t="shared" si="49"/>
        <v>0</v>
      </c>
      <c r="BM370" s="9">
        <f t="shared" si="50"/>
        <v>30.339999999999996</v>
      </c>
      <c r="BN370" s="9">
        <f t="shared" si="51"/>
        <v>948.59</v>
      </c>
      <c r="BO370" s="9">
        <f t="shared" si="52"/>
        <v>0</v>
      </c>
      <c r="BP370" s="9">
        <f t="shared" si="53"/>
        <v>0</v>
      </c>
    </row>
    <row r="371" spans="1:68">
      <c r="A371" s="6">
        <v>44629</v>
      </c>
      <c r="B371" s="7">
        <v>3309</v>
      </c>
      <c r="C371" s="8"/>
      <c r="D371" s="8">
        <v>1739</v>
      </c>
      <c r="E371" s="8"/>
      <c r="F371" s="8"/>
      <c r="G371" s="8"/>
      <c r="H371" s="8"/>
      <c r="I371" s="8"/>
      <c r="J371" s="8"/>
      <c r="K371" s="8"/>
      <c r="L371" s="8"/>
      <c r="M371" s="8">
        <v>1.71</v>
      </c>
      <c r="N371" s="8"/>
      <c r="O371" s="8"/>
      <c r="P371" s="8"/>
      <c r="Q371" s="11"/>
      <c r="R371" s="11"/>
      <c r="S371" s="8">
        <v>12.01</v>
      </c>
      <c r="T371" s="8">
        <v>15.7</v>
      </c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>
        <v>17.5</v>
      </c>
      <c r="AH371" s="8"/>
      <c r="AI371" s="8"/>
      <c r="AJ371" s="8"/>
      <c r="AK371" s="8"/>
      <c r="AL371" s="8"/>
      <c r="AM371" s="8"/>
      <c r="AN371" s="8"/>
      <c r="AO371" s="8"/>
      <c r="AP371" s="11"/>
      <c r="AQ371" s="8"/>
      <c r="AR371" s="8"/>
      <c r="AS371" s="8"/>
      <c r="AT371" s="8"/>
      <c r="AU371" s="8">
        <v>752.88</v>
      </c>
      <c r="AV371" s="8"/>
      <c r="AW371" s="8"/>
      <c r="AX371" s="8"/>
      <c r="AY371" s="8"/>
      <c r="AZ371" s="8"/>
      <c r="BA371" s="8"/>
      <c r="BB371" s="8"/>
      <c r="BC371" s="8">
        <v>1.62</v>
      </c>
      <c r="BD371" s="8"/>
      <c r="BE371" s="8"/>
      <c r="BF371" s="8"/>
      <c r="BG371" s="8">
        <v>50.28</v>
      </c>
      <c r="BH371" s="9">
        <f t="shared" si="45"/>
        <v>1739</v>
      </c>
      <c r="BI371" s="9">
        <f t="shared" si="46"/>
        <v>1.71</v>
      </c>
      <c r="BJ371" s="9">
        <f t="shared" si="47"/>
        <v>12.01</v>
      </c>
      <c r="BK371" s="9">
        <f t="shared" si="48"/>
        <v>15.7</v>
      </c>
      <c r="BL371" s="9">
        <f t="shared" si="49"/>
        <v>0</v>
      </c>
      <c r="BM371" s="9">
        <f t="shared" si="50"/>
        <v>17.5</v>
      </c>
      <c r="BN371" s="9">
        <f t="shared" si="51"/>
        <v>752.88</v>
      </c>
      <c r="BO371" s="9">
        <f t="shared" si="52"/>
        <v>1.62</v>
      </c>
      <c r="BP371" s="9">
        <f t="shared" si="53"/>
        <v>0</v>
      </c>
    </row>
    <row r="372" spans="1:68">
      <c r="A372" s="6">
        <v>44629</v>
      </c>
      <c r="B372" s="7">
        <v>3601</v>
      </c>
      <c r="C372" s="8">
        <v>307.95999999999998</v>
      </c>
      <c r="D372" s="8"/>
      <c r="E372" s="8"/>
      <c r="F372" s="8"/>
      <c r="G372" s="8">
        <v>461.11</v>
      </c>
      <c r="H372" s="8"/>
      <c r="I372" s="8"/>
      <c r="J372" s="8"/>
      <c r="K372" s="8"/>
      <c r="L372" s="8"/>
      <c r="M372" s="8">
        <v>0.92</v>
      </c>
      <c r="N372" s="8"/>
      <c r="O372" s="8"/>
      <c r="P372" s="8"/>
      <c r="Q372" s="11"/>
      <c r="R372" s="11"/>
      <c r="S372" s="8">
        <v>4.12</v>
      </c>
      <c r="T372" s="8"/>
      <c r="U372" s="8">
        <v>4.62</v>
      </c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11"/>
      <c r="AQ372" s="8"/>
      <c r="AR372" s="8"/>
      <c r="AS372" s="8"/>
      <c r="AT372" s="8">
        <v>377.52</v>
      </c>
      <c r="AU372" s="8"/>
      <c r="AV372" s="8"/>
      <c r="AW372" s="8">
        <v>23.36</v>
      </c>
      <c r="AX372" s="8"/>
      <c r="AY372" s="8"/>
      <c r="AZ372" s="8"/>
      <c r="BA372" s="8"/>
      <c r="BB372" s="8"/>
      <c r="BC372" s="8"/>
      <c r="BD372" s="8"/>
      <c r="BE372" s="8"/>
      <c r="BF372" s="8">
        <v>43.1</v>
      </c>
      <c r="BG372" s="8">
        <v>28.48</v>
      </c>
      <c r="BH372" s="9">
        <f t="shared" si="45"/>
        <v>769.06999999999994</v>
      </c>
      <c r="BI372" s="9">
        <f t="shared" si="46"/>
        <v>0.92</v>
      </c>
      <c r="BJ372" s="9">
        <f t="shared" si="47"/>
        <v>4.12</v>
      </c>
      <c r="BK372" s="9">
        <f t="shared" si="48"/>
        <v>4.62</v>
      </c>
      <c r="BL372" s="9">
        <f t="shared" si="49"/>
        <v>0</v>
      </c>
      <c r="BM372" s="9">
        <f t="shared" si="50"/>
        <v>0</v>
      </c>
      <c r="BN372" s="9">
        <f t="shared" si="51"/>
        <v>377.52</v>
      </c>
      <c r="BO372" s="9">
        <f t="shared" si="52"/>
        <v>23.36</v>
      </c>
      <c r="BP372" s="9">
        <f t="shared" si="53"/>
        <v>43.1</v>
      </c>
    </row>
    <row r="373" spans="1:68">
      <c r="A373" s="6">
        <v>44629</v>
      </c>
      <c r="B373" s="7">
        <v>3135</v>
      </c>
      <c r="C373" s="8">
        <v>1068.7</v>
      </c>
      <c r="D373" s="8">
        <v>150</v>
      </c>
      <c r="E373" s="8"/>
      <c r="F373" s="8"/>
      <c r="G373" s="8"/>
      <c r="H373" s="8">
        <v>504.33</v>
      </c>
      <c r="I373" s="8"/>
      <c r="J373" s="8"/>
      <c r="K373" s="8"/>
      <c r="L373" s="8"/>
      <c r="M373" s="8">
        <v>3.35</v>
      </c>
      <c r="N373" s="8"/>
      <c r="O373" s="8"/>
      <c r="P373" s="8"/>
      <c r="Q373" s="11"/>
      <c r="R373" s="11"/>
      <c r="S373" s="8">
        <v>6.93</v>
      </c>
      <c r="T373" s="8">
        <v>10.54</v>
      </c>
      <c r="U373" s="8">
        <v>9.0299999999999994</v>
      </c>
      <c r="V373" s="8"/>
      <c r="W373" s="8"/>
      <c r="X373" s="8"/>
      <c r="Y373" s="8"/>
      <c r="Z373" s="8"/>
      <c r="AA373" s="8"/>
      <c r="AB373" s="8"/>
      <c r="AC373" s="8">
        <v>6.01</v>
      </c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11"/>
      <c r="AQ373" s="8"/>
      <c r="AR373" s="8"/>
      <c r="AS373" s="8"/>
      <c r="AT373" s="8">
        <v>1061.03</v>
      </c>
      <c r="AU373" s="8"/>
      <c r="AV373" s="8"/>
      <c r="AW373" s="8"/>
      <c r="AX373" s="8"/>
      <c r="AY373" s="8"/>
      <c r="AZ373" s="8"/>
      <c r="BA373" s="8">
        <v>34.33</v>
      </c>
      <c r="BB373" s="8"/>
      <c r="BC373" s="8"/>
      <c r="BD373" s="8"/>
      <c r="BE373" s="8"/>
      <c r="BF373" s="8">
        <v>67.680000000000007</v>
      </c>
      <c r="BG373" s="8">
        <v>79.63</v>
      </c>
      <c r="BH373" s="9">
        <f t="shared" si="45"/>
        <v>1723.03</v>
      </c>
      <c r="BI373" s="9">
        <f t="shared" si="46"/>
        <v>3.35</v>
      </c>
      <c r="BJ373" s="9">
        <f t="shared" si="47"/>
        <v>6.93</v>
      </c>
      <c r="BK373" s="9">
        <f t="shared" si="48"/>
        <v>19.57</v>
      </c>
      <c r="BL373" s="9">
        <f t="shared" si="49"/>
        <v>0</v>
      </c>
      <c r="BM373" s="9">
        <f t="shared" si="50"/>
        <v>6.01</v>
      </c>
      <c r="BN373" s="9">
        <f t="shared" si="51"/>
        <v>1061.03</v>
      </c>
      <c r="BO373" s="9">
        <f t="shared" si="52"/>
        <v>34.33</v>
      </c>
      <c r="BP373" s="9">
        <f t="shared" si="53"/>
        <v>67.680000000000007</v>
      </c>
    </row>
    <row r="374" spans="1:68">
      <c r="A374" s="6">
        <v>44630</v>
      </c>
      <c r="B374" s="7">
        <v>3602</v>
      </c>
      <c r="C374" s="8">
        <v>588.04</v>
      </c>
      <c r="D374" s="8"/>
      <c r="E374" s="8"/>
      <c r="F374" s="8"/>
      <c r="G374" s="8">
        <v>880.78</v>
      </c>
      <c r="H374" s="8"/>
      <c r="I374" s="8"/>
      <c r="J374" s="8"/>
      <c r="K374" s="8"/>
      <c r="L374" s="8"/>
      <c r="M374" s="8">
        <v>1.55</v>
      </c>
      <c r="N374" s="8"/>
      <c r="O374" s="8"/>
      <c r="P374" s="8"/>
      <c r="Q374" s="11"/>
      <c r="R374" s="11"/>
      <c r="S374" s="8">
        <v>8.07</v>
      </c>
      <c r="T374" s="8"/>
      <c r="U374" s="8">
        <v>4.71</v>
      </c>
      <c r="V374" s="8">
        <v>14.35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11"/>
      <c r="AQ374" s="8"/>
      <c r="AR374" s="8"/>
      <c r="AS374" s="8"/>
      <c r="AT374" s="8">
        <v>612.70000000000005</v>
      </c>
      <c r="AU374" s="8"/>
      <c r="AV374" s="8"/>
      <c r="AW374" s="8">
        <v>37.99</v>
      </c>
      <c r="AX374" s="8"/>
      <c r="AY374" s="8"/>
      <c r="AZ374" s="8"/>
      <c r="BA374" s="8"/>
      <c r="BB374" s="8"/>
      <c r="BC374" s="8"/>
      <c r="BD374" s="8"/>
      <c r="BE374" s="8"/>
      <c r="BF374" s="8">
        <v>47.06</v>
      </c>
      <c r="BG374" s="8">
        <v>45.88</v>
      </c>
      <c r="BH374" s="9">
        <f t="shared" si="45"/>
        <v>1468.82</v>
      </c>
      <c r="BI374" s="9">
        <f t="shared" si="46"/>
        <v>1.55</v>
      </c>
      <c r="BJ374" s="9">
        <f t="shared" si="47"/>
        <v>8.07</v>
      </c>
      <c r="BK374" s="9">
        <f t="shared" si="48"/>
        <v>19.059999999999999</v>
      </c>
      <c r="BL374" s="9">
        <f t="shared" si="49"/>
        <v>0</v>
      </c>
      <c r="BM374" s="9">
        <f t="shared" si="50"/>
        <v>0</v>
      </c>
      <c r="BN374" s="9">
        <f t="shared" si="51"/>
        <v>612.70000000000005</v>
      </c>
      <c r="BO374" s="9">
        <f t="shared" si="52"/>
        <v>37.99</v>
      </c>
      <c r="BP374" s="9">
        <f t="shared" si="53"/>
        <v>47.06</v>
      </c>
    </row>
    <row r="375" spans="1:68">
      <c r="A375" s="6">
        <v>44630</v>
      </c>
      <c r="B375" s="7">
        <v>3200</v>
      </c>
      <c r="C375" s="8">
        <v>2249.5300000000002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>
        <v>5.64</v>
      </c>
      <c r="P375" s="8"/>
      <c r="Q375" s="11"/>
      <c r="R375" s="11"/>
      <c r="S375" s="8">
        <v>8.8000000000000007</v>
      </c>
      <c r="T375" s="8"/>
      <c r="U375" s="8">
        <v>33.909999999999997</v>
      </c>
      <c r="V375" s="8"/>
      <c r="W375" s="8"/>
      <c r="X375" s="8"/>
      <c r="Y375" s="8"/>
      <c r="Z375" s="8">
        <v>474.2</v>
      </c>
      <c r="AA375" s="8"/>
      <c r="AB375" s="8"/>
      <c r="AC375" s="8"/>
      <c r="AD375" s="8"/>
      <c r="AE375" s="8">
        <v>34.15</v>
      </c>
      <c r="AF375" s="8">
        <v>112.44</v>
      </c>
      <c r="AG375" s="8"/>
      <c r="AH375" s="8"/>
      <c r="AI375" s="8"/>
      <c r="AJ375" s="8"/>
      <c r="AK375" s="8"/>
      <c r="AL375" s="8"/>
      <c r="AM375" s="8"/>
      <c r="AN375" s="8"/>
      <c r="AO375" s="8"/>
      <c r="AP375" s="11"/>
      <c r="AQ375" s="8"/>
      <c r="AR375" s="8"/>
      <c r="AS375" s="8"/>
      <c r="AT375" s="8">
        <v>1544.6</v>
      </c>
      <c r="AU375" s="8"/>
      <c r="AV375" s="8"/>
      <c r="AW375" s="8">
        <v>6.48</v>
      </c>
      <c r="AX375" s="8"/>
      <c r="AY375" s="8"/>
      <c r="AZ375" s="8"/>
      <c r="BA375" s="8"/>
      <c r="BB375" s="8"/>
      <c r="BC375" s="8"/>
      <c r="BD375" s="8"/>
      <c r="BE375" s="8"/>
      <c r="BF375" s="8">
        <v>108.44</v>
      </c>
      <c r="BG375" s="8">
        <v>111.68</v>
      </c>
      <c r="BH375" s="9">
        <f t="shared" si="45"/>
        <v>2249.5300000000002</v>
      </c>
      <c r="BI375" s="9">
        <f t="shared" si="46"/>
        <v>5.64</v>
      </c>
      <c r="BJ375" s="9">
        <f t="shared" si="47"/>
        <v>8.8000000000000007</v>
      </c>
      <c r="BK375" s="9">
        <f t="shared" si="48"/>
        <v>33.909999999999997</v>
      </c>
      <c r="BL375" s="9">
        <f t="shared" si="49"/>
        <v>474.2</v>
      </c>
      <c r="BM375" s="9">
        <f t="shared" si="50"/>
        <v>146.59</v>
      </c>
      <c r="BN375" s="9">
        <f t="shared" si="51"/>
        <v>1544.6</v>
      </c>
      <c r="BO375" s="9">
        <f t="shared" si="52"/>
        <v>6.48</v>
      </c>
      <c r="BP375" s="9">
        <f t="shared" si="53"/>
        <v>108.44</v>
      </c>
    </row>
    <row r="376" spans="1:68">
      <c r="A376" s="6">
        <v>44630</v>
      </c>
      <c r="B376" s="7">
        <v>3005</v>
      </c>
      <c r="C376" s="8">
        <v>461.67</v>
      </c>
      <c r="D376" s="8">
        <v>309.44</v>
      </c>
      <c r="E376" s="8"/>
      <c r="F376" s="8"/>
      <c r="G376" s="8"/>
      <c r="H376" s="8"/>
      <c r="I376" s="8"/>
      <c r="J376" s="8"/>
      <c r="K376" s="8"/>
      <c r="L376" s="8"/>
      <c r="M376" s="8"/>
      <c r="N376" s="8">
        <v>0.77</v>
      </c>
      <c r="O376" s="8"/>
      <c r="P376" s="8"/>
      <c r="Q376" s="11"/>
      <c r="R376" s="11"/>
      <c r="S376" s="8">
        <v>2.7</v>
      </c>
      <c r="T376" s="8">
        <v>8.51</v>
      </c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11"/>
      <c r="AQ376" s="8"/>
      <c r="AR376" s="8"/>
      <c r="AS376" s="8"/>
      <c r="AT376" s="8">
        <v>377.82</v>
      </c>
      <c r="AU376" s="8"/>
      <c r="AV376" s="8"/>
      <c r="AW376" s="8">
        <v>8.57</v>
      </c>
      <c r="AX376" s="8"/>
      <c r="AY376" s="8"/>
      <c r="AZ376" s="8"/>
      <c r="BA376" s="8"/>
      <c r="BB376" s="8"/>
      <c r="BC376" s="8"/>
      <c r="BD376" s="8"/>
      <c r="BE376" s="8"/>
      <c r="BF376" s="8"/>
      <c r="BG376" s="8">
        <v>28.15</v>
      </c>
      <c r="BH376" s="9">
        <f t="shared" si="45"/>
        <v>771.11</v>
      </c>
      <c r="BI376" s="9">
        <f t="shared" si="46"/>
        <v>0.77</v>
      </c>
      <c r="BJ376" s="9">
        <f t="shared" si="47"/>
        <v>2.7</v>
      </c>
      <c r="BK376" s="9">
        <f t="shared" si="48"/>
        <v>8.51</v>
      </c>
      <c r="BL376" s="9">
        <f t="shared" si="49"/>
        <v>0</v>
      </c>
      <c r="BM376" s="9">
        <f t="shared" si="50"/>
        <v>0</v>
      </c>
      <c r="BN376" s="9">
        <f t="shared" si="51"/>
        <v>377.82</v>
      </c>
      <c r="BO376" s="9">
        <f t="shared" si="52"/>
        <v>8.57</v>
      </c>
      <c r="BP376" s="9">
        <f t="shared" si="53"/>
        <v>0</v>
      </c>
    </row>
    <row r="377" spans="1:68">
      <c r="A377" s="6">
        <v>44630</v>
      </c>
      <c r="B377" s="7">
        <v>3028</v>
      </c>
      <c r="C377" s="8"/>
      <c r="D377" s="8">
        <v>766.1</v>
      </c>
      <c r="E377" s="8"/>
      <c r="F377" s="8">
        <v>705.5</v>
      </c>
      <c r="G377" s="8"/>
      <c r="H377" s="8"/>
      <c r="I377" s="8">
        <v>1594.81</v>
      </c>
      <c r="J377" s="8"/>
      <c r="K377" s="8"/>
      <c r="L377" s="8"/>
      <c r="M377" s="8"/>
      <c r="N377" s="8">
        <v>22.99</v>
      </c>
      <c r="O377" s="8"/>
      <c r="P377" s="8"/>
      <c r="Q377" s="11"/>
      <c r="R377" s="11"/>
      <c r="S377" s="8">
        <v>4.29</v>
      </c>
      <c r="T377" s="8"/>
      <c r="U377" s="8"/>
      <c r="V377" s="8"/>
      <c r="W377" s="8">
        <v>23.38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>
        <v>31.26</v>
      </c>
      <c r="AN377" s="8">
        <v>21.43</v>
      </c>
      <c r="AO377" s="8"/>
      <c r="AP377" s="11"/>
      <c r="AQ377" s="8"/>
      <c r="AR377" s="8"/>
      <c r="AS377" s="8">
        <v>101.65</v>
      </c>
      <c r="AT377" s="8">
        <v>1021.57</v>
      </c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>
        <v>69.87</v>
      </c>
      <c r="BH377" s="9">
        <f t="shared" si="45"/>
        <v>3066.41</v>
      </c>
      <c r="BI377" s="9">
        <f t="shared" si="46"/>
        <v>22.99</v>
      </c>
      <c r="BJ377" s="9">
        <f t="shared" si="47"/>
        <v>4.29</v>
      </c>
      <c r="BK377" s="9">
        <f t="shared" si="48"/>
        <v>23.38</v>
      </c>
      <c r="BL377" s="9">
        <f t="shared" si="49"/>
        <v>0</v>
      </c>
      <c r="BM377" s="9">
        <f t="shared" si="50"/>
        <v>154.34</v>
      </c>
      <c r="BN377" s="9">
        <f t="shared" si="51"/>
        <v>1021.57</v>
      </c>
      <c r="BO377" s="9">
        <f t="shared" si="52"/>
        <v>0</v>
      </c>
      <c r="BP377" s="9">
        <f t="shared" si="53"/>
        <v>0</v>
      </c>
    </row>
    <row r="378" spans="1:68">
      <c r="A378" s="6">
        <v>44630</v>
      </c>
      <c r="B378" s="7">
        <v>3022</v>
      </c>
      <c r="C378" s="8"/>
      <c r="D378" s="8">
        <v>347.31</v>
      </c>
      <c r="E378" s="8"/>
      <c r="F378" s="8"/>
      <c r="G378" s="8"/>
      <c r="H378" s="8"/>
      <c r="I378" s="8">
        <v>281.87</v>
      </c>
      <c r="J378" s="8"/>
      <c r="K378" s="8"/>
      <c r="L378" s="8"/>
      <c r="M378" s="8"/>
      <c r="N378" s="8">
        <v>3.15</v>
      </c>
      <c r="O378" s="8"/>
      <c r="P378" s="8"/>
      <c r="Q378" s="11"/>
      <c r="R378" s="11"/>
      <c r="S378" s="8">
        <v>1.1399999999999999</v>
      </c>
      <c r="T378" s="8"/>
      <c r="U378" s="8"/>
      <c r="V378" s="8"/>
      <c r="W378" s="8">
        <v>6.45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>
        <v>8.25</v>
      </c>
      <c r="AN378" s="8"/>
      <c r="AO378" s="8"/>
      <c r="AP378" s="11"/>
      <c r="AQ378" s="8"/>
      <c r="AR378" s="8"/>
      <c r="AS378" s="8">
        <v>21.81</v>
      </c>
      <c r="AT378" s="8">
        <v>294.95</v>
      </c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>
        <v>22.71</v>
      </c>
      <c r="BH378" s="9">
        <f t="shared" si="45"/>
        <v>629.18000000000006</v>
      </c>
      <c r="BI378" s="9">
        <f t="shared" si="46"/>
        <v>3.15</v>
      </c>
      <c r="BJ378" s="9">
        <f t="shared" si="47"/>
        <v>1.1399999999999999</v>
      </c>
      <c r="BK378" s="9">
        <f t="shared" si="48"/>
        <v>6.45</v>
      </c>
      <c r="BL378" s="9">
        <f t="shared" si="49"/>
        <v>0</v>
      </c>
      <c r="BM378" s="9">
        <f t="shared" si="50"/>
        <v>30.06</v>
      </c>
      <c r="BN378" s="9">
        <f t="shared" si="51"/>
        <v>294.95</v>
      </c>
      <c r="BO378" s="9">
        <f t="shared" si="52"/>
        <v>0</v>
      </c>
      <c r="BP378" s="9">
        <f t="shared" si="53"/>
        <v>0</v>
      </c>
    </row>
    <row r="379" spans="1:68">
      <c r="A379" s="6">
        <v>44630</v>
      </c>
      <c r="B379" s="7">
        <v>3079</v>
      </c>
      <c r="C379" s="8"/>
      <c r="D379" s="8"/>
      <c r="E379" s="8"/>
      <c r="F379" s="8">
        <v>507.86</v>
      </c>
      <c r="G379" s="8"/>
      <c r="H379" s="8"/>
      <c r="I379" s="8">
        <v>4105.93</v>
      </c>
      <c r="J379" s="8"/>
      <c r="K379" s="8"/>
      <c r="L379" s="8"/>
      <c r="M379" s="8"/>
      <c r="N379" s="8">
        <v>34.65</v>
      </c>
      <c r="O379" s="8"/>
      <c r="P379" s="8"/>
      <c r="Q379" s="11"/>
      <c r="R379" s="11"/>
      <c r="S379" s="8">
        <v>1.85</v>
      </c>
      <c r="T379" s="8">
        <v>46.22</v>
      </c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>
        <v>18.920000000000002</v>
      </c>
      <c r="AN379" s="8">
        <v>46.81</v>
      </c>
      <c r="AO379" s="8"/>
      <c r="AP379" s="11"/>
      <c r="AQ379" s="8"/>
      <c r="AR379" s="8">
        <v>115.22</v>
      </c>
      <c r="AS379" s="8"/>
      <c r="AT379" s="8">
        <v>1756.04</v>
      </c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>
        <v>126.89</v>
      </c>
      <c r="BH379" s="9">
        <f t="shared" si="45"/>
        <v>4613.79</v>
      </c>
      <c r="BI379" s="9">
        <f t="shared" si="46"/>
        <v>34.65</v>
      </c>
      <c r="BJ379" s="9">
        <f t="shared" si="47"/>
        <v>1.85</v>
      </c>
      <c r="BK379" s="9">
        <f t="shared" si="48"/>
        <v>46.22</v>
      </c>
      <c r="BL379" s="9">
        <f t="shared" si="49"/>
        <v>0</v>
      </c>
      <c r="BM379" s="9">
        <f t="shared" si="50"/>
        <v>180.95</v>
      </c>
      <c r="BN379" s="9">
        <f t="shared" si="51"/>
        <v>1756.04</v>
      </c>
      <c r="BO379" s="9">
        <f t="shared" si="52"/>
        <v>0</v>
      </c>
      <c r="BP379" s="9">
        <f t="shared" si="53"/>
        <v>0</v>
      </c>
    </row>
    <row r="380" spans="1:68">
      <c r="A380" s="6">
        <v>44630</v>
      </c>
      <c r="B380" s="7">
        <v>3141</v>
      </c>
      <c r="C380" s="8">
        <v>2445.9699999999998</v>
      </c>
      <c r="D380" s="8">
        <v>431.46</v>
      </c>
      <c r="E380" s="8"/>
      <c r="F380" s="8"/>
      <c r="G380" s="8"/>
      <c r="H380" s="8"/>
      <c r="I380" s="8"/>
      <c r="J380" s="8"/>
      <c r="K380" s="8"/>
      <c r="L380" s="8"/>
      <c r="M380" s="8">
        <v>7.99</v>
      </c>
      <c r="N380" s="8"/>
      <c r="O380" s="8"/>
      <c r="P380" s="8"/>
      <c r="Q380" s="11"/>
      <c r="R380" s="11"/>
      <c r="S380" s="8">
        <v>13.53</v>
      </c>
      <c r="T380" s="8">
        <v>21.61</v>
      </c>
      <c r="U380" s="8">
        <v>21.59</v>
      </c>
      <c r="V380" s="8"/>
      <c r="W380" s="8"/>
      <c r="X380" s="8"/>
      <c r="Y380" s="8"/>
      <c r="Z380" s="8"/>
      <c r="AA380" s="8"/>
      <c r="AB380" s="8"/>
      <c r="AC380" s="8">
        <v>11.52</v>
      </c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11"/>
      <c r="AQ380" s="8"/>
      <c r="AR380" s="8"/>
      <c r="AS380" s="8"/>
      <c r="AT380" s="8">
        <v>1899.25</v>
      </c>
      <c r="AU380" s="8"/>
      <c r="AV380" s="8"/>
      <c r="AW380" s="8"/>
      <c r="AX380" s="8"/>
      <c r="AY380" s="8"/>
      <c r="AZ380" s="8"/>
      <c r="BA380" s="8">
        <v>65.67</v>
      </c>
      <c r="BB380" s="8"/>
      <c r="BC380" s="8"/>
      <c r="BD380" s="8"/>
      <c r="BE380" s="8"/>
      <c r="BF380" s="8">
        <v>201.51</v>
      </c>
      <c r="BG380" s="8">
        <v>149.91999999999999</v>
      </c>
      <c r="BH380" s="9">
        <f t="shared" si="45"/>
        <v>2877.43</v>
      </c>
      <c r="BI380" s="9">
        <f t="shared" si="46"/>
        <v>7.99</v>
      </c>
      <c r="BJ380" s="9">
        <f t="shared" si="47"/>
        <v>13.53</v>
      </c>
      <c r="BK380" s="9">
        <f t="shared" si="48"/>
        <v>43.2</v>
      </c>
      <c r="BL380" s="9">
        <f t="shared" si="49"/>
        <v>0</v>
      </c>
      <c r="BM380" s="9">
        <f t="shared" si="50"/>
        <v>11.52</v>
      </c>
      <c r="BN380" s="9">
        <f t="shared" si="51"/>
        <v>1899.25</v>
      </c>
      <c r="BO380" s="9">
        <f t="shared" si="52"/>
        <v>65.67</v>
      </c>
      <c r="BP380" s="9">
        <f t="shared" si="53"/>
        <v>201.51</v>
      </c>
    </row>
    <row r="381" spans="1:68">
      <c r="A381" s="6">
        <v>44630</v>
      </c>
      <c r="B381" s="7">
        <v>3106</v>
      </c>
      <c r="C381" s="8">
        <v>4077.07</v>
      </c>
      <c r="D381" s="8"/>
      <c r="E381" s="8"/>
      <c r="F381" s="8"/>
      <c r="G381" s="8"/>
      <c r="H381" s="8"/>
      <c r="I381" s="8"/>
      <c r="J381" s="8"/>
      <c r="K381" s="8"/>
      <c r="L381" s="8"/>
      <c r="M381" s="8">
        <v>16.32</v>
      </c>
      <c r="N381" s="8"/>
      <c r="O381" s="8"/>
      <c r="P381" s="8"/>
      <c r="Q381" s="11"/>
      <c r="R381" s="11"/>
      <c r="S381" s="8">
        <v>12.65</v>
      </c>
      <c r="T381" s="8">
        <v>51.79</v>
      </c>
      <c r="U381" s="8"/>
      <c r="V381" s="8"/>
      <c r="W381" s="8"/>
      <c r="X381" s="8"/>
      <c r="Y381" s="8"/>
      <c r="Z381" s="8"/>
      <c r="AA381" s="8"/>
      <c r="AB381" s="8"/>
      <c r="AC381" s="8">
        <v>16.32</v>
      </c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11"/>
      <c r="AQ381" s="8"/>
      <c r="AR381" s="8"/>
      <c r="AS381" s="8"/>
      <c r="AT381" s="8">
        <v>2335.73</v>
      </c>
      <c r="AU381" s="8"/>
      <c r="AV381" s="8"/>
      <c r="AW381" s="8"/>
      <c r="AX381" s="8">
        <v>5.1100000000000003</v>
      </c>
      <c r="AY381" s="8"/>
      <c r="AZ381" s="8"/>
      <c r="BA381" s="8"/>
      <c r="BB381" s="8"/>
      <c r="BC381" s="8"/>
      <c r="BD381" s="8"/>
      <c r="BE381" s="8"/>
      <c r="BF381" s="8"/>
      <c r="BG381" s="8">
        <v>175.72</v>
      </c>
      <c r="BH381" s="9">
        <f t="shared" si="45"/>
        <v>4077.07</v>
      </c>
      <c r="BI381" s="9">
        <f t="shared" si="46"/>
        <v>16.32</v>
      </c>
      <c r="BJ381" s="9">
        <f t="shared" si="47"/>
        <v>12.65</v>
      </c>
      <c r="BK381" s="9">
        <f t="shared" si="48"/>
        <v>51.79</v>
      </c>
      <c r="BL381" s="9">
        <f t="shared" si="49"/>
        <v>0</v>
      </c>
      <c r="BM381" s="9">
        <f t="shared" si="50"/>
        <v>16.32</v>
      </c>
      <c r="BN381" s="9">
        <f t="shared" si="51"/>
        <v>2335.73</v>
      </c>
      <c r="BO381" s="9">
        <f t="shared" si="52"/>
        <v>5.1100000000000003</v>
      </c>
      <c r="BP381" s="9">
        <f t="shared" si="53"/>
        <v>0</v>
      </c>
    </row>
    <row r="382" spans="1:68">
      <c r="A382" s="6">
        <v>44630</v>
      </c>
      <c r="B382" s="7">
        <v>3135</v>
      </c>
      <c r="C382" s="8">
        <v>1049.94</v>
      </c>
      <c r="D382" s="8">
        <v>146.85</v>
      </c>
      <c r="E382" s="8"/>
      <c r="F382" s="8"/>
      <c r="G382" s="8"/>
      <c r="H382" s="8">
        <v>496.37</v>
      </c>
      <c r="I382" s="8"/>
      <c r="J382" s="8"/>
      <c r="K382" s="8"/>
      <c r="L382" s="8"/>
      <c r="M382" s="8">
        <v>3.24</v>
      </c>
      <c r="N382" s="8"/>
      <c r="O382" s="8"/>
      <c r="P382" s="8"/>
      <c r="Q382" s="11"/>
      <c r="R382" s="11"/>
      <c r="S382" s="8">
        <v>6.78</v>
      </c>
      <c r="T382" s="8">
        <v>10.31</v>
      </c>
      <c r="U382" s="8">
        <v>8.83</v>
      </c>
      <c r="V382" s="8"/>
      <c r="W382" s="8"/>
      <c r="X382" s="8"/>
      <c r="Y382" s="8"/>
      <c r="Z382" s="8"/>
      <c r="AA382" s="8"/>
      <c r="AB382" s="8"/>
      <c r="AC382" s="8">
        <v>5.88</v>
      </c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11"/>
      <c r="AQ382" s="8"/>
      <c r="AR382" s="8"/>
      <c r="AS382" s="8"/>
      <c r="AT382" s="8">
        <v>1037.07</v>
      </c>
      <c r="AU382" s="8"/>
      <c r="AV382" s="8"/>
      <c r="AW382" s="8"/>
      <c r="AX382" s="8"/>
      <c r="AY382" s="8"/>
      <c r="AZ382" s="8"/>
      <c r="BA382" s="8">
        <v>33.56</v>
      </c>
      <c r="BB382" s="8"/>
      <c r="BC382" s="8"/>
      <c r="BD382" s="8"/>
      <c r="BE382" s="8"/>
      <c r="BF382" s="8">
        <v>66.31</v>
      </c>
      <c r="BG382" s="8">
        <v>77.94</v>
      </c>
      <c r="BH382" s="9">
        <f t="shared" si="45"/>
        <v>1693.1599999999999</v>
      </c>
      <c r="BI382" s="9">
        <f t="shared" si="46"/>
        <v>3.24</v>
      </c>
      <c r="BJ382" s="9">
        <f t="shared" si="47"/>
        <v>6.78</v>
      </c>
      <c r="BK382" s="9">
        <f t="shared" si="48"/>
        <v>19.14</v>
      </c>
      <c r="BL382" s="9">
        <f t="shared" si="49"/>
        <v>0</v>
      </c>
      <c r="BM382" s="9">
        <f t="shared" si="50"/>
        <v>5.88</v>
      </c>
      <c r="BN382" s="9">
        <f t="shared" si="51"/>
        <v>1037.07</v>
      </c>
      <c r="BO382" s="9">
        <f t="shared" si="52"/>
        <v>33.56</v>
      </c>
      <c r="BP382" s="9">
        <f t="shared" si="53"/>
        <v>66.31</v>
      </c>
    </row>
    <row r="383" spans="1:68">
      <c r="A383" s="6">
        <v>44631</v>
      </c>
      <c r="B383" s="7">
        <v>3113</v>
      </c>
      <c r="C383" s="8">
        <v>2998.53</v>
      </c>
      <c r="D383" s="8"/>
      <c r="E383" s="8"/>
      <c r="F383" s="8"/>
      <c r="G383" s="8"/>
      <c r="H383" s="8"/>
      <c r="I383" s="8"/>
      <c r="J383" s="8"/>
      <c r="K383" s="8"/>
      <c r="L383" s="8"/>
      <c r="M383" s="8">
        <v>3.01</v>
      </c>
      <c r="N383" s="8">
        <v>2.97</v>
      </c>
      <c r="O383" s="8"/>
      <c r="P383" s="8"/>
      <c r="Q383" s="11"/>
      <c r="R383" s="11"/>
      <c r="S383" s="8">
        <v>9.02</v>
      </c>
      <c r="T383" s="8">
        <v>29.98</v>
      </c>
      <c r="U383" s="8"/>
      <c r="V383" s="8"/>
      <c r="W383" s="8"/>
      <c r="X383" s="8"/>
      <c r="Y383" s="8"/>
      <c r="Z383" s="8"/>
      <c r="AA383" s="8"/>
      <c r="AB383" s="8"/>
      <c r="AC383" s="8">
        <v>12</v>
      </c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11"/>
      <c r="AQ383" s="8"/>
      <c r="AR383" s="8"/>
      <c r="AS383" s="8"/>
      <c r="AT383" s="8">
        <v>1258.6099999999999</v>
      </c>
      <c r="AU383" s="8"/>
      <c r="AV383" s="8">
        <v>102.09</v>
      </c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>
        <v>90.39</v>
      </c>
      <c r="BH383" s="9">
        <f t="shared" si="45"/>
        <v>2998.53</v>
      </c>
      <c r="BI383" s="9">
        <f t="shared" si="46"/>
        <v>5.98</v>
      </c>
      <c r="BJ383" s="9">
        <f t="shared" si="47"/>
        <v>9.02</v>
      </c>
      <c r="BK383" s="9">
        <f t="shared" si="48"/>
        <v>29.98</v>
      </c>
      <c r="BL383" s="9">
        <f t="shared" si="49"/>
        <v>0</v>
      </c>
      <c r="BM383" s="9">
        <f t="shared" si="50"/>
        <v>12</v>
      </c>
      <c r="BN383" s="9">
        <f t="shared" si="51"/>
        <v>1258.6099999999999</v>
      </c>
      <c r="BO383" s="9">
        <f t="shared" si="52"/>
        <v>102.09</v>
      </c>
      <c r="BP383" s="9">
        <f t="shared" si="53"/>
        <v>0</v>
      </c>
    </row>
    <row r="384" spans="1:68">
      <c r="A384" s="6">
        <v>44631</v>
      </c>
      <c r="B384" s="7">
        <v>3108</v>
      </c>
      <c r="C384" s="8">
        <v>2284.37</v>
      </c>
      <c r="D384" s="8"/>
      <c r="E384" s="8"/>
      <c r="F384" s="8"/>
      <c r="G384" s="8"/>
      <c r="H384" s="8"/>
      <c r="I384" s="8"/>
      <c r="J384" s="8"/>
      <c r="K384" s="8"/>
      <c r="L384" s="8"/>
      <c r="M384" s="8">
        <v>5.72</v>
      </c>
      <c r="N384" s="8"/>
      <c r="O384" s="8"/>
      <c r="P384" s="8"/>
      <c r="Q384" s="11"/>
      <c r="R384" s="11"/>
      <c r="S384" s="8">
        <v>7.78</v>
      </c>
      <c r="T384" s="8">
        <v>29.02</v>
      </c>
      <c r="U384" s="8"/>
      <c r="V384" s="8"/>
      <c r="W384" s="8"/>
      <c r="X384" s="8"/>
      <c r="Y384" s="8"/>
      <c r="Z384" s="8"/>
      <c r="AA384" s="8"/>
      <c r="AB384" s="8"/>
      <c r="AC384" s="8">
        <v>9.14</v>
      </c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11"/>
      <c r="AQ384" s="8"/>
      <c r="AR384" s="8"/>
      <c r="AS384" s="8"/>
      <c r="AT384" s="8">
        <v>1244.6500000000001</v>
      </c>
      <c r="AU384" s="8"/>
      <c r="AV384" s="8"/>
      <c r="AW384" s="8"/>
      <c r="AX384" s="8"/>
      <c r="AY384" s="8"/>
      <c r="AZ384" s="8"/>
      <c r="BA384" s="8">
        <v>84.99</v>
      </c>
      <c r="BB384" s="8"/>
      <c r="BC384" s="8"/>
      <c r="BD384" s="8"/>
      <c r="BE384" s="8"/>
      <c r="BF384" s="8"/>
      <c r="BG384" s="8">
        <v>93.06</v>
      </c>
      <c r="BH384" s="9">
        <f t="shared" si="45"/>
        <v>2284.37</v>
      </c>
      <c r="BI384" s="9">
        <f t="shared" si="46"/>
        <v>5.72</v>
      </c>
      <c r="BJ384" s="9">
        <f t="shared" si="47"/>
        <v>7.78</v>
      </c>
      <c r="BK384" s="9">
        <f t="shared" si="48"/>
        <v>29.02</v>
      </c>
      <c r="BL384" s="9">
        <f t="shared" si="49"/>
        <v>0</v>
      </c>
      <c r="BM384" s="9">
        <f t="shared" si="50"/>
        <v>9.14</v>
      </c>
      <c r="BN384" s="9">
        <f t="shared" si="51"/>
        <v>1244.6500000000001</v>
      </c>
      <c r="BO384" s="9">
        <f t="shared" si="52"/>
        <v>84.99</v>
      </c>
      <c r="BP384" s="9">
        <f t="shared" si="53"/>
        <v>0</v>
      </c>
    </row>
    <row r="385" spans="1:68">
      <c r="A385" s="6">
        <v>44631</v>
      </c>
      <c r="B385" s="7">
        <v>3141</v>
      </c>
      <c r="C385" s="8">
        <v>2406.75</v>
      </c>
      <c r="D385" s="8">
        <v>424.82</v>
      </c>
      <c r="E385" s="8"/>
      <c r="F385" s="8"/>
      <c r="G385" s="8"/>
      <c r="H385" s="8"/>
      <c r="I385" s="8"/>
      <c r="J385" s="8"/>
      <c r="K385" s="8"/>
      <c r="L385" s="8"/>
      <c r="M385" s="8">
        <v>7.9</v>
      </c>
      <c r="N385" s="8"/>
      <c r="O385" s="8"/>
      <c r="P385" s="8"/>
      <c r="Q385" s="11"/>
      <c r="R385" s="11"/>
      <c r="S385" s="8">
        <v>13.31</v>
      </c>
      <c r="T385" s="8">
        <v>21.26</v>
      </c>
      <c r="U385" s="8">
        <v>21.24</v>
      </c>
      <c r="V385" s="8"/>
      <c r="W385" s="8"/>
      <c r="X385" s="8"/>
      <c r="Y385" s="8"/>
      <c r="Z385" s="8"/>
      <c r="AA385" s="8"/>
      <c r="AB385" s="8"/>
      <c r="AC385" s="8">
        <v>11.33</v>
      </c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11"/>
      <c r="AQ385" s="8"/>
      <c r="AR385" s="8"/>
      <c r="AS385" s="8"/>
      <c r="AT385" s="8">
        <v>1873.94</v>
      </c>
      <c r="AU385" s="8"/>
      <c r="AV385" s="8"/>
      <c r="AW385" s="8"/>
      <c r="AX385" s="8"/>
      <c r="AY385" s="8"/>
      <c r="AZ385" s="8"/>
      <c r="BA385" s="8">
        <v>64.98</v>
      </c>
      <c r="BB385" s="8"/>
      <c r="BC385" s="8"/>
      <c r="BD385" s="8"/>
      <c r="BE385" s="8"/>
      <c r="BF385" s="8">
        <v>198.26</v>
      </c>
      <c r="BG385" s="8">
        <v>147.12</v>
      </c>
      <c r="BH385" s="9">
        <f t="shared" si="45"/>
        <v>2831.57</v>
      </c>
      <c r="BI385" s="9">
        <f t="shared" si="46"/>
        <v>7.9</v>
      </c>
      <c r="BJ385" s="9">
        <f t="shared" si="47"/>
        <v>13.31</v>
      </c>
      <c r="BK385" s="9">
        <f t="shared" si="48"/>
        <v>42.5</v>
      </c>
      <c r="BL385" s="9">
        <f t="shared" si="49"/>
        <v>0</v>
      </c>
      <c r="BM385" s="9">
        <f t="shared" si="50"/>
        <v>11.33</v>
      </c>
      <c r="BN385" s="9">
        <f t="shared" si="51"/>
        <v>1873.94</v>
      </c>
      <c r="BO385" s="9">
        <f t="shared" si="52"/>
        <v>64.98</v>
      </c>
      <c r="BP385" s="9">
        <f t="shared" si="53"/>
        <v>198.26</v>
      </c>
    </row>
    <row r="386" spans="1:68">
      <c r="A386" s="6">
        <v>44631</v>
      </c>
      <c r="B386" s="7">
        <v>3134</v>
      </c>
      <c r="C386" s="8">
        <v>1034.5899999999999</v>
      </c>
      <c r="D386" s="8">
        <v>144.71</v>
      </c>
      <c r="E386" s="8"/>
      <c r="F386" s="8"/>
      <c r="G386" s="8"/>
      <c r="H386" s="8">
        <v>487.56</v>
      </c>
      <c r="I386" s="8"/>
      <c r="J386" s="8"/>
      <c r="K386" s="8"/>
      <c r="L386" s="8"/>
      <c r="M386" s="8">
        <v>3.19</v>
      </c>
      <c r="N386" s="8"/>
      <c r="O386" s="8"/>
      <c r="P386" s="8"/>
      <c r="Q386" s="11"/>
      <c r="R386" s="11"/>
      <c r="S386" s="8">
        <v>6.53</v>
      </c>
      <c r="T386" s="8">
        <v>10.15</v>
      </c>
      <c r="U386" s="8">
        <v>8.6999999999999993</v>
      </c>
      <c r="V386" s="8"/>
      <c r="W386" s="8"/>
      <c r="X386" s="8"/>
      <c r="Y386" s="8"/>
      <c r="Z386" s="8"/>
      <c r="AA386" s="8"/>
      <c r="AB386" s="8"/>
      <c r="AC386" s="8">
        <v>5.8</v>
      </c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11"/>
      <c r="AQ386" s="8"/>
      <c r="AR386" s="8"/>
      <c r="AS386" s="8"/>
      <c r="AT386" s="8">
        <v>1023.33</v>
      </c>
      <c r="AU386" s="8"/>
      <c r="AV386" s="8"/>
      <c r="AW386" s="8"/>
      <c r="AX386" s="8"/>
      <c r="AY386" s="8">
        <v>14.92</v>
      </c>
      <c r="AZ386" s="8"/>
      <c r="BA386" s="8"/>
      <c r="BB386" s="8"/>
      <c r="BC386" s="8"/>
      <c r="BD386" s="8"/>
      <c r="BE386" s="8"/>
      <c r="BF386" s="8">
        <v>65.39</v>
      </c>
      <c r="BG386" s="8">
        <v>76.77</v>
      </c>
      <c r="BH386" s="9">
        <f t="shared" si="45"/>
        <v>1666.86</v>
      </c>
      <c r="BI386" s="9">
        <f t="shared" si="46"/>
        <v>3.19</v>
      </c>
      <c r="BJ386" s="9">
        <f t="shared" si="47"/>
        <v>6.53</v>
      </c>
      <c r="BK386" s="9">
        <f t="shared" si="48"/>
        <v>18.850000000000001</v>
      </c>
      <c r="BL386" s="9">
        <f t="shared" si="49"/>
        <v>0</v>
      </c>
      <c r="BM386" s="9">
        <f t="shared" si="50"/>
        <v>5.8</v>
      </c>
      <c r="BN386" s="9">
        <f t="shared" si="51"/>
        <v>1023.33</v>
      </c>
      <c r="BO386" s="9">
        <f t="shared" si="52"/>
        <v>14.92</v>
      </c>
      <c r="BP386" s="9">
        <f t="shared" si="53"/>
        <v>65.39</v>
      </c>
    </row>
    <row r="387" spans="1:68">
      <c r="A387" s="6">
        <v>44631</v>
      </c>
      <c r="B387" s="7">
        <v>3016</v>
      </c>
      <c r="C387" s="8"/>
      <c r="D387" s="8">
        <v>2376.1799999999998</v>
      </c>
      <c r="E387" s="8"/>
      <c r="F387" s="8"/>
      <c r="G387" s="8"/>
      <c r="H387" s="8"/>
      <c r="I387" s="8">
        <v>2186.4699999999998</v>
      </c>
      <c r="J387" s="8"/>
      <c r="K387" s="8"/>
      <c r="L387" s="8"/>
      <c r="M387" s="8"/>
      <c r="N387" s="8">
        <v>27.46</v>
      </c>
      <c r="O387" s="8"/>
      <c r="P387" s="8"/>
      <c r="Q387" s="11"/>
      <c r="R387" s="11"/>
      <c r="S387" s="8">
        <v>3.19</v>
      </c>
      <c r="T387" s="8">
        <v>45.79</v>
      </c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>
        <v>18.559999999999999</v>
      </c>
      <c r="AN387" s="8">
        <v>54.8</v>
      </c>
      <c r="AO387" s="8"/>
      <c r="AP387" s="11"/>
      <c r="AQ387" s="8"/>
      <c r="AR387" s="8">
        <v>114.76</v>
      </c>
      <c r="AS387" s="8"/>
      <c r="AT387" s="8">
        <v>1699.14</v>
      </c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>
        <v>124.41</v>
      </c>
      <c r="BH387" s="9">
        <f t="shared" si="45"/>
        <v>4562.6499999999996</v>
      </c>
      <c r="BI387" s="9">
        <f t="shared" si="46"/>
        <v>27.46</v>
      </c>
      <c r="BJ387" s="9">
        <f t="shared" si="47"/>
        <v>3.19</v>
      </c>
      <c r="BK387" s="9">
        <f t="shared" si="48"/>
        <v>45.79</v>
      </c>
      <c r="BL387" s="9">
        <f t="shared" si="49"/>
        <v>0</v>
      </c>
      <c r="BM387" s="9">
        <f t="shared" si="50"/>
        <v>188.12</v>
      </c>
      <c r="BN387" s="9">
        <f t="shared" si="51"/>
        <v>1699.14</v>
      </c>
      <c r="BO387" s="9">
        <f t="shared" si="52"/>
        <v>0</v>
      </c>
      <c r="BP387" s="9">
        <f t="shared" si="53"/>
        <v>0</v>
      </c>
    </row>
    <row r="388" spans="1:68">
      <c r="A388" s="6">
        <v>44631</v>
      </c>
      <c r="B388" s="7">
        <v>3020</v>
      </c>
      <c r="C388" s="8"/>
      <c r="D388" s="8">
        <v>173.59</v>
      </c>
      <c r="E388" s="8"/>
      <c r="F388" s="8"/>
      <c r="G388" s="8"/>
      <c r="H388" s="8"/>
      <c r="I388" s="8">
        <v>983.68</v>
      </c>
      <c r="J388" s="8"/>
      <c r="K388" s="8"/>
      <c r="L388" s="8"/>
      <c r="M388" s="8"/>
      <c r="N388" s="8">
        <v>6.94</v>
      </c>
      <c r="O388" s="8"/>
      <c r="P388" s="8"/>
      <c r="Q388" s="11"/>
      <c r="R388" s="11"/>
      <c r="S388" s="8">
        <v>2.09</v>
      </c>
      <c r="T388" s="8"/>
      <c r="U388" s="8"/>
      <c r="V388" s="8"/>
      <c r="W388" s="8">
        <v>11.82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>
        <v>11.57</v>
      </c>
      <c r="AN388" s="8"/>
      <c r="AO388" s="8"/>
      <c r="AP388" s="11"/>
      <c r="AQ388" s="8"/>
      <c r="AR388" s="8"/>
      <c r="AS388" s="8">
        <v>29.24</v>
      </c>
      <c r="AT388" s="8">
        <v>569.16</v>
      </c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>
        <v>41.65</v>
      </c>
      <c r="BH388" s="9">
        <f t="shared" ref="BH388:BH451" si="54">SUM(C388:L388)</f>
        <v>1157.27</v>
      </c>
      <c r="BI388" s="9">
        <f t="shared" ref="BI388:BI451" si="55">SUM(M388:R388)</f>
        <v>6.94</v>
      </c>
      <c r="BJ388" s="9">
        <f t="shared" ref="BJ388:BJ451" si="56">SUM(S388)</f>
        <v>2.09</v>
      </c>
      <c r="BK388" s="9">
        <f t="shared" ref="BK388:BK451" si="57">SUM(T388:Y388)</f>
        <v>11.82</v>
      </c>
      <c r="BL388" s="9">
        <f t="shared" ref="BL388:BL451" si="58">SUM(Z388:AA388)</f>
        <v>0</v>
      </c>
      <c r="BM388" s="9">
        <f t="shared" ref="BM388:BM451" si="59">SUM(AB388:AS388)</f>
        <v>40.81</v>
      </c>
      <c r="BN388" s="9">
        <f t="shared" ref="BN388:BN451" si="60">SUM(AT388:AU388)</f>
        <v>569.16</v>
      </c>
      <c r="BO388" s="9">
        <f t="shared" ref="BO388:BO451" si="61">SUM(AV388:BE388)</f>
        <v>0</v>
      </c>
      <c r="BP388" s="9">
        <f t="shared" ref="BP388:BP451" si="62">SUM(BF388)</f>
        <v>0</v>
      </c>
    </row>
    <row r="389" spans="1:68">
      <c r="A389" s="6">
        <v>44631</v>
      </c>
      <c r="B389" s="7">
        <v>3021</v>
      </c>
      <c r="C389" s="8"/>
      <c r="D389" s="8">
        <v>351.5</v>
      </c>
      <c r="E389" s="8"/>
      <c r="F389" s="8"/>
      <c r="G389" s="8"/>
      <c r="H389" s="8"/>
      <c r="I389" s="8">
        <v>655.42</v>
      </c>
      <c r="J389" s="8"/>
      <c r="K389" s="8"/>
      <c r="L389" s="8"/>
      <c r="M389" s="8"/>
      <c r="N389" s="8">
        <v>5.34</v>
      </c>
      <c r="O389" s="8"/>
      <c r="P389" s="8"/>
      <c r="Q389" s="11"/>
      <c r="R389" s="11"/>
      <c r="S389" s="8">
        <v>1.81</v>
      </c>
      <c r="T389" s="8"/>
      <c r="U389" s="8"/>
      <c r="V389" s="8"/>
      <c r="W389" s="8">
        <v>10.02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>
        <v>10.06</v>
      </c>
      <c r="AN389" s="8"/>
      <c r="AO389" s="8"/>
      <c r="AP389" s="11"/>
      <c r="AQ389" s="8"/>
      <c r="AR389" s="8"/>
      <c r="AS389" s="8">
        <v>25.15</v>
      </c>
      <c r="AT389" s="8">
        <v>473.7</v>
      </c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>
        <v>35.72</v>
      </c>
      <c r="BH389" s="9">
        <f t="shared" si="54"/>
        <v>1006.92</v>
      </c>
      <c r="BI389" s="9">
        <f t="shared" si="55"/>
        <v>5.34</v>
      </c>
      <c r="BJ389" s="9">
        <f t="shared" si="56"/>
        <v>1.81</v>
      </c>
      <c r="BK389" s="9">
        <f t="shared" si="57"/>
        <v>10.02</v>
      </c>
      <c r="BL389" s="9">
        <f t="shared" si="58"/>
        <v>0</v>
      </c>
      <c r="BM389" s="9">
        <f t="shared" si="59"/>
        <v>35.21</v>
      </c>
      <c r="BN389" s="9">
        <f t="shared" si="60"/>
        <v>473.7</v>
      </c>
      <c r="BO389" s="9">
        <f t="shared" si="61"/>
        <v>0</v>
      </c>
      <c r="BP389" s="9">
        <f t="shared" si="62"/>
        <v>0</v>
      </c>
    </row>
    <row r="390" spans="1:68">
      <c r="A390" s="6">
        <v>44631</v>
      </c>
      <c r="B390" s="7">
        <v>3023</v>
      </c>
      <c r="C390" s="8"/>
      <c r="D390" s="8">
        <v>863.79</v>
      </c>
      <c r="E390" s="8"/>
      <c r="F390" s="8"/>
      <c r="G390" s="8"/>
      <c r="H390" s="8"/>
      <c r="I390" s="8">
        <v>468.16</v>
      </c>
      <c r="J390" s="8"/>
      <c r="K390" s="8"/>
      <c r="L390" s="8"/>
      <c r="M390" s="8"/>
      <c r="N390" s="8">
        <v>7.44</v>
      </c>
      <c r="O390" s="8"/>
      <c r="P390" s="8"/>
      <c r="Q390" s="11"/>
      <c r="R390" s="11"/>
      <c r="S390" s="8">
        <v>2.13</v>
      </c>
      <c r="T390" s="8"/>
      <c r="U390" s="8"/>
      <c r="V390" s="8"/>
      <c r="W390" s="8">
        <v>12.17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>
        <v>13.34</v>
      </c>
      <c r="AN390" s="8">
        <v>9.25</v>
      </c>
      <c r="AO390" s="8"/>
      <c r="AP390" s="11"/>
      <c r="AQ390" s="8"/>
      <c r="AR390" s="8"/>
      <c r="AS390" s="8">
        <v>43.95</v>
      </c>
      <c r="AT390" s="8">
        <v>546.21</v>
      </c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>
        <v>41.27</v>
      </c>
      <c r="BH390" s="9">
        <f t="shared" si="54"/>
        <v>1331.95</v>
      </c>
      <c r="BI390" s="9">
        <f t="shared" si="55"/>
        <v>7.44</v>
      </c>
      <c r="BJ390" s="9">
        <f t="shared" si="56"/>
        <v>2.13</v>
      </c>
      <c r="BK390" s="9">
        <f t="shared" si="57"/>
        <v>12.17</v>
      </c>
      <c r="BL390" s="9">
        <f t="shared" si="58"/>
        <v>0</v>
      </c>
      <c r="BM390" s="9">
        <f t="shared" si="59"/>
        <v>66.540000000000006</v>
      </c>
      <c r="BN390" s="9">
        <f t="shared" si="60"/>
        <v>546.21</v>
      </c>
      <c r="BO390" s="9">
        <f t="shared" si="61"/>
        <v>0</v>
      </c>
      <c r="BP390" s="9">
        <f t="shared" si="62"/>
        <v>0</v>
      </c>
    </row>
    <row r="391" spans="1:68">
      <c r="A391" s="6">
        <v>44631</v>
      </c>
      <c r="B391" s="7">
        <v>3118</v>
      </c>
      <c r="C391" s="8">
        <v>636.1</v>
      </c>
      <c r="D391" s="8"/>
      <c r="E391" s="8"/>
      <c r="F391" s="8"/>
      <c r="G391" s="8"/>
      <c r="H391" s="8"/>
      <c r="I391" s="8"/>
      <c r="J391" s="8"/>
      <c r="K391" s="8"/>
      <c r="L391" s="8"/>
      <c r="M391" s="8">
        <v>1.94</v>
      </c>
      <c r="N391" s="8"/>
      <c r="O391" s="8"/>
      <c r="P391" s="8"/>
      <c r="Q391" s="11"/>
      <c r="R391" s="11"/>
      <c r="S391" s="8">
        <v>3.37</v>
      </c>
      <c r="T391" s="8">
        <v>3.84</v>
      </c>
      <c r="U391" s="8">
        <v>3.83</v>
      </c>
      <c r="V391" s="8"/>
      <c r="W391" s="8"/>
      <c r="X391" s="8"/>
      <c r="Y391" s="8"/>
      <c r="Z391" s="8"/>
      <c r="AA391" s="8"/>
      <c r="AB391" s="8"/>
      <c r="AC391" s="8"/>
      <c r="AD391" s="8"/>
      <c r="AE391" s="8">
        <v>6.47</v>
      </c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11"/>
      <c r="AQ391" s="8"/>
      <c r="AR391" s="8"/>
      <c r="AS391" s="8"/>
      <c r="AT391" s="8">
        <v>413.49</v>
      </c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>
        <v>44.65</v>
      </c>
      <c r="BG391" s="8">
        <v>31.69</v>
      </c>
      <c r="BH391" s="9">
        <f t="shared" si="54"/>
        <v>636.1</v>
      </c>
      <c r="BI391" s="9">
        <f t="shared" si="55"/>
        <v>1.94</v>
      </c>
      <c r="BJ391" s="9">
        <f t="shared" si="56"/>
        <v>3.37</v>
      </c>
      <c r="BK391" s="9">
        <f t="shared" si="57"/>
        <v>7.67</v>
      </c>
      <c r="BL391" s="9">
        <f t="shared" si="58"/>
        <v>0</v>
      </c>
      <c r="BM391" s="9">
        <f t="shared" si="59"/>
        <v>6.47</v>
      </c>
      <c r="BN391" s="9">
        <f t="shared" si="60"/>
        <v>413.49</v>
      </c>
      <c r="BO391" s="9">
        <f t="shared" si="61"/>
        <v>0</v>
      </c>
      <c r="BP391" s="9">
        <f t="shared" si="62"/>
        <v>44.65</v>
      </c>
    </row>
    <row r="392" spans="1:68">
      <c r="A392" s="6">
        <v>44631</v>
      </c>
      <c r="B392" s="7">
        <v>3106</v>
      </c>
      <c r="C392" s="8">
        <v>4093.06</v>
      </c>
      <c r="D392" s="8"/>
      <c r="E392" s="8"/>
      <c r="F392" s="8"/>
      <c r="G392" s="8"/>
      <c r="H392" s="8"/>
      <c r="I392" s="8"/>
      <c r="J392" s="8"/>
      <c r="K392" s="8"/>
      <c r="L392" s="8"/>
      <c r="M392" s="8">
        <v>11.07</v>
      </c>
      <c r="N392" s="8"/>
      <c r="O392" s="8"/>
      <c r="P392" s="8"/>
      <c r="Q392" s="11"/>
      <c r="R392" s="11"/>
      <c r="S392" s="8">
        <v>12.7</v>
      </c>
      <c r="T392" s="8">
        <v>51.99</v>
      </c>
      <c r="U392" s="8"/>
      <c r="V392" s="8"/>
      <c r="W392" s="8"/>
      <c r="X392" s="8"/>
      <c r="Y392" s="8"/>
      <c r="Z392" s="8"/>
      <c r="AA392" s="8"/>
      <c r="AB392" s="8"/>
      <c r="AC392" s="8">
        <v>16.39</v>
      </c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11"/>
      <c r="AQ392" s="8"/>
      <c r="AR392" s="8"/>
      <c r="AS392" s="8"/>
      <c r="AT392" s="8">
        <v>2342.62</v>
      </c>
      <c r="AU392" s="8"/>
      <c r="AV392" s="8"/>
      <c r="AW392" s="8"/>
      <c r="AX392" s="8">
        <v>5.12</v>
      </c>
      <c r="AY392" s="8"/>
      <c r="AZ392" s="8"/>
      <c r="BA392" s="8"/>
      <c r="BB392" s="8"/>
      <c r="BC392" s="8"/>
      <c r="BD392" s="8"/>
      <c r="BE392" s="8"/>
      <c r="BF392" s="8"/>
      <c r="BG392" s="8">
        <v>176.2</v>
      </c>
      <c r="BH392" s="9">
        <f t="shared" si="54"/>
        <v>4093.06</v>
      </c>
      <c r="BI392" s="9">
        <f t="shared" si="55"/>
        <v>11.07</v>
      </c>
      <c r="BJ392" s="9">
        <f t="shared" si="56"/>
        <v>12.7</v>
      </c>
      <c r="BK392" s="9">
        <f t="shared" si="57"/>
        <v>51.99</v>
      </c>
      <c r="BL392" s="9">
        <f t="shared" si="58"/>
        <v>0</v>
      </c>
      <c r="BM392" s="9">
        <f t="shared" si="59"/>
        <v>16.39</v>
      </c>
      <c r="BN392" s="9">
        <f t="shared" si="60"/>
        <v>2342.62</v>
      </c>
      <c r="BO392" s="9">
        <f t="shared" si="61"/>
        <v>5.12</v>
      </c>
      <c r="BP392" s="9">
        <f t="shared" si="62"/>
        <v>0</v>
      </c>
    </row>
    <row r="393" spans="1:68">
      <c r="A393" s="6">
        <v>44634</v>
      </c>
      <c r="B393" s="7">
        <v>3117</v>
      </c>
      <c r="C393" s="8">
        <v>745.22</v>
      </c>
      <c r="D393" s="8"/>
      <c r="E393" s="8"/>
      <c r="F393" s="8"/>
      <c r="G393" s="8"/>
      <c r="H393" s="8"/>
      <c r="I393" s="8"/>
      <c r="J393" s="8"/>
      <c r="K393" s="8"/>
      <c r="L393" s="8"/>
      <c r="M393" s="8">
        <v>1.71</v>
      </c>
      <c r="N393" s="8"/>
      <c r="O393" s="8"/>
      <c r="P393" s="8"/>
      <c r="Q393" s="11"/>
      <c r="R393" s="11"/>
      <c r="S393" s="8">
        <v>2.61</v>
      </c>
      <c r="T393" s="8">
        <v>7.46</v>
      </c>
      <c r="U393" s="8"/>
      <c r="V393" s="8"/>
      <c r="W393" s="8"/>
      <c r="X393" s="8"/>
      <c r="Y393" s="8"/>
      <c r="Z393" s="8"/>
      <c r="AA393" s="8"/>
      <c r="AB393" s="8"/>
      <c r="AC393" s="8">
        <v>2.98</v>
      </c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11"/>
      <c r="AQ393" s="8"/>
      <c r="AR393" s="8"/>
      <c r="AS393" s="8"/>
      <c r="AT393" s="8">
        <v>470.44</v>
      </c>
      <c r="AU393" s="8"/>
      <c r="AV393" s="8">
        <v>18.64</v>
      </c>
      <c r="AW393" s="8"/>
      <c r="AX393" s="8"/>
      <c r="AY393" s="8"/>
      <c r="AZ393" s="8"/>
      <c r="BA393" s="8"/>
      <c r="BB393" s="8"/>
      <c r="BC393" s="8"/>
      <c r="BD393" s="8"/>
      <c r="BE393" s="8"/>
      <c r="BF393" s="8">
        <v>29.78</v>
      </c>
      <c r="BG393" s="8">
        <v>35.79</v>
      </c>
      <c r="BH393" s="9">
        <f t="shared" si="54"/>
        <v>745.22</v>
      </c>
      <c r="BI393" s="9">
        <f t="shared" si="55"/>
        <v>1.71</v>
      </c>
      <c r="BJ393" s="9">
        <f t="shared" si="56"/>
        <v>2.61</v>
      </c>
      <c r="BK393" s="9">
        <f t="shared" si="57"/>
        <v>7.46</v>
      </c>
      <c r="BL393" s="9">
        <f t="shared" si="58"/>
        <v>0</v>
      </c>
      <c r="BM393" s="9">
        <f t="shared" si="59"/>
        <v>2.98</v>
      </c>
      <c r="BN393" s="9">
        <f t="shared" si="60"/>
        <v>470.44</v>
      </c>
      <c r="BO393" s="9">
        <f t="shared" si="61"/>
        <v>18.64</v>
      </c>
      <c r="BP393" s="9">
        <f t="shared" si="62"/>
        <v>29.78</v>
      </c>
    </row>
    <row r="394" spans="1:68">
      <c r="A394" s="6">
        <v>44634</v>
      </c>
      <c r="B394" s="7">
        <v>3031</v>
      </c>
      <c r="C394" s="8"/>
      <c r="D394" s="8"/>
      <c r="E394" s="8"/>
      <c r="F394" s="8"/>
      <c r="G394" s="8"/>
      <c r="H394" s="8"/>
      <c r="I394" s="8">
        <v>2137.71</v>
      </c>
      <c r="J394" s="8"/>
      <c r="K394" s="8"/>
      <c r="L394" s="8"/>
      <c r="M394" s="8"/>
      <c r="N394" s="8">
        <v>15.22</v>
      </c>
      <c r="O394" s="8"/>
      <c r="P394" s="8"/>
      <c r="Q394" s="11"/>
      <c r="R394" s="11"/>
      <c r="S394" s="8">
        <v>1.51</v>
      </c>
      <c r="T394" s="8">
        <v>21.48</v>
      </c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>
        <v>32.880000000000003</v>
      </c>
      <c r="AJ394" s="8"/>
      <c r="AK394" s="8"/>
      <c r="AL394" s="8"/>
      <c r="AM394" s="8"/>
      <c r="AN394" s="8">
        <v>21.67</v>
      </c>
      <c r="AO394" s="8"/>
      <c r="AP394" s="11"/>
      <c r="AQ394" s="8"/>
      <c r="AR394" s="8">
        <v>64.58</v>
      </c>
      <c r="AS394" s="8"/>
      <c r="AT394" s="8">
        <v>1018.69</v>
      </c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>
        <v>68.900000000000006</v>
      </c>
      <c r="BH394" s="9">
        <f t="shared" si="54"/>
        <v>2137.71</v>
      </c>
      <c r="BI394" s="9">
        <f t="shared" si="55"/>
        <v>15.22</v>
      </c>
      <c r="BJ394" s="9">
        <f t="shared" si="56"/>
        <v>1.51</v>
      </c>
      <c r="BK394" s="9">
        <f t="shared" si="57"/>
        <v>21.48</v>
      </c>
      <c r="BL394" s="9">
        <f t="shared" si="58"/>
        <v>0</v>
      </c>
      <c r="BM394" s="9">
        <f t="shared" si="59"/>
        <v>119.13</v>
      </c>
      <c r="BN394" s="9">
        <f t="shared" si="60"/>
        <v>1018.69</v>
      </c>
      <c r="BO394" s="9">
        <f t="shared" si="61"/>
        <v>0</v>
      </c>
      <c r="BP394" s="9">
        <f t="shared" si="62"/>
        <v>0</v>
      </c>
    </row>
    <row r="395" spans="1:68">
      <c r="A395" s="6">
        <v>44634</v>
      </c>
      <c r="B395" s="7">
        <v>3203</v>
      </c>
      <c r="C395" s="8">
        <v>1652.21</v>
      </c>
      <c r="D395" s="8"/>
      <c r="E395" s="8">
        <v>708.95</v>
      </c>
      <c r="F395" s="8"/>
      <c r="G395" s="8"/>
      <c r="H395" s="8"/>
      <c r="I395" s="8"/>
      <c r="J395" s="8"/>
      <c r="K395" s="8"/>
      <c r="L395" s="8"/>
      <c r="M395" s="8"/>
      <c r="N395" s="8"/>
      <c r="O395" s="8">
        <v>7.09</v>
      </c>
      <c r="P395" s="8"/>
      <c r="Q395" s="11"/>
      <c r="R395" s="11"/>
      <c r="S395" s="8">
        <v>9.2200000000000006</v>
      </c>
      <c r="T395" s="8"/>
      <c r="U395" s="8">
        <v>9.3699999999999992</v>
      </c>
      <c r="V395" s="8"/>
      <c r="W395" s="8"/>
      <c r="X395" s="8"/>
      <c r="Y395" s="8"/>
      <c r="Z395" s="8">
        <v>372.62</v>
      </c>
      <c r="AA395" s="8">
        <v>290.52</v>
      </c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11"/>
      <c r="AQ395" s="8"/>
      <c r="AR395" s="8"/>
      <c r="AS395" s="8"/>
      <c r="AT395" s="8">
        <v>884.8</v>
      </c>
      <c r="AU395" s="8">
        <v>442.59</v>
      </c>
      <c r="AV395" s="8"/>
      <c r="AW395" s="8"/>
      <c r="AX395" s="8"/>
      <c r="AY395" s="8"/>
      <c r="AZ395" s="8"/>
      <c r="BA395" s="8"/>
      <c r="BB395" s="8"/>
      <c r="BC395" s="8">
        <v>6.15</v>
      </c>
      <c r="BD395" s="8"/>
      <c r="BE395" s="8"/>
      <c r="BF395" s="8"/>
      <c r="BG395" s="8">
        <v>85.99</v>
      </c>
      <c r="BH395" s="9">
        <f t="shared" si="54"/>
        <v>2361.16</v>
      </c>
      <c r="BI395" s="9">
        <f t="shared" si="55"/>
        <v>7.09</v>
      </c>
      <c r="BJ395" s="9">
        <f t="shared" si="56"/>
        <v>9.2200000000000006</v>
      </c>
      <c r="BK395" s="9">
        <f t="shared" si="57"/>
        <v>9.3699999999999992</v>
      </c>
      <c r="BL395" s="9">
        <f t="shared" si="58"/>
        <v>663.14</v>
      </c>
      <c r="BM395" s="9">
        <f t="shared" si="59"/>
        <v>0</v>
      </c>
      <c r="BN395" s="9">
        <f t="shared" si="60"/>
        <v>1327.3899999999999</v>
      </c>
      <c r="BO395" s="9">
        <f t="shared" si="61"/>
        <v>6.15</v>
      </c>
      <c r="BP395" s="9">
        <f t="shared" si="62"/>
        <v>0</v>
      </c>
    </row>
    <row r="396" spans="1:68">
      <c r="A396" s="6">
        <v>44635</v>
      </c>
      <c r="B396" s="7">
        <v>3432</v>
      </c>
      <c r="C396" s="8">
        <f>364.57+652.4</f>
        <v>1016.97</v>
      </c>
      <c r="D396" s="8"/>
      <c r="E396" s="8"/>
      <c r="F396" s="8"/>
      <c r="G396" s="8"/>
      <c r="H396" s="8"/>
      <c r="I396" s="8"/>
      <c r="J396" s="8"/>
      <c r="K396" s="8"/>
      <c r="L396" s="8"/>
      <c r="M396" s="8">
        <f>1.48+2.59</f>
        <v>4.07</v>
      </c>
      <c r="N396" s="8"/>
      <c r="O396" s="8"/>
      <c r="P396" s="8"/>
      <c r="Q396" s="11"/>
      <c r="R396" s="11"/>
      <c r="S396" s="8">
        <f>1.48+2.61</f>
        <v>4.09</v>
      </c>
      <c r="T396" s="8"/>
      <c r="U396" s="8"/>
      <c r="V396" s="8"/>
      <c r="W396" s="8"/>
      <c r="X396" s="8">
        <f>3.75+6.59</f>
        <v>10.34</v>
      </c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11"/>
      <c r="AQ396" s="8"/>
      <c r="AR396" s="8"/>
      <c r="AS396" s="8"/>
      <c r="AT396" s="8">
        <f>168.04+296</f>
        <v>464.03999999999996</v>
      </c>
      <c r="AU396" s="8"/>
      <c r="AV396" s="8"/>
      <c r="AW396" s="8"/>
      <c r="AX396" s="8"/>
      <c r="AY396" s="8"/>
      <c r="AZ396" s="8"/>
      <c r="BA396" s="8">
        <f>1.64+2.92</f>
        <v>4.5599999999999996</v>
      </c>
      <c r="BB396" s="8"/>
      <c r="BC396" s="8"/>
      <c r="BD396" s="8"/>
      <c r="BE396" s="8"/>
      <c r="BF396" s="8">
        <f>18.6+32.68</f>
        <v>51.28</v>
      </c>
      <c r="BG396" s="8">
        <f>12.58+21.79</f>
        <v>34.369999999999997</v>
      </c>
      <c r="BH396" s="9">
        <f t="shared" si="54"/>
        <v>1016.97</v>
      </c>
      <c r="BI396" s="9">
        <f t="shared" si="55"/>
        <v>4.07</v>
      </c>
      <c r="BJ396" s="9">
        <f t="shared" si="56"/>
        <v>4.09</v>
      </c>
      <c r="BK396" s="9">
        <f t="shared" si="57"/>
        <v>10.34</v>
      </c>
      <c r="BL396" s="9">
        <f t="shared" si="58"/>
        <v>0</v>
      </c>
      <c r="BM396" s="9">
        <f t="shared" si="59"/>
        <v>0</v>
      </c>
      <c r="BN396" s="9">
        <f t="shared" si="60"/>
        <v>464.03999999999996</v>
      </c>
      <c r="BO396" s="9">
        <f t="shared" si="61"/>
        <v>4.5599999999999996</v>
      </c>
      <c r="BP396" s="9">
        <f t="shared" si="62"/>
        <v>51.28</v>
      </c>
    </row>
    <row r="397" spans="1:68">
      <c r="A397" s="6">
        <v>44635</v>
      </c>
      <c r="B397" s="7">
        <v>3200</v>
      </c>
      <c r="C397" s="8">
        <v>1215.49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>
        <v>3.05</v>
      </c>
      <c r="P397" s="8"/>
      <c r="Q397" s="11"/>
      <c r="R397" s="11"/>
      <c r="S397" s="8">
        <v>4.74</v>
      </c>
      <c r="T397" s="8"/>
      <c r="U397" s="8">
        <v>18.28</v>
      </c>
      <c r="V397" s="8"/>
      <c r="W397" s="8"/>
      <c r="X397" s="8"/>
      <c r="Y397" s="8"/>
      <c r="Z397" s="8">
        <v>255.89</v>
      </c>
      <c r="AA397" s="8"/>
      <c r="AB397" s="8"/>
      <c r="AC397" s="8"/>
      <c r="AD397" s="8"/>
      <c r="AE397" s="8">
        <v>18.55</v>
      </c>
      <c r="AF397" s="8">
        <v>60.27</v>
      </c>
      <c r="AG397" s="8"/>
      <c r="AH397" s="8"/>
      <c r="AI397" s="8"/>
      <c r="AJ397" s="8"/>
      <c r="AK397" s="8"/>
      <c r="AL397" s="8"/>
      <c r="AM397" s="8"/>
      <c r="AN397" s="8"/>
      <c r="AO397" s="8"/>
      <c r="AP397" s="11"/>
      <c r="AQ397" s="8"/>
      <c r="AR397" s="8"/>
      <c r="AS397" s="8"/>
      <c r="AT397" s="8">
        <v>833.97</v>
      </c>
      <c r="AU397" s="8"/>
      <c r="AV397" s="8"/>
      <c r="AW397" s="8">
        <v>3.52</v>
      </c>
      <c r="AX397" s="8"/>
      <c r="AY397" s="8"/>
      <c r="AZ397" s="8"/>
      <c r="BA397" s="8"/>
      <c r="BB397" s="8"/>
      <c r="BC397" s="8"/>
      <c r="BD397" s="8"/>
      <c r="BE397" s="8"/>
      <c r="BF397" s="8">
        <v>58.45</v>
      </c>
      <c r="BG397" s="8">
        <v>59.9</v>
      </c>
      <c r="BH397" s="9">
        <f t="shared" si="54"/>
        <v>1215.49</v>
      </c>
      <c r="BI397" s="9">
        <f t="shared" si="55"/>
        <v>3.05</v>
      </c>
      <c r="BJ397" s="9">
        <f t="shared" si="56"/>
        <v>4.74</v>
      </c>
      <c r="BK397" s="9">
        <f t="shared" si="57"/>
        <v>18.28</v>
      </c>
      <c r="BL397" s="9">
        <f t="shared" si="58"/>
        <v>255.89</v>
      </c>
      <c r="BM397" s="9">
        <f t="shared" si="59"/>
        <v>78.820000000000007</v>
      </c>
      <c r="BN397" s="9">
        <f t="shared" si="60"/>
        <v>833.97</v>
      </c>
      <c r="BO397" s="9">
        <f t="shared" si="61"/>
        <v>3.52</v>
      </c>
      <c r="BP397" s="9">
        <f t="shared" si="62"/>
        <v>58.45</v>
      </c>
    </row>
    <row r="398" spans="1:68">
      <c r="A398" s="6">
        <v>44635</v>
      </c>
      <c r="B398" s="7">
        <v>3106</v>
      </c>
      <c r="C398" s="8">
        <v>2060.58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>
        <v>5.57</v>
      </c>
      <c r="O398" s="8"/>
      <c r="P398" s="8"/>
      <c r="Q398" s="11"/>
      <c r="R398" s="11"/>
      <c r="S398" s="8">
        <v>6.41</v>
      </c>
      <c r="T398" s="8">
        <v>26.12</v>
      </c>
      <c r="U398" s="8"/>
      <c r="V398" s="8"/>
      <c r="W398" s="8"/>
      <c r="X398" s="8"/>
      <c r="Y398" s="8"/>
      <c r="Z398" s="8"/>
      <c r="AA398" s="8"/>
      <c r="AB398" s="8"/>
      <c r="AC398" s="8">
        <v>8.24</v>
      </c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11"/>
      <c r="AQ398" s="8"/>
      <c r="AR398" s="8"/>
      <c r="AS398" s="8"/>
      <c r="AT398" s="8">
        <v>1178.8800000000001</v>
      </c>
      <c r="AU398" s="8"/>
      <c r="AV398" s="8"/>
      <c r="AW398" s="8"/>
      <c r="AX398" s="8">
        <v>2.58</v>
      </c>
      <c r="AY398" s="8"/>
      <c r="AZ398" s="8"/>
      <c r="BA398" s="8"/>
      <c r="BB398" s="8"/>
      <c r="BC398" s="8"/>
      <c r="BD398" s="8"/>
      <c r="BE398" s="8"/>
      <c r="BF398" s="8"/>
      <c r="BG398" s="8">
        <v>88.45</v>
      </c>
      <c r="BH398" s="9">
        <f t="shared" si="54"/>
        <v>2060.58</v>
      </c>
      <c r="BI398" s="9">
        <f t="shared" si="55"/>
        <v>5.57</v>
      </c>
      <c r="BJ398" s="9">
        <f t="shared" si="56"/>
        <v>6.41</v>
      </c>
      <c r="BK398" s="9">
        <f t="shared" si="57"/>
        <v>26.12</v>
      </c>
      <c r="BL398" s="9">
        <f t="shared" si="58"/>
        <v>0</v>
      </c>
      <c r="BM398" s="9">
        <f t="shared" si="59"/>
        <v>8.24</v>
      </c>
      <c r="BN398" s="9">
        <f t="shared" si="60"/>
        <v>1178.8800000000001</v>
      </c>
      <c r="BO398" s="9">
        <f t="shared" si="61"/>
        <v>2.58</v>
      </c>
      <c r="BP398" s="9">
        <f t="shared" si="62"/>
        <v>0</v>
      </c>
    </row>
    <row r="399" spans="1:68">
      <c r="A399" s="6">
        <v>44635</v>
      </c>
      <c r="B399" s="7">
        <v>3104</v>
      </c>
      <c r="C399" s="8">
        <v>1524.69</v>
      </c>
      <c r="D399" s="8"/>
      <c r="E399" s="8"/>
      <c r="F399" s="8"/>
      <c r="G399" s="8"/>
      <c r="H399" s="8">
        <v>393.07</v>
      </c>
      <c r="I399" s="8"/>
      <c r="J399" s="8"/>
      <c r="K399" s="8"/>
      <c r="L399" s="8"/>
      <c r="M399" s="8"/>
      <c r="N399" s="8">
        <v>4.3</v>
      </c>
      <c r="O399" s="8"/>
      <c r="P399" s="8"/>
      <c r="Q399" s="11"/>
      <c r="R399" s="11"/>
      <c r="S399" s="8">
        <v>8.02</v>
      </c>
      <c r="T399" s="8">
        <v>14.04</v>
      </c>
      <c r="U399" s="8">
        <v>6.08</v>
      </c>
      <c r="V399" s="8"/>
      <c r="W399" s="8"/>
      <c r="X399" s="8"/>
      <c r="Y399" s="8"/>
      <c r="Z399" s="8"/>
      <c r="AA399" s="8"/>
      <c r="AB399" s="8"/>
      <c r="AC399" s="8">
        <v>6.98</v>
      </c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11"/>
      <c r="AQ399" s="8"/>
      <c r="AR399" s="8"/>
      <c r="AS399" s="8"/>
      <c r="AT399" s="8">
        <v>1113.19</v>
      </c>
      <c r="AU399" s="8"/>
      <c r="AV399" s="8"/>
      <c r="AW399" s="8"/>
      <c r="AX399" s="8"/>
      <c r="AY399" s="8"/>
      <c r="AZ399" s="8"/>
      <c r="BA399" s="8">
        <v>39.700000000000003</v>
      </c>
      <c r="BB399" s="8"/>
      <c r="BC399" s="8"/>
      <c r="BD399" s="8"/>
      <c r="BE399" s="8"/>
      <c r="BF399" s="8">
        <v>34.93</v>
      </c>
      <c r="BG399" s="8">
        <v>86.21</v>
      </c>
      <c r="BH399" s="9">
        <f t="shared" si="54"/>
        <v>1917.76</v>
      </c>
      <c r="BI399" s="9">
        <f t="shared" si="55"/>
        <v>4.3</v>
      </c>
      <c r="BJ399" s="9">
        <f t="shared" si="56"/>
        <v>8.02</v>
      </c>
      <c r="BK399" s="9">
        <f t="shared" si="57"/>
        <v>20.119999999999997</v>
      </c>
      <c r="BL399" s="9">
        <f t="shared" si="58"/>
        <v>0</v>
      </c>
      <c r="BM399" s="9">
        <f t="shared" si="59"/>
        <v>6.98</v>
      </c>
      <c r="BN399" s="9">
        <f t="shared" si="60"/>
        <v>1113.19</v>
      </c>
      <c r="BO399" s="9">
        <f t="shared" si="61"/>
        <v>39.700000000000003</v>
      </c>
      <c r="BP399" s="9">
        <f t="shared" si="62"/>
        <v>34.93</v>
      </c>
    </row>
    <row r="400" spans="1:68">
      <c r="A400" s="6">
        <v>44635</v>
      </c>
      <c r="B400" s="7">
        <v>3136</v>
      </c>
      <c r="C400" s="8">
        <v>1242.6199999999999</v>
      </c>
      <c r="D400" s="8"/>
      <c r="E400" s="8"/>
      <c r="F400" s="8"/>
      <c r="G400" s="8"/>
      <c r="H400" s="8">
        <v>515.71</v>
      </c>
      <c r="I400" s="8"/>
      <c r="J400" s="8"/>
      <c r="K400" s="8"/>
      <c r="L400" s="8"/>
      <c r="M400" s="8"/>
      <c r="N400" s="8">
        <v>2.34</v>
      </c>
      <c r="O400" s="8"/>
      <c r="P400" s="8"/>
      <c r="Q400" s="11"/>
      <c r="R400" s="11"/>
      <c r="S400" s="8">
        <v>7.66</v>
      </c>
      <c r="T400" s="8">
        <v>10.71</v>
      </c>
      <c r="U400" s="8">
        <v>9.16</v>
      </c>
      <c r="V400" s="8"/>
      <c r="W400" s="8"/>
      <c r="X400" s="8"/>
      <c r="Y400" s="8"/>
      <c r="Z400" s="8"/>
      <c r="AA400" s="8"/>
      <c r="AB400" s="8"/>
      <c r="AC400" s="8">
        <v>6.11</v>
      </c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11"/>
      <c r="AQ400" s="8"/>
      <c r="AR400" s="8"/>
      <c r="AS400" s="8"/>
      <c r="AT400" s="8">
        <v>992.94</v>
      </c>
      <c r="AU400" s="8"/>
      <c r="AV400" s="8"/>
      <c r="AW400" s="8"/>
      <c r="AX400" s="8"/>
      <c r="AY400" s="8"/>
      <c r="AZ400" s="8"/>
      <c r="BA400" s="8">
        <v>15.14</v>
      </c>
      <c r="BB400" s="8"/>
      <c r="BC400" s="8"/>
      <c r="BD400" s="8"/>
      <c r="BE400" s="8"/>
      <c r="BF400" s="8">
        <v>61.19</v>
      </c>
      <c r="BG400" s="8">
        <v>75.069999999999993</v>
      </c>
      <c r="BH400" s="9">
        <f t="shared" si="54"/>
        <v>1758.33</v>
      </c>
      <c r="BI400" s="9">
        <f t="shared" si="55"/>
        <v>2.34</v>
      </c>
      <c r="BJ400" s="9">
        <f t="shared" si="56"/>
        <v>7.66</v>
      </c>
      <c r="BK400" s="9">
        <f t="shared" si="57"/>
        <v>19.87</v>
      </c>
      <c r="BL400" s="9">
        <f t="shared" si="58"/>
        <v>0</v>
      </c>
      <c r="BM400" s="9">
        <f t="shared" si="59"/>
        <v>6.11</v>
      </c>
      <c r="BN400" s="9">
        <f t="shared" si="60"/>
        <v>992.94</v>
      </c>
      <c r="BO400" s="9">
        <f t="shared" si="61"/>
        <v>15.14</v>
      </c>
      <c r="BP400" s="9">
        <f t="shared" si="62"/>
        <v>61.19</v>
      </c>
    </row>
    <row r="401" spans="1:68">
      <c r="A401" s="6">
        <v>44635</v>
      </c>
      <c r="B401" s="7">
        <v>3134</v>
      </c>
      <c r="C401" s="8">
        <v>1039.04</v>
      </c>
      <c r="D401" s="8">
        <v>146.22999999999999</v>
      </c>
      <c r="E401" s="8"/>
      <c r="F401" s="8"/>
      <c r="G401" s="8"/>
      <c r="H401" s="8">
        <v>489.82</v>
      </c>
      <c r="I401" s="8"/>
      <c r="J401" s="8"/>
      <c r="K401" s="8"/>
      <c r="L401" s="8"/>
      <c r="M401" s="8"/>
      <c r="N401" s="8">
        <v>3.23</v>
      </c>
      <c r="O401" s="8"/>
      <c r="P401" s="8"/>
      <c r="Q401" s="11"/>
      <c r="R401" s="11"/>
      <c r="S401" s="8">
        <v>6.56</v>
      </c>
      <c r="T401" s="8">
        <v>10.16</v>
      </c>
      <c r="U401" s="8">
        <v>8.6999999999999993</v>
      </c>
      <c r="V401" s="8"/>
      <c r="W401" s="8"/>
      <c r="X401" s="8"/>
      <c r="Y401" s="8"/>
      <c r="Z401" s="8"/>
      <c r="AA401" s="8"/>
      <c r="AB401" s="8"/>
      <c r="AC401" s="8">
        <v>5.82</v>
      </c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11"/>
      <c r="AQ401" s="8"/>
      <c r="AR401" s="8"/>
      <c r="AS401" s="8"/>
      <c r="AT401" s="8">
        <v>1025.79</v>
      </c>
      <c r="AU401" s="8"/>
      <c r="AV401" s="8"/>
      <c r="AW401" s="8"/>
      <c r="AX401" s="8"/>
      <c r="AY401" s="8">
        <v>14.59</v>
      </c>
      <c r="AZ401" s="8"/>
      <c r="BA401" s="8"/>
      <c r="BB401" s="8"/>
      <c r="BC401" s="8"/>
      <c r="BD401" s="8"/>
      <c r="BE401" s="8"/>
      <c r="BF401" s="8">
        <v>65.599999999999994</v>
      </c>
      <c r="BG401" s="8">
        <v>77.14</v>
      </c>
      <c r="BH401" s="9">
        <f t="shared" si="54"/>
        <v>1675.09</v>
      </c>
      <c r="BI401" s="9">
        <f t="shared" si="55"/>
        <v>3.23</v>
      </c>
      <c r="BJ401" s="9">
        <f t="shared" si="56"/>
        <v>6.56</v>
      </c>
      <c r="BK401" s="9">
        <f t="shared" si="57"/>
        <v>18.86</v>
      </c>
      <c r="BL401" s="9">
        <f t="shared" si="58"/>
        <v>0</v>
      </c>
      <c r="BM401" s="9">
        <f t="shared" si="59"/>
        <v>5.82</v>
      </c>
      <c r="BN401" s="9">
        <f t="shared" si="60"/>
        <v>1025.79</v>
      </c>
      <c r="BO401" s="9">
        <f t="shared" si="61"/>
        <v>14.59</v>
      </c>
      <c r="BP401" s="9">
        <f t="shared" si="62"/>
        <v>65.599999999999994</v>
      </c>
    </row>
    <row r="402" spans="1:68">
      <c r="A402" s="6">
        <v>44635</v>
      </c>
      <c r="B402" s="7">
        <v>3141</v>
      </c>
      <c r="C402" s="8">
        <v>3608.93</v>
      </c>
      <c r="D402" s="8">
        <v>636.92999999999995</v>
      </c>
      <c r="E402" s="8"/>
      <c r="F402" s="8"/>
      <c r="G402" s="8"/>
      <c r="H402" s="8"/>
      <c r="I402" s="8"/>
      <c r="J402" s="8"/>
      <c r="K402" s="8"/>
      <c r="L402" s="8"/>
      <c r="M402" s="8"/>
      <c r="N402" s="8">
        <v>12.19</v>
      </c>
      <c r="O402" s="8"/>
      <c r="P402" s="8"/>
      <c r="Q402" s="11"/>
      <c r="R402" s="11"/>
      <c r="S402" s="8">
        <v>19.98</v>
      </c>
      <c r="T402" s="8">
        <v>31.88</v>
      </c>
      <c r="U402" s="8">
        <v>31.87</v>
      </c>
      <c r="V402" s="8"/>
      <c r="W402" s="8"/>
      <c r="X402" s="8"/>
      <c r="Y402" s="8"/>
      <c r="Z402" s="8"/>
      <c r="AA402" s="8"/>
      <c r="AB402" s="8"/>
      <c r="AC402" s="8">
        <v>16.989999999999998</v>
      </c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11"/>
      <c r="AQ402" s="8"/>
      <c r="AR402" s="8"/>
      <c r="AS402" s="8"/>
      <c r="AT402" s="8">
        <v>2816.23</v>
      </c>
      <c r="AU402" s="8"/>
      <c r="AV402" s="8"/>
      <c r="AW402" s="8"/>
      <c r="AX402" s="8"/>
      <c r="AY402" s="8"/>
      <c r="AZ402" s="8"/>
      <c r="BA402" s="8">
        <v>97.35</v>
      </c>
      <c r="BB402" s="8"/>
      <c r="BC402" s="8"/>
      <c r="BD402" s="8"/>
      <c r="BE402" s="8"/>
      <c r="BF402" s="8">
        <v>297.32</v>
      </c>
      <c r="BG402" s="8">
        <v>221.02</v>
      </c>
      <c r="BH402" s="9">
        <f t="shared" si="54"/>
        <v>4245.8599999999997</v>
      </c>
      <c r="BI402" s="9">
        <f t="shared" si="55"/>
        <v>12.19</v>
      </c>
      <c r="BJ402" s="9">
        <f t="shared" si="56"/>
        <v>19.98</v>
      </c>
      <c r="BK402" s="9">
        <f t="shared" si="57"/>
        <v>63.75</v>
      </c>
      <c r="BL402" s="9">
        <f t="shared" si="58"/>
        <v>0</v>
      </c>
      <c r="BM402" s="9">
        <f t="shared" si="59"/>
        <v>16.989999999999998</v>
      </c>
      <c r="BN402" s="9">
        <f t="shared" si="60"/>
        <v>2816.23</v>
      </c>
      <c r="BO402" s="9">
        <f t="shared" si="61"/>
        <v>97.35</v>
      </c>
      <c r="BP402" s="9">
        <f t="shared" si="62"/>
        <v>297.32</v>
      </c>
    </row>
    <row r="403" spans="1:68">
      <c r="A403" s="6">
        <v>44635</v>
      </c>
      <c r="B403" s="7">
        <v>3016</v>
      </c>
      <c r="C403" s="8"/>
      <c r="D403" s="8">
        <v>1621.89</v>
      </c>
      <c r="E403" s="8"/>
      <c r="F403" s="8"/>
      <c r="G403" s="8"/>
      <c r="H403" s="8"/>
      <c r="I403" s="8">
        <v>1488.65</v>
      </c>
      <c r="J403" s="8"/>
      <c r="K403" s="8"/>
      <c r="L403" s="8"/>
      <c r="M403" s="8"/>
      <c r="N403" s="8">
        <v>18.37</v>
      </c>
      <c r="O403" s="8"/>
      <c r="P403" s="8"/>
      <c r="Q403" s="11"/>
      <c r="R403" s="11"/>
      <c r="S403" s="8">
        <v>2.19</v>
      </c>
      <c r="T403" s="8">
        <v>31.3</v>
      </c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>
        <v>12.03</v>
      </c>
      <c r="AN403" s="8">
        <v>37.770000000000003</v>
      </c>
      <c r="AO403" s="8"/>
      <c r="AP403" s="11"/>
      <c r="AQ403" s="8"/>
      <c r="AR403" s="8">
        <v>79.19</v>
      </c>
      <c r="AS403" s="8"/>
      <c r="AT403" s="8">
        <v>1159.6199999999999</v>
      </c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>
        <v>84.7</v>
      </c>
      <c r="BH403" s="9">
        <f t="shared" si="54"/>
        <v>3110.54</v>
      </c>
      <c r="BI403" s="9">
        <f t="shared" si="55"/>
        <v>18.37</v>
      </c>
      <c r="BJ403" s="9">
        <f t="shared" si="56"/>
        <v>2.19</v>
      </c>
      <c r="BK403" s="9">
        <f t="shared" si="57"/>
        <v>31.3</v>
      </c>
      <c r="BL403" s="9">
        <f t="shared" si="58"/>
        <v>0</v>
      </c>
      <c r="BM403" s="9">
        <f t="shared" si="59"/>
        <v>128.99</v>
      </c>
      <c r="BN403" s="9">
        <f t="shared" si="60"/>
        <v>1159.6199999999999</v>
      </c>
      <c r="BO403" s="9">
        <f t="shared" si="61"/>
        <v>0</v>
      </c>
      <c r="BP403" s="9">
        <f t="shared" si="62"/>
        <v>0</v>
      </c>
    </row>
    <row r="404" spans="1:68">
      <c r="A404" s="6">
        <v>44635</v>
      </c>
      <c r="B404" s="7">
        <v>3029</v>
      </c>
      <c r="C404" s="8"/>
      <c r="D404" s="8">
        <v>472.26</v>
      </c>
      <c r="E404" s="8"/>
      <c r="F404" s="8">
        <v>332.03</v>
      </c>
      <c r="G404" s="8"/>
      <c r="H404" s="8"/>
      <c r="I404" s="8">
        <v>1966.81</v>
      </c>
      <c r="J404" s="8"/>
      <c r="K404" s="8"/>
      <c r="L404" s="8"/>
      <c r="M404" s="8"/>
      <c r="N404" s="8">
        <v>20.8</v>
      </c>
      <c r="O404" s="8"/>
      <c r="P404" s="8"/>
      <c r="Q404" s="11"/>
      <c r="R404" s="11"/>
      <c r="S404" s="8">
        <v>1.65</v>
      </c>
      <c r="T404" s="8"/>
      <c r="U404" s="8"/>
      <c r="V404" s="8"/>
      <c r="W404" s="8">
        <v>28.11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>
        <v>9.7899999999999991</v>
      </c>
      <c r="AN404" s="8">
        <v>14.08</v>
      </c>
      <c r="AO404" s="8"/>
      <c r="AP404" s="11"/>
      <c r="AQ404" s="8"/>
      <c r="AR404" s="8">
        <v>83.97</v>
      </c>
      <c r="AS404" s="8"/>
      <c r="AT404" s="8">
        <v>1051.3</v>
      </c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>
        <v>73.47</v>
      </c>
      <c r="BH404" s="9">
        <f t="shared" si="54"/>
        <v>2771.1</v>
      </c>
      <c r="BI404" s="9">
        <f t="shared" si="55"/>
        <v>20.8</v>
      </c>
      <c r="BJ404" s="9">
        <f t="shared" si="56"/>
        <v>1.65</v>
      </c>
      <c r="BK404" s="9">
        <f t="shared" si="57"/>
        <v>28.11</v>
      </c>
      <c r="BL404" s="9">
        <f t="shared" si="58"/>
        <v>0</v>
      </c>
      <c r="BM404" s="9">
        <f t="shared" si="59"/>
        <v>107.84</v>
      </c>
      <c r="BN404" s="9">
        <f t="shared" si="60"/>
        <v>1051.3</v>
      </c>
      <c r="BO404" s="9">
        <f t="shared" si="61"/>
        <v>0</v>
      </c>
      <c r="BP404" s="9">
        <f t="shared" si="62"/>
        <v>0</v>
      </c>
    </row>
    <row r="405" spans="1:68">
      <c r="A405" s="6">
        <v>44635</v>
      </c>
      <c r="B405" s="7">
        <v>3079</v>
      </c>
      <c r="C405" s="8"/>
      <c r="D405" s="8"/>
      <c r="E405" s="8"/>
      <c r="F405" s="8">
        <v>337.51</v>
      </c>
      <c r="G405" s="8"/>
      <c r="H405" s="8"/>
      <c r="I405" s="8">
        <v>2723.88</v>
      </c>
      <c r="J405" s="8"/>
      <c r="K405" s="8"/>
      <c r="L405" s="8"/>
      <c r="M405" s="8"/>
      <c r="N405" s="8">
        <v>23.01</v>
      </c>
      <c r="O405" s="8"/>
      <c r="P405" s="8"/>
      <c r="Q405" s="11"/>
      <c r="R405" s="11"/>
      <c r="S405" s="8">
        <v>1.21</v>
      </c>
      <c r="T405" s="8">
        <v>30.7</v>
      </c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>
        <v>12.36</v>
      </c>
      <c r="AN405" s="8">
        <v>31.12</v>
      </c>
      <c r="AO405" s="8"/>
      <c r="AP405" s="11"/>
      <c r="AQ405" s="8"/>
      <c r="AR405" s="8">
        <v>77.81</v>
      </c>
      <c r="AS405" s="8"/>
      <c r="AT405" s="8">
        <v>1169.1600000000001</v>
      </c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>
        <v>84.31</v>
      </c>
      <c r="BH405" s="9">
        <f t="shared" si="54"/>
        <v>3061.3900000000003</v>
      </c>
      <c r="BI405" s="9">
        <f t="shared" si="55"/>
        <v>23.01</v>
      </c>
      <c r="BJ405" s="9">
        <f t="shared" si="56"/>
        <v>1.21</v>
      </c>
      <c r="BK405" s="9">
        <f t="shared" si="57"/>
        <v>30.7</v>
      </c>
      <c r="BL405" s="9">
        <f t="shared" si="58"/>
        <v>0</v>
      </c>
      <c r="BM405" s="9">
        <f t="shared" si="59"/>
        <v>121.29</v>
      </c>
      <c r="BN405" s="9">
        <f t="shared" si="60"/>
        <v>1169.1600000000001</v>
      </c>
      <c r="BO405" s="9">
        <f t="shared" si="61"/>
        <v>0</v>
      </c>
      <c r="BP405" s="9">
        <f t="shared" si="62"/>
        <v>0</v>
      </c>
    </row>
    <row r="406" spans="1:68">
      <c r="A406" s="6">
        <v>44636</v>
      </c>
      <c r="B406" s="7">
        <v>3101</v>
      </c>
      <c r="C406" s="8">
        <v>628.86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>
        <v>1.26</v>
      </c>
      <c r="O406" s="8"/>
      <c r="P406" s="8"/>
      <c r="Q406" s="11"/>
      <c r="R406" s="11"/>
      <c r="S406" s="8">
        <v>3.66</v>
      </c>
      <c r="T406" s="8"/>
      <c r="U406" s="8">
        <v>10.09</v>
      </c>
      <c r="V406" s="8"/>
      <c r="W406" s="8"/>
      <c r="X406" s="8"/>
      <c r="Y406" s="8"/>
      <c r="Z406" s="8"/>
      <c r="AA406" s="8"/>
      <c r="AB406" s="8"/>
      <c r="AC406" s="8">
        <v>2.52</v>
      </c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11"/>
      <c r="AQ406" s="8"/>
      <c r="AR406" s="8"/>
      <c r="AS406" s="8"/>
      <c r="AT406" s="8">
        <v>424.37</v>
      </c>
      <c r="AU406" s="8"/>
      <c r="AV406" s="8"/>
      <c r="AW406" s="8">
        <v>13.41</v>
      </c>
      <c r="AX406" s="8"/>
      <c r="AY406" s="8"/>
      <c r="AZ406" s="8"/>
      <c r="BA406" s="8"/>
      <c r="BB406" s="8"/>
      <c r="BC406" s="8"/>
      <c r="BD406" s="8"/>
      <c r="BE406" s="8"/>
      <c r="BF406" s="8">
        <v>81.739999999999995</v>
      </c>
      <c r="BG406" s="8">
        <v>32.39</v>
      </c>
      <c r="BH406" s="9">
        <f t="shared" si="54"/>
        <v>628.86</v>
      </c>
      <c r="BI406" s="9">
        <f t="shared" si="55"/>
        <v>1.26</v>
      </c>
      <c r="BJ406" s="9">
        <f t="shared" si="56"/>
        <v>3.66</v>
      </c>
      <c r="BK406" s="9">
        <f t="shared" si="57"/>
        <v>10.09</v>
      </c>
      <c r="BL406" s="9">
        <f t="shared" si="58"/>
        <v>0</v>
      </c>
      <c r="BM406" s="9">
        <f t="shared" si="59"/>
        <v>2.52</v>
      </c>
      <c r="BN406" s="9">
        <f t="shared" si="60"/>
        <v>424.37</v>
      </c>
      <c r="BO406" s="9">
        <f t="shared" si="61"/>
        <v>13.41</v>
      </c>
      <c r="BP406" s="9">
        <f t="shared" si="62"/>
        <v>81.739999999999995</v>
      </c>
    </row>
    <row r="407" spans="1:68">
      <c r="A407" s="6">
        <v>44636</v>
      </c>
      <c r="B407" s="7">
        <v>3307</v>
      </c>
      <c r="C407" s="8"/>
      <c r="D407" s="8">
        <v>1900.08</v>
      </c>
      <c r="E407" s="8"/>
      <c r="F407" s="8"/>
      <c r="G407" s="8"/>
      <c r="H407" s="8"/>
      <c r="I407" s="8"/>
      <c r="J407" s="8"/>
      <c r="K407" s="8"/>
      <c r="L407" s="8"/>
      <c r="M407" s="8">
        <v>2.48</v>
      </c>
      <c r="N407" s="8"/>
      <c r="O407" s="8"/>
      <c r="P407" s="8"/>
      <c r="Q407" s="11"/>
      <c r="R407" s="11"/>
      <c r="S407" s="8">
        <v>13.89</v>
      </c>
      <c r="T407" s="8">
        <v>19.010000000000002</v>
      </c>
      <c r="U407" s="8"/>
      <c r="V407" s="8"/>
      <c r="W407" s="8"/>
      <c r="X407" s="8"/>
      <c r="Y407" s="8"/>
      <c r="Z407" s="8"/>
      <c r="AA407" s="8"/>
      <c r="AB407" s="8"/>
      <c r="AC407" s="8">
        <v>11.42</v>
      </c>
      <c r="AD407" s="8"/>
      <c r="AE407" s="8"/>
      <c r="AF407" s="8"/>
      <c r="AG407" s="8">
        <v>19.04</v>
      </c>
      <c r="AH407" s="8"/>
      <c r="AI407" s="8"/>
      <c r="AJ407" s="8"/>
      <c r="AK407" s="8"/>
      <c r="AL407" s="8"/>
      <c r="AM407" s="8"/>
      <c r="AN407" s="8"/>
      <c r="AO407" s="8"/>
      <c r="AP407" s="11"/>
      <c r="AQ407" s="8"/>
      <c r="AR407" s="8"/>
      <c r="AS407" s="8"/>
      <c r="AT407" s="8"/>
      <c r="AU407" s="8">
        <v>952.64</v>
      </c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>
        <v>68.39</v>
      </c>
      <c r="BH407" s="9">
        <f t="shared" si="54"/>
        <v>1900.08</v>
      </c>
      <c r="BI407" s="9">
        <f t="shared" si="55"/>
        <v>2.48</v>
      </c>
      <c r="BJ407" s="9">
        <f t="shared" si="56"/>
        <v>13.89</v>
      </c>
      <c r="BK407" s="9">
        <f t="shared" si="57"/>
        <v>19.010000000000002</v>
      </c>
      <c r="BL407" s="9">
        <f t="shared" si="58"/>
        <v>0</v>
      </c>
      <c r="BM407" s="9">
        <f t="shared" si="59"/>
        <v>30.46</v>
      </c>
      <c r="BN407" s="9">
        <f t="shared" si="60"/>
        <v>952.64</v>
      </c>
      <c r="BO407" s="9">
        <f t="shared" si="61"/>
        <v>0</v>
      </c>
      <c r="BP407" s="9">
        <f t="shared" si="62"/>
        <v>0</v>
      </c>
    </row>
    <row r="408" spans="1:68">
      <c r="A408" s="6">
        <v>44636</v>
      </c>
      <c r="B408" s="7">
        <v>3204</v>
      </c>
      <c r="C408" s="8"/>
      <c r="D408" s="8">
        <f>1721.36+907.93</f>
        <v>2629.29</v>
      </c>
      <c r="E408" s="8">
        <f>388.63+737.52</f>
        <v>1126.1500000000001</v>
      </c>
      <c r="F408" s="8"/>
      <c r="G408" s="8"/>
      <c r="H408" s="8"/>
      <c r="I408" s="8"/>
      <c r="J408" s="8"/>
      <c r="K408" s="8"/>
      <c r="L408" s="8"/>
      <c r="M408" s="8"/>
      <c r="N408" s="8"/>
      <c r="O408" s="8">
        <f>12.3+6.49</f>
        <v>18.79</v>
      </c>
      <c r="P408" s="8"/>
      <c r="Q408" s="11"/>
      <c r="R408" s="11"/>
      <c r="S408" s="8">
        <f>8.36+4.41</f>
        <v>12.77</v>
      </c>
      <c r="T408" s="8">
        <f>14.76+7.79</f>
        <v>22.55</v>
      </c>
      <c r="U408" s="8">
        <f>12.32+6.51</f>
        <v>18.829999999999998</v>
      </c>
      <c r="V408" s="8"/>
      <c r="W408" s="8"/>
      <c r="X408" s="8"/>
      <c r="Y408" s="8"/>
      <c r="Z408" s="8">
        <f>369.51+195.04</f>
        <v>564.54999999999995</v>
      </c>
      <c r="AA408" s="8"/>
      <c r="AB408" s="8">
        <f>6.6+12.5</f>
        <v>19.100000000000001</v>
      </c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11"/>
      <c r="AQ408" s="8"/>
      <c r="AR408" s="8"/>
      <c r="AS408" s="8"/>
      <c r="AT408" s="8">
        <f>1084.71+572</f>
        <v>1656.71</v>
      </c>
      <c r="AU408" s="8"/>
      <c r="AV408" s="8"/>
      <c r="AW408" s="8">
        <f>4.15+7.86</f>
        <v>12.010000000000002</v>
      </c>
      <c r="AX408" s="8"/>
      <c r="AY408" s="8"/>
      <c r="AZ408" s="8"/>
      <c r="BA408" s="8"/>
      <c r="BB408" s="8"/>
      <c r="BC408" s="8"/>
      <c r="BD408" s="8"/>
      <c r="BE408" s="8"/>
      <c r="BF408" s="8"/>
      <c r="BG408" s="8">
        <f>80.04+42.25</f>
        <v>122.29</v>
      </c>
      <c r="BH408" s="9">
        <f t="shared" si="54"/>
        <v>3755.44</v>
      </c>
      <c r="BI408" s="9">
        <f t="shared" si="55"/>
        <v>18.79</v>
      </c>
      <c r="BJ408" s="9">
        <f t="shared" si="56"/>
        <v>12.77</v>
      </c>
      <c r="BK408" s="9">
        <f t="shared" si="57"/>
        <v>41.379999999999995</v>
      </c>
      <c r="BL408" s="9">
        <f t="shared" si="58"/>
        <v>564.54999999999995</v>
      </c>
      <c r="BM408" s="9">
        <f t="shared" si="59"/>
        <v>19.100000000000001</v>
      </c>
      <c r="BN408" s="9">
        <f t="shared" si="60"/>
        <v>1656.71</v>
      </c>
      <c r="BO408" s="9">
        <f t="shared" si="61"/>
        <v>12.010000000000002</v>
      </c>
      <c r="BP408" s="9">
        <f t="shared" si="62"/>
        <v>0</v>
      </c>
    </row>
    <row r="409" spans="1:68">
      <c r="A409" s="6">
        <v>44636</v>
      </c>
      <c r="B409" s="7">
        <v>3078</v>
      </c>
      <c r="C409" s="8"/>
      <c r="D409" s="8"/>
      <c r="E409" s="8"/>
      <c r="F409" s="8">
        <v>91.54</v>
      </c>
      <c r="G409" s="8"/>
      <c r="H409" s="8"/>
      <c r="I409" s="8">
        <v>321.06</v>
      </c>
      <c r="J409" s="8"/>
      <c r="K409" s="8">
        <v>46.76</v>
      </c>
      <c r="L409" s="8"/>
      <c r="M409" s="8"/>
      <c r="N409" s="8">
        <v>3.49</v>
      </c>
      <c r="O409" s="8"/>
      <c r="P409" s="8"/>
      <c r="Q409" s="11"/>
      <c r="R409" s="11"/>
      <c r="S409" s="8">
        <v>0.92</v>
      </c>
      <c r="T409" s="8"/>
      <c r="U409" s="8"/>
      <c r="V409" s="8"/>
      <c r="W409" s="8">
        <v>6.9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>
        <v>4.6900000000000004</v>
      </c>
      <c r="AN409" s="8"/>
      <c r="AO409" s="8"/>
      <c r="AP409" s="11"/>
      <c r="AQ409" s="8"/>
      <c r="AR409" s="8"/>
      <c r="AS409" s="8">
        <v>11.54</v>
      </c>
      <c r="AT409" s="8">
        <v>220.92</v>
      </c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>
        <v>23.02</v>
      </c>
      <c r="BG409" s="8">
        <v>15.64</v>
      </c>
      <c r="BH409" s="9">
        <f t="shared" si="54"/>
        <v>459.36</v>
      </c>
      <c r="BI409" s="9">
        <f t="shared" si="55"/>
        <v>3.49</v>
      </c>
      <c r="BJ409" s="9">
        <f t="shared" si="56"/>
        <v>0.92</v>
      </c>
      <c r="BK409" s="9">
        <f t="shared" si="57"/>
        <v>6.9</v>
      </c>
      <c r="BL409" s="9">
        <f t="shared" si="58"/>
        <v>0</v>
      </c>
      <c r="BM409" s="9">
        <f t="shared" si="59"/>
        <v>16.23</v>
      </c>
      <c r="BN409" s="9">
        <f t="shared" si="60"/>
        <v>220.92</v>
      </c>
      <c r="BO409" s="9">
        <f t="shared" si="61"/>
        <v>0</v>
      </c>
      <c r="BP409" s="9">
        <f t="shared" si="62"/>
        <v>23.02</v>
      </c>
    </row>
    <row r="410" spans="1:68">
      <c r="A410" s="6">
        <v>44636</v>
      </c>
      <c r="B410" s="7">
        <v>3020</v>
      </c>
      <c r="C410" s="8"/>
      <c r="D410" s="8">
        <v>326.49</v>
      </c>
      <c r="E410" s="8"/>
      <c r="F410" s="8"/>
      <c r="G410" s="8"/>
      <c r="H410" s="8"/>
      <c r="I410" s="8">
        <v>1838.26</v>
      </c>
      <c r="J410" s="8"/>
      <c r="K410" s="8"/>
      <c r="L410" s="8"/>
      <c r="M410" s="8"/>
      <c r="N410" s="8">
        <v>12.99</v>
      </c>
      <c r="O410" s="8"/>
      <c r="P410" s="8"/>
      <c r="Q410" s="11"/>
      <c r="R410" s="11"/>
      <c r="S410" s="8">
        <v>3.9</v>
      </c>
      <c r="T410" s="8"/>
      <c r="U410" s="8"/>
      <c r="V410" s="8"/>
      <c r="W410" s="8">
        <v>22.17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>
        <v>22.15</v>
      </c>
      <c r="AN410" s="8"/>
      <c r="AO410" s="8"/>
      <c r="AP410" s="11"/>
      <c r="AQ410" s="8"/>
      <c r="AR410" s="8"/>
      <c r="AS410" s="8">
        <v>55.46</v>
      </c>
      <c r="AT410" s="8">
        <v>1065.9000000000001</v>
      </c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>
        <v>78.09</v>
      </c>
      <c r="BH410" s="9">
        <f t="shared" si="54"/>
        <v>2164.75</v>
      </c>
      <c r="BI410" s="9">
        <f t="shared" si="55"/>
        <v>12.99</v>
      </c>
      <c r="BJ410" s="9">
        <f t="shared" si="56"/>
        <v>3.9</v>
      </c>
      <c r="BK410" s="9">
        <f t="shared" si="57"/>
        <v>22.17</v>
      </c>
      <c r="BL410" s="9">
        <f t="shared" si="58"/>
        <v>0</v>
      </c>
      <c r="BM410" s="9">
        <f t="shared" si="59"/>
        <v>77.61</v>
      </c>
      <c r="BN410" s="9">
        <f t="shared" si="60"/>
        <v>1065.9000000000001</v>
      </c>
      <c r="BO410" s="9">
        <f t="shared" si="61"/>
        <v>0</v>
      </c>
      <c r="BP410" s="9">
        <f t="shared" si="62"/>
        <v>0</v>
      </c>
    </row>
    <row r="411" spans="1:68">
      <c r="A411" s="6">
        <v>44636</v>
      </c>
      <c r="B411" s="7">
        <v>3022</v>
      </c>
      <c r="C411" s="8"/>
      <c r="D411" s="8">
        <v>319.54000000000002</v>
      </c>
      <c r="E411" s="8"/>
      <c r="F411" s="8"/>
      <c r="G411" s="8"/>
      <c r="H411" s="8"/>
      <c r="I411" s="8">
        <v>262.81</v>
      </c>
      <c r="J411" s="8"/>
      <c r="K411" s="8"/>
      <c r="L411" s="8"/>
      <c r="M411" s="8"/>
      <c r="N411" s="8">
        <v>2.92</v>
      </c>
      <c r="O411" s="8"/>
      <c r="P411" s="8"/>
      <c r="Q411" s="11"/>
      <c r="R411" s="11"/>
      <c r="S411" s="8">
        <v>1.05</v>
      </c>
      <c r="T411" s="8"/>
      <c r="U411" s="8"/>
      <c r="V411" s="8"/>
      <c r="W411" s="8">
        <v>5.94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>
        <v>7.62</v>
      </c>
      <c r="AN411" s="8"/>
      <c r="AO411" s="8"/>
      <c r="AP411" s="11"/>
      <c r="AQ411" s="8"/>
      <c r="AR411" s="8"/>
      <c r="AS411" s="8">
        <v>20.47</v>
      </c>
      <c r="AT411" s="8">
        <v>272.79000000000002</v>
      </c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>
        <v>21</v>
      </c>
      <c r="BH411" s="9">
        <f t="shared" si="54"/>
        <v>582.35</v>
      </c>
      <c r="BI411" s="9">
        <f t="shared" si="55"/>
        <v>2.92</v>
      </c>
      <c r="BJ411" s="9">
        <f t="shared" si="56"/>
        <v>1.05</v>
      </c>
      <c r="BK411" s="9">
        <f t="shared" si="57"/>
        <v>5.94</v>
      </c>
      <c r="BL411" s="9">
        <f t="shared" si="58"/>
        <v>0</v>
      </c>
      <c r="BM411" s="9">
        <f t="shared" si="59"/>
        <v>28.09</v>
      </c>
      <c r="BN411" s="9">
        <f t="shared" si="60"/>
        <v>272.79000000000002</v>
      </c>
      <c r="BO411" s="9">
        <f t="shared" si="61"/>
        <v>0</v>
      </c>
      <c r="BP411" s="9">
        <f t="shared" si="62"/>
        <v>0</v>
      </c>
    </row>
    <row r="412" spans="1:68">
      <c r="A412" s="6">
        <v>44636</v>
      </c>
      <c r="B412" s="7">
        <v>3402</v>
      </c>
      <c r="C412" s="8">
        <v>769.24</v>
      </c>
      <c r="D412" s="8">
        <v>511.71</v>
      </c>
      <c r="E412" s="8"/>
      <c r="F412" s="8"/>
      <c r="G412" s="8"/>
      <c r="H412" s="8"/>
      <c r="I412" s="8"/>
      <c r="J412" s="8"/>
      <c r="K412" s="8"/>
      <c r="L412" s="8"/>
      <c r="M412" s="8">
        <v>3.73</v>
      </c>
      <c r="N412" s="8"/>
      <c r="O412" s="8"/>
      <c r="P412" s="8"/>
      <c r="Q412" s="11"/>
      <c r="R412" s="11"/>
      <c r="S412" s="8">
        <v>2.93</v>
      </c>
      <c r="T412" s="8">
        <v>12.78</v>
      </c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11"/>
      <c r="AQ412" s="8"/>
      <c r="AR412" s="8"/>
      <c r="AS412" s="8"/>
      <c r="AT412" s="8">
        <v>602.69000000000005</v>
      </c>
      <c r="AU412" s="8"/>
      <c r="AV412" s="8"/>
      <c r="AW412" s="8"/>
      <c r="AX412" s="8"/>
      <c r="AY412" s="8"/>
      <c r="AZ412" s="8"/>
      <c r="BA412" s="8">
        <v>5.71</v>
      </c>
      <c r="BB412" s="8"/>
      <c r="BC412" s="8"/>
      <c r="BD412" s="8"/>
      <c r="BE412" s="8"/>
      <c r="BF412" s="8"/>
      <c r="BG412" s="8">
        <v>42.16</v>
      </c>
      <c r="BH412" s="9">
        <f t="shared" si="54"/>
        <v>1280.95</v>
      </c>
      <c r="BI412" s="9">
        <f t="shared" si="55"/>
        <v>3.73</v>
      </c>
      <c r="BJ412" s="9">
        <f t="shared" si="56"/>
        <v>2.93</v>
      </c>
      <c r="BK412" s="9">
        <f t="shared" si="57"/>
        <v>12.78</v>
      </c>
      <c r="BL412" s="9">
        <f t="shared" si="58"/>
        <v>0</v>
      </c>
      <c r="BM412" s="9">
        <f t="shared" si="59"/>
        <v>0</v>
      </c>
      <c r="BN412" s="9">
        <f t="shared" si="60"/>
        <v>602.69000000000005</v>
      </c>
      <c r="BO412" s="9">
        <f t="shared" si="61"/>
        <v>5.71</v>
      </c>
      <c r="BP412" s="9">
        <f t="shared" si="62"/>
        <v>0</v>
      </c>
    </row>
    <row r="413" spans="1:68">
      <c r="A413" s="6">
        <v>44636</v>
      </c>
      <c r="B413" s="7">
        <v>3141</v>
      </c>
      <c r="C413" s="8">
        <v>3596.22</v>
      </c>
      <c r="D413" s="8">
        <v>634.65</v>
      </c>
      <c r="E413" s="8"/>
      <c r="F413" s="8"/>
      <c r="G413" s="8"/>
      <c r="H413" s="8"/>
      <c r="I413" s="8"/>
      <c r="J413" s="8"/>
      <c r="K413" s="8"/>
      <c r="L413" s="8"/>
      <c r="M413" s="8"/>
      <c r="N413" s="8">
        <v>13.29</v>
      </c>
      <c r="O413" s="8"/>
      <c r="P413" s="8"/>
      <c r="Q413" s="11"/>
      <c r="R413" s="11"/>
      <c r="S413" s="8">
        <v>19.91</v>
      </c>
      <c r="T413" s="8">
        <v>31.77</v>
      </c>
      <c r="U413" s="8">
        <v>31.76</v>
      </c>
      <c r="V413" s="8"/>
      <c r="W413" s="8"/>
      <c r="X413" s="8"/>
      <c r="Y413" s="8"/>
      <c r="Z413" s="8"/>
      <c r="AA413" s="8"/>
      <c r="AB413" s="8"/>
      <c r="AC413" s="8">
        <v>16.93</v>
      </c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11"/>
      <c r="AQ413" s="8"/>
      <c r="AR413" s="8"/>
      <c r="AS413" s="8"/>
      <c r="AT413" s="8">
        <v>2801.76</v>
      </c>
      <c r="AU413" s="8"/>
      <c r="AV413" s="8"/>
      <c r="AW413" s="8"/>
      <c r="AX413" s="8"/>
      <c r="AY413" s="8"/>
      <c r="AZ413" s="8"/>
      <c r="BA413" s="8">
        <v>96.96</v>
      </c>
      <c r="BB413" s="8"/>
      <c r="BC413" s="8"/>
      <c r="BD413" s="8"/>
      <c r="BE413" s="8"/>
      <c r="BF413" s="8">
        <v>296.16000000000003</v>
      </c>
      <c r="BG413" s="8">
        <v>219.85</v>
      </c>
      <c r="BH413" s="9">
        <f t="shared" si="54"/>
        <v>4230.87</v>
      </c>
      <c r="BI413" s="9">
        <f t="shared" si="55"/>
        <v>13.29</v>
      </c>
      <c r="BJ413" s="9">
        <f t="shared" si="56"/>
        <v>19.91</v>
      </c>
      <c r="BK413" s="9">
        <f t="shared" si="57"/>
        <v>63.53</v>
      </c>
      <c r="BL413" s="9">
        <f t="shared" si="58"/>
        <v>0</v>
      </c>
      <c r="BM413" s="9">
        <f t="shared" si="59"/>
        <v>16.93</v>
      </c>
      <c r="BN413" s="9">
        <f t="shared" si="60"/>
        <v>2801.76</v>
      </c>
      <c r="BO413" s="9">
        <f t="shared" si="61"/>
        <v>96.96</v>
      </c>
      <c r="BP413" s="9">
        <f t="shared" si="62"/>
        <v>296.16000000000003</v>
      </c>
    </row>
    <row r="414" spans="1:68">
      <c r="A414" s="6">
        <v>44636</v>
      </c>
      <c r="B414" s="7">
        <v>3106</v>
      </c>
      <c r="C414" s="8">
        <v>4189.07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>
        <v>11.29</v>
      </c>
      <c r="O414" s="8"/>
      <c r="P414" s="8"/>
      <c r="Q414" s="11"/>
      <c r="R414" s="11"/>
      <c r="S414" s="8">
        <v>13.01</v>
      </c>
      <c r="T414" s="8">
        <v>53.23</v>
      </c>
      <c r="U414" s="8"/>
      <c r="V414" s="8"/>
      <c r="W414" s="8"/>
      <c r="X414" s="8"/>
      <c r="Y414" s="8"/>
      <c r="Z414" s="8"/>
      <c r="AA414" s="8"/>
      <c r="AB414" s="8"/>
      <c r="AC414" s="8">
        <v>16.78</v>
      </c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11"/>
      <c r="AQ414" s="8"/>
      <c r="AR414" s="8"/>
      <c r="AS414" s="8"/>
      <c r="AT414" s="8">
        <v>2402.59</v>
      </c>
      <c r="AU414" s="8"/>
      <c r="AV414" s="8"/>
      <c r="AW414" s="8"/>
      <c r="AX414" s="8">
        <v>5.25</v>
      </c>
      <c r="AY414" s="8"/>
      <c r="AZ414" s="8"/>
      <c r="BA414" s="8"/>
      <c r="BB414" s="8"/>
      <c r="BC414" s="8"/>
      <c r="BD414" s="8"/>
      <c r="BE414" s="8"/>
      <c r="BF414" s="8"/>
      <c r="BG414" s="8">
        <v>181.13</v>
      </c>
      <c r="BH414" s="9">
        <f t="shared" si="54"/>
        <v>4189.07</v>
      </c>
      <c r="BI414" s="9">
        <f t="shared" si="55"/>
        <v>11.29</v>
      </c>
      <c r="BJ414" s="9">
        <f t="shared" si="56"/>
        <v>13.01</v>
      </c>
      <c r="BK414" s="9">
        <f t="shared" si="57"/>
        <v>53.23</v>
      </c>
      <c r="BL414" s="9">
        <f t="shared" si="58"/>
        <v>0</v>
      </c>
      <c r="BM414" s="9">
        <f t="shared" si="59"/>
        <v>16.78</v>
      </c>
      <c r="BN414" s="9">
        <f t="shared" si="60"/>
        <v>2402.59</v>
      </c>
      <c r="BO414" s="9">
        <f t="shared" si="61"/>
        <v>5.25</v>
      </c>
      <c r="BP414" s="9">
        <f t="shared" si="62"/>
        <v>0</v>
      </c>
    </row>
    <row r="415" spans="1:68">
      <c r="A415" s="6">
        <v>44637</v>
      </c>
      <c r="B415" s="7">
        <v>3083</v>
      </c>
      <c r="C415" s="8"/>
      <c r="D415" s="8">
        <v>743.78</v>
      </c>
      <c r="E415" s="8"/>
      <c r="F415" s="8"/>
      <c r="G415" s="8"/>
      <c r="H415" s="8"/>
      <c r="I415" s="8">
        <v>1733.53</v>
      </c>
      <c r="J415" s="8"/>
      <c r="K415" s="8"/>
      <c r="L415" s="8"/>
      <c r="M415" s="8"/>
      <c r="N415" s="8">
        <v>17.11</v>
      </c>
      <c r="O415" s="8"/>
      <c r="P415" s="8"/>
      <c r="Q415" s="11"/>
      <c r="R415" s="11"/>
      <c r="S415" s="8">
        <v>1.73</v>
      </c>
      <c r="T415" s="8">
        <v>19.829999999999998</v>
      </c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>
        <v>10.199999999999999</v>
      </c>
      <c r="AN415" s="8">
        <v>36.5</v>
      </c>
      <c r="AO415" s="8"/>
      <c r="AP415" s="11"/>
      <c r="AQ415" s="8"/>
      <c r="AR415" s="8">
        <v>61.64</v>
      </c>
      <c r="AS415" s="8"/>
      <c r="AT415" s="8">
        <v>1126.17</v>
      </c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>
        <v>88.19</v>
      </c>
      <c r="BH415" s="9">
        <f t="shared" si="54"/>
        <v>2477.31</v>
      </c>
      <c r="BI415" s="9">
        <f t="shared" si="55"/>
        <v>17.11</v>
      </c>
      <c r="BJ415" s="9">
        <f t="shared" si="56"/>
        <v>1.73</v>
      </c>
      <c r="BK415" s="9">
        <f t="shared" si="57"/>
        <v>19.829999999999998</v>
      </c>
      <c r="BL415" s="9">
        <f t="shared" si="58"/>
        <v>0</v>
      </c>
      <c r="BM415" s="9">
        <f t="shared" si="59"/>
        <v>108.34</v>
      </c>
      <c r="BN415" s="9">
        <f t="shared" si="60"/>
        <v>1126.17</v>
      </c>
      <c r="BO415" s="9">
        <f t="shared" si="61"/>
        <v>0</v>
      </c>
      <c r="BP415" s="9">
        <f t="shared" si="62"/>
        <v>0</v>
      </c>
    </row>
    <row r="416" spans="1:68">
      <c r="A416" s="6">
        <v>44637</v>
      </c>
      <c r="B416" s="7">
        <v>3200</v>
      </c>
      <c r="C416" s="8">
        <v>2253.2600000000002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>
        <v>5.64</v>
      </c>
      <c r="P416" s="8"/>
      <c r="Q416" s="11"/>
      <c r="R416" s="11"/>
      <c r="S416" s="8">
        <v>8.81</v>
      </c>
      <c r="T416" s="8"/>
      <c r="U416" s="8">
        <v>33.93</v>
      </c>
      <c r="V416" s="8"/>
      <c r="W416" s="8"/>
      <c r="X416" s="8"/>
      <c r="Y416" s="8"/>
      <c r="Z416" s="8">
        <v>474.62</v>
      </c>
      <c r="AA416" s="8"/>
      <c r="AB416" s="8"/>
      <c r="AC416" s="8"/>
      <c r="AD416" s="8"/>
      <c r="AE416" s="8">
        <v>34.590000000000003</v>
      </c>
      <c r="AF416" s="8">
        <v>112.34</v>
      </c>
      <c r="AG416" s="8"/>
      <c r="AH416" s="8"/>
      <c r="AI416" s="8"/>
      <c r="AJ416" s="8"/>
      <c r="AK416" s="8"/>
      <c r="AL416" s="8"/>
      <c r="AM416" s="8"/>
      <c r="AN416" s="8"/>
      <c r="AO416" s="8"/>
      <c r="AP416" s="11"/>
      <c r="AQ416" s="8"/>
      <c r="AR416" s="8"/>
      <c r="AS416" s="8"/>
      <c r="AT416" s="8">
        <v>1544.4</v>
      </c>
      <c r="AU416" s="8"/>
      <c r="AV416" s="8"/>
      <c r="AW416" s="8">
        <v>6.44</v>
      </c>
      <c r="AX416" s="8"/>
      <c r="AY416" s="8"/>
      <c r="AZ416" s="8"/>
      <c r="BA416" s="8"/>
      <c r="BB416" s="8"/>
      <c r="BC416" s="8"/>
      <c r="BD416" s="8"/>
      <c r="BE416" s="8"/>
      <c r="BF416" s="8">
        <v>108.53</v>
      </c>
      <c r="BG416" s="8">
        <v>111.87</v>
      </c>
      <c r="BH416" s="9">
        <f t="shared" si="54"/>
        <v>2253.2600000000002</v>
      </c>
      <c r="BI416" s="9">
        <f t="shared" si="55"/>
        <v>5.64</v>
      </c>
      <c r="BJ416" s="9">
        <f t="shared" si="56"/>
        <v>8.81</v>
      </c>
      <c r="BK416" s="9">
        <f t="shared" si="57"/>
        <v>33.93</v>
      </c>
      <c r="BL416" s="9">
        <f t="shared" si="58"/>
        <v>474.62</v>
      </c>
      <c r="BM416" s="9">
        <f t="shared" si="59"/>
        <v>146.93</v>
      </c>
      <c r="BN416" s="9">
        <f t="shared" si="60"/>
        <v>1544.4</v>
      </c>
      <c r="BO416" s="9">
        <f t="shared" si="61"/>
        <v>6.44</v>
      </c>
      <c r="BP416" s="9">
        <f t="shared" si="62"/>
        <v>108.53</v>
      </c>
    </row>
    <row r="417" spans="1:68">
      <c r="A417" s="6">
        <v>44637</v>
      </c>
      <c r="B417" s="7">
        <v>3405</v>
      </c>
      <c r="C417" s="8">
        <v>1011.77</v>
      </c>
      <c r="D417" s="8">
        <v>251.01</v>
      </c>
      <c r="E417" s="8"/>
      <c r="F417" s="8"/>
      <c r="G417" s="8"/>
      <c r="H417" s="8"/>
      <c r="I417" s="8"/>
      <c r="J417" s="8"/>
      <c r="K417" s="8"/>
      <c r="L417" s="8"/>
      <c r="M417" s="8">
        <v>3.13</v>
      </c>
      <c r="N417" s="8"/>
      <c r="O417" s="8"/>
      <c r="P417" s="8"/>
      <c r="Q417" s="11"/>
      <c r="R417" s="11"/>
      <c r="S417" s="8">
        <v>2.9</v>
      </c>
      <c r="T417" s="8"/>
      <c r="U417" s="8"/>
      <c r="V417" s="8"/>
      <c r="W417" s="8"/>
      <c r="X417" s="8">
        <v>15.27</v>
      </c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11"/>
      <c r="AQ417" s="8"/>
      <c r="AR417" s="8"/>
      <c r="AS417" s="8"/>
      <c r="AT417" s="8">
        <v>633.95000000000005</v>
      </c>
      <c r="AU417" s="8"/>
      <c r="AV417" s="8"/>
      <c r="AW417" s="8"/>
      <c r="AX417" s="8"/>
      <c r="AY417" s="8"/>
      <c r="AZ417" s="8"/>
      <c r="BA417" s="8">
        <v>5.69</v>
      </c>
      <c r="BB417" s="8"/>
      <c r="BC417" s="8"/>
      <c r="BD417" s="8"/>
      <c r="BE417" s="8"/>
      <c r="BF417" s="8"/>
      <c r="BG417" s="8">
        <v>43.09</v>
      </c>
      <c r="BH417" s="9">
        <f t="shared" si="54"/>
        <v>1262.78</v>
      </c>
      <c r="BI417" s="9">
        <f t="shared" si="55"/>
        <v>3.13</v>
      </c>
      <c r="BJ417" s="9">
        <f t="shared" si="56"/>
        <v>2.9</v>
      </c>
      <c r="BK417" s="9">
        <f t="shared" si="57"/>
        <v>15.27</v>
      </c>
      <c r="BL417" s="9">
        <f t="shared" si="58"/>
        <v>0</v>
      </c>
      <c r="BM417" s="9">
        <f t="shared" si="59"/>
        <v>0</v>
      </c>
      <c r="BN417" s="9">
        <f t="shared" si="60"/>
        <v>633.95000000000005</v>
      </c>
      <c r="BO417" s="9">
        <f t="shared" si="61"/>
        <v>5.69</v>
      </c>
      <c r="BP417" s="9">
        <f t="shared" si="62"/>
        <v>0</v>
      </c>
    </row>
    <row r="418" spans="1:68">
      <c r="A418" s="6">
        <v>44637</v>
      </c>
      <c r="B418" s="7">
        <v>3408</v>
      </c>
      <c r="C418" s="8">
        <v>1222.1600000000001</v>
      </c>
      <c r="D418" s="8"/>
      <c r="E418" s="8"/>
      <c r="F418" s="8"/>
      <c r="G418" s="8"/>
      <c r="H418" s="8"/>
      <c r="I418" s="8"/>
      <c r="J418" s="8"/>
      <c r="K418" s="8"/>
      <c r="L418" s="8"/>
      <c r="M418" s="8">
        <v>3.11</v>
      </c>
      <c r="N418" s="8"/>
      <c r="O418" s="8"/>
      <c r="P418" s="8"/>
      <c r="Q418" s="11"/>
      <c r="R418" s="11"/>
      <c r="S418" s="8">
        <v>3.06</v>
      </c>
      <c r="T418" s="8">
        <v>12.24</v>
      </c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11"/>
      <c r="AQ418" s="8"/>
      <c r="AR418" s="8"/>
      <c r="AS418" s="8"/>
      <c r="AT418" s="8">
        <v>626.08000000000004</v>
      </c>
      <c r="AU418" s="8"/>
      <c r="AV418" s="8"/>
      <c r="AW418" s="8"/>
      <c r="AX418" s="8"/>
      <c r="AY418" s="8"/>
      <c r="AZ418" s="8"/>
      <c r="BA418" s="8">
        <v>5.48</v>
      </c>
      <c r="BB418" s="8"/>
      <c r="BC418" s="8"/>
      <c r="BD418" s="8"/>
      <c r="BE418" s="8"/>
      <c r="BF418" s="8"/>
      <c r="BG418" s="8">
        <v>42.76</v>
      </c>
      <c r="BH418" s="9">
        <f t="shared" si="54"/>
        <v>1222.1600000000001</v>
      </c>
      <c r="BI418" s="9">
        <f t="shared" si="55"/>
        <v>3.11</v>
      </c>
      <c r="BJ418" s="9">
        <f t="shared" si="56"/>
        <v>3.06</v>
      </c>
      <c r="BK418" s="9">
        <f t="shared" si="57"/>
        <v>12.24</v>
      </c>
      <c r="BL418" s="9">
        <f t="shared" si="58"/>
        <v>0</v>
      </c>
      <c r="BM418" s="9">
        <f t="shared" si="59"/>
        <v>0</v>
      </c>
      <c r="BN418" s="9">
        <f t="shared" si="60"/>
        <v>626.08000000000004</v>
      </c>
      <c r="BO418" s="9">
        <f t="shared" si="61"/>
        <v>5.48</v>
      </c>
      <c r="BP418" s="9">
        <f t="shared" si="62"/>
        <v>0</v>
      </c>
    </row>
    <row r="419" spans="1:68">
      <c r="A419" s="6">
        <v>44637</v>
      </c>
      <c r="B419" s="7">
        <v>3141</v>
      </c>
      <c r="C419" s="8">
        <v>3600.96</v>
      </c>
      <c r="D419" s="8">
        <v>636.04</v>
      </c>
      <c r="E419" s="8"/>
      <c r="F419" s="8"/>
      <c r="G419" s="8"/>
      <c r="H419" s="8"/>
      <c r="I419" s="8"/>
      <c r="J419" s="8"/>
      <c r="K419" s="8"/>
      <c r="L419" s="8"/>
      <c r="M419" s="8"/>
      <c r="N419" s="8">
        <v>13.56</v>
      </c>
      <c r="O419" s="8"/>
      <c r="P419" s="8"/>
      <c r="Q419" s="11"/>
      <c r="R419" s="11"/>
      <c r="S419" s="8">
        <v>19.95</v>
      </c>
      <c r="T419" s="8">
        <v>31.85</v>
      </c>
      <c r="U419" s="8">
        <v>31.84</v>
      </c>
      <c r="V419" s="8"/>
      <c r="W419" s="8"/>
      <c r="X419" s="8"/>
      <c r="Y419" s="8"/>
      <c r="Z419" s="8"/>
      <c r="AA419" s="8"/>
      <c r="AB419" s="8"/>
      <c r="AC419" s="8">
        <v>16.989999999999998</v>
      </c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11"/>
      <c r="AQ419" s="8"/>
      <c r="AR419" s="8"/>
      <c r="AS419" s="8"/>
      <c r="AT419" s="8">
        <v>2810.02</v>
      </c>
      <c r="AU419" s="8"/>
      <c r="AV419" s="8"/>
      <c r="AW419" s="8"/>
      <c r="AX419" s="8"/>
      <c r="AY419" s="8"/>
      <c r="AZ419" s="8"/>
      <c r="BA419" s="8">
        <v>97.3</v>
      </c>
      <c r="BB419" s="8"/>
      <c r="BC419" s="8"/>
      <c r="BD419" s="8"/>
      <c r="BE419" s="8"/>
      <c r="BF419" s="8">
        <v>296.95</v>
      </c>
      <c r="BG419" s="8">
        <v>221.3</v>
      </c>
      <c r="BH419" s="9">
        <f t="shared" si="54"/>
        <v>4237</v>
      </c>
      <c r="BI419" s="9">
        <f t="shared" si="55"/>
        <v>13.56</v>
      </c>
      <c r="BJ419" s="9">
        <f t="shared" si="56"/>
        <v>19.95</v>
      </c>
      <c r="BK419" s="9">
        <f t="shared" si="57"/>
        <v>63.69</v>
      </c>
      <c r="BL419" s="9">
        <f t="shared" si="58"/>
        <v>0</v>
      </c>
      <c r="BM419" s="9">
        <f t="shared" si="59"/>
        <v>16.989999999999998</v>
      </c>
      <c r="BN419" s="9">
        <f t="shared" si="60"/>
        <v>2810.02</v>
      </c>
      <c r="BO419" s="9">
        <f t="shared" si="61"/>
        <v>97.3</v>
      </c>
      <c r="BP419" s="9">
        <f t="shared" si="62"/>
        <v>296.95</v>
      </c>
    </row>
    <row r="420" spans="1:68">
      <c r="A420" s="6">
        <v>44637</v>
      </c>
      <c r="B420" s="7">
        <v>3106</v>
      </c>
      <c r="C420" s="8">
        <v>4083.64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>
        <v>11.04</v>
      </c>
      <c r="O420" s="8"/>
      <c r="P420" s="8"/>
      <c r="Q420" s="11"/>
      <c r="R420" s="11"/>
      <c r="S420" s="8">
        <v>12.67</v>
      </c>
      <c r="T420" s="8">
        <v>51.85</v>
      </c>
      <c r="U420" s="8"/>
      <c r="V420" s="8"/>
      <c r="W420" s="8"/>
      <c r="X420" s="8"/>
      <c r="Y420" s="8"/>
      <c r="Z420" s="8"/>
      <c r="AA420" s="8"/>
      <c r="AB420" s="8"/>
      <c r="AC420" s="8">
        <v>16.350000000000001</v>
      </c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11"/>
      <c r="AQ420" s="8"/>
      <c r="AR420" s="8"/>
      <c r="AS420" s="8"/>
      <c r="AT420" s="8">
        <v>2337.5700000000002</v>
      </c>
      <c r="AU420" s="8"/>
      <c r="AV420" s="8"/>
      <c r="AW420" s="8"/>
      <c r="AX420" s="8">
        <v>5.1100000000000003</v>
      </c>
      <c r="AY420" s="8"/>
      <c r="AZ420" s="8"/>
      <c r="BA420" s="8"/>
      <c r="BB420" s="8"/>
      <c r="BC420" s="8"/>
      <c r="BD420" s="8"/>
      <c r="BE420" s="8"/>
      <c r="BF420" s="8"/>
      <c r="BG420" s="8">
        <v>176.1</v>
      </c>
      <c r="BH420" s="9">
        <f t="shared" si="54"/>
        <v>4083.64</v>
      </c>
      <c r="BI420" s="9">
        <f t="shared" si="55"/>
        <v>11.04</v>
      </c>
      <c r="BJ420" s="9">
        <f t="shared" si="56"/>
        <v>12.67</v>
      </c>
      <c r="BK420" s="9">
        <f t="shared" si="57"/>
        <v>51.85</v>
      </c>
      <c r="BL420" s="9">
        <f t="shared" si="58"/>
        <v>0</v>
      </c>
      <c r="BM420" s="9">
        <f t="shared" si="59"/>
        <v>16.350000000000001</v>
      </c>
      <c r="BN420" s="9">
        <f t="shared" si="60"/>
        <v>2337.5700000000002</v>
      </c>
      <c r="BO420" s="9">
        <f t="shared" si="61"/>
        <v>5.1100000000000003</v>
      </c>
      <c r="BP420" s="9">
        <f t="shared" si="62"/>
        <v>0</v>
      </c>
    </row>
    <row r="421" spans="1:68">
      <c r="A421" s="6">
        <v>44637</v>
      </c>
      <c r="B421" s="7">
        <v>3304</v>
      </c>
      <c r="C421" s="8"/>
      <c r="D421" s="8">
        <v>870.53</v>
      </c>
      <c r="E421" s="8"/>
      <c r="F421" s="8"/>
      <c r="G421" s="8"/>
      <c r="H421" s="8"/>
      <c r="I421" s="8"/>
      <c r="J421" s="8"/>
      <c r="K421" s="8"/>
      <c r="L421" s="8"/>
      <c r="M421" s="8">
        <v>1.04</v>
      </c>
      <c r="N421" s="8"/>
      <c r="O421" s="8"/>
      <c r="P421" s="8"/>
      <c r="Q421" s="11"/>
      <c r="R421" s="11"/>
      <c r="S421" s="8">
        <v>6.18</v>
      </c>
      <c r="T421" s="8">
        <v>7.86</v>
      </c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>
        <v>8.7799999999999994</v>
      </c>
      <c r="AH421" s="8"/>
      <c r="AI421" s="8"/>
      <c r="AJ421" s="8"/>
      <c r="AK421" s="8"/>
      <c r="AL421" s="8"/>
      <c r="AM421" s="8"/>
      <c r="AN421" s="8"/>
      <c r="AO421" s="8"/>
      <c r="AP421" s="11"/>
      <c r="AQ421" s="8"/>
      <c r="AR421" s="8"/>
      <c r="AS421" s="8"/>
      <c r="AT421" s="8"/>
      <c r="AU421" s="8">
        <v>376.15</v>
      </c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>
        <v>25.12</v>
      </c>
      <c r="BH421" s="9">
        <f t="shared" si="54"/>
        <v>870.53</v>
      </c>
      <c r="BI421" s="9">
        <f t="shared" si="55"/>
        <v>1.04</v>
      </c>
      <c r="BJ421" s="9">
        <f t="shared" si="56"/>
        <v>6.18</v>
      </c>
      <c r="BK421" s="9">
        <f t="shared" si="57"/>
        <v>7.86</v>
      </c>
      <c r="BL421" s="9">
        <f t="shared" si="58"/>
        <v>0</v>
      </c>
      <c r="BM421" s="9">
        <f t="shared" si="59"/>
        <v>8.7799999999999994</v>
      </c>
      <c r="BN421" s="9">
        <f t="shared" si="60"/>
        <v>376.15</v>
      </c>
      <c r="BO421" s="9">
        <f t="shared" si="61"/>
        <v>0</v>
      </c>
      <c r="BP421" s="9">
        <f t="shared" si="62"/>
        <v>0</v>
      </c>
    </row>
    <row r="422" spans="1:68">
      <c r="A422" s="6">
        <v>44637</v>
      </c>
      <c r="B422" s="7">
        <v>3601</v>
      </c>
      <c r="C422" s="8">
        <v>300.73</v>
      </c>
      <c r="D422" s="8"/>
      <c r="E422" s="8"/>
      <c r="F422" s="8"/>
      <c r="G422" s="8">
        <v>451.1</v>
      </c>
      <c r="H422" s="8"/>
      <c r="I422" s="8"/>
      <c r="J422" s="8"/>
      <c r="K422" s="8"/>
      <c r="L422" s="8"/>
      <c r="M422" s="8">
        <v>0.92</v>
      </c>
      <c r="N422" s="8"/>
      <c r="O422" s="8"/>
      <c r="P422" s="8"/>
      <c r="Q422" s="11"/>
      <c r="R422" s="11"/>
      <c r="S422" s="8">
        <v>4.03</v>
      </c>
      <c r="T422" s="8"/>
      <c r="U422" s="8">
        <v>4.51</v>
      </c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11"/>
      <c r="AQ422" s="8"/>
      <c r="AR422" s="8"/>
      <c r="AS422" s="8"/>
      <c r="AT422" s="8">
        <v>369.07</v>
      </c>
      <c r="AU422" s="8"/>
      <c r="AV422" s="8"/>
      <c r="AW422" s="8">
        <v>22.87</v>
      </c>
      <c r="AX422" s="8"/>
      <c r="AY422" s="8"/>
      <c r="AZ422" s="8"/>
      <c r="BA422" s="8"/>
      <c r="BB422" s="8"/>
      <c r="BC422" s="8"/>
      <c r="BD422" s="8"/>
      <c r="BE422" s="8"/>
      <c r="BF422" s="8">
        <v>42.03</v>
      </c>
      <c r="BG422" s="8">
        <v>27.88</v>
      </c>
      <c r="BH422" s="9">
        <f t="shared" si="54"/>
        <v>751.83</v>
      </c>
      <c r="BI422" s="9">
        <f t="shared" si="55"/>
        <v>0.92</v>
      </c>
      <c r="BJ422" s="9">
        <f t="shared" si="56"/>
        <v>4.03</v>
      </c>
      <c r="BK422" s="9">
        <f t="shared" si="57"/>
        <v>4.51</v>
      </c>
      <c r="BL422" s="9">
        <f t="shared" si="58"/>
        <v>0</v>
      </c>
      <c r="BM422" s="9">
        <f t="shared" si="59"/>
        <v>0</v>
      </c>
      <c r="BN422" s="9">
        <f t="shared" si="60"/>
        <v>369.07</v>
      </c>
      <c r="BO422" s="9">
        <f t="shared" si="61"/>
        <v>22.87</v>
      </c>
      <c r="BP422" s="9">
        <f t="shared" si="62"/>
        <v>42.03</v>
      </c>
    </row>
    <row r="423" spans="1:68">
      <c r="A423" s="6">
        <v>44637</v>
      </c>
      <c r="B423" s="7">
        <v>3602</v>
      </c>
      <c r="C423" s="8">
        <v>596.13</v>
      </c>
      <c r="D423" s="8"/>
      <c r="E423" s="8"/>
      <c r="F423" s="8"/>
      <c r="G423" s="8">
        <v>894.06</v>
      </c>
      <c r="H423" s="8"/>
      <c r="I423" s="8"/>
      <c r="J423" s="8"/>
      <c r="K423" s="8"/>
      <c r="L423" s="8"/>
      <c r="M423" s="8">
        <v>1.54</v>
      </c>
      <c r="N423" s="8"/>
      <c r="O423" s="8"/>
      <c r="P423" s="8"/>
      <c r="Q423" s="11"/>
      <c r="R423" s="11"/>
      <c r="S423" s="8">
        <v>8.0299999999999994</v>
      </c>
      <c r="T423" s="8"/>
      <c r="U423" s="8">
        <v>4.7699999999999996</v>
      </c>
      <c r="V423" s="8">
        <v>14.29</v>
      </c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11"/>
      <c r="AQ423" s="8"/>
      <c r="AR423" s="8"/>
      <c r="AS423" s="8"/>
      <c r="AT423" s="8">
        <v>622.16</v>
      </c>
      <c r="AU423" s="8"/>
      <c r="AV423" s="8"/>
      <c r="AW423" s="8">
        <v>38.54</v>
      </c>
      <c r="AX423" s="8"/>
      <c r="AY423" s="8"/>
      <c r="AZ423" s="8"/>
      <c r="BA423" s="8"/>
      <c r="BB423" s="8"/>
      <c r="BC423" s="8"/>
      <c r="BD423" s="8"/>
      <c r="BE423" s="8"/>
      <c r="BF423" s="8">
        <v>47.77</v>
      </c>
      <c r="BG423" s="8">
        <v>46.53</v>
      </c>
      <c r="BH423" s="9">
        <f t="shared" si="54"/>
        <v>1490.19</v>
      </c>
      <c r="BI423" s="9">
        <f t="shared" si="55"/>
        <v>1.54</v>
      </c>
      <c r="BJ423" s="9">
        <f t="shared" si="56"/>
        <v>8.0299999999999994</v>
      </c>
      <c r="BK423" s="9">
        <f t="shared" si="57"/>
        <v>19.059999999999999</v>
      </c>
      <c r="BL423" s="9">
        <f t="shared" si="58"/>
        <v>0</v>
      </c>
      <c r="BM423" s="9">
        <f t="shared" si="59"/>
        <v>0</v>
      </c>
      <c r="BN423" s="9">
        <f t="shared" si="60"/>
        <v>622.16</v>
      </c>
      <c r="BO423" s="9">
        <f t="shared" si="61"/>
        <v>38.54</v>
      </c>
      <c r="BP423" s="9">
        <f t="shared" si="62"/>
        <v>47.77</v>
      </c>
    </row>
    <row r="424" spans="1:68">
      <c r="A424" s="6">
        <v>44638</v>
      </c>
      <c r="B424" s="7">
        <v>3118</v>
      </c>
      <c r="C424" s="8">
        <v>631.78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>
        <v>1.89</v>
      </c>
      <c r="O424" s="8"/>
      <c r="P424" s="8"/>
      <c r="Q424" s="11"/>
      <c r="R424" s="11"/>
      <c r="S424" s="8">
        <v>3.35</v>
      </c>
      <c r="T424" s="8">
        <v>3.79</v>
      </c>
      <c r="U424" s="8">
        <v>3.79</v>
      </c>
      <c r="V424" s="8"/>
      <c r="W424" s="8"/>
      <c r="X424" s="8"/>
      <c r="Y424" s="8"/>
      <c r="Z424" s="8"/>
      <c r="AA424" s="8"/>
      <c r="AB424" s="8"/>
      <c r="AC424" s="8">
        <v>2.5299999999999998</v>
      </c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11"/>
      <c r="AQ424" s="8"/>
      <c r="AR424" s="8"/>
      <c r="AS424" s="8"/>
      <c r="AT424" s="8">
        <v>410.65</v>
      </c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>
        <v>44.29</v>
      </c>
      <c r="BG424" s="8">
        <v>31.22</v>
      </c>
      <c r="BH424" s="9">
        <f t="shared" si="54"/>
        <v>631.78</v>
      </c>
      <c r="BI424" s="9">
        <f t="shared" si="55"/>
        <v>1.89</v>
      </c>
      <c r="BJ424" s="9">
        <f t="shared" si="56"/>
        <v>3.35</v>
      </c>
      <c r="BK424" s="9">
        <f t="shared" si="57"/>
        <v>7.58</v>
      </c>
      <c r="BL424" s="9">
        <f t="shared" si="58"/>
        <v>0</v>
      </c>
      <c r="BM424" s="9">
        <f t="shared" si="59"/>
        <v>2.5299999999999998</v>
      </c>
      <c r="BN424" s="9">
        <f t="shared" si="60"/>
        <v>410.65</v>
      </c>
      <c r="BO424" s="9">
        <f t="shared" si="61"/>
        <v>0</v>
      </c>
      <c r="BP424" s="9">
        <f t="shared" si="62"/>
        <v>44.29</v>
      </c>
    </row>
    <row r="425" spans="1:68">
      <c r="A425" s="6">
        <v>44638</v>
      </c>
      <c r="B425" s="7">
        <v>3023</v>
      </c>
      <c r="C425" s="8"/>
      <c r="D425" s="8">
        <v>883.98</v>
      </c>
      <c r="E425" s="8"/>
      <c r="F425" s="8"/>
      <c r="G425" s="8"/>
      <c r="H425" s="8"/>
      <c r="I425" s="8">
        <v>476.32</v>
      </c>
      <c r="J425" s="8"/>
      <c r="K425" s="8"/>
      <c r="L425" s="8"/>
      <c r="M425" s="8"/>
      <c r="N425" s="8">
        <v>7.61</v>
      </c>
      <c r="O425" s="8"/>
      <c r="P425" s="8"/>
      <c r="Q425" s="11"/>
      <c r="R425" s="11"/>
      <c r="S425" s="8">
        <v>2.1800000000000002</v>
      </c>
      <c r="T425" s="8"/>
      <c r="U425" s="8"/>
      <c r="V425" s="8"/>
      <c r="W425" s="8">
        <v>12.48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>
        <v>13.76</v>
      </c>
      <c r="AN425" s="8">
        <v>9.58</v>
      </c>
      <c r="AO425" s="8"/>
      <c r="AP425" s="11"/>
      <c r="AQ425" s="8"/>
      <c r="AR425" s="8"/>
      <c r="AS425" s="8">
        <v>44.88</v>
      </c>
      <c r="AT425" s="8">
        <v>556.91999999999996</v>
      </c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>
        <v>42.16</v>
      </c>
      <c r="BH425" s="9">
        <f t="shared" si="54"/>
        <v>1360.3</v>
      </c>
      <c r="BI425" s="9">
        <f t="shared" si="55"/>
        <v>7.61</v>
      </c>
      <c r="BJ425" s="9">
        <f t="shared" si="56"/>
        <v>2.1800000000000002</v>
      </c>
      <c r="BK425" s="9">
        <f t="shared" si="57"/>
        <v>12.48</v>
      </c>
      <c r="BL425" s="9">
        <f t="shared" si="58"/>
        <v>0</v>
      </c>
      <c r="BM425" s="9">
        <f t="shared" si="59"/>
        <v>68.22</v>
      </c>
      <c r="BN425" s="9">
        <f t="shared" si="60"/>
        <v>556.91999999999996</v>
      </c>
      <c r="BO425" s="9">
        <f t="shared" si="61"/>
        <v>0</v>
      </c>
      <c r="BP425" s="9">
        <f t="shared" si="62"/>
        <v>0</v>
      </c>
    </row>
    <row r="426" spans="1:68">
      <c r="A426" s="6">
        <v>44638</v>
      </c>
      <c r="B426" s="7">
        <v>3025</v>
      </c>
      <c r="C426" s="8"/>
      <c r="D426" s="8">
        <v>119.16</v>
      </c>
      <c r="E426" s="8"/>
      <c r="F426" s="8"/>
      <c r="G426" s="8"/>
      <c r="H426" s="8"/>
      <c r="I426" s="8">
        <v>652.63</v>
      </c>
      <c r="J426" s="8"/>
      <c r="K426" s="8"/>
      <c r="L426" s="8"/>
      <c r="M426" s="8"/>
      <c r="N426" s="8">
        <v>4.16</v>
      </c>
      <c r="O426" s="8"/>
      <c r="P426" s="8"/>
      <c r="Q426" s="11"/>
      <c r="R426" s="11"/>
      <c r="S426" s="8">
        <v>1.23</v>
      </c>
      <c r="T426" s="8"/>
      <c r="U426" s="8"/>
      <c r="V426" s="8"/>
      <c r="W426" s="8">
        <v>7.07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>
        <v>7.89</v>
      </c>
      <c r="AN426" s="8">
        <v>5.49</v>
      </c>
      <c r="AO426" s="8"/>
      <c r="AP426" s="11"/>
      <c r="AQ426" s="8"/>
      <c r="AR426" s="8"/>
      <c r="AS426" s="8">
        <v>25.57</v>
      </c>
      <c r="AT426" s="8">
        <v>266.93</v>
      </c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>
        <v>17.7</v>
      </c>
      <c r="BH426" s="9">
        <f t="shared" si="54"/>
        <v>771.79</v>
      </c>
      <c r="BI426" s="9">
        <f t="shared" si="55"/>
        <v>4.16</v>
      </c>
      <c r="BJ426" s="9">
        <f t="shared" si="56"/>
        <v>1.23</v>
      </c>
      <c r="BK426" s="9">
        <f t="shared" si="57"/>
        <v>7.07</v>
      </c>
      <c r="BL426" s="9">
        <f t="shared" si="58"/>
        <v>0</v>
      </c>
      <c r="BM426" s="9">
        <f t="shared" si="59"/>
        <v>38.950000000000003</v>
      </c>
      <c r="BN426" s="9">
        <f t="shared" si="60"/>
        <v>266.93</v>
      </c>
      <c r="BO426" s="9">
        <f t="shared" si="61"/>
        <v>0</v>
      </c>
      <c r="BP426" s="9">
        <f t="shared" si="62"/>
        <v>0</v>
      </c>
    </row>
    <row r="427" spans="1:68">
      <c r="A427" s="6">
        <v>44638</v>
      </c>
      <c r="B427" s="7">
        <v>3016</v>
      </c>
      <c r="C427" s="8"/>
      <c r="D427" s="8">
        <v>2370.71</v>
      </c>
      <c r="E427" s="8"/>
      <c r="F427" s="8"/>
      <c r="G427" s="8"/>
      <c r="H427" s="8"/>
      <c r="I427" s="8">
        <v>2181.38</v>
      </c>
      <c r="J427" s="8"/>
      <c r="K427" s="8"/>
      <c r="L427" s="8"/>
      <c r="M427" s="8"/>
      <c r="N427" s="8">
        <v>27.36</v>
      </c>
      <c r="O427" s="8"/>
      <c r="P427" s="8"/>
      <c r="Q427" s="11"/>
      <c r="R427" s="11"/>
      <c r="S427" s="8">
        <v>3.17</v>
      </c>
      <c r="T427" s="8">
        <v>45.67</v>
      </c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>
        <v>18.670000000000002</v>
      </c>
      <c r="AN427" s="8">
        <v>54.23</v>
      </c>
      <c r="AO427" s="8"/>
      <c r="AP427" s="11"/>
      <c r="AQ427" s="8"/>
      <c r="AR427" s="8">
        <v>114.98</v>
      </c>
      <c r="AS427" s="8"/>
      <c r="AT427" s="8">
        <v>1696.39</v>
      </c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>
        <v>123.99</v>
      </c>
      <c r="BH427" s="9">
        <f t="shared" si="54"/>
        <v>4552.09</v>
      </c>
      <c r="BI427" s="9">
        <f t="shared" si="55"/>
        <v>27.36</v>
      </c>
      <c r="BJ427" s="9">
        <f t="shared" si="56"/>
        <v>3.17</v>
      </c>
      <c r="BK427" s="9">
        <f t="shared" si="57"/>
        <v>45.67</v>
      </c>
      <c r="BL427" s="9">
        <f t="shared" si="58"/>
        <v>0</v>
      </c>
      <c r="BM427" s="9">
        <f t="shared" si="59"/>
        <v>187.88</v>
      </c>
      <c r="BN427" s="9">
        <f t="shared" si="60"/>
        <v>1696.39</v>
      </c>
      <c r="BO427" s="9">
        <f t="shared" si="61"/>
        <v>0</v>
      </c>
      <c r="BP427" s="9">
        <f t="shared" si="62"/>
        <v>0</v>
      </c>
    </row>
    <row r="428" spans="1:68">
      <c r="A428" s="6">
        <v>44638</v>
      </c>
      <c r="B428" s="7">
        <v>3079</v>
      </c>
      <c r="C428" s="8"/>
      <c r="D428" s="8"/>
      <c r="E428" s="8"/>
      <c r="F428" s="8">
        <v>337.33</v>
      </c>
      <c r="G428" s="8"/>
      <c r="H428" s="8"/>
      <c r="I428" s="8">
        <v>2720.67</v>
      </c>
      <c r="J428" s="8"/>
      <c r="K428" s="8"/>
      <c r="L428" s="8"/>
      <c r="M428" s="8"/>
      <c r="N428" s="8">
        <v>22.98</v>
      </c>
      <c r="O428" s="8"/>
      <c r="P428" s="8"/>
      <c r="Q428" s="11"/>
      <c r="R428" s="11"/>
      <c r="S428" s="8">
        <v>1.21</v>
      </c>
      <c r="T428" s="8">
        <v>30.69</v>
      </c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>
        <v>12.56</v>
      </c>
      <c r="AN428" s="8">
        <v>31.06</v>
      </c>
      <c r="AO428" s="8"/>
      <c r="AP428" s="11"/>
      <c r="AQ428" s="8"/>
      <c r="AR428" s="8">
        <v>77.38</v>
      </c>
      <c r="AS428" s="8"/>
      <c r="AT428" s="8">
        <v>1168.8499999999999</v>
      </c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>
        <v>84.26</v>
      </c>
      <c r="BH428" s="9">
        <f t="shared" si="54"/>
        <v>3058</v>
      </c>
      <c r="BI428" s="9">
        <f t="shared" si="55"/>
        <v>22.98</v>
      </c>
      <c r="BJ428" s="9">
        <f t="shared" si="56"/>
        <v>1.21</v>
      </c>
      <c r="BK428" s="9">
        <f t="shared" si="57"/>
        <v>30.69</v>
      </c>
      <c r="BL428" s="9">
        <f t="shared" si="58"/>
        <v>0</v>
      </c>
      <c r="BM428" s="9">
        <f t="shared" si="59"/>
        <v>121</v>
      </c>
      <c r="BN428" s="9">
        <f t="shared" si="60"/>
        <v>1168.8499999999999</v>
      </c>
      <c r="BO428" s="9">
        <f t="shared" si="61"/>
        <v>0</v>
      </c>
      <c r="BP428" s="9">
        <f t="shared" si="62"/>
        <v>0</v>
      </c>
    </row>
    <row r="429" spans="1:68">
      <c r="A429" s="6">
        <v>44638</v>
      </c>
      <c r="B429" s="7">
        <v>3141</v>
      </c>
      <c r="C429" s="8">
        <v>3614.66</v>
      </c>
      <c r="D429" s="8">
        <v>638.03</v>
      </c>
      <c r="E429" s="8"/>
      <c r="F429" s="8"/>
      <c r="G429" s="8"/>
      <c r="H429" s="8"/>
      <c r="I429" s="8"/>
      <c r="J429" s="8"/>
      <c r="K429" s="8"/>
      <c r="L429" s="8"/>
      <c r="M429" s="8"/>
      <c r="N429" s="8">
        <v>12.11</v>
      </c>
      <c r="O429" s="8"/>
      <c r="P429" s="8"/>
      <c r="Q429" s="11"/>
      <c r="R429" s="11"/>
      <c r="S429" s="8">
        <v>20.010000000000002</v>
      </c>
      <c r="T429" s="8">
        <v>31.94</v>
      </c>
      <c r="U429" s="8">
        <v>31.92</v>
      </c>
      <c r="V429" s="8"/>
      <c r="W429" s="8"/>
      <c r="X429" s="8"/>
      <c r="Y429" s="8"/>
      <c r="Z429" s="8"/>
      <c r="AA429" s="8"/>
      <c r="AB429" s="8"/>
      <c r="AC429" s="8">
        <v>17.03</v>
      </c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11"/>
      <c r="AQ429" s="8"/>
      <c r="AR429" s="8"/>
      <c r="AS429" s="8"/>
      <c r="AT429" s="8">
        <v>2832.75</v>
      </c>
      <c r="AU429" s="8"/>
      <c r="AV429" s="8"/>
      <c r="AW429" s="8"/>
      <c r="AX429" s="8"/>
      <c r="AY429" s="8"/>
      <c r="AZ429" s="8"/>
      <c r="BA429" s="8">
        <v>97.48</v>
      </c>
      <c r="BB429" s="8"/>
      <c r="BC429" s="8"/>
      <c r="BD429" s="8"/>
      <c r="BE429" s="8"/>
      <c r="BF429" s="8">
        <v>297.70999999999998</v>
      </c>
      <c r="BG429" s="8">
        <v>221.27</v>
      </c>
      <c r="BH429" s="9">
        <f t="shared" si="54"/>
        <v>4252.6899999999996</v>
      </c>
      <c r="BI429" s="9">
        <f t="shared" si="55"/>
        <v>12.11</v>
      </c>
      <c r="BJ429" s="9">
        <f t="shared" si="56"/>
        <v>20.010000000000002</v>
      </c>
      <c r="BK429" s="9">
        <f t="shared" si="57"/>
        <v>63.86</v>
      </c>
      <c r="BL429" s="9">
        <f t="shared" si="58"/>
        <v>0</v>
      </c>
      <c r="BM429" s="9">
        <f t="shared" si="59"/>
        <v>17.03</v>
      </c>
      <c r="BN429" s="9">
        <f t="shared" si="60"/>
        <v>2832.75</v>
      </c>
      <c r="BO429" s="9">
        <f t="shared" si="61"/>
        <v>97.48</v>
      </c>
      <c r="BP429" s="9">
        <f t="shared" si="62"/>
        <v>297.70999999999998</v>
      </c>
    </row>
    <row r="430" spans="1:68">
      <c r="A430" s="6">
        <v>44638</v>
      </c>
      <c r="B430" s="7">
        <v>3125</v>
      </c>
      <c r="C430" s="8">
        <v>1112.3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>
        <v>2.78</v>
      </c>
      <c r="O430" s="8"/>
      <c r="P430" s="8"/>
      <c r="Q430" s="11"/>
      <c r="R430" s="11"/>
      <c r="S430" s="8">
        <v>3.56</v>
      </c>
      <c r="T430" s="8">
        <v>14.13</v>
      </c>
      <c r="U430" s="8"/>
      <c r="V430" s="8"/>
      <c r="W430" s="8"/>
      <c r="X430" s="8"/>
      <c r="Y430" s="8"/>
      <c r="Z430" s="8"/>
      <c r="AA430" s="8"/>
      <c r="AB430" s="8"/>
      <c r="AC430" s="8">
        <v>4.45</v>
      </c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11"/>
      <c r="AQ430" s="8"/>
      <c r="AR430" s="8"/>
      <c r="AS430" s="8"/>
      <c r="AT430" s="8">
        <v>636.47</v>
      </c>
      <c r="AU430" s="8"/>
      <c r="AV430" s="8">
        <v>16.690000000000001</v>
      </c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>
        <v>47.84</v>
      </c>
      <c r="BH430" s="9">
        <f t="shared" si="54"/>
        <v>1112.3</v>
      </c>
      <c r="BI430" s="9">
        <f t="shared" si="55"/>
        <v>2.78</v>
      </c>
      <c r="BJ430" s="9">
        <f t="shared" si="56"/>
        <v>3.56</v>
      </c>
      <c r="BK430" s="9">
        <f t="shared" si="57"/>
        <v>14.13</v>
      </c>
      <c r="BL430" s="9">
        <f t="shared" si="58"/>
        <v>0</v>
      </c>
      <c r="BM430" s="9">
        <f t="shared" si="59"/>
        <v>4.45</v>
      </c>
      <c r="BN430" s="9">
        <f t="shared" si="60"/>
        <v>636.47</v>
      </c>
      <c r="BO430" s="9">
        <f t="shared" si="61"/>
        <v>16.690000000000001</v>
      </c>
      <c r="BP430" s="9">
        <f t="shared" si="62"/>
        <v>0</v>
      </c>
    </row>
    <row r="431" spans="1:68">
      <c r="A431" s="6">
        <v>44638</v>
      </c>
      <c r="B431" s="7">
        <v>3110</v>
      </c>
      <c r="C431" s="8">
        <v>1253.67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>
        <v>2.4300000000000002</v>
      </c>
      <c r="O431" s="8"/>
      <c r="P431" s="8"/>
      <c r="Q431" s="11"/>
      <c r="R431" s="11"/>
      <c r="S431" s="8">
        <v>4.28</v>
      </c>
      <c r="T431" s="8">
        <v>12.58</v>
      </c>
      <c r="U431" s="8"/>
      <c r="V431" s="8"/>
      <c r="W431" s="8"/>
      <c r="X431" s="8"/>
      <c r="Y431" s="8"/>
      <c r="Z431" s="8"/>
      <c r="AA431" s="8"/>
      <c r="AB431" s="8"/>
      <c r="AC431" s="8">
        <v>5.0199999999999996</v>
      </c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11"/>
      <c r="AQ431" s="8"/>
      <c r="AR431" s="8"/>
      <c r="AS431" s="8"/>
      <c r="AT431" s="8">
        <v>657.34</v>
      </c>
      <c r="AU431" s="8"/>
      <c r="AV431" s="8">
        <v>21.4</v>
      </c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>
        <v>48.47</v>
      </c>
      <c r="BH431" s="9">
        <f t="shared" si="54"/>
        <v>1253.67</v>
      </c>
      <c r="BI431" s="9">
        <f t="shared" si="55"/>
        <v>2.4300000000000002</v>
      </c>
      <c r="BJ431" s="9">
        <f t="shared" si="56"/>
        <v>4.28</v>
      </c>
      <c r="BK431" s="9">
        <f t="shared" si="57"/>
        <v>12.58</v>
      </c>
      <c r="BL431" s="9">
        <f t="shared" si="58"/>
        <v>0</v>
      </c>
      <c r="BM431" s="9">
        <f t="shared" si="59"/>
        <v>5.0199999999999996</v>
      </c>
      <c r="BN431" s="9">
        <f t="shared" si="60"/>
        <v>657.34</v>
      </c>
      <c r="BO431" s="9">
        <f t="shared" si="61"/>
        <v>21.4</v>
      </c>
      <c r="BP431" s="9">
        <f t="shared" si="62"/>
        <v>0</v>
      </c>
    </row>
    <row r="432" spans="1:68">
      <c r="A432" s="6">
        <v>44638</v>
      </c>
      <c r="B432" s="7">
        <v>3409</v>
      </c>
      <c r="C432" s="8">
        <v>665.6</v>
      </c>
      <c r="D432" s="8"/>
      <c r="E432" s="8"/>
      <c r="F432" s="8"/>
      <c r="G432" s="8"/>
      <c r="H432" s="8"/>
      <c r="I432" s="8"/>
      <c r="J432" s="8"/>
      <c r="K432" s="8"/>
      <c r="L432" s="8"/>
      <c r="M432" s="8">
        <v>1.7</v>
      </c>
      <c r="N432" s="8"/>
      <c r="O432" s="8"/>
      <c r="P432" s="8"/>
      <c r="Q432" s="11"/>
      <c r="R432" s="11"/>
      <c r="S432" s="8">
        <v>1.9</v>
      </c>
      <c r="T432" s="8">
        <v>6.81</v>
      </c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11"/>
      <c r="AQ432" s="8"/>
      <c r="AR432" s="8"/>
      <c r="AS432" s="8"/>
      <c r="AT432" s="8">
        <v>349.11</v>
      </c>
      <c r="AU432" s="8"/>
      <c r="AV432" s="8">
        <v>20.38</v>
      </c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>
        <v>23.65</v>
      </c>
      <c r="BH432" s="9">
        <f t="shared" si="54"/>
        <v>665.6</v>
      </c>
      <c r="BI432" s="9">
        <f t="shared" si="55"/>
        <v>1.7</v>
      </c>
      <c r="BJ432" s="9">
        <f t="shared" si="56"/>
        <v>1.9</v>
      </c>
      <c r="BK432" s="9">
        <f t="shared" si="57"/>
        <v>6.81</v>
      </c>
      <c r="BL432" s="9">
        <f t="shared" si="58"/>
        <v>0</v>
      </c>
      <c r="BM432" s="9">
        <f t="shared" si="59"/>
        <v>0</v>
      </c>
      <c r="BN432" s="9">
        <f t="shared" si="60"/>
        <v>349.11</v>
      </c>
      <c r="BO432" s="9">
        <f t="shared" si="61"/>
        <v>20.38</v>
      </c>
      <c r="BP432" s="9">
        <f t="shared" si="62"/>
        <v>0</v>
      </c>
    </row>
    <row r="433" spans="1:68">
      <c r="A433" s="6">
        <v>44638</v>
      </c>
      <c r="B433" s="7">
        <v>3706</v>
      </c>
      <c r="C433" s="8">
        <v>845.29</v>
      </c>
      <c r="D433" s="8">
        <v>570.65</v>
      </c>
      <c r="E433" s="8"/>
      <c r="F433" s="8"/>
      <c r="G433" s="8"/>
      <c r="H433" s="8"/>
      <c r="I433" s="8"/>
      <c r="J433" s="8"/>
      <c r="K433" s="8"/>
      <c r="L433" s="8"/>
      <c r="M433" s="8">
        <v>2.86</v>
      </c>
      <c r="N433" s="8"/>
      <c r="O433" s="8"/>
      <c r="P433" s="8"/>
      <c r="Q433" s="11"/>
      <c r="R433" s="11"/>
      <c r="S433" s="8">
        <v>8.42</v>
      </c>
      <c r="T433" s="8"/>
      <c r="U433" s="8">
        <v>11.45</v>
      </c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>
        <v>28.52</v>
      </c>
      <c r="AL433" s="8"/>
      <c r="AM433" s="8"/>
      <c r="AN433" s="8"/>
      <c r="AO433" s="8"/>
      <c r="AP433" s="11"/>
      <c r="AQ433" s="8"/>
      <c r="AR433" s="8"/>
      <c r="AS433" s="8"/>
      <c r="AT433" s="8">
        <v>348.14</v>
      </c>
      <c r="AU433" s="8">
        <v>173.62</v>
      </c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>
        <v>36.32</v>
      </c>
      <c r="BH433" s="9">
        <f t="shared" si="54"/>
        <v>1415.94</v>
      </c>
      <c r="BI433" s="9">
        <f t="shared" si="55"/>
        <v>2.86</v>
      </c>
      <c r="BJ433" s="9">
        <f t="shared" si="56"/>
        <v>8.42</v>
      </c>
      <c r="BK433" s="9">
        <f t="shared" si="57"/>
        <v>11.45</v>
      </c>
      <c r="BL433" s="9">
        <f t="shared" si="58"/>
        <v>0</v>
      </c>
      <c r="BM433" s="9">
        <f t="shared" si="59"/>
        <v>28.52</v>
      </c>
      <c r="BN433" s="9">
        <f t="shared" si="60"/>
        <v>521.76</v>
      </c>
      <c r="BO433" s="9">
        <f t="shared" si="61"/>
        <v>0</v>
      </c>
      <c r="BP433" s="9">
        <f t="shared" si="62"/>
        <v>0</v>
      </c>
    </row>
    <row r="434" spans="1:68">
      <c r="A434" s="6">
        <v>44641</v>
      </c>
      <c r="B434" s="7">
        <v>3200</v>
      </c>
      <c r="C434" s="8">
        <v>2219.58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>
        <v>5.56</v>
      </c>
      <c r="P434" s="8"/>
      <c r="Q434" s="11"/>
      <c r="R434" s="11"/>
      <c r="S434" s="8">
        <v>8.67</v>
      </c>
      <c r="T434" s="8"/>
      <c r="U434" s="8">
        <v>33.369999999999997</v>
      </c>
      <c r="V434" s="8"/>
      <c r="W434" s="8"/>
      <c r="X434" s="8"/>
      <c r="Y434" s="8"/>
      <c r="Z434" s="8">
        <v>467.01</v>
      </c>
      <c r="AA434" s="8"/>
      <c r="AB434" s="8"/>
      <c r="AC434" s="8"/>
      <c r="AD434" s="8"/>
      <c r="AE434" s="8">
        <v>34.229999999999997</v>
      </c>
      <c r="AF434" s="8">
        <v>110.57</v>
      </c>
      <c r="AG434" s="8"/>
      <c r="AH434" s="8"/>
      <c r="AI434" s="8"/>
      <c r="AJ434" s="8"/>
      <c r="AK434" s="8"/>
      <c r="AL434" s="8"/>
      <c r="AM434" s="8"/>
      <c r="AN434" s="8"/>
      <c r="AO434" s="8"/>
      <c r="AP434" s="11"/>
      <c r="AQ434" s="8"/>
      <c r="AR434" s="8"/>
      <c r="AS434" s="8"/>
      <c r="AT434" s="8">
        <v>1521.72</v>
      </c>
      <c r="AU434" s="8"/>
      <c r="AV434" s="8"/>
      <c r="AW434" s="8">
        <v>6.51</v>
      </c>
      <c r="AX434" s="8"/>
      <c r="AY434" s="8"/>
      <c r="AZ434" s="8"/>
      <c r="BA434" s="8"/>
      <c r="BB434" s="8"/>
      <c r="BC434" s="8"/>
      <c r="BD434" s="8"/>
      <c r="BE434" s="8"/>
      <c r="BF434" s="8">
        <v>106.69</v>
      </c>
      <c r="BG434" s="8">
        <v>109.47</v>
      </c>
      <c r="BH434" s="9">
        <f t="shared" si="54"/>
        <v>2219.58</v>
      </c>
      <c r="BI434" s="9">
        <f t="shared" si="55"/>
        <v>5.56</v>
      </c>
      <c r="BJ434" s="9">
        <f t="shared" si="56"/>
        <v>8.67</v>
      </c>
      <c r="BK434" s="9">
        <f t="shared" si="57"/>
        <v>33.369999999999997</v>
      </c>
      <c r="BL434" s="9">
        <f t="shared" si="58"/>
        <v>467.01</v>
      </c>
      <c r="BM434" s="9">
        <f t="shared" si="59"/>
        <v>144.79999999999998</v>
      </c>
      <c r="BN434" s="9">
        <f t="shared" si="60"/>
        <v>1521.72</v>
      </c>
      <c r="BO434" s="9">
        <f t="shared" si="61"/>
        <v>6.51</v>
      </c>
      <c r="BP434" s="9">
        <f t="shared" si="62"/>
        <v>106.69</v>
      </c>
    </row>
    <row r="435" spans="1:68">
      <c r="A435" s="6">
        <v>44641</v>
      </c>
      <c r="B435" s="7">
        <v>3432</v>
      </c>
      <c r="C435" s="8">
        <v>1338.55</v>
      </c>
      <c r="D435" s="8"/>
      <c r="E435" s="8"/>
      <c r="F435" s="8"/>
      <c r="G435" s="8"/>
      <c r="H435" s="8"/>
      <c r="I435" s="8"/>
      <c r="J435" s="8"/>
      <c r="K435" s="8"/>
      <c r="L435" s="8"/>
      <c r="M435" s="8">
        <v>4.7300000000000004</v>
      </c>
      <c r="N435" s="8"/>
      <c r="O435" s="8"/>
      <c r="P435" s="8"/>
      <c r="Q435" s="11"/>
      <c r="R435" s="11"/>
      <c r="S435" s="8">
        <v>5.38</v>
      </c>
      <c r="T435" s="8"/>
      <c r="U435" s="8"/>
      <c r="V435" s="8"/>
      <c r="W435" s="8"/>
      <c r="X435" s="8">
        <v>13.64</v>
      </c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11"/>
      <c r="AQ435" s="8"/>
      <c r="AR435" s="8"/>
      <c r="AS435" s="8"/>
      <c r="AT435" s="8">
        <v>608.57000000000005</v>
      </c>
      <c r="AU435" s="8"/>
      <c r="AV435" s="8"/>
      <c r="AW435" s="8"/>
      <c r="AX435" s="8"/>
      <c r="AY435" s="8"/>
      <c r="AZ435" s="8"/>
      <c r="BA435" s="8">
        <v>6.01</v>
      </c>
      <c r="BB435" s="8"/>
      <c r="BC435" s="8"/>
      <c r="BD435" s="8"/>
      <c r="BE435" s="8"/>
      <c r="BF435" s="8">
        <v>67.37</v>
      </c>
      <c r="BG435" s="8">
        <v>45.18</v>
      </c>
      <c r="BH435" s="9">
        <f t="shared" si="54"/>
        <v>1338.55</v>
      </c>
      <c r="BI435" s="9">
        <f t="shared" si="55"/>
        <v>4.7300000000000004</v>
      </c>
      <c r="BJ435" s="9">
        <f t="shared" si="56"/>
        <v>5.38</v>
      </c>
      <c r="BK435" s="9">
        <f t="shared" si="57"/>
        <v>13.64</v>
      </c>
      <c r="BL435" s="9">
        <f t="shared" si="58"/>
        <v>0</v>
      </c>
      <c r="BM435" s="9">
        <f t="shared" si="59"/>
        <v>0</v>
      </c>
      <c r="BN435" s="9">
        <f t="shared" si="60"/>
        <v>608.57000000000005</v>
      </c>
      <c r="BO435" s="9">
        <f t="shared" si="61"/>
        <v>6.01</v>
      </c>
      <c r="BP435" s="9">
        <f t="shared" si="62"/>
        <v>67.37</v>
      </c>
    </row>
    <row r="436" spans="1:68">
      <c r="A436" s="6">
        <v>44641</v>
      </c>
      <c r="B436" s="7">
        <v>3408</v>
      </c>
      <c r="C436" s="8">
        <v>1212.45</v>
      </c>
      <c r="D436" s="8"/>
      <c r="E436" s="8"/>
      <c r="F436" s="8"/>
      <c r="G436" s="8"/>
      <c r="H436" s="8"/>
      <c r="I436" s="8"/>
      <c r="J436" s="8"/>
      <c r="K436" s="8"/>
      <c r="L436" s="8"/>
      <c r="M436" s="8">
        <v>3.11</v>
      </c>
      <c r="N436" s="8"/>
      <c r="O436" s="8"/>
      <c r="P436" s="8"/>
      <c r="Q436" s="11"/>
      <c r="R436" s="11"/>
      <c r="S436" s="8">
        <v>3.03</v>
      </c>
      <c r="T436" s="8">
        <v>12.12</v>
      </c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11"/>
      <c r="AQ436" s="8"/>
      <c r="AR436" s="8"/>
      <c r="AS436" s="8"/>
      <c r="AT436" s="8">
        <v>621.75</v>
      </c>
      <c r="AU436" s="8"/>
      <c r="AV436" s="8"/>
      <c r="AW436" s="8"/>
      <c r="AX436" s="8"/>
      <c r="AY436" s="8"/>
      <c r="AZ436" s="8"/>
      <c r="BA436" s="8">
        <v>5.5</v>
      </c>
      <c r="BB436" s="8"/>
      <c r="BC436" s="8"/>
      <c r="BD436" s="8"/>
      <c r="BE436" s="8"/>
      <c r="BF436" s="8"/>
      <c r="BG436" s="8">
        <v>42.64</v>
      </c>
      <c r="BH436" s="9">
        <f t="shared" si="54"/>
        <v>1212.45</v>
      </c>
      <c r="BI436" s="9">
        <f t="shared" si="55"/>
        <v>3.11</v>
      </c>
      <c r="BJ436" s="9">
        <f t="shared" si="56"/>
        <v>3.03</v>
      </c>
      <c r="BK436" s="9">
        <f t="shared" si="57"/>
        <v>12.12</v>
      </c>
      <c r="BL436" s="9">
        <f t="shared" si="58"/>
        <v>0</v>
      </c>
      <c r="BM436" s="9">
        <f t="shared" si="59"/>
        <v>0</v>
      </c>
      <c r="BN436" s="9">
        <f t="shared" si="60"/>
        <v>621.75</v>
      </c>
      <c r="BO436" s="9">
        <f t="shared" si="61"/>
        <v>5.5</v>
      </c>
      <c r="BP436" s="9">
        <f t="shared" si="62"/>
        <v>0</v>
      </c>
    </row>
    <row r="437" spans="1:68">
      <c r="A437" s="6">
        <v>44641</v>
      </c>
      <c r="B437" s="7">
        <v>3405</v>
      </c>
      <c r="C437" s="8">
        <v>1004.14</v>
      </c>
      <c r="D437" s="8">
        <v>252.1</v>
      </c>
      <c r="E437" s="8"/>
      <c r="F437" s="8"/>
      <c r="G437" s="8"/>
      <c r="H437" s="8"/>
      <c r="I437" s="8"/>
      <c r="J437" s="8"/>
      <c r="K437" s="8"/>
      <c r="L437" s="8"/>
      <c r="M437" s="8">
        <v>3.18</v>
      </c>
      <c r="N437" s="8"/>
      <c r="O437" s="8"/>
      <c r="P437" s="8"/>
      <c r="Q437" s="11"/>
      <c r="R437" s="11"/>
      <c r="S437" s="8">
        <v>2.91</v>
      </c>
      <c r="T437" s="8"/>
      <c r="U437" s="8"/>
      <c r="V437" s="8"/>
      <c r="W437" s="8"/>
      <c r="X437" s="8">
        <v>15.23</v>
      </c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11"/>
      <c r="AQ437" s="8"/>
      <c r="AR437" s="8"/>
      <c r="AS437" s="8"/>
      <c r="AT437" s="8">
        <v>637.22</v>
      </c>
      <c r="AU437" s="8"/>
      <c r="AV437" s="8"/>
      <c r="AW437" s="8"/>
      <c r="AX437" s="8"/>
      <c r="AY437" s="8"/>
      <c r="AZ437" s="8"/>
      <c r="BA437" s="8">
        <v>5.74</v>
      </c>
      <c r="BB437" s="8"/>
      <c r="BC437" s="8"/>
      <c r="BD437" s="8"/>
      <c r="BE437" s="8"/>
      <c r="BF437" s="8"/>
      <c r="BG437" s="8">
        <v>42.96</v>
      </c>
      <c r="BH437" s="9">
        <f t="shared" si="54"/>
        <v>1256.24</v>
      </c>
      <c r="BI437" s="9">
        <f t="shared" si="55"/>
        <v>3.18</v>
      </c>
      <c r="BJ437" s="9">
        <f t="shared" si="56"/>
        <v>2.91</v>
      </c>
      <c r="BK437" s="9">
        <f t="shared" si="57"/>
        <v>15.23</v>
      </c>
      <c r="BL437" s="9">
        <f t="shared" si="58"/>
        <v>0</v>
      </c>
      <c r="BM437" s="9">
        <f t="shared" si="59"/>
        <v>0</v>
      </c>
      <c r="BN437" s="9">
        <f t="shared" si="60"/>
        <v>637.22</v>
      </c>
      <c r="BO437" s="9">
        <f t="shared" si="61"/>
        <v>5.74</v>
      </c>
      <c r="BP437" s="9">
        <f t="shared" si="62"/>
        <v>0</v>
      </c>
    </row>
    <row r="438" spans="1:68">
      <c r="A438" s="6">
        <v>44641</v>
      </c>
      <c r="B438" s="7">
        <v>3134</v>
      </c>
      <c r="C438" s="8">
        <v>1074.27</v>
      </c>
      <c r="D438" s="8">
        <v>150.79</v>
      </c>
      <c r="E438" s="8"/>
      <c r="F438" s="8"/>
      <c r="G438" s="8"/>
      <c r="H438" s="8">
        <v>508.91</v>
      </c>
      <c r="I438" s="8"/>
      <c r="J438" s="8"/>
      <c r="K438" s="8"/>
      <c r="L438" s="8"/>
      <c r="M438" s="8"/>
      <c r="N438" s="8">
        <v>3.47</v>
      </c>
      <c r="O438" s="8"/>
      <c r="P438" s="8"/>
      <c r="Q438" s="11"/>
      <c r="R438" s="11"/>
      <c r="S438" s="8">
        <v>6.8</v>
      </c>
      <c r="T438" s="8">
        <v>10.58</v>
      </c>
      <c r="U438" s="8">
        <v>9.07</v>
      </c>
      <c r="V438" s="8"/>
      <c r="W438" s="8"/>
      <c r="X438" s="8"/>
      <c r="Y438" s="8"/>
      <c r="Z438" s="8"/>
      <c r="AA438" s="8"/>
      <c r="AB438" s="8"/>
      <c r="AC438" s="8">
        <v>6.03</v>
      </c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11"/>
      <c r="AQ438" s="8"/>
      <c r="AR438" s="8"/>
      <c r="AS438" s="8"/>
      <c r="AT438" s="8">
        <v>1065.8</v>
      </c>
      <c r="AU438" s="8"/>
      <c r="AV438" s="8"/>
      <c r="AW438" s="8"/>
      <c r="AX438" s="8"/>
      <c r="AY438" s="8">
        <v>15.38</v>
      </c>
      <c r="AZ438" s="8"/>
      <c r="BA438" s="8"/>
      <c r="BB438" s="8"/>
      <c r="BC438" s="8"/>
      <c r="BD438" s="8"/>
      <c r="BE438" s="8"/>
      <c r="BF438" s="8">
        <v>68.010000000000005</v>
      </c>
      <c r="BG438" s="8">
        <v>79.92</v>
      </c>
      <c r="BH438" s="9">
        <f t="shared" si="54"/>
        <v>1733.97</v>
      </c>
      <c r="BI438" s="9">
        <f t="shared" si="55"/>
        <v>3.47</v>
      </c>
      <c r="BJ438" s="9">
        <f t="shared" si="56"/>
        <v>6.8</v>
      </c>
      <c r="BK438" s="9">
        <f t="shared" si="57"/>
        <v>19.649999999999999</v>
      </c>
      <c r="BL438" s="9">
        <f t="shared" si="58"/>
        <v>0</v>
      </c>
      <c r="BM438" s="9">
        <f t="shared" si="59"/>
        <v>6.03</v>
      </c>
      <c r="BN438" s="9">
        <f t="shared" si="60"/>
        <v>1065.8</v>
      </c>
      <c r="BO438" s="9">
        <f t="shared" si="61"/>
        <v>15.38</v>
      </c>
      <c r="BP438" s="9">
        <f t="shared" si="62"/>
        <v>68.010000000000005</v>
      </c>
    </row>
    <row r="439" spans="1:68">
      <c r="A439" s="6">
        <v>44641</v>
      </c>
      <c r="B439" s="7">
        <v>3106</v>
      </c>
      <c r="C439" s="8">
        <v>4106.26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>
        <v>11.08</v>
      </c>
      <c r="O439" s="8"/>
      <c r="P439" s="8"/>
      <c r="Q439" s="11"/>
      <c r="R439" s="11"/>
      <c r="S439" s="8">
        <v>12.74</v>
      </c>
      <c r="T439" s="8">
        <v>52.19</v>
      </c>
      <c r="U439" s="8"/>
      <c r="V439" s="8"/>
      <c r="W439" s="8"/>
      <c r="X439" s="8"/>
      <c r="Y439" s="8"/>
      <c r="Z439" s="8"/>
      <c r="AA439" s="8"/>
      <c r="AB439" s="8"/>
      <c r="AC439" s="8">
        <v>16.43</v>
      </c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11"/>
      <c r="AQ439" s="8"/>
      <c r="AR439" s="8"/>
      <c r="AS439" s="8"/>
      <c r="AT439" s="8">
        <v>2352.13</v>
      </c>
      <c r="AU439" s="8"/>
      <c r="AV439" s="8"/>
      <c r="AW439" s="8"/>
      <c r="AX439" s="8">
        <v>5.14</v>
      </c>
      <c r="AY439" s="8"/>
      <c r="AZ439" s="8"/>
      <c r="BA439" s="8"/>
      <c r="BB439" s="8"/>
      <c r="BC439" s="8"/>
      <c r="BD439" s="8"/>
      <c r="BE439" s="8"/>
      <c r="BF439" s="8"/>
      <c r="BG439" s="8">
        <v>176.81</v>
      </c>
      <c r="BH439" s="9">
        <f t="shared" si="54"/>
        <v>4106.26</v>
      </c>
      <c r="BI439" s="9">
        <f t="shared" si="55"/>
        <v>11.08</v>
      </c>
      <c r="BJ439" s="9">
        <f t="shared" si="56"/>
        <v>12.74</v>
      </c>
      <c r="BK439" s="9">
        <f t="shared" si="57"/>
        <v>52.19</v>
      </c>
      <c r="BL439" s="9">
        <f t="shared" si="58"/>
        <v>0</v>
      </c>
      <c r="BM439" s="9">
        <f t="shared" si="59"/>
        <v>16.43</v>
      </c>
      <c r="BN439" s="9">
        <f t="shared" si="60"/>
        <v>2352.13</v>
      </c>
      <c r="BO439" s="9">
        <f t="shared" si="61"/>
        <v>5.14</v>
      </c>
      <c r="BP439" s="9">
        <f t="shared" si="62"/>
        <v>0</v>
      </c>
    </row>
    <row r="440" spans="1:68">
      <c r="A440" s="6">
        <v>44641</v>
      </c>
      <c r="B440" s="7">
        <v>3602</v>
      </c>
      <c r="C440" s="8">
        <v>540.07000000000005</v>
      </c>
      <c r="D440" s="8"/>
      <c r="E440" s="8"/>
      <c r="F440" s="8"/>
      <c r="G440" s="8">
        <v>808.16</v>
      </c>
      <c r="H440" s="8"/>
      <c r="I440" s="8"/>
      <c r="J440" s="8"/>
      <c r="K440" s="8"/>
      <c r="L440" s="8"/>
      <c r="M440" s="8">
        <v>1.39</v>
      </c>
      <c r="N440" s="8"/>
      <c r="O440" s="8"/>
      <c r="P440" s="8"/>
      <c r="Q440" s="11"/>
      <c r="R440" s="11"/>
      <c r="S440" s="8">
        <v>7.33</v>
      </c>
      <c r="T440" s="8"/>
      <c r="U440" s="8">
        <v>4.32</v>
      </c>
      <c r="V440" s="8">
        <v>13.25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11"/>
      <c r="AQ440" s="8"/>
      <c r="AR440" s="8"/>
      <c r="AS440" s="8"/>
      <c r="AT440" s="8">
        <v>563.5</v>
      </c>
      <c r="AU440" s="8"/>
      <c r="AV440" s="8"/>
      <c r="AW440" s="8">
        <v>34.869999999999997</v>
      </c>
      <c r="AX440" s="8"/>
      <c r="AY440" s="8"/>
      <c r="AZ440" s="8"/>
      <c r="BA440" s="8"/>
      <c r="BB440" s="8"/>
      <c r="BC440" s="8"/>
      <c r="BD440" s="8"/>
      <c r="BE440" s="8"/>
      <c r="BF440" s="8">
        <v>43.22</v>
      </c>
      <c r="BG440" s="8">
        <v>41.89</v>
      </c>
      <c r="BH440" s="9">
        <f t="shared" si="54"/>
        <v>1348.23</v>
      </c>
      <c r="BI440" s="9">
        <f t="shared" si="55"/>
        <v>1.39</v>
      </c>
      <c r="BJ440" s="9">
        <f t="shared" si="56"/>
        <v>7.33</v>
      </c>
      <c r="BK440" s="9">
        <f t="shared" si="57"/>
        <v>17.57</v>
      </c>
      <c r="BL440" s="9">
        <f t="shared" si="58"/>
        <v>0</v>
      </c>
      <c r="BM440" s="9">
        <f t="shared" si="59"/>
        <v>0</v>
      </c>
      <c r="BN440" s="9">
        <f t="shared" si="60"/>
        <v>563.5</v>
      </c>
      <c r="BO440" s="9">
        <f t="shared" si="61"/>
        <v>34.869999999999997</v>
      </c>
      <c r="BP440" s="9">
        <f t="shared" si="62"/>
        <v>43.22</v>
      </c>
    </row>
    <row r="441" spans="1:68">
      <c r="A441" s="6">
        <v>44641</v>
      </c>
      <c r="B441" s="7">
        <v>3431</v>
      </c>
      <c r="C441" s="8">
        <v>333.21</v>
      </c>
      <c r="D441" s="8"/>
      <c r="E441" s="8"/>
      <c r="F441" s="8"/>
      <c r="G441" s="8"/>
      <c r="H441" s="8"/>
      <c r="I441" s="8"/>
      <c r="J441" s="8"/>
      <c r="K441" s="8"/>
      <c r="L441" s="8"/>
      <c r="M441" s="8">
        <v>1.28</v>
      </c>
      <c r="N441" s="8"/>
      <c r="O441" s="8"/>
      <c r="P441" s="8"/>
      <c r="Q441" s="11"/>
      <c r="R441" s="11"/>
      <c r="S441" s="8">
        <v>1.4</v>
      </c>
      <c r="T441" s="8"/>
      <c r="U441" s="8"/>
      <c r="V441" s="8"/>
      <c r="W441" s="8"/>
      <c r="X441" s="8">
        <v>3.4</v>
      </c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11"/>
      <c r="AQ441" s="8"/>
      <c r="AR441" s="8"/>
      <c r="AS441" s="8"/>
      <c r="AT441" s="8">
        <v>155.46</v>
      </c>
      <c r="AU441" s="8"/>
      <c r="AV441" s="8"/>
      <c r="AW441" s="8"/>
      <c r="AX441" s="8"/>
      <c r="AY441" s="8"/>
      <c r="AZ441" s="8"/>
      <c r="BA441" s="8">
        <v>1.51</v>
      </c>
      <c r="BB441" s="8"/>
      <c r="BC441" s="8"/>
      <c r="BD441" s="8"/>
      <c r="BE441" s="8"/>
      <c r="BF441" s="8">
        <v>16.690000000000001</v>
      </c>
      <c r="BG441" s="8">
        <v>11.1</v>
      </c>
      <c r="BH441" s="9">
        <f t="shared" si="54"/>
        <v>333.21</v>
      </c>
      <c r="BI441" s="9">
        <f t="shared" si="55"/>
        <v>1.28</v>
      </c>
      <c r="BJ441" s="9">
        <f t="shared" si="56"/>
        <v>1.4</v>
      </c>
      <c r="BK441" s="9">
        <f t="shared" si="57"/>
        <v>3.4</v>
      </c>
      <c r="BL441" s="9">
        <f t="shared" si="58"/>
        <v>0</v>
      </c>
      <c r="BM441" s="9">
        <f t="shared" si="59"/>
        <v>0</v>
      </c>
      <c r="BN441" s="9">
        <f t="shared" si="60"/>
        <v>155.46</v>
      </c>
      <c r="BO441" s="9">
        <f t="shared" si="61"/>
        <v>1.51</v>
      </c>
      <c r="BP441" s="9">
        <f t="shared" si="62"/>
        <v>16.690000000000001</v>
      </c>
    </row>
    <row r="442" spans="1:68">
      <c r="A442" s="6">
        <v>44641</v>
      </c>
      <c r="B442" s="7">
        <v>3139</v>
      </c>
      <c r="C442" s="8">
        <v>952.22</v>
      </c>
      <c r="D442" s="8"/>
      <c r="E442" s="8"/>
      <c r="F442" s="8"/>
      <c r="G442" s="8"/>
      <c r="H442" s="8">
        <v>395.23</v>
      </c>
      <c r="I442" s="8"/>
      <c r="J442" s="8"/>
      <c r="K442" s="8"/>
      <c r="L442" s="8"/>
      <c r="M442" s="8"/>
      <c r="N442" s="8">
        <v>2.2200000000000002</v>
      </c>
      <c r="O442" s="8"/>
      <c r="P442" s="8"/>
      <c r="Q442" s="11"/>
      <c r="R442" s="11"/>
      <c r="S442" s="8">
        <v>3.98</v>
      </c>
      <c r="T442" s="8">
        <v>14.07</v>
      </c>
      <c r="U442" s="8"/>
      <c r="V442" s="8"/>
      <c r="W442" s="8"/>
      <c r="X442" s="8"/>
      <c r="Y442" s="8"/>
      <c r="Z442" s="8"/>
      <c r="AA442" s="8"/>
      <c r="AB442" s="8"/>
      <c r="AC442" s="8">
        <v>4.6900000000000004</v>
      </c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11"/>
      <c r="AQ442" s="8"/>
      <c r="AR442" s="8"/>
      <c r="AS442" s="8"/>
      <c r="AT442" s="8">
        <v>695.18</v>
      </c>
      <c r="AU442" s="8"/>
      <c r="AV442" s="8">
        <v>23.4</v>
      </c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>
        <v>50.39</v>
      </c>
      <c r="BH442" s="9">
        <f t="shared" si="54"/>
        <v>1347.45</v>
      </c>
      <c r="BI442" s="9">
        <f t="shared" si="55"/>
        <v>2.2200000000000002</v>
      </c>
      <c r="BJ442" s="9">
        <f t="shared" si="56"/>
        <v>3.98</v>
      </c>
      <c r="BK442" s="9">
        <f t="shared" si="57"/>
        <v>14.07</v>
      </c>
      <c r="BL442" s="9">
        <f t="shared" si="58"/>
        <v>0</v>
      </c>
      <c r="BM442" s="9">
        <f t="shared" si="59"/>
        <v>4.6900000000000004</v>
      </c>
      <c r="BN442" s="9">
        <f t="shared" si="60"/>
        <v>695.18</v>
      </c>
      <c r="BO442" s="9">
        <f t="shared" si="61"/>
        <v>23.4</v>
      </c>
      <c r="BP442" s="9">
        <f t="shared" si="62"/>
        <v>0</v>
      </c>
    </row>
    <row r="443" spans="1:68">
      <c r="A443" s="6">
        <v>44641</v>
      </c>
      <c r="B443" s="7">
        <v>3117</v>
      </c>
      <c r="C443" s="8">
        <v>835.63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>
        <v>1.92</v>
      </c>
      <c r="O443" s="8"/>
      <c r="P443" s="8"/>
      <c r="Q443" s="11"/>
      <c r="R443" s="11"/>
      <c r="S443" s="8">
        <v>2.93</v>
      </c>
      <c r="T443" s="8">
        <v>8.3699999999999992</v>
      </c>
      <c r="U443" s="8"/>
      <c r="V443" s="8"/>
      <c r="W443" s="8"/>
      <c r="X443" s="8"/>
      <c r="Y443" s="8"/>
      <c r="Z443" s="8"/>
      <c r="AA443" s="8"/>
      <c r="AB443" s="8"/>
      <c r="AC443" s="8">
        <v>3.34</v>
      </c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11"/>
      <c r="AQ443" s="8"/>
      <c r="AR443" s="8"/>
      <c r="AS443" s="8"/>
      <c r="AT443" s="8">
        <v>528.25</v>
      </c>
      <c r="AU443" s="8"/>
      <c r="AV443" s="8">
        <v>20.88</v>
      </c>
      <c r="AW443" s="8"/>
      <c r="AX443" s="8"/>
      <c r="AY443" s="8"/>
      <c r="AZ443" s="8"/>
      <c r="BA443" s="8"/>
      <c r="BB443" s="8"/>
      <c r="BC443" s="8"/>
      <c r="BD443" s="8"/>
      <c r="BE443" s="8"/>
      <c r="BF443" s="8">
        <v>33.450000000000003</v>
      </c>
      <c r="BG443" s="8">
        <v>40.119999999999997</v>
      </c>
      <c r="BH443" s="9">
        <f t="shared" si="54"/>
        <v>835.63</v>
      </c>
      <c r="BI443" s="9">
        <f t="shared" si="55"/>
        <v>1.92</v>
      </c>
      <c r="BJ443" s="9">
        <f t="shared" si="56"/>
        <v>2.93</v>
      </c>
      <c r="BK443" s="9">
        <f t="shared" si="57"/>
        <v>8.3699999999999992</v>
      </c>
      <c r="BL443" s="9">
        <f t="shared" si="58"/>
        <v>0</v>
      </c>
      <c r="BM443" s="9">
        <f t="shared" si="59"/>
        <v>3.34</v>
      </c>
      <c r="BN443" s="9">
        <f t="shared" si="60"/>
        <v>528.25</v>
      </c>
      <c r="BO443" s="9">
        <f t="shared" si="61"/>
        <v>20.88</v>
      </c>
      <c r="BP443" s="9">
        <f t="shared" si="62"/>
        <v>33.450000000000003</v>
      </c>
    </row>
    <row r="444" spans="1:68">
      <c r="A444" s="6">
        <v>44642</v>
      </c>
      <c r="B444" s="7">
        <v>3602</v>
      </c>
      <c r="C444" s="8">
        <v>579.6</v>
      </c>
      <c r="D444" s="8"/>
      <c r="E444" s="8"/>
      <c r="F444" s="8"/>
      <c r="G444" s="8">
        <v>868.93</v>
      </c>
      <c r="H444" s="8"/>
      <c r="I444" s="8"/>
      <c r="J444" s="8"/>
      <c r="K444" s="8"/>
      <c r="L444" s="8"/>
      <c r="M444" s="8">
        <v>1.52</v>
      </c>
      <c r="N444" s="8"/>
      <c r="O444" s="8"/>
      <c r="P444" s="8"/>
      <c r="Q444" s="11"/>
      <c r="R444" s="11"/>
      <c r="S444" s="8">
        <v>7.88</v>
      </c>
      <c r="T444" s="8"/>
      <c r="U444" s="8">
        <v>4.6399999999999997</v>
      </c>
      <c r="V444" s="8">
        <v>14.13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11"/>
      <c r="AQ444" s="8"/>
      <c r="AR444" s="8"/>
      <c r="AS444" s="8"/>
      <c r="AT444" s="8">
        <v>604</v>
      </c>
      <c r="AU444" s="8"/>
      <c r="AV444" s="8"/>
      <c r="AW444" s="8">
        <v>37.49</v>
      </c>
      <c r="AX444" s="8"/>
      <c r="AY444" s="8"/>
      <c r="AZ444" s="8"/>
      <c r="BA444" s="8"/>
      <c r="BB444" s="8"/>
      <c r="BC444" s="8"/>
      <c r="BD444" s="8"/>
      <c r="BE444" s="8"/>
      <c r="BF444" s="8">
        <v>46.41</v>
      </c>
      <c r="BG444" s="8">
        <v>45.23</v>
      </c>
      <c r="BH444" s="9">
        <f t="shared" si="54"/>
        <v>1448.53</v>
      </c>
      <c r="BI444" s="9">
        <f t="shared" si="55"/>
        <v>1.52</v>
      </c>
      <c r="BJ444" s="9">
        <f t="shared" si="56"/>
        <v>7.88</v>
      </c>
      <c r="BK444" s="9">
        <f t="shared" si="57"/>
        <v>18.77</v>
      </c>
      <c r="BL444" s="9">
        <f t="shared" si="58"/>
        <v>0</v>
      </c>
      <c r="BM444" s="9">
        <f t="shared" si="59"/>
        <v>0</v>
      </c>
      <c r="BN444" s="9">
        <f t="shared" si="60"/>
        <v>604</v>
      </c>
      <c r="BO444" s="9">
        <f t="shared" si="61"/>
        <v>37.49</v>
      </c>
      <c r="BP444" s="9">
        <f t="shared" si="62"/>
        <v>46.41</v>
      </c>
    </row>
    <row r="445" spans="1:68">
      <c r="A445" s="6">
        <v>44642</v>
      </c>
      <c r="B445" s="7">
        <v>3200</v>
      </c>
      <c r="C445" s="8">
        <v>2212.19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>
        <v>5.54</v>
      </c>
      <c r="P445" s="8"/>
      <c r="Q445" s="11"/>
      <c r="R445" s="11"/>
      <c r="S445" s="8">
        <v>8.65</v>
      </c>
      <c r="T445" s="8"/>
      <c r="U445" s="8">
        <v>33.22</v>
      </c>
      <c r="V445" s="8"/>
      <c r="W445" s="8"/>
      <c r="X445" s="8"/>
      <c r="Y445" s="8"/>
      <c r="Z445" s="8">
        <v>465.13</v>
      </c>
      <c r="AA445" s="8"/>
      <c r="AB445" s="8"/>
      <c r="AC445" s="8"/>
      <c r="AD445" s="8"/>
      <c r="AE445" s="8">
        <v>33.770000000000003</v>
      </c>
      <c r="AF445" s="8">
        <v>110.25</v>
      </c>
      <c r="AG445" s="8"/>
      <c r="AH445" s="8"/>
      <c r="AI445" s="8"/>
      <c r="AJ445" s="8"/>
      <c r="AK445" s="8"/>
      <c r="AL445" s="8"/>
      <c r="AM445" s="8"/>
      <c r="AN445" s="8"/>
      <c r="AO445" s="8"/>
      <c r="AP445" s="11"/>
      <c r="AQ445" s="8"/>
      <c r="AR445" s="8"/>
      <c r="AS445" s="8"/>
      <c r="AT445" s="8">
        <v>1516.62</v>
      </c>
      <c r="AU445" s="8"/>
      <c r="AV445" s="8"/>
      <c r="AW445" s="8">
        <v>6.36</v>
      </c>
      <c r="AX445" s="8"/>
      <c r="AY445" s="8"/>
      <c r="AZ445" s="8"/>
      <c r="BA445" s="8"/>
      <c r="BB445" s="8"/>
      <c r="BC445" s="8"/>
      <c r="BD445" s="8"/>
      <c r="BE445" s="8"/>
      <c r="BF445" s="8">
        <v>106.21</v>
      </c>
      <c r="BG445" s="8">
        <v>109.8</v>
      </c>
      <c r="BH445" s="9">
        <f t="shared" si="54"/>
        <v>2212.19</v>
      </c>
      <c r="BI445" s="9">
        <f t="shared" si="55"/>
        <v>5.54</v>
      </c>
      <c r="BJ445" s="9">
        <f t="shared" si="56"/>
        <v>8.65</v>
      </c>
      <c r="BK445" s="9">
        <f t="shared" si="57"/>
        <v>33.22</v>
      </c>
      <c r="BL445" s="9">
        <f t="shared" si="58"/>
        <v>465.13</v>
      </c>
      <c r="BM445" s="9">
        <f t="shared" si="59"/>
        <v>144.02000000000001</v>
      </c>
      <c r="BN445" s="9">
        <f t="shared" si="60"/>
        <v>1516.62</v>
      </c>
      <c r="BO445" s="9">
        <f t="shared" si="61"/>
        <v>6.36</v>
      </c>
      <c r="BP445" s="9">
        <f t="shared" si="62"/>
        <v>106.21</v>
      </c>
    </row>
    <row r="446" spans="1:68">
      <c r="A446" s="6">
        <v>44642</v>
      </c>
      <c r="B446" s="7">
        <v>3016</v>
      </c>
      <c r="C446" s="8"/>
      <c r="D446" s="8">
        <v>1617.27</v>
      </c>
      <c r="E446" s="8"/>
      <c r="F446" s="8"/>
      <c r="G446" s="8"/>
      <c r="H446" s="8"/>
      <c r="I446" s="8">
        <v>1490.41</v>
      </c>
      <c r="J446" s="8"/>
      <c r="K446" s="8"/>
      <c r="L446" s="8"/>
      <c r="M446" s="8"/>
      <c r="N446" s="8">
        <v>18.66</v>
      </c>
      <c r="O446" s="8"/>
      <c r="P446" s="8"/>
      <c r="Q446" s="11"/>
      <c r="R446" s="11"/>
      <c r="S446" s="8">
        <v>2.17</v>
      </c>
      <c r="T446" s="8">
        <v>31.11</v>
      </c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>
        <v>12.59</v>
      </c>
      <c r="AN446" s="8">
        <v>37.36</v>
      </c>
      <c r="AO446" s="8"/>
      <c r="AP446" s="11"/>
      <c r="AQ446" s="8"/>
      <c r="AR446" s="8">
        <v>78.95</v>
      </c>
      <c r="AS446" s="8"/>
      <c r="AT446" s="8">
        <v>1154.9000000000001</v>
      </c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>
        <v>84.35</v>
      </c>
      <c r="BH446" s="9">
        <f t="shared" si="54"/>
        <v>3107.6800000000003</v>
      </c>
      <c r="BI446" s="9">
        <f t="shared" si="55"/>
        <v>18.66</v>
      </c>
      <c r="BJ446" s="9">
        <f t="shared" si="56"/>
        <v>2.17</v>
      </c>
      <c r="BK446" s="9">
        <f t="shared" si="57"/>
        <v>31.11</v>
      </c>
      <c r="BL446" s="9">
        <f t="shared" si="58"/>
        <v>0</v>
      </c>
      <c r="BM446" s="9">
        <f t="shared" si="59"/>
        <v>128.9</v>
      </c>
      <c r="BN446" s="9">
        <f t="shared" si="60"/>
        <v>1154.9000000000001</v>
      </c>
      <c r="BO446" s="9">
        <f t="shared" si="61"/>
        <v>0</v>
      </c>
      <c r="BP446" s="9">
        <f t="shared" si="62"/>
        <v>0</v>
      </c>
    </row>
    <row r="447" spans="1:68">
      <c r="A447" s="6">
        <v>44642</v>
      </c>
      <c r="B447" s="7">
        <v>3079</v>
      </c>
      <c r="C447" s="8"/>
      <c r="D447" s="8"/>
      <c r="E447" s="8"/>
      <c r="F447" s="8">
        <v>336.71</v>
      </c>
      <c r="G447" s="8"/>
      <c r="H447" s="8"/>
      <c r="I447" s="8">
        <v>2720.85</v>
      </c>
      <c r="J447" s="8"/>
      <c r="K447" s="8"/>
      <c r="L447" s="8"/>
      <c r="M447" s="8"/>
      <c r="N447" s="8">
        <v>22.95</v>
      </c>
      <c r="O447" s="8"/>
      <c r="P447" s="8"/>
      <c r="Q447" s="11"/>
      <c r="R447" s="11"/>
      <c r="S447" s="8">
        <v>1.22</v>
      </c>
      <c r="T447" s="8">
        <v>30.64</v>
      </c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>
        <v>12.4</v>
      </c>
      <c r="AN447" s="8">
        <v>31.05</v>
      </c>
      <c r="AO447" s="8"/>
      <c r="AP447" s="11"/>
      <c r="AQ447" s="8"/>
      <c r="AR447" s="8">
        <v>77.739999999999995</v>
      </c>
      <c r="AS447" s="8"/>
      <c r="AT447" s="8">
        <v>1164.02</v>
      </c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>
        <v>84.12</v>
      </c>
      <c r="BH447" s="9">
        <f t="shared" si="54"/>
        <v>3057.56</v>
      </c>
      <c r="BI447" s="9">
        <f t="shared" si="55"/>
        <v>22.95</v>
      </c>
      <c r="BJ447" s="9">
        <f t="shared" si="56"/>
        <v>1.22</v>
      </c>
      <c r="BK447" s="9">
        <f t="shared" si="57"/>
        <v>30.64</v>
      </c>
      <c r="BL447" s="9">
        <f t="shared" si="58"/>
        <v>0</v>
      </c>
      <c r="BM447" s="9">
        <f t="shared" si="59"/>
        <v>121.19</v>
      </c>
      <c r="BN447" s="9">
        <f t="shared" si="60"/>
        <v>1164.02</v>
      </c>
      <c r="BO447" s="9">
        <f t="shared" si="61"/>
        <v>0</v>
      </c>
      <c r="BP447" s="9">
        <f t="shared" si="62"/>
        <v>0</v>
      </c>
    </row>
    <row r="448" spans="1:68">
      <c r="A448" s="6">
        <v>44642</v>
      </c>
      <c r="B448" s="7">
        <v>3501</v>
      </c>
      <c r="C448" s="8">
        <v>292.82</v>
      </c>
      <c r="D448" s="8">
        <v>196.42</v>
      </c>
      <c r="E448" s="8"/>
      <c r="F448" s="8"/>
      <c r="G448" s="8"/>
      <c r="H448" s="8"/>
      <c r="I448" s="8"/>
      <c r="J448" s="8"/>
      <c r="K448" s="8"/>
      <c r="L448" s="8"/>
      <c r="M448" s="8">
        <v>0.83</v>
      </c>
      <c r="N448" s="8"/>
      <c r="O448" s="8"/>
      <c r="P448" s="8"/>
      <c r="Q448" s="11"/>
      <c r="R448" s="11"/>
      <c r="S448" s="8">
        <v>2.2999999999999998</v>
      </c>
      <c r="T448" s="8"/>
      <c r="U448" s="8">
        <v>3.43</v>
      </c>
      <c r="V448" s="8"/>
      <c r="W448" s="8"/>
      <c r="X448" s="8"/>
      <c r="Y448" s="8"/>
      <c r="Z448" s="8">
        <v>105.23</v>
      </c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11"/>
      <c r="AQ448" s="8"/>
      <c r="AR448" s="8"/>
      <c r="AS448" s="8"/>
      <c r="AT448" s="8">
        <v>270.25</v>
      </c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>
        <v>9.8000000000000007</v>
      </c>
      <c r="BG448" s="8">
        <v>20.49</v>
      </c>
      <c r="BH448" s="9">
        <f t="shared" si="54"/>
        <v>489.24</v>
      </c>
      <c r="BI448" s="9">
        <f t="shared" si="55"/>
        <v>0.83</v>
      </c>
      <c r="BJ448" s="9">
        <f t="shared" si="56"/>
        <v>2.2999999999999998</v>
      </c>
      <c r="BK448" s="9">
        <f t="shared" si="57"/>
        <v>3.43</v>
      </c>
      <c r="BL448" s="9">
        <f t="shared" si="58"/>
        <v>105.23</v>
      </c>
      <c r="BM448" s="9">
        <f t="shared" si="59"/>
        <v>0</v>
      </c>
      <c r="BN448" s="9">
        <f t="shared" si="60"/>
        <v>270.25</v>
      </c>
      <c r="BO448" s="9">
        <f t="shared" si="61"/>
        <v>0</v>
      </c>
      <c r="BP448" s="9">
        <f t="shared" si="62"/>
        <v>9.8000000000000007</v>
      </c>
    </row>
    <row r="449" spans="1:68">
      <c r="A449" s="6">
        <v>44642</v>
      </c>
      <c r="B449" s="7">
        <v>3141</v>
      </c>
      <c r="C449" s="8">
        <v>2449.7199999999998</v>
      </c>
      <c r="D449" s="8">
        <v>432.25</v>
      </c>
      <c r="E449" s="8"/>
      <c r="F449" s="8"/>
      <c r="G449" s="8"/>
      <c r="H449" s="8"/>
      <c r="I449" s="8"/>
      <c r="J449" s="8"/>
      <c r="K449" s="8"/>
      <c r="L449" s="8"/>
      <c r="M449" s="8"/>
      <c r="N449" s="8">
        <v>8.1</v>
      </c>
      <c r="O449" s="8"/>
      <c r="P449" s="8"/>
      <c r="Q449" s="11"/>
      <c r="R449" s="11"/>
      <c r="S449" s="8">
        <v>13.56</v>
      </c>
      <c r="T449" s="8">
        <v>21.64</v>
      </c>
      <c r="U449" s="8">
        <v>21.63</v>
      </c>
      <c r="V449" s="8"/>
      <c r="W449" s="8"/>
      <c r="X449" s="8"/>
      <c r="Y449" s="8"/>
      <c r="Z449" s="8"/>
      <c r="AA449" s="8"/>
      <c r="AB449" s="8"/>
      <c r="AC449" s="8">
        <v>11.54</v>
      </c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11"/>
      <c r="AQ449" s="8"/>
      <c r="AR449" s="8"/>
      <c r="AS449" s="8"/>
      <c r="AT449" s="8">
        <v>1917.88</v>
      </c>
      <c r="AU449" s="8"/>
      <c r="AV449" s="8"/>
      <c r="AW449" s="8"/>
      <c r="AX449" s="8"/>
      <c r="AY449" s="8"/>
      <c r="AZ449" s="8"/>
      <c r="BA449" s="8">
        <v>66.08</v>
      </c>
      <c r="BB449" s="8"/>
      <c r="BC449" s="8"/>
      <c r="BD449" s="8"/>
      <c r="BE449" s="8"/>
      <c r="BF449" s="8">
        <v>201.77</v>
      </c>
      <c r="BG449" s="8">
        <v>149.94</v>
      </c>
      <c r="BH449" s="9">
        <f t="shared" si="54"/>
        <v>2881.97</v>
      </c>
      <c r="BI449" s="9">
        <f t="shared" si="55"/>
        <v>8.1</v>
      </c>
      <c r="BJ449" s="9">
        <f t="shared" si="56"/>
        <v>13.56</v>
      </c>
      <c r="BK449" s="9">
        <f t="shared" si="57"/>
        <v>43.269999999999996</v>
      </c>
      <c r="BL449" s="9">
        <f t="shared" si="58"/>
        <v>0</v>
      </c>
      <c r="BM449" s="9">
        <f t="shared" si="59"/>
        <v>11.54</v>
      </c>
      <c r="BN449" s="9">
        <f t="shared" si="60"/>
        <v>1917.88</v>
      </c>
      <c r="BO449" s="9">
        <f t="shared" si="61"/>
        <v>66.08</v>
      </c>
      <c r="BP449" s="9">
        <f t="shared" si="62"/>
        <v>201.77</v>
      </c>
    </row>
    <row r="450" spans="1:68">
      <c r="A450" s="6">
        <v>44642</v>
      </c>
      <c r="B450" s="7">
        <v>3134</v>
      </c>
      <c r="C450" s="8">
        <v>1028.8399999999999</v>
      </c>
      <c r="D450" s="8">
        <v>143.79</v>
      </c>
      <c r="E450" s="8"/>
      <c r="F450" s="8"/>
      <c r="G450" s="8"/>
      <c r="H450" s="8">
        <v>487.42</v>
      </c>
      <c r="I450" s="8"/>
      <c r="J450" s="8"/>
      <c r="K450" s="8"/>
      <c r="L450" s="8"/>
      <c r="M450" s="8"/>
      <c r="N450" s="8">
        <v>3.25</v>
      </c>
      <c r="O450" s="8"/>
      <c r="P450" s="8"/>
      <c r="Q450" s="11"/>
      <c r="R450" s="11"/>
      <c r="S450" s="8">
        <v>6.65</v>
      </c>
      <c r="T450" s="8">
        <v>10.119999999999999</v>
      </c>
      <c r="U450" s="8">
        <v>8.67</v>
      </c>
      <c r="V450" s="8"/>
      <c r="W450" s="8"/>
      <c r="X450" s="8"/>
      <c r="Y450" s="8"/>
      <c r="Z450" s="8"/>
      <c r="AA450" s="8"/>
      <c r="AB450" s="8"/>
      <c r="AC450" s="8">
        <v>5.77</v>
      </c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11"/>
      <c r="AQ450" s="8"/>
      <c r="AR450" s="8"/>
      <c r="AS450" s="8"/>
      <c r="AT450" s="8">
        <v>1018.96</v>
      </c>
      <c r="AU450" s="8"/>
      <c r="AV450" s="8"/>
      <c r="AW450" s="8"/>
      <c r="AX450" s="8"/>
      <c r="AY450" s="8">
        <v>14.53</v>
      </c>
      <c r="AZ450" s="8"/>
      <c r="BA450" s="8"/>
      <c r="BB450" s="8"/>
      <c r="BC450" s="8"/>
      <c r="BD450" s="8"/>
      <c r="BE450" s="8"/>
      <c r="BF450" s="8">
        <v>64.98</v>
      </c>
      <c r="BG450" s="8">
        <v>76.52</v>
      </c>
      <c r="BH450" s="9">
        <f t="shared" si="54"/>
        <v>1660.05</v>
      </c>
      <c r="BI450" s="9">
        <f t="shared" si="55"/>
        <v>3.25</v>
      </c>
      <c r="BJ450" s="9">
        <f t="shared" si="56"/>
        <v>6.65</v>
      </c>
      <c r="BK450" s="9">
        <f t="shared" si="57"/>
        <v>18.79</v>
      </c>
      <c r="BL450" s="9">
        <f t="shared" si="58"/>
        <v>0</v>
      </c>
      <c r="BM450" s="9">
        <f t="shared" si="59"/>
        <v>5.77</v>
      </c>
      <c r="BN450" s="9">
        <f t="shared" si="60"/>
        <v>1018.96</v>
      </c>
      <c r="BO450" s="9">
        <f t="shared" si="61"/>
        <v>14.53</v>
      </c>
      <c r="BP450" s="9">
        <f t="shared" si="62"/>
        <v>64.98</v>
      </c>
    </row>
    <row r="451" spans="1:68">
      <c r="A451" s="6">
        <v>44642</v>
      </c>
      <c r="B451" s="7">
        <v>3135</v>
      </c>
      <c r="C451" s="8">
        <v>1046.8399999999999</v>
      </c>
      <c r="D451" s="8">
        <v>146.68</v>
      </c>
      <c r="E451" s="8"/>
      <c r="F451" s="8"/>
      <c r="G451" s="8"/>
      <c r="H451" s="8">
        <v>494.89</v>
      </c>
      <c r="I451" s="8"/>
      <c r="J451" s="8"/>
      <c r="K451" s="8"/>
      <c r="L451" s="8"/>
      <c r="M451" s="8"/>
      <c r="N451" s="8">
        <v>3.23</v>
      </c>
      <c r="O451" s="8"/>
      <c r="P451" s="8"/>
      <c r="Q451" s="11"/>
      <c r="R451" s="11"/>
      <c r="S451" s="8">
        <v>6.76</v>
      </c>
      <c r="T451" s="8">
        <v>10.27</v>
      </c>
      <c r="U451" s="8">
        <v>8.8000000000000007</v>
      </c>
      <c r="V451" s="8"/>
      <c r="W451" s="8"/>
      <c r="X451" s="8"/>
      <c r="Y451" s="8"/>
      <c r="Z451" s="8"/>
      <c r="AA451" s="8"/>
      <c r="AB451" s="8"/>
      <c r="AC451" s="8">
        <v>5.87</v>
      </c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11"/>
      <c r="AQ451" s="8"/>
      <c r="AR451" s="8"/>
      <c r="AS451" s="8"/>
      <c r="AT451" s="8">
        <v>1036.98</v>
      </c>
      <c r="AU451" s="8"/>
      <c r="AV451" s="8"/>
      <c r="AW451" s="8"/>
      <c r="AX451" s="8"/>
      <c r="AY451" s="8"/>
      <c r="AZ451" s="8"/>
      <c r="BA451" s="8">
        <v>33.51</v>
      </c>
      <c r="BB451" s="8"/>
      <c r="BC451" s="8"/>
      <c r="BD451" s="8"/>
      <c r="BE451" s="8"/>
      <c r="BF451" s="8">
        <v>66.239999999999995</v>
      </c>
      <c r="BG451" s="8">
        <v>77.930000000000007</v>
      </c>
      <c r="BH451" s="9">
        <f t="shared" si="54"/>
        <v>1688.4099999999999</v>
      </c>
      <c r="BI451" s="9">
        <f t="shared" si="55"/>
        <v>3.23</v>
      </c>
      <c r="BJ451" s="9">
        <f t="shared" si="56"/>
        <v>6.76</v>
      </c>
      <c r="BK451" s="9">
        <f t="shared" si="57"/>
        <v>19.07</v>
      </c>
      <c r="BL451" s="9">
        <f t="shared" si="58"/>
        <v>0</v>
      </c>
      <c r="BM451" s="9">
        <f t="shared" si="59"/>
        <v>5.87</v>
      </c>
      <c r="BN451" s="9">
        <f t="shared" si="60"/>
        <v>1036.98</v>
      </c>
      <c r="BO451" s="9">
        <f t="shared" si="61"/>
        <v>33.51</v>
      </c>
      <c r="BP451" s="9">
        <f t="shared" si="62"/>
        <v>66.239999999999995</v>
      </c>
    </row>
    <row r="452" spans="1:68">
      <c r="A452" s="6">
        <v>44643</v>
      </c>
      <c r="B452" s="7">
        <v>3106</v>
      </c>
      <c r="C452" s="8">
        <v>4145.1499999999996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>
        <v>10.81</v>
      </c>
      <c r="O452" s="8"/>
      <c r="P452" s="8"/>
      <c r="Q452" s="11"/>
      <c r="R452" s="11"/>
      <c r="S452" s="8">
        <v>12.46</v>
      </c>
      <c r="T452" s="8">
        <v>52.73</v>
      </c>
      <c r="U452" s="8"/>
      <c r="V452" s="8"/>
      <c r="W452" s="8"/>
      <c r="X452" s="8"/>
      <c r="Y452" s="8"/>
      <c r="Z452" s="8"/>
      <c r="AA452" s="8"/>
      <c r="AB452" s="8"/>
      <c r="AC452" s="8">
        <v>16.579999999999998</v>
      </c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11"/>
      <c r="AQ452" s="8"/>
      <c r="AR452" s="8"/>
      <c r="AS452" s="8"/>
      <c r="AT452" s="8">
        <v>2371.9499999999998</v>
      </c>
      <c r="AU452" s="8"/>
      <c r="AV452" s="8"/>
      <c r="AW452" s="8"/>
      <c r="AX452" s="8">
        <v>5.19</v>
      </c>
      <c r="AY452" s="8"/>
      <c r="AZ452" s="8"/>
      <c r="BA452" s="8"/>
      <c r="BB452" s="8"/>
      <c r="BC452" s="8"/>
      <c r="BD452" s="8"/>
      <c r="BE452" s="8"/>
      <c r="BF452" s="8"/>
      <c r="BG452" s="8">
        <v>178.86</v>
      </c>
      <c r="BH452" s="9">
        <f t="shared" ref="BH452:BH515" si="63">SUM(C452:L452)</f>
        <v>4145.1499999999996</v>
      </c>
      <c r="BI452" s="9">
        <f t="shared" ref="BI452:BI515" si="64">SUM(M452:R452)</f>
        <v>10.81</v>
      </c>
      <c r="BJ452" s="9">
        <f t="shared" ref="BJ452:BJ515" si="65">SUM(S452)</f>
        <v>12.46</v>
      </c>
      <c r="BK452" s="9">
        <f t="shared" ref="BK452:BK515" si="66">SUM(T452:Y452)</f>
        <v>52.73</v>
      </c>
      <c r="BL452" s="9">
        <f t="shared" ref="BL452:BL515" si="67">SUM(Z452:AA452)</f>
        <v>0</v>
      </c>
      <c r="BM452" s="9">
        <f t="shared" ref="BM452:BM515" si="68">SUM(AB452:AS452)</f>
        <v>16.579999999999998</v>
      </c>
      <c r="BN452" s="9">
        <f t="shared" ref="BN452:BN515" si="69">SUM(AT452:AU452)</f>
        <v>2371.9499999999998</v>
      </c>
      <c r="BO452" s="9">
        <f t="shared" ref="BO452:BO515" si="70">SUM(AV452:BE452)</f>
        <v>5.19</v>
      </c>
      <c r="BP452" s="9">
        <f t="shared" ref="BP452:BP515" si="71">SUM(BF452)</f>
        <v>0</v>
      </c>
    </row>
    <row r="453" spans="1:68">
      <c r="A453" s="6">
        <v>44643</v>
      </c>
      <c r="B453" s="7">
        <v>3028</v>
      </c>
      <c r="C453" s="8"/>
      <c r="D453" s="8">
        <v>776.54</v>
      </c>
      <c r="E453" s="8"/>
      <c r="F453" s="8">
        <v>713.82</v>
      </c>
      <c r="G453" s="8"/>
      <c r="H453" s="8"/>
      <c r="I453" s="8">
        <v>1613.19</v>
      </c>
      <c r="J453" s="8"/>
      <c r="K453" s="8"/>
      <c r="L453" s="8"/>
      <c r="M453" s="8"/>
      <c r="N453" s="8">
        <v>23.27</v>
      </c>
      <c r="O453" s="8"/>
      <c r="P453" s="8"/>
      <c r="Q453" s="11"/>
      <c r="R453" s="11"/>
      <c r="S453" s="8">
        <v>4.3499999999999996</v>
      </c>
      <c r="T453" s="8"/>
      <c r="U453" s="8"/>
      <c r="V453" s="8"/>
      <c r="W453" s="8">
        <v>23.35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>
        <v>31.29</v>
      </c>
      <c r="AN453" s="8">
        <v>22.19</v>
      </c>
      <c r="AO453" s="8"/>
      <c r="AP453" s="11"/>
      <c r="AQ453" s="8"/>
      <c r="AR453" s="8"/>
      <c r="AS453" s="8">
        <v>103.13</v>
      </c>
      <c r="AT453" s="8">
        <v>1034.31</v>
      </c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>
        <v>70.709999999999994</v>
      </c>
      <c r="BH453" s="9">
        <f t="shared" si="63"/>
        <v>3103.55</v>
      </c>
      <c r="BI453" s="9">
        <f t="shared" si="64"/>
        <v>23.27</v>
      </c>
      <c r="BJ453" s="9">
        <f t="shared" si="65"/>
        <v>4.3499999999999996</v>
      </c>
      <c r="BK453" s="9">
        <f t="shared" si="66"/>
        <v>23.35</v>
      </c>
      <c r="BL453" s="9">
        <f t="shared" si="67"/>
        <v>0</v>
      </c>
      <c r="BM453" s="9">
        <f t="shared" si="68"/>
        <v>156.61000000000001</v>
      </c>
      <c r="BN453" s="9">
        <f t="shared" si="69"/>
        <v>1034.31</v>
      </c>
      <c r="BO453" s="9">
        <f t="shared" si="70"/>
        <v>0</v>
      </c>
      <c r="BP453" s="9">
        <f t="shared" si="71"/>
        <v>0</v>
      </c>
    </row>
    <row r="454" spans="1:68">
      <c r="A454" s="6">
        <v>44643</v>
      </c>
      <c r="B454" s="7">
        <v>3021</v>
      </c>
      <c r="C454" s="8"/>
      <c r="D454" s="8">
        <v>196.97</v>
      </c>
      <c r="E454" s="8"/>
      <c r="F454" s="8"/>
      <c r="G454" s="8"/>
      <c r="H454" s="8"/>
      <c r="I454" s="8">
        <v>361.61</v>
      </c>
      <c r="J454" s="8"/>
      <c r="K454" s="8"/>
      <c r="L454" s="8"/>
      <c r="M454" s="8"/>
      <c r="N454" s="8">
        <v>2.96</v>
      </c>
      <c r="O454" s="8"/>
      <c r="P454" s="8"/>
      <c r="Q454" s="11"/>
      <c r="R454" s="11"/>
      <c r="S454" s="8">
        <v>1</v>
      </c>
      <c r="T454" s="8"/>
      <c r="U454" s="8"/>
      <c r="V454" s="8"/>
      <c r="W454" s="8">
        <v>5.59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>
        <v>5.55</v>
      </c>
      <c r="AN454" s="8"/>
      <c r="AO454" s="8"/>
      <c r="AP454" s="11"/>
      <c r="AQ454" s="8"/>
      <c r="AR454" s="8"/>
      <c r="AS454" s="8">
        <v>19.239999999999998</v>
      </c>
      <c r="AT454" s="8">
        <v>262.81</v>
      </c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>
        <v>19.8</v>
      </c>
      <c r="BH454" s="9">
        <f t="shared" si="63"/>
        <v>558.58000000000004</v>
      </c>
      <c r="BI454" s="9">
        <f t="shared" si="64"/>
        <v>2.96</v>
      </c>
      <c r="BJ454" s="9">
        <f t="shared" si="65"/>
        <v>1</v>
      </c>
      <c r="BK454" s="9">
        <f t="shared" si="66"/>
        <v>5.59</v>
      </c>
      <c r="BL454" s="9">
        <f t="shared" si="67"/>
        <v>0</v>
      </c>
      <c r="BM454" s="9">
        <f t="shared" si="68"/>
        <v>24.79</v>
      </c>
      <c r="BN454" s="9">
        <f t="shared" si="69"/>
        <v>262.81</v>
      </c>
      <c r="BO454" s="9">
        <f t="shared" si="70"/>
        <v>0</v>
      </c>
      <c r="BP454" s="9">
        <f t="shared" si="71"/>
        <v>0</v>
      </c>
    </row>
    <row r="455" spans="1:68">
      <c r="A455" s="6">
        <v>44643</v>
      </c>
      <c r="B455" s="7">
        <v>3023</v>
      </c>
      <c r="C455" s="8"/>
      <c r="D455" s="8">
        <v>867.39</v>
      </c>
      <c r="E455" s="8"/>
      <c r="F455" s="8"/>
      <c r="G455" s="8"/>
      <c r="H455" s="8"/>
      <c r="I455" s="8">
        <v>468.89</v>
      </c>
      <c r="J455" s="8"/>
      <c r="K455" s="8"/>
      <c r="L455" s="8"/>
      <c r="M455" s="8"/>
      <c r="N455" s="8">
        <v>7.54</v>
      </c>
      <c r="O455" s="8"/>
      <c r="P455" s="8"/>
      <c r="Q455" s="11"/>
      <c r="R455" s="11"/>
      <c r="S455" s="8">
        <v>2.14</v>
      </c>
      <c r="T455" s="8"/>
      <c r="U455" s="8"/>
      <c r="V455" s="8"/>
      <c r="W455" s="8">
        <v>12.11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>
        <v>13.51</v>
      </c>
      <c r="AN455" s="8">
        <v>9.43</v>
      </c>
      <c r="AO455" s="8"/>
      <c r="AP455" s="11"/>
      <c r="AQ455" s="8"/>
      <c r="AR455" s="8"/>
      <c r="AS455" s="8">
        <v>44.24</v>
      </c>
      <c r="AT455" s="8">
        <v>548.28</v>
      </c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>
        <v>41.43</v>
      </c>
      <c r="BH455" s="9">
        <f t="shared" si="63"/>
        <v>1336.28</v>
      </c>
      <c r="BI455" s="9">
        <f t="shared" si="64"/>
        <v>7.54</v>
      </c>
      <c r="BJ455" s="9">
        <f t="shared" si="65"/>
        <v>2.14</v>
      </c>
      <c r="BK455" s="9">
        <f t="shared" si="66"/>
        <v>12.11</v>
      </c>
      <c r="BL455" s="9">
        <f t="shared" si="67"/>
        <v>0</v>
      </c>
      <c r="BM455" s="9">
        <f t="shared" si="68"/>
        <v>67.180000000000007</v>
      </c>
      <c r="BN455" s="9">
        <f t="shared" si="69"/>
        <v>548.28</v>
      </c>
      <c r="BO455" s="9">
        <f t="shared" si="70"/>
        <v>0</v>
      </c>
      <c r="BP455" s="9">
        <f t="shared" si="71"/>
        <v>0</v>
      </c>
    </row>
    <row r="456" spans="1:68">
      <c r="A456" s="6">
        <v>44643</v>
      </c>
      <c r="B456" s="7">
        <v>3432</v>
      </c>
      <c r="C456" s="8">
        <v>1313.45</v>
      </c>
      <c r="D456" s="8"/>
      <c r="E456" s="8"/>
      <c r="F456" s="8"/>
      <c r="G456" s="8"/>
      <c r="H456" s="8"/>
      <c r="I456" s="8"/>
      <c r="J456" s="8"/>
      <c r="K456" s="8"/>
      <c r="L456" s="8"/>
      <c r="M456" s="8">
        <v>4.3600000000000003</v>
      </c>
      <c r="N456" s="8"/>
      <c r="O456" s="8"/>
      <c r="P456" s="8"/>
      <c r="Q456" s="11"/>
      <c r="R456" s="11"/>
      <c r="S456" s="8">
        <v>5.26</v>
      </c>
      <c r="T456" s="8"/>
      <c r="U456" s="8"/>
      <c r="V456" s="8"/>
      <c r="W456" s="8"/>
      <c r="X456" s="8">
        <v>13.4</v>
      </c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11"/>
      <c r="AQ456" s="8"/>
      <c r="AR456" s="8"/>
      <c r="AS456" s="8"/>
      <c r="AT456" s="8">
        <v>595.66999999999996</v>
      </c>
      <c r="AU456" s="8"/>
      <c r="AV456" s="8"/>
      <c r="AW456" s="8"/>
      <c r="AX456" s="8"/>
      <c r="AY456" s="8"/>
      <c r="AZ456" s="8"/>
      <c r="BA456" s="8">
        <v>5.9</v>
      </c>
      <c r="BB456" s="8"/>
      <c r="BC456" s="8"/>
      <c r="BD456" s="8"/>
      <c r="BE456" s="8"/>
      <c r="BF456" s="8"/>
      <c r="BG456" s="8">
        <v>44.03</v>
      </c>
      <c r="BH456" s="9">
        <f t="shared" si="63"/>
        <v>1313.45</v>
      </c>
      <c r="BI456" s="9">
        <f t="shared" si="64"/>
        <v>4.3600000000000003</v>
      </c>
      <c r="BJ456" s="9">
        <f t="shared" si="65"/>
        <v>5.26</v>
      </c>
      <c r="BK456" s="9">
        <f t="shared" si="66"/>
        <v>13.4</v>
      </c>
      <c r="BL456" s="9">
        <f t="shared" si="67"/>
        <v>0</v>
      </c>
      <c r="BM456" s="9">
        <f t="shared" si="68"/>
        <v>0</v>
      </c>
      <c r="BN456" s="9">
        <f t="shared" si="69"/>
        <v>595.66999999999996</v>
      </c>
      <c r="BO456" s="9">
        <f t="shared" si="70"/>
        <v>5.9</v>
      </c>
      <c r="BP456" s="9">
        <f t="shared" si="71"/>
        <v>0</v>
      </c>
    </row>
    <row r="457" spans="1:68">
      <c r="A457" s="6">
        <v>44643</v>
      </c>
      <c r="B457" s="7">
        <v>3405</v>
      </c>
      <c r="C457" s="8">
        <v>1006.67</v>
      </c>
      <c r="D457" s="8">
        <v>251.91</v>
      </c>
      <c r="E457" s="8"/>
      <c r="F457" s="8"/>
      <c r="G457" s="8"/>
      <c r="H457" s="8"/>
      <c r="I457" s="8"/>
      <c r="J457" s="8"/>
      <c r="K457" s="8"/>
      <c r="L457" s="8"/>
      <c r="M457" s="8">
        <v>3.15</v>
      </c>
      <c r="N457" s="8"/>
      <c r="O457" s="8"/>
      <c r="P457" s="8"/>
      <c r="Q457" s="11"/>
      <c r="R457" s="11"/>
      <c r="S457" s="8">
        <v>2.91</v>
      </c>
      <c r="T457" s="8"/>
      <c r="U457" s="8"/>
      <c r="V457" s="8"/>
      <c r="W457" s="8"/>
      <c r="X457" s="8">
        <v>15.36</v>
      </c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11"/>
      <c r="AQ457" s="8"/>
      <c r="AR457" s="8"/>
      <c r="AS457" s="8"/>
      <c r="AT457" s="8">
        <v>636.59</v>
      </c>
      <c r="AU457" s="8"/>
      <c r="AV457" s="8"/>
      <c r="AW457" s="8"/>
      <c r="AX457" s="8"/>
      <c r="AY457" s="8"/>
      <c r="AZ457" s="8"/>
      <c r="BA457" s="8">
        <v>5.64</v>
      </c>
      <c r="BB457" s="8"/>
      <c r="BC457" s="8"/>
      <c r="BD457" s="8"/>
      <c r="BE457" s="8"/>
      <c r="BF457" s="8"/>
      <c r="BG457" s="8">
        <v>42.85</v>
      </c>
      <c r="BH457" s="9">
        <f t="shared" si="63"/>
        <v>1258.58</v>
      </c>
      <c r="BI457" s="9">
        <f t="shared" si="64"/>
        <v>3.15</v>
      </c>
      <c r="BJ457" s="9">
        <f t="shared" si="65"/>
        <v>2.91</v>
      </c>
      <c r="BK457" s="9">
        <f t="shared" si="66"/>
        <v>15.36</v>
      </c>
      <c r="BL457" s="9">
        <f t="shared" si="67"/>
        <v>0</v>
      </c>
      <c r="BM457" s="9">
        <f t="shared" si="68"/>
        <v>0</v>
      </c>
      <c r="BN457" s="9">
        <f t="shared" si="69"/>
        <v>636.59</v>
      </c>
      <c r="BO457" s="9">
        <f t="shared" si="70"/>
        <v>5.64</v>
      </c>
      <c r="BP457" s="9">
        <f t="shared" si="71"/>
        <v>0</v>
      </c>
    </row>
    <row r="458" spans="1:68">
      <c r="A458" s="6">
        <v>44643</v>
      </c>
      <c r="B458" s="7">
        <v>3408</v>
      </c>
      <c r="C458" s="8">
        <v>1781.61</v>
      </c>
      <c r="D458" s="8"/>
      <c r="E458" s="8"/>
      <c r="F458" s="8"/>
      <c r="G458" s="8"/>
      <c r="H458" s="8"/>
      <c r="I458" s="8"/>
      <c r="J458" s="8"/>
      <c r="K458" s="8"/>
      <c r="L458" s="8"/>
      <c r="M458" s="8">
        <v>4.79</v>
      </c>
      <c r="N458" s="8"/>
      <c r="O458" s="8"/>
      <c r="P458" s="8"/>
      <c r="Q458" s="11"/>
      <c r="R458" s="11"/>
      <c r="S458" s="8">
        <v>4.46</v>
      </c>
      <c r="T458" s="8">
        <v>17.84</v>
      </c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11"/>
      <c r="AQ458" s="8"/>
      <c r="AR458" s="8"/>
      <c r="AS458" s="8"/>
      <c r="AT458" s="8">
        <v>912.55</v>
      </c>
      <c r="AU458" s="8"/>
      <c r="AV458" s="8"/>
      <c r="AW458" s="8"/>
      <c r="AX458" s="8"/>
      <c r="AY458" s="8"/>
      <c r="AZ458" s="8"/>
      <c r="BA458" s="8">
        <v>8.02</v>
      </c>
      <c r="BB458" s="8"/>
      <c r="BC458" s="8"/>
      <c r="BD458" s="8"/>
      <c r="BE458" s="8"/>
      <c r="BF458" s="8"/>
      <c r="BG458" s="8">
        <v>62.48</v>
      </c>
      <c r="BH458" s="9">
        <f t="shared" si="63"/>
        <v>1781.61</v>
      </c>
      <c r="BI458" s="9">
        <f t="shared" si="64"/>
        <v>4.79</v>
      </c>
      <c r="BJ458" s="9">
        <f t="shared" si="65"/>
        <v>4.46</v>
      </c>
      <c r="BK458" s="9">
        <f t="shared" si="66"/>
        <v>17.84</v>
      </c>
      <c r="BL458" s="9">
        <f t="shared" si="67"/>
        <v>0</v>
      </c>
      <c r="BM458" s="9">
        <f t="shared" si="68"/>
        <v>0</v>
      </c>
      <c r="BN458" s="9">
        <f t="shared" si="69"/>
        <v>912.55</v>
      </c>
      <c r="BO458" s="9">
        <f t="shared" si="70"/>
        <v>8.02</v>
      </c>
      <c r="BP458" s="9">
        <f t="shared" si="71"/>
        <v>0</v>
      </c>
    </row>
    <row r="459" spans="1:68">
      <c r="A459" s="6">
        <v>44643</v>
      </c>
      <c r="B459" s="7">
        <v>3141</v>
      </c>
      <c r="C459" s="8">
        <v>3631.35</v>
      </c>
      <c r="D459" s="8">
        <v>640.96</v>
      </c>
      <c r="E459" s="8"/>
      <c r="F459" s="8"/>
      <c r="G459" s="8"/>
      <c r="H459" s="8"/>
      <c r="I459" s="8"/>
      <c r="J459" s="8"/>
      <c r="K459" s="8"/>
      <c r="L459" s="8"/>
      <c r="M459" s="8"/>
      <c r="N459" s="8">
        <v>11.55</v>
      </c>
      <c r="O459" s="8"/>
      <c r="P459" s="8"/>
      <c r="Q459" s="11"/>
      <c r="R459" s="11"/>
      <c r="S459" s="8">
        <v>20.11</v>
      </c>
      <c r="T459" s="8">
        <v>32.08</v>
      </c>
      <c r="U459" s="8">
        <v>32.07</v>
      </c>
      <c r="V459" s="8"/>
      <c r="W459" s="8"/>
      <c r="X459" s="8"/>
      <c r="Y459" s="8"/>
      <c r="Z459" s="8"/>
      <c r="AA459" s="8"/>
      <c r="AB459" s="8"/>
      <c r="AC459" s="8">
        <v>17.100000000000001</v>
      </c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11"/>
      <c r="AQ459" s="8"/>
      <c r="AR459" s="8"/>
      <c r="AS459" s="8"/>
      <c r="AT459" s="8">
        <v>2840.44</v>
      </c>
      <c r="AU459" s="8"/>
      <c r="AV459" s="8"/>
      <c r="AW459" s="8"/>
      <c r="AX459" s="8"/>
      <c r="AY459" s="8"/>
      <c r="AZ459" s="8"/>
      <c r="BA459" s="8">
        <v>97.87</v>
      </c>
      <c r="BB459" s="8"/>
      <c r="BC459" s="8"/>
      <c r="BD459" s="8"/>
      <c r="BE459" s="8"/>
      <c r="BF459" s="8">
        <v>299.19</v>
      </c>
      <c r="BG459" s="8">
        <v>222.59</v>
      </c>
      <c r="BH459" s="9">
        <f t="shared" si="63"/>
        <v>4272.3099999999995</v>
      </c>
      <c r="BI459" s="9">
        <f t="shared" si="64"/>
        <v>11.55</v>
      </c>
      <c r="BJ459" s="9">
        <f t="shared" si="65"/>
        <v>20.11</v>
      </c>
      <c r="BK459" s="9">
        <f t="shared" si="66"/>
        <v>64.150000000000006</v>
      </c>
      <c r="BL459" s="9">
        <f t="shared" si="67"/>
        <v>0</v>
      </c>
      <c r="BM459" s="9">
        <f t="shared" si="68"/>
        <v>17.100000000000001</v>
      </c>
      <c r="BN459" s="9">
        <f t="shared" si="69"/>
        <v>2840.44</v>
      </c>
      <c r="BO459" s="9">
        <f t="shared" si="70"/>
        <v>97.87</v>
      </c>
      <c r="BP459" s="9">
        <f t="shared" si="71"/>
        <v>299.19</v>
      </c>
    </row>
    <row r="460" spans="1:68">
      <c r="A460" s="6">
        <v>44643</v>
      </c>
      <c r="B460" s="7">
        <v>3102</v>
      </c>
      <c r="C460" s="8">
        <v>258.8</v>
      </c>
      <c r="D460" s="8"/>
      <c r="E460" s="8"/>
      <c r="F460" s="8"/>
      <c r="G460" s="8"/>
      <c r="H460" s="8"/>
      <c r="I460" s="8"/>
      <c r="J460" s="8"/>
      <c r="K460" s="8"/>
      <c r="L460" s="8"/>
      <c r="M460" s="8">
        <v>0.72</v>
      </c>
      <c r="N460" s="8"/>
      <c r="O460" s="8"/>
      <c r="P460" s="8"/>
      <c r="Q460" s="11"/>
      <c r="R460" s="11"/>
      <c r="S460" s="8">
        <v>1.17</v>
      </c>
      <c r="T460" s="8">
        <v>1.56</v>
      </c>
      <c r="U460" s="8">
        <v>1.56</v>
      </c>
      <c r="V460" s="8"/>
      <c r="W460" s="8"/>
      <c r="X460" s="8"/>
      <c r="Y460" s="8"/>
      <c r="Z460" s="8"/>
      <c r="AA460" s="8"/>
      <c r="AB460" s="8"/>
      <c r="AC460" s="8">
        <v>1.04</v>
      </c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11"/>
      <c r="AQ460" s="8"/>
      <c r="AR460" s="8"/>
      <c r="AS460" s="8"/>
      <c r="AT460" s="8">
        <v>172.77</v>
      </c>
      <c r="AU460" s="8"/>
      <c r="AV460" s="8"/>
      <c r="AW460" s="8"/>
      <c r="AX460" s="8"/>
      <c r="AY460" s="8"/>
      <c r="AZ460" s="8"/>
      <c r="BA460" s="8">
        <v>5.94</v>
      </c>
      <c r="BB460" s="8"/>
      <c r="BC460" s="8"/>
      <c r="BD460" s="8"/>
      <c r="BE460" s="8"/>
      <c r="BF460" s="8">
        <v>18.12</v>
      </c>
      <c r="BG460" s="8">
        <v>12.81</v>
      </c>
      <c r="BH460" s="9">
        <f t="shared" si="63"/>
        <v>258.8</v>
      </c>
      <c r="BI460" s="9">
        <f t="shared" si="64"/>
        <v>0.72</v>
      </c>
      <c r="BJ460" s="9">
        <f t="shared" si="65"/>
        <v>1.17</v>
      </c>
      <c r="BK460" s="9">
        <f t="shared" si="66"/>
        <v>3.12</v>
      </c>
      <c r="BL460" s="9">
        <f t="shared" si="67"/>
        <v>0</v>
      </c>
      <c r="BM460" s="9">
        <f t="shared" si="68"/>
        <v>1.04</v>
      </c>
      <c r="BN460" s="9">
        <f t="shared" si="69"/>
        <v>172.77</v>
      </c>
      <c r="BO460" s="9">
        <f t="shared" si="70"/>
        <v>5.94</v>
      </c>
      <c r="BP460" s="9">
        <f t="shared" si="71"/>
        <v>18.12</v>
      </c>
    </row>
    <row r="461" spans="1:68">
      <c r="A461" s="6">
        <v>44643</v>
      </c>
      <c r="B461" s="7">
        <v>3204</v>
      </c>
      <c r="C461" s="8"/>
      <c r="D461" s="8">
        <v>1735.71</v>
      </c>
      <c r="E461" s="8">
        <v>742.56</v>
      </c>
      <c r="F461" s="8"/>
      <c r="G461" s="8"/>
      <c r="H461" s="8"/>
      <c r="I461" s="8"/>
      <c r="J461" s="8"/>
      <c r="K461" s="8"/>
      <c r="L461" s="8"/>
      <c r="M461" s="8"/>
      <c r="N461" s="8"/>
      <c r="O461" s="8">
        <v>12.36</v>
      </c>
      <c r="P461" s="8"/>
      <c r="Q461" s="11"/>
      <c r="R461" s="11"/>
      <c r="S461" s="8">
        <v>8.43</v>
      </c>
      <c r="T461" s="8">
        <v>12.42</v>
      </c>
      <c r="U461" s="8">
        <v>8.43</v>
      </c>
      <c r="V461" s="8"/>
      <c r="W461" s="8"/>
      <c r="X461" s="8"/>
      <c r="Y461" s="8"/>
      <c r="Z461" s="8">
        <v>372.53</v>
      </c>
      <c r="AA461" s="8"/>
      <c r="AB461" s="8">
        <v>12.62</v>
      </c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11"/>
      <c r="AQ461" s="8"/>
      <c r="AR461" s="8"/>
      <c r="AS461" s="8"/>
      <c r="AT461" s="8">
        <v>1093.0899999999999</v>
      </c>
      <c r="AU461" s="8"/>
      <c r="AV461" s="8"/>
      <c r="AW461" s="8">
        <v>7.92</v>
      </c>
      <c r="AX461" s="8"/>
      <c r="AY461" s="8"/>
      <c r="AZ461" s="8"/>
      <c r="BA461" s="8"/>
      <c r="BB461" s="8"/>
      <c r="BC461" s="8"/>
      <c r="BD461" s="8"/>
      <c r="BE461" s="8"/>
      <c r="BF461" s="8"/>
      <c r="BG461" s="8">
        <v>80.680000000000007</v>
      </c>
      <c r="BH461" s="9">
        <f t="shared" si="63"/>
        <v>2478.27</v>
      </c>
      <c r="BI461" s="9">
        <f t="shared" si="64"/>
        <v>12.36</v>
      </c>
      <c r="BJ461" s="9">
        <f t="shared" si="65"/>
        <v>8.43</v>
      </c>
      <c r="BK461" s="9">
        <f t="shared" si="66"/>
        <v>20.85</v>
      </c>
      <c r="BL461" s="9">
        <f t="shared" si="67"/>
        <v>372.53</v>
      </c>
      <c r="BM461" s="9">
        <f t="shared" si="68"/>
        <v>12.62</v>
      </c>
      <c r="BN461" s="9">
        <f t="shared" si="69"/>
        <v>1093.0899999999999</v>
      </c>
      <c r="BO461" s="9">
        <f t="shared" si="70"/>
        <v>7.92</v>
      </c>
      <c r="BP461" s="9">
        <f t="shared" si="71"/>
        <v>0</v>
      </c>
    </row>
    <row r="462" spans="1:68">
      <c r="A462" s="6">
        <v>44644</v>
      </c>
      <c r="B462" s="7">
        <v>3206</v>
      </c>
      <c r="C462" s="8">
        <v>178.03</v>
      </c>
      <c r="D462" s="8">
        <v>325.58</v>
      </c>
      <c r="E462" s="8">
        <v>215.88</v>
      </c>
      <c r="F462" s="8"/>
      <c r="G462" s="8"/>
      <c r="H462" s="8"/>
      <c r="I462" s="8"/>
      <c r="J462" s="8"/>
      <c r="K462" s="8"/>
      <c r="L462" s="8"/>
      <c r="M462" s="8"/>
      <c r="N462" s="8"/>
      <c r="O462" s="8">
        <v>1.46</v>
      </c>
      <c r="P462" s="8"/>
      <c r="Q462" s="11"/>
      <c r="R462" s="11"/>
      <c r="S462" s="8">
        <v>3.62</v>
      </c>
      <c r="T462" s="8"/>
      <c r="U462" s="8">
        <v>2.5499999999999998</v>
      </c>
      <c r="V462" s="8"/>
      <c r="W462" s="8"/>
      <c r="X462" s="8"/>
      <c r="Y462" s="8"/>
      <c r="Z462" s="8">
        <v>43.54</v>
      </c>
      <c r="AA462" s="8"/>
      <c r="AB462" s="8">
        <v>3.68</v>
      </c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11"/>
      <c r="AQ462" s="8"/>
      <c r="AR462" s="8"/>
      <c r="AS462" s="8"/>
      <c r="AT462" s="8">
        <v>127.14</v>
      </c>
      <c r="AU462" s="8">
        <v>63.4</v>
      </c>
      <c r="AV462" s="8"/>
      <c r="AW462" s="8">
        <v>2.76</v>
      </c>
      <c r="AX462" s="8"/>
      <c r="AY462" s="8"/>
      <c r="AZ462" s="8"/>
      <c r="BA462" s="8"/>
      <c r="BB462" s="8"/>
      <c r="BC462" s="8"/>
      <c r="BD462" s="8"/>
      <c r="BE462" s="8"/>
      <c r="BF462" s="8"/>
      <c r="BG462" s="8">
        <v>12.54</v>
      </c>
      <c r="BH462" s="9">
        <f t="shared" si="63"/>
        <v>719.49</v>
      </c>
      <c r="BI462" s="9">
        <f t="shared" si="64"/>
        <v>1.46</v>
      </c>
      <c r="BJ462" s="9">
        <f t="shared" si="65"/>
        <v>3.62</v>
      </c>
      <c r="BK462" s="9">
        <f t="shared" si="66"/>
        <v>2.5499999999999998</v>
      </c>
      <c r="BL462" s="9">
        <f t="shared" si="67"/>
        <v>43.54</v>
      </c>
      <c r="BM462" s="9">
        <f t="shared" si="68"/>
        <v>3.68</v>
      </c>
      <c r="BN462" s="9">
        <f t="shared" si="69"/>
        <v>190.54</v>
      </c>
      <c r="BO462" s="9">
        <f t="shared" si="70"/>
        <v>2.76</v>
      </c>
      <c r="BP462" s="9">
        <f t="shared" si="71"/>
        <v>0</v>
      </c>
    </row>
    <row r="463" spans="1:68">
      <c r="A463" s="6">
        <v>44644</v>
      </c>
      <c r="B463" s="7">
        <v>3602</v>
      </c>
      <c r="C463" s="8">
        <v>589.17999999999995</v>
      </c>
      <c r="D463" s="8"/>
      <c r="E463" s="8"/>
      <c r="F463" s="8"/>
      <c r="G463" s="8">
        <v>880.34</v>
      </c>
      <c r="H463" s="8"/>
      <c r="I463" s="8"/>
      <c r="J463" s="8"/>
      <c r="K463" s="8"/>
      <c r="L463" s="8"/>
      <c r="M463" s="8">
        <v>1.52</v>
      </c>
      <c r="N463" s="8"/>
      <c r="O463" s="8"/>
      <c r="P463" s="8"/>
      <c r="Q463" s="11"/>
      <c r="R463" s="11"/>
      <c r="S463" s="8">
        <v>7.9</v>
      </c>
      <c r="T463" s="8"/>
      <c r="U463" s="8">
        <v>4.71</v>
      </c>
      <c r="V463" s="8">
        <v>14.55</v>
      </c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11"/>
      <c r="AQ463" s="8"/>
      <c r="AR463" s="8"/>
      <c r="AS463" s="8"/>
      <c r="AT463" s="8">
        <v>611.45000000000005</v>
      </c>
      <c r="AU463" s="8"/>
      <c r="AV463" s="8"/>
      <c r="AW463" s="8">
        <v>38.07</v>
      </c>
      <c r="AX463" s="8"/>
      <c r="AY463" s="8"/>
      <c r="AZ463" s="8"/>
      <c r="BA463" s="8"/>
      <c r="BB463" s="8"/>
      <c r="BC463" s="8"/>
      <c r="BD463" s="8"/>
      <c r="BE463" s="8"/>
      <c r="BF463" s="8">
        <v>47.06</v>
      </c>
      <c r="BG463" s="8">
        <v>46.28</v>
      </c>
      <c r="BH463" s="9">
        <f t="shared" si="63"/>
        <v>1469.52</v>
      </c>
      <c r="BI463" s="9">
        <f t="shared" si="64"/>
        <v>1.52</v>
      </c>
      <c r="BJ463" s="9">
        <f t="shared" si="65"/>
        <v>7.9</v>
      </c>
      <c r="BK463" s="9">
        <f t="shared" si="66"/>
        <v>19.260000000000002</v>
      </c>
      <c r="BL463" s="9">
        <f t="shared" si="67"/>
        <v>0</v>
      </c>
      <c r="BM463" s="9">
        <f t="shared" si="68"/>
        <v>0</v>
      </c>
      <c r="BN463" s="9">
        <f t="shared" si="69"/>
        <v>611.45000000000005</v>
      </c>
      <c r="BO463" s="9">
        <f t="shared" si="70"/>
        <v>38.07</v>
      </c>
      <c r="BP463" s="9">
        <f t="shared" si="71"/>
        <v>47.06</v>
      </c>
    </row>
    <row r="464" spans="1:68">
      <c r="A464" s="6">
        <v>44644</v>
      </c>
      <c r="B464" s="7">
        <v>3601</v>
      </c>
      <c r="C464" s="8">
        <v>318.10000000000002</v>
      </c>
      <c r="D464" s="8"/>
      <c r="E464" s="8"/>
      <c r="F464" s="8"/>
      <c r="G464" s="8">
        <v>476.27</v>
      </c>
      <c r="H464" s="8"/>
      <c r="I464" s="8"/>
      <c r="J464" s="8"/>
      <c r="K464" s="8"/>
      <c r="L464" s="8"/>
      <c r="M464" s="8">
        <v>0.96</v>
      </c>
      <c r="N464" s="8"/>
      <c r="O464" s="8"/>
      <c r="P464" s="8"/>
      <c r="Q464" s="11"/>
      <c r="R464" s="11"/>
      <c r="S464" s="8">
        <v>4.24</v>
      </c>
      <c r="T464" s="8"/>
      <c r="U464" s="8">
        <v>4.78</v>
      </c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11"/>
      <c r="AQ464" s="8"/>
      <c r="AR464" s="8"/>
      <c r="AS464" s="8"/>
      <c r="AT464" s="8">
        <v>389.07</v>
      </c>
      <c r="AU464" s="8"/>
      <c r="AV464" s="8"/>
      <c r="AW464" s="8">
        <v>24.17</v>
      </c>
      <c r="AX464" s="8"/>
      <c r="AY464" s="8"/>
      <c r="AZ464" s="8"/>
      <c r="BA464" s="8"/>
      <c r="BB464" s="8"/>
      <c r="BC464" s="8"/>
      <c r="BD464" s="8"/>
      <c r="BE464" s="8"/>
      <c r="BF464" s="8">
        <v>44.43</v>
      </c>
      <c r="BG464" s="8">
        <v>29.44</v>
      </c>
      <c r="BH464" s="9">
        <f t="shared" si="63"/>
        <v>794.37</v>
      </c>
      <c r="BI464" s="9">
        <f t="shared" si="64"/>
        <v>0.96</v>
      </c>
      <c r="BJ464" s="9">
        <f t="shared" si="65"/>
        <v>4.24</v>
      </c>
      <c r="BK464" s="9">
        <f t="shared" si="66"/>
        <v>4.78</v>
      </c>
      <c r="BL464" s="9">
        <f t="shared" si="67"/>
        <v>0</v>
      </c>
      <c r="BM464" s="9">
        <f t="shared" si="68"/>
        <v>0</v>
      </c>
      <c r="BN464" s="9">
        <f t="shared" si="69"/>
        <v>389.07</v>
      </c>
      <c r="BO464" s="9">
        <f t="shared" si="70"/>
        <v>24.17</v>
      </c>
      <c r="BP464" s="9">
        <f t="shared" si="71"/>
        <v>44.43</v>
      </c>
    </row>
    <row r="465" spans="1:68">
      <c r="A465" s="6">
        <v>44644</v>
      </c>
      <c r="B465" s="7">
        <v>3007</v>
      </c>
      <c r="C465" s="8">
        <v>837.38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>
        <v>0.85</v>
      </c>
      <c r="O465" s="8"/>
      <c r="P465" s="8"/>
      <c r="Q465" s="11"/>
      <c r="R465" s="11"/>
      <c r="S465" s="8">
        <v>3.11</v>
      </c>
      <c r="T465" s="8">
        <v>8.41</v>
      </c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11"/>
      <c r="AQ465" s="8"/>
      <c r="AR465" s="8"/>
      <c r="AS465" s="8"/>
      <c r="AT465" s="8">
        <v>418.71</v>
      </c>
      <c r="AU465" s="8"/>
      <c r="AV465" s="8"/>
      <c r="AW465" s="8">
        <v>9.34</v>
      </c>
      <c r="AX465" s="8"/>
      <c r="AY465" s="8"/>
      <c r="AZ465" s="8"/>
      <c r="BA465" s="8"/>
      <c r="BB465" s="8"/>
      <c r="BC465" s="8"/>
      <c r="BD465" s="8"/>
      <c r="BE465" s="8"/>
      <c r="BF465" s="8"/>
      <c r="BG465" s="8">
        <v>30.65</v>
      </c>
      <c r="BH465" s="9">
        <f t="shared" si="63"/>
        <v>837.38</v>
      </c>
      <c r="BI465" s="9">
        <f t="shared" si="64"/>
        <v>0.85</v>
      </c>
      <c r="BJ465" s="9">
        <f t="shared" si="65"/>
        <v>3.11</v>
      </c>
      <c r="BK465" s="9">
        <f t="shared" si="66"/>
        <v>8.41</v>
      </c>
      <c r="BL465" s="9">
        <f t="shared" si="67"/>
        <v>0</v>
      </c>
      <c r="BM465" s="9">
        <f t="shared" si="68"/>
        <v>0</v>
      </c>
      <c r="BN465" s="9">
        <f t="shared" si="69"/>
        <v>418.71</v>
      </c>
      <c r="BO465" s="9">
        <f t="shared" si="70"/>
        <v>9.34</v>
      </c>
      <c r="BP465" s="9">
        <f t="shared" si="71"/>
        <v>0</v>
      </c>
    </row>
    <row r="466" spans="1:68">
      <c r="A466" s="6">
        <v>44644</v>
      </c>
      <c r="B466" s="7">
        <v>3100</v>
      </c>
      <c r="C466" s="8">
        <v>642.44000000000005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>
        <v>0.97</v>
      </c>
      <c r="O466" s="8"/>
      <c r="P466" s="8"/>
      <c r="Q466" s="11"/>
      <c r="R466" s="11"/>
      <c r="S466" s="8">
        <v>3.68</v>
      </c>
      <c r="T466" s="8"/>
      <c r="U466" s="8">
        <v>10.34</v>
      </c>
      <c r="V466" s="8"/>
      <c r="W466" s="8"/>
      <c r="X466" s="8"/>
      <c r="Y466" s="8"/>
      <c r="Z466" s="8"/>
      <c r="AA466" s="8"/>
      <c r="AB466" s="8"/>
      <c r="AC466" s="8">
        <v>2.58</v>
      </c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11"/>
      <c r="AQ466" s="8"/>
      <c r="AR466" s="8"/>
      <c r="AS466" s="8"/>
      <c r="AT466" s="8">
        <v>435.17</v>
      </c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>
        <v>83.88</v>
      </c>
      <c r="BG466" s="8">
        <v>33.19</v>
      </c>
      <c r="BH466" s="9">
        <f t="shared" si="63"/>
        <v>642.44000000000005</v>
      </c>
      <c r="BI466" s="9">
        <f t="shared" si="64"/>
        <v>0.97</v>
      </c>
      <c r="BJ466" s="9">
        <f t="shared" si="65"/>
        <v>3.68</v>
      </c>
      <c r="BK466" s="9">
        <f t="shared" si="66"/>
        <v>10.34</v>
      </c>
      <c r="BL466" s="9">
        <f t="shared" si="67"/>
        <v>0</v>
      </c>
      <c r="BM466" s="9">
        <f t="shared" si="68"/>
        <v>2.58</v>
      </c>
      <c r="BN466" s="9">
        <f t="shared" si="69"/>
        <v>435.17</v>
      </c>
      <c r="BO466" s="9">
        <f t="shared" si="70"/>
        <v>0</v>
      </c>
      <c r="BP466" s="9">
        <f t="shared" si="71"/>
        <v>83.88</v>
      </c>
    </row>
    <row r="467" spans="1:68">
      <c r="A467" s="6">
        <v>44644</v>
      </c>
      <c r="B467" s="7">
        <v>3013</v>
      </c>
      <c r="C467" s="8">
        <v>1051.55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>
        <v>2.1</v>
      </c>
      <c r="O467" s="8"/>
      <c r="P467" s="8"/>
      <c r="Q467" s="11"/>
      <c r="R467" s="11"/>
      <c r="S467" s="8">
        <v>2.42</v>
      </c>
      <c r="T467" s="8">
        <v>10.51</v>
      </c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11"/>
      <c r="AQ467" s="8"/>
      <c r="AR467" s="8"/>
      <c r="AS467" s="8"/>
      <c r="AT467" s="8">
        <v>363.42</v>
      </c>
      <c r="AU467" s="8"/>
      <c r="AV467" s="8"/>
      <c r="AW467" s="8">
        <v>11.68</v>
      </c>
      <c r="AX467" s="8"/>
      <c r="AY467" s="8"/>
      <c r="AZ467" s="8"/>
      <c r="BA467" s="8"/>
      <c r="BB467" s="8"/>
      <c r="BC467" s="8"/>
      <c r="BD467" s="8"/>
      <c r="BE467" s="8"/>
      <c r="BF467" s="8"/>
      <c r="BG467" s="8">
        <v>24.28</v>
      </c>
      <c r="BH467" s="9">
        <f t="shared" si="63"/>
        <v>1051.55</v>
      </c>
      <c r="BI467" s="9">
        <f t="shared" si="64"/>
        <v>2.1</v>
      </c>
      <c r="BJ467" s="9">
        <f t="shared" si="65"/>
        <v>2.42</v>
      </c>
      <c r="BK467" s="9">
        <f t="shared" si="66"/>
        <v>10.51</v>
      </c>
      <c r="BL467" s="9">
        <f t="shared" si="67"/>
        <v>0</v>
      </c>
      <c r="BM467" s="9">
        <f t="shared" si="68"/>
        <v>0</v>
      </c>
      <c r="BN467" s="9">
        <f t="shared" si="69"/>
        <v>363.42</v>
      </c>
      <c r="BO467" s="9">
        <f t="shared" si="70"/>
        <v>11.68</v>
      </c>
      <c r="BP467" s="9">
        <f t="shared" si="71"/>
        <v>0</v>
      </c>
    </row>
    <row r="468" spans="1:68">
      <c r="A468" s="6">
        <v>44644</v>
      </c>
      <c r="B468" s="7">
        <v>3029</v>
      </c>
      <c r="C468" s="8"/>
      <c r="D468" s="8">
        <v>469.54</v>
      </c>
      <c r="E468" s="8"/>
      <c r="F468" s="8">
        <v>332.11</v>
      </c>
      <c r="G468" s="8"/>
      <c r="H468" s="8"/>
      <c r="I468" s="8">
        <v>1962.33</v>
      </c>
      <c r="J468" s="8"/>
      <c r="K468" s="8"/>
      <c r="L468" s="8"/>
      <c r="M468" s="8"/>
      <c r="N468" s="8">
        <v>20.74</v>
      </c>
      <c r="O468" s="8"/>
      <c r="P468" s="8"/>
      <c r="Q468" s="11"/>
      <c r="R468" s="11"/>
      <c r="S468" s="8">
        <v>1.66</v>
      </c>
      <c r="T468" s="8"/>
      <c r="U468" s="8"/>
      <c r="V468" s="8"/>
      <c r="W468" s="8">
        <v>27.61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>
        <v>9.5299999999999994</v>
      </c>
      <c r="AN468" s="8">
        <v>13.73</v>
      </c>
      <c r="AO468" s="8"/>
      <c r="AP468" s="11"/>
      <c r="AQ468" s="8"/>
      <c r="AR468" s="8">
        <v>82.88</v>
      </c>
      <c r="AS468" s="8"/>
      <c r="AT468" s="8">
        <v>1050.6199999999999</v>
      </c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>
        <v>73.180000000000007</v>
      </c>
      <c r="BH468" s="9">
        <f t="shared" si="63"/>
        <v>2763.98</v>
      </c>
      <c r="BI468" s="9">
        <f t="shared" si="64"/>
        <v>20.74</v>
      </c>
      <c r="BJ468" s="9">
        <f t="shared" si="65"/>
        <v>1.66</v>
      </c>
      <c r="BK468" s="9">
        <f t="shared" si="66"/>
        <v>27.61</v>
      </c>
      <c r="BL468" s="9">
        <f t="shared" si="67"/>
        <v>0</v>
      </c>
      <c r="BM468" s="9">
        <f t="shared" si="68"/>
        <v>106.13999999999999</v>
      </c>
      <c r="BN468" s="9">
        <f t="shared" si="69"/>
        <v>1050.6199999999999</v>
      </c>
      <c r="BO468" s="9">
        <f t="shared" si="70"/>
        <v>0</v>
      </c>
      <c r="BP468" s="9">
        <f t="shared" si="71"/>
        <v>0</v>
      </c>
    </row>
    <row r="469" spans="1:68">
      <c r="A469" s="6">
        <v>44644</v>
      </c>
      <c r="B469" s="7">
        <v>3134</v>
      </c>
      <c r="C469" s="8">
        <v>1048.6400000000001</v>
      </c>
      <c r="D469" s="8">
        <v>147.4</v>
      </c>
      <c r="E469" s="8"/>
      <c r="F469" s="8"/>
      <c r="G469" s="8"/>
      <c r="H469" s="8">
        <v>493.61</v>
      </c>
      <c r="I469" s="8"/>
      <c r="J469" s="8"/>
      <c r="K469" s="8"/>
      <c r="L469" s="8"/>
      <c r="M469" s="8"/>
      <c r="N469" s="8">
        <v>3.24</v>
      </c>
      <c r="O469" s="8"/>
      <c r="P469" s="8"/>
      <c r="Q469" s="11"/>
      <c r="R469" s="11"/>
      <c r="S469" s="8">
        <v>6.8</v>
      </c>
      <c r="T469" s="8">
        <v>10.36</v>
      </c>
      <c r="U469" s="8">
        <v>8.8699999999999992</v>
      </c>
      <c r="V469" s="8"/>
      <c r="W469" s="8"/>
      <c r="X469" s="8"/>
      <c r="Y469" s="8"/>
      <c r="Z469" s="8"/>
      <c r="AA469" s="8"/>
      <c r="AB469" s="8"/>
      <c r="AC469" s="8">
        <v>5.91</v>
      </c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11"/>
      <c r="AQ469" s="8"/>
      <c r="AR469" s="8"/>
      <c r="AS469" s="8"/>
      <c r="AT469" s="8">
        <v>1040.9000000000001</v>
      </c>
      <c r="AU469" s="8"/>
      <c r="AV469" s="8"/>
      <c r="AW469" s="8"/>
      <c r="AX469" s="8"/>
      <c r="AY469" s="8">
        <v>15</v>
      </c>
      <c r="AZ469" s="8"/>
      <c r="BA469" s="8"/>
      <c r="BB469" s="8"/>
      <c r="BC469" s="8"/>
      <c r="BD469" s="8"/>
      <c r="BE469" s="8"/>
      <c r="BF469" s="8">
        <v>66.430000000000007</v>
      </c>
      <c r="BG469" s="8">
        <v>78.25</v>
      </c>
      <c r="BH469" s="9">
        <f t="shared" si="63"/>
        <v>1689.65</v>
      </c>
      <c r="BI469" s="9">
        <f t="shared" si="64"/>
        <v>3.24</v>
      </c>
      <c r="BJ469" s="9">
        <f t="shared" si="65"/>
        <v>6.8</v>
      </c>
      <c r="BK469" s="9">
        <f t="shared" si="66"/>
        <v>19.229999999999997</v>
      </c>
      <c r="BL469" s="9">
        <f t="shared" si="67"/>
        <v>0</v>
      </c>
      <c r="BM469" s="9">
        <f t="shared" si="68"/>
        <v>5.91</v>
      </c>
      <c r="BN469" s="9">
        <f t="shared" si="69"/>
        <v>1040.9000000000001</v>
      </c>
      <c r="BO469" s="9">
        <f t="shared" si="70"/>
        <v>15</v>
      </c>
      <c r="BP469" s="9">
        <f t="shared" si="71"/>
        <v>66.430000000000007</v>
      </c>
    </row>
    <row r="470" spans="1:68">
      <c r="A470" s="6">
        <v>44645</v>
      </c>
      <c r="B470" s="7">
        <v>3083</v>
      </c>
      <c r="C470" s="8"/>
      <c r="D470" s="8">
        <v>745.46</v>
      </c>
      <c r="E470" s="8"/>
      <c r="F470" s="8"/>
      <c r="G470" s="8"/>
      <c r="H470" s="8"/>
      <c r="I470" s="8">
        <v>1737.27</v>
      </c>
      <c r="J470" s="8"/>
      <c r="K470" s="8"/>
      <c r="L470" s="8"/>
      <c r="M470" s="8"/>
      <c r="N470" s="8">
        <v>17.13</v>
      </c>
      <c r="O470" s="8"/>
      <c r="P470" s="8"/>
      <c r="Q470" s="11"/>
      <c r="R470" s="11"/>
      <c r="S470" s="8">
        <v>1.73</v>
      </c>
      <c r="T470" s="8">
        <v>19.850000000000001</v>
      </c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>
        <v>10.1</v>
      </c>
      <c r="AN470" s="8">
        <v>35.33</v>
      </c>
      <c r="AO470" s="8"/>
      <c r="AP470" s="11"/>
      <c r="AQ470" s="8"/>
      <c r="AR470" s="8">
        <v>61.31</v>
      </c>
      <c r="AS470" s="8"/>
      <c r="AT470" s="8">
        <v>1128.0999999999999</v>
      </c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>
        <v>88.76</v>
      </c>
      <c r="BH470" s="9">
        <f t="shared" si="63"/>
        <v>2482.73</v>
      </c>
      <c r="BI470" s="9">
        <f t="shared" si="64"/>
        <v>17.13</v>
      </c>
      <c r="BJ470" s="9">
        <f t="shared" si="65"/>
        <v>1.73</v>
      </c>
      <c r="BK470" s="9">
        <f t="shared" si="66"/>
        <v>19.850000000000001</v>
      </c>
      <c r="BL470" s="9">
        <f t="shared" si="67"/>
        <v>0</v>
      </c>
      <c r="BM470" s="9">
        <f t="shared" si="68"/>
        <v>106.74000000000001</v>
      </c>
      <c r="BN470" s="9">
        <f t="shared" si="69"/>
        <v>1128.0999999999999</v>
      </c>
      <c r="BO470" s="9">
        <f t="shared" si="70"/>
        <v>0</v>
      </c>
      <c r="BP470" s="9">
        <f t="shared" si="71"/>
        <v>0</v>
      </c>
    </row>
    <row r="471" spans="1:68">
      <c r="A471" s="6">
        <v>44645</v>
      </c>
      <c r="B471" s="7">
        <v>3106</v>
      </c>
      <c r="C471" s="8">
        <v>4173.5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>
        <v>10.84</v>
      </c>
      <c r="O471" s="8"/>
      <c r="P471" s="8"/>
      <c r="Q471" s="11"/>
      <c r="R471" s="11"/>
      <c r="S471" s="8">
        <v>12.65</v>
      </c>
      <c r="T471" s="8">
        <v>53</v>
      </c>
      <c r="U471" s="8"/>
      <c r="V471" s="8"/>
      <c r="W471" s="8"/>
      <c r="X471" s="8"/>
      <c r="Y471" s="8"/>
      <c r="Z471" s="8"/>
      <c r="AA471" s="8"/>
      <c r="AB471" s="8"/>
      <c r="AC471" s="8">
        <v>16.71</v>
      </c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11"/>
      <c r="AQ471" s="8"/>
      <c r="AR471" s="8"/>
      <c r="AS471" s="8"/>
      <c r="AT471" s="8">
        <v>2391.4</v>
      </c>
      <c r="AU471" s="8"/>
      <c r="AV471" s="8"/>
      <c r="AW471" s="8"/>
      <c r="AX471" s="8">
        <v>5.23</v>
      </c>
      <c r="AY471" s="8"/>
      <c r="AZ471" s="8"/>
      <c r="BA471" s="8"/>
      <c r="BB471" s="8"/>
      <c r="BC471" s="8"/>
      <c r="BD471" s="8"/>
      <c r="BE471" s="8"/>
      <c r="BF471" s="8"/>
      <c r="BG471" s="8">
        <v>180.15</v>
      </c>
      <c r="BH471" s="9">
        <f t="shared" si="63"/>
        <v>4173.5</v>
      </c>
      <c r="BI471" s="9">
        <f t="shared" si="64"/>
        <v>10.84</v>
      </c>
      <c r="BJ471" s="9">
        <f t="shared" si="65"/>
        <v>12.65</v>
      </c>
      <c r="BK471" s="9">
        <f t="shared" si="66"/>
        <v>53</v>
      </c>
      <c r="BL471" s="9">
        <f t="shared" si="67"/>
        <v>0</v>
      </c>
      <c r="BM471" s="9">
        <f t="shared" si="68"/>
        <v>16.71</v>
      </c>
      <c r="BN471" s="9">
        <f t="shared" si="69"/>
        <v>2391.4</v>
      </c>
      <c r="BO471" s="9">
        <f t="shared" si="70"/>
        <v>5.23</v>
      </c>
      <c r="BP471" s="9">
        <f t="shared" si="71"/>
        <v>0</v>
      </c>
    </row>
    <row r="472" spans="1:68">
      <c r="A472" s="6">
        <v>44645</v>
      </c>
      <c r="B472" s="7">
        <v>3141</v>
      </c>
      <c r="C472" s="8">
        <v>2412.31</v>
      </c>
      <c r="D472" s="8">
        <v>426.13</v>
      </c>
      <c r="E472" s="8"/>
      <c r="F472" s="8"/>
      <c r="G472" s="8"/>
      <c r="H472" s="8"/>
      <c r="I472" s="8"/>
      <c r="J472" s="8"/>
      <c r="K472" s="8"/>
      <c r="L472" s="8"/>
      <c r="M472" s="8"/>
      <c r="N472" s="8">
        <v>7.58</v>
      </c>
      <c r="O472" s="8"/>
      <c r="P472" s="8"/>
      <c r="Q472" s="11"/>
      <c r="R472" s="11"/>
      <c r="S472" s="8">
        <v>13.38</v>
      </c>
      <c r="T472" s="8">
        <v>21.35</v>
      </c>
      <c r="U472" s="8">
        <v>21.35</v>
      </c>
      <c r="V472" s="8"/>
      <c r="W472" s="8"/>
      <c r="X472" s="8"/>
      <c r="Y472" s="8"/>
      <c r="Z472" s="8"/>
      <c r="AA472" s="8"/>
      <c r="AB472" s="8"/>
      <c r="AC472" s="8">
        <v>11.38</v>
      </c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11"/>
      <c r="AQ472" s="8"/>
      <c r="AR472" s="8"/>
      <c r="AS472" s="8"/>
      <c r="AT472" s="8">
        <v>1889.44</v>
      </c>
      <c r="AU472" s="8"/>
      <c r="AV472" s="8"/>
      <c r="AW472" s="8"/>
      <c r="AX472" s="8"/>
      <c r="AY472" s="8"/>
      <c r="AZ472" s="8"/>
      <c r="BA472" s="8">
        <v>65.19</v>
      </c>
      <c r="BB472" s="8"/>
      <c r="BC472" s="8"/>
      <c r="BD472" s="8"/>
      <c r="BE472" s="8"/>
      <c r="BF472" s="8">
        <v>199.18</v>
      </c>
      <c r="BG472" s="8">
        <v>147.85</v>
      </c>
      <c r="BH472" s="9">
        <f t="shared" si="63"/>
        <v>2838.44</v>
      </c>
      <c r="BI472" s="9">
        <f t="shared" si="64"/>
        <v>7.58</v>
      </c>
      <c r="BJ472" s="9">
        <f t="shared" si="65"/>
        <v>13.38</v>
      </c>
      <c r="BK472" s="9">
        <f t="shared" si="66"/>
        <v>42.7</v>
      </c>
      <c r="BL472" s="9">
        <f t="shared" si="67"/>
        <v>0</v>
      </c>
      <c r="BM472" s="9">
        <f t="shared" si="68"/>
        <v>11.38</v>
      </c>
      <c r="BN472" s="9">
        <f t="shared" si="69"/>
        <v>1889.44</v>
      </c>
      <c r="BO472" s="9">
        <f t="shared" si="70"/>
        <v>65.19</v>
      </c>
      <c r="BP472" s="9">
        <f t="shared" si="71"/>
        <v>199.18</v>
      </c>
    </row>
    <row r="473" spans="1:68">
      <c r="A473" s="6">
        <v>44645</v>
      </c>
      <c r="B473" s="7">
        <v>3136</v>
      </c>
      <c r="C473" s="8">
        <v>1253.02</v>
      </c>
      <c r="D473" s="8"/>
      <c r="E473" s="8"/>
      <c r="F473" s="8"/>
      <c r="G473" s="8"/>
      <c r="H473" s="8">
        <v>520.4</v>
      </c>
      <c r="I473" s="8"/>
      <c r="J473" s="8"/>
      <c r="K473" s="8"/>
      <c r="L473" s="8"/>
      <c r="M473" s="8"/>
      <c r="N473" s="8">
        <v>2.31</v>
      </c>
      <c r="O473" s="8"/>
      <c r="P473" s="8"/>
      <c r="Q473" s="11"/>
      <c r="R473" s="11"/>
      <c r="S473" s="8">
        <v>7.72</v>
      </c>
      <c r="T473" s="8">
        <v>10.81</v>
      </c>
      <c r="U473" s="8">
        <v>9.25</v>
      </c>
      <c r="V473" s="8"/>
      <c r="W473" s="8"/>
      <c r="X473" s="8"/>
      <c r="Y473" s="8"/>
      <c r="Z473" s="8"/>
      <c r="AA473" s="8"/>
      <c r="AB473" s="8"/>
      <c r="AC473" s="8">
        <v>6.17</v>
      </c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11"/>
      <c r="AQ473" s="8"/>
      <c r="AR473" s="8"/>
      <c r="AS473" s="8"/>
      <c r="AT473" s="8">
        <v>1001.91</v>
      </c>
      <c r="AU473" s="8"/>
      <c r="AV473" s="8"/>
      <c r="AW473" s="8"/>
      <c r="AX473" s="8"/>
      <c r="AY473" s="8"/>
      <c r="AZ473" s="8"/>
      <c r="BA473" s="8">
        <v>15.26</v>
      </c>
      <c r="BB473" s="8"/>
      <c r="BC473" s="8"/>
      <c r="BD473" s="8"/>
      <c r="BE473" s="8"/>
      <c r="BF473" s="8">
        <v>61.68</v>
      </c>
      <c r="BG473" s="8">
        <v>75.75</v>
      </c>
      <c r="BH473" s="9">
        <f t="shared" si="63"/>
        <v>1773.42</v>
      </c>
      <c r="BI473" s="9">
        <f t="shared" si="64"/>
        <v>2.31</v>
      </c>
      <c r="BJ473" s="9">
        <f t="shared" si="65"/>
        <v>7.72</v>
      </c>
      <c r="BK473" s="9">
        <f t="shared" si="66"/>
        <v>20.060000000000002</v>
      </c>
      <c r="BL473" s="9">
        <f t="shared" si="67"/>
        <v>0</v>
      </c>
      <c r="BM473" s="9">
        <f t="shared" si="68"/>
        <v>6.17</v>
      </c>
      <c r="BN473" s="9">
        <f t="shared" si="69"/>
        <v>1001.91</v>
      </c>
      <c r="BO473" s="9">
        <f t="shared" si="70"/>
        <v>15.26</v>
      </c>
      <c r="BP473" s="9">
        <f t="shared" si="71"/>
        <v>61.68</v>
      </c>
    </row>
    <row r="474" spans="1:68">
      <c r="A474" s="6">
        <v>44645</v>
      </c>
      <c r="B474" s="7">
        <v>3134</v>
      </c>
      <c r="C474" s="8">
        <v>1053.31</v>
      </c>
      <c r="D474" s="8">
        <v>148.4</v>
      </c>
      <c r="E474" s="8"/>
      <c r="F474" s="8"/>
      <c r="G474" s="8"/>
      <c r="H474" s="8">
        <v>496.54</v>
      </c>
      <c r="I474" s="8"/>
      <c r="J474" s="8"/>
      <c r="K474" s="8"/>
      <c r="L474" s="8"/>
      <c r="M474" s="8"/>
      <c r="N474" s="8">
        <v>3.25</v>
      </c>
      <c r="O474" s="8"/>
      <c r="P474" s="8"/>
      <c r="Q474" s="11"/>
      <c r="R474" s="11"/>
      <c r="S474" s="8">
        <v>6.79</v>
      </c>
      <c r="T474" s="8">
        <v>10.33</v>
      </c>
      <c r="U474" s="8">
        <v>8.85</v>
      </c>
      <c r="V474" s="8"/>
      <c r="W474" s="8"/>
      <c r="X474" s="8"/>
      <c r="Y474" s="8"/>
      <c r="Z474" s="8"/>
      <c r="AA474" s="8"/>
      <c r="AB474" s="8"/>
      <c r="AC474" s="8">
        <v>5.9</v>
      </c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11"/>
      <c r="AQ474" s="8"/>
      <c r="AR474" s="8"/>
      <c r="AS474" s="8"/>
      <c r="AT474" s="8">
        <v>1042.04</v>
      </c>
      <c r="AU474" s="8"/>
      <c r="AV474" s="8"/>
      <c r="AW474" s="8"/>
      <c r="AX474" s="8"/>
      <c r="AY474" s="8">
        <v>14.91</v>
      </c>
      <c r="AZ474" s="8"/>
      <c r="BA474" s="8"/>
      <c r="BB474" s="8"/>
      <c r="BC474" s="8"/>
      <c r="BD474" s="8"/>
      <c r="BE474" s="8"/>
      <c r="BF474" s="8">
        <v>66.5</v>
      </c>
      <c r="BG474" s="8">
        <v>78.16</v>
      </c>
      <c r="BH474" s="9">
        <f t="shared" si="63"/>
        <v>1698.25</v>
      </c>
      <c r="BI474" s="9">
        <f t="shared" si="64"/>
        <v>3.25</v>
      </c>
      <c r="BJ474" s="9">
        <f t="shared" si="65"/>
        <v>6.79</v>
      </c>
      <c r="BK474" s="9">
        <f t="shared" si="66"/>
        <v>19.18</v>
      </c>
      <c r="BL474" s="9">
        <f t="shared" si="67"/>
        <v>0</v>
      </c>
      <c r="BM474" s="9">
        <f t="shared" si="68"/>
        <v>5.9</v>
      </c>
      <c r="BN474" s="9">
        <f t="shared" si="69"/>
        <v>1042.04</v>
      </c>
      <c r="BO474" s="9">
        <f t="shared" si="70"/>
        <v>14.91</v>
      </c>
      <c r="BP474" s="9">
        <f t="shared" si="71"/>
        <v>66.5</v>
      </c>
    </row>
    <row r="475" spans="1:68">
      <c r="A475" s="6">
        <v>44645</v>
      </c>
      <c r="B475" s="7">
        <v>3404</v>
      </c>
      <c r="C475" s="8">
        <v>1001.95</v>
      </c>
      <c r="D475" s="8">
        <v>249.71</v>
      </c>
      <c r="E475" s="8"/>
      <c r="F475" s="8"/>
      <c r="G475" s="8"/>
      <c r="H475" s="8"/>
      <c r="I475" s="8"/>
      <c r="J475" s="8"/>
      <c r="K475" s="8"/>
      <c r="L475" s="8"/>
      <c r="M475" s="8">
        <v>3.05</v>
      </c>
      <c r="N475" s="8"/>
      <c r="O475" s="8"/>
      <c r="P475" s="8"/>
      <c r="Q475" s="11"/>
      <c r="R475" s="11"/>
      <c r="S475" s="8">
        <v>2.89</v>
      </c>
      <c r="T475" s="8"/>
      <c r="U475" s="8"/>
      <c r="V475" s="8"/>
      <c r="W475" s="8"/>
      <c r="X475" s="8">
        <v>15.17</v>
      </c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11"/>
      <c r="AQ475" s="8"/>
      <c r="AR475" s="8"/>
      <c r="AS475" s="8"/>
      <c r="AT475" s="8">
        <v>630.66</v>
      </c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>
        <v>42.81</v>
      </c>
      <c r="BH475" s="9">
        <f t="shared" si="63"/>
        <v>1251.6600000000001</v>
      </c>
      <c r="BI475" s="9">
        <f t="shared" si="64"/>
        <v>3.05</v>
      </c>
      <c r="BJ475" s="9">
        <f t="shared" si="65"/>
        <v>2.89</v>
      </c>
      <c r="BK475" s="9">
        <f t="shared" si="66"/>
        <v>15.17</v>
      </c>
      <c r="BL475" s="9">
        <f t="shared" si="67"/>
        <v>0</v>
      </c>
      <c r="BM475" s="9">
        <f t="shared" si="68"/>
        <v>0</v>
      </c>
      <c r="BN475" s="9">
        <f t="shared" si="69"/>
        <v>630.66</v>
      </c>
      <c r="BO475" s="9">
        <f t="shared" si="70"/>
        <v>0</v>
      </c>
      <c r="BP475" s="9">
        <f t="shared" si="71"/>
        <v>0</v>
      </c>
    </row>
    <row r="476" spans="1:68">
      <c r="A476" s="6">
        <v>44645</v>
      </c>
      <c r="B476" s="7">
        <v>3200</v>
      </c>
      <c r="C476" s="8">
        <v>1181.3800000000001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>
        <v>2.96</v>
      </c>
      <c r="P476" s="8"/>
      <c r="Q476" s="11"/>
      <c r="R476" s="11"/>
      <c r="S476" s="8">
        <v>4.6100000000000003</v>
      </c>
      <c r="T476" s="8"/>
      <c r="U476" s="8">
        <v>17.760000000000002</v>
      </c>
      <c r="V476" s="8"/>
      <c r="W476" s="8"/>
      <c r="X476" s="8"/>
      <c r="Y476" s="8"/>
      <c r="Z476" s="8">
        <v>248.4</v>
      </c>
      <c r="AA476" s="8"/>
      <c r="AB476" s="8"/>
      <c r="AC476" s="8"/>
      <c r="AD476" s="8"/>
      <c r="AE476" s="8">
        <v>17.88</v>
      </c>
      <c r="AF476" s="8">
        <v>58.96</v>
      </c>
      <c r="AG476" s="8"/>
      <c r="AH476" s="8"/>
      <c r="AI476" s="8"/>
      <c r="AJ476" s="8"/>
      <c r="AK476" s="8"/>
      <c r="AL476" s="8"/>
      <c r="AM476" s="8"/>
      <c r="AN476" s="8"/>
      <c r="AO476" s="8"/>
      <c r="AP476" s="11"/>
      <c r="AQ476" s="8"/>
      <c r="AR476" s="8"/>
      <c r="AS476" s="8"/>
      <c r="AT476" s="8">
        <v>809.54</v>
      </c>
      <c r="AU476" s="8"/>
      <c r="AV476" s="8"/>
      <c r="AW476" s="8">
        <v>3.5</v>
      </c>
      <c r="AX476" s="8"/>
      <c r="AY476" s="8"/>
      <c r="AZ476" s="8"/>
      <c r="BA476" s="8"/>
      <c r="BB476" s="8"/>
      <c r="BC476" s="8"/>
      <c r="BD476" s="8"/>
      <c r="BE476" s="8"/>
      <c r="BF476" s="8">
        <v>56.76</v>
      </c>
      <c r="BG476" s="8">
        <v>58.34</v>
      </c>
      <c r="BH476" s="9">
        <f t="shared" si="63"/>
        <v>1181.3800000000001</v>
      </c>
      <c r="BI476" s="9">
        <f t="shared" si="64"/>
        <v>2.96</v>
      </c>
      <c r="BJ476" s="9">
        <f t="shared" si="65"/>
        <v>4.6100000000000003</v>
      </c>
      <c r="BK476" s="9">
        <f t="shared" si="66"/>
        <v>17.760000000000002</v>
      </c>
      <c r="BL476" s="9">
        <f t="shared" si="67"/>
        <v>248.4</v>
      </c>
      <c r="BM476" s="9">
        <f t="shared" si="68"/>
        <v>76.84</v>
      </c>
      <c r="BN476" s="9">
        <f t="shared" si="69"/>
        <v>809.54</v>
      </c>
      <c r="BO476" s="9">
        <f t="shared" si="70"/>
        <v>3.5</v>
      </c>
      <c r="BP476" s="9">
        <f t="shared" si="71"/>
        <v>56.76</v>
      </c>
    </row>
    <row r="477" spans="1:68">
      <c r="A477" s="6">
        <v>44645</v>
      </c>
      <c r="B477" s="7">
        <v>3302</v>
      </c>
      <c r="C477" s="8"/>
      <c r="D477" s="8">
        <v>794.68</v>
      </c>
      <c r="E477" s="8"/>
      <c r="F477" s="8"/>
      <c r="G477" s="8"/>
      <c r="H477" s="8"/>
      <c r="I477" s="8"/>
      <c r="J477" s="8"/>
      <c r="K477" s="8"/>
      <c r="L477" s="8"/>
      <c r="M477" s="8">
        <v>1.19</v>
      </c>
      <c r="N477" s="8"/>
      <c r="O477" s="8"/>
      <c r="P477" s="8"/>
      <c r="Q477" s="11"/>
      <c r="R477" s="11"/>
      <c r="S477" s="8">
        <v>5.81</v>
      </c>
      <c r="T477" s="8">
        <v>7.96</v>
      </c>
      <c r="U477" s="8"/>
      <c r="V477" s="8"/>
      <c r="W477" s="8"/>
      <c r="X477" s="8"/>
      <c r="Y477" s="8"/>
      <c r="Z477" s="8"/>
      <c r="AA477" s="8"/>
      <c r="AB477" s="8"/>
      <c r="AC477" s="8">
        <v>4.7699999999999996</v>
      </c>
      <c r="AD477" s="8"/>
      <c r="AE477" s="8"/>
      <c r="AF477" s="8"/>
      <c r="AG477" s="8">
        <v>7.98</v>
      </c>
      <c r="AH477" s="8"/>
      <c r="AI477" s="8"/>
      <c r="AJ477" s="8"/>
      <c r="AK477" s="8"/>
      <c r="AL477" s="8"/>
      <c r="AM477" s="8"/>
      <c r="AN477" s="8"/>
      <c r="AO477" s="8"/>
      <c r="AP477" s="11"/>
      <c r="AQ477" s="8"/>
      <c r="AR477" s="8"/>
      <c r="AS477" s="8"/>
      <c r="AT477" s="8"/>
      <c r="AU477" s="8">
        <v>398.67</v>
      </c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>
        <v>28.65</v>
      </c>
      <c r="BH477" s="9">
        <f t="shared" si="63"/>
        <v>794.68</v>
      </c>
      <c r="BI477" s="9">
        <f t="shared" si="64"/>
        <v>1.19</v>
      </c>
      <c r="BJ477" s="9">
        <f t="shared" si="65"/>
        <v>5.81</v>
      </c>
      <c r="BK477" s="9">
        <f t="shared" si="66"/>
        <v>7.96</v>
      </c>
      <c r="BL477" s="9">
        <f t="shared" si="67"/>
        <v>0</v>
      </c>
      <c r="BM477" s="9">
        <f t="shared" si="68"/>
        <v>12.75</v>
      </c>
      <c r="BN477" s="9">
        <f t="shared" si="69"/>
        <v>398.67</v>
      </c>
      <c r="BO477" s="9">
        <f t="shared" si="70"/>
        <v>0</v>
      </c>
      <c r="BP477" s="9">
        <f t="shared" si="71"/>
        <v>0</v>
      </c>
    </row>
    <row r="478" spans="1:68">
      <c r="A478" s="6">
        <v>44645</v>
      </c>
      <c r="B478" s="7">
        <v>3304</v>
      </c>
      <c r="C478" s="8"/>
      <c r="D478" s="8">
        <v>1628.03</v>
      </c>
      <c r="E478" s="8"/>
      <c r="F478" s="8"/>
      <c r="G478" s="8"/>
      <c r="H478" s="8"/>
      <c r="I478" s="8"/>
      <c r="J478" s="8"/>
      <c r="K478" s="8"/>
      <c r="L478" s="8"/>
      <c r="M478" s="8">
        <v>1.95</v>
      </c>
      <c r="N478" s="8"/>
      <c r="O478" s="8"/>
      <c r="P478" s="8"/>
      <c r="Q478" s="11"/>
      <c r="R478" s="11"/>
      <c r="S478" s="8">
        <v>11.55</v>
      </c>
      <c r="T478" s="8">
        <v>14.66</v>
      </c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>
        <v>16.27</v>
      </c>
      <c r="AH478" s="8"/>
      <c r="AI478" s="8"/>
      <c r="AJ478" s="8"/>
      <c r="AK478" s="8"/>
      <c r="AL478" s="8"/>
      <c r="AM478" s="8"/>
      <c r="AN478" s="8"/>
      <c r="AO478" s="8"/>
      <c r="AP478" s="11"/>
      <c r="AQ478" s="8"/>
      <c r="AR478" s="8"/>
      <c r="AS478" s="8"/>
      <c r="AT478" s="8"/>
      <c r="AU478" s="8">
        <v>703.02</v>
      </c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>
        <v>47.11</v>
      </c>
      <c r="BH478" s="9">
        <f t="shared" si="63"/>
        <v>1628.03</v>
      </c>
      <c r="BI478" s="9">
        <f t="shared" si="64"/>
        <v>1.95</v>
      </c>
      <c r="BJ478" s="9">
        <f t="shared" si="65"/>
        <v>11.55</v>
      </c>
      <c r="BK478" s="9">
        <f t="shared" si="66"/>
        <v>14.66</v>
      </c>
      <c r="BL478" s="9">
        <f t="shared" si="67"/>
        <v>0</v>
      </c>
      <c r="BM478" s="9">
        <f t="shared" si="68"/>
        <v>16.27</v>
      </c>
      <c r="BN478" s="9">
        <f t="shared" si="69"/>
        <v>703.02</v>
      </c>
      <c r="BO478" s="9">
        <f t="shared" si="70"/>
        <v>0</v>
      </c>
      <c r="BP478" s="9">
        <f t="shared" si="71"/>
        <v>0</v>
      </c>
    </row>
    <row r="479" spans="1:68">
      <c r="A479" s="6">
        <v>44648</v>
      </c>
      <c r="B479" s="7">
        <v>3204</v>
      </c>
      <c r="C479" s="8"/>
      <c r="D479" s="8">
        <v>1783.63</v>
      </c>
      <c r="E479" s="8">
        <v>761.54</v>
      </c>
      <c r="F479" s="8"/>
      <c r="G479" s="8"/>
      <c r="H479" s="8"/>
      <c r="I479" s="8"/>
      <c r="J479" s="8"/>
      <c r="K479" s="8"/>
      <c r="L479" s="8"/>
      <c r="M479" s="8"/>
      <c r="N479" s="8"/>
      <c r="O479" s="8">
        <v>12.71</v>
      </c>
      <c r="P479" s="8"/>
      <c r="Q479" s="11"/>
      <c r="R479" s="11"/>
      <c r="S479" s="8">
        <v>8.65</v>
      </c>
      <c r="T479" s="8">
        <v>15.27</v>
      </c>
      <c r="U479" s="8">
        <v>12.74</v>
      </c>
      <c r="V479" s="8"/>
      <c r="W479" s="8"/>
      <c r="X479" s="8"/>
      <c r="Y479" s="8"/>
      <c r="Z479" s="8">
        <v>381.98</v>
      </c>
      <c r="AA479" s="8"/>
      <c r="AB479" s="8">
        <f>704*18.18/1000</f>
        <v>12.798719999999999</v>
      </c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11"/>
      <c r="AQ479" s="8"/>
      <c r="AR479" s="8"/>
      <c r="AS479" s="8"/>
      <c r="AT479" s="8">
        <v>1118.5899999999999</v>
      </c>
      <c r="AU479" s="8"/>
      <c r="AV479" s="8"/>
      <c r="AW479" s="8">
        <v>8.18</v>
      </c>
      <c r="AX479" s="8"/>
      <c r="AY479" s="8"/>
      <c r="AZ479" s="8"/>
      <c r="BA479" s="8"/>
      <c r="BB479" s="8"/>
      <c r="BC479" s="8"/>
      <c r="BD479" s="8"/>
      <c r="BE479" s="8"/>
      <c r="BF479" s="8"/>
      <c r="BG479" s="8">
        <v>82.77</v>
      </c>
      <c r="BH479" s="9">
        <f t="shared" si="63"/>
        <v>2545.17</v>
      </c>
      <c r="BI479" s="9">
        <f t="shared" si="64"/>
        <v>12.71</v>
      </c>
      <c r="BJ479" s="9">
        <f t="shared" si="65"/>
        <v>8.65</v>
      </c>
      <c r="BK479" s="9">
        <f t="shared" si="66"/>
        <v>28.009999999999998</v>
      </c>
      <c r="BL479" s="9">
        <f t="shared" si="67"/>
        <v>381.98</v>
      </c>
      <c r="BM479" s="9">
        <f t="shared" si="68"/>
        <v>12.798719999999999</v>
      </c>
      <c r="BN479" s="9">
        <f t="shared" si="69"/>
        <v>1118.5899999999999</v>
      </c>
      <c r="BO479" s="9">
        <f t="shared" si="70"/>
        <v>8.18</v>
      </c>
      <c r="BP479" s="9">
        <f t="shared" si="71"/>
        <v>0</v>
      </c>
    </row>
    <row r="480" spans="1:68">
      <c r="A480" s="6">
        <v>44648</v>
      </c>
      <c r="B480" s="7">
        <v>3203</v>
      </c>
      <c r="C480" s="8">
        <v>872.09</v>
      </c>
      <c r="D480" s="8"/>
      <c r="E480" s="8">
        <v>374.37</v>
      </c>
      <c r="F480" s="8"/>
      <c r="G480" s="8"/>
      <c r="H480" s="8"/>
      <c r="I480" s="8"/>
      <c r="J480" s="8"/>
      <c r="K480" s="8"/>
      <c r="L480" s="8"/>
      <c r="M480" s="8"/>
      <c r="N480" s="8"/>
      <c r="O480" s="8">
        <v>3.78</v>
      </c>
      <c r="P480" s="8"/>
      <c r="Q480" s="11"/>
      <c r="R480" s="11"/>
      <c r="S480" s="8">
        <v>4.8899999999999997</v>
      </c>
      <c r="T480" s="8"/>
      <c r="U480" s="8">
        <v>15.53</v>
      </c>
      <c r="V480" s="8"/>
      <c r="W480" s="8"/>
      <c r="X480" s="8"/>
      <c r="Y480" s="8"/>
      <c r="Z480" s="8">
        <v>197.36</v>
      </c>
      <c r="AA480" s="8">
        <f>10398*14.73/1000</f>
        <v>153.16254000000001</v>
      </c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11"/>
      <c r="AQ480" s="8"/>
      <c r="AR480" s="8"/>
      <c r="AS480" s="8"/>
      <c r="AT480" s="8">
        <v>468.08</v>
      </c>
      <c r="AU480" s="8">
        <v>234.37</v>
      </c>
      <c r="AV480" s="8"/>
      <c r="AW480" s="8"/>
      <c r="AX480" s="8"/>
      <c r="AY480" s="8"/>
      <c r="AZ480" s="8"/>
      <c r="BA480" s="8"/>
      <c r="BB480" s="8"/>
      <c r="BC480" s="8">
        <v>3.25</v>
      </c>
      <c r="BD480" s="8"/>
      <c r="BE480" s="8"/>
      <c r="BF480" s="8"/>
      <c r="BG480" s="8">
        <v>45.99</v>
      </c>
      <c r="BH480" s="9">
        <f t="shared" si="63"/>
        <v>1246.46</v>
      </c>
      <c r="BI480" s="9">
        <f t="shared" si="64"/>
        <v>3.78</v>
      </c>
      <c r="BJ480" s="9">
        <f t="shared" si="65"/>
        <v>4.8899999999999997</v>
      </c>
      <c r="BK480" s="9">
        <f t="shared" si="66"/>
        <v>15.53</v>
      </c>
      <c r="BL480" s="9">
        <f t="shared" si="67"/>
        <v>350.52254000000005</v>
      </c>
      <c r="BM480" s="9">
        <f t="shared" si="68"/>
        <v>0</v>
      </c>
      <c r="BN480" s="9">
        <f t="shared" si="69"/>
        <v>702.45</v>
      </c>
      <c r="BO480" s="9">
        <f t="shared" si="70"/>
        <v>3.25</v>
      </c>
      <c r="BP480" s="9">
        <f t="shared" si="71"/>
        <v>0</v>
      </c>
    </row>
    <row r="481" spans="1:68">
      <c r="A481" s="6">
        <v>44648</v>
      </c>
      <c r="B481" s="7">
        <v>3080</v>
      </c>
      <c r="C481" s="8"/>
      <c r="D481" s="8"/>
      <c r="E481" s="8"/>
      <c r="F481" s="8">
        <v>442.12</v>
      </c>
      <c r="G481" s="8"/>
      <c r="H481" s="8"/>
      <c r="I481" s="8">
        <v>664.31</v>
      </c>
      <c r="J481" s="8"/>
      <c r="K481" s="8"/>
      <c r="L481" s="8"/>
      <c r="M481" s="8"/>
      <c r="N481" s="8">
        <v>7.78</v>
      </c>
      <c r="O481" s="8"/>
      <c r="P481" s="8"/>
      <c r="Q481" s="11"/>
      <c r="R481" s="11"/>
      <c r="S481" s="8">
        <v>0.67</v>
      </c>
      <c r="T481" s="8">
        <v>11.11</v>
      </c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>
        <f>2328*7.17/1000</f>
        <v>16.691759999999999</v>
      </c>
      <c r="AJ481" s="8"/>
      <c r="AK481" s="8"/>
      <c r="AL481" s="8"/>
      <c r="AM481" s="8"/>
      <c r="AN481" s="8"/>
      <c r="AO481" s="8"/>
      <c r="AP481" s="11"/>
      <c r="AQ481" s="8">
        <f>1580*7.17/1000</f>
        <v>11.3286</v>
      </c>
      <c r="AR481" s="8">
        <f>5431*7.17/1000</f>
        <v>38.940269999999998</v>
      </c>
      <c r="AS481" s="8"/>
      <c r="AT481" s="8">
        <v>389.94</v>
      </c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>
        <v>20.98</v>
      </c>
      <c r="BH481" s="9">
        <f t="shared" si="63"/>
        <v>1106.4299999999998</v>
      </c>
      <c r="BI481" s="9">
        <f t="shared" si="64"/>
        <v>7.78</v>
      </c>
      <c r="BJ481" s="9">
        <f t="shared" si="65"/>
        <v>0.67</v>
      </c>
      <c r="BK481" s="9">
        <f t="shared" si="66"/>
        <v>11.11</v>
      </c>
      <c r="BL481" s="9">
        <f t="shared" si="67"/>
        <v>0</v>
      </c>
      <c r="BM481" s="9">
        <f t="shared" si="68"/>
        <v>66.960629999999995</v>
      </c>
      <c r="BN481" s="9">
        <f t="shared" si="69"/>
        <v>389.94</v>
      </c>
      <c r="BO481" s="9">
        <f t="shared" si="70"/>
        <v>0</v>
      </c>
      <c r="BP481" s="9">
        <f t="shared" si="71"/>
        <v>0</v>
      </c>
    </row>
    <row r="482" spans="1:68">
      <c r="A482" s="6">
        <v>44648</v>
      </c>
      <c r="B482" s="7">
        <v>3016</v>
      </c>
      <c r="C482" s="8"/>
      <c r="D482" s="8">
        <v>2360.36</v>
      </c>
      <c r="E482" s="8"/>
      <c r="F482" s="8"/>
      <c r="G482" s="8"/>
      <c r="H482" s="8"/>
      <c r="I482" s="8">
        <v>2178.79</v>
      </c>
      <c r="J482" s="8"/>
      <c r="K482" s="8"/>
      <c r="L482" s="8"/>
      <c r="M482" s="8"/>
      <c r="N482" s="8">
        <v>27.27</v>
      </c>
      <c r="O482" s="8"/>
      <c r="P482" s="8">
        <f>629*7.17/1000</f>
        <v>4.5099300000000007</v>
      </c>
      <c r="Q482" s="11"/>
      <c r="R482" s="11"/>
      <c r="S482" s="8">
        <v>3.17</v>
      </c>
      <c r="T482" s="8">
        <v>45.47</v>
      </c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>
        <f>686*26.72/1000</f>
        <v>18.329919999999998</v>
      </c>
      <c r="AN482" s="8">
        <f>2054*26.72/1000</f>
        <v>54.88288</v>
      </c>
      <c r="AO482" s="8"/>
      <c r="AP482" s="11"/>
      <c r="AQ482" s="8"/>
      <c r="AR482" s="8">
        <f>4259*26.72/1000</f>
        <v>113.80047999999999</v>
      </c>
      <c r="AS482" s="8"/>
      <c r="AT482" s="8">
        <v>1688.25</v>
      </c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>
        <v>123.75</v>
      </c>
      <c r="BH482" s="9">
        <f t="shared" si="63"/>
        <v>4539.1499999999996</v>
      </c>
      <c r="BI482" s="9">
        <f t="shared" si="64"/>
        <v>31.77993</v>
      </c>
      <c r="BJ482" s="9">
        <f t="shared" si="65"/>
        <v>3.17</v>
      </c>
      <c r="BK482" s="9">
        <f t="shared" si="66"/>
        <v>45.47</v>
      </c>
      <c r="BL482" s="9">
        <f t="shared" si="67"/>
        <v>0</v>
      </c>
      <c r="BM482" s="9">
        <f t="shared" si="68"/>
        <v>187.01328000000001</v>
      </c>
      <c r="BN482" s="9">
        <f t="shared" si="69"/>
        <v>1688.25</v>
      </c>
      <c r="BO482" s="9">
        <f t="shared" si="70"/>
        <v>0</v>
      </c>
      <c r="BP482" s="9">
        <f t="shared" si="71"/>
        <v>0</v>
      </c>
    </row>
    <row r="483" spans="1:68">
      <c r="A483" s="6">
        <v>44648</v>
      </c>
      <c r="B483" s="7">
        <v>3141</v>
      </c>
      <c r="C483" s="8">
        <v>3626.78</v>
      </c>
      <c r="D483" s="8">
        <v>640.70000000000005</v>
      </c>
      <c r="E483" s="8"/>
      <c r="F483" s="8"/>
      <c r="G483" s="8"/>
      <c r="H483" s="8"/>
      <c r="I483" s="8"/>
      <c r="J483" s="8"/>
      <c r="K483" s="8"/>
      <c r="L483" s="8"/>
      <c r="M483" s="8"/>
      <c r="N483" s="8">
        <v>11.97</v>
      </c>
      <c r="O483" s="8"/>
      <c r="P483" s="8"/>
      <c r="Q483" s="11"/>
      <c r="R483" s="11"/>
      <c r="S483" s="8">
        <v>20.100000000000001</v>
      </c>
      <c r="T483" s="8">
        <v>32.07</v>
      </c>
      <c r="U483" s="8">
        <v>32.06</v>
      </c>
      <c r="V483" s="8"/>
      <c r="W483" s="8"/>
      <c r="X483" s="8"/>
      <c r="Y483" s="8"/>
      <c r="Z483" s="8"/>
      <c r="AA483" s="8"/>
      <c r="AB483" s="8"/>
      <c r="AC483" s="8">
        <v>17.11</v>
      </c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11"/>
      <c r="AQ483" s="8"/>
      <c r="AR483" s="8"/>
      <c r="AS483" s="8"/>
      <c r="AT483" s="8">
        <v>2841.92</v>
      </c>
      <c r="AU483" s="8"/>
      <c r="AV483" s="8"/>
      <c r="AW483" s="8"/>
      <c r="AX483" s="8"/>
      <c r="AY483" s="8"/>
      <c r="AZ483" s="8"/>
      <c r="BA483" s="8">
        <v>97.93</v>
      </c>
      <c r="BB483" s="8"/>
      <c r="BC483" s="8"/>
      <c r="BD483" s="8"/>
      <c r="BE483" s="8"/>
      <c r="BF483" s="8">
        <v>299.16000000000003</v>
      </c>
      <c r="BG483" s="8">
        <v>222.23</v>
      </c>
      <c r="BH483" s="9">
        <f t="shared" si="63"/>
        <v>4267.4800000000005</v>
      </c>
      <c r="BI483" s="9">
        <f t="shared" si="64"/>
        <v>11.97</v>
      </c>
      <c r="BJ483" s="9">
        <f t="shared" si="65"/>
        <v>20.100000000000001</v>
      </c>
      <c r="BK483" s="9">
        <f t="shared" si="66"/>
        <v>64.13</v>
      </c>
      <c r="BL483" s="9">
        <f t="shared" si="67"/>
        <v>0</v>
      </c>
      <c r="BM483" s="9">
        <f t="shared" si="68"/>
        <v>17.11</v>
      </c>
      <c r="BN483" s="9">
        <f t="shared" si="69"/>
        <v>2841.92</v>
      </c>
      <c r="BO483" s="9">
        <f t="shared" si="70"/>
        <v>97.93</v>
      </c>
      <c r="BP483" s="9">
        <f t="shared" si="71"/>
        <v>299.16000000000003</v>
      </c>
    </row>
    <row r="484" spans="1:68">
      <c r="A484" s="6">
        <v>44648</v>
      </c>
      <c r="B484" s="7">
        <v>3127</v>
      </c>
      <c r="C484" s="8">
        <v>688.21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>
        <v>1.99</v>
      </c>
      <c r="O484" s="8"/>
      <c r="P484" s="8"/>
      <c r="Q484" s="11"/>
      <c r="R484" s="11"/>
      <c r="S484" s="8">
        <v>3.38</v>
      </c>
      <c r="T484" s="8">
        <v>6.9</v>
      </c>
      <c r="U484" s="8"/>
      <c r="V484" s="8"/>
      <c r="W484" s="8"/>
      <c r="X484" s="8"/>
      <c r="Y484" s="8"/>
      <c r="Z484" s="8">
        <v>102.91</v>
      </c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11"/>
      <c r="AQ484" s="8"/>
      <c r="AR484" s="8"/>
      <c r="AS484" s="8"/>
      <c r="AT484" s="8">
        <v>337.98</v>
      </c>
      <c r="AU484" s="8"/>
      <c r="AV484" s="8">
        <v>13.78</v>
      </c>
      <c r="AW484" s="8"/>
      <c r="AX484" s="8"/>
      <c r="AY484" s="8"/>
      <c r="AZ484" s="8"/>
      <c r="BA484" s="8"/>
      <c r="BB484" s="8"/>
      <c r="BC484" s="8"/>
      <c r="BD484" s="8"/>
      <c r="BE484" s="8"/>
      <c r="BF484" s="8">
        <v>34.450000000000003</v>
      </c>
      <c r="BG484" s="8">
        <v>24.11</v>
      </c>
      <c r="BH484" s="9">
        <f t="shared" si="63"/>
        <v>688.21</v>
      </c>
      <c r="BI484" s="9">
        <f t="shared" si="64"/>
        <v>1.99</v>
      </c>
      <c r="BJ484" s="9">
        <f t="shared" si="65"/>
        <v>3.38</v>
      </c>
      <c r="BK484" s="9">
        <f t="shared" si="66"/>
        <v>6.9</v>
      </c>
      <c r="BL484" s="9">
        <f t="shared" si="67"/>
        <v>102.91</v>
      </c>
      <c r="BM484" s="9">
        <f t="shared" si="68"/>
        <v>0</v>
      </c>
      <c r="BN484" s="9">
        <f t="shared" si="69"/>
        <v>337.98</v>
      </c>
      <c r="BO484" s="9">
        <f t="shared" si="70"/>
        <v>13.78</v>
      </c>
      <c r="BP484" s="9">
        <f t="shared" si="71"/>
        <v>34.450000000000003</v>
      </c>
    </row>
    <row r="485" spans="1:68">
      <c r="A485" s="6">
        <v>44648</v>
      </c>
      <c r="B485" s="7">
        <v>3126</v>
      </c>
      <c r="C485" s="8">
        <v>961.76</v>
      </c>
      <c r="D485" s="8">
        <v>411.68</v>
      </c>
      <c r="E485" s="8"/>
      <c r="F485" s="8"/>
      <c r="G485" s="8"/>
      <c r="H485" s="8"/>
      <c r="I485" s="8"/>
      <c r="J485" s="8"/>
      <c r="K485" s="8"/>
      <c r="L485" s="8"/>
      <c r="M485" s="8"/>
      <c r="N485" s="8">
        <v>2.75</v>
      </c>
      <c r="O485" s="8"/>
      <c r="P485" s="8"/>
      <c r="Q485" s="11"/>
      <c r="R485" s="11"/>
      <c r="S485" s="8">
        <v>4.1399999999999997</v>
      </c>
      <c r="T485" s="8">
        <v>9.6300000000000008</v>
      </c>
      <c r="U485" s="8">
        <v>4.13</v>
      </c>
      <c r="V485" s="8"/>
      <c r="W485" s="8"/>
      <c r="X485" s="8"/>
      <c r="Y485" s="8"/>
      <c r="Z485" s="8"/>
      <c r="AA485" s="8"/>
      <c r="AB485" s="8"/>
      <c r="AC485" s="8">
        <v>5.5</v>
      </c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11"/>
      <c r="AQ485" s="8"/>
      <c r="AR485" s="8"/>
      <c r="AS485" s="8"/>
      <c r="AT485" s="8">
        <v>602.48</v>
      </c>
      <c r="AU485" s="8"/>
      <c r="AV485" s="8"/>
      <c r="AW485" s="8"/>
      <c r="AX485" s="8"/>
      <c r="AY485" s="8"/>
      <c r="AZ485" s="8"/>
      <c r="BA485" s="8">
        <v>10.54</v>
      </c>
      <c r="BB485" s="8"/>
      <c r="BC485" s="8"/>
      <c r="BD485" s="8"/>
      <c r="BE485" s="8"/>
      <c r="BF485" s="8"/>
      <c r="BG485" s="8">
        <v>42.69</v>
      </c>
      <c r="BH485" s="9">
        <f t="shared" si="63"/>
        <v>1373.44</v>
      </c>
      <c r="BI485" s="9">
        <f t="shared" si="64"/>
        <v>2.75</v>
      </c>
      <c r="BJ485" s="9">
        <f t="shared" si="65"/>
        <v>4.1399999999999997</v>
      </c>
      <c r="BK485" s="9">
        <f t="shared" si="66"/>
        <v>13.760000000000002</v>
      </c>
      <c r="BL485" s="9">
        <f t="shared" si="67"/>
        <v>0</v>
      </c>
      <c r="BM485" s="9">
        <f t="shared" si="68"/>
        <v>5.5</v>
      </c>
      <c r="BN485" s="9">
        <f t="shared" si="69"/>
        <v>602.48</v>
      </c>
      <c r="BO485" s="9">
        <f t="shared" si="70"/>
        <v>10.54</v>
      </c>
      <c r="BP485" s="9">
        <f t="shared" si="71"/>
        <v>0</v>
      </c>
    </row>
    <row r="486" spans="1:68">
      <c r="A486" s="6">
        <v>44648</v>
      </c>
      <c r="B486" s="7">
        <v>3134</v>
      </c>
      <c r="C486" s="8">
        <v>2047.59</v>
      </c>
      <c r="D486" s="8">
        <v>286.69</v>
      </c>
      <c r="E486" s="8"/>
      <c r="F486" s="8"/>
      <c r="G486" s="8"/>
      <c r="H486" s="8">
        <v>969.16</v>
      </c>
      <c r="I486" s="8"/>
      <c r="J486" s="8"/>
      <c r="K486" s="8"/>
      <c r="L486" s="8"/>
      <c r="M486" s="8"/>
      <c r="N486" s="8">
        <v>6.6</v>
      </c>
      <c r="O486" s="8"/>
      <c r="P486" s="8"/>
      <c r="Q486" s="11"/>
      <c r="R486" s="11"/>
      <c r="S486" s="8">
        <v>13.23</v>
      </c>
      <c r="T486" s="8">
        <v>20.100000000000001</v>
      </c>
      <c r="U486" s="8">
        <v>17.22</v>
      </c>
      <c r="V486" s="8"/>
      <c r="W486" s="8"/>
      <c r="X486" s="8"/>
      <c r="Y486" s="8"/>
      <c r="Z486" s="8"/>
      <c r="AA486" s="8"/>
      <c r="AB486" s="8"/>
      <c r="AC486" s="8">
        <v>11.49</v>
      </c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11"/>
      <c r="AQ486" s="8"/>
      <c r="AR486" s="8"/>
      <c r="AS486" s="8"/>
      <c r="AT486" s="8">
        <v>2027.53</v>
      </c>
      <c r="AU486" s="8"/>
      <c r="AV486" s="8"/>
      <c r="AW486" s="8"/>
      <c r="AX486" s="8"/>
      <c r="AY486" s="8">
        <f>1421*20.52/1000</f>
        <v>29.158919999999998</v>
      </c>
      <c r="AZ486" s="8"/>
      <c r="BA486" s="8"/>
      <c r="BB486" s="8"/>
      <c r="BC486" s="8"/>
      <c r="BD486" s="8"/>
      <c r="BE486" s="8"/>
      <c r="BF486" s="8">
        <v>129.13</v>
      </c>
      <c r="BG486" s="8">
        <v>152.35</v>
      </c>
      <c r="BH486" s="9">
        <f t="shared" si="63"/>
        <v>3303.4399999999996</v>
      </c>
      <c r="BI486" s="9">
        <f t="shared" si="64"/>
        <v>6.6</v>
      </c>
      <c r="BJ486" s="9">
        <f t="shared" si="65"/>
        <v>13.23</v>
      </c>
      <c r="BK486" s="9">
        <f t="shared" si="66"/>
        <v>37.32</v>
      </c>
      <c r="BL486" s="9">
        <f t="shared" si="67"/>
        <v>0</v>
      </c>
      <c r="BM486" s="9">
        <f t="shared" si="68"/>
        <v>11.49</v>
      </c>
      <c r="BN486" s="9">
        <f t="shared" si="69"/>
        <v>2027.53</v>
      </c>
      <c r="BO486" s="9">
        <f t="shared" si="70"/>
        <v>29.158919999999998</v>
      </c>
      <c r="BP486" s="9">
        <f t="shared" si="71"/>
        <v>129.13</v>
      </c>
    </row>
    <row r="487" spans="1:68">
      <c r="A487" s="6">
        <v>44648</v>
      </c>
      <c r="B487" s="7">
        <v>3405</v>
      </c>
      <c r="C487" s="8">
        <v>1942.91</v>
      </c>
      <c r="D487" s="8">
        <v>485.24</v>
      </c>
      <c r="E487" s="8"/>
      <c r="F487" s="8"/>
      <c r="G487" s="8"/>
      <c r="H487" s="8"/>
      <c r="I487" s="8"/>
      <c r="J487" s="8"/>
      <c r="K487" s="8"/>
      <c r="L487" s="8"/>
      <c r="M487" s="8">
        <v>6.56</v>
      </c>
      <c r="N487" s="8"/>
      <c r="O487" s="8"/>
      <c r="P487" s="8"/>
      <c r="Q487" s="11"/>
      <c r="R487" s="11"/>
      <c r="S487" s="8">
        <v>5.58</v>
      </c>
      <c r="T487" s="8"/>
      <c r="U487" s="8"/>
      <c r="V487" s="8"/>
      <c r="W487" s="8"/>
      <c r="X487" s="8">
        <f>1218*24.27/1000</f>
        <v>29.560860000000002</v>
      </c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11"/>
      <c r="AQ487" s="8"/>
      <c r="AR487" s="8"/>
      <c r="AS487" s="8"/>
      <c r="AT487" s="8">
        <v>1219.75</v>
      </c>
      <c r="AU487" s="8"/>
      <c r="AV487" s="8"/>
      <c r="AW487" s="8"/>
      <c r="AX487" s="8"/>
      <c r="AY487" s="8"/>
      <c r="AZ487" s="8"/>
      <c r="BA487" s="8">
        <v>10.86</v>
      </c>
      <c r="BB487" s="8"/>
      <c r="BC487" s="8"/>
      <c r="BD487" s="8"/>
      <c r="BE487" s="8"/>
      <c r="BF487" s="8"/>
      <c r="BG487" s="8">
        <v>82.86</v>
      </c>
      <c r="BH487" s="9">
        <f t="shared" si="63"/>
        <v>2428.15</v>
      </c>
      <c r="BI487" s="9">
        <f t="shared" si="64"/>
        <v>6.56</v>
      </c>
      <c r="BJ487" s="9">
        <f t="shared" si="65"/>
        <v>5.58</v>
      </c>
      <c r="BK487" s="9">
        <f t="shared" si="66"/>
        <v>29.560860000000002</v>
      </c>
      <c r="BL487" s="9">
        <f t="shared" si="67"/>
        <v>0</v>
      </c>
      <c r="BM487" s="9">
        <f t="shared" si="68"/>
        <v>0</v>
      </c>
      <c r="BN487" s="9">
        <f t="shared" si="69"/>
        <v>1219.75</v>
      </c>
      <c r="BO487" s="9">
        <f t="shared" si="70"/>
        <v>10.86</v>
      </c>
      <c r="BP487" s="9">
        <f t="shared" si="71"/>
        <v>0</v>
      </c>
    </row>
    <row r="488" spans="1:68">
      <c r="A488" s="6">
        <v>44649</v>
      </c>
      <c r="B488" s="7">
        <v>3201</v>
      </c>
      <c r="C488" s="8">
        <v>1162.28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>
        <v>2.92</v>
      </c>
      <c r="P488" s="8"/>
      <c r="Q488" s="11"/>
      <c r="R488" s="11"/>
      <c r="S488" s="8">
        <v>4.43</v>
      </c>
      <c r="T488" s="8"/>
      <c r="U488" s="8">
        <v>17.510000000000002</v>
      </c>
      <c r="V488" s="8"/>
      <c r="W488" s="8"/>
      <c r="X488" s="8"/>
      <c r="Y488" s="8"/>
      <c r="Z488" s="8">
        <v>244.97</v>
      </c>
      <c r="AA488" s="8"/>
      <c r="AB488" s="8"/>
      <c r="AC488" s="8"/>
      <c r="AD488" s="8"/>
      <c r="AE488" s="8">
        <f>1526*11.65/1000</f>
        <v>17.777900000000002</v>
      </c>
      <c r="AF488" s="8">
        <v>57.85</v>
      </c>
      <c r="AG488" s="8"/>
      <c r="AH488" s="8"/>
      <c r="AI488" s="8"/>
      <c r="AJ488" s="8"/>
      <c r="AK488" s="8"/>
      <c r="AL488" s="8"/>
      <c r="AM488" s="8"/>
      <c r="AN488" s="8"/>
      <c r="AO488" s="8"/>
      <c r="AP488" s="11"/>
      <c r="AQ488" s="8"/>
      <c r="AR488" s="8"/>
      <c r="AS488" s="8"/>
      <c r="AT488" s="8">
        <v>809.8</v>
      </c>
      <c r="AU488" s="8"/>
      <c r="AV488" s="8"/>
      <c r="AW488" s="8"/>
      <c r="AX488" s="8"/>
      <c r="AY488" s="8"/>
      <c r="AZ488" s="8"/>
      <c r="BA488" s="8"/>
      <c r="BB488" s="8"/>
      <c r="BC488" s="8">
        <v>3.03</v>
      </c>
      <c r="BD488" s="8"/>
      <c r="BE488" s="8"/>
      <c r="BF488" s="8">
        <v>55.97</v>
      </c>
      <c r="BG488" s="8">
        <v>57.88</v>
      </c>
      <c r="BH488" s="9">
        <f t="shared" si="63"/>
        <v>1162.28</v>
      </c>
      <c r="BI488" s="9">
        <f t="shared" si="64"/>
        <v>2.92</v>
      </c>
      <c r="BJ488" s="9">
        <f t="shared" si="65"/>
        <v>4.43</v>
      </c>
      <c r="BK488" s="9">
        <f t="shared" si="66"/>
        <v>17.510000000000002</v>
      </c>
      <c r="BL488" s="9">
        <f t="shared" si="67"/>
        <v>244.97</v>
      </c>
      <c r="BM488" s="9">
        <f t="shared" si="68"/>
        <v>75.627900000000011</v>
      </c>
      <c r="BN488" s="9">
        <f t="shared" si="69"/>
        <v>809.8</v>
      </c>
      <c r="BO488" s="9">
        <f t="shared" si="70"/>
        <v>3.03</v>
      </c>
      <c r="BP488" s="9">
        <f t="shared" si="71"/>
        <v>55.97</v>
      </c>
    </row>
    <row r="489" spans="1:68">
      <c r="A489" s="6">
        <v>44649</v>
      </c>
      <c r="B489" s="7">
        <v>3200</v>
      </c>
      <c r="C489" s="8">
        <v>2239.0500000000002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>
        <v>5.61</v>
      </c>
      <c r="P489" s="8"/>
      <c r="Q489" s="11"/>
      <c r="R489" s="11"/>
      <c r="S489" s="8">
        <v>8.74</v>
      </c>
      <c r="T489" s="8"/>
      <c r="U489" s="8">
        <v>33.61</v>
      </c>
      <c r="V489" s="8"/>
      <c r="W489" s="8"/>
      <c r="X489" s="8"/>
      <c r="Y489" s="8"/>
      <c r="Z489" s="8">
        <v>470.41</v>
      </c>
      <c r="AA489" s="8"/>
      <c r="AB489" s="8"/>
      <c r="AC489" s="8"/>
      <c r="AD489" s="8"/>
      <c r="AE489" s="8">
        <f>1526*22.38/1000</f>
        <v>34.151879999999998</v>
      </c>
      <c r="AF489" s="8">
        <v>111.53</v>
      </c>
      <c r="AG489" s="8"/>
      <c r="AH489" s="8"/>
      <c r="AI489" s="8"/>
      <c r="AJ489" s="8"/>
      <c r="AK489" s="8"/>
      <c r="AL489" s="8"/>
      <c r="AM489" s="8"/>
      <c r="AN489" s="8"/>
      <c r="AO489" s="8"/>
      <c r="AP489" s="11"/>
      <c r="AQ489" s="8"/>
      <c r="AR489" s="8"/>
      <c r="AS489" s="8"/>
      <c r="AT489" s="8">
        <v>1534.01</v>
      </c>
      <c r="AU489" s="8"/>
      <c r="AV489" s="8"/>
      <c r="AW489" s="8">
        <v>6.57</v>
      </c>
      <c r="AX489" s="8"/>
      <c r="AY489" s="8"/>
      <c r="AZ489" s="8"/>
      <c r="BA489" s="8"/>
      <c r="BB489" s="8"/>
      <c r="BC489" s="8"/>
      <c r="BD489" s="8"/>
      <c r="BE489" s="8"/>
      <c r="BF489" s="8">
        <v>107.46</v>
      </c>
      <c r="BG489" s="8">
        <v>110.64</v>
      </c>
      <c r="BH489" s="9">
        <f t="shared" si="63"/>
        <v>2239.0500000000002</v>
      </c>
      <c r="BI489" s="9">
        <f t="shared" si="64"/>
        <v>5.61</v>
      </c>
      <c r="BJ489" s="9">
        <f t="shared" si="65"/>
        <v>8.74</v>
      </c>
      <c r="BK489" s="9">
        <f t="shared" si="66"/>
        <v>33.61</v>
      </c>
      <c r="BL489" s="9">
        <f t="shared" si="67"/>
        <v>470.41</v>
      </c>
      <c r="BM489" s="9">
        <f t="shared" si="68"/>
        <v>145.68188000000001</v>
      </c>
      <c r="BN489" s="9">
        <f t="shared" si="69"/>
        <v>1534.01</v>
      </c>
      <c r="BO489" s="9">
        <f t="shared" si="70"/>
        <v>6.57</v>
      </c>
      <c r="BP489" s="9">
        <f t="shared" si="71"/>
        <v>107.46</v>
      </c>
    </row>
    <row r="490" spans="1:68">
      <c r="A490" s="6">
        <v>44649</v>
      </c>
      <c r="B490" s="7">
        <v>3408</v>
      </c>
      <c r="C490" s="8">
        <f>2243.12+90.27</f>
        <v>2333.39</v>
      </c>
      <c r="D490" s="8"/>
      <c r="E490" s="8"/>
      <c r="F490" s="8"/>
      <c r="G490" s="8"/>
      <c r="H490" s="8"/>
      <c r="I490" s="8"/>
      <c r="J490" s="8"/>
      <c r="K490" s="8"/>
      <c r="L490" s="8"/>
      <c r="M490" s="8">
        <f>6.06+0.27</f>
        <v>6.33</v>
      </c>
      <c r="N490" s="8"/>
      <c r="O490" s="8"/>
      <c r="P490" s="8"/>
      <c r="Q490" s="11"/>
      <c r="R490" s="11"/>
      <c r="S490" s="8">
        <f>5.62+0.23</f>
        <v>5.8500000000000005</v>
      </c>
      <c r="T490" s="8">
        <f>22.51+0.91</f>
        <v>23.42</v>
      </c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11"/>
      <c r="AQ490" s="8"/>
      <c r="AR490" s="8"/>
      <c r="AS490" s="8"/>
      <c r="AT490" s="8">
        <f>1151.88+46.5</f>
        <v>1198.3800000000001</v>
      </c>
      <c r="AU490" s="8"/>
      <c r="AV490" s="8"/>
      <c r="AW490" s="8"/>
      <c r="AX490" s="8"/>
      <c r="AY490" s="8"/>
      <c r="AZ490" s="8"/>
      <c r="BA490" s="8">
        <f>10.13+0.41</f>
        <v>10.540000000000001</v>
      </c>
      <c r="BB490" s="8"/>
      <c r="BC490" s="8"/>
      <c r="BD490" s="8"/>
      <c r="BE490" s="8"/>
      <c r="BF490" s="8"/>
      <c r="BG490" s="8">
        <f>78.69+3.19</f>
        <v>81.88</v>
      </c>
      <c r="BH490" s="9">
        <f t="shared" si="63"/>
        <v>2333.39</v>
      </c>
      <c r="BI490" s="9">
        <f t="shared" si="64"/>
        <v>6.33</v>
      </c>
      <c r="BJ490" s="9">
        <f t="shared" si="65"/>
        <v>5.8500000000000005</v>
      </c>
      <c r="BK490" s="9">
        <f t="shared" si="66"/>
        <v>23.42</v>
      </c>
      <c r="BL490" s="9">
        <f t="shared" si="67"/>
        <v>0</v>
      </c>
      <c r="BM490" s="9">
        <f t="shared" si="68"/>
        <v>0</v>
      </c>
      <c r="BN490" s="9">
        <f t="shared" si="69"/>
        <v>1198.3800000000001</v>
      </c>
      <c r="BO490" s="9">
        <f t="shared" si="70"/>
        <v>10.540000000000001</v>
      </c>
      <c r="BP490" s="9">
        <f t="shared" si="71"/>
        <v>0</v>
      </c>
    </row>
    <row r="491" spans="1:68">
      <c r="A491" s="6">
        <v>44649</v>
      </c>
      <c r="B491" s="7">
        <v>3141</v>
      </c>
      <c r="C491" s="8">
        <v>2417.7399999999998</v>
      </c>
      <c r="D491" s="8">
        <v>424.12</v>
      </c>
      <c r="E491" s="8"/>
      <c r="F491" s="8"/>
      <c r="G491" s="8"/>
      <c r="H491" s="8"/>
      <c r="I491" s="8"/>
      <c r="J491" s="8"/>
      <c r="K491" s="8"/>
      <c r="L491" s="8"/>
      <c r="M491" s="8"/>
      <c r="N491" s="8">
        <v>7.98</v>
      </c>
      <c r="O491" s="8"/>
      <c r="P491" s="8"/>
      <c r="Q491" s="11"/>
      <c r="R491" s="11"/>
      <c r="S491" s="8">
        <v>13.4</v>
      </c>
      <c r="T491" s="8">
        <v>21.36</v>
      </c>
      <c r="U491" s="8">
        <v>21.38</v>
      </c>
      <c r="V491" s="8"/>
      <c r="W491" s="8"/>
      <c r="X491" s="8"/>
      <c r="Y491" s="8"/>
      <c r="Z491" s="8"/>
      <c r="AA491" s="8"/>
      <c r="AB491" s="8"/>
      <c r="AC491" s="8">
        <v>11.41</v>
      </c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11"/>
      <c r="AQ491" s="8"/>
      <c r="AR491" s="8"/>
      <c r="AS491" s="8"/>
      <c r="AT491" s="8">
        <v>1888.23</v>
      </c>
      <c r="AU491" s="8"/>
      <c r="AV491" s="8"/>
      <c r="AW491" s="8"/>
      <c r="AX491" s="8"/>
      <c r="AY491" s="8"/>
      <c r="AZ491" s="8"/>
      <c r="BA491" s="8">
        <v>65.3</v>
      </c>
      <c r="BB491" s="8"/>
      <c r="BC491" s="8"/>
      <c r="BD491" s="8"/>
      <c r="BE491" s="8"/>
      <c r="BF491" s="8">
        <v>199.36</v>
      </c>
      <c r="BG491" s="8">
        <v>148.61000000000001</v>
      </c>
      <c r="BH491" s="9">
        <f t="shared" si="63"/>
        <v>2841.8599999999997</v>
      </c>
      <c r="BI491" s="9">
        <f t="shared" si="64"/>
        <v>7.98</v>
      </c>
      <c r="BJ491" s="9">
        <f t="shared" si="65"/>
        <v>13.4</v>
      </c>
      <c r="BK491" s="9">
        <f t="shared" si="66"/>
        <v>42.739999999999995</v>
      </c>
      <c r="BL491" s="9">
        <f t="shared" si="67"/>
        <v>0</v>
      </c>
      <c r="BM491" s="9">
        <f t="shared" si="68"/>
        <v>11.41</v>
      </c>
      <c r="BN491" s="9">
        <f t="shared" si="69"/>
        <v>1888.23</v>
      </c>
      <c r="BO491" s="9">
        <f t="shared" si="70"/>
        <v>65.3</v>
      </c>
      <c r="BP491" s="9">
        <f t="shared" si="71"/>
        <v>199.36</v>
      </c>
    </row>
    <row r="492" spans="1:68">
      <c r="A492" s="6">
        <v>44649</v>
      </c>
      <c r="B492" s="7">
        <v>3106</v>
      </c>
      <c r="C492" s="8">
        <v>4146.83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>
        <v>11.13</v>
      </c>
      <c r="O492" s="8"/>
      <c r="P492" s="8"/>
      <c r="Q492" s="11"/>
      <c r="R492" s="11"/>
      <c r="S492" s="8">
        <v>12.86</v>
      </c>
      <c r="T492" s="8"/>
      <c r="U492" s="8">
        <v>52.64</v>
      </c>
      <c r="V492" s="8"/>
      <c r="W492" s="8"/>
      <c r="X492" s="8"/>
      <c r="Y492" s="8"/>
      <c r="Z492" s="8"/>
      <c r="AA492" s="8"/>
      <c r="AB492" s="8"/>
      <c r="AC492" s="8">
        <v>16.59</v>
      </c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11"/>
      <c r="AQ492" s="8"/>
      <c r="AR492" s="8"/>
      <c r="AS492" s="8"/>
      <c r="AT492" s="8">
        <v>2373.48</v>
      </c>
      <c r="AU492" s="8"/>
      <c r="AV492" s="8"/>
      <c r="AW492" s="8"/>
      <c r="AX492" s="8">
        <v>5.19</v>
      </c>
      <c r="AY492" s="8"/>
      <c r="AZ492" s="8"/>
      <c r="BA492" s="8"/>
      <c r="BB492" s="8"/>
      <c r="BC492" s="8"/>
      <c r="BD492" s="8"/>
      <c r="BE492" s="8"/>
      <c r="BF492" s="8"/>
      <c r="BG492" s="8">
        <v>178.44</v>
      </c>
      <c r="BH492" s="9">
        <f t="shared" si="63"/>
        <v>4146.83</v>
      </c>
      <c r="BI492" s="9">
        <f t="shared" si="64"/>
        <v>11.13</v>
      </c>
      <c r="BJ492" s="9">
        <f t="shared" si="65"/>
        <v>12.86</v>
      </c>
      <c r="BK492" s="9">
        <f t="shared" si="66"/>
        <v>52.64</v>
      </c>
      <c r="BL492" s="9">
        <f t="shared" si="67"/>
        <v>0</v>
      </c>
      <c r="BM492" s="9">
        <f t="shared" si="68"/>
        <v>16.59</v>
      </c>
      <c r="BN492" s="9">
        <f t="shared" si="69"/>
        <v>2373.48</v>
      </c>
      <c r="BO492" s="9">
        <f t="shared" si="70"/>
        <v>5.19</v>
      </c>
      <c r="BP492" s="9">
        <f t="shared" si="71"/>
        <v>0</v>
      </c>
    </row>
    <row r="493" spans="1:68">
      <c r="A493" s="6">
        <v>44649</v>
      </c>
      <c r="B493" s="7">
        <v>3135</v>
      </c>
      <c r="C493" s="8">
        <v>1043.81</v>
      </c>
      <c r="D493" s="8">
        <v>146.16999999999999</v>
      </c>
      <c r="E493" s="8"/>
      <c r="F493" s="8"/>
      <c r="G493" s="8"/>
      <c r="H493" s="8">
        <v>493.66</v>
      </c>
      <c r="I493" s="8"/>
      <c r="J493" s="8"/>
      <c r="K493" s="8"/>
      <c r="L493" s="8"/>
      <c r="M493" s="8"/>
      <c r="N493" s="8">
        <v>3.22</v>
      </c>
      <c r="O493" s="8"/>
      <c r="P493" s="8"/>
      <c r="Q493" s="11"/>
      <c r="R493" s="11"/>
      <c r="S493" s="8">
        <v>6.73</v>
      </c>
      <c r="T493" s="8">
        <v>10.24</v>
      </c>
      <c r="U493" s="8">
        <v>8.7799999999999994</v>
      </c>
      <c r="V493" s="8"/>
      <c r="W493" s="8"/>
      <c r="X493" s="8"/>
      <c r="Y493" s="8"/>
      <c r="Z493" s="8"/>
      <c r="AA493" s="8"/>
      <c r="AB493" s="8"/>
      <c r="AC493" s="8">
        <v>5.85</v>
      </c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11"/>
      <c r="AQ493" s="8"/>
      <c r="AR493" s="8"/>
      <c r="AS493" s="8"/>
      <c r="AT493" s="8">
        <v>1030.08</v>
      </c>
      <c r="AU493" s="8"/>
      <c r="AV493" s="8"/>
      <c r="AW493" s="8"/>
      <c r="AX493" s="8"/>
      <c r="AY493" s="8"/>
      <c r="AZ493" s="8"/>
      <c r="BA493" s="8">
        <v>33.369999999999997</v>
      </c>
      <c r="BB493" s="8"/>
      <c r="BC493" s="8"/>
      <c r="BD493" s="8"/>
      <c r="BE493" s="8"/>
      <c r="BF493" s="8">
        <v>65.900000000000006</v>
      </c>
      <c r="BG493" s="8">
        <v>78.08</v>
      </c>
      <c r="BH493" s="9">
        <f t="shared" si="63"/>
        <v>1683.64</v>
      </c>
      <c r="BI493" s="9">
        <f t="shared" si="64"/>
        <v>3.22</v>
      </c>
      <c r="BJ493" s="9">
        <f t="shared" si="65"/>
        <v>6.73</v>
      </c>
      <c r="BK493" s="9">
        <f t="shared" si="66"/>
        <v>19.02</v>
      </c>
      <c r="BL493" s="9">
        <f t="shared" si="67"/>
        <v>0</v>
      </c>
      <c r="BM493" s="9">
        <f t="shared" si="68"/>
        <v>5.85</v>
      </c>
      <c r="BN493" s="9">
        <f t="shared" si="69"/>
        <v>1030.08</v>
      </c>
      <c r="BO493" s="9">
        <f t="shared" si="70"/>
        <v>33.369999999999997</v>
      </c>
      <c r="BP493" s="9">
        <f t="shared" si="71"/>
        <v>65.900000000000006</v>
      </c>
    </row>
    <row r="494" spans="1:68">
      <c r="A494" s="6">
        <v>44649</v>
      </c>
      <c r="B494" s="7">
        <v>3016</v>
      </c>
      <c r="C494" s="8"/>
      <c r="D494" s="8">
        <v>2354.1999999999998</v>
      </c>
      <c r="E494" s="8"/>
      <c r="F494" s="8"/>
      <c r="G494" s="8"/>
      <c r="H494" s="8"/>
      <c r="I494" s="8">
        <v>2162.33</v>
      </c>
      <c r="J494" s="8"/>
      <c r="K494" s="8"/>
      <c r="L494" s="8"/>
      <c r="M494" s="8"/>
      <c r="N494" s="8">
        <v>27.16</v>
      </c>
      <c r="O494" s="8"/>
      <c r="P494" s="8"/>
      <c r="Q494" s="11"/>
      <c r="R494" s="11"/>
      <c r="S494" s="8">
        <v>3.16</v>
      </c>
      <c r="T494" s="8">
        <v>45.36</v>
      </c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>
        <f>681*26.65/1000</f>
        <v>18.148649999999996</v>
      </c>
      <c r="AN494" s="8">
        <f>2061*26.65/1000</f>
        <v>54.925649999999997</v>
      </c>
      <c r="AO494" s="8"/>
      <c r="AP494" s="11"/>
      <c r="AQ494" s="8"/>
      <c r="AR494" s="8">
        <f>4259*26.65/1000</f>
        <v>113.50234999999999</v>
      </c>
      <c r="AS494" s="8"/>
      <c r="AT494" s="8">
        <v>1683.24</v>
      </c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>
        <v>122.99</v>
      </c>
      <c r="BH494" s="9">
        <f t="shared" si="63"/>
        <v>4516.53</v>
      </c>
      <c r="BI494" s="9">
        <f t="shared" si="64"/>
        <v>27.16</v>
      </c>
      <c r="BJ494" s="9">
        <f t="shared" si="65"/>
        <v>3.16</v>
      </c>
      <c r="BK494" s="9">
        <f t="shared" si="66"/>
        <v>45.36</v>
      </c>
      <c r="BL494" s="9">
        <f t="shared" si="67"/>
        <v>0</v>
      </c>
      <c r="BM494" s="9">
        <f t="shared" si="68"/>
        <v>186.57664999999997</v>
      </c>
      <c r="BN494" s="9">
        <f t="shared" si="69"/>
        <v>1683.24</v>
      </c>
      <c r="BO494" s="9">
        <f t="shared" si="70"/>
        <v>0</v>
      </c>
      <c r="BP494" s="9">
        <f t="shared" si="71"/>
        <v>0</v>
      </c>
    </row>
    <row r="495" spans="1:68">
      <c r="A495" s="6">
        <v>44649</v>
      </c>
      <c r="B495" s="7">
        <v>3307</v>
      </c>
      <c r="C495" s="8"/>
      <c r="D495" s="8">
        <v>991.82</v>
      </c>
      <c r="E495" s="8"/>
      <c r="F495" s="8"/>
      <c r="G495" s="8"/>
      <c r="H495" s="8"/>
      <c r="I495" s="8"/>
      <c r="J495" s="8"/>
      <c r="K495" s="8"/>
      <c r="L495" s="8"/>
      <c r="M495" s="8">
        <v>1.29</v>
      </c>
      <c r="N495" s="8"/>
      <c r="O495" s="8"/>
      <c r="P495" s="8"/>
      <c r="Q495" s="11"/>
      <c r="R495" s="11"/>
      <c r="S495" s="8">
        <v>7.24</v>
      </c>
      <c r="T495" s="8">
        <v>9.91</v>
      </c>
      <c r="U495" s="8"/>
      <c r="V495" s="8"/>
      <c r="W495" s="8"/>
      <c r="X495" s="8"/>
      <c r="Y495" s="8"/>
      <c r="Z495" s="8"/>
      <c r="AA495" s="8"/>
      <c r="AB495" s="8"/>
      <c r="AC495" s="8">
        <v>5.95</v>
      </c>
      <c r="AD495" s="8"/>
      <c r="AE495" s="8"/>
      <c r="AF495" s="8"/>
      <c r="AG495" s="8">
        <v>9.92</v>
      </c>
      <c r="AH495" s="8"/>
      <c r="AI495" s="8"/>
      <c r="AJ495" s="8"/>
      <c r="AK495" s="8"/>
      <c r="AL495" s="8"/>
      <c r="AM495" s="8"/>
      <c r="AN495" s="8"/>
      <c r="AO495" s="8"/>
      <c r="AP495" s="11"/>
      <c r="AQ495" s="8"/>
      <c r="AR495" s="8"/>
      <c r="AS495" s="8"/>
      <c r="AT495" s="8"/>
      <c r="AU495" s="8">
        <v>496.65</v>
      </c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>
        <v>35.659999999999997</v>
      </c>
      <c r="BH495" s="9">
        <f t="shared" si="63"/>
        <v>991.82</v>
      </c>
      <c r="BI495" s="9">
        <f t="shared" si="64"/>
        <v>1.29</v>
      </c>
      <c r="BJ495" s="9">
        <f t="shared" si="65"/>
        <v>7.24</v>
      </c>
      <c r="BK495" s="9">
        <f t="shared" si="66"/>
        <v>9.91</v>
      </c>
      <c r="BL495" s="9">
        <f t="shared" si="67"/>
        <v>0</v>
      </c>
      <c r="BM495" s="9">
        <f t="shared" si="68"/>
        <v>15.870000000000001</v>
      </c>
      <c r="BN495" s="9">
        <f t="shared" si="69"/>
        <v>496.65</v>
      </c>
      <c r="BO495" s="9">
        <f t="shared" si="70"/>
        <v>0</v>
      </c>
      <c r="BP495" s="9">
        <f t="shared" si="71"/>
        <v>0</v>
      </c>
    </row>
    <row r="496" spans="1:68">
      <c r="A496" s="6">
        <v>44650</v>
      </c>
      <c r="B496" s="7">
        <v>3205</v>
      </c>
      <c r="C496" s="8">
        <f>480.04+672.13+31.41</f>
        <v>1183.5800000000002</v>
      </c>
      <c r="D496" s="8">
        <f>267.17+373.97+17.38</f>
        <v>658.5200000000001</v>
      </c>
      <c r="E496" s="8">
        <f>320.2+447.67+21.02</f>
        <v>788.89</v>
      </c>
      <c r="F496" s="8"/>
      <c r="G496" s="8"/>
      <c r="H496" s="8"/>
      <c r="I496" s="8"/>
      <c r="J496" s="8"/>
      <c r="K496" s="8"/>
      <c r="L496" s="8"/>
      <c r="M496" s="8"/>
      <c r="N496" s="8"/>
      <c r="O496" s="8">
        <f>4.29+5.97+0.28</f>
        <v>10.54</v>
      </c>
      <c r="P496" s="8"/>
      <c r="Q496" s="11"/>
      <c r="R496" s="11"/>
      <c r="S496" s="8">
        <f>4.49+5.16+0.21</f>
        <v>9.8600000000000012</v>
      </c>
      <c r="T496" s="8"/>
      <c r="U496" s="8">
        <f>12.86+17.94+0.85</f>
        <v>31.650000000000002</v>
      </c>
      <c r="V496" s="8"/>
      <c r="W496" s="8"/>
      <c r="X496" s="8"/>
      <c r="Y496" s="8"/>
      <c r="Z496" s="8">
        <f>107.06+149.46+7.02</f>
        <v>263.53999999999996</v>
      </c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11"/>
      <c r="AQ496" s="8"/>
      <c r="AR496" s="8"/>
      <c r="AS496" s="8"/>
      <c r="AT496" s="8">
        <f>278.5+389.29+18.23</f>
        <v>686.02</v>
      </c>
      <c r="AU496" s="8">
        <f>139.32+194.52+9.11</f>
        <v>342.95000000000005</v>
      </c>
      <c r="AV496" s="8"/>
      <c r="AW496" s="8">
        <f>4.6+6.42+0.3</f>
        <v>11.32</v>
      </c>
      <c r="AX496" s="8"/>
      <c r="AY496" s="8"/>
      <c r="AZ496" s="8"/>
      <c r="BA496" s="8"/>
      <c r="BB496" s="8"/>
      <c r="BC496" s="8"/>
      <c r="BD496" s="8"/>
      <c r="BE496" s="8"/>
      <c r="BF496" s="8"/>
      <c r="BG496" s="8">
        <f>25.1+35.03+1.65</f>
        <v>61.78</v>
      </c>
      <c r="BH496" s="9">
        <f t="shared" si="63"/>
        <v>2630.9900000000002</v>
      </c>
      <c r="BI496" s="9">
        <f t="shared" si="64"/>
        <v>10.54</v>
      </c>
      <c r="BJ496" s="9">
        <f t="shared" si="65"/>
        <v>9.8600000000000012</v>
      </c>
      <c r="BK496" s="9">
        <f t="shared" si="66"/>
        <v>31.650000000000002</v>
      </c>
      <c r="BL496" s="9">
        <f t="shared" si="67"/>
        <v>263.53999999999996</v>
      </c>
      <c r="BM496" s="9">
        <f t="shared" si="68"/>
        <v>0</v>
      </c>
      <c r="BN496" s="9">
        <f t="shared" si="69"/>
        <v>1028.97</v>
      </c>
      <c r="BO496" s="9">
        <f t="shared" si="70"/>
        <v>11.32</v>
      </c>
      <c r="BP496" s="9">
        <f t="shared" si="71"/>
        <v>0</v>
      </c>
    </row>
    <row r="497" spans="1:68">
      <c r="A497" s="6">
        <v>44650</v>
      </c>
      <c r="B497" s="7">
        <v>3134</v>
      </c>
      <c r="C497" s="8">
        <v>1080.52</v>
      </c>
      <c r="D497" s="8">
        <v>151.71</v>
      </c>
      <c r="E497" s="8"/>
      <c r="F497" s="8"/>
      <c r="G497" s="8"/>
      <c r="H497" s="8">
        <v>510.3</v>
      </c>
      <c r="I497" s="8"/>
      <c r="J497" s="8"/>
      <c r="K497" s="8"/>
      <c r="L497" s="8"/>
      <c r="M497" s="8"/>
      <c r="N497" s="8">
        <v>3.35</v>
      </c>
      <c r="O497" s="8"/>
      <c r="P497" s="8"/>
      <c r="Q497" s="11"/>
      <c r="R497" s="11"/>
      <c r="S497" s="8">
        <v>7</v>
      </c>
      <c r="T497" s="8">
        <v>10.65</v>
      </c>
      <c r="U497" s="8">
        <v>9.1199999999999992</v>
      </c>
      <c r="V497" s="8"/>
      <c r="W497" s="8"/>
      <c r="X497" s="8"/>
      <c r="Y497" s="8"/>
      <c r="Z497" s="8"/>
      <c r="AA497" s="8"/>
      <c r="AB497" s="8"/>
      <c r="AC497" s="8">
        <v>6.09</v>
      </c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11"/>
      <c r="AQ497" s="8"/>
      <c r="AR497" s="8"/>
      <c r="AS497" s="8"/>
      <c r="AT497" s="8">
        <v>1071.93</v>
      </c>
      <c r="AU497" s="8"/>
      <c r="AV497" s="8"/>
      <c r="AW497" s="8"/>
      <c r="AX497" s="8"/>
      <c r="AY497" s="8">
        <v>15.35</v>
      </c>
      <c r="AZ497" s="8"/>
      <c r="BA497" s="8"/>
      <c r="BB497" s="8"/>
      <c r="BC497" s="8"/>
      <c r="BD497" s="8"/>
      <c r="BE497" s="8"/>
      <c r="BF497" s="8">
        <v>68.38</v>
      </c>
      <c r="BG497" s="8">
        <v>80.510000000000005</v>
      </c>
      <c r="BH497" s="9">
        <f t="shared" si="63"/>
        <v>1742.53</v>
      </c>
      <c r="BI497" s="9">
        <f t="shared" si="64"/>
        <v>3.35</v>
      </c>
      <c r="BJ497" s="9">
        <f t="shared" si="65"/>
        <v>7</v>
      </c>
      <c r="BK497" s="9">
        <f t="shared" si="66"/>
        <v>19.77</v>
      </c>
      <c r="BL497" s="9">
        <f t="shared" si="67"/>
        <v>0</v>
      </c>
      <c r="BM497" s="9">
        <f t="shared" si="68"/>
        <v>6.09</v>
      </c>
      <c r="BN497" s="9">
        <f t="shared" si="69"/>
        <v>1071.93</v>
      </c>
      <c r="BO497" s="9">
        <f t="shared" si="70"/>
        <v>15.35</v>
      </c>
      <c r="BP497" s="9">
        <f t="shared" si="71"/>
        <v>68.38</v>
      </c>
    </row>
    <row r="498" spans="1:68">
      <c r="A498" s="6">
        <v>44650</v>
      </c>
      <c r="B498" s="7">
        <v>3104</v>
      </c>
      <c r="C498" s="8">
        <v>1525.49</v>
      </c>
      <c r="D498" s="8"/>
      <c r="E498" s="8"/>
      <c r="F498" s="8"/>
      <c r="G498" s="8"/>
      <c r="H498" s="8">
        <v>394.19</v>
      </c>
      <c r="I498" s="8"/>
      <c r="J498" s="8"/>
      <c r="K498" s="8"/>
      <c r="L498" s="8"/>
      <c r="M498" s="8"/>
      <c r="N498" s="8">
        <v>4.38</v>
      </c>
      <c r="O498" s="8"/>
      <c r="P498" s="8"/>
      <c r="Q498" s="11"/>
      <c r="R498" s="11"/>
      <c r="S498" s="8">
        <v>8.0399999999999991</v>
      </c>
      <c r="T498" s="8">
        <v>14.02</v>
      </c>
      <c r="U498" s="8">
        <v>6.11</v>
      </c>
      <c r="V498" s="8"/>
      <c r="W498" s="8"/>
      <c r="X498" s="8"/>
      <c r="Y498" s="8"/>
      <c r="Z498" s="8"/>
      <c r="AA498" s="8"/>
      <c r="AB498" s="8"/>
      <c r="AC498" s="8">
        <v>6.99</v>
      </c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11"/>
      <c r="AQ498" s="8"/>
      <c r="AR498" s="8"/>
      <c r="AS498" s="8"/>
      <c r="AT498" s="8">
        <v>1118.08</v>
      </c>
      <c r="AU498" s="8"/>
      <c r="AV498" s="8"/>
      <c r="AW498" s="8"/>
      <c r="AX498" s="8"/>
      <c r="AY498" s="8"/>
      <c r="AZ498" s="8"/>
      <c r="BA498" s="8">
        <v>39.79</v>
      </c>
      <c r="BB498" s="8"/>
      <c r="BC498" s="8"/>
      <c r="BD498" s="8"/>
      <c r="BE498" s="8"/>
      <c r="BF498" s="8">
        <v>34.99</v>
      </c>
      <c r="BG498" s="8">
        <v>86.39</v>
      </c>
      <c r="BH498" s="9">
        <f t="shared" si="63"/>
        <v>1919.68</v>
      </c>
      <c r="BI498" s="9">
        <f t="shared" si="64"/>
        <v>4.38</v>
      </c>
      <c r="BJ498" s="9">
        <f t="shared" si="65"/>
        <v>8.0399999999999991</v>
      </c>
      <c r="BK498" s="9">
        <f t="shared" si="66"/>
        <v>20.13</v>
      </c>
      <c r="BL498" s="9">
        <f t="shared" si="67"/>
        <v>0</v>
      </c>
      <c r="BM498" s="9">
        <f t="shared" si="68"/>
        <v>6.99</v>
      </c>
      <c r="BN498" s="9">
        <f t="shared" si="69"/>
        <v>1118.08</v>
      </c>
      <c r="BO498" s="9">
        <f t="shared" si="70"/>
        <v>39.79</v>
      </c>
      <c r="BP498" s="9">
        <f t="shared" si="71"/>
        <v>34.99</v>
      </c>
    </row>
    <row r="499" spans="1:68">
      <c r="A499" s="6">
        <v>44650</v>
      </c>
      <c r="B499" s="7">
        <v>3106</v>
      </c>
      <c r="C499" s="8">
        <v>4131.8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>
        <v>10.74</v>
      </c>
      <c r="O499" s="8"/>
      <c r="P499" s="8"/>
      <c r="Q499" s="11"/>
      <c r="R499" s="11"/>
      <c r="S499" s="8">
        <v>12.8</v>
      </c>
      <c r="T499" s="8">
        <v>52.49</v>
      </c>
      <c r="U499" s="8"/>
      <c r="V499" s="8"/>
      <c r="W499" s="8"/>
      <c r="X499" s="8"/>
      <c r="Y499" s="8"/>
      <c r="Z499" s="8"/>
      <c r="AA499" s="8"/>
      <c r="AB499" s="8"/>
      <c r="AC499" s="8">
        <v>16.52</v>
      </c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11"/>
      <c r="AQ499" s="8"/>
      <c r="AR499" s="8"/>
      <c r="AS499" s="8"/>
      <c r="AT499" s="8">
        <v>2364.34</v>
      </c>
      <c r="AU499" s="8"/>
      <c r="AV499" s="8"/>
      <c r="AW499" s="8"/>
      <c r="AX499" s="8">
        <v>5.17</v>
      </c>
      <c r="AY499" s="8"/>
      <c r="AZ499" s="8"/>
      <c r="BA499" s="8"/>
      <c r="BB499" s="8"/>
      <c r="BC499" s="8"/>
      <c r="BD499" s="8"/>
      <c r="BE499" s="8"/>
      <c r="BF499" s="8"/>
      <c r="BG499" s="8">
        <v>177.66</v>
      </c>
      <c r="BH499" s="9">
        <f t="shared" si="63"/>
        <v>4131.8</v>
      </c>
      <c r="BI499" s="9">
        <f t="shared" si="64"/>
        <v>10.74</v>
      </c>
      <c r="BJ499" s="9">
        <f t="shared" si="65"/>
        <v>12.8</v>
      </c>
      <c r="BK499" s="9">
        <f t="shared" si="66"/>
        <v>52.49</v>
      </c>
      <c r="BL499" s="9">
        <f t="shared" si="67"/>
        <v>0</v>
      </c>
      <c r="BM499" s="9">
        <f t="shared" si="68"/>
        <v>16.52</v>
      </c>
      <c r="BN499" s="9">
        <f t="shared" si="69"/>
        <v>2364.34</v>
      </c>
      <c r="BO499" s="9">
        <f t="shared" si="70"/>
        <v>5.17</v>
      </c>
      <c r="BP499" s="9">
        <f t="shared" si="71"/>
        <v>0</v>
      </c>
    </row>
    <row r="500" spans="1:68">
      <c r="A500" s="6">
        <v>44650</v>
      </c>
      <c r="B500" s="7">
        <v>3112</v>
      </c>
      <c r="C500" s="8">
        <v>1720.21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>
        <v>3.18</v>
      </c>
      <c r="O500" s="8"/>
      <c r="P500" s="8"/>
      <c r="Q500" s="11"/>
      <c r="R500" s="11"/>
      <c r="S500" s="8">
        <v>5.34</v>
      </c>
      <c r="T500" s="8">
        <v>17.190000000000001</v>
      </c>
      <c r="U500" s="8"/>
      <c r="V500" s="8"/>
      <c r="W500" s="8"/>
      <c r="X500" s="8"/>
      <c r="Y500" s="8"/>
      <c r="Z500" s="8"/>
      <c r="AA500" s="8"/>
      <c r="AB500" s="8"/>
      <c r="AC500" s="8">
        <v>6.88</v>
      </c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11"/>
      <c r="AQ500" s="8"/>
      <c r="AR500" s="8"/>
      <c r="AS500" s="8"/>
      <c r="AT500" s="8">
        <v>720.74</v>
      </c>
      <c r="AU500" s="8"/>
      <c r="AV500" s="8"/>
      <c r="AW500" s="8"/>
      <c r="AX500" s="8"/>
      <c r="AY500" s="8"/>
      <c r="AZ500" s="8"/>
      <c r="BA500" s="8">
        <v>22.69</v>
      </c>
      <c r="BB500" s="8"/>
      <c r="BC500" s="8"/>
      <c r="BD500" s="8"/>
      <c r="BE500" s="8"/>
      <c r="BF500" s="8"/>
      <c r="BG500" s="8">
        <v>51.67</v>
      </c>
      <c r="BH500" s="9">
        <f t="shared" si="63"/>
        <v>1720.21</v>
      </c>
      <c r="BI500" s="9">
        <f t="shared" si="64"/>
        <v>3.18</v>
      </c>
      <c r="BJ500" s="9">
        <f t="shared" si="65"/>
        <v>5.34</v>
      </c>
      <c r="BK500" s="9">
        <f t="shared" si="66"/>
        <v>17.190000000000001</v>
      </c>
      <c r="BL500" s="9">
        <f t="shared" si="67"/>
        <v>0</v>
      </c>
      <c r="BM500" s="9">
        <f t="shared" si="68"/>
        <v>6.88</v>
      </c>
      <c r="BN500" s="9">
        <f t="shared" si="69"/>
        <v>720.74</v>
      </c>
      <c r="BO500" s="9">
        <f t="shared" si="70"/>
        <v>22.69</v>
      </c>
      <c r="BP500" s="9">
        <f t="shared" si="71"/>
        <v>0</v>
      </c>
    </row>
    <row r="501" spans="1:68">
      <c r="A501" s="6">
        <v>44650</v>
      </c>
      <c r="B501" s="7">
        <v>3079</v>
      </c>
      <c r="C501" s="8"/>
      <c r="D501" s="8"/>
      <c r="E501" s="8"/>
      <c r="F501" s="8">
        <v>494.72</v>
      </c>
      <c r="G501" s="8"/>
      <c r="H501" s="8"/>
      <c r="I501" s="8">
        <v>4033.22</v>
      </c>
      <c r="J501" s="8"/>
      <c r="K501" s="8"/>
      <c r="L501" s="8"/>
      <c r="M501" s="8"/>
      <c r="N501" s="8">
        <v>34.06</v>
      </c>
      <c r="O501" s="8"/>
      <c r="P501" s="8"/>
      <c r="Q501" s="11"/>
      <c r="R501" s="11"/>
      <c r="S501" s="8">
        <v>1.8</v>
      </c>
      <c r="T501" s="8">
        <v>45.48</v>
      </c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>
        <f>676*26.73/1000</f>
        <v>18.069479999999999</v>
      </c>
      <c r="AN501" s="8">
        <f>1712*26.73/1000</f>
        <v>45.761760000000002</v>
      </c>
      <c r="AO501" s="8"/>
      <c r="AP501" s="11"/>
      <c r="AQ501" s="8"/>
      <c r="AR501" s="8">
        <f>4208*26.73/1000</f>
        <v>112.47984</v>
      </c>
      <c r="AS501" s="8"/>
      <c r="AT501" s="8">
        <v>1730.76</v>
      </c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>
        <v>124.92</v>
      </c>
      <c r="BH501" s="9">
        <f t="shared" si="63"/>
        <v>4527.9399999999996</v>
      </c>
      <c r="BI501" s="9">
        <f t="shared" si="64"/>
        <v>34.06</v>
      </c>
      <c r="BJ501" s="9">
        <f t="shared" si="65"/>
        <v>1.8</v>
      </c>
      <c r="BK501" s="9">
        <f t="shared" si="66"/>
        <v>45.48</v>
      </c>
      <c r="BL501" s="9">
        <f t="shared" si="67"/>
        <v>0</v>
      </c>
      <c r="BM501" s="9">
        <f t="shared" si="68"/>
        <v>176.31108</v>
      </c>
      <c r="BN501" s="9">
        <f t="shared" si="69"/>
        <v>1730.76</v>
      </c>
      <c r="BO501" s="9">
        <f t="shared" si="70"/>
        <v>0</v>
      </c>
      <c r="BP501" s="9">
        <f t="shared" si="71"/>
        <v>0</v>
      </c>
    </row>
    <row r="502" spans="1:68">
      <c r="A502" s="6">
        <v>44650</v>
      </c>
      <c r="B502" s="7">
        <v>3025</v>
      </c>
      <c r="C502" s="8"/>
      <c r="D502" s="8">
        <v>119.97</v>
      </c>
      <c r="E502" s="8"/>
      <c r="F502" s="8"/>
      <c r="G502" s="8"/>
      <c r="H502" s="8"/>
      <c r="I502" s="8">
        <v>689.29</v>
      </c>
      <c r="J502" s="8"/>
      <c r="K502" s="8"/>
      <c r="L502" s="8"/>
      <c r="M502" s="8"/>
      <c r="N502" s="8">
        <v>4.38</v>
      </c>
      <c r="O502" s="8"/>
      <c r="P502" s="8"/>
      <c r="Q502" s="11"/>
      <c r="R502" s="11"/>
      <c r="S502" s="8">
        <v>1.3</v>
      </c>
      <c r="T502" s="8"/>
      <c r="U502" s="8"/>
      <c r="V502" s="8"/>
      <c r="W502" s="8">
        <f>923*8.12/1000</f>
        <v>7.4947599999999994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>
        <f>1022*8.12/1000</f>
        <v>8.2986399999999989</v>
      </c>
      <c r="AN502" s="8">
        <f>706*8.12/1000</f>
        <v>5.7327199999999996</v>
      </c>
      <c r="AO502" s="8"/>
      <c r="AP502" s="11"/>
      <c r="AQ502" s="8"/>
      <c r="AR502" s="8"/>
      <c r="AS502" s="8">
        <f>3321*8.12/1000</f>
        <v>26.966519999999996</v>
      </c>
      <c r="AT502" s="8">
        <v>280.44</v>
      </c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>
        <v>18.600000000000001</v>
      </c>
      <c r="BH502" s="9">
        <f t="shared" si="63"/>
        <v>809.26</v>
      </c>
      <c r="BI502" s="9">
        <f t="shared" si="64"/>
        <v>4.38</v>
      </c>
      <c r="BJ502" s="9">
        <f t="shared" si="65"/>
        <v>1.3</v>
      </c>
      <c r="BK502" s="9">
        <f t="shared" si="66"/>
        <v>7.4947599999999994</v>
      </c>
      <c r="BL502" s="9">
        <f t="shared" si="67"/>
        <v>0</v>
      </c>
      <c r="BM502" s="9">
        <f t="shared" si="68"/>
        <v>40.997879999999995</v>
      </c>
      <c r="BN502" s="9">
        <f t="shared" si="69"/>
        <v>280.44</v>
      </c>
      <c r="BO502" s="9">
        <f t="shared" si="70"/>
        <v>0</v>
      </c>
      <c r="BP502" s="9">
        <f t="shared" si="71"/>
        <v>0</v>
      </c>
    </row>
    <row r="503" spans="1:68">
      <c r="A503" s="6">
        <v>44650</v>
      </c>
      <c r="B503" s="7">
        <v>3022</v>
      </c>
      <c r="C503" s="8"/>
      <c r="D503" s="8">
        <v>331.15</v>
      </c>
      <c r="E503" s="8"/>
      <c r="F503" s="8"/>
      <c r="G503" s="8"/>
      <c r="H503" s="8"/>
      <c r="I503" s="8">
        <v>274.08</v>
      </c>
      <c r="J503" s="8"/>
      <c r="K503" s="8"/>
      <c r="L503" s="8"/>
      <c r="M503" s="8"/>
      <c r="N503" s="8">
        <v>3.03</v>
      </c>
      <c r="O503" s="8"/>
      <c r="P503" s="8"/>
      <c r="Q503" s="11"/>
      <c r="R503" s="11"/>
      <c r="S503" s="8">
        <v>1.0900000000000001</v>
      </c>
      <c r="T503" s="8"/>
      <c r="U503" s="8"/>
      <c r="V503" s="8"/>
      <c r="W503" s="8">
        <f>1103*5.5/1000</f>
        <v>6.0664999999999996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>
        <f>1439*5.5/1000</f>
        <v>7.9145000000000003</v>
      </c>
      <c r="AN503" s="8"/>
      <c r="AO503" s="8"/>
      <c r="AP503" s="11"/>
      <c r="AQ503" s="8"/>
      <c r="AR503" s="8"/>
      <c r="AS503" s="8">
        <f>3847*5.5/1000</f>
        <v>21.1585</v>
      </c>
      <c r="AT503" s="8">
        <v>283.25</v>
      </c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>
        <v>21.79</v>
      </c>
      <c r="BH503" s="9">
        <f t="shared" si="63"/>
        <v>605.23</v>
      </c>
      <c r="BI503" s="9">
        <f t="shared" si="64"/>
        <v>3.03</v>
      </c>
      <c r="BJ503" s="9">
        <f t="shared" si="65"/>
        <v>1.0900000000000001</v>
      </c>
      <c r="BK503" s="9">
        <f t="shared" si="66"/>
        <v>6.0664999999999996</v>
      </c>
      <c r="BL503" s="9">
        <f t="shared" si="67"/>
        <v>0</v>
      </c>
      <c r="BM503" s="9">
        <f t="shared" si="68"/>
        <v>29.073</v>
      </c>
      <c r="BN503" s="9">
        <f t="shared" si="69"/>
        <v>283.25</v>
      </c>
      <c r="BO503" s="9">
        <f t="shared" si="70"/>
        <v>0</v>
      </c>
      <c r="BP503" s="9">
        <f t="shared" si="71"/>
        <v>0</v>
      </c>
    </row>
    <row r="504" spans="1:68">
      <c r="A504" s="6">
        <v>44650</v>
      </c>
      <c r="B504" s="7">
        <v>3020</v>
      </c>
      <c r="C504" s="8"/>
      <c r="D504" s="8">
        <v>175.9</v>
      </c>
      <c r="E504" s="8"/>
      <c r="F504" s="8"/>
      <c r="G504" s="8"/>
      <c r="H504" s="8"/>
      <c r="I504" s="8">
        <v>994.69</v>
      </c>
      <c r="J504" s="8"/>
      <c r="K504" s="8"/>
      <c r="L504" s="8"/>
      <c r="M504" s="8"/>
      <c r="N504" s="8">
        <v>7.02</v>
      </c>
      <c r="O504" s="8"/>
      <c r="P504" s="8"/>
      <c r="Q504" s="11"/>
      <c r="R504" s="11"/>
      <c r="S504" s="8">
        <v>2.1</v>
      </c>
      <c r="T504" s="8"/>
      <c r="U504" s="8"/>
      <c r="V504" s="8"/>
      <c r="W504" s="8">
        <f>1216*9.75/1000</f>
        <v>11.856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>
        <f>1204*9.75/1000</f>
        <v>11.739000000000001</v>
      </c>
      <c r="AN504" s="8"/>
      <c r="AO504" s="8"/>
      <c r="AP504" s="11"/>
      <c r="AQ504" s="8"/>
      <c r="AR504" s="8"/>
      <c r="AS504" s="8">
        <f>3042*9.75/1000</f>
        <v>29.659500000000001</v>
      </c>
      <c r="AT504" s="8">
        <v>574.37</v>
      </c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>
        <v>42.1</v>
      </c>
      <c r="BH504" s="9">
        <f t="shared" si="63"/>
        <v>1170.5900000000001</v>
      </c>
      <c r="BI504" s="9">
        <f t="shared" si="64"/>
        <v>7.02</v>
      </c>
      <c r="BJ504" s="9">
        <f t="shared" si="65"/>
        <v>2.1</v>
      </c>
      <c r="BK504" s="9">
        <f t="shared" si="66"/>
        <v>11.856</v>
      </c>
      <c r="BL504" s="9">
        <f t="shared" si="67"/>
        <v>0</v>
      </c>
      <c r="BM504" s="9">
        <f t="shared" si="68"/>
        <v>41.398499999999999</v>
      </c>
      <c r="BN504" s="9">
        <f t="shared" si="69"/>
        <v>574.37</v>
      </c>
      <c r="BO504" s="9">
        <f t="shared" si="70"/>
        <v>0</v>
      </c>
      <c r="BP504" s="9">
        <f t="shared" si="71"/>
        <v>0</v>
      </c>
    </row>
    <row r="505" spans="1:68">
      <c r="A505" s="6">
        <v>44650</v>
      </c>
      <c r="B505" s="7">
        <v>3204</v>
      </c>
      <c r="C505" s="8"/>
      <c r="D505" s="8">
        <v>966.62</v>
      </c>
      <c r="E505" s="8">
        <v>413.3</v>
      </c>
      <c r="F505" s="8"/>
      <c r="G505" s="8"/>
      <c r="H505" s="8"/>
      <c r="I505" s="8"/>
      <c r="J505" s="8"/>
      <c r="K505" s="8"/>
      <c r="L505" s="8"/>
      <c r="M505" s="8"/>
      <c r="N505" s="8"/>
      <c r="O505" s="8">
        <v>6.91</v>
      </c>
      <c r="P505" s="8"/>
      <c r="Q505" s="11"/>
      <c r="R505" s="11"/>
      <c r="S505" s="8">
        <v>4.7</v>
      </c>
      <c r="T505" s="8">
        <v>8.31</v>
      </c>
      <c r="U505" s="8">
        <v>6.93</v>
      </c>
      <c r="V505" s="8"/>
      <c r="W505" s="8"/>
      <c r="X505" s="8"/>
      <c r="Y505" s="8"/>
      <c r="Z505" s="8">
        <v>207.66</v>
      </c>
      <c r="AA505" s="8"/>
      <c r="AB505" s="8">
        <f>714*9.87/1000</f>
        <v>7.0471799999999991</v>
      </c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11"/>
      <c r="AQ505" s="8"/>
      <c r="AR505" s="8"/>
      <c r="AS505" s="8"/>
      <c r="AT505" s="8">
        <v>610.29999999999995</v>
      </c>
      <c r="AU505" s="8"/>
      <c r="AV505" s="8"/>
      <c r="AW505" s="8">
        <v>4.3899999999999997</v>
      </c>
      <c r="AX505" s="8"/>
      <c r="AY505" s="8"/>
      <c r="AZ505" s="8"/>
      <c r="BA505" s="8"/>
      <c r="BB505" s="8"/>
      <c r="BC505" s="8"/>
      <c r="BD505" s="8"/>
      <c r="BE505" s="8"/>
      <c r="BF505" s="8"/>
      <c r="BG505" s="8">
        <v>44.98</v>
      </c>
      <c r="BH505" s="9">
        <f t="shared" si="63"/>
        <v>1379.92</v>
      </c>
      <c r="BI505" s="9">
        <f t="shared" si="64"/>
        <v>6.91</v>
      </c>
      <c r="BJ505" s="9">
        <f t="shared" si="65"/>
        <v>4.7</v>
      </c>
      <c r="BK505" s="9">
        <f t="shared" si="66"/>
        <v>15.24</v>
      </c>
      <c r="BL505" s="9">
        <f t="shared" si="67"/>
        <v>207.66</v>
      </c>
      <c r="BM505" s="9">
        <f t="shared" si="68"/>
        <v>7.0471799999999991</v>
      </c>
      <c r="BN505" s="9">
        <f t="shared" si="69"/>
        <v>610.29999999999995</v>
      </c>
      <c r="BO505" s="9">
        <f t="shared" si="70"/>
        <v>4.3899999999999997</v>
      </c>
      <c r="BP505" s="9">
        <f t="shared" si="71"/>
        <v>0</v>
      </c>
    </row>
    <row r="506" spans="1:68">
      <c r="A506" s="6">
        <v>44650</v>
      </c>
      <c r="B506" s="7">
        <v>3602</v>
      </c>
      <c r="C506" s="8">
        <v>584.64</v>
      </c>
      <c r="D506" s="8"/>
      <c r="E506" s="8"/>
      <c r="F506" s="8"/>
      <c r="G506" s="8">
        <v>876.5</v>
      </c>
      <c r="H506" s="8"/>
      <c r="I506" s="8"/>
      <c r="J506" s="8"/>
      <c r="K506" s="8"/>
      <c r="L506" s="8"/>
      <c r="M506" s="8">
        <v>1.51</v>
      </c>
      <c r="N506" s="8"/>
      <c r="O506" s="8"/>
      <c r="P506" s="8"/>
      <c r="Q506" s="11"/>
      <c r="R506" s="11"/>
      <c r="S506" s="8">
        <v>7.86</v>
      </c>
      <c r="T506" s="8"/>
      <c r="U506" s="8">
        <v>4.6900000000000004</v>
      </c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11"/>
      <c r="AQ506" s="8"/>
      <c r="AR506" s="8"/>
      <c r="AS506" s="8"/>
      <c r="AT506" s="8">
        <v>609.38</v>
      </c>
      <c r="AU506" s="8"/>
      <c r="AV506" s="8"/>
      <c r="AW506" s="8">
        <v>37.840000000000003</v>
      </c>
      <c r="AX506" s="8"/>
      <c r="AY506" s="8"/>
      <c r="AZ506" s="8"/>
      <c r="BA506" s="8"/>
      <c r="BB506" s="8"/>
      <c r="BC506" s="8"/>
      <c r="BD506" s="8"/>
      <c r="BE506" s="8"/>
      <c r="BF506" s="8">
        <v>46.85</v>
      </c>
      <c r="BG506" s="8">
        <v>45.5</v>
      </c>
      <c r="BH506" s="9">
        <f t="shared" si="63"/>
        <v>1461.1399999999999</v>
      </c>
      <c r="BI506" s="9">
        <f t="shared" si="64"/>
        <v>1.51</v>
      </c>
      <c r="BJ506" s="9">
        <f t="shared" si="65"/>
        <v>7.86</v>
      </c>
      <c r="BK506" s="9">
        <f t="shared" si="66"/>
        <v>4.6900000000000004</v>
      </c>
      <c r="BL506" s="9">
        <f t="shared" si="67"/>
        <v>0</v>
      </c>
      <c r="BM506" s="9">
        <f t="shared" si="68"/>
        <v>0</v>
      </c>
      <c r="BN506" s="9">
        <f t="shared" si="69"/>
        <v>609.38</v>
      </c>
      <c r="BO506" s="9">
        <f t="shared" si="70"/>
        <v>37.840000000000003</v>
      </c>
      <c r="BP506" s="9">
        <f t="shared" si="71"/>
        <v>46.85</v>
      </c>
    </row>
    <row r="507" spans="1:68">
      <c r="A507" s="6">
        <v>44650</v>
      </c>
      <c r="B507" s="7">
        <v>3307</v>
      </c>
      <c r="C507" s="8"/>
      <c r="D507" s="8">
        <v>1005.17</v>
      </c>
      <c r="E507" s="8"/>
      <c r="F507" s="8"/>
      <c r="G507" s="8"/>
      <c r="H507" s="8"/>
      <c r="I507" s="8"/>
      <c r="J507" s="8"/>
      <c r="K507" s="8"/>
      <c r="L507" s="8"/>
      <c r="M507" s="8">
        <v>1.31</v>
      </c>
      <c r="N507" s="8"/>
      <c r="O507" s="8"/>
      <c r="P507" s="8"/>
      <c r="Q507" s="11"/>
      <c r="R507" s="11"/>
      <c r="S507" s="8">
        <v>7.34</v>
      </c>
      <c r="T507" s="8">
        <v>10.050000000000001</v>
      </c>
      <c r="U507" s="8"/>
      <c r="V507" s="8"/>
      <c r="W507" s="8"/>
      <c r="X507" s="8"/>
      <c r="Y507" s="8"/>
      <c r="Z507" s="8"/>
      <c r="AA507" s="8"/>
      <c r="AB507" s="8"/>
      <c r="AC507" s="8">
        <v>6.04</v>
      </c>
      <c r="AD507" s="8"/>
      <c r="AE507" s="8"/>
      <c r="AF507" s="8"/>
      <c r="AG507" s="8">
        <v>10.09</v>
      </c>
      <c r="AH507" s="8"/>
      <c r="AI507" s="8"/>
      <c r="AJ507" s="8"/>
      <c r="AK507" s="8"/>
      <c r="AL507" s="8"/>
      <c r="AM507" s="8"/>
      <c r="AN507" s="8"/>
      <c r="AO507" s="8"/>
      <c r="AP507" s="11"/>
      <c r="AQ507" s="8"/>
      <c r="AR507" s="8"/>
      <c r="AS507" s="8"/>
      <c r="AT507" s="8"/>
      <c r="AU507" s="8">
        <v>504.02</v>
      </c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>
        <v>36.15</v>
      </c>
      <c r="BH507" s="9">
        <f t="shared" si="63"/>
        <v>1005.17</v>
      </c>
      <c r="BI507" s="9">
        <f t="shared" si="64"/>
        <v>1.31</v>
      </c>
      <c r="BJ507" s="9">
        <f t="shared" si="65"/>
        <v>7.34</v>
      </c>
      <c r="BK507" s="9">
        <f t="shared" si="66"/>
        <v>10.050000000000001</v>
      </c>
      <c r="BL507" s="9">
        <f t="shared" si="67"/>
        <v>0</v>
      </c>
      <c r="BM507" s="9">
        <f t="shared" si="68"/>
        <v>16.13</v>
      </c>
      <c r="BN507" s="9">
        <f t="shared" si="69"/>
        <v>504.02</v>
      </c>
      <c r="BO507" s="9">
        <f t="shared" si="70"/>
        <v>0</v>
      </c>
      <c r="BP507" s="9">
        <f t="shared" si="71"/>
        <v>0</v>
      </c>
    </row>
    <row r="508" spans="1:68">
      <c r="A508" s="6">
        <v>44651</v>
      </c>
      <c r="B508" s="7">
        <v>3118</v>
      </c>
      <c r="C508" s="8">
        <v>624.08000000000004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>
        <v>1.85</v>
      </c>
      <c r="O508" s="8"/>
      <c r="P508" s="8"/>
      <c r="Q508" s="11"/>
      <c r="R508" s="11"/>
      <c r="S508" s="8">
        <v>3.34</v>
      </c>
      <c r="T508" s="8">
        <v>3.76</v>
      </c>
      <c r="U508" s="8">
        <v>3.75</v>
      </c>
      <c r="V508" s="8"/>
      <c r="W508" s="8"/>
      <c r="X508" s="8"/>
      <c r="Y508" s="8"/>
      <c r="Z508" s="8"/>
      <c r="AA508" s="8"/>
      <c r="AB508" s="8"/>
      <c r="AC508" s="8">
        <v>2.4900000000000002</v>
      </c>
      <c r="AD508" s="8"/>
      <c r="AE508" s="8">
        <v>6.32</v>
      </c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11"/>
      <c r="AQ508" s="8"/>
      <c r="AR508" s="8"/>
      <c r="AS508" s="8"/>
      <c r="AT508" s="8">
        <v>404.82</v>
      </c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>
        <v>43.64</v>
      </c>
      <c r="BG508" s="8">
        <v>31.03</v>
      </c>
      <c r="BH508" s="9">
        <f t="shared" si="63"/>
        <v>624.08000000000004</v>
      </c>
      <c r="BI508" s="9">
        <f t="shared" si="64"/>
        <v>1.85</v>
      </c>
      <c r="BJ508" s="9">
        <f t="shared" si="65"/>
        <v>3.34</v>
      </c>
      <c r="BK508" s="9">
        <f t="shared" si="66"/>
        <v>7.51</v>
      </c>
      <c r="BL508" s="9">
        <f t="shared" si="67"/>
        <v>0</v>
      </c>
      <c r="BM508" s="9">
        <f t="shared" si="68"/>
        <v>8.81</v>
      </c>
      <c r="BN508" s="9">
        <f t="shared" si="69"/>
        <v>404.82</v>
      </c>
      <c r="BO508" s="9">
        <f t="shared" si="70"/>
        <v>0</v>
      </c>
      <c r="BP508" s="9">
        <f t="shared" si="71"/>
        <v>43.64</v>
      </c>
    </row>
    <row r="509" spans="1:68">
      <c r="A509" s="6">
        <v>44651</v>
      </c>
      <c r="B509" s="7">
        <v>3432</v>
      </c>
      <c r="C509" s="8">
        <f>1677.29+584.55</f>
        <v>2261.84</v>
      </c>
      <c r="D509" s="8"/>
      <c r="E509" s="8"/>
      <c r="F509" s="8"/>
      <c r="G509" s="8"/>
      <c r="H509" s="8"/>
      <c r="I509" s="8"/>
      <c r="J509" s="8"/>
      <c r="K509" s="8"/>
      <c r="L509" s="8"/>
      <c r="M509" s="8">
        <f>5.41+1.75</f>
        <v>7.16</v>
      </c>
      <c r="N509" s="8"/>
      <c r="O509" s="8"/>
      <c r="P509" s="8"/>
      <c r="Q509" s="11"/>
      <c r="R509" s="11"/>
      <c r="S509" s="8">
        <f>6.7+2.35</f>
        <v>9.0500000000000007</v>
      </c>
      <c r="T509" s="8"/>
      <c r="U509" s="8"/>
      <c r="V509" s="8"/>
      <c r="W509" s="8"/>
      <c r="X509" s="8">
        <f>5.85+16.68</f>
        <v>22.53</v>
      </c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11"/>
      <c r="AQ509" s="8"/>
      <c r="AR509" s="8"/>
      <c r="AS509" s="8"/>
      <c r="AT509" s="8">
        <f>758.34+274.36</f>
        <v>1032.7</v>
      </c>
      <c r="AU509" s="8"/>
      <c r="AV509" s="8"/>
      <c r="AW509" s="8"/>
      <c r="AX509" s="8"/>
      <c r="AY509" s="8"/>
      <c r="AZ509" s="8"/>
      <c r="BA509" s="8">
        <f>7.52+2.62</f>
        <v>10.14</v>
      </c>
      <c r="BB509" s="8"/>
      <c r="BC509" s="8"/>
      <c r="BD509" s="8"/>
      <c r="BE509" s="8"/>
      <c r="BF509" s="8">
        <f>83.69+29.42</f>
        <v>113.11</v>
      </c>
      <c r="BG509" s="8">
        <f>55.87+19.55</f>
        <v>75.42</v>
      </c>
      <c r="BH509" s="9">
        <f t="shared" si="63"/>
        <v>2261.84</v>
      </c>
      <c r="BI509" s="9">
        <f t="shared" si="64"/>
        <v>7.16</v>
      </c>
      <c r="BJ509" s="9">
        <f t="shared" si="65"/>
        <v>9.0500000000000007</v>
      </c>
      <c r="BK509" s="9">
        <f t="shared" si="66"/>
        <v>22.53</v>
      </c>
      <c r="BL509" s="9">
        <f t="shared" si="67"/>
        <v>0</v>
      </c>
      <c r="BM509" s="9">
        <f t="shared" si="68"/>
        <v>0</v>
      </c>
      <c r="BN509" s="9">
        <f t="shared" si="69"/>
        <v>1032.7</v>
      </c>
      <c r="BO509" s="9">
        <f t="shared" si="70"/>
        <v>10.14</v>
      </c>
      <c r="BP509" s="9">
        <f t="shared" si="71"/>
        <v>113.11</v>
      </c>
    </row>
    <row r="510" spans="1:68">
      <c r="A510" s="6">
        <v>44651</v>
      </c>
      <c r="B510" s="7">
        <v>3402</v>
      </c>
      <c r="C510" s="8">
        <v>758.51</v>
      </c>
      <c r="D510" s="8">
        <v>511.03</v>
      </c>
      <c r="E510" s="8"/>
      <c r="F510" s="8"/>
      <c r="G510" s="8"/>
      <c r="H510" s="8"/>
      <c r="I510" s="8"/>
      <c r="J510" s="8"/>
      <c r="K510" s="8"/>
      <c r="L510" s="8"/>
      <c r="M510" s="8">
        <v>3.37</v>
      </c>
      <c r="N510" s="8"/>
      <c r="O510" s="8"/>
      <c r="P510" s="8"/>
      <c r="Q510" s="11"/>
      <c r="R510" s="11"/>
      <c r="S510" s="8">
        <v>2.96</v>
      </c>
      <c r="T510" s="8">
        <v>12.86</v>
      </c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11"/>
      <c r="AQ510" s="8"/>
      <c r="AR510" s="8"/>
      <c r="AS510" s="8"/>
      <c r="AT510" s="8">
        <v>606.61</v>
      </c>
      <c r="AU510" s="8"/>
      <c r="AV510" s="8"/>
      <c r="AW510" s="8"/>
      <c r="AX510" s="8"/>
      <c r="AY510" s="8"/>
      <c r="AZ510" s="8"/>
      <c r="BA510" s="8">
        <v>5.67</v>
      </c>
      <c r="BB510" s="8"/>
      <c r="BC510" s="8"/>
      <c r="BD510" s="8"/>
      <c r="BE510" s="8"/>
      <c r="BF510" s="8"/>
      <c r="BG510" s="8">
        <v>42.39</v>
      </c>
      <c r="BH510" s="9">
        <f t="shared" si="63"/>
        <v>1269.54</v>
      </c>
      <c r="BI510" s="9">
        <f t="shared" si="64"/>
        <v>3.37</v>
      </c>
      <c r="BJ510" s="9">
        <f t="shared" si="65"/>
        <v>2.96</v>
      </c>
      <c r="BK510" s="9">
        <f t="shared" si="66"/>
        <v>12.86</v>
      </c>
      <c r="BL510" s="9">
        <f t="shared" si="67"/>
        <v>0</v>
      </c>
      <c r="BM510" s="9">
        <f t="shared" si="68"/>
        <v>0</v>
      </c>
      <c r="BN510" s="9">
        <f t="shared" si="69"/>
        <v>606.61</v>
      </c>
      <c r="BO510" s="9">
        <f t="shared" si="70"/>
        <v>5.67</v>
      </c>
      <c r="BP510" s="9">
        <f t="shared" si="71"/>
        <v>0</v>
      </c>
    </row>
    <row r="511" spans="1:68">
      <c r="A511" s="6">
        <v>44651</v>
      </c>
      <c r="B511" s="7">
        <v>3119</v>
      </c>
      <c r="C511" s="8">
        <v>2657.174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>
        <v>7.96</v>
      </c>
      <c r="O511" s="8"/>
      <c r="P511" s="8"/>
      <c r="Q511" s="11"/>
      <c r="R511" s="11"/>
      <c r="S511" s="8">
        <v>12.64</v>
      </c>
      <c r="T511" s="8">
        <v>26.59</v>
      </c>
      <c r="U511" s="8"/>
      <c r="V511" s="8"/>
      <c r="W511" s="8"/>
      <c r="X511" s="8"/>
      <c r="Y511" s="8"/>
      <c r="Z511" s="8"/>
      <c r="AA511" s="8"/>
      <c r="AB511" s="8"/>
      <c r="AC511" s="8">
        <v>6.64</v>
      </c>
      <c r="AD511" s="8"/>
      <c r="AE511" s="8"/>
      <c r="AF511" s="8"/>
      <c r="AG511" s="8">
        <v>8</v>
      </c>
      <c r="AH511" s="8"/>
      <c r="AI511" s="8"/>
      <c r="AJ511" s="8"/>
      <c r="AK511" s="8"/>
      <c r="AL511" s="8"/>
      <c r="AM511" s="8"/>
      <c r="AN511" s="8"/>
      <c r="AO511" s="8"/>
      <c r="AP511" s="11"/>
      <c r="AQ511" s="8"/>
      <c r="AR511" s="8"/>
      <c r="AS511" s="8"/>
      <c r="AT511" s="8">
        <v>1005.53</v>
      </c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>
        <v>185.87</v>
      </c>
      <c r="BG511" s="8">
        <v>70.290000000000006</v>
      </c>
      <c r="BH511" s="9">
        <f t="shared" si="63"/>
        <v>2657.174</v>
      </c>
      <c r="BI511" s="9">
        <f t="shared" si="64"/>
        <v>7.96</v>
      </c>
      <c r="BJ511" s="9">
        <f t="shared" si="65"/>
        <v>12.64</v>
      </c>
      <c r="BK511" s="9">
        <f t="shared" si="66"/>
        <v>26.59</v>
      </c>
      <c r="BL511" s="9">
        <f t="shared" si="67"/>
        <v>0</v>
      </c>
      <c r="BM511" s="9">
        <f t="shared" si="68"/>
        <v>14.64</v>
      </c>
      <c r="BN511" s="9">
        <f t="shared" si="69"/>
        <v>1005.53</v>
      </c>
      <c r="BO511" s="9">
        <f t="shared" si="70"/>
        <v>0</v>
      </c>
      <c r="BP511" s="9">
        <f t="shared" si="71"/>
        <v>185.87</v>
      </c>
    </row>
    <row r="512" spans="1:68">
      <c r="A512" s="6">
        <v>44651</v>
      </c>
      <c r="B512" s="7">
        <v>3106</v>
      </c>
      <c r="C512" s="8">
        <v>4165.01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>
        <v>9.99</v>
      </c>
      <c r="O512" s="8"/>
      <c r="P512" s="8"/>
      <c r="Q512" s="11"/>
      <c r="R512" s="11"/>
      <c r="S512" s="8">
        <v>12.92</v>
      </c>
      <c r="T512" s="8">
        <v>52.91</v>
      </c>
      <c r="U512" s="8"/>
      <c r="V512" s="8"/>
      <c r="W512" s="8"/>
      <c r="X512" s="8"/>
      <c r="Y512" s="8"/>
      <c r="Z512" s="8"/>
      <c r="AA512" s="8"/>
      <c r="AB512" s="8"/>
      <c r="AC512" s="8">
        <v>16.66</v>
      </c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11"/>
      <c r="AQ512" s="8"/>
      <c r="AR512" s="8"/>
      <c r="AS512" s="8"/>
      <c r="AT512" s="8">
        <v>2381.38</v>
      </c>
      <c r="AU512" s="8"/>
      <c r="AV512" s="8"/>
      <c r="AW512" s="8"/>
      <c r="AX512" s="8">
        <v>5.21</v>
      </c>
      <c r="AY512" s="8"/>
      <c r="AZ512" s="8"/>
      <c r="BA512" s="8"/>
      <c r="BB512" s="8"/>
      <c r="BC512" s="8"/>
      <c r="BD512" s="8"/>
      <c r="BE512" s="8"/>
      <c r="BF512" s="8"/>
      <c r="BG512" s="8">
        <v>179.52</v>
      </c>
      <c r="BH512" s="9">
        <f t="shared" si="63"/>
        <v>4165.01</v>
      </c>
      <c r="BI512" s="9">
        <f t="shared" si="64"/>
        <v>9.99</v>
      </c>
      <c r="BJ512" s="9">
        <f t="shared" si="65"/>
        <v>12.92</v>
      </c>
      <c r="BK512" s="9">
        <f t="shared" si="66"/>
        <v>52.91</v>
      </c>
      <c r="BL512" s="9">
        <f t="shared" si="67"/>
        <v>0</v>
      </c>
      <c r="BM512" s="9">
        <f t="shared" si="68"/>
        <v>16.66</v>
      </c>
      <c r="BN512" s="9">
        <f t="shared" si="69"/>
        <v>2381.38</v>
      </c>
      <c r="BO512" s="9">
        <f t="shared" si="70"/>
        <v>5.21</v>
      </c>
      <c r="BP512" s="9">
        <f t="shared" si="71"/>
        <v>0</v>
      </c>
    </row>
    <row r="513" spans="1:68">
      <c r="A513" s="6">
        <v>44651</v>
      </c>
      <c r="B513" s="7">
        <v>3108</v>
      </c>
      <c r="C513" s="8">
        <v>2247.7800000000002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>
        <v>5.23</v>
      </c>
      <c r="O513" s="8"/>
      <c r="P513" s="8"/>
      <c r="Q513" s="11"/>
      <c r="R513" s="11"/>
      <c r="S513" s="8">
        <v>7.69</v>
      </c>
      <c r="T513" s="8">
        <v>28.69</v>
      </c>
      <c r="U513" s="8"/>
      <c r="V513" s="8"/>
      <c r="W513" s="8"/>
      <c r="X513" s="8"/>
      <c r="Y513" s="8"/>
      <c r="Z513" s="8"/>
      <c r="AA513" s="8"/>
      <c r="AB513" s="8"/>
      <c r="AC513" s="8">
        <v>9</v>
      </c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11"/>
      <c r="AQ513" s="8"/>
      <c r="AR513" s="8"/>
      <c r="AS513" s="8"/>
      <c r="AT513" s="8">
        <v>1229.19</v>
      </c>
      <c r="AU513" s="8"/>
      <c r="AV513" s="8"/>
      <c r="AW513" s="8"/>
      <c r="AX513" s="8"/>
      <c r="AY513" s="8"/>
      <c r="AZ513" s="8"/>
      <c r="BA513" s="8">
        <v>83.84</v>
      </c>
      <c r="BB513" s="8"/>
      <c r="BC513" s="8"/>
      <c r="BD513" s="8"/>
      <c r="BE513" s="8"/>
      <c r="BF513" s="8"/>
      <c r="BG513" s="8">
        <v>91.11</v>
      </c>
      <c r="BH513" s="9">
        <f t="shared" si="63"/>
        <v>2247.7800000000002</v>
      </c>
      <c r="BI513" s="9">
        <f t="shared" si="64"/>
        <v>5.23</v>
      </c>
      <c r="BJ513" s="9">
        <f t="shared" si="65"/>
        <v>7.69</v>
      </c>
      <c r="BK513" s="9">
        <f t="shared" si="66"/>
        <v>28.69</v>
      </c>
      <c r="BL513" s="9">
        <f t="shared" si="67"/>
        <v>0</v>
      </c>
      <c r="BM513" s="9">
        <f t="shared" si="68"/>
        <v>9</v>
      </c>
      <c r="BN513" s="9">
        <f t="shared" si="69"/>
        <v>1229.19</v>
      </c>
      <c r="BO513" s="9">
        <f t="shared" si="70"/>
        <v>83.84</v>
      </c>
      <c r="BP513" s="9">
        <f t="shared" si="71"/>
        <v>0</v>
      </c>
    </row>
    <row r="514" spans="1:68">
      <c r="A514" s="6">
        <v>44651</v>
      </c>
      <c r="B514" s="7">
        <v>3117</v>
      </c>
      <c r="C514" s="8">
        <v>801.57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>
        <v>1.8</v>
      </c>
      <c r="O514" s="8"/>
      <c r="P514" s="8"/>
      <c r="Q514" s="11"/>
      <c r="R514" s="11"/>
      <c r="S514" s="8">
        <v>2.84</v>
      </c>
      <c r="T514" s="8">
        <v>8.1199999999999992</v>
      </c>
      <c r="U514" s="8"/>
      <c r="V514" s="8"/>
      <c r="W514" s="8"/>
      <c r="X514" s="8"/>
      <c r="Y514" s="8"/>
      <c r="Z514" s="8"/>
      <c r="AA514" s="8"/>
      <c r="AB514" s="8"/>
      <c r="AC514" s="8">
        <v>3.21</v>
      </c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11"/>
      <c r="AQ514" s="8"/>
      <c r="AR514" s="8"/>
      <c r="AS514" s="8"/>
      <c r="AT514" s="8">
        <v>506.98</v>
      </c>
      <c r="AU514" s="8"/>
      <c r="AV514" s="8">
        <v>20.100000000000001</v>
      </c>
      <c r="AW514" s="8"/>
      <c r="AX514" s="8"/>
      <c r="AY514" s="8"/>
      <c r="AZ514" s="8"/>
      <c r="BA514" s="8"/>
      <c r="BB514" s="8"/>
      <c r="BC514" s="8"/>
      <c r="BD514" s="8"/>
      <c r="BE514" s="8"/>
      <c r="BF514" s="8">
        <v>32.200000000000003</v>
      </c>
      <c r="BG514" s="8">
        <v>38.54</v>
      </c>
      <c r="BH514" s="9">
        <f t="shared" si="63"/>
        <v>801.57</v>
      </c>
      <c r="BI514" s="9">
        <f t="shared" si="64"/>
        <v>1.8</v>
      </c>
      <c r="BJ514" s="9">
        <f t="shared" si="65"/>
        <v>2.84</v>
      </c>
      <c r="BK514" s="9">
        <f t="shared" si="66"/>
        <v>8.1199999999999992</v>
      </c>
      <c r="BL514" s="9">
        <f t="shared" si="67"/>
        <v>0</v>
      </c>
      <c r="BM514" s="9">
        <f t="shared" si="68"/>
        <v>3.21</v>
      </c>
      <c r="BN514" s="9">
        <f t="shared" si="69"/>
        <v>506.98</v>
      </c>
      <c r="BO514" s="9">
        <f t="shared" si="70"/>
        <v>20.100000000000001</v>
      </c>
      <c r="BP514" s="9">
        <f t="shared" si="71"/>
        <v>32.200000000000003</v>
      </c>
    </row>
    <row r="515" spans="1:68">
      <c r="A515" s="6">
        <v>44651</v>
      </c>
      <c r="B515" s="7">
        <v>3101</v>
      </c>
      <c r="C515" s="8">
        <v>597.64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>
        <v>1.2</v>
      </c>
      <c r="O515" s="8"/>
      <c r="P515" s="8"/>
      <c r="Q515" s="11"/>
      <c r="R515" s="11"/>
      <c r="S515" s="8">
        <v>3.5</v>
      </c>
      <c r="T515" s="8"/>
      <c r="U515" s="8">
        <v>9.66</v>
      </c>
      <c r="V515" s="8"/>
      <c r="W515" s="8"/>
      <c r="X515" s="8"/>
      <c r="Y515" s="8"/>
      <c r="Z515" s="8"/>
      <c r="AA515" s="8"/>
      <c r="AB515" s="8"/>
      <c r="AC515" s="8">
        <v>2.41</v>
      </c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11"/>
      <c r="AQ515" s="8"/>
      <c r="AR515" s="8"/>
      <c r="AS515" s="8"/>
      <c r="AT515" s="8">
        <v>403.69</v>
      </c>
      <c r="AU515" s="8"/>
      <c r="AV515" s="8"/>
      <c r="AW515" s="8">
        <v>12.84</v>
      </c>
      <c r="AX515" s="8"/>
      <c r="AY515" s="8"/>
      <c r="AZ515" s="8"/>
      <c r="BA515" s="8"/>
      <c r="BB515" s="8"/>
      <c r="BC515" s="8"/>
      <c r="BD515" s="8"/>
      <c r="BE515" s="8"/>
      <c r="BF515" s="8">
        <v>78.33</v>
      </c>
      <c r="BG515" s="8">
        <v>30.98</v>
      </c>
      <c r="BH515" s="9">
        <f t="shared" si="63"/>
        <v>597.64</v>
      </c>
      <c r="BI515" s="9">
        <f t="shared" si="64"/>
        <v>1.2</v>
      </c>
      <c r="BJ515" s="9">
        <f t="shared" si="65"/>
        <v>3.5</v>
      </c>
      <c r="BK515" s="9">
        <f t="shared" si="66"/>
        <v>9.66</v>
      </c>
      <c r="BL515" s="9">
        <f t="shared" si="67"/>
        <v>0</v>
      </c>
      <c r="BM515" s="9">
        <f t="shared" si="68"/>
        <v>2.41</v>
      </c>
      <c r="BN515" s="9">
        <f t="shared" si="69"/>
        <v>403.69</v>
      </c>
      <c r="BO515" s="9">
        <f t="shared" si="70"/>
        <v>12.84</v>
      </c>
      <c r="BP515" s="9">
        <f t="shared" si="71"/>
        <v>78.33</v>
      </c>
    </row>
    <row r="516" spans="1:68">
      <c r="A516" s="6">
        <v>44651</v>
      </c>
      <c r="B516" s="7">
        <v>3703</v>
      </c>
      <c r="C516" s="8">
        <v>831.94</v>
      </c>
      <c r="D516" s="8">
        <v>557.04</v>
      </c>
      <c r="E516" s="8"/>
      <c r="F516" s="8"/>
      <c r="G516" s="8"/>
      <c r="H516" s="8"/>
      <c r="I516" s="8"/>
      <c r="J516" s="8"/>
      <c r="K516" s="8"/>
      <c r="L516" s="8"/>
      <c r="M516" s="8">
        <v>2.76</v>
      </c>
      <c r="N516" s="8"/>
      <c r="O516" s="8"/>
      <c r="P516" s="8"/>
      <c r="Q516" s="11"/>
      <c r="R516" s="11"/>
      <c r="S516" s="8">
        <v>6.78</v>
      </c>
      <c r="T516" s="8"/>
      <c r="U516" s="8">
        <v>11.12</v>
      </c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>
        <v>27.76</v>
      </c>
      <c r="AL516" s="8"/>
      <c r="AM516" s="8"/>
      <c r="AN516" s="8"/>
      <c r="AO516" s="8"/>
      <c r="AP516" s="11"/>
      <c r="AQ516" s="8"/>
      <c r="AR516" s="8"/>
      <c r="AS516" s="8"/>
      <c r="AT516" s="8">
        <v>168.26</v>
      </c>
      <c r="AU516" s="8">
        <v>336.04</v>
      </c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>
        <v>35.44</v>
      </c>
      <c r="BH516" s="9">
        <f t="shared" ref="BH516:BH579" si="72">SUM(C516:L516)</f>
        <v>1388.98</v>
      </c>
      <c r="BI516" s="9">
        <f t="shared" ref="BI516:BI579" si="73">SUM(M516:R516)</f>
        <v>2.76</v>
      </c>
      <c r="BJ516" s="9">
        <f t="shared" ref="BJ516:BJ579" si="74">SUM(S516)</f>
        <v>6.78</v>
      </c>
      <c r="BK516" s="9">
        <f t="shared" ref="BK516:BK579" si="75">SUM(T516:Y516)</f>
        <v>11.12</v>
      </c>
      <c r="BL516" s="9">
        <f t="shared" ref="BL516:BL579" si="76">SUM(Z516:AA516)</f>
        <v>0</v>
      </c>
      <c r="BM516" s="9">
        <f t="shared" ref="BM516:BM579" si="77">SUM(AB516:AS516)</f>
        <v>27.76</v>
      </c>
      <c r="BN516" s="9">
        <f t="shared" ref="BN516:BN579" si="78">SUM(AT516:AU516)</f>
        <v>504.3</v>
      </c>
      <c r="BO516" s="9">
        <f t="shared" ref="BO516:BO579" si="79">SUM(AV516:BE516)</f>
        <v>0</v>
      </c>
      <c r="BP516" s="9">
        <f t="shared" ref="BP516:BP579" si="80">SUM(BF516)</f>
        <v>0</v>
      </c>
    </row>
    <row r="517" spans="1:68">
      <c r="A517" s="6">
        <v>44652</v>
      </c>
      <c r="B517" s="7">
        <v>3083</v>
      </c>
      <c r="C517" s="8"/>
      <c r="D517" s="8">
        <v>740.41</v>
      </c>
      <c r="E517" s="8"/>
      <c r="F517" s="8"/>
      <c r="G517" s="8"/>
      <c r="H517" s="8"/>
      <c r="I517" s="8">
        <v>1728.39</v>
      </c>
      <c r="J517" s="8"/>
      <c r="K517" s="8"/>
      <c r="L517" s="8"/>
      <c r="M517" s="8"/>
      <c r="N517" s="8">
        <v>17.03</v>
      </c>
      <c r="O517" s="8"/>
      <c r="P517" s="8"/>
      <c r="Q517" s="11"/>
      <c r="R517" s="11"/>
      <c r="S517" s="8">
        <v>1.72</v>
      </c>
      <c r="T517" s="8">
        <v>19.75</v>
      </c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>
        <f>544*18.27/1000</f>
        <v>9.9388799999999993</v>
      </c>
      <c r="AN517" s="8">
        <f>1892*18.27/1000</f>
        <v>34.566839999999999</v>
      </c>
      <c r="AO517" s="8"/>
      <c r="AP517" s="11"/>
      <c r="AQ517" s="8"/>
      <c r="AR517" s="8">
        <f>3409*18.27/1000</f>
        <v>62.282429999999998</v>
      </c>
      <c r="AS517" s="8"/>
      <c r="AT517" s="8">
        <v>1119.2</v>
      </c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>
        <v>88.58</v>
      </c>
      <c r="BH517" s="9">
        <f t="shared" si="72"/>
        <v>2468.8000000000002</v>
      </c>
      <c r="BI517" s="9">
        <f t="shared" si="73"/>
        <v>17.03</v>
      </c>
      <c r="BJ517" s="9">
        <f t="shared" si="74"/>
        <v>1.72</v>
      </c>
      <c r="BK517" s="9">
        <f t="shared" si="75"/>
        <v>19.75</v>
      </c>
      <c r="BL517" s="9">
        <f t="shared" si="76"/>
        <v>0</v>
      </c>
      <c r="BM517" s="9">
        <f t="shared" si="77"/>
        <v>106.78815</v>
      </c>
      <c r="BN517" s="9">
        <f t="shared" si="78"/>
        <v>1119.2</v>
      </c>
      <c r="BO517" s="9">
        <f t="shared" si="79"/>
        <v>0</v>
      </c>
      <c r="BP517" s="9">
        <f t="shared" si="80"/>
        <v>0</v>
      </c>
    </row>
    <row r="518" spans="1:68">
      <c r="A518" s="6">
        <v>44652</v>
      </c>
      <c r="B518" s="7">
        <v>3402</v>
      </c>
      <c r="C518" s="8">
        <v>420.92</v>
      </c>
      <c r="D518" s="8">
        <v>280.26</v>
      </c>
      <c r="E518" s="8"/>
      <c r="F518" s="8"/>
      <c r="G518" s="8"/>
      <c r="H518" s="8"/>
      <c r="I518" s="8"/>
      <c r="J518" s="8"/>
      <c r="K518" s="8"/>
      <c r="L518" s="8"/>
      <c r="M518" s="8">
        <v>1.83</v>
      </c>
      <c r="N518" s="8"/>
      <c r="O518" s="8"/>
      <c r="P518" s="8"/>
      <c r="Q518" s="11"/>
      <c r="R518" s="11"/>
      <c r="S518" s="8">
        <v>1.61</v>
      </c>
      <c r="T518" s="8"/>
      <c r="U518" s="8">
        <v>7.03</v>
      </c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11"/>
      <c r="AQ518" s="8"/>
      <c r="AR518" s="8"/>
      <c r="AS518" s="8"/>
      <c r="AT518" s="8">
        <v>331.55</v>
      </c>
      <c r="AU518" s="8"/>
      <c r="AV518" s="8"/>
      <c r="AW518" s="8"/>
      <c r="AX518" s="8"/>
      <c r="AY518" s="8"/>
      <c r="AZ518" s="8"/>
      <c r="BA518" s="8">
        <v>3.16</v>
      </c>
      <c r="BB518" s="8"/>
      <c r="BC518" s="8"/>
      <c r="BD518" s="8"/>
      <c r="BE518" s="8"/>
      <c r="BF518" s="8"/>
      <c r="BG518" s="8">
        <v>23.18</v>
      </c>
      <c r="BH518" s="9">
        <f t="shared" si="72"/>
        <v>701.18000000000006</v>
      </c>
      <c r="BI518" s="9">
        <f t="shared" si="73"/>
        <v>1.83</v>
      </c>
      <c r="BJ518" s="9">
        <f t="shared" si="74"/>
        <v>1.61</v>
      </c>
      <c r="BK518" s="9">
        <f t="shared" si="75"/>
        <v>7.03</v>
      </c>
      <c r="BL518" s="9">
        <f t="shared" si="76"/>
        <v>0</v>
      </c>
      <c r="BM518" s="9">
        <f t="shared" si="77"/>
        <v>0</v>
      </c>
      <c r="BN518" s="9">
        <f t="shared" si="78"/>
        <v>331.55</v>
      </c>
      <c r="BO518" s="9">
        <f t="shared" si="79"/>
        <v>3.16</v>
      </c>
      <c r="BP518" s="9">
        <f t="shared" si="80"/>
        <v>0</v>
      </c>
    </row>
    <row r="519" spans="1:68">
      <c r="A519" s="6">
        <v>44652</v>
      </c>
      <c r="B519" s="7">
        <v>3405</v>
      </c>
      <c r="C519" s="8">
        <v>520.70000000000005</v>
      </c>
      <c r="D519" s="8">
        <v>130.43</v>
      </c>
      <c r="E519" s="8"/>
      <c r="F519" s="8"/>
      <c r="G519" s="8"/>
      <c r="H519" s="8"/>
      <c r="I519" s="8"/>
      <c r="J519" s="8"/>
      <c r="K519" s="8"/>
      <c r="L519" s="8"/>
      <c r="M519" s="8">
        <v>1.75</v>
      </c>
      <c r="N519" s="8"/>
      <c r="O519" s="8"/>
      <c r="P519" s="8"/>
      <c r="Q519" s="11"/>
      <c r="R519" s="11"/>
      <c r="S519" s="8">
        <v>1.5</v>
      </c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11"/>
      <c r="AQ519" s="8"/>
      <c r="AR519" s="8"/>
      <c r="AS519" s="8"/>
      <c r="AT519" s="8">
        <v>327.17</v>
      </c>
      <c r="AU519" s="8"/>
      <c r="AV519" s="8"/>
      <c r="AW519" s="8"/>
      <c r="AX519" s="8"/>
      <c r="AY519" s="8"/>
      <c r="AZ519" s="8"/>
      <c r="BA519" s="8">
        <v>2.94</v>
      </c>
      <c r="BB519" s="8"/>
      <c r="BC519" s="8"/>
      <c r="BD519" s="8"/>
      <c r="BE519" s="8"/>
      <c r="BF519" s="8"/>
      <c r="BG519" s="8">
        <v>22.21</v>
      </c>
      <c r="BH519" s="9">
        <f t="shared" si="72"/>
        <v>651.13000000000011</v>
      </c>
      <c r="BI519" s="9">
        <f t="shared" si="73"/>
        <v>1.75</v>
      </c>
      <c r="BJ519" s="9">
        <f t="shared" si="74"/>
        <v>1.5</v>
      </c>
      <c r="BK519" s="9">
        <f t="shared" si="75"/>
        <v>0</v>
      </c>
      <c r="BL519" s="9">
        <f t="shared" si="76"/>
        <v>0</v>
      </c>
      <c r="BM519" s="9">
        <f t="shared" si="77"/>
        <v>0</v>
      </c>
      <c r="BN519" s="9">
        <f t="shared" si="78"/>
        <v>327.17</v>
      </c>
      <c r="BO519" s="9">
        <f t="shared" si="79"/>
        <v>2.94</v>
      </c>
      <c r="BP519" s="9">
        <f t="shared" si="80"/>
        <v>0</v>
      </c>
    </row>
    <row r="520" spans="1:68">
      <c r="A520" s="6">
        <v>44652</v>
      </c>
      <c r="B520" s="7">
        <v>3418</v>
      </c>
      <c r="C520" s="8">
        <v>1076.8699999999999</v>
      </c>
      <c r="D520" s="8"/>
      <c r="E520" s="8"/>
      <c r="F520" s="8"/>
      <c r="G520" s="8"/>
      <c r="H520" s="8"/>
      <c r="I520" s="8"/>
      <c r="J520" s="8"/>
      <c r="K520" s="8"/>
      <c r="L520" s="8"/>
      <c r="M520" s="8">
        <v>2.92</v>
      </c>
      <c r="N520" s="8"/>
      <c r="O520" s="8"/>
      <c r="P520" s="8"/>
      <c r="Q520" s="11"/>
      <c r="R520" s="11"/>
      <c r="S520" s="8">
        <v>2.48</v>
      </c>
      <c r="T520" s="8">
        <v>10.79</v>
      </c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11"/>
      <c r="AQ520" s="8"/>
      <c r="AR520" s="8"/>
      <c r="AS520" s="8"/>
      <c r="AT520" s="8">
        <v>538.79999999999995</v>
      </c>
      <c r="AU520" s="8"/>
      <c r="AV520" s="8"/>
      <c r="AW520" s="8"/>
      <c r="AX520" s="8"/>
      <c r="AY520" s="8"/>
      <c r="AZ520" s="8"/>
      <c r="BA520" s="8">
        <v>4.8600000000000003</v>
      </c>
      <c r="BB520" s="8"/>
      <c r="BC520" s="8"/>
      <c r="BD520" s="8"/>
      <c r="BE520" s="8"/>
      <c r="BF520" s="8"/>
      <c r="BG520" s="8">
        <v>36.770000000000003</v>
      </c>
      <c r="BH520" s="9">
        <f t="shared" si="72"/>
        <v>1076.8699999999999</v>
      </c>
      <c r="BI520" s="9">
        <f t="shared" si="73"/>
        <v>2.92</v>
      </c>
      <c r="BJ520" s="9">
        <f t="shared" si="74"/>
        <v>2.48</v>
      </c>
      <c r="BK520" s="9">
        <f t="shared" si="75"/>
        <v>10.79</v>
      </c>
      <c r="BL520" s="9">
        <f t="shared" si="76"/>
        <v>0</v>
      </c>
      <c r="BM520" s="9">
        <f t="shared" si="77"/>
        <v>0</v>
      </c>
      <c r="BN520" s="9">
        <f t="shared" si="78"/>
        <v>538.79999999999995</v>
      </c>
      <c r="BO520" s="9">
        <f t="shared" si="79"/>
        <v>4.8600000000000003</v>
      </c>
      <c r="BP520" s="9">
        <f t="shared" si="80"/>
        <v>0</v>
      </c>
    </row>
    <row r="521" spans="1:68">
      <c r="A521" s="6">
        <v>44652</v>
      </c>
      <c r="B521" s="7">
        <v>3141</v>
      </c>
      <c r="C521" s="8">
        <v>2448.13</v>
      </c>
      <c r="D521" s="8">
        <v>432.39</v>
      </c>
      <c r="E521" s="8"/>
      <c r="F521" s="8"/>
      <c r="G521" s="8"/>
      <c r="H521" s="8"/>
      <c r="I521" s="8"/>
      <c r="J521" s="8"/>
      <c r="K521" s="8"/>
      <c r="L521" s="8"/>
      <c r="M521" s="8"/>
      <c r="N521" s="8">
        <v>8.23</v>
      </c>
      <c r="O521" s="8"/>
      <c r="P521" s="8"/>
      <c r="Q521" s="11"/>
      <c r="R521" s="11"/>
      <c r="S521" s="8">
        <v>13.56</v>
      </c>
      <c r="T521" s="8">
        <v>21.65</v>
      </c>
      <c r="U521" s="8">
        <v>21.65</v>
      </c>
      <c r="V521" s="8"/>
      <c r="W521" s="8"/>
      <c r="X521" s="8"/>
      <c r="Y521" s="8"/>
      <c r="Z521" s="8"/>
      <c r="AA521" s="8"/>
      <c r="AB521" s="8"/>
      <c r="AC521" s="8">
        <v>11.55</v>
      </c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11"/>
      <c r="AQ521" s="8"/>
      <c r="AR521" s="8"/>
      <c r="AS521" s="8"/>
      <c r="AT521" s="8">
        <v>1920.57</v>
      </c>
      <c r="AU521" s="8"/>
      <c r="AV521" s="8"/>
      <c r="AW521" s="8"/>
      <c r="AX521" s="8"/>
      <c r="AY521" s="8"/>
      <c r="AZ521" s="8"/>
      <c r="BA521" s="8">
        <v>66.09</v>
      </c>
      <c r="BB521" s="8"/>
      <c r="BC521" s="8"/>
      <c r="BD521" s="8"/>
      <c r="BE521" s="8"/>
      <c r="BF521" s="8">
        <v>201.77</v>
      </c>
      <c r="BG521" s="8">
        <v>150.07</v>
      </c>
      <c r="BH521" s="9">
        <f t="shared" si="72"/>
        <v>2880.52</v>
      </c>
      <c r="BI521" s="9">
        <f t="shared" si="73"/>
        <v>8.23</v>
      </c>
      <c r="BJ521" s="9">
        <f t="shared" si="74"/>
        <v>13.56</v>
      </c>
      <c r="BK521" s="9">
        <f t="shared" si="75"/>
        <v>43.3</v>
      </c>
      <c r="BL521" s="9">
        <f t="shared" si="76"/>
        <v>0</v>
      </c>
      <c r="BM521" s="9">
        <f t="shared" si="77"/>
        <v>11.55</v>
      </c>
      <c r="BN521" s="9">
        <f t="shared" si="78"/>
        <v>1920.57</v>
      </c>
      <c r="BO521" s="9">
        <f t="shared" si="79"/>
        <v>66.09</v>
      </c>
      <c r="BP521" s="9">
        <f t="shared" si="80"/>
        <v>201.77</v>
      </c>
    </row>
    <row r="522" spans="1:68">
      <c r="A522" s="6">
        <v>44652</v>
      </c>
      <c r="B522" s="7">
        <v>3106</v>
      </c>
      <c r="C522" s="8">
        <v>4131.45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>
        <v>10.35</v>
      </c>
      <c r="O522" s="8"/>
      <c r="P522" s="8"/>
      <c r="Q522" s="11"/>
      <c r="R522" s="11"/>
      <c r="S522" s="8">
        <v>12.82</v>
      </c>
      <c r="T522" s="8">
        <v>52.5</v>
      </c>
      <c r="U522" s="8"/>
      <c r="V522" s="8"/>
      <c r="W522" s="8"/>
      <c r="X522" s="8"/>
      <c r="Y522" s="8"/>
      <c r="Z522" s="8"/>
      <c r="AA522" s="8"/>
      <c r="AB522" s="8"/>
      <c r="AC522" s="8">
        <v>16.54</v>
      </c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11"/>
      <c r="AQ522" s="8"/>
      <c r="AR522" s="8"/>
      <c r="AS522" s="8"/>
      <c r="AT522" s="8">
        <v>2366.13</v>
      </c>
      <c r="AU522" s="8"/>
      <c r="AV522" s="8"/>
      <c r="AW522" s="8"/>
      <c r="AX522" s="8">
        <v>5.18</v>
      </c>
      <c r="AY522" s="8"/>
      <c r="AZ522" s="8"/>
      <c r="BA522" s="8"/>
      <c r="BB522" s="8"/>
      <c r="BC522" s="8"/>
      <c r="BD522" s="8"/>
      <c r="BE522" s="8"/>
      <c r="BF522" s="8"/>
      <c r="BG522" s="8">
        <v>177.91</v>
      </c>
      <c r="BH522" s="9">
        <f t="shared" si="72"/>
        <v>4131.45</v>
      </c>
      <c r="BI522" s="9">
        <f t="shared" si="73"/>
        <v>10.35</v>
      </c>
      <c r="BJ522" s="9">
        <f t="shared" si="74"/>
        <v>12.82</v>
      </c>
      <c r="BK522" s="9">
        <f t="shared" si="75"/>
        <v>52.5</v>
      </c>
      <c r="BL522" s="9">
        <f t="shared" si="76"/>
        <v>0</v>
      </c>
      <c r="BM522" s="9">
        <f t="shared" si="77"/>
        <v>16.54</v>
      </c>
      <c r="BN522" s="9">
        <f t="shared" si="78"/>
        <v>2366.13</v>
      </c>
      <c r="BO522" s="9">
        <f t="shared" si="79"/>
        <v>5.18</v>
      </c>
      <c r="BP522" s="9">
        <f t="shared" si="80"/>
        <v>0</v>
      </c>
    </row>
    <row r="523" spans="1:68">
      <c r="A523" s="6">
        <v>44652</v>
      </c>
      <c r="B523" s="7">
        <v>3135</v>
      </c>
      <c r="C523" s="8">
        <v>1046.3599999999999</v>
      </c>
      <c r="D523" s="8">
        <v>146.12</v>
      </c>
      <c r="E523" s="8"/>
      <c r="F523" s="8"/>
      <c r="G523" s="8"/>
      <c r="H523" s="8">
        <v>494.88</v>
      </c>
      <c r="I523" s="8"/>
      <c r="J523" s="8"/>
      <c r="K523" s="8"/>
      <c r="L523" s="8"/>
      <c r="M523" s="8"/>
      <c r="N523" s="8">
        <v>3.32</v>
      </c>
      <c r="O523" s="8"/>
      <c r="P523" s="8"/>
      <c r="Q523" s="11"/>
      <c r="R523" s="11"/>
      <c r="S523" s="8">
        <v>6.76</v>
      </c>
      <c r="T523" s="8">
        <v>10.29</v>
      </c>
      <c r="U523" s="8">
        <v>8.82</v>
      </c>
      <c r="V523" s="8"/>
      <c r="W523" s="8"/>
      <c r="X523" s="8"/>
      <c r="Y523" s="8"/>
      <c r="Z523" s="8"/>
      <c r="AA523" s="8"/>
      <c r="AB523" s="8"/>
      <c r="AC523" s="8">
        <v>5.87</v>
      </c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11"/>
      <c r="AQ523" s="8"/>
      <c r="AR523" s="8"/>
      <c r="AS523" s="8"/>
      <c r="AT523" s="8">
        <v>1032.33</v>
      </c>
      <c r="AU523" s="8"/>
      <c r="AV523" s="8"/>
      <c r="AW523" s="8"/>
      <c r="AX523" s="8"/>
      <c r="AY523" s="8"/>
      <c r="AZ523" s="8"/>
      <c r="BA523" s="8">
        <v>33.49</v>
      </c>
      <c r="BB523" s="8"/>
      <c r="BC523" s="8"/>
      <c r="BD523" s="8"/>
      <c r="BE523" s="8"/>
      <c r="BF523" s="8">
        <v>66.209999999999994</v>
      </c>
      <c r="BG523" s="8">
        <v>77.900000000000006</v>
      </c>
      <c r="BH523" s="9">
        <f t="shared" si="72"/>
        <v>1687.3600000000001</v>
      </c>
      <c r="BI523" s="9">
        <f t="shared" si="73"/>
        <v>3.32</v>
      </c>
      <c r="BJ523" s="9">
        <f t="shared" si="74"/>
        <v>6.76</v>
      </c>
      <c r="BK523" s="9">
        <f t="shared" si="75"/>
        <v>19.11</v>
      </c>
      <c r="BL523" s="9">
        <f t="shared" si="76"/>
        <v>0</v>
      </c>
      <c r="BM523" s="9">
        <f t="shared" si="77"/>
        <v>5.87</v>
      </c>
      <c r="BN523" s="9">
        <f t="shared" si="78"/>
        <v>1032.33</v>
      </c>
      <c r="BO523" s="9">
        <f t="shared" si="79"/>
        <v>33.49</v>
      </c>
      <c r="BP523" s="9">
        <f t="shared" si="80"/>
        <v>66.209999999999994</v>
      </c>
    </row>
    <row r="524" spans="1:68">
      <c r="A524" s="6">
        <v>44652</v>
      </c>
      <c r="B524" s="7">
        <v>3116</v>
      </c>
      <c r="C524" s="8">
        <v>1511.42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>
        <v>3.42</v>
      </c>
      <c r="O524" s="8"/>
      <c r="P524" s="8"/>
      <c r="Q524" s="11"/>
      <c r="R524" s="11"/>
      <c r="S524" s="8">
        <v>6.07</v>
      </c>
      <c r="T524" s="8">
        <v>22.32</v>
      </c>
      <c r="U524" s="8"/>
      <c r="V524" s="8"/>
      <c r="W524" s="8"/>
      <c r="X524" s="8"/>
      <c r="Y524" s="8"/>
      <c r="Z524" s="8"/>
      <c r="AA524" s="8"/>
      <c r="AB524" s="8"/>
      <c r="AC524" s="8">
        <v>6.07</v>
      </c>
      <c r="AD524" s="8"/>
      <c r="AE524" s="8">
        <f>1422*10.83/1000</f>
        <v>15.400259999999999</v>
      </c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11"/>
      <c r="AQ524" s="8"/>
      <c r="AR524" s="8"/>
      <c r="AS524" s="8"/>
      <c r="AT524" s="8">
        <v>926.66</v>
      </c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>
        <v>60.54</v>
      </c>
      <c r="BG524" s="8">
        <v>69.17</v>
      </c>
      <c r="BH524" s="9">
        <f t="shared" si="72"/>
        <v>1511.42</v>
      </c>
      <c r="BI524" s="9">
        <f t="shared" si="73"/>
        <v>3.42</v>
      </c>
      <c r="BJ524" s="9">
        <f t="shared" si="74"/>
        <v>6.07</v>
      </c>
      <c r="BK524" s="9">
        <f t="shared" si="75"/>
        <v>22.32</v>
      </c>
      <c r="BL524" s="9">
        <f t="shared" si="76"/>
        <v>0</v>
      </c>
      <c r="BM524" s="9">
        <f t="shared" si="77"/>
        <v>21.47026</v>
      </c>
      <c r="BN524" s="9">
        <f t="shared" si="78"/>
        <v>926.66</v>
      </c>
      <c r="BO524" s="9">
        <f t="shared" si="79"/>
        <v>0</v>
      </c>
      <c r="BP524" s="9">
        <f t="shared" si="80"/>
        <v>60.54</v>
      </c>
    </row>
    <row r="525" spans="1:68">
      <c r="A525" s="6">
        <v>44655</v>
      </c>
      <c r="B525" s="7">
        <v>3134</v>
      </c>
      <c r="C525" s="8">
        <v>1059.1300000000001</v>
      </c>
      <c r="D525" s="8">
        <v>150.44999999999999</v>
      </c>
      <c r="E525" s="8"/>
      <c r="F525" s="8"/>
      <c r="G525" s="8"/>
      <c r="H525" s="8">
        <v>501.58</v>
      </c>
      <c r="I525" s="8"/>
      <c r="J525" s="8"/>
      <c r="K525" s="8"/>
      <c r="L525" s="8"/>
      <c r="M525" s="8"/>
      <c r="N525" s="8">
        <v>3.46</v>
      </c>
      <c r="O525" s="8"/>
      <c r="P525" s="8"/>
      <c r="Q525" s="11"/>
      <c r="R525" s="11"/>
      <c r="S525" s="8">
        <v>6.85</v>
      </c>
      <c r="T525" s="8">
        <v>10.43</v>
      </c>
      <c r="U525" s="8">
        <v>8.93</v>
      </c>
      <c r="V525" s="8"/>
      <c r="W525" s="8"/>
      <c r="X525" s="8"/>
      <c r="Y525" s="8"/>
      <c r="Z525" s="8"/>
      <c r="AA525" s="8"/>
      <c r="AB525" s="8"/>
      <c r="AC525" s="8">
        <v>5.95</v>
      </c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11"/>
      <c r="AQ525" s="8"/>
      <c r="AR525" s="8"/>
      <c r="AS525" s="8"/>
      <c r="AT525" s="8">
        <v>1049.1400000000001</v>
      </c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>
        <v>66.930000000000007</v>
      </c>
      <c r="BG525" s="8">
        <v>79.02</v>
      </c>
      <c r="BH525" s="9">
        <f t="shared" si="72"/>
        <v>1711.16</v>
      </c>
      <c r="BI525" s="9">
        <f t="shared" si="73"/>
        <v>3.46</v>
      </c>
      <c r="BJ525" s="9">
        <f t="shared" si="74"/>
        <v>6.85</v>
      </c>
      <c r="BK525" s="9">
        <f t="shared" si="75"/>
        <v>19.36</v>
      </c>
      <c r="BL525" s="9">
        <f t="shared" si="76"/>
        <v>0</v>
      </c>
      <c r="BM525" s="9">
        <f t="shared" si="77"/>
        <v>5.95</v>
      </c>
      <c r="BN525" s="9">
        <f t="shared" si="78"/>
        <v>1049.1400000000001</v>
      </c>
      <c r="BO525" s="9">
        <f t="shared" si="79"/>
        <v>0</v>
      </c>
      <c r="BP525" s="9">
        <f t="shared" si="80"/>
        <v>66.930000000000007</v>
      </c>
    </row>
    <row r="526" spans="1:68">
      <c r="A526" s="6">
        <v>44655</v>
      </c>
      <c r="B526" s="7">
        <v>3601</v>
      </c>
      <c r="C526" s="8">
        <v>293.06</v>
      </c>
      <c r="D526" s="8"/>
      <c r="E526" s="8"/>
      <c r="F526" s="8"/>
      <c r="G526" s="8">
        <v>438.87</v>
      </c>
      <c r="H526" s="8"/>
      <c r="I526" s="8"/>
      <c r="J526" s="8"/>
      <c r="K526" s="8"/>
      <c r="L526" s="8"/>
      <c r="M526" s="8">
        <v>0.86</v>
      </c>
      <c r="N526" s="8"/>
      <c r="O526" s="8"/>
      <c r="P526" s="8"/>
      <c r="Q526" s="11"/>
      <c r="R526" s="11"/>
      <c r="S526" s="8">
        <v>3.9</v>
      </c>
      <c r="T526" s="8"/>
      <c r="U526" s="8">
        <v>4.3899999999999997</v>
      </c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11"/>
      <c r="AQ526" s="8"/>
      <c r="AR526" s="8"/>
      <c r="AS526" s="8"/>
      <c r="AT526" s="8">
        <v>359.13</v>
      </c>
      <c r="AU526" s="8"/>
      <c r="AV526" s="8"/>
      <c r="AW526" s="8">
        <v>22.25</v>
      </c>
      <c r="AX526" s="8"/>
      <c r="AY526" s="8"/>
      <c r="AZ526" s="8"/>
      <c r="BA526" s="8"/>
      <c r="BB526" s="8"/>
      <c r="BC526" s="8"/>
      <c r="BD526" s="8"/>
      <c r="BE526" s="8"/>
      <c r="BF526" s="8">
        <v>40.880000000000003</v>
      </c>
      <c r="BG526" s="8">
        <v>27.2</v>
      </c>
      <c r="BH526" s="9">
        <f t="shared" si="72"/>
        <v>731.93000000000006</v>
      </c>
      <c r="BI526" s="9">
        <f t="shared" si="73"/>
        <v>0.86</v>
      </c>
      <c r="BJ526" s="9">
        <f t="shared" si="74"/>
        <v>3.9</v>
      </c>
      <c r="BK526" s="9">
        <f t="shared" si="75"/>
        <v>4.3899999999999997</v>
      </c>
      <c r="BL526" s="9">
        <f t="shared" si="76"/>
        <v>0</v>
      </c>
      <c r="BM526" s="9">
        <f t="shared" si="77"/>
        <v>0</v>
      </c>
      <c r="BN526" s="9">
        <f t="shared" si="78"/>
        <v>359.13</v>
      </c>
      <c r="BO526" s="9">
        <f t="shared" si="79"/>
        <v>22.25</v>
      </c>
      <c r="BP526" s="9">
        <f t="shared" si="80"/>
        <v>40.880000000000003</v>
      </c>
    </row>
    <row r="527" spans="1:68">
      <c r="A527" s="6">
        <v>44655</v>
      </c>
      <c r="B527" s="7">
        <v>3602</v>
      </c>
      <c r="C527" s="8">
        <v>310.32</v>
      </c>
      <c r="D527" s="8"/>
      <c r="E527" s="8"/>
      <c r="F527" s="8"/>
      <c r="G527" s="8">
        <v>465.55</v>
      </c>
      <c r="H527" s="8"/>
      <c r="I527" s="8"/>
      <c r="J527" s="8"/>
      <c r="K527" s="8"/>
      <c r="L527" s="8"/>
      <c r="M527" s="8">
        <v>0.82</v>
      </c>
      <c r="N527" s="8"/>
      <c r="O527" s="8"/>
      <c r="P527" s="8"/>
      <c r="Q527" s="11"/>
      <c r="R527" s="11"/>
      <c r="S527" s="8">
        <v>4.1500000000000004</v>
      </c>
      <c r="T527" s="8"/>
      <c r="U527" s="8">
        <v>2.4900000000000002</v>
      </c>
      <c r="V527" s="8">
        <f>850*8.88/1000</f>
        <v>7.5480000000000009</v>
      </c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11"/>
      <c r="AQ527" s="8"/>
      <c r="AR527" s="8"/>
      <c r="AS527" s="8"/>
      <c r="AT527" s="8">
        <v>325.12</v>
      </c>
      <c r="AU527" s="8"/>
      <c r="AV527" s="8"/>
      <c r="AW527" s="8">
        <v>20.11</v>
      </c>
      <c r="AX527" s="8"/>
      <c r="AY527" s="8"/>
      <c r="AZ527" s="8"/>
      <c r="BA527" s="8"/>
      <c r="BB527" s="8"/>
      <c r="BC527" s="8"/>
      <c r="BD527" s="8"/>
      <c r="BE527" s="8"/>
      <c r="BF527" s="8">
        <v>24.91</v>
      </c>
      <c r="BG527" s="8">
        <v>24.34</v>
      </c>
      <c r="BH527" s="9">
        <f t="shared" si="72"/>
        <v>775.87</v>
      </c>
      <c r="BI527" s="9">
        <f t="shared" si="73"/>
        <v>0.82</v>
      </c>
      <c r="BJ527" s="9">
        <f t="shared" si="74"/>
        <v>4.1500000000000004</v>
      </c>
      <c r="BK527" s="9">
        <f t="shared" si="75"/>
        <v>10.038</v>
      </c>
      <c r="BL527" s="9">
        <f t="shared" si="76"/>
        <v>0</v>
      </c>
      <c r="BM527" s="9">
        <f t="shared" si="77"/>
        <v>0</v>
      </c>
      <c r="BN527" s="9">
        <f t="shared" si="78"/>
        <v>325.12</v>
      </c>
      <c r="BO527" s="9">
        <f t="shared" si="79"/>
        <v>20.11</v>
      </c>
      <c r="BP527" s="9">
        <f t="shared" si="80"/>
        <v>24.91</v>
      </c>
    </row>
    <row r="528" spans="1:68">
      <c r="A528" s="6">
        <v>44655</v>
      </c>
      <c r="B528" s="7">
        <v>3310</v>
      </c>
      <c r="C528" s="8"/>
      <c r="D528" s="8">
        <v>852.54</v>
      </c>
      <c r="E528" s="8"/>
      <c r="F528" s="8"/>
      <c r="G528" s="8"/>
      <c r="H528" s="8"/>
      <c r="I528" s="8"/>
      <c r="J528" s="8"/>
      <c r="K528" s="8"/>
      <c r="L528" s="8"/>
      <c r="M528" s="8">
        <v>1.02</v>
      </c>
      <c r="N528" s="8"/>
      <c r="O528" s="8"/>
      <c r="P528" s="8"/>
      <c r="Q528" s="11"/>
      <c r="R528" s="11"/>
      <c r="S528" s="8">
        <v>6.06</v>
      </c>
      <c r="T528" s="8">
        <v>7.69</v>
      </c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>
        <v>8.58</v>
      </c>
      <c r="AH528" s="8"/>
      <c r="AI528" s="8"/>
      <c r="AJ528" s="8"/>
      <c r="AK528" s="8"/>
      <c r="AL528" s="8"/>
      <c r="AM528" s="8"/>
      <c r="AN528" s="8"/>
      <c r="AO528" s="8"/>
      <c r="AP528" s="11"/>
      <c r="AQ528" s="8"/>
      <c r="AR528" s="8"/>
      <c r="AS528" s="8"/>
      <c r="AT528" s="8"/>
      <c r="AU528" s="8">
        <v>368.83</v>
      </c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>
        <v>24.69</v>
      </c>
      <c r="BH528" s="9">
        <f t="shared" si="72"/>
        <v>852.54</v>
      </c>
      <c r="BI528" s="9">
        <f t="shared" si="73"/>
        <v>1.02</v>
      </c>
      <c r="BJ528" s="9">
        <f t="shared" si="74"/>
        <v>6.06</v>
      </c>
      <c r="BK528" s="9">
        <f t="shared" si="75"/>
        <v>7.69</v>
      </c>
      <c r="BL528" s="9">
        <f t="shared" si="76"/>
        <v>0</v>
      </c>
      <c r="BM528" s="9">
        <f t="shared" si="77"/>
        <v>8.58</v>
      </c>
      <c r="BN528" s="9">
        <f t="shared" si="78"/>
        <v>368.83</v>
      </c>
      <c r="BO528" s="9">
        <f t="shared" si="79"/>
        <v>0</v>
      </c>
      <c r="BP528" s="9">
        <f t="shared" si="80"/>
        <v>0</v>
      </c>
    </row>
    <row r="529" spans="1:68">
      <c r="A529" s="6">
        <v>44655</v>
      </c>
      <c r="B529" s="7">
        <v>3028</v>
      </c>
      <c r="C529" s="8"/>
      <c r="D529" s="8">
        <v>779.13</v>
      </c>
      <c r="E529" s="8"/>
      <c r="F529" s="8">
        <v>715.3</v>
      </c>
      <c r="G529" s="8"/>
      <c r="H529" s="8"/>
      <c r="I529" s="8">
        <v>1616.62</v>
      </c>
      <c r="J529" s="8"/>
      <c r="K529" s="8"/>
      <c r="L529" s="8"/>
      <c r="M529" s="8"/>
      <c r="N529" s="8">
        <v>23.3</v>
      </c>
      <c r="O529" s="8"/>
      <c r="P529" s="8"/>
      <c r="Q529" s="11"/>
      <c r="R529" s="11"/>
      <c r="S529" s="8">
        <v>4.3499999999999996</v>
      </c>
      <c r="T529" s="8"/>
      <c r="U529" s="8"/>
      <c r="V529" s="8"/>
      <c r="W529" s="8">
        <f>1140*20.72/1000</f>
        <v>23.620799999999999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>
        <f>1528*20.72/1000</f>
        <v>31.660160000000001</v>
      </c>
      <c r="AN529" s="8">
        <f>1063*20.72/1000</f>
        <v>22.025359999999999</v>
      </c>
      <c r="AO529" s="8"/>
      <c r="AP529" s="11"/>
      <c r="AQ529" s="8"/>
      <c r="AR529" s="8"/>
      <c r="AS529" s="8">
        <f>4935*20.72/1000</f>
        <v>102.25319999999999</v>
      </c>
      <c r="AT529" s="8">
        <v>1036.52</v>
      </c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>
        <v>70.58</v>
      </c>
      <c r="BH529" s="9">
        <f t="shared" si="72"/>
        <v>3111.0499999999997</v>
      </c>
      <c r="BI529" s="9">
        <f t="shared" si="73"/>
        <v>23.3</v>
      </c>
      <c r="BJ529" s="9">
        <f t="shared" si="74"/>
        <v>4.3499999999999996</v>
      </c>
      <c r="BK529" s="9">
        <f t="shared" si="75"/>
        <v>23.620799999999999</v>
      </c>
      <c r="BL529" s="9">
        <f t="shared" si="76"/>
        <v>0</v>
      </c>
      <c r="BM529" s="9">
        <f t="shared" si="77"/>
        <v>155.93871999999999</v>
      </c>
      <c r="BN529" s="9">
        <f t="shared" si="78"/>
        <v>1036.52</v>
      </c>
      <c r="BO529" s="9">
        <f t="shared" si="79"/>
        <v>0</v>
      </c>
      <c r="BP529" s="9">
        <f t="shared" si="80"/>
        <v>0</v>
      </c>
    </row>
    <row r="530" spans="1:68">
      <c r="A530" s="6">
        <v>44655</v>
      </c>
      <c r="B530" s="7">
        <v>3029</v>
      </c>
      <c r="C530" s="8"/>
      <c r="D530" s="8">
        <v>478.17</v>
      </c>
      <c r="E530" s="8"/>
      <c r="F530" s="8">
        <v>337.59</v>
      </c>
      <c r="G530" s="8"/>
      <c r="H530" s="8"/>
      <c r="I530" s="8">
        <v>1996.59</v>
      </c>
      <c r="J530" s="8"/>
      <c r="K530" s="8"/>
      <c r="L530" s="8"/>
      <c r="M530" s="8"/>
      <c r="N530" s="8">
        <v>21.11</v>
      </c>
      <c r="O530" s="8"/>
      <c r="P530" s="8"/>
      <c r="Q530" s="11"/>
      <c r="R530" s="11"/>
      <c r="S530" s="8">
        <v>1.68</v>
      </c>
      <c r="T530" s="8"/>
      <c r="U530" s="8"/>
      <c r="V530" s="8"/>
      <c r="W530" s="8">
        <f>1535*18.75/1000</f>
        <v>28.78125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>
        <f>538*18.75/1000</f>
        <v>10.0875</v>
      </c>
      <c r="AN530" s="8">
        <f>758*18.75/1000</f>
        <v>14.2125</v>
      </c>
      <c r="AO530" s="8"/>
      <c r="AP530" s="11"/>
      <c r="AQ530" s="8"/>
      <c r="AR530" s="8">
        <f>4595*18.75/1000</f>
        <v>86.15625</v>
      </c>
      <c r="AS530" s="8"/>
      <c r="AT530" s="8">
        <v>1065.22</v>
      </c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>
        <v>74.67</v>
      </c>
      <c r="BH530" s="9">
        <f t="shared" si="72"/>
        <v>2812.35</v>
      </c>
      <c r="BI530" s="9">
        <f t="shared" si="73"/>
        <v>21.11</v>
      </c>
      <c r="BJ530" s="9">
        <f t="shared" si="74"/>
        <v>1.68</v>
      </c>
      <c r="BK530" s="9">
        <f t="shared" si="75"/>
        <v>28.78125</v>
      </c>
      <c r="BL530" s="9">
        <f t="shared" si="76"/>
        <v>0</v>
      </c>
      <c r="BM530" s="9">
        <f t="shared" si="77"/>
        <v>110.45625</v>
      </c>
      <c r="BN530" s="9">
        <f t="shared" si="78"/>
        <v>1065.22</v>
      </c>
      <c r="BO530" s="9">
        <f t="shared" si="79"/>
        <v>0</v>
      </c>
      <c r="BP530" s="9">
        <f t="shared" si="80"/>
        <v>0</v>
      </c>
    </row>
    <row r="531" spans="1:68">
      <c r="A531" s="6">
        <v>44655</v>
      </c>
      <c r="B531" s="7">
        <v>3016</v>
      </c>
      <c r="C531" s="8"/>
      <c r="D531" s="8">
        <v>2377.6</v>
      </c>
      <c r="E531" s="8"/>
      <c r="F531" s="8"/>
      <c r="G531" s="8"/>
      <c r="H531" s="8"/>
      <c r="I531" s="8">
        <v>2188.64</v>
      </c>
      <c r="J531" s="8"/>
      <c r="K531" s="8"/>
      <c r="L531" s="8"/>
      <c r="M531" s="8"/>
      <c r="N531" s="8">
        <v>27.46</v>
      </c>
      <c r="O531" s="8"/>
      <c r="P531" s="8"/>
      <c r="Q531" s="11"/>
      <c r="R531" s="11"/>
      <c r="S531" s="8">
        <v>3.19</v>
      </c>
      <c r="T531" s="8">
        <v>45.76</v>
      </c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>
        <f>696*26.88/1000</f>
        <v>18.708479999999998</v>
      </c>
      <c r="AN531" s="8">
        <f>2041*26.88/1000</f>
        <v>54.862079999999992</v>
      </c>
      <c r="AO531" s="8"/>
      <c r="AP531" s="11"/>
      <c r="AQ531" s="8"/>
      <c r="AR531" s="8">
        <f>4283*26.88/1000</f>
        <v>115.12703999999999</v>
      </c>
      <c r="AS531" s="8"/>
      <c r="AT531" s="8">
        <v>1699.15</v>
      </c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>
        <v>124.18</v>
      </c>
      <c r="BH531" s="9">
        <f t="shared" si="72"/>
        <v>4566.24</v>
      </c>
      <c r="BI531" s="9">
        <f t="shared" si="73"/>
        <v>27.46</v>
      </c>
      <c r="BJ531" s="9">
        <f t="shared" si="74"/>
        <v>3.19</v>
      </c>
      <c r="BK531" s="9">
        <f t="shared" si="75"/>
        <v>45.76</v>
      </c>
      <c r="BL531" s="9">
        <f t="shared" si="76"/>
        <v>0</v>
      </c>
      <c r="BM531" s="9">
        <f t="shared" si="77"/>
        <v>188.69759999999997</v>
      </c>
      <c r="BN531" s="9">
        <f t="shared" si="78"/>
        <v>1699.15</v>
      </c>
      <c r="BO531" s="9">
        <f t="shared" si="79"/>
        <v>0</v>
      </c>
      <c r="BP531" s="9">
        <f t="shared" si="80"/>
        <v>0</v>
      </c>
    </row>
    <row r="532" spans="1:68">
      <c r="A532" s="6">
        <v>44655</v>
      </c>
      <c r="B532" s="7">
        <v>3106</v>
      </c>
      <c r="C532" s="8">
        <v>4163.3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>
        <v>11.25</v>
      </c>
      <c r="O532" s="8"/>
      <c r="P532" s="8"/>
      <c r="Q532" s="11"/>
      <c r="R532" s="11"/>
      <c r="S532" s="8">
        <v>12.93</v>
      </c>
      <c r="T532" s="8">
        <v>52.91</v>
      </c>
      <c r="U532" s="8"/>
      <c r="V532" s="8"/>
      <c r="W532" s="8"/>
      <c r="X532" s="8"/>
      <c r="Y532" s="8"/>
      <c r="Z532" s="8"/>
      <c r="AA532" s="8"/>
      <c r="AB532" s="8"/>
      <c r="AC532" s="8">
        <v>16.66</v>
      </c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11"/>
      <c r="AQ532" s="8"/>
      <c r="AR532" s="8"/>
      <c r="AS532" s="8"/>
      <c r="AT532" s="8">
        <v>2384.67</v>
      </c>
      <c r="AU532" s="8"/>
      <c r="AV532" s="8"/>
      <c r="AW532" s="8"/>
      <c r="AX532" s="8">
        <v>5.21</v>
      </c>
      <c r="AY532" s="8"/>
      <c r="AZ532" s="8"/>
      <c r="BA532" s="8"/>
      <c r="BB532" s="8"/>
      <c r="BC532" s="8"/>
      <c r="BD532" s="8"/>
      <c r="BE532" s="8"/>
      <c r="BF532" s="8"/>
      <c r="BG532" s="8">
        <v>178.98</v>
      </c>
      <c r="BH532" s="9">
        <f t="shared" si="72"/>
        <v>4163.3</v>
      </c>
      <c r="BI532" s="9">
        <f t="shared" si="73"/>
        <v>11.25</v>
      </c>
      <c r="BJ532" s="9">
        <f t="shared" si="74"/>
        <v>12.93</v>
      </c>
      <c r="BK532" s="9">
        <f t="shared" si="75"/>
        <v>52.91</v>
      </c>
      <c r="BL532" s="9">
        <f t="shared" si="76"/>
        <v>0</v>
      </c>
      <c r="BM532" s="9">
        <f t="shared" si="77"/>
        <v>16.66</v>
      </c>
      <c r="BN532" s="9">
        <f t="shared" si="78"/>
        <v>2384.67</v>
      </c>
      <c r="BO532" s="9">
        <f t="shared" si="79"/>
        <v>5.21</v>
      </c>
      <c r="BP532" s="9">
        <f t="shared" si="80"/>
        <v>0</v>
      </c>
    </row>
    <row r="533" spans="1:68">
      <c r="A533" s="6">
        <v>44655</v>
      </c>
      <c r="B533" s="7">
        <v>3200</v>
      </c>
      <c r="C533" s="8">
        <v>2278.1999999999998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>
        <v>5.73</v>
      </c>
      <c r="P533" s="8"/>
      <c r="Q533" s="11"/>
      <c r="R533" s="11"/>
      <c r="S533" s="8">
        <v>8.89</v>
      </c>
      <c r="T533" s="8"/>
      <c r="U533" s="8">
        <v>34.24</v>
      </c>
      <c r="V533" s="8"/>
      <c r="W533" s="8"/>
      <c r="X533" s="8"/>
      <c r="Y533" s="8"/>
      <c r="Z533" s="8">
        <v>479.14</v>
      </c>
      <c r="AA533" s="8"/>
      <c r="AB533" s="8"/>
      <c r="AC533" s="8"/>
      <c r="AD533" s="8"/>
      <c r="AE533" s="8">
        <f>1523*22.78/1000</f>
        <v>34.693940000000005</v>
      </c>
      <c r="AF533" s="8">
        <v>113.12</v>
      </c>
      <c r="AG533" s="8"/>
      <c r="AH533" s="8"/>
      <c r="AI533" s="8"/>
      <c r="AJ533" s="8"/>
      <c r="AK533" s="8"/>
      <c r="AL533" s="8"/>
      <c r="AM533" s="8"/>
      <c r="AN533" s="8"/>
      <c r="AO533" s="8"/>
      <c r="AP533" s="11"/>
      <c r="AQ533" s="8"/>
      <c r="AR533" s="8"/>
      <c r="AS533" s="8"/>
      <c r="AT533" s="8">
        <v>1558.72</v>
      </c>
      <c r="AU533" s="8"/>
      <c r="AV533" s="8"/>
      <c r="AW533" s="8">
        <v>6.6</v>
      </c>
      <c r="AX533" s="8"/>
      <c r="AY533" s="8"/>
      <c r="AZ533" s="8"/>
      <c r="BA533" s="8"/>
      <c r="BB533" s="8"/>
      <c r="BC533" s="8"/>
      <c r="BD533" s="8"/>
      <c r="BE533" s="8"/>
      <c r="BF533" s="8">
        <v>109.39</v>
      </c>
      <c r="BG533" s="8">
        <v>113.24</v>
      </c>
      <c r="BH533" s="9">
        <f t="shared" si="72"/>
        <v>2278.1999999999998</v>
      </c>
      <c r="BI533" s="9">
        <f t="shared" si="73"/>
        <v>5.73</v>
      </c>
      <c r="BJ533" s="9">
        <f t="shared" si="74"/>
        <v>8.89</v>
      </c>
      <c r="BK533" s="9">
        <f t="shared" si="75"/>
        <v>34.24</v>
      </c>
      <c r="BL533" s="9">
        <f t="shared" si="76"/>
        <v>479.14</v>
      </c>
      <c r="BM533" s="9">
        <f t="shared" si="77"/>
        <v>147.81394</v>
      </c>
      <c r="BN533" s="9">
        <f t="shared" si="78"/>
        <v>1558.72</v>
      </c>
      <c r="BO533" s="9">
        <f t="shared" si="79"/>
        <v>6.6</v>
      </c>
      <c r="BP533" s="9">
        <f t="shared" si="80"/>
        <v>109.39</v>
      </c>
    </row>
    <row r="534" spans="1:68">
      <c r="A534" s="6">
        <v>44656</v>
      </c>
      <c r="B534" s="7">
        <v>3433</v>
      </c>
      <c r="C534" s="8">
        <f>1045.03+1618.7</f>
        <v>2663.73</v>
      </c>
      <c r="D534" s="8"/>
      <c r="E534" s="8"/>
      <c r="F534" s="8"/>
      <c r="G534" s="8"/>
      <c r="H534" s="8"/>
      <c r="I534" s="8"/>
      <c r="J534" s="8"/>
      <c r="K534" s="8"/>
      <c r="L534" s="8"/>
      <c r="M534" s="8">
        <f>2.82+4.63</f>
        <v>7.4499999999999993</v>
      </c>
      <c r="N534" s="8"/>
      <c r="O534" s="8"/>
      <c r="P534" s="8"/>
      <c r="Q534" s="11"/>
      <c r="R534" s="11"/>
      <c r="S534" s="8">
        <f>4.18+6.48</f>
        <v>10.66</v>
      </c>
      <c r="T534" s="8"/>
      <c r="U534" s="8"/>
      <c r="V534" s="8"/>
      <c r="W534" s="8"/>
      <c r="X534" s="8">
        <f>10.58+16.44</f>
        <v>27.020000000000003</v>
      </c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11"/>
      <c r="AQ534" s="8"/>
      <c r="AR534" s="8"/>
      <c r="AS534" s="8"/>
      <c r="AT534" s="8">
        <f>473.06+734.06</f>
        <v>1207.1199999999999</v>
      </c>
      <c r="AU534" s="8"/>
      <c r="AV534" s="8"/>
      <c r="AW534" s="8"/>
      <c r="AX534" s="8"/>
      <c r="AY534" s="8"/>
      <c r="AZ534" s="8"/>
      <c r="BA534" s="8">
        <f>4.69+7.26</f>
        <v>11.95</v>
      </c>
      <c r="BB534" s="8"/>
      <c r="BC534" s="8"/>
      <c r="BD534" s="8"/>
      <c r="BE534" s="8"/>
      <c r="BF534" s="8">
        <f>52.22+81.01</f>
        <v>133.23000000000002</v>
      </c>
      <c r="BG534" s="8">
        <f>34.99+54.26</f>
        <v>89.25</v>
      </c>
      <c r="BH534" s="9">
        <f t="shared" si="72"/>
        <v>2663.73</v>
      </c>
      <c r="BI534" s="9">
        <f t="shared" si="73"/>
        <v>7.4499999999999993</v>
      </c>
      <c r="BJ534" s="9">
        <f t="shared" si="74"/>
        <v>10.66</v>
      </c>
      <c r="BK534" s="9">
        <f t="shared" si="75"/>
        <v>27.020000000000003</v>
      </c>
      <c r="BL534" s="9">
        <f t="shared" si="76"/>
        <v>0</v>
      </c>
      <c r="BM534" s="9">
        <f t="shared" si="77"/>
        <v>0</v>
      </c>
      <c r="BN534" s="9">
        <f t="shared" si="78"/>
        <v>1207.1199999999999</v>
      </c>
      <c r="BO534" s="9">
        <f t="shared" si="79"/>
        <v>11.95</v>
      </c>
      <c r="BP534" s="9">
        <f t="shared" si="80"/>
        <v>133.23000000000002</v>
      </c>
    </row>
    <row r="535" spans="1:68">
      <c r="A535" s="6">
        <v>44656</v>
      </c>
      <c r="B535" s="7">
        <v>3023</v>
      </c>
      <c r="C535" s="8"/>
      <c r="D535" s="8">
        <f>507.13+481.37</f>
        <v>988.5</v>
      </c>
      <c r="E535" s="8"/>
      <c r="F535" s="8"/>
      <c r="G535" s="8"/>
      <c r="H535" s="8"/>
      <c r="I535" s="8">
        <f>275.59+258.54</f>
        <v>534.13</v>
      </c>
      <c r="J535" s="8"/>
      <c r="K535" s="8"/>
      <c r="L535" s="8"/>
      <c r="M535" s="8"/>
      <c r="N535" s="8">
        <f>4.38+4.15</f>
        <v>8.5300000000000011</v>
      </c>
      <c r="O535" s="8"/>
      <c r="P535" s="8"/>
      <c r="Q535" s="11"/>
      <c r="R535" s="11"/>
      <c r="S535" s="8">
        <f>1.25+1.19</f>
        <v>2.44</v>
      </c>
      <c r="T535" s="8"/>
      <c r="U535" s="8"/>
      <c r="V535" s="8"/>
      <c r="W535" s="8">
        <f>1320*5.1/1000</f>
        <v>6.7319999999999993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>
        <f>1466*5.1/1000</f>
        <v>7.4765999999999995</v>
      </c>
      <c r="AN535" s="8">
        <f>1017*5.1/1000</f>
        <v>5.1867000000000001</v>
      </c>
      <c r="AO535" s="8"/>
      <c r="AP535" s="11"/>
      <c r="AQ535" s="8"/>
      <c r="AR535" s="8"/>
      <c r="AS535" s="8">
        <f>4792*5.1/1000</f>
        <v>24.439199999999996</v>
      </c>
      <c r="AT535" s="8">
        <f>321.57+303.53</f>
        <v>625.09999999999991</v>
      </c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>
        <f>24.61+22.97</f>
        <v>47.58</v>
      </c>
      <c r="BH535" s="9">
        <f t="shared" si="72"/>
        <v>1522.63</v>
      </c>
      <c r="BI535" s="9">
        <f t="shared" si="73"/>
        <v>8.5300000000000011</v>
      </c>
      <c r="BJ535" s="9">
        <f t="shared" si="74"/>
        <v>2.44</v>
      </c>
      <c r="BK535" s="9">
        <f t="shared" si="75"/>
        <v>6.7319999999999993</v>
      </c>
      <c r="BL535" s="9">
        <f t="shared" si="76"/>
        <v>0</v>
      </c>
      <c r="BM535" s="9">
        <f t="shared" si="77"/>
        <v>37.102499999999992</v>
      </c>
      <c r="BN535" s="9">
        <f t="shared" si="78"/>
        <v>625.09999999999991</v>
      </c>
      <c r="BO535" s="9">
        <f t="shared" si="79"/>
        <v>0</v>
      </c>
      <c r="BP535" s="9">
        <f t="shared" si="80"/>
        <v>0</v>
      </c>
    </row>
    <row r="536" spans="1:68">
      <c r="A536" s="6">
        <v>44656</v>
      </c>
      <c r="B536" s="7">
        <v>3080</v>
      </c>
      <c r="C536" s="8"/>
      <c r="D536" s="8"/>
      <c r="E536" s="8"/>
      <c r="F536" s="8">
        <v>438.45</v>
      </c>
      <c r="G536" s="8"/>
      <c r="H536" s="8"/>
      <c r="I536" s="8">
        <v>659.48</v>
      </c>
      <c r="J536" s="8"/>
      <c r="K536" s="8"/>
      <c r="L536" s="8"/>
      <c r="M536" s="8"/>
      <c r="N536" s="8">
        <v>7.75</v>
      </c>
      <c r="O536" s="8"/>
      <c r="P536" s="8">
        <f>630*7.13/1000</f>
        <v>4.4918999999999993</v>
      </c>
      <c r="Q536" s="11"/>
      <c r="R536" s="11"/>
      <c r="S536" s="8">
        <v>0.66</v>
      </c>
      <c r="T536" s="8">
        <v>11.09</v>
      </c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11"/>
      <c r="AQ536" s="8"/>
      <c r="AR536" s="8"/>
      <c r="AS536" s="8"/>
      <c r="AT536" s="8">
        <v>388.93</v>
      </c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>
        <v>21</v>
      </c>
      <c r="BH536" s="9">
        <f t="shared" si="72"/>
        <v>1097.93</v>
      </c>
      <c r="BI536" s="9">
        <f t="shared" si="73"/>
        <v>12.241899999999999</v>
      </c>
      <c r="BJ536" s="9">
        <f t="shared" si="74"/>
        <v>0.66</v>
      </c>
      <c r="BK536" s="9">
        <f t="shared" si="75"/>
        <v>11.09</v>
      </c>
      <c r="BL536" s="9">
        <f t="shared" si="76"/>
        <v>0</v>
      </c>
      <c r="BM536" s="9">
        <f t="shared" si="77"/>
        <v>0</v>
      </c>
      <c r="BN536" s="9">
        <f t="shared" si="78"/>
        <v>388.93</v>
      </c>
      <c r="BO536" s="9">
        <f t="shared" si="79"/>
        <v>0</v>
      </c>
      <c r="BP536" s="9">
        <f t="shared" si="80"/>
        <v>0</v>
      </c>
    </row>
    <row r="537" spans="1:68">
      <c r="A537" s="6">
        <v>44656</v>
      </c>
      <c r="B537" s="7">
        <v>3020</v>
      </c>
      <c r="C537" s="8"/>
      <c r="D537" s="8">
        <v>171.72</v>
      </c>
      <c r="E537" s="8"/>
      <c r="F537" s="8"/>
      <c r="G537" s="8"/>
      <c r="H537" s="8"/>
      <c r="I537" s="8">
        <v>967.58</v>
      </c>
      <c r="J537" s="8"/>
      <c r="K537" s="8"/>
      <c r="L537" s="8"/>
      <c r="M537" s="8"/>
      <c r="N537" s="8">
        <v>6.86</v>
      </c>
      <c r="O537" s="8"/>
      <c r="P537" s="8"/>
      <c r="Q537" s="11"/>
      <c r="R537" s="11"/>
      <c r="S537" s="8">
        <v>2.0499999999999998</v>
      </c>
      <c r="T537" s="8"/>
      <c r="U537" s="8"/>
      <c r="V537" s="8"/>
      <c r="W537" s="8">
        <f>1190*9.52/1000</f>
        <v>11.328799999999999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>
        <f>1209*9.52/1000</f>
        <v>11.509679999999999</v>
      </c>
      <c r="AN537" s="8"/>
      <c r="AO537" s="8"/>
      <c r="AP537" s="11"/>
      <c r="AQ537" s="8"/>
      <c r="AR537" s="8"/>
      <c r="AS537" s="8">
        <f>3021*9.52/1000</f>
        <v>28.759919999999997</v>
      </c>
      <c r="AT537" s="8">
        <v>561.29</v>
      </c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>
        <v>41.06</v>
      </c>
      <c r="BH537" s="9">
        <f t="shared" si="72"/>
        <v>1139.3</v>
      </c>
      <c r="BI537" s="9">
        <f t="shared" si="73"/>
        <v>6.86</v>
      </c>
      <c r="BJ537" s="9">
        <f t="shared" si="74"/>
        <v>2.0499999999999998</v>
      </c>
      <c r="BK537" s="9">
        <f t="shared" si="75"/>
        <v>11.328799999999999</v>
      </c>
      <c r="BL537" s="9">
        <f t="shared" si="76"/>
        <v>0</v>
      </c>
      <c r="BM537" s="9">
        <f t="shared" si="77"/>
        <v>40.269599999999997</v>
      </c>
      <c r="BN537" s="9">
        <f t="shared" si="78"/>
        <v>561.29</v>
      </c>
      <c r="BO537" s="9">
        <f t="shared" si="79"/>
        <v>0</v>
      </c>
      <c r="BP537" s="9">
        <f t="shared" si="80"/>
        <v>0</v>
      </c>
    </row>
    <row r="538" spans="1:68">
      <c r="A538" s="6">
        <v>44656</v>
      </c>
      <c r="B538" s="7">
        <v>3025</v>
      </c>
      <c r="C538" s="8"/>
      <c r="D538" s="8">
        <v>118.82</v>
      </c>
      <c r="E538" s="8"/>
      <c r="F538" s="8"/>
      <c r="G538" s="8"/>
      <c r="H538" s="8"/>
      <c r="I538" s="8">
        <v>654.92999999999995</v>
      </c>
      <c r="J538" s="8"/>
      <c r="K538" s="8"/>
      <c r="L538" s="8"/>
      <c r="M538" s="8"/>
      <c r="N538" s="8">
        <v>4.17</v>
      </c>
      <c r="O538" s="8"/>
      <c r="P538" s="8"/>
      <c r="Q538" s="11"/>
      <c r="R538" s="11"/>
      <c r="S538" s="8">
        <v>1.24</v>
      </c>
      <c r="T538" s="8"/>
      <c r="U538" s="8"/>
      <c r="V538" s="8"/>
      <c r="W538" s="8">
        <f>916*7.73/1000</f>
        <v>7.0806800000000001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>
        <f>1022*7.73/1000</f>
        <v>7.9000600000000007</v>
      </c>
      <c r="AN538" s="8">
        <f>710*7.73/1000</f>
        <v>5.4883000000000006</v>
      </c>
      <c r="AO538" s="8"/>
      <c r="AP538" s="11"/>
      <c r="AQ538" s="8"/>
      <c r="AR538" s="8"/>
      <c r="AS538" s="8">
        <f>3321*7.73/1000</f>
        <v>25.671330000000001</v>
      </c>
      <c r="AT538" s="8">
        <v>268.57</v>
      </c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>
        <v>17.77</v>
      </c>
      <c r="BH538" s="9">
        <f t="shared" si="72"/>
        <v>773.75</v>
      </c>
      <c r="BI538" s="9">
        <f t="shared" si="73"/>
        <v>4.17</v>
      </c>
      <c r="BJ538" s="9">
        <f t="shared" si="74"/>
        <v>1.24</v>
      </c>
      <c r="BK538" s="9">
        <f t="shared" si="75"/>
        <v>7.0806800000000001</v>
      </c>
      <c r="BL538" s="9">
        <f t="shared" si="76"/>
        <v>0</v>
      </c>
      <c r="BM538" s="9">
        <f t="shared" si="77"/>
        <v>39.059690000000003</v>
      </c>
      <c r="BN538" s="9">
        <f t="shared" si="78"/>
        <v>268.57</v>
      </c>
      <c r="BO538" s="9">
        <f t="shared" si="79"/>
        <v>0</v>
      </c>
      <c r="BP538" s="9">
        <f t="shared" si="80"/>
        <v>0</v>
      </c>
    </row>
    <row r="539" spans="1:68">
      <c r="A539" s="6">
        <v>44656</v>
      </c>
      <c r="B539" s="7">
        <v>3200</v>
      </c>
      <c r="C539" s="8">
        <v>2228.39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>
        <v>5.58</v>
      </c>
      <c r="P539" s="8"/>
      <c r="Q539" s="11"/>
      <c r="R539" s="11"/>
      <c r="S539" s="8">
        <v>8.7200000000000006</v>
      </c>
      <c r="T539" s="8"/>
      <c r="U539" s="8">
        <v>33.51</v>
      </c>
      <c r="V539" s="8"/>
      <c r="W539" s="8"/>
      <c r="X539" s="8"/>
      <c r="Y539" s="8"/>
      <c r="Z539" s="8">
        <v>469.17</v>
      </c>
      <c r="AA539" s="8"/>
      <c r="AB539" s="8"/>
      <c r="AC539" s="8"/>
      <c r="AD539" s="8"/>
      <c r="AE539" s="8">
        <f>1521*22.32/1000</f>
        <v>33.948720000000002</v>
      </c>
      <c r="AF539" s="8">
        <v>111.47</v>
      </c>
      <c r="AG539" s="8"/>
      <c r="AH539" s="8"/>
      <c r="AI539" s="8"/>
      <c r="AJ539" s="8"/>
      <c r="AK539" s="8"/>
      <c r="AL539" s="8"/>
      <c r="AM539" s="8"/>
      <c r="AN539" s="8"/>
      <c r="AO539" s="8"/>
      <c r="AP539" s="11"/>
      <c r="AQ539" s="8"/>
      <c r="AR539" s="8"/>
      <c r="AS539" s="8"/>
      <c r="AT539" s="8">
        <v>1527.56</v>
      </c>
      <c r="AU539" s="8"/>
      <c r="AV539" s="8"/>
      <c r="AW539" s="8">
        <v>6.56</v>
      </c>
      <c r="AX539" s="8"/>
      <c r="AY539" s="8"/>
      <c r="AZ539" s="8"/>
      <c r="BA539" s="8"/>
      <c r="BB539" s="8"/>
      <c r="BC539" s="8"/>
      <c r="BD539" s="8"/>
      <c r="BE539" s="8"/>
      <c r="BF539" s="8">
        <v>107.13</v>
      </c>
      <c r="BG539" s="8">
        <v>110.27</v>
      </c>
      <c r="BH539" s="9">
        <f t="shared" si="72"/>
        <v>2228.39</v>
      </c>
      <c r="BI539" s="9">
        <f t="shared" si="73"/>
        <v>5.58</v>
      </c>
      <c r="BJ539" s="9">
        <f t="shared" si="74"/>
        <v>8.7200000000000006</v>
      </c>
      <c r="BK539" s="9">
        <f t="shared" si="75"/>
        <v>33.51</v>
      </c>
      <c r="BL539" s="9">
        <f t="shared" si="76"/>
        <v>469.17</v>
      </c>
      <c r="BM539" s="9">
        <f t="shared" si="77"/>
        <v>145.41872000000001</v>
      </c>
      <c r="BN539" s="9">
        <f t="shared" si="78"/>
        <v>1527.56</v>
      </c>
      <c r="BO539" s="9">
        <f t="shared" si="79"/>
        <v>6.56</v>
      </c>
      <c r="BP539" s="9">
        <f t="shared" si="80"/>
        <v>107.13</v>
      </c>
    </row>
    <row r="540" spans="1:68">
      <c r="A540" s="6">
        <v>44656</v>
      </c>
      <c r="B540" s="7">
        <v>3402</v>
      </c>
      <c r="C540" s="8">
        <v>398.5</v>
      </c>
      <c r="D540" s="8">
        <v>265.70999999999998</v>
      </c>
      <c r="E540" s="8"/>
      <c r="F540" s="8"/>
      <c r="G540" s="8"/>
      <c r="H540" s="8"/>
      <c r="I540" s="8"/>
      <c r="J540" s="8"/>
      <c r="K540" s="8"/>
      <c r="L540" s="8"/>
      <c r="M540" s="8">
        <v>1.87</v>
      </c>
      <c r="N540" s="8"/>
      <c r="O540" s="8"/>
      <c r="P540" s="8"/>
      <c r="Q540" s="11"/>
      <c r="R540" s="11"/>
      <c r="S540" s="8">
        <v>1.53</v>
      </c>
      <c r="T540" s="8">
        <v>6.66</v>
      </c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11"/>
      <c r="AQ540" s="8"/>
      <c r="AR540" s="8"/>
      <c r="AS540" s="8"/>
      <c r="AT540" s="8">
        <v>314.36</v>
      </c>
      <c r="AU540" s="8"/>
      <c r="AV540" s="8"/>
      <c r="AW540" s="8"/>
      <c r="AX540" s="8"/>
      <c r="AY540" s="8"/>
      <c r="AZ540" s="8"/>
      <c r="BA540" s="8">
        <v>3.01</v>
      </c>
      <c r="BB540" s="8"/>
      <c r="BC540" s="8"/>
      <c r="BD540" s="8"/>
      <c r="BE540" s="8"/>
      <c r="BF540" s="8"/>
      <c r="BG540" s="8">
        <v>21.96</v>
      </c>
      <c r="BH540" s="9">
        <f t="shared" si="72"/>
        <v>664.21</v>
      </c>
      <c r="BI540" s="9">
        <f t="shared" si="73"/>
        <v>1.87</v>
      </c>
      <c r="BJ540" s="9">
        <f t="shared" si="74"/>
        <v>1.53</v>
      </c>
      <c r="BK540" s="9">
        <f t="shared" si="75"/>
        <v>6.66</v>
      </c>
      <c r="BL540" s="9">
        <f t="shared" si="76"/>
        <v>0</v>
      </c>
      <c r="BM540" s="9">
        <f t="shared" si="77"/>
        <v>0</v>
      </c>
      <c r="BN540" s="9">
        <f t="shared" si="78"/>
        <v>314.36</v>
      </c>
      <c r="BO540" s="9">
        <f t="shared" si="79"/>
        <v>3.01</v>
      </c>
      <c r="BP540" s="9">
        <f t="shared" si="80"/>
        <v>0</v>
      </c>
    </row>
    <row r="541" spans="1:68">
      <c r="A541" s="6">
        <v>44656</v>
      </c>
      <c r="B541" s="7">
        <v>3141</v>
      </c>
      <c r="C541" s="8">
        <v>4788.71</v>
      </c>
      <c r="D541" s="8">
        <v>845.6</v>
      </c>
      <c r="E541" s="8"/>
      <c r="F541" s="8"/>
      <c r="G541" s="8"/>
      <c r="H541" s="8"/>
      <c r="I541" s="8"/>
      <c r="J541" s="8"/>
      <c r="K541" s="8"/>
      <c r="L541" s="8"/>
      <c r="M541" s="8"/>
      <c r="N541" s="8">
        <v>14.57</v>
      </c>
      <c r="O541" s="8"/>
      <c r="P541" s="8"/>
      <c r="Q541" s="11"/>
      <c r="R541" s="11"/>
      <c r="S541" s="8">
        <v>26.52</v>
      </c>
      <c r="T541" s="8">
        <v>42.32</v>
      </c>
      <c r="U541" s="8">
        <v>42.3</v>
      </c>
      <c r="V541" s="8"/>
      <c r="W541" s="8"/>
      <c r="X541" s="8"/>
      <c r="Y541" s="8"/>
      <c r="Z541" s="8"/>
      <c r="AA541" s="8"/>
      <c r="AB541" s="8"/>
      <c r="AC541" s="8">
        <v>22.56</v>
      </c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11"/>
      <c r="AQ541" s="8"/>
      <c r="AR541" s="8"/>
      <c r="AS541" s="8"/>
      <c r="AT541" s="8">
        <v>3742.04</v>
      </c>
      <c r="AU541" s="8"/>
      <c r="AV541" s="8"/>
      <c r="AW541" s="8"/>
      <c r="AX541" s="8"/>
      <c r="AY541" s="8"/>
      <c r="AZ541" s="8"/>
      <c r="BA541" s="8">
        <v>129.22</v>
      </c>
      <c r="BB541" s="8"/>
      <c r="BC541" s="8"/>
      <c r="BD541" s="8"/>
      <c r="BE541" s="8"/>
      <c r="BF541" s="8">
        <v>394.78</v>
      </c>
      <c r="BG541" s="8">
        <v>293.42</v>
      </c>
      <c r="BH541" s="9">
        <f t="shared" si="72"/>
        <v>5634.31</v>
      </c>
      <c r="BI541" s="9">
        <f t="shared" si="73"/>
        <v>14.57</v>
      </c>
      <c r="BJ541" s="9">
        <f t="shared" si="74"/>
        <v>26.52</v>
      </c>
      <c r="BK541" s="9">
        <f t="shared" si="75"/>
        <v>84.62</v>
      </c>
      <c r="BL541" s="9">
        <f t="shared" si="76"/>
        <v>0</v>
      </c>
      <c r="BM541" s="9">
        <f t="shared" si="77"/>
        <v>22.56</v>
      </c>
      <c r="BN541" s="9">
        <f t="shared" si="78"/>
        <v>3742.04</v>
      </c>
      <c r="BO541" s="9">
        <f t="shared" si="79"/>
        <v>129.22</v>
      </c>
      <c r="BP541" s="9">
        <f t="shared" si="80"/>
        <v>394.78</v>
      </c>
    </row>
    <row r="542" spans="1:68">
      <c r="A542" s="6">
        <v>44656</v>
      </c>
      <c r="B542" s="7">
        <v>3204</v>
      </c>
      <c r="C542" s="8"/>
      <c r="D542" s="8">
        <v>1758.22</v>
      </c>
      <c r="E542" s="8">
        <v>752.4</v>
      </c>
      <c r="F542" s="8"/>
      <c r="G542" s="8"/>
      <c r="H542" s="8"/>
      <c r="I542" s="8"/>
      <c r="J542" s="8"/>
      <c r="K542" s="8"/>
      <c r="L542" s="8"/>
      <c r="M542" s="8"/>
      <c r="N542" s="8"/>
      <c r="O542" s="8">
        <v>12.56</v>
      </c>
      <c r="P542" s="8"/>
      <c r="Q542" s="11"/>
      <c r="R542" s="11"/>
      <c r="S542" s="8">
        <v>8.5299999999999994</v>
      </c>
      <c r="T542" s="8">
        <v>15.07</v>
      </c>
      <c r="U542" s="8">
        <v>12.56</v>
      </c>
      <c r="V542" s="8"/>
      <c r="W542" s="8"/>
      <c r="X542" s="8"/>
      <c r="Y542" s="8"/>
      <c r="Z542" s="8">
        <v>376.8</v>
      </c>
      <c r="AA542" s="8"/>
      <c r="AB542" s="8">
        <f>717*17.93/1000</f>
        <v>12.85581</v>
      </c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11"/>
      <c r="AQ542" s="8"/>
      <c r="AR542" s="8"/>
      <c r="AS542" s="8"/>
      <c r="AT542" s="8">
        <v>1106.5</v>
      </c>
      <c r="AU542" s="8"/>
      <c r="AV542" s="8"/>
      <c r="AW542" s="8">
        <v>8.02</v>
      </c>
      <c r="AX542" s="8"/>
      <c r="AY542" s="8"/>
      <c r="AZ542" s="8"/>
      <c r="BA542" s="8"/>
      <c r="BB542" s="8"/>
      <c r="BC542" s="8"/>
      <c r="BD542" s="8"/>
      <c r="BE542" s="8"/>
      <c r="BF542" s="8"/>
      <c r="BG542" s="8">
        <v>81.64</v>
      </c>
      <c r="BH542" s="9">
        <f t="shared" si="72"/>
        <v>2510.62</v>
      </c>
      <c r="BI542" s="9">
        <f t="shared" si="73"/>
        <v>12.56</v>
      </c>
      <c r="BJ542" s="9">
        <f t="shared" si="74"/>
        <v>8.5299999999999994</v>
      </c>
      <c r="BK542" s="9">
        <f t="shared" si="75"/>
        <v>27.630000000000003</v>
      </c>
      <c r="BL542" s="9">
        <f t="shared" si="76"/>
        <v>376.8</v>
      </c>
      <c r="BM542" s="9">
        <f t="shared" si="77"/>
        <v>12.85581</v>
      </c>
      <c r="BN542" s="9">
        <f t="shared" si="78"/>
        <v>1106.5</v>
      </c>
      <c r="BO542" s="9">
        <f t="shared" si="79"/>
        <v>8.02</v>
      </c>
      <c r="BP542" s="9">
        <f t="shared" si="80"/>
        <v>0</v>
      </c>
    </row>
    <row r="543" spans="1:68">
      <c r="A543" s="6">
        <v>44656</v>
      </c>
      <c r="B543" s="7">
        <v>3703</v>
      </c>
      <c r="C543" s="8">
        <v>841.18</v>
      </c>
      <c r="D543" s="8">
        <v>560.16999999999996</v>
      </c>
      <c r="E543" s="8"/>
      <c r="F543" s="8"/>
      <c r="G543" s="8"/>
      <c r="H543" s="8"/>
      <c r="I543" s="8"/>
      <c r="J543" s="8"/>
      <c r="K543" s="8"/>
      <c r="L543" s="8"/>
      <c r="M543" s="8">
        <v>2.81</v>
      </c>
      <c r="N543" s="8"/>
      <c r="O543" s="8"/>
      <c r="P543" s="8"/>
      <c r="Q543" s="11"/>
      <c r="R543" s="11"/>
      <c r="S543" s="8">
        <v>6.86</v>
      </c>
      <c r="T543" s="8"/>
      <c r="U543" s="8">
        <v>11.21</v>
      </c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>
        <f>1522*9.32/1000</f>
        <v>14.185040000000001</v>
      </c>
      <c r="AN543" s="8"/>
      <c r="AO543" s="8"/>
      <c r="AP543" s="11"/>
      <c r="AQ543" s="8"/>
      <c r="AR543" s="8"/>
      <c r="AS543" s="8"/>
      <c r="AT543" s="8">
        <v>340.74</v>
      </c>
      <c r="AU543" s="8">
        <v>170.25</v>
      </c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>
        <v>35.65</v>
      </c>
      <c r="BH543" s="9">
        <f t="shared" si="72"/>
        <v>1401.35</v>
      </c>
      <c r="BI543" s="9">
        <f t="shared" si="73"/>
        <v>2.81</v>
      </c>
      <c r="BJ543" s="9">
        <f t="shared" si="74"/>
        <v>6.86</v>
      </c>
      <c r="BK543" s="9">
        <f t="shared" si="75"/>
        <v>11.21</v>
      </c>
      <c r="BL543" s="9">
        <f t="shared" si="76"/>
        <v>0</v>
      </c>
      <c r="BM543" s="9">
        <f t="shared" si="77"/>
        <v>14.185040000000001</v>
      </c>
      <c r="BN543" s="9">
        <f t="shared" si="78"/>
        <v>510.99</v>
      </c>
      <c r="BO543" s="9">
        <f t="shared" si="79"/>
        <v>0</v>
      </c>
      <c r="BP543" s="9">
        <f t="shared" si="80"/>
        <v>0</v>
      </c>
    </row>
    <row r="544" spans="1:68">
      <c r="A544" s="6">
        <v>44657</v>
      </c>
      <c r="B544" s="7">
        <v>3205</v>
      </c>
      <c r="C544" s="8">
        <f>669.98+675.28</f>
        <v>1345.26</v>
      </c>
      <c r="D544" s="8">
        <f>372.77+376.88</f>
        <v>749.65</v>
      </c>
      <c r="E544" s="8">
        <f>446.97+451.75</f>
        <v>898.72</v>
      </c>
      <c r="F544" s="8"/>
      <c r="G544" s="8"/>
      <c r="H544" s="8"/>
      <c r="I544" s="8"/>
      <c r="J544" s="8"/>
      <c r="K544" s="8"/>
      <c r="L544" s="8"/>
      <c r="M544" s="8"/>
      <c r="N544" s="8"/>
      <c r="O544" s="8">
        <f>5.96+6.02</f>
        <v>11.98</v>
      </c>
      <c r="P544" s="8"/>
      <c r="Q544" s="11"/>
      <c r="R544" s="11"/>
      <c r="S544" s="8">
        <f>5.51+5.55</f>
        <v>11.059999999999999</v>
      </c>
      <c r="T544" s="8"/>
      <c r="U544" s="8">
        <f>17.88+18.06</f>
        <v>35.94</v>
      </c>
      <c r="V544" s="8"/>
      <c r="W544" s="8"/>
      <c r="X544" s="8"/>
      <c r="Y544" s="8"/>
      <c r="Z544" s="8">
        <f>148.95+150.38</f>
        <v>299.33</v>
      </c>
      <c r="AA544" s="8"/>
      <c r="AB544" s="8">
        <f>15.16+15.31</f>
        <v>30.47</v>
      </c>
      <c r="AC544" s="8"/>
      <c r="AD544" s="8"/>
      <c r="AE544" s="8">
        <f>7.65+7.57</f>
        <v>15.22</v>
      </c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11"/>
      <c r="AQ544" s="8"/>
      <c r="AR544" s="8"/>
      <c r="AS544" s="8"/>
      <c r="AT544" s="8">
        <f>388.53+391.16</f>
        <v>779.69</v>
      </c>
      <c r="AU544" s="8">
        <f>194+195.68</f>
        <v>389.68</v>
      </c>
      <c r="AV544" s="8"/>
      <c r="AW544" s="8">
        <f>6.42+6.41</f>
        <v>12.83</v>
      </c>
      <c r="AX544" s="8"/>
      <c r="AY544" s="8"/>
      <c r="AZ544" s="8"/>
      <c r="BA544" s="8"/>
      <c r="BB544" s="8"/>
      <c r="BC544" s="8"/>
      <c r="BD544" s="8"/>
      <c r="BE544" s="8"/>
      <c r="BF544" s="8"/>
      <c r="BG544" s="8">
        <f>34.95+34.88</f>
        <v>69.830000000000013</v>
      </c>
      <c r="BH544" s="9">
        <f t="shared" si="72"/>
        <v>2993.63</v>
      </c>
      <c r="BI544" s="9">
        <f t="shared" si="73"/>
        <v>11.98</v>
      </c>
      <c r="BJ544" s="9">
        <f t="shared" si="74"/>
        <v>11.059999999999999</v>
      </c>
      <c r="BK544" s="9">
        <f t="shared" si="75"/>
        <v>35.94</v>
      </c>
      <c r="BL544" s="9">
        <f t="shared" si="76"/>
        <v>299.33</v>
      </c>
      <c r="BM544" s="9">
        <f t="shared" si="77"/>
        <v>45.69</v>
      </c>
      <c r="BN544" s="9">
        <f t="shared" si="78"/>
        <v>1169.3700000000001</v>
      </c>
      <c r="BO544" s="9">
        <f t="shared" si="79"/>
        <v>12.83</v>
      </c>
      <c r="BP544" s="9">
        <f t="shared" si="80"/>
        <v>0</v>
      </c>
    </row>
    <row r="545" spans="1:68">
      <c r="A545" s="6">
        <v>44657</v>
      </c>
      <c r="B545" s="7">
        <v>3602</v>
      </c>
      <c r="C545" s="8">
        <v>586.35</v>
      </c>
      <c r="D545" s="8"/>
      <c r="E545" s="8"/>
      <c r="F545" s="8"/>
      <c r="G545" s="8">
        <v>880.63</v>
      </c>
      <c r="H545" s="8"/>
      <c r="I545" s="8"/>
      <c r="J545" s="8"/>
      <c r="K545" s="8"/>
      <c r="L545" s="8"/>
      <c r="M545" s="8">
        <v>1.55</v>
      </c>
      <c r="N545" s="8"/>
      <c r="O545" s="8"/>
      <c r="P545" s="8"/>
      <c r="Q545" s="11"/>
      <c r="R545" s="11"/>
      <c r="S545" s="8">
        <v>7.84</v>
      </c>
      <c r="T545" s="8"/>
      <c r="U545" s="8">
        <v>4.71</v>
      </c>
      <c r="V545" s="8">
        <f>846*16.83/1000</f>
        <v>14.238179999999998</v>
      </c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11"/>
      <c r="AQ545" s="8"/>
      <c r="AR545" s="8"/>
      <c r="AS545" s="8"/>
      <c r="AT545" s="8">
        <v>613.47</v>
      </c>
      <c r="AU545" s="8"/>
      <c r="AV545" s="8"/>
      <c r="AW545" s="8">
        <v>38.06</v>
      </c>
      <c r="AX545" s="8"/>
      <c r="AY545" s="8"/>
      <c r="AZ545" s="8"/>
      <c r="BA545" s="8"/>
      <c r="BB545" s="8"/>
      <c r="BC545" s="8"/>
      <c r="BD545" s="8"/>
      <c r="BE545" s="8"/>
      <c r="BF545" s="8">
        <v>47.15</v>
      </c>
      <c r="BG545" s="8">
        <v>46.22</v>
      </c>
      <c r="BH545" s="9">
        <f t="shared" si="72"/>
        <v>1466.98</v>
      </c>
      <c r="BI545" s="9">
        <f t="shared" si="73"/>
        <v>1.55</v>
      </c>
      <c r="BJ545" s="9">
        <f t="shared" si="74"/>
        <v>7.84</v>
      </c>
      <c r="BK545" s="9">
        <f t="shared" si="75"/>
        <v>18.948179999999997</v>
      </c>
      <c r="BL545" s="9">
        <f t="shared" si="76"/>
        <v>0</v>
      </c>
      <c r="BM545" s="9">
        <f t="shared" si="77"/>
        <v>0</v>
      </c>
      <c r="BN545" s="9">
        <f t="shared" si="78"/>
        <v>613.47</v>
      </c>
      <c r="BO545" s="9">
        <f t="shared" si="79"/>
        <v>38.06</v>
      </c>
      <c r="BP545" s="9">
        <f t="shared" si="80"/>
        <v>47.15</v>
      </c>
    </row>
    <row r="546" spans="1:68">
      <c r="A546" s="6">
        <v>44657</v>
      </c>
      <c r="B546" s="7">
        <v>3016</v>
      </c>
      <c r="C546" s="8"/>
      <c r="D546" s="8">
        <v>2354.69</v>
      </c>
      <c r="E546" s="8"/>
      <c r="F546" s="8"/>
      <c r="G546" s="8"/>
      <c r="H546" s="8"/>
      <c r="I546" s="8">
        <v>2170.96</v>
      </c>
      <c r="J546" s="8"/>
      <c r="K546" s="8"/>
      <c r="L546" s="8"/>
      <c r="M546" s="8"/>
      <c r="N546" s="8">
        <v>27.18</v>
      </c>
      <c r="O546" s="8"/>
      <c r="P546" s="8"/>
      <c r="Q546" s="11"/>
      <c r="R546" s="11"/>
      <c r="S546" s="8">
        <v>3.17</v>
      </c>
      <c r="T546" s="8">
        <v>45.31</v>
      </c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>
        <f>693*26.63/1000</f>
        <v>18.45459</v>
      </c>
      <c r="AN546" s="8">
        <f>2024*26.63/1000</f>
        <v>53.899119999999996</v>
      </c>
      <c r="AO546" s="8"/>
      <c r="AP546" s="11"/>
      <c r="AQ546" s="8"/>
      <c r="AR546" s="8">
        <f>4350*26.63/1000</f>
        <v>115.84050000000001</v>
      </c>
      <c r="AS546" s="8"/>
      <c r="AT546" s="8">
        <v>1682.36</v>
      </c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>
        <v>123.3</v>
      </c>
      <c r="BH546" s="9">
        <f t="shared" si="72"/>
        <v>4525.6499999999996</v>
      </c>
      <c r="BI546" s="9">
        <f t="shared" si="73"/>
        <v>27.18</v>
      </c>
      <c r="BJ546" s="9">
        <f t="shared" si="74"/>
        <v>3.17</v>
      </c>
      <c r="BK546" s="9">
        <f t="shared" si="75"/>
        <v>45.31</v>
      </c>
      <c r="BL546" s="9">
        <f t="shared" si="76"/>
        <v>0</v>
      </c>
      <c r="BM546" s="9">
        <f t="shared" si="77"/>
        <v>188.19421</v>
      </c>
      <c r="BN546" s="9">
        <f t="shared" si="78"/>
        <v>1682.36</v>
      </c>
      <c r="BO546" s="9">
        <f t="shared" si="79"/>
        <v>0</v>
      </c>
      <c r="BP546" s="9">
        <f t="shared" si="80"/>
        <v>0</v>
      </c>
    </row>
    <row r="547" spans="1:68">
      <c r="A547" s="6">
        <v>44657</v>
      </c>
      <c r="B547" s="7">
        <v>3141</v>
      </c>
      <c r="C547" s="8">
        <v>3610.69</v>
      </c>
      <c r="D547" s="8">
        <v>635.08000000000004</v>
      </c>
      <c r="E547" s="8"/>
      <c r="F547" s="8"/>
      <c r="G547" s="8"/>
      <c r="H547" s="8"/>
      <c r="I547" s="8"/>
      <c r="J547" s="8"/>
      <c r="K547" s="8"/>
      <c r="L547" s="8"/>
      <c r="M547" s="8"/>
      <c r="N547" s="8">
        <v>10.9</v>
      </c>
      <c r="O547" s="8"/>
      <c r="P547" s="8"/>
      <c r="Q547" s="11"/>
      <c r="R547" s="11"/>
      <c r="S547" s="8">
        <v>19.989999999999998</v>
      </c>
      <c r="T547" s="8">
        <v>31.91</v>
      </c>
      <c r="U547" s="8">
        <v>31.91</v>
      </c>
      <c r="V547" s="8"/>
      <c r="W547" s="8"/>
      <c r="X547" s="8"/>
      <c r="Y547" s="8"/>
      <c r="Z547" s="8"/>
      <c r="AA547" s="8"/>
      <c r="AB547" s="8"/>
      <c r="AC547" s="8">
        <v>17</v>
      </c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11"/>
      <c r="AQ547" s="8"/>
      <c r="AR547" s="8"/>
      <c r="AS547" s="8"/>
      <c r="AT547" s="8">
        <v>2824.78</v>
      </c>
      <c r="AU547" s="8"/>
      <c r="AV547" s="8"/>
      <c r="AW547" s="8"/>
      <c r="AX547" s="8"/>
      <c r="AY547" s="8"/>
      <c r="AZ547" s="8"/>
      <c r="BA547" s="8">
        <v>97.24</v>
      </c>
      <c r="BB547" s="8"/>
      <c r="BC547" s="8"/>
      <c r="BD547" s="8"/>
      <c r="BE547" s="8"/>
      <c r="BF547" s="8">
        <v>297.56</v>
      </c>
      <c r="BG547" s="8">
        <v>220.75</v>
      </c>
      <c r="BH547" s="9">
        <f t="shared" si="72"/>
        <v>4245.7700000000004</v>
      </c>
      <c r="BI547" s="9">
        <f t="shared" si="73"/>
        <v>10.9</v>
      </c>
      <c r="BJ547" s="9">
        <f t="shared" si="74"/>
        <v>19.989999999999998</v>
      </c>
      <c r="BK547" s="9">
        <f t="shared" si="75"/>
        <v>63.82</v>
      </c>
      <c r="BL547" s="9">
        <f t="shared" si="76"/>
        <v>0</v>
      </c>
      <c r="BM547" s="9">
        <f t="shared" si="77"/>
        <v>17</v>
      </c>
      <c r="BN547" s="9">
        <f t="shared" si="78"/>
        <v>2824.78</v>
      </c>
      <c r="BO547" s="9">
        <f t="shared" si="79"/>
        <v>97.24</v>
      </c>
      <c r="BP547" s="9">
        <f t="shared" si="80"/>
        <v>297.56</v>
      </c>
    </row>
    <row r="548" spans="1:68">
      <c r="A548" s="6">
        <v>44657</v>
      </c>
      <c r="B548" s="7">
        <v>3113</v>
      </c>
      <c r="C548" s="8">
        <v>1537.29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>
        <v>2.78</v>
      </c>
      <c r="O548" s="8"/>
      <c r="P548" s="8"/>
      <c r="Q548" s="11"/>
      <c r="R548" s="11"/>
      <c r="S548" s="8">
        <v>4.63</v>
      </c>
      <c r="T548" s="8">
        <v>15.33</v>
      </c>
      <c r="U548" s="8"/>
      <c r="V548" s="8"/>
      <c r="W548" s="8"/>
      <c r="X548" s="8"/>
      <c r="Y548" s="8"/>
      <c r="Z548" s="8"/>
      <c r="AA548" s="8"/>
      <c r="AB548" s="8"/>
      <c r="AC548" s="8">
        <v>6.15</v>
      </c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11"/>
      <c r="AQ548" s="8"/>
      <c r="AR548" s="8"/>
      <c r="AS548" s="8"/>
      <c r="AT548" s="8">
        <v>643.91</v>
      </c>
      <c r="AU548" s="8"/>
      <c r="AV548" s="8">
        <v>52.37</v>
      </c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>
        <v>46.43</v>
      </c>
      <c r="BH548" s="9">
        <f t="shared" si="72"/>
        <v>1537.29</v>
      </c>
      <c r="BI548" s="9">
        <f t="shared" si="73"/>
        <v>2.78</v>
      </c>
      <c r="BJ548" s="9">
        <f t="shared" si="74"/>
        <v>4.63</v>
      </c>
      <c r="BK548" s="9">
        <f t="shared" si="75"/>
        <v>15.33</v>
      </c>
      <c r="BL548" s="9">
        <f t="shared" si="76"/>
        <v>0</v>
      </c>
      <c r="BM548" s="9">
        <f t="shared" si="77"/>
        <v>6.15</v>
      </c>
      <c r="BN548" s="9">
        <f t="shared" si="78"/>
        <v>643.91</v>
      </c>
      <c r="BO548" s="9">
        <f t="shared" si="79"/>
        <v>52.37</v>
      </c>
      <c r="BP548" s="9">
        <f t="shared" si="80"/>
        <v>0</v>
      </c>
    </row>
    <row r="549" spans="1:68">
      <c r="A549" s="6">
        <v>44657</v>
      </c>
      <c r="B549" s="7">
        <v>3106</v>
      </c>
      <c r="C549" s="8">
        <v>4185.97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>
        <v>11.3</v>
      </c>
      <c r="O549" s="8"/>
      <c r="P549" s="8"/>
      <c r="Q549" s="11"/>
      <c r="R549" s="11"/>
      <c r="S549" s="8">
        <v>12.99</v>
      </c>
      <c r="T549" s="8">
        <v>53.25</v>
      </c>
      <c r="U549" s="8"/>
      <c r="V549" s="8"/>
      <c r="W549" s="8"/>
      <c r="X549" s="8"/>
      <c r="Y549" s="8"/>
      <c r="Z549" s="8"/>
      <c r="AA549" s="8"/>
      <c r="AB549" s="8"/>
      <c r="AC549" s="8">
        <v>16.760000000000002</v>
      </c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11"/>
      <c r="AQ549" s="8"/>
      <c r="AR549" s="8"/>
      <c r="AS549" s="8"/>
      <c r="AT549" s="8">
        <v>2400.9499999999998</v>
      </c>
      <c r="AU549" s="8"/>
      <c r="AV549" s="8"/>
      <c r="AW549" s="8"/>
      <c r="AX549" s="8">
        <v>5.24</v>
      </c>
      <c r="AY549" s="8"/>
      <c r="AZ549" s="8"/>
      <c r="BA549" s="8"/>
      <c r="BB549" s="8"/>
      <c r="BC549" s="8"/>
      <c r="BD549" s="8"/>
      <c r="BE549" s="8"/>
      <c r="BF549" s="8"/>
      <c r="BG549" s="8">
        <v>179.88</v>
      </c>
      <c r="BH549" s="9">
        <f t="shared" si="72"/>
        <v>4185.97</v>
      </c>
      <c r="BI549" s="9">
        <f t="shared" si="73"/>
        <v>11.3</v>
      </c>
      <c r="BJ549" s="9">
        <f t="shared" si="74"/>
        <v>12.99</v>
      </c>
      <c r="BK549" s="9">
        <f t="shared" si="75"/>
        <v>53.25</v>
      </c>
      <c r="BL549" s="9">
        <f t="shared" si="76"/>
        <v>0</v>
      </c>
      <c r="BM549" s="9">
        <f t="shared" si="77"/>
        <v>16.760000000000002</v>
      </c>
      <c r="BN549" s="9">
        <f t="shared" si="78"/>
        <v>2400.9499999999998</v>
      </c>
      <c r="BO549" s="9">
        <f t="shared" si="79"/>
        <v>5.24</v>
      </c>
      <c r="BP549" s="9">
        <f t="shared" si="80"/>
        <v>0</v>
      </c>
    </row>
    <row r="550" spans="1:68">
      <c r="A550" s="6">
        <v>44657</v>
      </c>
      <c r="B550" s="7">
        <v>3134</v>
      </c>
      <c r="C550" s="8">
        <v>1049.79</v>
      </c>
      <c r="D550" s="8">
        <v>147.26</v>
      </c>
      <c r="E550" s="8"/>
      <c r="F550" s="8"/>
      <c r="G550" s="8"/>
      <c r="H550" s="8">
        <v>496.3</v>
      </c>
      <c r="I550" s="8"/>
      <c r="J550" s="8"/>
      <c r="K550" s="8"/>
      <c r="L550" s="8"/>
      <c r="M550" s="8"/>
      <c r="N550" s="8">
        <v>3.24</v>
      </c>
      <c r="O550" s="8"/>
      <c r="P550" s="8"/>
      <c r="Q550" s="11"/>
      <c r="R550" s="11"/>
      <c r="S550" s="8">
        <v>6.78</v>
      </c>
      <c r="T550" s="8">
        <v>10.3</v>
      </c>
      <c r="U550" s="8">
        <v>8.82</v>
      </c>
      <c r="V550" s="8"/>
      <c r="W550" s="8"/>
      <c r="X550" s="8"/>
      <c r="Y550" s="8"/>
      <c r="Z550" s="8"/>
      <c r="AA550" s="8"/>
      <c r="AB550" s="8"/>
      <c r="AC550" s="8">
        <v>5.88</v>
      </c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11"/>
      <c r="AQ550" s="8"/>
      <c r="AR550" s="8"/>
      <c r="AS550" s="8"/>
      <c r="AT550" s="8">
        <v>1036.74</v>
      </c>
      <c r="AU550" s="8"/>
      <c r="AV550" s="8"/>
      <c r="AW550" s="8"/>
      <c r="AX550" s="8"/>
      <c r="AY550" s="8">
        <f>1430*10.5/1000</f>
        <v>15.015000000000001</v>
      </c>
      <c r="AZ550" s="8"/>
      <c r="BA550" s="8"/>
      <c r="BB550" s="8"/>
      <c r="BC550" s="8"/>
      <c r="BD550" s="8"/>
      <c r="BE550" s="8"/>
      <c r="BF550" s="8">
        <v>66.31</v>
      </c>
      <c r="BG550" s="8">
        <v>77.959999999999994</v>
      </c>
      <c r="BH550" s="9">
        <f t="shared" si="72"/>
        <v>1693.35</v>
      </c>
      <c r="BI550" s="9">
        <f t="shared" si="73"/>
        <v>3.24</v>
      </c>
      <c r="BJ550" s="9">
        <f t="shared" si="74"/>
        <v>6.78</v>
      </c>
      <c r="BK550" s="9">
        <f t="shared" si="75"/>
        <v>19.12</v>
      </c>
      <c r="BL550" s="9">
        <f t="shared" si="76"/>
        <v>0</v>
      </c>
      <c r="BM550" s="9">
        <f t="shared" si="77"/>
        <v>5.88</v>
      </c>
      <c r="BN550" s="9">
        <f t="shared" si="78"/>
        <v>1036.74</v>
      </c>
      <c r="BO550" s="9">
        <f t="shared" si="79"/>
        <v>15.015000000000001</v>
      </c>
      <c r="BP550" s="9">
        <f t="shared" si="80"/>
        <v>66.31</v>
      </c>
    </row>
    <row r="551" spans="1:68">
      <c r="A551" s="6">
        <v>44657</v>
      </c>
      <c r="B551" s="7">
        <v>3005</v>
      </c>
      <c r="C551" s="8">
        <v>447.49</v>
      </c>
      <c r="D551" s="8">
        <v>298.14999999999998</v>
      </c>
      <c r="E551" s="8"/>
      <c r="F551" s="8"/>
      <c r="G551" s="8"/>
      <c r="H551" s="8"/>
      <c r="I551" s="8"/>
      <c r="J551" s="8"/>
      <c r="K551" s="8"/>
      <c r="L551" s="8"/>
      <c r="M551" s="8"/>
      <c r="N551" s="8">
        <v>0.75</v>
      </c>
      <c r="O551" s="8"/>
      <c r="P551" s="8"/>
      <c r="Q551" s="11"/>
      <c r="R551" s="11"/>
      <c r="S551" s="8">
        <v>2.6</v>
      </c>
      <c r="T551" s="8">
        <v>8.18</v>
      </c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11"/>
      <c r="AQ551" s="8"/>
      <c r="AR551" s="8"/>
      <c r="AS551" s="8"/>
      <c r="AT551" s="8">
        <v>365.34</v>
      </c>
      <c r="AU551" s="8"/>
      <c r="AV551" s="8"/>
      <c r="AW551" s="8">
        <v>8.26</v>
      </c>
      <c r="AX551" s="8"/>
      <c r="AY551" s="8"/>
      <c r="AZ551" s="8"/>
      <c r="BA551" s="8"/>
      <c r="BB551" s="8"/>
      <c r="BC551" s="8"/>
      <c r="BD551" s="8"/>
      <c r="BE551" s="8"/>
      <c r="BF551" s="8"/>
      <c r="BG551" s="8">
        <v>27.47</v>
      </c>
      <c r="BH551" s="9">
        <f t="shared" si="72"/>
        <v>745.64</v>
      </c>
      <c r="BI551" s="9">
        <f t="shared" si="73"/>
        <v>0.75</v>
      </c>
      <c r="BJ551" s="9">
        <f t="shared" si="74"/>
        <v>2.6</v>
      </c>
      <c r="BK551" s="9">
        <f t="shared" si="75"/>
        <v>8.18</v>
      </c>
      <c r="BL551" s="9">
        <f t="shared" si="76"/>
        <v>0</v>
      </c>
      <c r="BM551" s="9">
        <f t="shared" si="77"/>
        <v>0</v>
      </c>
      <c r="BN551" s="9">
        <f t="shared" si="78"/>
        <v>365.34</v>
      </c>
      <c r="BO551" s="9">
        <f t="shared" si="79"/>
        <v>8.26</v>
      </c>
      <c r="BP551" s="9">
        <f t="shared" si="80"/>
        <v>0</v>
      </c>
    </row>
    <row r="552" spans="1:68">
      <c r="A552" s="6">
        <v>44657</v>
      </c>
      <c r="B552" s="7">
        <v>3010</v>
      </c>
      <c r="C552" s="8">
        <v>641.15</v>
      </c>
      <c r="D552" s="8">
        <v>427.44</v>
      </c>
      <c r="E552" s="8"/>
      <c r="F552" s="8"/>
      <c r="G552" s="8"/>
      <c r="H552" s="8"/>
      <c r="I552" s="8"/>
      <c r="J552" s="8"/>
      <c r="K552" s="8"/>
      <c r="L552" s="8"/>
      <c r="M552" s="8"/>
      <c r="N552" s="8">
        <v>2.13</v>
      </c>
      <c r="O552" s="8"/>
      <c r="P552" s="8"/>
      <c r="Q552" s="11"/>
      <c r="R552" s="11"/>
      <c r="S552" s="8">
        <v>2.88</v>
      </c>
      <c r="T552" s="8">
        <v>10.62</v>
      </c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11"/>
      <c r="AQ552" s="8"/>
      <c r="AR552" s="8"/>
      <c r="AS552" s="8"/>
      <c r="AT552" s="8">
        <v>357.31</v>
      </c>
      <c r="AU552" s="8"/>
      <c r="AV552" s="8"/>
      <c r="AW552" s="8">
        <v>11.85</v>
      </c>
      <c r="AX552" s="8"/>
      <c r="AY552" s="8"/>
      <c r="AZ552" s="8"/>
      <c r="BA552" s="8"/>
      <c r="BB552" s="8"/>
      <c r="BC552" s="8"/>
      <c r="BD552" s="8"/>
      <c r="BE552" s="8"/>
      <c r="BF552" s="8"/>
      <c r="BG552" s="8">
        <v>23.57</v>
      </c>
      <c r="BH552" s="9">
        <f t="shared" si="72"/>
        <v>1068.5899999999999</v>
      </c>
      <c r="BI552" s="9">
        <f t="shared" si="73"/>
        <v>2.13</v>
      </c>
      <c r="BJ552" s="9">
        <f t="shared" si="74"/>
        <v>2.88</v>
      </c>
      <c r="BK552" s="9">
        <f t="shared" si="75"/>
        <v>10.62</v>
      </c>
      <c r="BL552" s="9">
        <f t="shared" si="76"/>
        <v>0</v>
      </c>
      <c r="BM552" s="9">
        <f t="shared" si="77"/>
        <v>0</v>
      </c>
      <c r="BN552" s="9">
        <f t="shared" si="78"/>
        <v>357.31</v>
      </c>
      <c r="BO552" s="9">
        <f t="shared" si="79"/>
        <v>11.85</v>
      </c>
      <c r="BP552" s="9">
        <f t="shared" si="80"/>
        <v>0</v>
      </c>
    </row>
    <row r="553" spans="1:68">
      <c r="A553" s="6">
        <v>44658</v>
      </c>
      <c r="B553" s="7">
        <v>3200</v>
      </c>
      <c r="C553" s="8">
        <v>2226.08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>
        <v>5.62</v>
      </c>
      <c r="P553" s="8"/>
      <c r="Q553" s="11"/>
      <c r="R553" s="11"/>
      <c r="S553" s="8">
        <v>8.74</v>
      </c>
      <c r="T553" s="8"/>
      <c r="U553" s="8">
        <v>33.659999999999997</v>
      </c>
      <c r="V553" s="8"/>
      <c r="W553" s="8"/>
      <c r="X553" s="8"/>
      <c r="Y553" s="8"/>
      <c r="Z553" s="8">
        <v>470.59</v>
      </c>
      <c r="AA553" s="8"/>
      <c r="AB553" s="8"/>
      <c r="AC553" s="8"/>
      <c r="AD553" s="8"/>
      <c r="AE553" s="8">
        <f>1533*22.4/1000</f>
        <v>34.339199999999998</v>
      </c>
      <c r="AF553" s="8">
        <v>111.45</v>
      </c>
      <c r="AG553" s="8"/>
      <c r="AH553" s="8"/>
      <c r="AI553" s="8"/>
      <c r="AJ553" s="8"/>
      <c r="AK553" s="8"/>
      <c r="AL553" s="8"/>
      <c r="AM553" s="8"/>
      <c r="AN553" s="8"/>
      <c r="AO553" s="8"/>
      <c r="AP553" s="11"/>
      <c r="AQ553" s="8"/>
      <c r="AR553" s="8"/>
      <c r="AS553" s="8"/>
      <c r="AT553" s="8">
        <v>1531.12</v>
      </c>
      <c r="AU553" s="8"/>
      <c r="AV553" s="8"/>
      <c r="AW553" s="8">
        <v>6.4</v>
      </c>
      <c r="AX553" s="8"/>
      <c r="AY553" s="8"/>
      <c r="AZ553" s="8"/>
      <c r="BA553" s="8"/>
      <c r="BB553" s="8"/>
      <c r="BC553" s="8"/>
      <c r="BD553" s="8"/>
      <c r="BE553" s="8"/>
      <c r="BF553" s="8">
        <v>107.59</v>
      </c>
      <c r="BG553" s="8">
        <v>111.15</v>
      </c>
      <c r="BH553" s="9">
        <f t="shared" si="72"/>
        <v>2226.08</v>
      </c>
      <c r="BI553" s="9">
        <f t="shared" si="73"/>
        <v>5.62</v>
      </c>
      <c r="BJ553" s="9">
        <f t="shared" si="74"/>
        <v>8.74</v>
      </c>
      <c r="BK553" s="9">
        <f t="shared" si="75"/>
        <v>33.659999999999997</v>
      </c>
      <c r="BL553" s="9">
        <f t="shared" si="76"/>
        <v>470.59</v>
      </c>
      <c r="BM553" s="9">
        <f t="shared" si="77"/>
        <v>145.78919999999999</v>
      </c>
      <c r="BN553" s="9">
        <f t="shared" si="78"/>
        <v>1531.12</v>
      </c>
      <c r="BO553" s="9">
        <f t="shared" si="79"/>
        <v>6.4</v>
      </c>
      <c r="BP553" s="9">
        <f t="shared" si="80"/>
        <v>107.59</v>
      </c>
    </row>
    <row r="554" spans="1:68">
      <c r="A554" s="6">
        <v>44658</v>
      </c>
      <c r="B554" s="7">
        <v>3433</v>
      </c>
      <c r="C554" s="8">
        <v>2040.56</v>
      </c>
      <c r="D554" s="8"/>
      <c r="E554" s="8"/>
      <c r="F554" s="8"/>
      <c r="G554" s="8"/>
      <c r="H554" s="8"/>
      <c r="I554" s="8"/>
      <c r="J554" s="8"/>
      <c r="K554" s="8"/>
      <c r="L554" s="8"/>
      <c r="M554" s="8">
        <v>5.51</v>
      </c>
      <c r="N554" s="8"/>
      <c r="O554" s="8"/>
      <c r="P554" s="8"/>
      <c r="Q554" s="11"/>
      <c r="R554" s="11"/>
      <c r="S554" s="8">
        <v>8.16</v>
      </c>
      <c r="T554" s="8"/>
      <c r="U554" s="8"/>
      <c r="V554" s="8"/>
      <c r="W554" s="8"/>
      <c r="X554" s="8">
        <f>850*24.03/1000</f>
        <v>20.4255</v>
      </c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11"/>
      <c r="AQ554" s="8"/>
      <c r="AR554" s="8"/>
      <c r="AS554" s="8"/>
      <c r="AT554" s="8">
        <v>927.54</v>
      </c>
      <c r="AU554" s="8"/>
      <c r="AV554" s="8"/>
      <c r="AW554" s="8"/>
      <c r="AX554" s="8"/>
      <c r="AY554" s="8"/>
      <c r="AZ554" s="8"/>
      <c r="BA554" s="8">
        <v>9.18</v>
      </c>
      <c r="BB554" s="8"/>
      <c r="BC554" s="8"/>
      <c r="BD554" s="8"/>
      <c r="BE554" s="8"/>
      <c r="BF554" s="8">
        <v>102.33</v>
      </c>
      <c r="BG554" s="8">
        <v>69.02</v>
      </c>
      <c r="BH554" s="9">
        <f t="shared" si="72"/>
        <v>2040.56</v>
      </c>
      <c r="BI554" s="9">
        <f t="shared" si="73"/>
        <v>5.51</v>
      </c>
      <c r="BJ554" s="9">
        <f t="shared" si="74"/>
        <v>8.16</v>
      </c>
      <c r="BK554" s="9">
        <f t="shared" si="75"/>
        <v>20.4255</v>
      </c>
      <c r="BL554" s="9">
        <f t="shared" si="76"/>
        <v>0</v>
      </c>
      <c r="BM554" s="9">
        <f t="shared" si="77"/>
        <v>0</v>
      </c>
      <c r="BN554" s="9">
        <f t="shared" si="78"/>
        <v>927.54</v>
      </c>
      <c r="BO554" s="9">
        <f t="shared" si="79"/>
        <v>9.18</v>
      </c>
      <c r="BP554" s="9">
        <f t="shared" si="80"/>
        <v>102.33</v>
      </c>
    </row>
    <row r="555" spans="1:68">
      <c r="A555" s="6">
        <v>44658</v>
      </c>
      <c r="B555" s="7">
        <v>3141</v>
      </c>
      <c r="C555" s="8">
        <v>2422.52</v>
      </c>
      <c r="D555" s="8">
        <v>427.98</v>
      </c>
      <c r="E555" s="8"/>
      <c r="F555" s="8"/>
      <c r="G555" s="8"/>
      <c r="H555" s="8"/>
      <c r="I555" s="8"/>
      <c r="J555" s="8"/>
      <c r="K555" s="8"/>
      <c r="L555" s="8"/>
      <c r="M555" s="8"/>
      <c r="N555" s="8">
        <v>7.41</v>
      </c>
      <c r="O555" s="8"/>
      <c r="P555" s="8"/>
      <c r="Q555" s="11"/>
      <c r="R555" s="11"/>
      <c r="S555" s="8">
        <v>13.42</v>
      </c>
      <c r="T555" s="8">
        <v>21.42</v>
      </c>
      <c r="U555" s="8">
        <v>21.42</v>
      </c>
      <c r="V555" s="8"/>
      <c r="W555" s="8"/>
      <c r="X555" s="8"/>
      <c r="Y555" s="8"/>
      <c r="Z555" s="8"/>
      <c r="AA555" s="8"/>
      <c r="AB555" s="8"/>
      <c r="AC555" s="8">
        <v>11.42</v>
      </c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11"/>
      <c r="AQ555" s="8"/>
      <c r="AR555" s="8"/>
      <c r="AS555" s="8"/>
      <c r="AT555" s="8">
        <v>1895.41</v>
      </c>
      <c r="AU555" s="8"/>
      <c r="AV555" s="8"/>
      <c r="AW555" s="8"/>
      <c r="AX555" s="8"/>
      <c r="AY555" s="8"/>
      <c r="AZ555" s="8"/>
      <c r="BA555" s="8">
        <v>65.47</v>
      </c>
      <c r="BB555" s="8"/>
      <c r="BC555" s="8"/>
      <c r="BD555" s="8"/>
      <c r="BE555" s="8"/>
      <c r="BF555" s="8">
        <v>199.64</v>
      </c>
      <c r="BG555" s="8">
        <v>148.27000000000001</v>
      </c>
      <c r="BH555" s="9">
        <f t="shared" si="72"/>
        <v>2850.5</v>
      </c>
      <c r="BI555" s="9">
        <f t="shared" si="73"/>
        <v>7.41</v>
      </c>
      <c r="BJ555" s="9">
        <f t="shared" si="74"/>
        <v>13.42</v>
      </c>
      <c r="BK555" s="9">
        <f t="shared" si="75"/>
        <v>42.84</v>
      </c>
      <c r="BL555" s="9">
        <f t="shared" si="76"/>
        <v>0</v>
      </c>
      <c r="BM555" s="9">
        <f t="shared" si="77"/>
        <v>11.42</v>
      </c>
      <c r="BN555" s="9">
        <f t="shared" si="78"/>
        <v>1895.41</v>
      </c>
      <c r="BO555" s="9">
        <f t="shared" si="79"/>
        <v>65.47</v>
      </c>
      <c r="BP555" s="9">
        <f t="shared" si="80"/>
        <v>199.64</v>
      </c>
    </row>
    <row r="556" spans="1:68">
      <c r="A556" s="6">
        <v>44658</v>
      </c>
      <c r="B556" s="7">
        <v>3112</v>
      </c>
      <c r="C556" s="8">
        <v>3105.63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>
        <v>5.58</v>
      </c>
      <c r="O556" s="8"/>
      <c r="P556" s="8"/>
      <c r="Q556" s="11"/>
      <c r="R556" s="11"/>
      <c r="S556" s="8">
        <v>9.64</v>
      </c>
      <c r="T556" s="8">
        <v>31.08</v>
      </c>
      <c r="U556" s="8"/>
      <c r="V556" s="8"/>
      <c r="W556" s="8"/>
      <c r="X556" s="8"/>
      <c r="Y556" s="8"/>
      <c r="Z556" s="8"/>
      <c r="AA556" s="8"/>
      <c r="AB556" s="8"/>
      <c r="AC556" s="8">
        <v>12.42</v>
      </c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11"/>
      <c r="AQ556" s="8"/>
      <c r="AR556" s="8"/>
      <c r="AS556" s="8"/>
      <c r="AT556" s="8">
        <v>1301.6199999999999</v>
      </c>
      <c r="AU556" s="8"/>
      <c r="AV556" s="8"/>
      <c r="AW556" s="8"/>
      <c r="AX556" s="8"/>
      <c r="AY556" s="8"/>
      <c r="AZ556" s="8"/>
      <c r="BA556" s="8">
        <v>41.07</v>
      </c>
      <c r="BB556" s="8"/>
      <c r="BC556" s="8"/>
      <c r="BD556" s="8"/>
      <c r="BE556" s="8"/>
      <c r="BF556" s="8"/>
      <c r="BG556" s="8">
        <v>93.03</v>
      </c>
      <c r="BH556" s="9">
        <f t="shared" si="72"/>
        <v>3105.63</v>
      </c>
      <c r="BI556" s="9">
        <f t="shared" si="73"/>
        <v>5.58</v>
      </c>
      <c r="BJ556" s="9">
        <f t="shared" si="74"/>
        <v>9.64</v>
      </c>
      <c r="BK556" s="9">
        <f t="shared" si="75"/>
        <v>31.08</v>
      </c>
      <c r="BL556" s="9">
        <f t="shared" si="76"/>
        <v>0</v>
      </c>
      <c r="BM556" s="9">
        <f t="shared" si="77"/>
        <v>12.42</v>
      </c>
      <c r="BN556" s="9">
        <f t="shared" si="78"/>
        <v>1301.6199999999999</v>
      </c>
      <c r="BO556" s="9">
        <f t="shared" si="79"/>
        <v>41.07</v>
      </c>
      <c r="BP556" s="9">
        <f t="shared" si="80"/>
        <v>0</v>
      </c>
    </row>
    <row r="557" spans="1:68">
      <c r="A557" s="6">
        <v>44658</v>
      </c>
      <c r="B557" s="7">
        <v>3106</v>
      </c>
      <c r="C557" s="8">
        <v>4166.67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>
        <v>11.23</v>
      </c>
      <c r="O557" s="8"/>
      <c r="P557" s="8"/>
      <c r="Q557" s="11"/>
      <c r="R557" s="11"/>
      <c r="S557" s="8">
        <v>12.94</v>
      </c>
      <c r="T557" s="8">
        <v>53.17</v>
      </c>
      <c r="U557" s="8"/>
      <c r="V557" s="8"/>
      <c r="W557" s="8"/>
      <c r="X557" s="8"/>
      <c r="Y557" s="8"/>
      <c r="Z557" s="8"/>
      <c r="AA557" s="8"/>
      <c r="AB557" s="8"/>
      <c r="AC557" s="8">
        <v>16.690000000000001</v>
      </c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11"/>
      <c r="AQ557" s="8"/>
      <c r="AR557" s="8"/>
      <c r="AS557" s="8"/>
      <c r="AT557" s="8">
        <v>2388.91</v>
      </c>
      <c r="AU557" s="8"/>
      <c r="AV557" s="8"/>
      <c r="AW557" s="8"/>
      <c r="AX557" s="8">
        <v>5.22</v>
      </c>
      <c r="AY557" s="8"/>
      <c r="AZ557" s="8"/>
      <c r="BA557" s="8"/>
      <c r="BB557" s="8"/>
      <c r="BC557" s="8"/>
      <c r="BD557" s="8"/>
      <c r="BE557" s="8"/>
      <c r="BF557" s="8"/>
      <c r="BG557" s="8">
        <v>179.07</v>
      </c>
      <c r="BH557" s="9">
        <f t="shared" si="72"/>
        <v>4166.67</v>
      </c>
      <c r="BI557" s="9">
        <f t="shared" si="73"/>
        <v>11.23</v>
      </c>
      <c r="BJ557" s="9">
        <f t="shared" si="74"/>
        <v>12.94</v>
      </c>
      <c r="BK557" s="9">
        <f t="shared" si="75"/>
        <v>53.17</v>
      </c>
      <c r="BL557" s="9">
        <f t="shared" si="76"/>
        <v>0</v>
      </c>
      <c r="BM557" s="9">
        <f t="shared" si="77"/>
        <v>16.690000000000001</v>
      </c>
      <c r="BN557" s="9">
        <f t="shared" si="78"/>
        <v>2388.91</v>
      </c>
      <c r="BO557" s="9">
        <f t="shared" si="79"/>
        <v>5.22</v>
      </c>
      <c r="BP557" s="9">
        <f t="shared" si="80"/>
        <v>0</v>
      </c>
    </row>
    <row r="558" spans="1:68">
      <c r="A558" s="6">
        <v>44658</v>
      </c>
      <c r="B558" s="7">
        <v>3134</v>
      </c>
      <c r="C558" s="8">
        <v>1043</v>
      </c>
      <c r="D558" s="8">
        <v>145.99</v>
      </c>
      <c r="E558" s="8"/>
      <c r="F558" s="8"/>
      <c r="G558" s="8"/>
      <c r="H558" s="8">
        <v>493.2</v>
      </c>
      <c r="I558" s="8"/>
      <c r="J558" s="8"/>
      <c r="K558" s="8"/>
      <c r="L558" s="8"/>
      <c r="M558" s="8"/>
      <c r="N558" s="8">
        <v>3.22</v>
      </c>
      <c r="O558" s="8"/>
      <c r="P558" s="8"/>
      <c r="Q558" s="11"/>
      <c r="R558" s="11"/>
      <c r="S558" s="8">
        <v>6.73</v>
      </c>
      <c r="T558" s="8">
        <v>10.25</v>
      </c>
      <c r="U558" s="8">
        <v>8.7799999999999994</v>
      </c>
      <c r="V558" s="8"/>
      <c r="W558" s="8"/>
      <c r="X558" s="8"/>
      <c r="Y558" s="8"/>
      <c r="Z558" s="8"/>
      <c r="AA558" s="8"/>
      <c r="AB558" s="8"/>
      <c r="AC558" s="8">
        <v>5.85</v>
      </c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11"/>
      <c r="AQ558" s="8"/>
      <c r="AR558" s="8"/>
      <c r="AS558" s="8"/>
      <c r="AT558" s="8">
        <v>1029.54</v>
      </c>
      <c r="AU558" s="8"/>
      <c r="AV558" s="8"/>
      <c r="AW558" s="8"/>
      <c r="AX558" s="8"/>
      <c r="AY558" s="8">
        <f>1415*10.45/1000</f>
        <v>14.786749999999998</v>
      </c>
      <c r="AZ558" s="8"/>
      <c r="BA558" s="8"/>
      <c r="BB558" s="8"/>
      <c r="BC558" s="8"/>
      <c r="BD558" s="8"/>
      <c r="BE558" s="8"/>
      <c r="BF558" s="8">
        <v>65.91</v>
      </c>
      <c r="BG558" s="8">
        <v>77.44</v>
      </c>
      <c r="BH558" s="9">
        <f t="shared" si="72"/>
        <v>1682.19</v>
      </c>
      <c r="BI558" s="9">
        <f t="shared" si="73"/>
        <v>3.22</v>
      </c>
      <c r="BJ558" s="9">
        <f t="shared" si="74"/>
        <v>6.73</v>
      </c>
      <c r="BK558" s="9">
        <f t="shared" si="75"/>
        <v>19.03</v>
      </c>
      <c r="BL558" s="9">
        <f t="shared" si="76"/>
        <v>0</v>
      </c>
      <c r="BM558" s="9">
        <f t="shared" si="77"/>
        <v>5.85</v>
      </c>
      <c r="BN558" s="9">
        <f t="shared" si="78"/>
        <v>1029.54</v>
      </c>
      <c r="BO558" s="9">
        <f t="shared" si="79"/>
        <v>14.786749999999998</v>
      </c>
      <c r="BP558" s="9">
        <f t="shared" si="80"/>
        <v>65.91</v>
      </c>
    </row>
    <row r="559" spans="1:68">
      <c r="A559" s="6">
        <v>44658</v>
      </c>
      <c r="B559" s="7">
        <v>3602</v>
      </c>
      <c r="C559" s="8">
        <v>535.98</v>
      </c>
      <c r="D559" s="8"/>
      <c r="E559" s="8"/>
      <c r="F559" s="8"/>
      <c r="G559" s="8">
        <v>804.63</v>
      </c>
      <c r="H559" s="8"/>
      <c r="I559" s="8"/>
      <c r="J559" s="8"/>
      <c r="K559" s="8"/>
      <c r="L559" s="8"/>
      <c r="M559" s="8">
        <v>1.38</v>
      </c>
      <c r="N559" s="8"/>
      <c r="O559" s="8"/>
      <c r="P559" s="8"/>
      <c r="Q559" s="11"/>
      <c r="R559" s="11"/>
      <c r="S559" s="8">
        <v>7.17</v>
      </c>
      <c r="T559" s="8"/>
      <c r="U559" s="8">
        <v>4.29</v>
      </c>
      <c r="V559" s="8">
        <f>844*15.32/1000</f>
        <v>12.93008</v>
      </c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11"/>
      <c r="AQ559" s="8"/>
      <c r="AR559" s="8"/>
      <c r="AS559" s="8"/>
      <c r="AT559" s="8">
        <v>559.64</v>
      </c>
      <c r="AU559" s="8"/>
      <c r="AV559" s="8"/>
      <c r="AW559" s="8">
        <v>34.67</v>
      </c>
      <c r="AX559" s="8"/>
      <c r="AY559" s="8"/>
      <c r="AZ559" s="8"/>
      <c r="BA559" s="8"/>
      <c r="BB559" s="8"/>
      <c r="BC559" s="8"/>
      <c r="BD559" s="8"/>
      <c r="BE559" s="8"/>
      <c r="BF559" s="8">
        <v>42.93</v>
      </c>
      <c r="BG559" s="8">
        <v>42.19</v>
      </c>
      <c r="BH559" s="9">
        <f t="shared" si="72"/>
        <v>1340.6100000000001</v>
      </c>
      <c r="BI559" s="9">
        <f t="shared" si="73"/>
        <v>1.38</v>
      </c>
      <c r="BJ559" s="9">
        <f t="shared" si="74"/>
        <v>7.17</v>
      </c>
      <c r="BK559" s="9">
        <f t="shared" si="75"/>
        <v>17.220079999999999</v>
      </c>
      <c r="BL559" s="9">
        <f t="shared" si="76"/>
        <v>0</v>
      </c>
      <c r="BM559" s="9">
        <f t="shared" si="77"/>
        <v>0</v>
      </c>
      <c r="BN559" s="9">
        <f t="shared" si="78"/>
        <v>559.64</v>
      </c>
      <c r="BO559" s="9">
        <f t="shared" si="79"/>
        <v>34.67</v>
      </c>
      <c r="BP559" s="9">
        <f t="shared" si="80"/>
        <v>42.93</v>
      </c>
    </row>
    <row r="560" spans="1:68">
      <c r="A560" s="6">
        <v>44658</v>
      </c>
      <c r="B560" s="7">
        <v>3101</v>
      </c>
      <c r="C560" s="8">
        <v>159.25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>
        <v>0.28000000000000003</v>
      </c>
      <c r="O560" s="8"/>
      <c r="P560" s="8"/>
      <c r="Q560" s="11"/>
      <c r="R560" s="11"/>
      <c r="S560" s="8">
        <v>0.94</v>
      </c>
      <c r="T560" s="8"/>
      <c r="U560" s="8">
        <v>2.56</v>
      </c>
      <c r="V560" s="8"/>
      <c r="W560" s="8"/>
      <c r="X560" s="8"/>
      <c r="Y560" s="8"/>
      <c r="Z560" s="8"/>
      <c r="AA560" s="8"/>
      <c r="AB560" s="8"/>
      <c r="AC560" s="8">
        <v>0.64</v>
      </c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11"/>
      <c r="AQ560" s="8"/>
      <c r="AR560" s="8"/>
      <c r="AS560" s="8"/>
      <c r="AT560" s="8">
        <v>107.66</v>
      </c>
      <c r="AU560" s="8"/>
      <c r="AV560" s="8"/>
      <c r="AW560" s="8">
        <v>3.41</v>
      </c>
      <c r="AX560" s="8"/>
      <c r="AY560" s="8"/>
      <c r="AZ560" s="8"/>
      <c r="BA560" s="8"/>
      <c r="BB560" s="8"/>
      <c r="BC560" s="8"/>
      <c r="BD560" s="8"/>
      <c r="BE560" s="8"/>
      <c r="BF560" s="8">
        <v>20.78</v>
      </c>
      <c r="BG560" s="8">
        <v>8.2200000000000006</v>
      </c>
      <c r="BH560" s="9">
        <f t="shared" si="72"/>
        <v>159.25</v>
      </c>
      <c r="BI560" s="9">
        <f t="shared" si="73"/>
        <v>0.28000000000000003</v>
      </c>
      <c r="BJ560" s="9">
        <f t="shared" si="74"/>
        <v>0.94</v>
      </c>
      <c r="BK560" s="9">
        <f t="shared" si="75"/>
        <v>2.56</v>
      </c>
      <c r="BL560" s="9">
        <f t="shared" si="76"/>
        <v>0</v>
      </c>
      <c r="BM560" s="9">
        <f t="shared" si="77"/>
        <v>0.64</v>
      </c>
      <c r="BN560" s="9">
        <f t="shared" si="78"/>
        <v>107.66</v>
      </c>
      <c r="BO560" s="9">
        <f t="shared" si="79"/>
        <v>3.41</v>
      </c>
      <c r="BP560" s="9">
        <f t="shared" si="80"/>
        <v>20.78</v>
      </c>
    </row>
    <row r="561" spans="1:68">
      <c r="A561" s="6">
        <v>44658</v>
      </c>
      <c r="B561" s="7">
        <v>3304</v>
      </c>
      <c r="C561" s="8"/>
      <c r="D561" s="8">
        <v>926.36</v>
      </c>
      <c r="E561" s="8"/>
      <c r="F561" s="8"/>
      <c r="G561" s="8"/>
      <c r="H561" s="8"/>
      <c r="I561" s="8"/>
      <c r="J561" s="8"/>
      <c r="K561" s="8"/>
      <c r="L561" s="8"/>
      <c r="M561" s="8">
        <v>1.08</v>
      </c>
      <c r="N561" s="8"/>
      <c r="O561" s="8"/>
      <c r="P561" s="8"/>
      <c r="Q561" s="11"/>
      <c r="R561" s="11"/>
      <c r="S561" s="8">
        <v>6.58</v>
      </c>
      <c r="T561" s="8">
        <v>8.3800000000000008</v>
      </c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>
        <v>9.32</v>
      </c>
      <c r="AH561" s="8"/>
      <c r="AI561" s="8"/>
      <c r="AJ561" s="8"/>
      <c r="AK561" s="8"/>
      <c r="AL561" s="8"/>
      <c r="AM561" s="8"/>
      <c r="AN561" s="8"/>
      <c r="AO561" s="8"/>
      <c r="AP561" s="11"/>
      <c r="AQ561" s="8"/>
      <c r="AR561" s="8"/>
      <c r="AS561" s="8"/>
      <c r="AT561" s="8"/>
      <c r="AU561" s="8">
        <v>400.01</v>
      </c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>
        <v>26.72</v>
      </c>
      <c r="BH561" s="9">
        <f t="shared" si="72"/>
        <v>926.36</v>
      </c>
      <c r="BI561" s="9">
        <f t="shared" si="73"/>
        <v>1.08</v>
      </c>
      <c r="BJ561" s="9">
        <f t="shared" si="74"/>
        <v>6.58</v>
      </c>
      <c r="BK561" s="9">
        <f t="shared" si="75"/>
        <v>8.3800000000000008</v>
      </c>
      <c r="BL561" s="9">
        <f t="shared" si="76"/>
        <v>0</v>
      </c>
      <c r="BM561" s="9">
        <f t="shared" si="77"/>
        <v>9.32</v>
      </c>
      <c r="BN561" s="9">
        <f t="shared" si="78"/>
        <v>400.01</v>
      </c>
      <c r="BO561" s="9">
        <f t="shared" si="79"/>
        <v>0</v>
      </c>
      <c r="BP561" s="9">
        <f t="shared" si="80"/>
        <v>0</v>
      </c>
    </row>
    <row r="562" spans="1:68">
      <c r="A562" s="6">
        <v>44658</v>
      </c>
      <c r="B562" s="7">
        <v>3139</v>
      </c>
      <c r="C562" s="8">
        <v>939.35</v>
      </c>
      <c r="D562" s="8"/>
      <c r="E562" s="8"/>
      <c r="F562" s="8"/>
      <c r="G562" s="8"/>
      <c r="H562" s="8">
        <v>390.59</v>
      </c>
      <c r="I562" s="8"/>
      <c r="J562" s="8"/>
      <c r="K562" s="8"/>
      <c r="L562" s="8"/>
      <c r="M562" s="8"/>
      <c r="N562" s="8">
        <v>2.19</v>
      </c>
      <c r="O562" s="8"/>
      <c r="P562" s="8"/>
      <c r="Q562" s="11"/>
      <c r="R562" s="11"/>
      <c r="S562" s="8">
        <v>3.93</v>
      </c>
      <c r="T562" s="8">
        <v>13.89</v>
      </c>
      <c r="U562" s="8"/>
      <c r="V562" s="8"/>
      <c r="W562" s="8"/>
      <c r="X562" s="8"/>
      <c r="Y562" s="8"/>
      <c r="Z562" s="8"/>
      <c r="AA562" s="8"/>
      <c r="AB562" s="8"/>
      <c r="AC562" s="8">
        <v>4.63</v>
      </c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11"/>
      <c r="AQ562" s="8"/>
      <c r="AR562" s="8"/>
      <c r="AS562" s="8"/>
      <c r="AT562" s="8">
        <v>684.91</v>
      </c>
      <c r="AU562" s="8"/>
      <c r="AV562" s="8">
        <v>23.09</v>
      </c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>
        <v>49.73</v>
      </c>
      <c r="BH562" s="9">
        <f t="shared" si="72"/>
        <v>1329.94</v>
      </c>
      <c r="BI562" s="9">
        <f t="shared" si="73"/>
        <v>2.19</v>
      </c>
      <c r="BJ562" s="9">
        <f t="shared" si="74"/>
        <v>3.93</v>
      </c>
      <c r="BK562" s="9">
        <f t="shared" si="75"/>
        <v>13.89</v>
      </c>
      <c r="BL562" s="9">
        <f t="shared" si="76"/>
        <v>0</v>
      </c>
      <c r="BM562" s="9">
        <f t="shared" si="77"/>
        <v>4.63</v>
      </c>
      <c r="BN562" s="9">
        <f t="shared" si="78"/>
        <v>684.91</v>
      </c>
      <c r="BO562" s="9">
        <f t="shared" si="79"/>
        <v>23.09</v>
      </c>
      <c r="BP562" s="9">
        <f t="shared" si="80"/>
        <v>0</v>
      </c>
    </row>
    <row r="563" spans="1:68">
      <c r="A563" s="6">
        <v>44658</v>
      </c>
      <c r="B563" s="7">
        <v>3302</v>
      </c>
      <c r="C563" s="8"/>
      <c r="D563" s="8">
        <v>757.55</v>
      </c>
      <c r="E563" s="8"/>
      <c r="F563" s="8"/>
      <c r="G563" s="8"/>
      <c r="H563" s="8"/>
      <c r="I563" s="8"/>
      <c r="J563" s="8"/>
      <c r="K563" s="8"/>
      <c r="L563" s="8"/>
      <c r="M563" s="8">
        <v>1.1599999999999999</v>
      </c>
      <c r="N563" s="8"/>
      <c r="O563" s="8"/>
      <c r="P563" s="8"/>
      <c r="Q563" s="11"/>
      <c r="R563" s="11"/>
      <c r="S563" s="8">
        <v>5.65</v>
      </c>
      <c r="T563" s="8">
        <v>7.58</v>
      </c>
      <c r="U563" s="8"/>
      <c r="V563" s="8"/>
      <c r="W563" s="8"/>
      <c r="X563" s="8"/>
      <c r="Y563" s="8"/>
      <c r="Z563" s="8"/>
      <c r="AA563" s="8"/>
      <c r="AB563" s="8"/>
      <c r="AC563" s="8">
        <v>4.55</v>
      </c>
      <c r="AD563" s="8"/>
      <c r="AE563" s="8"/>
      <c r="AF563" s="8"/>
      <c r="AG563" s="8">
        <v>7.6</v>
      </c>
      <c r="AH563" s="8"/>
      <c r="AI563" s="8"/>
      <c r="AJ563" s="8"/>
      <c r="AK563" s="8"/>
      <c r="AL563" s="8"/>
      <c r="AM563" s="8"/>
      <c r="AN563" s="8"/>
      <c r="AO563" s="8"/>
      <c r="AP563" s="11"/>
      <c r="AQ563" s="8"/>
      <c r="AR563" s="8"/>
      <c r="AS563" s="8"/>
      <c r="AT563" s="8"/>
      <c r="AU563" s="8">
        <v>379.3</v>
      </c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>
        <v>27.28</v>
      </c>
      <c r="BH563" s="9">
        <f t="shared" si="72"/>
        <v>757.55</v>
      </c>
      <c r="BI563" s="9">
        <f t="shared" si="73"/>
        <v>1.1599999999999999</v>
      </c>
      <c r="BJ563" s="9">
        <f t="shared" si="74"/>
        <v>5.65</v>
      </c>
      <c r="BK563" s="9">
        <f t="shared" si="75"/>
        <v>7.58</v>
      </c>
      <c r="BL563" s="9">
        <f t="shared" si="76"/>
        <v>0</v>
      </c>
      <c r="BM563" s="9">
        <f t="shared" si="77"/>
        <v>12.149999999999999</v>
      </c>
      <c r="BN563" s="9">
        <f t="shared" si="78"/>
        <v>379.3</v>
      </c>
      <c r="BO563" s="9">
        <f t="shared" si="79"/>
        <v>0</v>
      </c>
      <c r="BP563" s="9">
        <f t="shared" si="80"/>
        <v>0</v>
      </c>
    </row>
    <row r="564" spans="1:68">
      <c r="A564" s="6">
        <v>44659</v>
      </c>
      <c r="B564" s="7">
        <v>3023</v>
      </c>
      <c r="C564" s="8"/>
      <c r="D564" s="8">
        <v>891.09</v>
      </c>
      <c r="E564" s="8"/>
      <c r="F564" s="8"/>
      <c r="G564" s="8"/>
      <c r="H564" s="8"/>
      <c r="I564" s="8">
        <v>482.3</v>
      </c>
      <c r="J564" s="8"/>
      <c r="K564" s="8"/>
      <c r="L564" s="8"/>
      <c r="M564" s="8"/>
      <c r="N564" s="8">
        <v>7.64</v>
      </c>
      <c r="O564" s="8"/>
      <c r="P564" s="8"/>
      <c r="Q564" s="11"/>
      <c r="R564" s="11"/>
      <c r="S564" s="8">
        <v>2.1800000000000002</v>
      </c>
      <c r="T564" s="8"/>
      <c r="U564" s="8"/>
      <c r="V564" s="8"/>
      <c r="W564" s="8">
        <f>1310*9.42/1000</f>
        <v>12.340200000000001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>
        <f>1457*9.42/1000</f>
        <v>13.72494</v>
      </c>
      <c r="AN564" s="8">
        <f>1022*9.42/1000</f>
        <v>9.6272400000000005</v>
      </c>
      <c r="AO564" s="8"/>
      <c r="AP564" s="11"/>
      <c r="AQ564" s="8"/>
      <c r="AR564" s="8"/>
      <c r="AS564" s="8">
        <f>4725*9.42/1000</f>
        <v>44.509500000000003</v>
      </c>
      <c r="AT564" s="8">
        <v>558.87</v>
      </c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>
        <v>42.31</v>
      </c>
      <c r="BH564" s="9">
        <f t="shared" si="72"/>
        <v>1373.39</v>
      </c>
      <c r="BI564" s="9">
        <f t="shared" si="73"/>
        <v>7.64</v>
      </c>
      <c r="BJ564" s="9">
        <f t="shared" si="74"/>
        <v>2.1800000000000002</v>
      </c>
      <c r="BK564" s="9">
        <f t="shared" si="75"/>
        <v>12.340200000000001</v>
      </c>
      <c r="BL564" s="9">
        <f t="shared" si="76"/>
        <v>0</v>
      </c>
      <c r="BM564" s="9">
        <f t="shared" si="77"/>
        <v>67.861680000000007</v>
      </c>
      <c r="BN564" s="9">
        <f t="shared" si="78"/>
        <v>558.87</v>
      </c>
      <c r="BO564" s="9">
        <f t="shared" si="79"/>
        <v>0</v>
      </c>
      <c r="BP564" s="9">
        <f t="shared" si="80"/>
        <v>0</v>
      </c>
    </row>
    <row r="565" spans="1:68">
      <c r="A565" s="6">
        <v>44659</v>
      </c>
      <c r="B565" s="7">
        <v>3025</v>
      </c>
      <c r="C565" s="8"/>
      <c r="D565" s="8">
        <v>205.56</v>
      </c>
      <c r="E565" s="8"/>
      <c r="F565" s="8"/>
      <c r="G565" s="8"/>
      <c r="H565" s="8"/>
      <c r="I565" s="8">
        <v>1146.45</v>
      </c>
      <c r="J565" s="8"/>
      <c r="K565" s="8"/>
      <c r="L565" s="8"/>
      <c r="M565" s="8"/>
      <c r="N565" s="8">
        <v>7.3</v>
      </c>
      <c r="O565" s="8"/>
      <c r="P565" s="8"/>
      <c r="Q565" s="11"/>
      <c r="R565" s="11"/>
      <c r="S565" s="8">
        <v>2.16</v>
      </c>
      <c r="T565" s="8"/>
      <c r="U565" s="8"/>
      <c r="V565" s="8"/>
      <c r="W565" s="8">
        <f>910*13.5/1000</f>
        <v>12.285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>
        <f>1014*13.5/1000</f>
        <v>13.689</v>
      </c>
      <c r="AN565" s="8">
        <f>704*13.5/1000</f>
        <v>9.5039999999999996</v>
      </c>
      <c r="AO565" s="8"/>
      <c r="AP565" s="11"/>
      <c r="AQ565" s="8"/>
      <c r="AR565" s="8"/>
      <c r="AS565" s="8">
        <f>3316*13.5/1000</f>
        <v>44.765999999999998</v>
      </c>
      <c r="AT565" s="8">
        <v>467.59</v>
      </c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>
        <v>30.97</v>
      </c>
      <c r="BH565" s="9">
        <f t="shared" si="72"/>
        <v>1352.01</v>
      </c>
      <c r="BI565" s="9">
        <f t="shared" si="73"/>
        <v>7.3</v>
      </c>
      <c r="BJ565" s="9">
        <f t="shared" si="74"/>
        <v>2.16</v>
      </c>
      <c r="BK565" s="9">
        <f t="shared" si="75"/>
        <v>12.285</v>
      </c>
      <c r="BL565" s="9">
        <f t="shared" si="76"/>
        <v>0</v>
      </c>
      <c r="BM565" s="9">
        <f t="shared" si="77"/>
        <v>67.959000000000003</v>
      </c>
      <c r="BN565" s="9">
        <f t="shared" si="78"/>
        <v>467.59</v>
      </c>
      <c r="BO565" s="9">
        <f t="shared" si="79"/>
        <v>0</v>
      </c>
      <c r="BP565" s="9">
        <f t="shared" si="80"/>
        <v>0</v>
      </c>
    </row>
    <row r="566" spans="1:68">
      <c r="A566" s="6">
        <v>44659</v>
      </c>
      <c r="B566" s="7">
        <v>3027</v>
      </c>
      <c r="C566" s="8"/>
      <c r="D566" s="8">
        <v>971.8</v>
      </c>
      <c r="E566" s="8"/>
      <c r="F566" s="8"/>
      <c r="G566" s="8"/>
      <c r="H566" s="8"/>
      <c r="I566" s="8">
        <v>794.32</v>
      </c>
      <c r="J566" s="8"/>
      <c r="K566" s="8"/>
      <c r="L566" s="8"/>
      <c r="M566" s="8"/>
      <c r="N566" s="8">
        <v>9.6999999999999993</v>
      </c>
      <c r="O566" s="8"/>
      <c r="P566" s="8"/>
      <c r="Q566" s="11"/>
      <c r="R566" s="11"/>
      <c r="S566" s="8">
        <v>2.83</v>
      </c>
      <c r="T566" s="8"/>
      <c r="U566" s="8"/>
      <c r="V566" s="8"/>
      <c r="W566" s="8">
        <f>1322*10.08/1000</f>
        <v>13.325760000000001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>
        <f>1784*10.08/1000</f>
        <v>17.98272</v>
      </c>
      <c r="AN566" s="8">
        <f>1233*10.08/1000</f>
        <v>12.42864</v>
      </c>
      <c r="AO566" s="8"/>
      <c r="AP566" s="11"/>
      <c r="AQ566" s="8"/>
      <c r="AR566" s="8"/>
      <c r="AS566" s="8">
        <f>5786*10.08/1000</f>
        <v>58.322879999999998</v>
      </c>
      <c r="AT566" s="8">
        <v>587.54</v>
      </c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>
        <v>41.67</v>
      </c>
      <c r="BH566" s="9">
        <f t="shared" si="72"/>
        <v>1766.12</v>
      </c>
      <c r="BI566" s="9">
        <f t="shared" si="73"/>
        <v>9.6999999999999993</v>
      </c>
      <c r="BJ566" s="9">
        <f t="shared" si="74"/>
        <v>2.83</v>
      </c>
      <c r="BK566" s="9">
        <f t="shared" si="75"/>
        <v>13.325760000000001</v>
      </c>
      <c r="BL566" s="9">
        <f t="shared" si="76"/>
        <v>0</v>
      </c>
      <c r="BM566" s="9">
        <f t="shared" si="77"/>
        <v>88.73424</v>
      </c>
      <c r="BN566" s="9">
        <f t="shared" si="78"/>
        <v>587.54</v>
      </c>
      <c r="BO566" s="9">
        <f t="shared" si="79"/>
        <v>0</v>
      </c>
      <c r="BP566" s="9">
        <f t="shared" si="80"/>
        <v>0</v>
      </c>
    </row>
    <row r="567" spans="1:68">
      <c r="A567" s="6">
        <v>44659</v>
      </c>
      <c r="B567" s="7">
        <v>3031</v>
      </c>
      <c r="C567" s="8"/>
      <c r="D567" s="8"/>
      <c r="E567" s="8"/>
      <c r="F567" s="8"/>
      <c r="G567" s="8"/>
      <c r="H567" s="8"/>
      <c r="I567" s="8">
        <v>1130.92</v>
      </c>
      <c r="J567" s="8"/>
      <c r="K567" s="8"/>
      <c r="L567" s="8"/>
      <c r="M567" s="8"/>
      <c r="N567" s="8">
        <v>8.0500000000000007</v>
      </c>
      <c r="O567" s="8"/>
      <c r="P567" s="8"/>
      <c r="Q567" s="11"/>
      <c r="R567" s="11"/>
      <c r="S567" s="8">
        <v>0.79</v>
      </c>
      <c r="T567" s="8">
        <v>11.36</v>
      </c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>
        <f>1801*9.43/1000</f>
        <v>16.983430000000002</v>
      </c>
      <c r="AJ567" s="8"/>
      <c r="AK567" s="8"/>
      <c r="AL567" s="8"/>
      <c r="AM567" s="8"/>
      <c r="AN567" s="8">
        <f>1204*9.43/1000</f>
        <v>11.353719999999999</v>
      </c>
      <c r="AO567" s="8"/>
      <c r="AP567" s="11"/>
      <c r="AQ567" s="8"/>
      <c r="AR567" s="8">
        <f>3622*9.43/1000</f>
        <v>34.155459999999998</v>
      </c>
      <c r="AS567" s="8"/>
      <c r="AT567" s="8">
        <v>540.32000000000005</v>
      </c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>
        <v>36.520000000000003</v>
      </c>
      <c r="BH567" s="9">
        <f t="shared" si="72"/>
        <v>1130.92</v>
      </c>
      <c r="BI567" s="9">
        <f t="shared" si="73"/>
        <v>8.0500000000000007</v>
      </c>
      <c r="BJ567" s="9">
        <f t="shared" si="74"/>
        <v>0.79</v>
      </c>
      <c r="BK567" s="9">
        <f t="shared" si="75"/>
        <v>11.36</v>
      </c>
      <c r="BL567" s="9">
        <f t="shared" si="76"/>
        <v>0</v>
      </c>
      <c r="BM567" s="9">
        <f t="shared" si="77"/>
        <v>62.492609999999999</v>
      </c>
      <c r="BN567" s="9">
        <f t="shared" si="78"/>
        <v>540.32000000000005</v>
      </c>
      <c r="BO567" s="9">
        <f t="shared" si="79"/>
        <v>0</v>
      </c>
      <c r="BP567" s="9">
        <f t="shared" si="80"/>
        <v>0</v>
      </c>
    </row>
    <row r="568" spans="1:68">
      <c r="A568" s="6">
        <v>44659</v>
      </c>
      <c r="B568" s="7">
        <v>3029</v>
      </c>
      <c r="C568" s="8"/>
      <c r="D568" s="8">
        <v>249.5</v>
      </c>
      <c r="E568" s="8"/>
      <c r="F568" s="8">
        <v>175.88</v>
      </c>
      <c r="G568" s="8"/>
      <c r="H568" s="8"/>
      <c r="I568" s="8">
        <v>1041.8499999999999</v>
      </c>
      <c r="J568" s="8"/>
      <c r="K568" s="8"/>
      <c r="L568" s="8"/>
      <c r="M568" s="8"/>
      <c r="N568" s="8">
        <v>11.02</v>
      </c>
      <c r="O568" s="8"/>
      <c r="P568" s="8"/>
      <c r="Q568" s="11"/>
      <c r="R568" s="11"/>
      <c r="S568" s="8">
        <v>0.88</v>
      </c>
      <c r="T568" s="8"/>
      <c r="U568" s="8"/>
      <c r="V568" s="8"/>
      <c r="W568" s="8">
        <f>1532*9.8/1000</f>
        <v>15.0136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>
        <f>538*9.8/1000</f>
        <v>5.2724000000000002</v>
      </c>
      <c r="AN568" s="8">
        <f>745*9.8/1000</f>
        <v>7.301000000000001</v>
      </c>
      <c r="AO568" s="8"/>
      <c r="AP568" s="11"/>
      <c r="AQ568" s="8"/>
      <c r="AR568" s="8">
        <f>4533*9.8/1000</f>
        <v>44.423400000000001</v>
      </c>
      <c r="AS568" s="8"/>
      <c r="AT568" s="8">
        <v>557.53</v>
      </c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>
        <v>38.93</v>
      </c>
      <c r="BH568" s="9">
        <f t="shared" si="72"/>
        <v>1467.23</v>
      </c>
      <c r="BI568" s="9">
        <f t="shared" si="73"/>
        <v>11.02</v>
      </c>
      <c r="BJ568" s="9">
        <f t="shared" si="74"/>
        <v>0.88</v>
      </c>
      <c r="BK568" s="9">
        <f t="shared" si="75"/>
        <v>15.0136</v>
      </c>
      <c r="BL568" s="9">
        <f t="shared" si="76"/>
        <v>0</v>
      </c>
      <c r="BM568" s="9">
        <f t="shared" si="77"/>
        <v>56.9968</v>
      </c>
      <c r="BN568" s="9">
        <f t="shared" si="78"/>
        <v>557.53</v>
      </c>
      <c r="BO568" s="9">
        <f t="shared" si="79"/>
        <v>0</v>
      </c>
      <c r="BP568" s="9">
        <f t="shared" si="80"/>
        <v>0</v>
      </c>
    </row>
    <row r="569" spans="1:68">
      <c r="A569" s="6">
        <v>44659</v>
      </c>
      <c r="B569" s="7">
        <v>3083</v>
      </c>
      <c r="C569" s="8"/>
      <c r="D569" s="8">
        <v>744.85</v>
      </c>
      <c r="E569" s="8"/>
      <c r="F569" s="8"/>
      <c r="G569" s="8"/>
      <c r="H569" s="8"/>
      <c r="I569" s="8">
        <v>1727.32</v>
      </c>
      <c r="J569" s="8"/>
      <c r="K569" s="8"/>
      <c r="L569" s="8"/>
      <c r="M569" s="8"/>
      <c r="N569" s="8">
        <v>17.100000000000001</v>
      </c>
      <c r="O569" s="8"/>
      <c r="P569" s="8"/>
      <c r="Q569" s="11"/>
      <c r="R569" s="11"/>
      <c r="S569" s="8">
        <v>1.72</v>
      </c>
      <c r="T569" s="8">
        <v>19.88</v>
      </c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>
        <f>553*18.35/1000</f>
        <v>10.147550000000001</v>
      </c>
      <c r="AN569" s="8">
        <f>1918*18.35/1000</f>
        <v>35.195300000000003</v>
      </c>
      <c r="AO569" s="8"/>
      <c r="AP569" s="11"/>
      <c r="AQ569" s="8"/>
      <c r="AR569" s="8">
        <f>3364*18.35/1000</f>
        <v>61.729399999999998</v>
      </c>
      <c r="AS569" s="8"/>
      <c r="AT569" s="8">
        <v>1125.33</v>
      </c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>
        <v>88.86</v>
      </c>
      <c r="BH569" s="9">
        <f t="shared" si="72"/>
        <v>2472.17</v>
      </c>
      <c r="BI569" s="9">
        <f t="shared" si="73"/>
        <v>17.100000000000001</v>
      </c>
      <c r="BJ569" s="9">
        <f t="shared" si="74"/>
        <v>1.72</v>
      </c>
      <c r="BK569" s="9">
        <f t="shared" si="75"/>
        <v>19.88</v>
      </c>
      <c r="BL569" s="9">
        <f t="shared" si="76"/>
        <v>0</v>
      </c>
      <c r="BM569" s="9">
        <f t="shared" si="77"/>
        <v>107.07225</v>
      </c>
      <c r="BN569" s="9">
        <f t="shared" si="78"/>
        <v>1125.33</v>
      </c>
      <c r="BO569" s="9">
        <f t="shared" si="79"/>
        <v>0</v>
      </c>
      <c r="BP569" s="9">
        <f t="shared" si="80"/>
        <v>0</v>
      </c>
    </row>
    <row r="570" spans="1:68">
      <c r="A570" s="6">
        <v>44659</v>
      </c>
      <c r="B570" s="7">
        <v>3079</v>
      </c>
      <c r="C570" s="8"/>
      <c r="D570" s="8"/>
      <c r="E570" s="8"/>
      <c r="F570" s="8">
        <v>178.01</v>
      </c>
      <c r="G570" s="8"/>
      <c r="H570" s="8"/>
      <c r="I570" s="8">
        <v>1437.76</v>
      </c>
      <c r="J570" s="8"/>
      <c r="K570" s="8"/>
      <c r="L570" s="8"/>
      <c r="M570" s="8"/>
      <c r="N570" s="8">
        <v>12.14</v>
      </c>
      <c r="O570" s="8"/>
      <c r="P570" s="8"/>
      <c r="Q570" s="11"/>
      <c r="R570" s="11"/>
      <c r="S570" s="8">
        <v>0.65</v>
      </c>
      <c r="T570" s="8">
        <v>16.23</v>
      </c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>
        <f>688*9.53/100</f>
        <v>65.566399999999987</v>
      </c>
      <c r="AN570" s="8">
        <f>1720*9.53/1000</f>
        <v>16.391599999999997</v>
      </c>
      <c r="AO570" s="8"/>
      <c r="AP570" s="11"/>
      <c r="AQ570" s="8"/>
      <c r="AR570" s="8">
        <f>4239*9.53/1000</f>
        <v>40.397669999999998</v>
      </c>
      <c r="AS570" s="8"/>
      <c r="AT570" s="8">
        <v>616.4</v>
      </c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>
        <v>44.5</v>
      </c>
      <c r="BH570" s="9">
        <f t="shared" si="72"/>
        <v>1615.77</v>
      </c>
      <c r="BI570" s="9">
        <f t="shared" si="73"/>
        <v>12.14</v>
      </c>
      <c r="BJ570" s="9">
        <f t="shared" si="74"/>
        <v>0.65</v>
      </c>
      <c r="BK570" s="9">
        <f t="shared" si="75"/>
        <v>16.23</v>
      </c>
      <c r="BL570" s="9">
        <f t="shared" si="76"/>
        <v>0</v>
      </c>
      <c r="BM570" s="9">
        <f t="shared" si="77"/>
        <v>122.35566999999998</v>
      </c>
      <c r="BN570" s="9">
        <f t="shared" si="78"/>
        <v>616.4</v>
      </c>
      <c r="BO570" s="9">
        <f t="shared" si="79"/>
        <v>0</v>
      </c>
      <c r="BP570" s="9">
        <f t="shared" si="80"/>
        <v>0</v>
      </c>
    </row>
    <row r="571" spans="1:68">
      <c r="A571" s="6">
        <v>44659</v>
      </c>
      <c r="B571" s="7">
        <v>3141</v>
      </c>
      <c r="C571" s="8">
        <v>2442.4699999999998</v>
      </c>
      <c r="D571" s="8">
        <v>431.12</v>
      </c>
      <c r="E571" s="8"/>
      <c r="F571" s="8"/>
      <c r="G571" s="8"/>
      <c r="H571" s="8"/>
      <c r="I571" s="8"/>
      <c r="J571" s="8"/>
      <c r="K571" s="8"/>
      <c r="L571" s="8"/>
      <c r="M571" s="8"/>
      <c r="N571" s="8">
        <v>7.12</v>
      </c>
      <c r="O571" s="8"/>
      <c r="P571" s="8"/>
      <c r="Q571" s="11"/>
      <c r="R571" s="11"/>
      <c r="S571" s="8">
        <v>13.52</v>
      </c>
      <c r="T571" s="8">
        <v>21.58</v>
      </c>
      <c r="U571" s="8">
        <v>21.57</v>
      </c>
      <c r="V571" s="8"/>
      <c r="W571" s="8"/>
      <c r="X571" s="8"/>
      <c r="Y571" s="8"/>
      <c r="Z571" s="8"/>
      <c r="AA571" s="8"/>
      <c r="AB571" s="8"/>
      <c r="AC571" s="8">
        <v>11.5</v>
      </c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11"/>
      <c r="AQ571" s="8"/>
      <c r="AR571" s="8"/>
      <c r="AS571" s="8"/>
      <c r="AT571" s="8">
        <v>1904.73</v>
      </c>
      <c r="AU571" s="8"/>
      <c r="AV571" s="8"/>
      <c r="AW571" s="8"/>
      <c r="AX571" s="8"/>
      <c r="AY571" s="8"/>
      <c r="AZ571" s="8"/>
      <c r="BA571" s="8">
        <v>65.83</v>
      </c>
      <c r="BB571" s="8"/>
      <c r="BC571" s="8"/>
      <c r="BD571" s="8"/>
      <c r="BE571" s="8"/>
      <c r="BF571" s="8">
        <v>201.22</v>
      </c>
      <c r="BG571" s="8">
        <v>149.5</v>
      </c>
      <c r="BH571" s="9">
        <f t="shared" si="72"/>
        <v>2873.5899999999997</v>
      </c>
      <c r="BI571" s="9">
        <f t="shared" si="73"/>
        <v>7.12</v>
      </c>
      <c r="BJ571" s="9">
        <f t="shared" si="74"/>
        <v>13.52</v>
      </c>
      <c r="BK571" s="9">
        <f t="shared" si="75"/>
        <v>43.15</v>
      </c>
      <c r="BL571" s="9">
        <f t="shared" si="76"/>
        <v>0</v>
      </c>
      <c r="BM571" s="9">
        <f t="shared" si="77"/>
        <v>11.5</v>
      </c>
      <c r="BN571" s="9">
        <f t="shared" si="78"/>
        <v>1904.73</v>
      </c>
      <c r="BO571" s="9">
        <f t="shared" si="79"/>
        <v>65.83</v>
      </c>
      <c r="BP571" s="9">
        <f t="shared" si="80"/>
        <v>201.22</v>
      </c>
    </row>
    <row r="572" spans="1:68">
      <c r="A572" s="6">
        <v>44659</v>
      </c>
      <c r="B572" s="7">
        <v>3106</v>
      </c>
      <c r="C572" s="8">
        <v>4164.8999999999996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>
        <v>10.6</v>
      </c>
      <c r="O572" s="8"/>
      <c r="P572" s="8"/>
      <c r="Q572" s="11"/>
      <c r="R572" s="11"/>
      <c r="S572" s="8">
        <v>12.51</v>
      </c>
      <c r="T572" s="8">
        <v>52.86</v>
      </c>
      <c r="U572" s="8"/>
      <c r="V572" s="8"/>
      <c r="W572" s="8"/>
      <c r="X572" s="8"/>
      <c r="Y572" s="8"/>
      <c r="Z572" s="8"/>
      <c r="AA572" s="8"/>
      <c r="AB572" s="8"/>
      <c r="AC572" s="8">
        <v>16.66</v>
      </c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11"/>
      <c r="AQ572" s="8"/>
      <c r="AR572" s="8"/>
      <c r="AS572" s="8"/>
      <c r="AT572" s="8">
        <v>2383.87</v>
      </c>
      <c r="AU572" s="8"/>
      <c r="AV572" s="8"/>
      <c r="AW572" s="8"/>
      <c r="AX572" s="8">
        <v>5.21</v>
      </c>
      <c r="AY572" s="8"/>
      <c r="AZ572" s="8"/>
      <c r="BA572" s="8"/>
      <c r="BB572" s="8"/>
      <c r="BC572" s="8"/>
      <c r="BD572" s="8"/>
      <c r="BE572" s="8"/>
      <c r="BF572" s="8"/>
      <c r="BG572" s="8">
        <v>179.49</v>
      </c>
      <c r="BH572" s="9">
        <f t="shared" si="72"/>
        <v>4164.8999999999996</v>
      </c>
      <c r="BI572" s="9">
        <f t="shared" si="73"/>
        <v>10.6</v>
      </c>
      <c r="BJ572" s="9">
        <f t="shared" si="74"/>
        <v>12.51</v>
      </c>
      <c r="BK572" s="9">
        <f t="shared" si="75"/>
        <v>52.86</v>
      </c>
      <c r="BL572" s="9">
        <f t="shared" si="76"/>
        <v>0</v>
      </c>
      <c r="BM572" s="9">
        <f t="shared" si="77"/>
        <v>16.66</v>
      </c>
      <c r="BN572" s="9">
        <f t="shared" si="78"/>
        <v>2383.87</v>
      </c>
      <c r="BO572" s="9">
        <f t="shared" si="79"/>
        <v>5.21</v>
      </c>
      <c r="BP572" s="9">
        <f t="shared" si="80"/>
        <v>0</v>
      </c>
    </row>
    <row r="573" spans="1:68">
      <c r="A573" s="6">
        <v>44659</v>
      </c>
      <c r="B573" s="7">
        <v>3136</v>
      </c>
      <c r="C573" s="8">
        <v>1242.79</v>
      </c>
      <c r="D573" s="8"/>
      <c r="E573" s="8"/>
      <c r="F573" s="8"/>
      <c r="G573" s="8"/>
      <c r="H573" s="8">
        <v>515.75</v>
      </c>
      <c r="I573" s="8"/>
      <c r="J573" s="8"/>
      <c r="K573" s="8"/>
      <c r="L573" s="8"/>
      <c r="M573" s="8"/>
      <c r="N573" s="8">
        <v>2.09</v>
      </c>
      <c r="O573" s="8"/>
      <c r="P573" s="8"/>
      <c r="Q573" s="11"/>
      <c r="R573" s="11"/>
      <c r="S573" s="8">
        <v>7.63</v>
      </c>
      <c r="T573" s="8">
        <v>10.72</v>
      </c>
      <c r="U573" s="8">
        <v>9.18</v>
      </c>
      <c r="V573" s="8"/>
      <c r="W573" s="8"/>
      <c r="X573" s="8"/>
      <c r="Y573" s="8"/>
      <c r="Z573" s="8"/>
      <c r="AA573" s="8"/>
      <c r="AB573" s="8"/>
      <c r="AC573" s="8">
        <v>6.12</v>
      </c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11"/>
      <c r="AQ573" s="8"/>
      <c r="AR573" s="8"/>
      <c r="AS573" s="8"/>
      <c r="AT573" s="8">
        <v>994.51</v>
      </c>
      <c r="AU573" s="8"/>
      <c r="AV573" s="8"/>
      <c r="AW573" s="8"/>
      <c r="AX573" s="8"/>
      <c r="AY573" s="8"/>
      <c r="AZ573" s="8"/>
      <c r="BA573" s="8">
        <v>15.17</v>
      </c>
      <c r="BB573" s="8"/>
      <c r="BC573" s="8"/>
      <c r="BD573" s="8"/>
      <c r="BE573" s="8"/>
      <c r="BF573" s="8">
        <v>61.23</v>
      </c>
      <c r="BG573" s="8">
        <v>75.06</v>
      </c>
      <c r="BH573" s="9">
        <f t="shared" si="72"/>
        <v>1758.54</v>
      </c>
      <c r="BI573" s="9">
        <f t="shared" si="73"/>
        <v>2.09</v>
      </c>
      <c r="BJ573" s="9">
        <f t="shared" si="74"/>
        <v>7.63</v>
      </c>
      <c r="BK573" s="9">
        <f t="shared" si="75"/>
        <v>19.899999999999999</v>
      </c>
      <c r="BL573" s="9">
        <f t="shared" si="76"/>
        <v>0</v>
      </c>
      <c r="BM573" s="9">
        <f t="shared" si="77"/>
        <v>6.12</v>
      </c>
      <c r="BN573" s="9">
        <f t="shared" si="78"/>
        <v>994.51</v>
      </c>
      <c r="BO573" s="9">
        <f t="shared" si="79"/>
        <v>15.17</v>
      </c>
      <c r="BP573" s="9">
        <f t="shared" si="80"/>
        <v>61.23</v>
      </c>
    </row>
    <row r="574" spans="1:68">
      <c r="A574" s="6">
        <v>44659</v>
      </c>
      <c r="B574" s="7">
        <v>3405</v>
      </c>
      <c r="C574" s="8">
        <v>1927.75</v>
      </c>
      <c r="D574" s="8">
        <v>485.48</v>
      </c>
      <c r="E574" s="8"/>
      <c r="F574" s="8"/>
      <c r="G574" s="8"/>
      <c r="H574" s="8"/>
      <c r="I574" s="8"/>
      <c r="J574" s="8"/>
      <c r="K574" s="8"/>
      <c r="L574" s="8"/>
      <c r="M574" s="8">
        <v>6.54</v>
      </c>
      <c r="N574" s="8"/>
      <c r="O574" s="8"/>
      <c r="P574" s="8"/>
      <c r="Q574" s="11"/>
      <c r="R574" s="11"/>
      <c r="S574" s="8">
        <v>5.54</v>
      </c>
      <c r="T574" s="8"/>
      <c r="U574" s="8"/>
      <c r="V574" s="8"/>
      <c r="W574" s="8"/>
      <c r="X574" s="8">
        <f>1228*24.12/1000</f>
        <v>29.61936</v>
      </c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11"/>
      <c r="AQ574" s="8"/>
      <c r="AR574" s="8"/>
      <c r="AS574" s="8"/>
      <c r="AT574" s="8">
        <v>1213.33</v>
      </c>
      <c r="AU574" s="8"/>
      <c r="AV574" s="8"/>
      <c r="AW574" s="8"/>
      <c r="AX574" s="8"/>
      <c r="AY574" s="8"/>
      <c r="AZ574" s="8"/>
      <c r="BA574" s="8">
        <v>10.87</v>
      </c>
      <c r="BB574" s="8"/>
      <c r="BC574" s="8"/>
      <c r="BD574" s="8"/>
      <c r="BE574" s="8"/>
      <c r="BF574" s="8"/>
      <c r="BG574" s="8">
        <v>82.38</v>
      </c>
      <c r="BH574" s="9">
        <f t="shared" si="72"/>
        <v>2413.23</v>
      </c>
      <c r="BI574" s="9">
        <f t="shared" si="73"/>
        <v>6.54</v>
      </c>
      <c r="BJ574" s="9">
        <f t="shared" si="74"/>
        <v>5.54</v>
      </c>
      <c r="BK574" s="9">
        <f t="shared" si="75"/>
        <v>29.61936</v>
      </c>
      <c r="BL574" s="9">
        <f t="shared" si="76"/>
        <v>0</v>
      </c>
      <c r="BM574" s="9">
        <f t="shared" si="77"/>
        <v>0</v>
      </c>
      <c r="BN574" s="9">
        <f t="shared" si="78"/>
        <v>1213.33</v>
      </c>
      <c r="BO574" s="9">
        <f t="shared" si="79"/>
        <v>10.87</v>
      </c>
      <c r="BP574" s="9">
        <f t="shared" si="80"/>
        <v>0</v>
      </c>
    </row>
    <row r="575" spans="1:68">
      <c r="A575" s="6">
        <v>44662</v>
      </c>
      <c r="B575" s="7">
        <v>3601</v>
      </c>
      <c r="C575" s="8">
        <f>37.12+301.05</f>
        <v>338.17</v>
      </c>
      <c r="D575" s="8"/>
      <c r="E575" s="8"/>
      <c r="F575" s="8"/>
      <c r="G575" s="8">
        <f>55.79+451.44</f>
        <v>507.23</v>
      </c>
      <c r="H575" s="8"/>
      <c r="I575" s="8"/>
      <c r="J575" s="8"/>
      <c r="K575" s="8"/>
      <c r="L575" s="8"/>
      <c r="M575" s="8">
        <f>0.11+0.89</f>
        <v>1</v>
      </c>
      <c r="N575" s="8"/>
      <c r="O575" s="8"/>
      <c r="P575" s="8"/>
      <c r="Q575" s="11"/>
      <c r="R575" s="11"/>
      <c r="S575" s="8">
        <f>0.47+4.04</f>
        <v>4.51</v>
      </c>
      <c r="T575" s="8"/>
      <c r="U575" s="8">
        <f>0.55+4.53</f>
        <v>5.08</v>
      </c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11"/>
      <c r="AQ575" s="8"/>
      <c r="AR575" s="8"/>
      <c r="AS575" s="8"/>
      <c r="AT575" s="8">
        <f>45.06+369.04</f>
        <v>414.1</v>
      </c>
      <c r="AU575" s="8"/>
      <c r="AV575" s="8"/>
      <c r="AW575" s="8">
        <f>2.81+22.91</f>
        <v>25.72</v>
      </c>
      <c r="AX575" s="8"/>
      <c r="AY575" s="8"/>
      <c r="AZ575" s="8"/>
      <c r="BA575" s="8"/>
      <c r="BB575" s="8"/>
      <c r="BC575" s="8"/>
      <c r="BD575" s="8"/>
      <c r="BE575" s="8"/>
      <c r="BF575" s="8">
        <f>5.1+42.22</f>
        <v>47.32</v>
      </c>
      <c r="BG575" s="8">
        <f>3.41+27.96</f>
        <v>31.37</v>
      </c>
      <c r="BH575" s="9">
        <f t="shared" si="72"/>
        <v>845.40000000000009</v>
      </c>
      <c r="BI575" s="9">
        <f t="shared" si="73"/>
        <v>1</v>
      </c>
      <c r="BJ575" s="9">
        <f t="shared" si="74"/>
        <v>4.51</v>
      </c>
      <c r="BK575" s="9">
        <f t="shared" si="75"/>
        <v>5.08</v>
      </c>
      <c r="BL575" s="9">
        <f t="shared" si="76"/>
        <v>0</v>
      </c>
      <c r="BM575" s="9">
        <f t="shared" si="77"/>
        <v>0</v>
      </c>
      <c r="BN575" s="9">
        <f t="shared" si="78"/>
        <v>414.1</v>
      </c>
      <c r="BO575" s="9">
        <f t="shared" si="79"/>
        <v>25.72</v>
      </c>
      <c r="BP575" s="9">
        <f t="shared" si="80"/>
        <v>47.32</v>
      </c>
    </row>
    <row r="576" spans="1:68">
      <c r="A576" s="6">
        <v>44662</v>
      </c>
      <c r="B576" s="7">
        <v>3701</v>
      </c>
      <c r="C576" s="8">
        <v>394.18</v>
      </c>
      <c r="D576" s="8"/>
      <c r="E576" s="8"/>
      <c r="F576" s="8"/>
      <c r="G576" s="8"/>
      <c r="H576" s="8"/>
      <c r="I576" s="8"/>
      <c r="J576" s="8">
        <f>49281*13.3/1000</f>
        <v>655.43730000000005</v>
      </c>
      <c r="K576" s="8"/>
      <c r="L576" s="8"/>
      <c r="M576" s="8"/>
      <c r="N576" s="8">
        <v>2.4500000000000002</v>
      </c>
      <c r="O576" s="8"/>
      <c r="P576" s="8"/>
      <c r="Q576" s="11"/>
      <c r="R576" s="11"/>
      <c r="S576" s="8">
        <v>2.88</v>
      </c>
      <c r="T576" s="8"/>
      <c r="U576" s="8">
        <v>6.39</v>
      </c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>
        <v>21.32</v>
      </c>
      <c r="AH576" s="8"/>
      <c r="AI576" s="8"/>
      <c r="AJ576" s="8">
        <f>2416*13.3/1000</f>
        <v>32.132800000000003</v>
      </c>
      <c r="AK576" s="8"/>
      <c r="AL576" s="8"/>
      <c r="AM576" s="8"/>
      <c r="AN576" s="8"/>
      <c r="AO576" s="8"/>
      <c r="AP576" s="11"/>
      <c r="AQ576" s="8"/>
      <c r="AR576" s="8"/>
      <c r="AS576" s="8"/>
      <c r="AT576" s="8"/>
      <c r="AU576" s="8">
        <v>375.87</v>
      </c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>
        <v>25.66</v>
      </c>
      <c r="BH576" s="9">
        <f t="shared" si="72"/>
        <v>1049.6173000000001</v>
      </c>
      <c r="BI576" s="9">
        <f t="shared" si="73"/>
        <v>2.4500000000000002</v>
      </c>
      <c r="BJ576" s="9">
        <f t="shared" si="74"/>
        <v>2.88</v>
      </c>
      <c r="BK576" s="9">
        <f t="shared" si="75"/>
        <v>6.39</v>
      </c>
      <c r="BL576" s="9">
        <f t="shared" si="76"/>
        <v>0</v>
      </c>
      <c r="BM576" s="9">
        <f t="shared" si="77"/>
        <v>53.452800000000003</v>
      </c>
      <c r="BN576" s="9">
        <f t="shared" si="78"/>
        <v>375.87</v>
      </c>
      <c r="BO576" s="9">
        <f t="shared" si="79"/>
        <v>0</v>
      </c>
      <c r="BP576" s="9">
        <f t="shared" si="80"/>
        <v>0</v>
      </c>
    </row>
    <row r="577" spans="1:68">
      <c r="A577" s="6">
        <v>44662</v>
      </c>
      <c r="B577" s="7">
        <v>3602</v>
      </c>
      <c r="C577" s="8">
        <v>582.94000000000005</v>
      </c>
      <c r="D577" s="8"/>
      <c r="E577" s="8"/>
      <c r="F577" s="8"/>
      <c r="G577" s="8">
        <v>875.8</v>
      </c>
      <c r="H577" s="8"/>
      <c r="I577" s="8"/>
      <c r="J577" s="8"/>
      <c r="K577" s="8"/>
      <c r="L577" s="8"/>
      <c r="M577" s="8">
        <v>1.53</v>
      </c>
      <c r="N577" s="8"/>
      <c r="O577" s="8"/>
      <c r="P577" s="8"/>
      <c r="Q577" s="11"/>
      <c r="R577" s="11"/>
      <c r="S577" s="8">
        <v>7.73</v>
      </c>
      <c r="T577" s="8"/>
      <c r="U577" s="8">
        <v>4.68</v>
      </c>
      <c r="V577" s="8">
        <f>859*16.7/1000</f>
        <v>14.3453</v>
      </c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11"/>
      <c r="AQ577" s="8"/>
      <c r="AR577" s="8"/>
      <c r="AS577" s="8"/>
      <c r="AT577" s="8">
        <v>609.84</v>
      </c>
      <c r="AU577" s="8"/>
      <c r="AV577" s="8"/>
      <c r="AW577" s="8">
        <v>37.78</v>
      </c>
      <c r="AX577" s="8"/>
      <c r="AY577" s="8"/>
      <c r="AZ577" s="8"/>
      <c r="BA577" s="8"/>
      <c r="BB577" s="8"/>
      <c r="BC577" s="8"/>
      <c r="BD577" s="8"/>
      <c r="BE577" s="8"/>
      <c r="BF577" s="8">
        <v>46.84</v>
      </c>
      <c r="BG577" s="8">
        <v>45.58</v>
      </c>
      <c r="BH577" s="9">
        <f t="shared" si="72"/>
        <v>1458.74</v>
      </c>
      <c r="BI577" s="9">
        <f t="shared" si="73"/>
        <v>1.53</v>
      </c>
      <c r="BJ577" s="9">
        <f t="shared" si="74"/>
        <v>7.73</v>
      </c>
      <c r="BK577" s="9">
        <f t="shared" si="75"/>
        <v>19.025300000000001</v>
      </c>
      <c r="BL577" s="9">
        <f t="shared" si="76"/>
        <v>0</v>
      </c>
      <c r="BM577" s="9">
        <f t="shared" si="77"/>
        <v>0</v>
      </c>
      <c r="BN577" s="9">
        <f t="shared" si="78"/>
        <v>609.84</v>
      </c>
      <c r="BO577" s="9">
        <f t="shared" si="79"/>
        <v>37.78</v>
      </c>
      <c r="BP577" s="9">
        <f t="shared" si="80"/>
        <v>46.84</v>
      </c>
    </row>
    <row r="578" spans="1:68">
      <c r="A578" s="6">
        <v>44662</v>
      </c>
      <c r="B578" s="7">
        <v>3703</v>
      </c>
      <c r="C578" s="8">
        <v>841.06</v>
      </c>
      <c r="D578" s="8">
        <v>562.67999999999995</v>
      </c>
      <c r="E578" s="8"/>
      <c r="F578" s="8"/>
      <c r="G578" s="8"/>
      <c r="H578" s="8"/>
      <c r="I578" s="8"/>
      <c r="J578" s="8"/>
      <c r="K578" s="8"/>
      <c r="L578" s="8"/>
      <c r="M578" s="8">
        <v>2.81</v>
      </c>
      <c r="N578" s="8"/>
      <c r="O578" s="8"/>
      <c r="P578" s="8"/>
      <c r="Q578" s="11"/>
      <c r="R578" s="11"/>
      <c r="S578" s="8">
        <v>6.88</v>
      </c>
      <c r="T578" s="8"/>
      <c r="U578" s="8">
        <v>11.29</v>
      </c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>
        <v>14.37</v>
      </c>
      <c r="AM578" s="8"/>
      <c r="AN578" s="8"/>
      <c r="AO578" s="8"/>
      <c r="AP578" s="11"/>
      <c r="AQ578" s="8"/>
      <c r="AR578" s="8"/>
      <c r="AS578" s="8"/>
      <c r="AT578" s="8">
        <v>343.37</v>
      </c>
      <c r="AU578" s="8">
        <v>171.57</v>
      </c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>
        <v>35.96</v>
      </c>
      <c r="BH578" s="9">
        <f t="shared" si="72"/>
        <v>1403.7399999999998</v>
      </c>
      <c r="BI578" s="9">
        <f t="shared" si="73"/>
        <v>2.81</v>
      </c>
      <c r="BJ578" s="9">
        <f t="shared" si="74"/>
        <v>6.88</v>
      </c>
      <c r="BK578" s="9">
        <f t="shared" si="75"/>
        <v>11.29</v>
      </c>
      <c r="BL578" s="9">
        <f t="shared" si="76"/>
        <v>0</v>
      </c>
      <c r="BM578" s="9">
        <f t="shared" si="77"/>
        <v>14.37</v>
      </c>
      <c r="BN578" s="9">
        <f t="shared" si="78"/>
        <v>514.94000000000005</v>
      </c>
      <c r="BO578" s="9">
        <f t="shared" si="79"/>
        <v>0</v>
      </c>
      <c r="BP578" s="9">
        <f t="shared" si="80"/>
        <v>0</v>
      </c>
    </row>
    <row r="579" spans="1:68">
      <c r="A579" s="6">
        <v>44662</v>
      </c>
      <c r="B579" s="7">
        <v>3203</v>
      </c>
      <c r="C579" s="8">
        <v>1642.01</v>
      </c>
      <c r="D579" s="8"/>
      <c r="E579" s="8">
        <v>704.01</v>
      </c>
      <c r="F579" s="8"/>
      <c r="G579" s="8"/>
      <c r="H579" s="8"/>
      <c r="I579" s="8"/>
      <c r="J579" s="8"/>
      <c r="K579" s="8"/>
      <c r="L579" s="8"/>
      <c r="M579" s="8"/>
      <c r="N579" s="8"/>
      <c r="O579" s="8">
        <v>7.06</v>
      </c>
      <c r="P579" s="8"/>
      <c r="Q579" s="11"/>
      <c r="R579" s="11"/>
      <c r="S579" s="8">
        <v>9.17</v>
      </c>
      <c r="T579" s="8"/>
      <c r="U579" s="8">
        <v>29.14</v>
      </c>
      <c r="V579" s="8"/>
      <c r="W579" s="8"/>
      <c r="X579" s="8"/>
      <c r="Y579" s="8"/>
      <c r="Z579" s="8">
        <v>369.96</v>
      </c>
      <c r="AA579" s="8">
        <f>10497*27.63/1000</f>
        <v>290.03210999999999</v>
      </c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11"/>
      <c r="AQ579" s="8"/>
      <c r="AR579" s="8"/>
      <c r="AS579" s="8"/>
      <c r="AT579" s="8">
        <v>875.96</v>
      </c>
      <c r="AU579" s="8">
        <v>439.28</v>
      </c>
      <c r="AV579" s="8"/>
      <c r="AW579" s="8"/>
      <c r="AX579" s="8"/>
      <c r="AY579" s="8"/>
      <c r="AZ579" s="8"/>
      <c r="BA579" s="8"/>
      <c r="BB579" s="8"/>
      <c r="BC579" s="8">
        <v>6.1</v>
      </c>
      <c r="BD579" s="8"/>
      <c r="BE579" s="8"/>
      <c r="BF579" s="8"/>
      <c r="BG579" s="8">
        <v>85.88</v>
      </c>
      <c r="BH579" s="9">
        <f t="shared" si="72"/>
        <v>2346.02</v>
      </c>
      <c r="BI579" s="9">
        <f t="shared" si="73"/>
        <v>7.06</v>
      </c>
      <c r="BJ579" s="9">
        <f t="shared" si="74"/>
        <v>9.17</v>
      </c>
      <c r="BK579" s="9">
        <f t="shared" si="75"/>
        <v>29.14</v>
      </c>
      <c r="BL579" s="9">
        <f t="shared" si="76"/>
        <v>659.99210999999991</v>
      </c>
      <c r="BM579" s="9">
        <f t="shared" si="77"/>
        <v>0</v>
      </c>
      <c r="BN579" s="9">
        <f t="shared" si="78"/>
        <v>1315.24</v>
      </c>
      <c r="BO579" s="9">
        <f t="shared" si="79"/>
        <v>6.1</v>
      </c>
      <c r="BP579" s="9">
        <f t="shared" si="80"/>
        <v>0</v>
      </c>
    </row>
    <row r="580" spans="1:68">
      <c r="A580" s="6">
        <v>44662</v>
      </c>
      <c r="B580" s="7">
        <v>3029</v>
      </c>
      <c r="C580" s="8"/>
      <c r="D580" s="8">
        <v>469.44</v>
      </c>
      <c r="E580" s="8"/>
      <c r="F580" s="8">
        <v>331.39</v>
      </c>
      <c r="G580" s="8"/>
      <c r="H580" s="8"/>
      <c r="I580" s="8">
        <v>1963.12</v>
      </c>
      <c r="J580" s="8"/>
      <c r="K580" s="8"/>
      <c r="L580" s="8"/>
      <c r="M580" s="8"/>
      <c r="N580" s="8">
        <v>20.72</v>
      </c>
      <c r="O580" s="8"/>
      <c r="P580" s="8"/>
      <c r="Q580" s="11"/>
      <c r="R580" s="11"/>
      <c r="S580" s="8">
        <v>1.66</v>
      </c>
      <c r="T580" s="8"/>
      <c r="U580" s="8"/>
      <c r="V580" s="8"/>
      <c r="W580" s="8">
        <f>1500*18.42/1000</f>
        <v>27.630000000000003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>
        <f>533*18.42/1000</f>
        <v>9.8178600000000014</v>
      </c>
      <c r="AN580" s="8">
        <f>749*18.42/1000</f>
        <v>13.796580000000002</v>
      </c>
      <c r="AO580" s="8"/>
      <c r="AP580" s="11"/>
      <c r="AQ580" s="8"/>
      <c r="AR580" s="8">
        <f>4526*18.42/1000</f>
        <v>83.368920000000017</v>
      </c>
      <c r="AS580" s="8"/>
      <c r="AT580" s="8">
        <v>1048.06</v>
      </c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>
        <v>73.05</v>
      </c>
      <c r="BH580" s="9">
        <f t="shared" ref="BH580:BH643" si="81">SUM(C580:L580)</f>
        <v>2763.95</v>
      </c>
      <c r="BI580" s="9">
        <f t="shared" ref="BI580:BI643" si="82">SUM(M580:R580)</f>
        <v>20.72</v>
      </c>
      <c r="BJ580" s="9">
        <f t="shared" ref="BJ580:BJ643" si="83">SUM(S580)</f>
        <v>1.66</v>
      </c>
      <c r="BK580" s="9">
        <f t="shared" ref="BK580:BK643" si="84">SUM(T580:Y580)</f>
        <v>27.630000000000003</v>
      </c>
      <c r="BL580" s="9">
        <f t="shared" ref="BL580:BL643" si="85">SUM(Z580:AA580)</f>
        <v>0</v>
      </c>
      <c r="BM580" s="9">
        <f t="shared" ref="BM580:BM643" si="86">SUM(AB580:AS580)</f>
        <v>106.98336000000002</v>
      </c>
      <c r="BN580" s="9">
        <f t="shared" ref="BN580:BN643" si="87">SUM(AT580:AU580)</f>
        <v>1048.06</v>
      </c>
      <c r="BO580" s="9">
        <f t="shared" ref="BO580:BO643" si="88">SUM(AV580:BE580)</f>
        <v>0</v>
      </c>
      <c r="BP580" s="9">
        <f t="shared" ref="BP580:BP643" si="89">SUM(BF580)</f>
        <v>0</v>
      </c>
    </row>
    <row r="581" spans="1:68">
      <c r="A581" s="6">
        <v>44662</v>
      </c>
      <c r="B581" s="7">
        <v>3083</v>
      </c>
      <c r="C581" s="8"/>
      <c r="D581" s="8">
        <v>1092.58</v>
      </c>
      <c r="E581" s="8"/>
      <c r="F581" s="8"/>
      <c r="G581" s="8"/>
      <c r="H581" s="8"/>
      <c r="I581" s="8">
        <v>2543.5500000000002</v>
      </c>
      <c r="J581" s="8"/>
      <c r="K581" s="8"/>
      <c r="L581" s="8"/>
      <c r="M581" s="8"/>
      <c r="N581" s="8">
        <v>25.12</v>
      </c>
      <c r="O581" s="8"/>
      <c r="P581" s="8"/>
      <c r="Q581" s="11"/>
      <c r="R581" s="11"/>
      <c r="S581" s="8">
        <v>2.54</v>
      </c>
      <c r="T581" s="8">
        <v>29.11</v>
      </c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>
        <f>553*26.95/1000</f>
        <v>14.90335</v>
      </c>
      <c r="AN581" s="8">
        <f>1894*26.95/1000</f>
        <v>51.043299999999995</v>
      </c>
      <c r="AO581" s="8"/>
      <c r="AP581" s="11"/>
      <c r="AQ581" s="8"/>
      <c r="AR581" s="8">
        <f>3398*26.95/1000</f>
        <v>91.576099999999997</v>
      </c>
      <c r="AS581" s="8"/>
      <c r="AT581" s="8">
        <v>1651.86</v>
      </c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>
        <v>130.29</v>
      </c>
      <c r="BH581" s="9">
        <f t="shared" si="81"/>
        <v>3636.13</v>
      </c>
      <c r="BI581" s="9">
        <f t="shared" si="82"/>
        <v>25.12</v>
      </c>
      <c r="BJ581" s="9">
        <f t="shared" si="83"/>
        <v>2.54</v>
      </c>
      <c r="BK581" s="9">
        <f t="shared" si="84"/>
        <v>29.11</v>
      </c>
      <c r="BL581" s="9">
        <f t="shared" si="85"/>
        <v>0</v>
      </c>
      <c r="BM581" s="9">
        <f t="shared" si="86"/>
        <v>157.52274999999997</v>
      </c>
      <c r="BN581" s="9">
        <f t="shared" si="87"/>
        <v>1651.86</v>
      </c>
      <c r="BO581" s="9">
        <f t="shared" si="88"/>
        <v>0</v>
      </c>
      <c r="BP581" s="9">
        <f t="shared" si="89"/>
        <v>0</v>
      </c>
    </row>
    <row r="582" spans="1:68">
      <c r="A582" s="6">
        <v>44662</v>
      </c>
      <c r="B582" s="7">
        <v>3141</v>
      </c>
      <c r="C582" s="8">
        <v>2437.67</v>
      </c>
      <c r="D582" s="8">
        <v>430.22</v>
      </c>
      <c r="E582" s="8"/>
      <c r="F582" s="8"/>
      <c r="G582" s="8"/>
      <c r="H582" s="8"/>
      <c r="I582" s="8"/>
      <c r="J582" s="8"/>
      <c r="K582" s="8"/>
      <c r="L582" s="8"/>
      <c r="M582" s="8"/>
      <c r="N582" s="8">
        <v>7.91</v>
      </c>
      <c r="O582" s="8"/>
      <c r="P582" s="8"/>
      <c r="Q582" s="11"/>
      <c r="R582" s="11"/>
      <c r="S582" s="8">
        <v>13.49</v>
      </c>
      <c r="T582" s="8">
        <v>21.53</v>
      </c>
      <c r="U582" s="8">
        <v>21.53</v>
      </c>
      <c r="V582" s="8"/>
      <c r="W582" s="8"/>
      <c r="X582" s="8"/>
      <c r="Y582" s="8"/>
      <c r="Z582" s="8"/>
      <c r="AA582" s="8"/>
      <c r="AB582" s="8"/>
      <c r="AC582" s="8">
        <v>11.48</v>
      </c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11"/>
      <c r="AQ582" s="8"/>
      <c r="AR582" s="8"/>
      <c r="AS582" s="8"/>
      <c r="AT582" s="8">
        <v>1893.43</v>
      </c>
      <c r="AU582" s="8"/>
      <c r="AV582" s="8"/>
      <c r="AW582" s="8"/>
      <c r="AX582" s="8"/>
      <c r="AY582" s="8"/>
      <c r="AZ582" s="8"/>
      <c r="BA582" s="8">
        <v>65.790000000000006</v>
      </c>
      <c r="BB582" s="8"/>
      <c r="BC582" s="8"/>
      <c r="BD582" s="8"/>
      <c r="BE582" s="8"/>
      <c r="BF582" s="8">
        <v>200.42</v>
      </c>
      <c r="BG582" s="8">
        <v>149.13999999999999</v>
      </c>
      <c r="BH582" s="9">
        <f t="shared" si="81"/>
        <v>2867.8900000000003</v>
      </c>
      <c r="BI582" s="9">
        <f t="shared" si="82"/>
        <v>7.91</v>
      </c>
      <c r="BJ582" s="9">
        <f t="shared" si="83"/>
        <v>13.49</v>
      </c>
      <c r="BK582" s="9">
        <f t="shared" si="84"/>
        <v>43.06</v>
      </c>
      <c r="BL582" s="9">
        <f t="shared" si="85"/>
        <v>0</v>
      </c>
      <c r="BM582" s="9">
        <f t="shared" si="86"/>
        <v>11.48</v>
      </c>
      <c r="BN582" s="9">
        <f t="shared" si="87"/>
        <v>1893.43</v>
      </c>
      <c r="BO582" s="9">
        <f t="shared" si="88"/>
        <v>65.790000000000006</v>
      </c>
      <c r="BP582" s="9">
        <f t="shared" si="89"/>
        <v>200.42</v>
      </c>
    </row>
    <row r="583" spans="1:68">
      <c r="A583" s="6">
        <v>44662</v>
      </c>
      <c r="B583" s="7">
        <v>3134</v>
      </c>
      <c r="C583" s="8">
        <v>1043.1600000000001</v>
      </c>
      <c r="D583" s="8">
        <v>145.93</v>
      </c>
      <c r="E583" s="8"/>
      <c r="F583" s="8"/>
      <c r="G583" s="8"/>
      <c r="H583" s="8">
        <v>493.3</v>
      </c>
      <c r="I583" s="8"/>
      <c r="J583" s="8"/>
      <c r="K583" s="8"/>
      <c r="L583" s="8"/>
      <c r="M583" s="8"/>
      <c r="N583" s="8">
        <v>3.21</v>
      </c>
      <c r="O583" s="8"/>
      <c r="P583" s="8"/>
      <c r="Q583" s="11"/>
      <c r="R583" s="11"/>
      <c r="S583" s="8">
        <v>6.72</v>
      </c>
      <c r="T583" s="8">
        <v>10.25</v>
      </c>
      <c r="U583" s="8">
        <v>8.7799999999999994</v>
      </c>
      <c r="V583" s="8"/>
      <c r="W583" s="8"/>
      <c r="X583" s="8"/>
      <c r="Y583" s="8"/>
      <c r="Z583" s="8"/>
      <c r="AA583" s="8"/>
      <c r="AB583" s="8"/>
      <c r="AC583" s="8">
        <v>5.85</v>
      </c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11"/>
      <c r="AQ583" s="8"/>
      <c r="AR583" s="8"/>
      <c r="AS583" s="8"/>
      <c r="AT583" s="8">
        <v>1030.82</v>
      </c>
      <c r="AU583" s="8"/>
      <c r="AV583" s="8"/>
      <c r="AW583" s="8"/>
      <c r="AX583" s="8"/>
      <c r="AY583" s="8">
        <f>1438*10.43/1000</f>
        <v>14.998340000000001</v>
      </c>
      <c r="AZ583" s="8"/>
      <c r="BA583" s="8"/>
      <c r="BB583" s="8"/>
      <c r="BC583" s="8"/>
      <c r="BD583" s="8"/>
      <c r="BE583" s="8"/>
      <c r="BF583" s="8">
        <v>65.930000000000007</v>
      </c>
      <c r="BG583" s="8">
        <v>77.45</v>
      </c>
      <c r="BH583" s="9">
        <f t="shared" si="81"/>
        <v>1682.39</v>
      </c>
      <c r="BI583" s="9">
        <f t="shared" si="82"/>
        <v>3.21</v>
      </c>
      <c r="BJ583" s="9">
        <f t="shared" si="83"/>
        <v>6.72</v>
      </c>
      <c r="BK583" s="9">
        <f t="shared" si="84"/>
        <v>19.03</v>
      </c>
      <c r="BL583" s="9">
        <f t="shared" si="85"/>
        <v>0</v>
      </c>
      <c r="BM583" s="9">
        <f t="shared" si="86"/>
        <v>5.85</v>
      </c>
      <c r="BN583" s="9">
        <f t="shared" si="87"/>
        <v>1030.82</v>
      </c>
      <c r="BO583" s="9">
        <f t="shared" si="88"/>
        <v>14.998340000000001</v>
      </c>
      <c r="BP583" s="9">
        <f t="shared" si="89"/>
        <v>65.930000000000007</v>
      </c>
    </row>
    <row r="584" spans="1:68">
      <c r="A584" s="6">
        <v>44663</v>
      </c>
      <c r="B584" s="7">
        <v>3129</v>
      </c>
      <c r="C584" s="8">
        <v>1475.85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11"/>
      <c r="R584" s="11">
        <f>1225*6.73/1000</f>
        <v>8.2442499999999992</v>
      </c>
      <c r="S584" s="8">
        <f>5.48+6.82</f>
        <v>12.3</v>
      </c>
      <c r="T584" s="8"/>
      <c r="U584" s="8"/>
      <c r="V584" s="8"/>
      <c r="W584" s="8"/>
      <c r="X584" s="8">
        <f>4985*6.73/1000</f>
        <v>33.549050000000001</v>
      </c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11"/>
      <c r="AQ584" s="8"/>
      <c r="AR584" s="8"/>
      <c r="AS584" s="8"/>
      <c r="AT584" s="8">
        <v>202.78</v>
      </c>
      <c r="AU584" s="8">
        <v>407.31</v>
      </c>
      <c r="AV584" s="8"/>
      <c r="AW584" s="8"/>
      <c r="AX584" s="8"/>
      <c r="AY584" s="8"/>
      <c r="AZ584" s="8"/>
      <c r="BA584" s="8"/>
      <c r="BB584" s="8"/>
      <c r="BC584" s="8"/>
      <c r="BD584" s="8">
        <v>3.7</v>
      </c>
      <c r="BE584" s="8">
        <f>1988*6.73/1000</f>
        <v>13.379240000000001</v>
      </c>
      <c r="BF584" s="8"/>
      <c r="BG584" s="8">
        <v>44.35</v>
      </c>
      <c r="BH584" s="9">
        <f t="shared" si="81"/>
        <v>1475.85</v>
      </c>
      <c r="BI584" s="9">
        <f t="shared" si="82"/>
        <v>8.2442499999999992</v>
      </c>
      <c r="BJ584" s="9">
        <f t="shared" si="83"/>
        <v>12.3</v>
      </c>
      <c r="BK584" s="9">
        <f t="shared" si="84"/>
        <v>33.549050000000001</v>
      </c>
      <c r="BL584" s="9">
        <f t="shared" si="85"/>
        <v>0</v>
      </c>
      <c r="BM584" s="9">
        <f t="shared" si="86"/>
        <v>0</v>
      </c>
      <c r="BN584" s="9">
        <f t="shared" si="87"/>
        <v>610.09</v>
      </c>
      <c r="BO584" s="9">
        <f t="shared" si="88"/>
        <v>17.079240000000002</v>
      </c>
      <c r="BP584" s="9">
        <f t="shared" si="89"/>
        <v>0</v>
      </c>
    </row>
    <row r="585" spans="1:68">
      <c r="A585" s="6">
        <v>44663</v>
      </c>
      <c r="B585" s="7">
        <v>3405</v>
      </c>
      <c r="C585" s="8">
        <v>551.15</v>
      </c>
      <c r="D585" s="8">
        <v>137.9</v>
      </c>
      <c r="E585" s="8"/>
      <c r="F585" s="8"/>
      <c r="G585" s="8"/>
      <c r="H585" s="8"/>
      <c r="I585" s="8"/>
      <c r="J585" s="8"/>
      <c r="K585" s="8"/>
      <c r="L585" s="8"/>
      <c r="M585" s="8">
        <v>1.86</v>
      </c>
      <c r="N585" s="8"/>
      <c r="O585" s="8"/>
      <c r="P585" s="8"/>
      <c r="Q585" s="11"/>
      <c r="R585" s="11"/>
      <c r="S585" s="8">
        <v>1.59</v>
      </c>
      <c r="T585" s="8"/>
      <c r="U585" s="8"/>
      <c r="V585" s="8"/>
      <c r="W585" s="8"/>
      <c r="X585" s="8">
        <f>1203*6.93/1000</f>
        <v>8.3367899999999988</v>
      </c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11"/>
      <c r="AQ585" s="8"/>
      <c r="AR585" s="8"/>
      <c r="AS585" s="8"/>
      <c r="AT585" s="8">
        <v>348.17</v>
      </c>
      <c r="AU585" s="8"/>
      <c r="AV585" s="8"/>
      <c r="AW585" s="8"/>
      <c r="AX585" s="8"/>
      <c r="AY585" s="8"/>
      <c r="AZ585" s="8"/>
      <c r="BA585" s="8">
        <v>3.1</v>
      </c>
      <c r="BB585" s="8"/>
      <c r="BC585" s="8"/>
      <c r="BD585" s="8"/>
      <c r="BE585" s="8"/>
      <c r="BF585" s="8"/>
      <c r="BG585" s="8">
        <v>23.7</v>
      </c>
      <c r="BH585" s="9">
        <f t="shared" si="81"/>
        <v>689.05</v>
      </c>
      <c r="BI585" s="9">
        <f t="shared" si="82"/>
        <v>1.86</v>
      </c>
      <c r="BJ585" s="9">
        <f t="shared" si="83"/>
        <v>1.59</v>
      </c>
      <c r="BK585" s="9">
        <f t="shared" si="84"/>
        <v>8.3367899999999988</v>
      </c>
      <c r="BL585" s="9">
        <f t="shared" si="85"/>
        <v>0</v>
      </c>
      <c r="BM585" s="9">
        <f t="shared" si="86"/>
        <v>0</v>
      </c>
      <c r="BN585" s="9">
        <f t="shared" si="87"/>
        <v>348.17</v>
      </c>
      <c r="BO585" s="9">
        <f t="shared" si="88"/>
        <v>3.1</v>
      </c>
      <c r="BP585" s="9">
        <f t="shared" si="89"/>
        <v>0</v>
      </c>
    </row>
    <row r="586" spans="1:68">
      <c r="A586" s="6">
        <v>44663</v>
      </c>
      <c r="B586" s="7">
        <v>3408</v>
      </c>
      <c r="C586" s="8">
        <v>3844.31</v>
      </c>
      <c r="D586" s="8"/>
      <c r="E586" s="8"/>
      <c r="F586" s="8"/>
      <c r="G586" s="8"/>
      <c r="H586" s="8"/>
      <c r="I586" s="8"/>
      <c r="J586" s="8"/>
      <c r="K586" s="8"/>
      <c r="L586" s="8"/>
      <c r="M586" s="8">
        <v>10.4</v>
      </c>
      <c r="N586" s="8"/>
      <c r="O586" s="8"/>
      <c r="P586" s="8"/>
      <c r="Q586" s="11"/>
      <c r="R586" s="11"/>
      <c r="S586" s="8">
        <v>9.6300000000000008</v>
      </c>
      <c r="T586" s="8">
        <v>38.53</v>
      </c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11"/>
      <c r="AQ586" s="8"/>
      <c r="AR586" s="8"/>
      <c r="AS586" s="8"/>
      <c r="AT586" s="8">
        <v>1968.06</v>
      </c>
      <c r="AU586" s="8"/>
      <c r="AV586" s="8"/>
      <c r="AW586" s="8"/>
      <c r="AX586" s="8"/>
      <c r="AY586" s="8"/>
      <c r="AZ586" s="8"/>
      <c r="BA586" s="8">
        <v>17.29</v>
      </c>
      <c r="BB586" s="8"/>
      <c r="BC586" s="8"/>
      <c r="BD586" s="8"/>
      <c r="BE586" s="8"/>
      <c r="BF586" s="8"/>
      <c r="BG586" s="8">
        <v>134.29</v>
      </c>
      <c r="BH586" s="9">
        <f t="shared" si="81"/>
        <v>3844.31</v>
      </c>
      <c r="BI586" s="9">
        <f t="shared" si="82"/>
        <v>10.4</v>
      </c>
      <c r="BJ586" s="9">
        <f t="shared" si="83"/>
        <v>9.6300000000000008</v>
      </c>
      <c r="BK586" s="9">
        <f t="shared" si="84"/>
        <v>38.53</v>
      </c>
      <c r="BL586" s="9">
        <f t="shared" si="85"/>
        <v>0</v>
      </c>
      <c r="BM586" s="9">
        <f t="shared" si="86"/>
        <v>0</v>
      </c>
      <c r="BN586" s="9">
        <f t="shared" si="87"/>
        <v>1968.06</v>
      </c>
      <c r="BO586" s="9">
        <f t="shared" si="88"/>
        <v>17.29</v>
      </c>
      <c r="BP586" s="9">
        <f t="shared" si="89"/>
        <v>0</v>
      </c>
    </row>
    <row r="587" spans="1:68">
      <c r="A587" s="6">
        <v>44663</v>
      </c>
      <c r="B587" s="7">
        <v>3028</v>
      </c>
      <c r="C587" s="8"/>
      <c r="D587" s="8">
        <v>794.82</v>
      </c>
      <c r="E587" s="8"/>
      <c r="F587" s="8">
        <v>731.26</v>
      </c>
      <c r="G587" s="8"/>
      <c r="H587" s="8"/>
      <c r="I587" s="8">
        <v>1652.65</v>
      </c>
      <c r="J587" s="8"/>
      <c r="K587" s="8"/>
      <c r="L587" s="8"/>
      <c r="M587" s="8"/>
      <c r="N587" s="8">
        <v>23.83</v>
      </c>
      <c r="O587" s="8"/>
      <c r="P587" s="8"/>
      <c r="Q587" s="11"/>
      <c r="R587" s="11"/>
      <c r="S587" s="8">
        <v>4.45</v>
      </c>
      <c r="T587" s="8"/>
      <c r="U587" s="8"/>
      <c r="V587" s="8"/>
      <c r="W587" s="8">
        <f>1127*21.18/1000</f>
        <v>23.869859999999999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>
        <f>1511*21.18/1000</f>
        <v>32.002980000000001</v>
      </c>
      <c r="AN587" s="8">
        <f>1051*21.18/1000</f>
        <v>22.260180000000002</v>
      </c>
      <c r="AO587" s="8"/>
      <c r="AP587" s="11"/>
      <c r="AQ587" s="8"/>
      <c r="AR587" s="8"/>
      <c r="AS587" s="8">
        <f>4899*21.18/1000</f>
        <v>103.76082</v>
      </c>
      <c r="AT587" s="8">
        <v>1061.24</v>
      </c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>
        <v>72.11</v>
      </c>
      <c r="BH587" s="9">
        <f t="shared" si="81"/>
        <v>3178.73</v>
      </c>
      <c r="BI587" s="9">
        <f t="shared" si="82"/>
        <v>23.83</v>
      </c>
      <c r="BJ587" s="9">
        <f t="shared" si="83"/>
        <v>4.45</v>
      </c>
      <c r="BK587" s="9">
        <f t="shared" si="84"/>
        <v>23.869859999999999</v>
      </c>
      <c r="BL587" s="9">
        <f t="shared" si="85"/>
        <v>0</v>
      </c>
      <c r="BM587" s="9">
        <f t="shared" si="86"/>
        <v>158.02397999999999</v>
      </c>
      <c r="BN587" s="9">
        <f t="shared" si="87"/>
        <v>1061.24</v>
      </c>
      <c r="BO587" s="9">
        <f t="shared" si="88"/>
        <v>0</v>
      </c>
      <c r="BP587" s="9">
        <f t="shared" si="89"/>
        <v>0</v>
      </c>
    </row>
    <row r="588" spans="1:68">
      <c r="A588" s="6">
        <v>44663</v>
      </c>
      <c r="B588" s="7">
        <v>3020</v>
      </c>
      <c r="C588" s="8"/>
      <c r="D588" s="8">
        <v>168.02</v>
      </c>
      <c r="E588" s="8"/>
      <c r="F588" s="8"/>
      <c r="G588" s="8"/>
      <c r="H588" s="8"/>
      <c r="I588" s="8">
        <v>946.63</v>
      </c>
      <c r="J588" s="8"/>
      <c r="K588" s="8"/>
      <c r="L588" s="8"/>
      <c r="M588" s="8"/>
      <c r="N588" s="8">
        <v>6.69</v>
      </c>
      <c r="O588" s="8"/>
      <c r="P588" s="8"/>
      <c r="Q588" s="11"/>
      <c r="R588" s="11"/>
      <c r="S588" s="8">
        <v>2</v>
      </c>
      <c r="T588" s="8"/>
      <c r="U588" s="8"/>
      <c r="V588" s="8"/>
      <c r="W588" s="8">
        <f>1206*9.3/1000</f>
        <v>11.215800000000002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>
        <f>1211*9.3/1000</f>
        <v>11.262300000000002</v>
      </c>
      <c r="AN588" s="8"/>
      <c r="AO588" s="8"/>
      <c r="AP588" s="11"/>
      <c r="AQ588" s="8"/>
      <c r="AR588" s="8"/>
      <c r="AS588" s="8">
        <f>3024*9.3/1000</f>
        <v>28.123200000000001</v>
      </c>
      <c r="AT588" s="8">
        <v>548.05999999999995</v>
      </c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>
        <v>40.11</v>
      </c>
      <c r="BH588" s="9">
        <f t="shared" si="81"/>
        <v>1114.6500000000001</v>
      </c>
      <c r="BI588" s="9">
        <f t="shared" si="82"/>
        <v>6.69</v>
      </c>
      <c r="BJ588" s="9">
        <f t="shared" si="83"/>
        <v>2</v>
      </c>
      <c r="BK588" s="9">
        <f t="shared" si="84"/>
        <v>11.215800000000002</v>
      </c>
      <c r="BL588" s="9">
        <f t="shared" si="85"/>
        <v>0</v>
      </c>
      <c r="BM588" s="9">
        <f t="shared" si="86"/>
        <v>39.3855</v>
      </c>
      <c r="BN588" s="9">
        <f t="shared" si="87"/>
        <v>548.05999999999995</v>
      </c>
      <c r="BO588" s="9">
        <f t="shared" si="88"/>
        <v>0</v>
      </c>
      <c r="BP588" s="9">
        <f t="shared" si="89"/>
        <v>0</v>
      </c>
    </row>
    <row r="589" spans="1:68">
      <c r="A589" s="6">
        <v>44663</v>
      </c>
      <c r="B589" s="7">
        <v>3021</v>
      </c>
      <c r="C589" s="8"/>
      <c r="D589" s="8">
        <v>198.66</v>
      </c>
      <c r="E589" s="8"/>
      <c r="F589" s="8"/>
      <c r="G589" s="8"/>
      <c r="H589" s="8"/>
      <c r="I589" s="8">
        <v>367.64</v>
      </c>
      <c r="J589" s="8"/>
      <c r="K589" s="8"/>
      <c r="L589" s="8"/>
      <c r="M589" s="8"/>
      <c r="N589" s="8">
        <v>3</v>
      </c>
      <c r="O589" s="8"/>
      <c r="P589" s="8"/>
      <c r="Q589" s="11"/>
      <c r="R589" s="11"/>
      <c r="S589" s="8">
        <v>1.02</v>
      </c>
      <c r="T589" s="8"/>
      <c r="U589" s="8"/>
      <c r="V589" s="8"/>
      <c r="W589" s="8">
        <f>1049*5.4/1000</f>
        <v>5.6646000000000001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>
        <f>1066*5.4/1000</f>
        <v>5.7564000000000002</v>
      </c>
      <c r="AN589" s="8"/>
      <c r="AO589" s="8"/>
      <c r="AP589" s="11"/>
      <c r="AQ589" s="8"/>
      <c r="AR589" s="8"/>
      <c r="AS589" s="8">
        <f>2640*5.4/1000</f>
        <v>14.256000000000002</v>
      </c>
      <c r="AT589" s="8">
        <v>267.32</v>
      </c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>
        <v>20.07</v>
      </c>
      <c r="BH589" s="9">
        <f t="shared" si="81"/>
        <v>566.29999999999995</v>
      </c>
      <c r="BI589" s="9">
        <f t="shared" si="82"/>
        <v>3</v>
      </c>
      <c r="BJ589" s="9">
        <f t="shared" si="83"/>
        <v>1.02</v>
      </c>
      <c r="BK589" s="9">
        <f t="shared" si="84"/>
        <v>5.6646000000000001</v>
      </c>
      <c r="BL589" s="9">
        <f t="shared" si="85"/>
        <v>0</v>
      </c>
      <c r="BM589" s="9">
        <f t="shared" si="86"/>
        <v>20.012400000000003</v>
      </c>
      <c r="BN589" s="9">
        <f t="shared" si="87"/>
        <v>267.32</v>
      </c>
      <c r="BO589" s="9">
        <f t="shared" si="88"/>
        <v>0</v>
      </c>
      <c r="BP589" s="9">
        <f t="shared" si="89"/>
        <v>0</v>
      </c>
    </row>
    <row r="590" spans="1:68">
      <c r="A590" s="6">
        <v>44663</v>
      </c>
      <c r="B590" s="7">
        <v>3022</v>
      </c>
      <c r="C590" s="8"/>
      <c r="D590" s="8">
        <v>568.02</v>
      </c>
      <c r="E590" s="8"/>
      <c r="F590" s="8"/>
      <c r="G590" s="8"/>
      <c r="H590" s="8"/>
      <c r="I590" s="8">
        <v>465.36</v>
      </c>
      <c r="J590" s="8"/>
      <c r="K590" s="8"/>
      <c r="L590" s="8"/>
      <c r="M590" s="8"/>
      <c r="N590" s="8">
        <v>5.19</v>
      </c>
      <c r="O590" s="8"/>
      <c r="P590" s="8"/>
      <c r="Q590" s="11"/>
      <c r="R590" s="11"/>
      <c r="S590" s="8">
        <v>1.86</v>
      </c>
      <c r="T590" s="8"/>
      <c r="U590" s="8"/>
      <c r="V590" s="8"/>
      <c r="W590" s="8">
        <f>1120*9.42/1000</f>
        <v>10.5504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>
        <f>1433*9.42/1000</f>
        <v>13.498860000000001</v>
      </c>
      <c r="AN590" s="8"/>
      <c r="AO590" s="8"/>
      <c r="AP590" s="11"/>
      <c r="AQ590" s="8"/>
      <c r="AR590" s="8"/>
      <c r="AS590" s="8">
        <f>3854*9.42/1000</f>
        <v>36.304679999999998</v>
      </c>
      <c r="AT590" s="8">
        <v>485.03</v>
      </c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>
        <v>37.25</v>
      </c>
      <c r="BH590" s="9">
        <f t="shared" si="81"/>
        <v>1033.3800000000001</v>
      </c>
      <c r="BI590" s="9">
        <f t="shared" si="82"/>
        <v>5.19</v>
      </c>
      <c r="BJ590" s="9">
        <f t="shared" si="83"/>
        <v>1.86</v>
      </c>
      <c r="BK590" s="9">
        <f t="shared" si="84"/>
        <v>10.5504</v>
      </c>
      <c r="BL590" s="9">
        <f t="shared" si="85"/>
        <v>0</v>
      </c>
      <c r="BM590" s="9">
        <f t="shared" si="86"/>
        <v>49.803539999999998</v>
      </c>
      <c r="BN590" s="9">
        <f t="shared" si="87"/>
        <v>485.03</v>
      </c>
      <c r="BO590" s="9">
        <f t="shared" si="88"/>
        <v>0</v>
      </c>
      <c r="BP590" s="9">
        <f t="shared" si="89"/>
        <v>0</v>
      </c>
    </row>
    <row r="591" spans="1:68">
      <c r="A591" s="6">
        <v>44663</v>
      </c>
      <c r="B591" s="7">
        <v>3016</v>
      </c>
      <c r="C591" s="8"/>
      <c r="D591" s="8">
        <v>2375.12</v>
      </c>
      <c r="E591" s="8"/>
      <c r="F591" s="8"/>
      <c r="G591" s="8"/>
      <c r="H591" s="8"/>
      <c r="I591" s="8">
        <v>2191.33</v>
      </c>
      <c r="J591" s="8"/>
      <c r="K591" s="8"/>
      <c r="L591" s="8"/>
      <c r="M591" s="8"/>
      <c r="N591" s="8">
        <v>27.42</v>
      </c>
      <c r="O591" s="8"/>
      <c r="P591" s="8"/>
      <c r="Q591" s="11"/>
      <c r="R591" s="11"/>
      <c r="S591" s="8">
        <v>3.19</v>
      </c>
      <c r="T591" s="8">
        <v>45.73</v>
      </c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>
        <f>700*26.88/1000</f>
        <v>18.815999999999999</v>
      </c>
      <c r="AN591" s="8">
        <f>2049*26.88/1000</f>
        <v>55.077119999999994</v>
      </c>
      <c r="AO591" s="8"/>
      <c r="AP591" s="11"/>
      <c r="AQ591" s="8"/>
      <c r="AR591" s="8">
        <f>4319*26.88/1000</f>
        <v>116.09472</v>
      </c>
      <c r="AS591" s="8"/>
      <c r="AT591" s="8">
        <v>1697.7</v>
      </c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>
        <v>124.33</v>
      </c>
      <c r="BH591" s="9">
        <f t="shared" si="81"/>
        <v>4566.45</v>
      </c>
      <c r="BI591" s="9">
        <f t="shared" si="82"/>
        <v>27.42</v>
      </c>
      <c r="BJ591" s="9">
        <f t="shared" si="83"/>
        <v>3.19</v>
      </c>
      <c r="BK591" s="9">
        <f t="shared" si="84"/>
        <v>45.73</v>
      </c>
      <c r="BL591" s="9">
        <f t="shared" si="85"/>
        <v>0</v>
      </c>
      <c r="BM591" s="9">
        <f t="shared" si="86"/>
        <v>189.98784000000001</v>
      </c>
      <c r="BN591" s="9">
        <f t="shared" si="87"/>
        <v>1697.7</v>
      </c>
      <c r="BO591" s="9">
        <f t="shared" si="88"/>
        <v>0</v>
      </c>
      <c r="BP591" s="9">
        <f t="shared" si="89"/>
        <v>0</v>
      </c>
    </row>
    <row r="592" spans="1:68">
      <c r="A592" s="6">
        <v>44663</v>
      </c>
      <c r="B592" s="7">
        <v>3141</v>
      </c>
      <c r="C592" s="8">
        <v>3617.69</v>
      </c>
      <c r="D592" s="8">
        <v>638.14</v>
      </c>
      <c r="E592" s="8"/>
      <c r="F592" s="8"/>
      <c r="G592" s="8"/>
      <c r="H592" s="8"/>
      <c r="I592" s="8"/>
      <c r="J592" s="8"/>
      <c r="K592" s="8"/>
      <c r="L592" s="8"/>
      <c r="M592" s="8"/>
      <c r="N592" s="8">
        <v>11.57</v>
      </c>
      <c r="O592" s="8"/>
      <c r="P592" s="8"/>
      <c r="Q592" s="11"/>
      <c r="R592" s="11"/>
      <c r="S592" s="8">
        <v>20.010000000000002</v>
      </c>
      <c r="T592" s="8">
        <v>31.94</v>
      </c>
      <c r="U592" s="8">
        <v>31.94</v>
      </c>
      <c r="V592" s="8"/>
      <c r="W592" s="8"/>
      <c r="X592" s="8"/>
      <c r="Y592" s="8"/>
      <c r="Z592" s="8"/>
      <c r="AA592" s="8"/>
      <c r="AB592" s="8"/>
      <c r="AC592" s="8">
        <v>17.02</v>
      </c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11"/>
      <c r="AQ592" s="8"/>
      <c r="AR592" s="8"/>
      <c r="AS592" s="8"/>
      <c r="AT592" s="8">
        <v>2827.47</v>
      </c>
      <c r="AU592" s="8"/>
      <c r="AV592" s="8"/>
      <c r="AW592" s="8"/>
      <c r="AX592" s="8"/>
      <c r="AY592" s="8"/>
      <c r="AZ592" s="8"/>
      <c r="BA592" s="8">
        <v>97.46</v>
      </c>
      <c r="BB592" s="8"/>
      <c r="BC592" s="8"/>
      <c r="BD592" s="8"/>
      <c r="BE592" s="8"/>
      <c r="BF592" s="8">
        <v>297.86</v>
      </c>
      <c r="BG592" s="8">
        <v>221.46</v>
      </c>
      <c r="BH592" s="9">
        <f t="shared" si="81"/>
        <v>4255.83</v>
      </c>
      <c r="BI592" s="9">
        <f t="shared" si="82"/>
        <v>11.57</v>
      </c>
      <c r="BJ592" s="9">
        <f t="shared" si="83"/>
        <v>20.010000000000002</v>
      </c>
      <c r="BK592" s="9">
        <f t="shared" si="84"/>
        <v>63.88</v>
      </c>
      <c r="BL592" s="9">
        <f t="shared" si="85"/>
        <v>0</v>
      </c>
      <c r="BM592" s="9">
        <f t="shared" si="86"/>
        <v>17.02</v>
      </c>
      <c r="BN592" s="9">
        <f t="shared" si="87"/>
        <v>2827.47</v>
      </c>
      <c r="BO592" s="9">
        <f t="shared" si="88"/>
        <v>97.46</v>
      </c>
      <c r="BP592" s="9">
        <f t="shared" si="89"/>
        <v>297.86</v>
      </c>
    </row>
    <row r="593" spans="1:68">
      <c r="A593" s="6">
        <v>44664</v>
      </c>
      <c r="B593" s="7">
        <v>3101</v>
      </c>
      <c r="C593" s="8">
        <v>319.02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>
        <v>1.23</v>
      </c>
      <c r="O593" s="8"/>
      <c r="P593" s="8"/>
      <c r="Q593" s="11"/>
      <c r="R593" s="11"/>
      <c r="S593" s="8">
        <v>3.6</v>
      </c>
      <c r="T593" s="8"/>
      <c r="U593" s="8">
        <v>9.94</v>
      </c>
      <c r="V593" s="8"/>
      <c r="W593" s="8"/>
      <c r="X593" s="8"/>
      <c r="Y593" s="8"/>
      <c r="Z593" s="8"/>
      <c r="AA593" s="8"/>
      <c r="AB593" s="8"/>
      <c r="AC593" s="8">
        <v>2.48</v>
      </c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11"/>
      <c r="AQ593" s="8"/>
      <c r="AR593" s="8"/>
      <c r="AS593" s="8"/>
      <c r="AT593" s="8">
        <v>417.48</v>
      </c>
      <c r="AU593" s="8"/>
      <c r="AV593" s="8"/>
      <c r="AW593" s="8">
        <v>13.22</v>
      </c>
      <c r="AX593" s="8"/>
      <c r="AY593" s="8"/>
      <c r="AZ593" s="8"/>
      <c r="BA593" s="8"/>
      <c r="BB593" s="8"/>
      <c r="BC593" s="8"/>
      <c r="BD593" s="8"/>
      <c r="BE593" s="8"/>
      <c r="BF593" s="8">
        <v>80.650000000000006</v>
      </c>
      <c r="BG593" s="8">
        <v>31.9</v>
      </c>
      <c r="BH593" s="9">
        <f t="shared" si="81"/>
        <v>319.02</v>
      </c>
      <c r="BI593" s="9">
        <f t="shared" si="82"/>
        <v>1.23</v>
      </c>
      <c r="BJ593" s="9">
        <f t="shared" si="83"/>
        <v>3.6</v>
      </c>
      <c r="BK593" s="9">
        <f t="shared" si="84"/>
        <v>9.94</v>
      </c>
      <c r="BL593" s="9">
        <f t="shared" si="85"/>
        <v>0</v>
      </c>
      <c r="BM593" s="9">
        <f t="shared" si="86"/>
        <v>2.48</v>
      </c>
      <c r="BN593" s="9">
        <f t="shared" si="87"/>
        <v>417.48</v>
      </c>
      <c r="BO593" s="9">
        <f t="shared" si="88"/>
        <v>13.22</v>
      </c>
      <c r="BP593" s="9">
        <f t="shared" si="89"/>
        <v>80.650000000000006</v>
      </c>
    </row>
    <row r="594" spans="1:68">
      <c r="A594" s="6">
        <v>44664</v>
      </c>
      <c r="B594" s="7">
        <v>3139</v>
      </c>
      <c r="C594" s="8">
        <v>1598.88</v>
      </c>
      <c r="D594" s="8"/>
      <c r="E594" s="8"/>
      <c r="F594" s="8"/>
      <c r="G594" s="8"/>
      <c r="H594" s="8">
        <v>662.86</v>
      </c>
      <c r="I594" s="8"/>
      <c r="J594" s="8"/>
      <c r="K594" s="8"/>
      <c r="L594" s="8"/>
      <c r="M594" s="8"/>
      <c r="N594" s="8">
        <v>3.74</v>
      </c>
      <c r="O594" s="8"/>
      <c r="P594" s="8"/>
      <c r="Q594" s="11"/>
      <c r="R594" s="11"/>
      <c r="S594" s="8">
        <v>6.71</v>
      </c>
      <c r="T594" s="8">
        <v>23.62</v>
      </c>
      <c r="U594" s="8"/>
      <c r="V594" s="8"/>
      <c r="W594" s="8"/>
      <c r="X594" s="8"/>
      <c r="Y594" s="8"/>
      <c r="Z594" s="8"/>
      <c r="AA594" s="8"/>
      <c r="AB594" s="8"/>
      <c r="AC594" s="8">
        <v>7.88</v>
      </c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11"/>
      <c r="AQ594" s="8"/>
      <c r="AR594" s="8"/>
      <c r="AS594" s="8"/>
      <c r="AT594" s="8">
        <v>1167.3800000000001</v>
      </c>
      <c r="AU594" s="8"/>
      <c r="AV594" s="8">
        <v>39.36</v>
      </c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>
        <v>84.71</v>
      </c>
      <c r="BH594" s="9">
        <f t="shared" si="81"/>
        <v>2261.7400000000002</v>
      </c>
      <c r="BI594" s="9">
        <f t="shared" si="82"/>
        <v>3.74</v>
      </c>
      <c r="BJ594" s="9">
        <f t="shared" si="83"/>
        <v>6.71</v>
      </c>
      <c r="BK594" s="9">
        <f t="shared" si="84"/>
        <v>23.62</v>
      </c>
      <c r="BL594" s="9">
        <f t="shared" si="85"/>
        <v>0</v>
      </c>
      <c r="BM594" s="9">
        <f t="shared" si="86"/>
        <v>7.88</v>
      </c>
      <c r="BN594" s="9">
        <f t="shared" si="87"/>
        <v>1167.3800000000001</v>
      </c>
      <c r="BO594" s="9">
        <f t="shared" si="88"/>
        <v>39.36</v>
      </c>
      <c r="BP594" s="9">
        <f t="shared" si="89"/>
        <v>0</v>
      </c>
    </row>
    <row r="595" spans="1:68">
      <c r="A595" s="6">
        <v>44664</v>
      </c>
      <c r="B595" s="7">
        <v>3117</v>
      </c>
      <c r="C595" s="8">
        <v>125.26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>
        <v>0.28000000000000003</v>
      </c>
      <c r="O595" s="8"/>
      <c r="P595" s="8"/>
      <c r="Q595" s="11"/>
      <c r="R595" s="11"/>
      <c r="S595" s="8">
        <v>0.44</v>
      </c>
      <c r="T595" s="8">
        <v>1.26</v>
      </c>
      <c r="U595" s="8"/>
      <c r="V595" s="8"/>
      <c r="W595" s="8"/>
      <c r="X595" s="8"/>
      <c r="Y595" s="8"/>
      <c r="Z595" s="8"/>
      <c r="AA595" s="8"/>
      <c r="AB595" s="8"/>
      <c r="AC595" s="8">
        <v>0.5</v>
      </c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11"/>
      <c r="AQ595" s="8"/>
      <c r="AR595" s="8"/>
      <c r="AS595" s="8"/>
      <c r="AT595" s="8">
        <v>79.47</v>
      </c>
      <c r="AU595" s="8"/>
      <c r="AV595" s="8">
        <v>3.13</v>
      </c>
      <c r="AW595" s="8"/>
      <c r="AX595" s="8"/>
      <c r="AY595" s="8"/>
      <c r="AZ595" s="8"/>
      <c r="BA595" s="8"/>
      <c r="BB595" s="8"/>
      <c r="BC595" s="8"/>
      <c r="BD595" s="8"/>
      <c r="BE595" s="8"/>
      <c r="BF595" s="8">
        <v>5.0199999999999996</v>
      </c>
      <c r="BG595" s="8">
        <v>6.02</v>
      </c>
      <c r="BH595" s="9">
        <f t="shared" si="81"/>
        <v>125.26</v>
      </c>
      <c r="BI595" s="9">
        <f t="shared" si="82"/>
        <v>0.28000000000000003</v>
      </c>
      <c r="BJ595" s="9">
        <f t="shared" si="83"/>
        <v>0.44</v>
      </c>
      <c r="BK595" s="9">
        <f t="shared" si="84"/>
        <v>1.26</v>
      </c>
      <c r="BL595" s="9">
        <f t="shared" si="85"/>
        <v>0</v>
      </c>
      <c r="BM595" s="9">
        <f t="shared" si="86"/>
        <v>0.5</v>
      </c>
      <c r="BN595" s="9">
        <f t="shared" si="87"/>
        <v>79.47</v>
      </c>
      <c r="BO595" s="9">
        <f t="shared" si="88"/>
        <v>3.13</v>
      </c>
      <c r="BP595" s="9">
        <f t="shared" si="89"/>
        <v>5.0199999999999996</v>
      </c>
    </row>
    <row r="596" spans="1:68">
      <c r="A596" s="6">
        <v>44664</v>
      </c>
      <c r="B596" s="7">
        <v>3204</v>
      </c>
      <c r="C596" s="8"/>
      <c r="D596" s="8">
        <v>1780.64</v>
      </c>
      <c r="E596" s="8">
        <v>763.36</v>
      </c>
      <c r="F596" s="8"/>
      <c r="G596" s="8"/>
      <c r="H596" s="8"/>
      <c r="I596" s="8"/>
      <c r="J596" s="8"/>
      <c r="K596" s="8"/>
      <c r="L596" s="8"/>
      <c r="M596" s="8"/>
      <c r="N596" s="8"/>
      <c r="O596" s="8">
        <v>12.71</v>
      </c>
      <c r="P596" s="8"/>
      <c r="Q596" s="11"/>
      <c r="R596" s="11"/>
      <c r="S596" s="8">
        <v>8.65</v>
      </c>
      <c r="T596" s="8">
        <v>15.28</v>
      </c>
      <c r="U596" s="8">
        <v>12.73</v>
      </c>
      <c r="V596" s="8"/>
      <c r="W596" s="8"/>
      <c r="X596" s="8"/>
      <c r="Y596" s="8"/>
      <c r="Z596" s="8">
        <v>381.99</v>
      </c>
      <c r="AA596" s="8"/>
      <c r="AB596" s="8">
        <f>713*18.18/1000</f>
        <v>12.962339999999999</v>
      </c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11"/>
      <c r="AQ596" s="8"/>
      <c r="AR596" s="8"/>
      <c r="AS596" s="8"/>
      <c r="AT596" s="8">
        <v>1122.1400000000001</v>
      </c>
      <c r="AU596" s="8"/>
      <c r="AV596" s="8"/>
      <c r="AW596" s="8">
        <v>8.17</v>
      </c>
      <c r="AX596" s="8"/>
      <c r="AY596" s="8"/>
      <c r="AZ596" s="8"/>
      <c r="BA596" s="8"/>
      <c r="BB596" s="8"/>
      <c r="BC596" s="8"/>
      <c r="BD596" s="8"/>
      <c r="BE596" s="8"/>
      <c r="BF596" s="8"/>
      <c r="BG596" s="8">
        <v>82.76</v>
      </c>
      <c r="BH596" s="9">
        <f t="shared" si="81"/>
        <v>2544</v>
      </c>
      <c r="BI596" s="9">
        <f t="shared" si="82"/>
        <v>12.71</v>
      </c>
      <c r="BJ596" s="9">
        <f t="shared" si="83"/>
        <v>8.65</v>
      </c>
      <c r="BK596" s="9">
        <f t="shared" si="84"/>
        <v>28.009999999999998</v>
      </c>
      <c r="BL596" s="9">
        <f t="shared" si="85"/>
        <v>381.99</v>
      </c>
      <c r="BM596" s="9">
        <f t="shared" si="86"/>
        <v>12.962339999999999</v>
      </c>
      <c r="BN596" s="9">
        <f t="shared" si="87"/>
        <v>1122.1400000000001</v>
      </c>
      <c r="BO596" s="9">
        <f t="shared" si="88"/>
        <v>8.17</v>
      </c>
      <c r="BP596" s="9">
        <f t="shared" si="89"/>
        <v>0</v>
      </c>
    </row>
    <row r="597" spans="1:68">
      <c r="A597" s="6">
        <v>44664</v>
      </c>
      <c r="B597" s="7">
        <v>3307</v>
      </c>
      <c r="C597" s="8"/>
      <c r="D597" s="8">
        <v>1893.18</v>
      </c>
      <c r="E597" s="8"/>
      <c r="F597" s="8"/>
      <c r="G597" s="8"/>
      <c r="H597" s="8"/>
      <c r="I597" s="8"/>
      <c r="J597" s="8"/>
      <c r="K597" s="8"/>
      <c r="L597" s="8"/>
      <c r="M597" s="8">
        <v>2.4700000000000002</v>
      </c>
      <c r="N597" s="8"/>
      <c r="O597" s="8"/>
      <c r="P597" s="8"/>
      <c r="Q597" s="11"/>
      <c r="R597" s="11"/>
      <c r="S597" s="8">
        <v>13.84</v>
      </c>
      <c r="T597" s="8">
        <v>19</v>
      </c>
      <c r="U597" s="8"/>
      <c r="V597" s="8"/>
      <c r="W597" s="8"/>
      <c r="X597" s="8"/>
      <c r="Y597" s="8"/>
      <c r="Z597" s="8"/>
      <c r="AA597" s="8"/>
      <c r="AB597" s="8"/>
      <c r="AC597" s="8">
        <v>11.38</v>
      </c>
      <c r="AD597" s="8"/>
      <c r="AE597" s="8"/>
      <c r="AF597" s="8"/>
      <c r="AG597" s="8">
        <v>19.04</v>
      </c>
      <c r="AH597" s="8"/>
      <c r="AI597" s="8"/>
      <c r="AJ597" s="8"/>
      <c r="AK597" s="8"/>
      <c r="AL597" s="8"/>
      <c r="AM597" s="8"/>
      <c r="AN597" s="8"/>
      <c r="AO597" s="8"/>
      <c r="AP597" s="11"/>
      <c r="AQ597" s="8"/>
      <c r="AR597" s="8"/>
      <c r="AS597" s="8"/>
      <c r="AT597" s="8"/>
      <c r="AU597" s="8">
        <v>950.15</v>
      </c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>
        <v>68.150000000000006</v>
      </c>
      <c r="BH597" s="9">
        <f t="shared" si="81"/>
        <v>1893.18</v>
      </c>
      <c r="BI597" s="9">
        <f t="shared" si="82"/>
        <v>2.4700000000000002</v>
      </c>
      <c r="BJ597" s="9">
        <f t="shared" si="83"/>
        <v>13.84</v>
      </c>
      <c r="BK597" s="9">
        <f t="shared" si="84"/>
        <v>19</v>
      </c>
      <c r="BL597" s="9">
        <f t="shared" si="85"/>
        <v>0</v>
      </c>
      <c r="BM597" s="9">
        <f t="shared" si="86"/>
        <v>30.42</v>
      </c>
      <c r="BN597" s="9">
        <f t="shared" si="87"/>
        <v>950.15</v>
      </c>
      <c r="BO597" s="9">
        <f t="shared" si="88"/>
        <v>0</v>
      </c>
      <c r="BP597" s="9">
        <f t="shared" si="89"/>
        <v>0</v>
      </c>
    </row>
    <row r="598" spans="1:68">
      <c r="A598" s="6">
        <v>44664</v>
      </c>
      <c r="B598" s="7">
        <v>3200</v>
      </c>
      <c r="C598" s="8">
        <v>2262.85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>
        <v>5.67</v>
      </c>
      <c r="P598" s="8"/>
      <c r="Q598" s="11"/>
      <c r="R598" s="11"/>
      <c r="S598" s="8">
        <v>8.84</v>
      </c>
      <c r="T598" s="8"/>
      <c r="U598" s="8">
        <v>34</v>
      </c>
      <c r="V598" s="8"/>
      <c r="W598" s="8"/>
      <c r="X598" s="8"/>
      <c r="Y598" s="8"/>
      <c r="Z598" s="8">
        <v>475.61</v>
      </c>
      <c r="AA598" s="8"/>
      <c r="AB598" s="8"/>
      <c r="AC598" s="8"/>
      <c r="AD598" s="8"/>
      <c r="AE598" s="8">
        <f>1519*22.65/1000</f>
        <v>34.405349999999999</v>
      </c>
      <c r="AF598" s="8">
        <v>112.7</v>
      </c>
      <c r="AG598" s="8"/>
      <c r="AH598" s="8"/>
      <c r="AI598" s="8"/>
      <c r="AJ598" s="8"/>
      <c r="AK598" s="8"/>
      <c r="AL598" s="8"/>
      <c r="AM598" s="8"/>
      <c r="AN598" s="8"/>
      <c r="AO598" s="8"/>
      <c r="AP598" s="11"/>
      <c r="AQ598" s="8"/>
      <c r="AR598" s="8"/>
      <c r="AS598" s="8"/>
      <c r="AT598" s="8">
        <v>1550.14</v>
      </c>
      <c r="AU598" s="8"/>
      <c r="AV598" s="8"/>
      <c r="AW598" s="8">
        <v>6.67</v>
      </c>
      <c r="AX598" s="8"/>
      <c r="AY598" s="8"/>
      <c r="AZ598" s="8"/>
      <c r="BA598" s="8"/>
      <c r="BB598" s="8"/>
      <c r="BC598" s="8"/>
      <c r="BD598" s="8"/>
      <c r="BE598" s="8"/>
      <c r="BF598" s="8">
        <v>108.67</v>
      </c>
      <c r="BG598" s="8">
        <v>112.33</v>
      </c>
      <c r="BH598" s="9">
        <f t="shared" si="81"/>
        <v>2262.85</v>
      </c>
      <c r="BI598" s="9">
        <f t="shared" si="82"/>
        <v>5.67</v>
      </c>
      <c r="BJ598" s="9">
        <f t="shared" si="83"/>
        <v>8.84</v>
      </c>
      <c r="BK598" s="9">
        <f t="shared" si="84"/>
        <v>34</v>
      </c>
      <c r="BL598" s="9">
        <f t="shared" si="85"/>
        <v>475.61</v>
      </c>
      <c r="BM598" s="9">
        <f t="shared" si="86"/>
        <v>147.10534999999999</v>
      </c>
      <c r="BN598" s="9">
        <f t="shared" si="87"/>
        <v>1550.14</v>
      </c>
      <c r="BO598" s="9">
        <f t="shared" si="88"/>
        <v>6.67</v>
      </c>
      <c r="BP598" s="9">
        <f t="shared" si="89"/>
        <v>108.67</v>
      </c>
    </row>
    <row r="599" spans="1:68">
      <c r="A599" s="6">
        <v>44664</v>
      </c>
      <c r="B599" s="7">
        <v>3433</v>
      </c>
      <c r="C599" s="8">
        <v>2058.19</v>
      </c>
      <c r="D599" s="8"/>
      <c r="E599" s="8"/>
      <c r="F599" s="8"/>
      <c r="G599" s="8"/>
      <c r="H599" s="8"/>
      <c r="I599" s="8"/>
      <c r="J599" s="8"/>
      <c r="K599" s="8"/>
      <c r="L599" s="8"/>
      <c r="M599" s="8">
        <v>5.52</v>
      </c>
      <c r="N599" s="8"/>
      <c r="O599" s="8"/>
      <c r="P599" s="8"/>
      <c r="Q599" s="11"/>
      <c r="R599" s="11"/>
      <c r="S599" s="8">
        <v>8.24</v>
      </c>
      <c r="T599" s="8"/>
      <c r="U599" s="8"/>
      <c r="V599" s="8"/>
      <c r="W599" s="8"/>
      <c r="X599" s="8">
        <f>868*24.22/1000</f>
        <v>21.022959999999998</v>
      </c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11"/>
      <c r="AQ599" s="8"/>
      <c r="AR599" s="8"/>
      <c r="AS599" s="8"/>
      <c r="AT599" s="8">
        <v>934.58</v>
      </c>
      <c r="AU599" s="8"/>
      <c r="AV599" s="8"/>
      <c r="AW599" s="8"/>
      <c r="AX599" s="8"/>
      <c r="AY599" s="8"/>
      <c r="AZ599" s="8"/>
      <c r="BA599" s="8">
        <v>9.2100000000000009</v>
      </c>
      <c r="BB599" s="8"/>
      <c r="BC599" s="8"/>
      <c r="BD599" s="8"/>
      <c r="BE599" s="8"/>
      <c r="BF599" s="8">
        <v>103.04</v>
      </c>
      <c r="BG599" s="8">
        <v>69.36</v>
      </c>
      <c r="BH599" s="9">
        <f t="shared" si="81"/>
        <v>2058.19</v>
      </c>
      <c r="BI599" s="9">
        <f t="shared" si="82"/>
        <v>5.52</v>
      </c>
      <c r="BJ599" s="9">
        <f t="shared" si="83"/>
        <v>8.24</v>
      </c>
      <c r="BK599" s="9">
        <f t="shared" si="84"/>
        <v>21.022959999999998</v>
      </c>
      <c r="BL599" s="9">
        <f t="shared" si="85"/>
        <v>0</v>
      </c>
      <c r="BM599" s="9">
        <f t="shared" si="86"/>
        <v>0</v>
      </c>
      <c r="BN599" s="9">
        <f t="shared" si="87"/>
        <v>934.58</v>
      </c>
      <c r="BO599" s="9">
        <f t="shared" si="88"/>
        <v>9.2100000000000009</v>
      </c>
      <c r="BP599" s="9">
        <f t="shared" si="89"/>
        <v>103.04</v>
      </c>
    </row>
    <row r="600" spans="1:68">
      <c r="A600" s="6">
        <v>44664</v>
      </c>
      <c r="B600" s="7">
        <v>3134</v>
      </c>
      <c r="C600" s="8">
        <v>1057.99</v>
      </c>
      <c r="D600" s="8">
        <v>148.54</v>
      </c>
      <c r="E600" s="8"/>
      <c r="F600" s="8"/>
      <c r="G600" s="8"/>
      <c r="H600" s="8">
        <v>499.42</v>
      </c>
      <c r="I600" s="8"/>
      <c r="J600" s="8"/>
      <c r="K600" s="8"/>
      <c r="L600" s="8"/>
      <c r="M600" s="8"/>
      <c r="N600" s="8">
        <v>3.26</v>
      </c>
      <c r="O600" s="8"/>
      <c r="P600" s="8"/>
      <c r="Q600" s="11"/>
      <c r="R600" s="11"/>
      <c r="S600" s="8">
        <v>6.86</v>
      </c>
      <c r="T600" s="8">
        <v>10.44</v>
      </c>
      <c r="U600" s="8">
        <v>8.94</v>
      </c>
      <c r="V600" s="8"/>
      <c r="W600" s="8"/>
      <c r="X600" s="8"/>
      <c r="Y600" s="8"/>
      <c r="Z600" s="8"/>
      <c r="AA600" s="8"/>
      <c r="AB600" s="8"/>
      <c r="AC600" s="8">
        <v>5.95</v>
      </c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11"/>
      <c r="AQ600" s="8"/>
      <c r="AR600" s="8"/>
      <c r="AS600" s="8"/>
      <c r="AT600" s="8">
        <v>1050.08</v>
      </c>
      <c r="AU600" s="8"/>
      <c r="AV600" s="8"/>
      <c r="AW600" s="8"/>
      <c r="AX600" s="8"/>
      <c r="AY600" s="8">
        <f>1411*10.63/1000</f>
        <v>14.99893</v>
      </c>
      <c r="AZ600" s="8"/>
      <c r="BA600" s="8"/>
      <c r="BB600" s="8"/>
      <c r="BC600" s="8"/>
      <c r="BD600" s="8"/>
      <c r="BE600" s="8"/>
      <c r="BF600" s="8">
        <v>67.05</v>
      </c>
      <c r="BG600" s="8">
        <v>78.849999999999994</v>
      </c>
      <c r="BH600" s="9">
        <f t="shared" si="81"/>
        <v>1705.95</v>
      </c>
      <c r="BI600" s="9">
        <f t="shared" si="82"/>
        <v>3.26</v>
      </c>
      <c r="BJ600" s="9">
        <f t="shared" si="83"/>
        <v>6.86</v>
      </c>
      <c r="BK600" s="9">
        <f t="shared" si="84"/>
        <v>19.38</v>
      </c>
      <c r="BL600" s="9">
        <f t="shared" si="85"/>
        <v>0</v>
      </c>
      <c r="BM600" s="9">
        <f t="shared" si="86"/>
        <v>5.95</v>
      </c>
      <c r="BN600" s="9">
        <f t="shared" si="87"/>
        <v>1050.08</v>
      </c>
      <c r="BO600" s="9">
        <f t="shared" si="88"/>
        <v>14.99893</v>
      </c>
      <c r="BP600" s="9">
        <f t="shared" si="89"/>
        <v>67.05</v>
      </c>
    </row>
    <row r="601" spans="1:68">
      <c r="A601" s="6">
        <v>44664</v>
      </c>
      <c r="B601" s="7">
        <v>3113</v>
      </c>
      <c r="C601" s="8">
        <v>1537.93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>
        <v>2.78</v>
      </c>
      <c r="O601" s="8"/>
      <c r="P601" s="8"/>
      <c r="Q601" s="11"/>
      <c r="R601" s="11"/>
      <c r="S601" s="8">
        <v>4.63</v>
      </c>
      <c r="T601" s="8">
        <v>15.37</v>
      </c>
      <c r="U601" s="8"/>
      <c r="V601" s="8"/>
      <c r="W601" s="8"/>
      <c r="X601" s="8"/>
      <c r="Y601" s="8"/>
      <c r="Z601" s="8"/>
      <c r="AA601" s="8"/>
      <c r="AB601" s="8"/>
      <c r="AC601" s="8">
        <v>6.15</v>
      </c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11"/>
      <c r="AQ601" s="8"/>
      <c r="AR601" s="8"/>
      <c r="AS601" s="8"/>
      <c r="AT601" s="8">
        <v>645.89</v>
      </c>
      <c r="AU601" s="8"/>
      <c r="AV601" s="8">
        <v>52.37</v>
      </c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>
        <v>46.3</v>
      </c>
      <c r="BH601" s="9">
        <f t="shared" si="81"/>
        <v>1537.93</v>
      </c>
      <c r="BI601" s="9">
        <f t="shared" si="82"/>
        <v>2.78</v>
      </c>
      <c r="BJ601" s="9">
        <f t="shared" si="83"/>
        <v>4.63</v>
      </c>
      <c r="BK601" s="9">
        <f t="shared" si="84"/>
        <v>15.37</v>
      </c>
      <c r="BL601" s="9">
        <f t="shared" si="85"/>
        <v>0</v>
      </c>
      <c r="BM601" s="9">
        <f t="shared" si="86"/>
        <v>6.15</v>
      </c>
      <c r="BN601" s="9">
        <f t="shared" si="87"/>
        <v>645.89</v>
      </c>
      <c r="BO601" s="9">
        <f t="shared" si="88"/>
        <v>52.37</v>
      </c>
      <c r="BP601" s="9">
        <f t="shared" si="89"/>
        <v>0</v>
      </c>
    </row>
    <row r="602" spans="1:68">
      <c r="A602" s="6">
        <v>44664</v>
      </c>
      <c r="B602" s="7">
        <v>3106</v>
      </c>
      <c r="C602" s="8">
        <v>4167.3900000000003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>
        <v>10.95</v>
      </c>
      <c r="O602" s="8"/>
      <c r="P602" s="8"/>
      <c r="Q602" s="11"/>
      <c r="R602" s="11"/>
      <c r="S602" s="8">
        <v>12.69</v>
      </c>
      <c r="T602" s="8">
        <v>52.91</v>
      </c>
      <c r="U602" s="8"/>
      <c r="V602" s="8"/>
      <c r="W602" s="8"/>
      <c r="X602" s="8"/>
      <c r="Y602" s="8"/>
      <c r="Z602" s="8"/>
      <c r="AA602" s="8"/>
      <c r="AB602" s="8"/>
      <c r="AC602" s="8">
        <v>16.68</v>
      </c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11"/>
      <c r="AQ602" s="8"/>
      <c r="AR602" s="8"/>
      <c r="AS602" s="8"/>
      <c r="AT602" s="8">
        <v>2387.5100000000002</v>
      </c>
      <c r="AU602" s="8"/>
      <c r="AV602" s="8"/>
      <c r="AW602" s="8"/>
      <c r="AX602" s="8">
        <v>5.22</v>
      </c>
      <c r="AY602" s="8"/>
      <c r="AZ602" s="8"/>
      <c r="BA602" s="8"/>
      <c r="BB602" s="8"/>
      <c r="BC602" s="8"/>
      <c r="BD602" s="8"/>
      <c r="BE602" s="8"/>
      <c r="BF602" s="8"/>
      <c r="BG602" s="8">
        <v>179.45</v>
      </c>
      <c r="BH602" s="9">
        <f t="shared" si="81"/>
        <v>4167.3900000000003</v>
      </c>
      <c r="BI602" s="9">
        <f t="shared" si="82"/>
        <v>10.95</v>
      </c>
      <c r="BJ602" s="9">
        <f t="shared" si="83"/>
        <v>12.69</v>
      </c>
      <c r="BK602" s="9">
        <f t="shared" si="84"/>
        <v>52.91</v>
      </c>
      <c r="BL602" s="9">
        <f t="shared" si="85"/>
        <v>0</v>
      </c>
      <c r="BM602" s="9">
        <f t="shared" si="86"/>
        <v>16.68</v>
      </c>
      <c r="BN602" s="9">
        <f t="shared" si="87"/>
        <v>2387.5100000000002</v>
      </c>
      <c r="BO602" s="9">
        <f t="shared" si="88"/>
        <v>5.22</v>
      </c>
      <c r="BP602" s="9">
        <f t="shared" si="89"/>
        <v>0</v>
      </c>
    </row>
    <row r="603" spans="1:68">
      <c r="A603" s="6">
        <v>44665</v>
      </c>
      <c r="B603" s="7">
        <v>3023</v>
      </c>
      <c r="C603" s="8"/>
      <c r="D603" s="8">
        <v>888.38</v>
      </c>
      <c r="E603" s="8"/>
      <c r="F603" s="8"/>
      <c r="G603" s="8"/>
      <c r="H603" s="8"/>
      <c r="I603" s="8">
        <v>478.22</v>
      </c>
      <c r="J603" s="8"/>
      <c r="K603" s="8"/>
      <c r="L603" s="8"/>
      <c r="M603" s="8"/>
      <c r="N603" s="8">
        <v>7.64</v>
      </c>
      <c r="O603" s="8"/>
      <c r="P603" s="8"/>
      <c r="Q603" s="11"/>
      <c r="R603" s="11"/>
      <c r="S603" s="8">
        <v>2.19</v>
      </c>
      <c r="T603" s="8"/>
      <c r="U603" s="8"/>
      <c r="V603" s="8"/>
      <c r="W603" s="8">
        <f>1322*9.4/1000</f>
        <v>12.426800000000002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>
        <f>1461*9.4/1000</f>
        <v>13.7334</v>
      </c>
      <c r="AN603" s="8">
        <f>1029*9.4/1000</f>
        <v>9.672600000000001</v>
      </c>
      <c r="AO603" s="8"/>
      <c r="AP603" s="11"/>
      <c r="AQ603" s="8"/>
      <c r="AR603" s="8"/>
      <c r="AS603" s="8">
        <f>4727*9.4/1000</f>
        <v>44.433800000000005</v>
      </c>
      <c r="AT603" s="8">
        <v>559.65</v>
      </c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42.32</v>
      </c>
      <c r="BH603" s="9">
        <f t="shared" si="81"/>
        <v>1366.6</v>
      </c>
      <c r="BI603" s="9">
        <f t="shared" si="82"/>
        <v>7.64</v>
      </c>
      <c r="BJ603" s="9">
        <f t="shared" si="83"/>
        <v>2.19</v>
      </c>
      <c r="BK603" s="9">
        <f t="shared" si="84"/>
        <v>12.426800000000002</v>
      </c>
      <c r="BL603" s="9">
        <f t="shared" si="85"/>
        <v>0</v>
      </c>
      <c r="BM603" s="9">
        <f t="shared" si="86"/>
        <v>67.839799999999997</v>
      </c>
      <c r="BN603" s="9">
        <f t="shared" si="87"/>
        <v>559.65</v>
      </c>
      <c r="BO603" s="9">
        <f t="shared" si="88"/>
        <v>0</v>
      </c>
      <c r="BP603" s="9">
        <f t="shared" si="89"/>
        <v>0</v>
      </c>
    </row>
    <row r="604" spans="1:68">
      <c r="A604" s="6">
        <v>44665</v>
      </c>
      <c r="B604" s="7">
        <v>3025</v>
      </c>
      <c r="C604" s="8"/>
      <c r="D604" s="8">
        <v>202.04</v>
      </c>
      <c r="E604" s="8"/>
      <c r="F604" s="8"/>
      <c r="G604" s="8"/>
      <c r="H604" s="8"/>
      <c r="I604" s="8">
        <v>1141.24</v>
      </c>
      <c r="J604" s="8"/>
      <c r="K604" s="8"/>
      <c r="L604" s="8"/>
      <c r="M604" s="8"/>
      <c r="N604" s="8">
        <v>7.25</v>
      </c>
      <c r="O604" s="8"/>
      <c r="P604" s="8"/>
      <c r="Q604" s="11"/>
      <c r="R604" s="11"/>
      <c r="S604" s="8">
        <v>2.16</v>
      </c>
      <c r="T604" s="8"/>
      <c r="U604" s="8"/>
      <c r="V604" s="8"/>
      <c r="W604" s="8">
        <f>900*13.45/1000</f>
        <v>12.105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>
        <f>1011*13.45/1000</f>
        <v>13.597949999999999</v>
      </c>
      <c r="AN604" s="8">
        <f>702*13.45/1000</f>
        <v>9.4419000000000004</v>
      </c>
      <c r="AO604" s="8"/>
      <c r="AP604" s="11"/>
      <c r="AQ604" s="8"/>
      <c r="AR604" s="8"/>
      <c r="AS604" s="8">
        <f>3321*13.45/1000</f>
        <v>44.667449999999995</v>
      </c>
      <c r="AT604" s="8">
        <v>465.76</v>
      </c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>
        <v>30.87</v>
      </c>
      <c r="BH604" s="9">
        <f t="shared" si="81"/>
        <v>1343.28</v>
      </c>
      <c r="BI604" s="9">
        <f t="shared" si="82"/>
        <v>7.25</v>
      </c>
      <c r="BJ604" s="9">
        <f t="shared" si="83"/>
        <v>2.16</v>
      </c>
      <c r="BK604" s="9">
        <f t="shared" si="84"/>
        <v>12.105</v>
      </c>
      <c r="BL604" s="9">
        <f t="shared" si="85"/>
        <v>0</v>
      </c>
      <c r="BM604" s="9">
        <f t="shared" si="86"/>
        <v>67.707300000000004</v>
      </c>
      <c r="BN604" s="9">
        <f t="shared" si="87"/>
        <v>465.76</v>
      </c>
      <c r="BO604" s="9">
        <f t="shared" si="88"/>
        <v>0</v>
      </c>
      <c r="BP604" s="9">
        <f t="shared" si="89"/>
        <v>0</v>
      </c>
    </row>
    <row r="605" spans="1:68">
      <c r="A605" s="6">
        <v>44665</v>
      </c>
      <c r="B605" s="7">
        <v>3029</v>
      </c>
      <c r="C605" s="8"/>
      <c r="D605" s="8">
        <v>472.29</v>
      </c>
      <c r="E605" s="8"/>
      <c r="F605" s="8">
        <v>333.18</v>
      </c>
      <c r="G605" s="8"/>
      <c r="H605" s="8"/>
      <c r="I605" s="8">
        <v>1974.26</v>
      </c>
      <c r="J605" s="8"/>
      <c r="K605" s="8"/>
      <c r="L605" s="8"/>
      <c r="M605" s="8"/>
      <c r="N605" s="8">
        <v>20.87</v>
      </c>
      <c r="O605" s="8"/>
      <c r="P605" s="8"/>
      <c r="Q605" s="11"/>
      <c r="R605" s="11"/>
      <c r="S605" s="8">
        <v>1.66</v>
      </c>
      <c r="T605" s="8"/>
      <c r="U605" s="8"/>
      <c r="V605" s="8"/>
      <c r="W605" s="8">
        <f>1519*18.55/1000</f>
        <v>28.17745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>
        <f>534*18.55/1000</f>
        <v>9.9057000000000013</v>
      </c>
      <c r="AN605" s="8">
        <f>758*18.55/1000</f>
        <v>14.0609</v>
      </c>
      <c r="AO605" s="8"/>
      <c r="AP605" s="11"/>
      <c r="AQ605" s="8"/>
      <c r="AR605" s="8">
        <f>4595*18.55/1000</f>
        <v>85.237250000000003</v>
      </c>
      <c r="AS605" s="8"/>
      <c r="AT605" s="8">
        <v>1054.46</v>
      </c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>
        <v>73.53</v>
      </c>
      <c r="BH605" s="9">
        <f t="shared" si="81"/>
        <v>2779.73</v>
      </c>
      <c r="BI605" s="9">
        <f t="shared" si="82"/>
        <v>20.87</v>
      </c>
      <c r="BJ605" s="9">
        <f t="shared" si="83"/>
        <v>1.66</v>
      </c>
      <c r="BK605" s="9">
        <f t="shared" si="84"/>
        <v>28.17745</v>
      </c>
      <c r="BL605" s="9">
        <f t="shared" si="85"/>
        <v>0</v>
      </c>
      <c r="BM605" s="9">
        <f t="shared" si="86"/>
        <v>109.20385</v>
      </c>
      <c r="BN605" s="9">
        <f t="shared" si="87"/>
        <v>1054.46</v>
      </c>
      <c r="BO605" s="9">
        <f t="shared" si="88"/>
        <v>0</v>
      </c>
      <c r="BP605" s="9">
        <f t="shared" si="89"/>
        <v>0</v>
      </c>
    </row>
    <row r="606" spans="1:68">
      <c r="A606" s="6">
        <v>44665</v>
      </c>
      <c r="B606" s="7">
        <v>3080</v>
      </c>
      <c r="C606" s="8"/>
      <c r="D606" s="8"/>
      <c r="E606" s="8"/>
      <c r="F606" s="8">
        <v>757.5</v>
      </c>
      <c r="G606" s="8"/>
      <c r="H606" s="8"/>
      <c r="I606" s="8">
        <v>1140.23</v>
      </c>
      <c r="J606" s="8"/>
      <c r="K606" s="8"/>
      <c r="L606" s="8"/>
      <c r="M606" s="8"/>
      <c r="N606" s="8">
        <v>13.44</v>
      </c>
      <c r="O606" s="8"/>
      <c r="P606" s="8">
        <f>628*12.37/1000</f>
        <v>7.7683599999999995</v>
      </c>
      <c r="Q606" s="11"/>
      <c r="R606" s="11"/>
      <c r="S606" s="8">
        <v>1.1499999999999999</v>
      </c>
      <c r="T606" s="8">
        <v>19.190000000000001</v>
      </c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>
        <f>2333*12.37/1000</f>
        <v>28.859209999999997</v>
      </c>
      <c r="AJ606" s="8"/>
      <c r="AK606" s="8"/>
      <c r="AL606" s="8"/>
      <c r="AM606" s="8"/>
      <c r="AN606" s="8"/>
      <c r="AO606" s="8"/>
      <c r="AP606" s="11"/>
      <c r="AQ606" s="8">
        <f>1569*12.37/1000</f>
        <v>19.408529999999999</v>
      </c>
      <c r="AR606" s="8">
        <f>5433*12.37/1000</f>
        <v>67.206209999999999</v>
      </c>
      <c r="AS606" s="8"/>
      <c r="AT606" s="8">
        <v>673.04</v>
      </c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>
        <v>36.42</v>
      </c>
      <c r="BH606" s="9">
        <f t="shared" si="81"/>
        <v>1897.73</v>
      </c>
      <c r="BI606" s="9">
        <f t="shared" si="82"/>
        <v>21.208359999999999</v>
      </c>
      <c r="BJ606" s="9">
        <f t="shared" si="83"/>
        <v>1.1499999999999999</v>
      </c>
      <c r="BK606" s="9">
        <f t="shared" si="84"/>
        <v>19.190000000000001</v>
      </c>
      <c r="BL606" s="9">
        <f t="shared" si="85"/>
        <v>0</v>
      </c>
      <c r="BM606" s="9">
        <f t="shared" si="86"/>
        <v>115.47395</v>
      </c>
      <c r="BN606" s="9">
        <f t="shared" si="87"/>
        <v>673.04</v>
      </c>
      <c r="BO606" s="9">
        <f t="shared" si="88"/>
        <v>0</v>
      </c>
      <c r="BP606" s="9">
        <f t="shared" si="89"/>
        <v>0</v>
      </c>
    </row>
    <row r="607" spans="1:68">
      <c r="A607" s="6">
        <v>44665</v>
      </c>
      <c r="B607" s="7">
        <v>3079</v>
      </c>
      <c r="C607" s="8"/>
      <c r="D607" s="8"/>
      <c r="E607" s="8"/>
      <c r="F607" s="8">
        <v>337.7</v>
      </c>
      <c r="G607" s="8"/>
      <c r="H607" s="8"/>
      <c r="I607" s="8">
        <v>2723.46</v>
      </c>
      <c r="J607" s="8"/>
      <c r="K607" s="8"/>
      <c r="L607" s="8"/>
      <c r="M607" s="8"/>
      <c r="N607" s="8">
        <v>23.03</v>
      </c>
      <c r="O607" s="8"/>
      <c r="P607" s="8"/>
      <c r="Q607" s="11"/>
      <c r="R607" s="11"/>
      <c r="S607" s="8">
        <v>1.24</v>
      </c>
      <c r="T607" s="8">
        <v>31.28</v>
      </c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>
        <f>694*18.07/1000</f>
        <v>12.54058</v>
      </c>
      <c r="AN607" s="8">
        <f>1724*18.07/1000</f>
        <v>31.15268</v>
      </c>
      <c r="AO607" s="8"/>
      <c r="AP607" s="11"/>
      <c r="AQ607" s="8"/>
      <c r="AR607" s="8">
        <f>4228*18.07/1000</f>
        <v>76.399960000000007</v>
      </c>
      <c r="AS607" s="8"/>
      <c r="AT607" s="8">
        <v>1172.1600000000001</v>
      </c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84.37</v>
      </c>
      <c r="BH607" s="9">
        <f t="shared" si="81"/>
        <v>3061.16</v>
      </c>
      <c r="BI607" s="9">
        <f t="shared" si="82"/>
        <v>23.03</v>
      </c>
      <c r="BJ607" s="9">
        <f t="shared" si="83"/>
        <v>1.24</v>
      </c>
      <c r="BK607" s="9">
        <f t="shared" si="84"/>
        <v>31.28</v>
      </c>
      <c r="BL607" s="9">
        <f t="shared" si="85"/>
        <v>0</v>
      </c>
      <c r="BM607" s="9">
        <f t="shared" si="86"/>
        <v>120.09322</v>
      </c>
      <c r="BN607" s="9">
        <f t="shared" si="87"/>
        <v>1172.1600000000001</v>
      </c>
      <c r="BO607" s="9">
        <f t="shared" si="88"/>
        <v>0</v>
      </c>
      <c r="BP607" s="9">
        <f t="shared" si="89"/>
        <v>0</v>
      </c>
    </row>
    <row r="608" spans="1:68">
      <c r="A608" s="6">
        <v>44665</v>
      </c>
      <c r="B608" s="7">
        <v>3083</v>
      </c>
      <c r="C608" s="8"/>
      <c r="D608" s="8">
        <v>747.12</v>
      </c>
      <c r="E608" s="8"/>
      <c r="F608" s="8"/>
      <c r="G608" s="8"/>
      <c r="H608" s="8"/>
      <c r="I608" s="8">
        <v>1742.38</v>
      </c>
      <c r="J608" s="8"/>
      <c r="K608" s="8"/>
      <c r="L608" s="8"/>
      <c r="M608" s="8"/>
      <c r="N608" s="8">
        <v>17.25</v>
      </c>
      <c r="O608" s="8"/>
      <c r="P608" s="8"/>
      <c r="Q608" s="11"/>
      <c r="R608" s="11"/>
      <c r="S608" s="8">
        <v>1.74</v>
      </c>
      <c r="T608" s="8">
        <v>19.96</v>
      </c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>
        <f>546*18.48/1000</f>
        <v>10.09008</v>
      </c>
      <c r="AN608" s="8">
        <f>1937*18.48/1000</f>
        <v>35.795760000000001</v>
      </c>
      <c r="AO608" s="8"/>
      <c r="AP608" s="11"/>
      <c r="AQ608" s="8"/>
      <c r="AR608" s="8">
        <f>3416*18.48/1000</f>
        <v>63.127679999999998</v>
      </c>
      <c r="AS608" s="8"/>
      <c r="AT608" s="8">
        <v>1133.4000000000001</v>
      </c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>
        <v>88.86</v>
      </c>
      <c r="BH608" s="9">
        <f t="shared" si="81"/>
        <v>2489.5</v>
      </c>
      <c r="BI608" s="9">
        <f t="shared" si="82"/>
        <v>17.25</v>
      </c>
      <c r="BJ608" s="9">
        <f t="shared" si="83"/>
        <v>1.74</v>
      </c>
      <c r="BK608" s="9">
        <f t="shared" si="84"/>
        <v>19.96</v>
      </c>
      <c r="BL608" s="9">
        <f t="shared" si="85"/>
        <v>0</v>
      </c>
      <c r="BM608" s="9">
        <f t="shared" si="86"/>
        <v>109.01352</v>
      </c>
      <c r="BN608" s="9">
        <f t="shared" si="87"/>
        <v>1133.4000000000001</v>
      </c>
      <c r="BO608" s="9">
        <f t="shared" si="88"/>
        <v>0</v>
      </c>
      <c r="BP608" s="9">
        <f t="shared" si="89"/>
        <v>0</v>
      </c>
    </row>
    <row r="609" spans="1:68">
      <c r="A609" s="6">
        <v>44665</v>
      </c>
      <c r="B609" s="7">
        <v>3106</v>
      </c>
      <c r="C609" s="8">
        <v>4167.88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>
        <v>11.26</v>
      </c>
      <c r="O609" s="8"/>
      <c r="P609" s="8"/>
      <c r="Q609" s="11"/>
      <c r="R609" s="11"/>
      <c r="S609" s="8">
        <v>12.49</v>
      </c>
      <c r="T609" s="8">
        <v>52.93</v>
      </c>
      <c r="U609" s="8"/>
      <c r="V609" s="8"/>
      <c r="W609" s="8"/>
      <c r="X609" s="8"/>
      <c r="Y609" s="8"/>
      <c r="Z609" s="8"/>
      <c r="AA609" s="8"/>
      <c r="AB609" s="8"/>
      <c r="AC609" s="8">
        <v>16.690000000000001</v>
      </c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11"/>
      <c r="AQ609" s="8"/>
      <c r="AR609" s="8"/>
      <c r="AS609" s="8"/>
      <c r="AT609" s="8">
        <v>2384.81</v>
      </c>
      <c r="AU609" s="8"/>
      <c r="AV609" s="8"/>
      <c r="AW609" s="8"/>
      <c r="AX609" s="8">
        <v>5.22</v>
      </c>
      <c r="AY609" s="8"/>
      <c r="AZ609" s="8"/>
      <c r="BA609" s="8"/>
      <c r="BB609" s="8"/>
      <c r="BC609" s="8"/>
      <c r="BD609" s="8"/>
      <c r="BE609" s="8"/>
      <c r="BF609" s="8"/>
      <c r="BG609" s="8">
        <v>179.09</v>
      </c>
      <c r="BH609" s="9">
        <f t="shared" si="81"/>
        <v>4167.88</v>
      </c>
      <c r="BI609" s="9">
        <f t="shared" si="82"/>
        <v>11.26</v>
      </c>
      <c r="BJ609" s="9">
        <f t="shared" si="83"/>
        <v>12.49</v>
      </c>
      <c r="BK609" s="9">
        <f t="shared" si="84"/>
        <v>52.93</v>
      </c>
      <c r="BL609" s="9">
        <f t="shared" si="85"/>
        <v>0</v>
      </c>
      <c r="BM609" s="9">
        <f t="shared" si="86"/>
        <v>16.690000000000001</v>
      </c>
      <c r="BN609" s="9">
        <f t="shared" si="87"/>
        <v>2384.81</v>
      </c>
      <c r="BO609" s="9">
        <f t="shared" si="88"/>
        <v>5.22</v>
      </c>
      <c r="BP609" s="9">
        <f t="shared" si="89"/>
        <v>0</v>
      </c>
    </row>
    <row r="610" spans="1:68">
      <c r="A610" s="6">
        <v>44665</v>
      </c>
      <c r="B610" s="7">
        <v>3141</v>
      </c>
      <c r="C610" s="8">
        <v>2428.4499999999998</v>
      </c>
      <c r="D610" s="8">
        <v>430.18</v>
      </c>
      <c r="E610" s="8"/>
      <c r="F610" s="8"/>
      <c r="G610" s="8"/>
      <c r="H610" s="8"/>
      <c r="I610" s="8"/>
      <c r="J610" s="8"/>
      <c r="K610" s="8"/>
      <c r="L610" s="8"/>
      <c r="M610" s="8"/>
      <c r="N610" s="8">
        <v>7.64</v>
      </c>
      <c r="O610" s="8"/>
      <c r="P610" s="8"/>
      <c r="Q610" s="11"/>
      <c r="R610" s="11"/>
      <c r="S610" s="8">
        <v>13.48</v>
      </c>
      <c r="T610" s="8">
        <v>21.57</v>
      </c>
      <c r="U610" s="8">
        <v>21.56</v>
      </c>
      <c r="V610" s="8"/>
      <c r="W610" s="8"/>
      <c r="X610" s="8"/>
      <c r="Y610" s="8"/>
      <c r="Z610" s="8"/>
      <c r="AA610" s="8"/>
      <c r="AB610" s="8"/>
      <c r="AC610" s="8">
        <v>11.48</v>
      </c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11"/>
      <c r="AQ610" s="8"/>
      <c r="AR610" s="8"/>
      <c r="AS610" s="8"/>
      <c r="AT610" s="8">
        <v>1898.31</v>
      </c>
      <c r="AU610" s="8"/>
      <c r="AV610" s="8"/>
      <c r="AW610" s="8"/>
      <c r="AX610" s="8"/>
      <c r="AY610" s="8"/>
      <c r="AZ610" s="8"/>
      <c r="BA610" s="8">
        <v>65.849999999999994</v>
      </c>
      <c r="BB610" s="8"/>
      <c r="BC610" s="8"/>
      <c r="BD610" s="8"/>
      <c r="BE610" s="8"/>
      <c r="BF610" s="8">
        <v>200.62</v>
      </c>
      <c r="BG610" s="8">
        <v>149.09</v>
      </c>
      <c r="BH610" s="9">
        <f t="shared" si="81"/>
        <v>2858.6299999999997</v>
      </c>
      <c r="BI610" s="9">
        <f t="shared" si="82"/>
        <v>7.64</v>
      </c>
      <c r="BJ610" s="9">
        <f t="shared" si="83"/>
        <v>13.48</v>
      </c>
      <c r="BK610" s="9">
        <f t="shared" si="84"/>
        <v>43.129999999999995</v>
      </c>
      <c r="BL610" s="9">
        <f t="shared" si="85"/>
        <v>0</v>
      </c>
      <c r="BM610" s="9">
        <f t="shared" si="86"/>
        <v>11.48</v>
      </c>
      <c r="BN610" s="9">
        <f t="shared" si="87"/>
        <v>1898.31</v>
      </c>
      <c r="BO610" s="9">
        <f t="shared" si="88"/>
        <v>65.849999999999994</v>
      </c>
      <c r="BP610" s="9">
        <f t="shared" si="89"/>
        <v>200.62</v>
      </c>
    </row>
    <row r="611" spans="1:68">
      <c r="A611" s="6">
        <v>44665</v>
      </c>
      <c r="B611" s="7">
        <v>3409</v>
      </c>
      <c r="C611" s="8">
        <v>659.92</v>
      </c>
      <c r="D611" s="8"/>
      <c r="E611" s="8"/>
      <c r="F611" s="8"/>
      <c r="G611" s="8"/>
      <c r="H611" s="8"/>
      <c r="I611" s="8"/>
      <c r="J611" s="8"/>
      <c r="K611" s="8"/>
      <c r="L611" s="8"/>
      <c r="M611" s="8">
        <v>1.66</v>
      </c>
      <c r="N611" s="8"/>
      <c r="O611" s="8"/>
      <c r="P611" s="8"/>
      <c r="Q611" s="11"/>
      <c r="R611" s="11"/>
      <c r="S611" s="8">
        <v>1.68</v>
      </c>
      <c r="T611" s="8">
        <v>6.73</v>
      </c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11"/>
      <c r="AQ611" s="8"/>
      <c r="AR611" s="8"/>
      <c r="AS611" s="8"/>
      <c r="AT611" s="8">
        <v>344.54</v>
      </c>
      <c r="AU611" s="8"/>
      <c r="AV611" s="8">
        <v>20.18</v>
      </c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>
        <v>23.41</v>
      </c>
      <c r="BH611" s="9">
        <f t="shared" si="81"/>
        <v>659.92</v>
      </c>
      <c r="BI611" s="9">
        <f t="shared" si="82"/>
        <v>1.66</v>
      </c>
      <c r="BJ611" s="9">
        <f t="shared" si="83"/>
        <v>1.68</v>
      </c>
      <c r="BK611" s="9">
        <f t="shared" si="84"/>
        <v>6.73</v>
      </c>
      <c r="BL611" s="9">
        <f t="shared" si="85"/>
        <v>0</v>
      </c>
      <c r="BM611" s="9">
        <f t="shared" si="86"/>
        <v>0</v>
      </c>
      <c r="BN611" s="9">
        <f t="shared" si="87"/>
        <v>344.54</v>
      </c>
      <c r="BO611" s="9">
        <f t="shared" si="88"/>
        <v>20.18</v>
      </c>
      <c r="BP611" s="9">
        <f t="shared" si="89"/>
        <v>0</v>
      </c>
    </row>
    <row r="612" spans="1:68">
      <c r="A612" s="6">
        <v>44665</v>
      </c>
      <c r="B612" s="7">
        <v>3704</v>
      </c>
      <c r="C612" s="8">
        <v>395.91</v>
      </c>
      <c r="D612" s="8">
        <v>603.67999999999995</v>
      </c>
      <c r="E612" s="8"/>
      <c r="F612" s="8"/>
      <c r="G612" s="8"/>
      <c r="H612" s="8"/>
      <c r="I612" s="8"/>
      <c r="J612" s="8"/>
      <c r="K612" s="8"/>
      <c r="L612" s="8"/>
      <c r="M612" s="8">
        <v>3.03</v>
      </c>
      <c r="N612" s="8"/>
      <c r="O612" s="8"/>
      <c r="P612" s="8"/>
      <c r="Q612" s="11"/>
      <c r="R612" s="11"/>
      <c r="S612" s="8">
        <v>3.51</v>
      </c>
      <c r="T612" s="8"/>
      <c r="U612" s="8">
        <v>7.53</v>
      </c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>
        <f>1383*8.72/1000</f>
        <v>12.059760000000001</v>
      </c>
      <c r="AM612" s="8"/>
      <c r="AN612" s="8"/>
      <c r="AO612" s="8"/>
      <c r="AP612" s="11"/>
      <c r="AQ612" s="8"/>
      <c r="AR612" s="8"/>
      <c r="AS612" s="8"/>
      <c r="AT612" s="8">
        <v>173.8</v>
      </c>
      <c r="AU612" s="8">
        <v>86.77</v>
      </c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>
        <v>16.14</v>
      </c>
      <c r="BH612" s="9">
        <f t="shared" si="81"/>
        <v>999.58999999999992</v>
      </c>
      <c r="BI612" s="9">
        <f t="shared" si="82"/>
        <v>3.03</v>
      </c>
      <c r="BJ612" s="9">
        <f t="shared" si="83"/>
        <v>3.51</v>
      </c>
      <c r="BK612" s="9">
        <f t="shared" si="84"/>
        <v>7.53</v>
      </c>
      <c r="BL612" s="9">
        <f t="shared" si="85"/>
        <v>0</v>
      </c>
      <c r="BM612" s="9">
        <f t="shared" si="86"/>
        <v>12.059760000000001</v>
      </c>
      <c r="BN612" s="9">
        <f t="shared" si="87"/>
        <v>260.57</v>
      </c>
      <c r="BO612" s="9">
        <f t="shared" si="88"/>
        <v>0</v>
      </c>
      <c r="BP612" s="9">
        <f t="shared" si="89"/>
        <v>0</v>
      </c>
    </row>
    <row r="613" spans="1:68">
      <c r="A613" s="6">
        <v>44665</v>
      </c>
      <c r="B613" s="7">
        <v>3310</v>
      </c>
      <c r="C613" s="8"/>
      <c r="D613" s="8">
        <v>849.8</v>
      </c>
      <c r="E613" s="8"/>
      <c r="F613" s="8"/>
      <c r="G613" s="8"/>
      <c r="H613" s="8"/>
      <c r="I613" s="8"/>
      <c r="J613" s="8"/>
      <c r="K613" s="8"/>
      <c r="L613" s="8"/>
      <c r="M613" s="8">
        <v>1.02</v>
      </c>
      <c r="N613" s="8"/>
      <c r="O613" s="8"/>
      <c r="P613" s="8"/>
      <c r="Q613" s="11"/>
      <c r="R613" s="11"/>
      <c r="S613" s="8">
        <v>6.05</v>
      </c>
      <c r="T613" s="8">
        <v>7.71</v>
      </c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>
        <v>8.6</v>
      </c>
      <c r="AH613" s="8"/>
      <c r="AI613" s="8"/>
      <c r="AJ613" s="8"/>
      <c r="AK613" s="8"/>
      <c r="AL613" s="8"/>
      <c r="AM613" s="8"/>
      <c r="AN613" s="8"/>
      <c r="AO613" s="8"/>
      <c r="AP613" s="11"/>
      <c r="AQ613" s="8"/>
      <c r="AR613" s="8"/>
      <c r="AS613" s="8"/>
      <c r="AT613" s="8"/>
      <c r="AU613" s="8">
        <v>368.32</v>
      </c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>
        <v>24.63</v>
      </c>
      <c r="BH613" s="9">
        <f t="shared" si="81"/>
        <v>849.8</v>
      </c>
      <c r="BI613" s="9">
        <f t="shared" si="82"/>
        <v>1.02</v>
      </c>
      <c r="BJ613" s="9">
        <f t="shared" si="83"/>
        <v>6.05</v>
      </c>
      <c r="BK613" s="9">
        <f t="shared" si="84"/>
        <v>7.71</v>
      </c>
      <c r="BL613" s="9">
        <f t="shared" si="85"/>
        <v>0</v>
      </c>
      <c r="BM613" s="9">
        <f t="shared" si="86"/>
        <v>8.6</v>
      </c>
      <c r="BN613" s="9">
        <f t="shared" si="87"/>
        <v>368.32</v>
      </c>
      <c r="BO613" s="9">
        <f t="shared" si="88"/>
        <v>0</v>
      </c>
      <c r="BP613" s="9">
        <f t="shared" si="89"/>
        <v>0</v>
      </c>
    </row>
    <row r="614" spans="1:68">
      <c r="A614" s="6">
        <v>44669</v>
      </c>
      <c r="B614" s="7">
        <v>3602</v>
      </c>
      <c r="C614" s="8">
        <f>528.1+162.82</f>
        <v>690.92000000000007</v>
      </c>
      <c r="D614" s="8"/>
      <c r="E614" s="8"/>
      <c r="F614" s="8"/>
      <c r="G614" s="8">
        <f>790.2+245.28</f>
        <v>1035.48</v>
      </c>
      <c r="H614" s="8"/>
      <c r="I614" s="8"/>
      <c r="J614" s="8"/>
      <c r="K614" s="8"/>
      <c r="L614" s="8"/>
      <c r="M614" s="8">
        <f>1.39+0.42</f>
        <v>1.8099999999999998</v>
      </c>
      <c r="N614" s="8"/>
      <c r="O614" s="8"/>
      <c r="P614" s="8"/>
      <c r="Q614" s="11"/>
      <c r="R614" s="11"/>
      <c r="S614" s="8">
        <f>7.07+2.21</f>
        <v>9.2800000000000011</v>
      </c>
      <c r="T614" s="8"/>
      <c r="U614" s="8">
        <f>4.22+1.32</f>
        <v>5.54</v>
      </c>
      <c r="V614" s="8">
        <f>4.01+12.86</f>
        <v>16.869999999999997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11"/>
      <c r="AQ614" s="8"/>
      <c r="AR614" s="8"/>
      <c r="AS614" s="8"/>
      <c r="AT614" s="8">
        <f>550.28+170.86</f>
        <v>721.14</v>
      </c>
      <c r="AU614" s="8"/>
      <c r="AV614" s="8"/>
      <c r="AW614" s="8">
        <f>34.08+10.64</f>
        <v>44.72</v>
      </c>
      <c r="AX614" s="8"/>
      <c r="AY614" s="8"/>
      <c r="AZ614" s="8"/>
      <c r="BA614" s="8"/>
      <c r="BB614" s="8"/>
      <c r="BC614" s="8"/>
      <c r="BD614" s="8"/>
      <c r="BE614" s="8"/>
      <c r="BF614" s="8">
        <f>42.22+13.21</f>
        <v>55.43</v>
      </c>
      <c r="BG614" s="8">
        <f>41.38+12.77</f>
        <v>54.150000000000006</v>
      </c>
      <c r="BH614" s="9">
        <f t="shared" si="81"/>
        <v>1726.4</v>
      </c>
      <c r="BI614" s="9">
        <f t="shared" si="82"/>
        <v>1.8099999999999998</v>
      </c>
      <c r="BJ614" s="9">
        <f t="shared" si="83"/>
        <v>9.2800000000000011</v>
      </c>
      <c r="BK614" s="9">
        <f t="shared" si="84"/>
        <v>22.409999999999997</v>
      </c>
      <c r="BL614" s="9">
        <f t="shared" si="85"/>
        <v>0</v>
      </c>
      <c r="BM614" s="9">
        <f t="shared" si="86"/>
        <v>0</v>
      </c>
      <c r="BN614" s="9">
        <f t="shared" si="87"/>
        <v>721.14</v>
      </c>
      <c r="BO614" s="9">
        <f t="shared" si="88"/>
        <v>44.72</v>
      </c>
      <c r="BP614" s="9">
        <f t="shared" si="89"/>
        <v>55.43</v>
      </c>
    </row>
    <row r="615" spans="1:68">
      <c r="A615" s="6">
        <v>44669</v>
      </c>
      <c r="B615" s="7">
        <v>3028</v>
      </c>
      <c r="C615" s="8"/>
      <c r="D615" s="8">
        <v>1168.17</v>
      </c>
      <c r="E615" s="8"/>
      <c r="F615" s="8">
        <v>1077.8599999999999</v>
      </c>
      <c r="G615" s="8"/>
      <c r="H615" s="8"/>
      <c r="I615" s="8">
        <v>2435.77</v>
      </c>
      <c r="J615" s="8"/>
      <c r="K615" s="8"/>
      <c r="L615" s="8"/>
      <c r="M615" s="8"/>
      <c r="N615" s="8">
        <v>35.11</v>
      </c>
      <c r="O615" s="8"/>
      <c r="P615" s="8"/>
      <c r="Q615" s="11"/>
      <c r="R615" s="11"/>
      <c r="S615" s="8">
        <v>6.56</v>
      </c>
      <c r="T615" s="8"/>
      <c r="U615" s="8"/>
      <c r="V615" s="8"/>
      <c r="W615" s="8">
        <f>1099*31.2/1000</f>
        <v>34.288799999999995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>
        <f>1524*31.2/1000</f>
        <v>47.548799999999993</v>
      </c>
      <c r="AN615" s="8">
        <f>1046*31.2/1000</f>
        <v>32.635199999999998</v>
      </c>
      <c r="AO615" s="8"/>
      <c r="AP615" s="11"/>
      <c r="AQ615" s="8"/>
      <c r="AR615" s="8"/>
      <c r="AS615" s="8">
        <f>4920*31.2/1000</f>
        <v>153.50399999999999</v>
      </c>
      <c r="AT615" s="8">
        <v>1561.73</v>
      </c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>
        <v>106.56</v>
      </c>
      <c r="BH615" s="9">
        <f t="shared" si="81"/>
        <v>4681.7999999999993</v>
      </c>
      <c r="BI615" s="9">
        <f t="shared" si="82"/>
        <v>35.11</v>
      </c>
      <c r="BJ615" s="9">
        <f t="shared" si="83"/>
        <v>6.56</v>
      </c>
      <c r="BK615" s="9">
        <f t="shared" si="84"/>
        <v>34.288799999999995</v>
      </c>
      <c r="BL615" s="9">
        <f t="shared" si="85"/>
        <v>0</v>
      </c>
      <c r="BM615" s="9">
        <f t="shared" si="86"/>
        <v>233.68799999999999</v>
      </c>
      <c r="BN615" s="9">
        <f t="shared" si="87"/>
        <v>1561.73</v>
      </c>
      <c r="BO615" s="9">
        <f t="shared" si="88"/>
        <v>0</v>
      </c>
      <c r="BP615" s="9">
        <f t="shared" si="89"/>
        <v>0</v>
      </c>
    </row>
    <row r="616" spans="1:68">
      <c r="A616" s="6">
        <v>44669</v>
      </c>
      <c r="B616" s="7">
        <v>3016</v>
      </c>
      <c r="C616" s="8"/>
      <c r="D616" s="8">
        <v>2361.94</v>
      </c>
      <c r="E616" s="8"/>
      <c r="F616" s="8"/>
      <c r="G616" s="8"/>
      <c r="H616" s="8"/>
      <c r="I616" s="8">
        <v>2179.77</v>
      </c>
      <c r="J616" s="8"/>
      <c r="K616" s="8"/>
      <c r="L616" s="8"/>
      <c r="M616" s="8"/>
      <c r="N616" s="8">
        <v>27.29</v>
      </c>
      <c r="O616" s="8"/>
      <c r="P616" s="8"/>
      <c r="Q616" s="11"/>
      <c r="R616" s="11"/>
      <c r="S616" s="8">
        <v>3.18</v>
      </c>
      <c r="T616" s="8">
        <v>45.53</v>
      </c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>
        <f>700*26.77/1000</f>
        <v>18.739000000000001</v>
      </c>
      <c r="AN616" s="8">
        <f>2041*26.77/1000</f>
        <v>54.637569999999997</v>
      </c>
      <c r="AO616" s="8"/>
      <c r="AP616" s="11"/>
      <c r="AQ616" s="8"/>
      <c r="AR616" s="8">
        <f>4325*26.77/1000</f>
        <v>115.78025</v>
      </c>
      <c r="AS616" s="8"/>
      <c r="AT616" s="8">
        <v>1691.28</v>
      </c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>
        <v>123.98</v>
      </c>
      <c r="BH616" s="9">
        <f t="shared" si="81"/>
        <v>4541.71</v>
      </c>
      <c r="BI616" s="9">
        <f t="shared" si="82"/>
        <v>27.29</v>
      </c>
      <c r="BJ616" s="9">
        <f t="shared" si="83"/>
        <v>3.18</v>
      </c>
      <c r="BK616" s="9">
        <f t="shared" si="84"/>
        <v>45.53</v>
      </c>
      <c r="BL616" s="9">
        <f t="shared" si="85"/>
        <v>0</v>
      </c>
      <c r="BM616" s="9">
        <f t="shared" si="86"/>
        <v>189.15681999999998</v>
      </c>
      <c r="BN616" s="9">
        <f t="shared" si="87"/>
        <v>1691.28</v>
      </c>
      <c r="BO616" s="9">
        <f t="shared" si="88"/>
        <v>0</v>
      </c>
      <c r="BP616" s="9">
        <f t="shared" si="89"/>
        <v>0</v>
      </c>
    </row>
    <row r="617" spans="1:68">
      <c r="A617" s="6">
        <v>44669</v>
      </c>
      <c r="B617" s="7">
        <v>3433</v>
      </c>
      <c r="C617" s="8">
        <v>2564.39</v>
      </c>
      <c r="D617" s="8"/>
      <c r="E617" s="8"/>
      <c r="F617" s="8"/>
      <c r="G617" s="8"/>
      <c r="H617" s="8"/>
      <c r="I617" s="8"/>
      <c r="J617" s="8"/>
      <c r="K617" s="8"/>
      <c r="L617" s="8"/>
      <c r="M617" s="8">
        <v>6.82</v>
      </c>
      <c r="N617" s="8"/>
      <c r="O617" s="8"/>
      <c r="P617" s="8"/>
      <c r="Q617" s="11"/>
      <c r="R617" s="11"/>
      <c r="S617" s="8">
        <v>10.27</v>
      </c>
      <c r="T617" s="8"/>
      <c r="U617" s="8"/>
      <c r="V617" s="8"/>
      <c r="W617" s="8"/>
      <c r="X617" s="8">
        <f>863*30.2/1000</f>
        <v>26.0626</v>
      </c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11"/>
      <c r="AQ617" s="8"/>
      <c r="AR617" s="8"/>
      <c r="AS617" s="8"/>
      <c r="AT617" s="8">
        <v>1162.3800000000001</v>
      </c>
      <c r="AU617" s="8"/>
      <c r="AV617" s="8"/>
      <c r="AW617" s="8"/>
      <c r="AX617" s="8"/>
      <c r="AY617" s="8"/>
      <c r="AZ617" s="8"/>
      <c r="BA617" s="8">
        <v>11.52</v>
      </c>
      <c r="BB617" s="8"/>
      <c r="BC617" s="8"/>
      <c r="BD617" s="8"/>
      <c r="BE617" s="8"/>
      <c r="BF617" s="8">
        <v>128.30000000000001</v>
      </c>
      <c r="BG617" s="8">
        <v>86.41</v>
      </c>
      <c r="BH617" s="9">
        <f t="shared" si="81"/>
        <v>2564.39</v>
      </c>
      <c r="BI617" s="9">
        <f t="shared" si="82"/>
        <v>6.82</v>
      </c>
      <c r="BJ617" s="9">
        <f t="shared" si="83"/>
        <v>10.27</v>
      </c>
      <c r="BK617" s="9">
        <f t="shared" si="84"/>
        <v>26.0626</v>
      </c>
      <c r="BL617" s="9">
        <f t="shared" si="85"/>
        <v>0</v>
      </c>
      <c r="BM617" s="9">
        <f t="shared" si="86"/>
        <v>0</v>
      </c>
      <c r="BN617" s="9">
        <f t="shared" si="87"/>
        <v>1162.3800000000001</v>
      </c>
      <c r="BO617" s="9">
        <f t="shared" si="88"/>
        <v>11.52</v>
      </c>
      <c r="BP617" s="9">
        <f t="shared" si="89"/>
        <v>128.30000000000001</v>
      </c>
    </row>
    <row r="618" spans="1:68">
      <c r="A618" s="6">
        <v>44669</v>
      </c>
      <c r="B618" s="7">
        <v>3141</v>
      </c>
      <c r="C618" s="8">
        <v>3624.72</v>
      </c>
      <c r="D618" s="8">
        <v>639.54</v>
      </c>
      <c r="E618" s="8"/>
      <c r="F618" s="8"/>
      <c r="G618" s="8"/>
      <c r="H618" s="8"/>
      <c r="I618" s="8"/>
      <c r="J618" s="8"/>
      <c r="K618" s="8"/>
      <c r="L618" s="8"/>
      <c r="M618" s="8">
        <v>11.12</v>
      </c>
      <c r="N618" s="8"/>
      <c r="O618" s="8"/>
      <c r="P618" s="8"/>
      <c r="Q618" s="11"/>
      <c r="R618" s="11"/>
      <c r="S618" s="8">
        <v>20.059999999999999</v>
      </c>
      <c r="T618" s="8">
        <v>32</v>
      </c>
      <c r="U618" s="8">
        <v>32</v>
      </c>
      <c r="V618" s="8"/>
      <c r="W618" s="8"/>
      <c r="X618" s="8"/>
      <c r="Y618" s="8"/>
      <c r="Z618" s="8"/>
      <c r="AA618" s="8"/>
      <c r="AB618" s="8"/>
      <c r="AC618" s="8">
        <v>17.07</v>
      </c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11"/>
      <c r="AQ618" s="8"/>
      <c r="AR618" s="8"/>
      <c r="AS618" s="8"/>
      <c r="AT618" s="8">
        <v>2821.33</v>
      </c>
      <c r="AU618" s="8"/>
      <c r="AV618" s="8"/>
      <c r="AW618" s="8"/>
      <c r="AX618" s="8"/>
      <c r="AY618" s="8"/>
      <c r="AZ618" s="8"/>
      <c r="BA618" s="8">
        <v>97.76</v>
      </c>
      <c r="BB618" s="8"/>
      <c r="BC618" s="8"/>
      <c r="BD618" s="8"/>
      <c r="BE618" s="8"/>
      <c r="BF618" s="8">
        <v>298.77999999999997</v>
      </c>
      <c r="BG618" s="8">
        <v>221.68</v>
      </c>
      <c r="BH618" s="9">
        <f t="shared" si="81"/>
        <v>4264.26</v>
      </c>
      <c r="BI618" s="9">
        <f t="shared" si="82"/>
        <v>11.12</v>
      </c>
      <c r="BJ618" s="9">
        <f t="shared" si="83"/>
        <v>20.059999999999999</v>
      </c>
      <c r="BK618" s="9">
        <f t="shared" si="84"/>
        <v>64</v>
      </c>
      <c r="BL618" s="9">
        <f t="shared" si="85"/>
        <v>0</v>
      </c>
      <c r="BM618" s="9">
        <f t="shared" si="86"/>
        <v>17.07</v>
      </c>
      <c r="BN618" s="9">
        <f t="shared" si="87"/>
        <v>2821.33</v>
      </c>
      <c r="BO618" s="9">
        <f t="shared" si="88"/>
        <v>97.76</v>
      </c>
      <c r="BP618" s="9">
        <f t="shared" si="89"/>
        <v>298.77999999999997</v>
      </c>
    </row>
    <row r="619" spans="1:68">
      <c r="A619" s="6">
        <v>44669</v>
      </c>
      <c r="B619" s="7">
        <v>3104</v>
      </c>
      <c r="C619" s="8">
        <v>1516.87</v>
      </c>
      <c r="D619" s="8"/>
      <c r="E619" s="8"/>
      <c r="F619" s="8"/>
      <c r="G619" s="8"/>
      <c r="H619" s="8">
        <v>390.73</v>
      </c>
      <c r="I619" s="8"/>
      <c r="J619" s="8"/>
      <c r="K619" s="8"/>
      <c r="L619" s="8"/>
      <c r="M619" s="8">
        <v>4.33</v>
      </c>
      <c r="N619" s="8"/>
      <c r="O619" s="8"/>
      <c r="P619" s="8"/>
      <c r="Q619" s="11"/>
      <c r="R619" s="11"/>
      <c r="S619" s="8">
        <v>8.0500000000000007</v>
      </c>
      <c r="T619" s="8">
        <v>13.87</v>
      </c>
      <c r="U619" s="8">
        <v>6.08</v>
      </c>
      <c r="V619" s="8"/>
      <c r="W619" s="8"/>
      <c r="X619" s="8"/>
      <c r="Y619" s="8"/>
      <c r="Z619" s="8"/>
      <c r="AA619" s="8"/>
      <c r="AB619" s="8"/>
      <c r="AC619" s="8">
        <v>6.94</v>
      </c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11"/>
      <c r="AQ619" s="8"/>
      <c r="AR619" s="8"/>
      <c r="AS619" s="8"/>
      <c r="AT619" s="8">
        <v>1109.6400000000001</v>
      </c>
      <c r="AU619" s="8"/>
      <c r="AV619" s="8"/>
      <c r="AW619" s="8"/>
      <c r="AX619" s="8"/>
      <c r="AY619" s="8"/>
      <c r="AZ619" s="8"/>
      <c r="BA619" s="8">
        <v>39.53</v>
      </c>
      <c r="BB619" s="8"/>
      <c r="BC619" s="8"/>
      <c r="BD619" s="8"/>
      <c r="BE619" s="8"/>
      <c r="BF619" s="8">
        <v>34.94</v>
      </c>
      <c r="BG619" s="8">
        <v>85.89</v>
      </c>
      <c r="BH619" s="9">
        <f t="shared" si="81"/>
        <v>1907.6</v>
      </c>
      <c r="BI619" s="9">
        <f t="shared" si="82"/>
        <v>4.33</v>
      </c>
      <c r="BJ619" s="9">
        <f t="shared" si="83"/>
        <v>8.0500000000000007</v>
      </c>
      <c r="BK619" s="9">
        <f t="shared" si="84"/>
        <v>19.95</v>
      </c>
      <c r="BL619" s="9">
        <f t="shared" si="85"/>
        <v>0</v>
      </c>
      <c r="BM619" s="9">
        <f t="shared" si="86"/>
        <v>6.94</v>
      </c>
      <c r="BN619" s="9">
        <f t="shared" si="87"/>
        <v>1109.6400000000001</v>
      </c>
      <c r="BO619" s="9">
        <f t="shared" si="88"/>
        <v>39.53</v>
      </c>
      <c r="BP619" s="9">
        <f t="shared" si="89"/>
        <v>34.94</v>
      </c>
    </row>
    <row r="620" spans="1:68">
      <c r="A620" s="6">
        <v>44670</v>
      </c>
      <c r="B620" s="7">
        <v>3029</v>
      </c>
      <c r="C620" s="8"/>
      <c r="D620" s="8">
        <v>466.87</v>
      </c>
      <c r="E620" s="8"/>
      <c r="F620" s="8">
        <v>329.03</v>
      </c>
      <c r="G620" s="8"/>
      <c r="H620" s="8"/>
      <c r="I620" s="8">
        <v>1945.27</v>
      </c>
      <c r="J620" s="8"/>
      <c r="K620" s="8"/>
      <c r="L620" s="8"/>
      <c r="M620" s="8"/>
      <c r="N620" s="8">
        <v>20.58</v>
      </c>
      <c r="O620" s="8"/>
      <c r="P620" s="8"/>
      <c r="Q620" s="11"/>
      <c r="R620" s="11"/>
      <c r="S620" s="8">
        <v>1.64</v>
      </c>
      <c r="T620" s="8"/>
      <c r="U620" s="8"/>
      <c r="V620" s="8"/>
      <c r="W620" s="8">
        <f>1532*18.27/1000</f>
        <v>27.989639999999998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>
        <v>9.56</v>
      </c>
      <c r="AN620" s="8">
        <f>755*18.27/1000</f>
        <v>13.793850000000001</v>
      </c>
      <c r="AO620" s="8"/>
      <c r="AP620" s="11"/>
      <c r="AQ620" s="8"/>
      <c r="AR620" s="8">
        <f>4520*18.27/1000</f>
        <v>82.580399999999997</v>
      </c>
      <c r="AS620" s="8"/>
      <c r="AT620" s="8">
        <v>1040.1300000000001</v>
      </c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>
        <v>72.760000000000005</v>
      </c>
      <c r="BH620" s="9">
        <f t="shared" si="81"/>
        <v>2741.17</v>
      </c>
      <c r="BI620" s="9">
        <f t="shared" si="82"/>
        <v>20.58</v>
      </c>
      <c r="BJ620" s="9">
        <f t="shared" si="83"/>
        <v>1.64</v>
      </c>
      <c r="BK620" s="9">
        <f t="shared" si="84"/>
        <v>27.989639999999998</v>
      </c>
      <c r="BL620" s="9">
        <f t="shared" si="85"/>
        <v>0</v>
      </c>
      <c r="BM620" s="9">
        <f t="shared" si="86"/>
        <v>105.93424999999999</v>
      </c>
      <c r="BN620" s="9">
        <f t="shared" si="87"/>
        <v>1040.1300000000001</v>
      </c>
      <c r="BO620" s="9">
        <f t="shared" si="88"/>
        <v>0</v>
      </c>
      <c r="BP620" s="9">
        <f t="shared" si="89"/>
        <v>0</v>
      </c>
    </row>
    <row r="621" spans="1:68">
      <c r="A621" s="6">
        <v>44670</v>
      </c>
      <c r="B621" s="7">
        <v>3031</v>
      </c>
      <c r="C621" s="8"/>
      <c r="D621" s="8"/>
      <c r="E621" s="8"/>
      <c r="F621" s="8"/>
      <c r="G621" s="8"/>
      <c r="H621" s="8"/>
      <c r="I621" s="8">
        <v>1142.9100000000001</v>
      </c>
      <c r="J621" s="8"/>
      <c r="K621" s="8"/>
      <c r="L621" s="8"/>
      <c r="M621" s="8"/>
      <c r="N621" s="8">
        <v>8.15</v>
      </c>
      <c r="O621" s="8"/>
      <c r="P621" s="8"/>
      <c r="Q621" s="11"/>
      <c r="R621" s="11"/>
      <c r="S621" s="8">
        <v>0.79</v>
      </c>
      <c r="T621" s="8">
        <v>11.47</v>
      </c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>
        <f>1836*9.55/1000</f>
        <v>17.533800000000003</v>
      </c>
      <c r="AJ621" s="8"/>
      <c r="AK621" s="8"/>
      <c r="AL621" s="8"/>
      <c r="AM621" s="8"/>
      <c r="AN621" s="8">
        <f>1216*9.55/1000</f>
        <v>11.612800000000002</v>
      </c>
      <c r="AO621" s="8"/>
      <c r="AP621" s="11"/>
      <c r="AQ621" s="8"/>
      <c r="AR621" s="8">
        <f>3640*9.55/1000</f>
        <v>34.762</v>
      </c>
      <c r="AS621" s="8"/>
      <c r="AT621" s="8">
        <v>544.49</v>
      </c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>
        <v>37.159999999999997</v>
      </c>
      <c r="BH621" s="9">
        <f t="shared" si="81"/>
        <v>1142.9100000000001</v>
      </c>
      <c r="BI621" s="9">
        <f t="shared" si="82"/>
        <v>8.15</v>
      </c>
      <c r="BJ621" s="9">
        <f t="shared" si="83"/>
        <v>0.79</v>
      </c>
      <c r="BK621" s="9">
        <f t="shared" si="84"/>
        <v>11.47</v>
      </c>
      <c r="BL621" s="9">
        <f t="shared" si="85"/>
        <v>0</v>
      </c>
      <c r="BM621" s="9">
        <f t="shared" si="86"/>
        <v>63.908600000000007</v>
      </c>
      <c r="BN621" s="9">
        <f t="shared" si="87"/>
        <v>544.49</v>
      </c>
      <c r="BO621" s="9">
        <f t="shared" si="88"/>
        <v>0</v>
      </c>
      <c r="BP621" s="9">
        <f t="shared" si="89"/>
        <v>0</v>
      </c>
    </row>
    <row r="622" spans="1:68">
      <c r="A622" s="6">
        <v>44670</v>
      </c>
      <c r="B622" s="7">
        <v>3083</v>
      </c>
      <c r="C622" s="8"/>
      <c r="D622" s="8">
        <v>1083.68</v>
      </c>
      <c r="E622" s="8"/>
      <c r="F622" s="8"/>
      <c r="G622" s="8"/>
      <c r="H622" s="8"/>
      <c r="I622" s="8">
        <v>2530.54</v>
      </c>
      <c r="J622" s="8"/>
      <c r="K622" s="8"/>
      <c r="L622" s="8"/>
      <c r="M622" s="8"/>
      <c r="N622" s="8">
        <v>24.94</v>
      </c>
      <c r="O622" s="8"/>
      <c r="P622" s="8"/>
      <c r="Q622" s="11"/>
      <c r="R622" s="11"/>
      <c r="S622" s="8">
        <v>2.52</v>
      </c>
      <c r="T622" s="8">
        <v>28.91</v>
      </c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>
        <v>14.47</v>
      </c>
      <c r="AN622" s="8">
        <f>1866*26.78/1000</f>
        <v>49.97148</v>
      </c>
      <c r="AO622" s="8"/>
      <c r="AP622" s="11"/>
      <c r="AQ622" s="8"/>
      <c r="AR622" s="8">
        <f>3384*26.78/1000</f>
        <v>90.623519999999999</v>
      </c>
      <c r="AS622" s="8"/>
      <c r="AT622" s="8">
        <v>1641.88</v>
      </c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>
        <v>128.99</v>
      </c>
      <c r="BH622" s="9">
        <f t="shared" si="81"/>
        <v>3614.2200000000003</v>
      </c>
      <c r="BI622" s="9">
        <f t="shared" si="82"/>
        <v>24.94</v>
      </c>
      <c r="BJ622" s="9">
        <f t="shared" si="83"/>
        <v>2.52</v>
      </c>
      <c r="BK622" s="9">
        <f t="shared" si="84"/>
        <v>28.91</v>
      </c>
      <c r="BL622" s="9">
        <f t="shared" si="85"/>
        <v>0</v>
      </c>
      <c r="BM622" s="9">
        <f t="shared" si="86"/>
        <v>155.065</v>
      </c>
      <c r="BN622" s="9">
        <f t="shared" si="87"/>
        <v>1641.88</v>
      </c>
      <c r="BO622" s="9">
        <f t="shared" si="88"/>
        <v>0</v>
      </c>
      <c r="BP622" s="9">
        <f t="shared" si="89"/>
        <v>0</v>
      </c>
    </row>
    <row r="623" spans="1:68">
      <c r="A623" s="6">
        <v>44670</v>
      </c>
      <c r="B623" s="7">
        <v>3141</v>
      </c>
      <c r="C623" s="8">
        <v>2497.37</v>
      </c>
      <c r="D623" s="8">
        <v>441.19</v>
      </c>
      <c r="E623" s="8"/>
      <c r="F623" s="8"/>
      <c r="G623" s="8"/>
      <c r="H623" s="8"/>
      <c r="I623" s="8"/>
      <c r="J623" s="8"/>
      <c r="K623" s="8"/>
      <c r="L623" s="8"/>
      <c r="M623" s="8">
        <v>7.47</v>
      </c>
      <c r="N623" s="8"/>
      <c r="O623" s="8"/>
      <c r="P623" s="8"/>
      <c r="Q623" s="11"/>
      <c r="R623" s="11"/>
      <c r="S623" s="8">
        <v>13.84</v>
      </c>
      <c r="T623" s="8">
        <v>22.1</v>
      </c>
      <c r="U623" s="8">
        <v>22.09</v>
      </c>
      <c r="V623" s="8"/>
      <c r="W623" s="8"/>
      <c r="X623" s="8"/>
      <c r="Y623" s="8"/>
      <c r="Z623" s="8"/>
      <c r="AA623" s="8"/>
      <c r="AB623" s="8"/>
      <c r="AC623" s="8">
        <v>11.76</v>
      </c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11"/>
      <c r="AQ623" s="8"/>
      <c r="AR623" s="8"/>
      <c r="AS623" s="8"/>
      <c r="AT623" s="8">
        <v>1944.88</v>
      </c>
      <c r="AU623" s="8"/>
      <c r="AV623" s="8"/>
      <c r="AW623" s="8"/>
      <c r="AX623" s="8"/>
      <c r="AY623" s="8"/>
      <c r="AZ623" s="8"/>
      <c r="BA623" s="8">
        <v>67.489999999999995</v>
      </c>
      <c r="BB623" s="8"/>
      <c r="BC623" s="8"/>
      <c r="BD623" s="8"/>
      <c r="BE623" s="8"/>
      <c r="BF623" s="8">
        <v>206</v>
      </c>
      <c r="BG623" s="8">
        <v>152.43</v>
      </c>
      <c r="BH623" s="9">
        <f t="shared" si="81"/>
        <v>2938.56</v>
      </c>
      <c r="BI623" s="9">
        <f t="shared" si="82"/>
        <v>7.47</v>
      </c>
      <c r="BJ623" s="9">
        <f t="shared" si="83"/>
        <v>13.84</v>
      </c>
      <c r="BK623" s="9">
        <f t="shared" si="84"/>
        <v>44.19</v>
      </c>
      <c r="BL623" s="9">
        <f t="shared" si="85"/>
        <v>0</v>
      </c>
      <c r="BM623" s="9">
        <f t="shared" si="86"/>
        <v>11.76</v>
      </c>
      <c r="BN623" s="9">
        <f t="shared" si="87"/>
        <v>1944.88</v>
      </c>
      <c r="BO623" s="9">
        <f t="shared" si="88"/>
        <v>67.489999999999995</v>
      </c>
      <c r="BP623" s="9">
        <f t="shared" si="89"/>
        <v>206</v>
      </c>
    </row>
    <row r="624" spans="1:68">
      <c r="A624" s="6">
        <v>44670</v>
      </c>
      <c r="B624" s="7">
        <v>3108</v>
      </c>
      <c r="C624" s="8">
        <v>2282.44</v>
      </c>
      <c r="D624" s="8"/>
      <c r="E624" s="8"/>
      <c r="F624" s="8"/>
      <c r="G624" s="8"/>
      <c r="H624" s="8"/>
      <c r="I624" s="8"/>
      <c r="J624" s="8"/>
      <c r="K624" s="8"/>
      <c r="L624" s="8"/>
      <c r="M624" s="8">
        <v>5.0599999999999996</v>
      </c>
      <c r="N624" s="8"/>
      <c r="O624" s="8"/>
      <c r="P624" s="8"/>
      <c r="Q624" s="11"/>
      <c r="R624" s="11"/>
      <c r="S624" s="8">
        <v>7.74</v>
      </c>
      <c r="T624" s="8">
        <v>28.96</v>
      </c>
      <c r="U624" s="8"/>
      <c r="V624" s="8"/>
      <c r="W624" s="8"/>
      <c r="X624" s="8"/>
      <c r="Y624" s="8"/>
      <c r="Z624" s="8"/>
      <c r="AA624" s="8"/>
      <c r="AB624" s="8"/>
      <c r="AC624" s="8">
        <v>9.1300000000000008</v>
      </c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11"/>
      <c r="AQ624" s="8"/>
      <c r="AR624" s="8"/>
      <c r="AS624" s="8"/>
      <c r="AT624" s="8">
        <v>1242.3499999999999</v>
      </c>
      <c r="AU624" s="8"/>
      <c r="AV624" s="8"/>
      <c r="AW624" s="8"/>
      <c r="AX624" s="8"/>
      <c r="AY624" s="8"/>
      <c r="AZ624" s="8"/>
      <c r="BA624" s="8">
        <v>84.89</v>
      </c>
      <c r="BB624" s="8"/>
      <c r="BC624" s="8"/>
      <c r="BD624" s="8"/>
      <c r="BE624" s="8"/>
      <c r="BF624" s="8"/>
      <c r="BG624" s="8">
        <v>92.37</v>
      </c>
      <c r="BH624" s="9">
        <f t="shared" si="81"/>
        <v>2282.44</v>
      </c>
      <c r="BI624" s="9">
        <f t="shared" si="82"/>
        <v>5.0599999999999996</v>
      </c>
      <c r="BJ624" s="9">
        <f t="shared" si="83"/>
        <v>7.74</v>
      </c>
      <c r="BK624" s="9">
        <f t="shared" si="84"/>
        <v>28.96</v>
      </c>
      <c r="BL624" s="9">
        <f t="shared" si="85"/>
        <v>0</v>
      </c>
      <c r="BM624" s="9">
        <f t="shared" si="86"/>
        <v>9.1300000000000008</v>
      </c>
      <c r="BN624" s="9">
        <f t="shared" si="87"/>
        <v>1242.3499999999999</v>
      </c>
      <c r="BO624" s="9">
        <f t="shared" si="88"/>
        <v>84.89</v>
      </c>
      <c r="BP624" s="9">
        <f t="shared" si="89"/>
        <v>0</v>
      </c>
    </row>
    <row r="625" spans="1:68">
      <c r="A625" s="6">
        <v>44670</v>
      </c>
      <c r="B625" s="7">
        <v>3106</v>
      </c>
      <c r="C625" s="8">
        <v>2132.4499999999998</v>
      </c>
      <c r="D625" s="8"/>
      <c r="E625" s="8"/>
      <c r="F625" s="8"/>
      <c r="G625" s="8"/>
      <c r="H625" s="8"/>
      <c r="I625" s="8"/>
      <c r="J625" s="8"/>
      <c r="K625" s="8"/>
      <c r="L625" s="8"/>
      <c r="M625" s="8">
        <v>5.54</v>
      </c>
      <c r="N625" s="8"/>
      <c r="O625" s="8"/>
      <c r="P625" s="8"/>
      <c r="Q625" s="11"/>
      <c r="R625" s="11"/>
      <c r="S625" s="8">
        <v>6.44</v>
      </c>
      <c r="T625" s="8">
        <v>27.08</v>
      </c>
      <c r="U625" s="8"/>
      <c r="V625" s="8"/>
      <c r="W625" s="8"/>
      <c r="X625" s="8"/>
      <c r="Y625" s="8"/>
      <c r="Z625" s="8"/>
      <c r="AA625" s="8"/>
      <c r="AB625" s="8"/>
      <c r="AC625" s="8">
        <v>8.5399999999999991</v>
      </c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11"/>
      <c r="AQ625" s="8"/>
      <c r="AR625" s="8"/>
      <c r="AS625" s="8"/>
      <c r="AT625" s="8">
        <v>1221.5999999999999</v>
      </c>
      <c r="AU625" s="8"/>
      <c r="AV625" s="8"/>
      <c r="AW625" s="8"/>
      <c r="AX625" s="8">
        <v>2.67</v>
      </c>
      <c r="AY625" s="8"/>
      <c r="AZ625" s="8"/>
      <c r="BA625" s="8"/>
      <c r="BB625" s="8"/>
      <c r="BC625" s="8"/>
      <c r="BD625" s="8"/>
      <c r="BE625" s="8"/>
      <c r="BF625" s="8"/>
      <c r="BG625" s="8">
        <v>91.86</v>
      </c>
      <c r="BH625" s="9">
        <f t="shared" si="81"/>
        <v>2132.4499999999998</v>
      </c>
      <c r="BI625" s="9">
        <f t="shared" si="82"/>
        <v>5.54</v>
      </c>
      <c r="BJ625" s="9">
        <f t="shared" si="83"/>
        <v>6.44</v>
      </c>
      <c r="BK625" s="9">
        <f t="shared" si="84"/>
        <v>27.08</v>
      </c>
      <c r="BL625" s="9">
        <f t="shared" si="85"/>
        <v>0</v>
      </c>
      <c r="BM625" s="9">
        <f t="shared" si="86"/>
        <v>8.5399999999999991</v>
      </c>
      <c r="BN625" s="9">
        <f t="shared" si="87"/>
        <v>1221.5999999999999</v>
      </c>
      <c r="BO625" s="9">
        <f t="shared" si="88"/>
        <v>2.67</v>
      </c>
      <c r="BP625" s="9">
        <f t="shared" si="89"/>
        <v>0</v>
      </c>
    </row>
    <row r="626" spans="1:68">
      <c r="A626" s="6">
        <v>44670</v>
      </c>
      <c r="B626" s="7">
        <v>3134</v>
      </c>
      <c r="C626" s="8">
        <v>1029.1300000000001</v>
      </c>
      <c r="D626" s="8">
        <v>144.19999999999999</v>
      </c>
      <c r="E626" s="8"/>
      <c r="F626" s="8"/>
      <c r="G626" s="8"/>
      <c r="H626" s="8">
        <v>485.08</v>
      </c>
      <c r="I626" s="8"/>
      <c r="J626" s="8"/>
      <c r="K626" s="8"/>
      <c r="L626" s="8"/>
      <c r="M626" s="8">
        <v>3.05</v>
      </c>
      <c r="N626" s="8"/>
      <c r="O626" s="8"/>
      <c r="P626" s="8"/>
      <c r="Q626" s="11"/>
      <c r="R626" s="11"/>
      <c r="S626" s="8">
        <v>6.65</v>
      </c>
      <c r="T626" s="8">
        <v>10.07</v>
      </c>
      <c r="U626" s="8">
        <v>8.6199999999999992</v>
      </c>
      <c r="V626" s="8"/>
      <c r="W626" s="8"/>
      <c r="X626" s="8"/>
      <c r="Y626" s="8"/>
      <c r="Z626" s="8"/>
      <c r="AA626" s="8"/>
      <c r="AB626" s="8"/>
      <c r="AC626" s="8">
        <v>5.77</v>
      </c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11"/>
      <c r="AQ626" s="8"/>
      <c r="AR626" s="8"/>
      <c r="AS626" s="8"/>
      <c r="AT626" s="8">
        <v>1017.35</v>
      </c>
      <c r="AU626" s="8"/>
      <c r="AV626" s="8"/>
      <c r="AW626" s="8"/>
      <c r="AX626" s="8"/>
      <c r="AY626" s="8">
        <f>1422*10.32/1000</f>
        <v>14.675040000000001</v>
      </c>
      <c r="AZ626" s="8"/>
      <c r="BA626" s="8"/>
      <c r="BB626" s="8"/>
      <c r="BC626" s="8"/>
      <c r="BD626" s="8"/>
      <c r="BE626" s="8"/>
      <c r="BF626" s="8">
        <v>64.92</v>
      </c>
      <c r="BG626" s="8">
        <v>76.48</v>
      </c>
      <c r="BH626" s="9">
        <f t="shared" si="81"/>
        <v>1658.41</v>
      </c>
      <c r="BI626" s="9">
        <f t="shared" si="82"/>
        <v>3.05</v>
      </c>
      <c r="BJ626" s="9">
        <f t="shared" si="83"/>
        <v>6.65</v>
      </c>
      <c r="BK626" s="9">
        <f t="shared" si="84"/>
        <v>18.689999999999998</v>
      </c>
      <c r="BL626" s="9">
        <f t="shared" si="85"/>
        <v>0</v>
      </c>
      <c r="BM626" s="9">
        <f t="shared" si="86"/>
        <v>5.77</v>
      </c>
      <c r="BN626" s="9">
        <f t="shared" si="87"/>
        <v>1017.35</v>
      </c>
      <c r="BO626" s="9">
        <f t="shared" si="88"/>
        <v>14.675040000000001</v>
      </c>
      <c r="BP626" s="9">
        <f t="shared" si="89"/>
        <v>64.92</v>
      </c>
    </row>
    <row r="627" spans="1:68">
      <c r="A627" s="6">
        <v>44670</v>
      </c>
      <c r="B627" s="7">
        <v>3405</v>
      </c>
      <c r="C627" s="8">
        <v>1918.41</v>
      </c>
      <c r="D627" s="8">
        <v>479.61</v>
      </c>
      <c r="E627" s="8"/>
      <c r="F627" s="8"/>
      <c r="G627" s="8"/>
      <c r="H627" s="8"/>
      <c r="I627" s="8"/>
      <c r="J627" s="8"/>
      <c r="K627" s="8"/>
      <c r="L627" s="8"/>
      <c r="M627" s="8">
        <v>6.55</v>
      </c>
      <c r="N627" s="8"/>
      <c r="O627" s="8"/>
      <c r="P627" s="8"/>
      <c r="Q627" s="11"/>
      <c r="R627" s="11"/>
      <c r="S627" s="8">
        <v>5.53</v>
      </c>
      <c r="T627" s="8"/>
      <c r="U627" s="8"/>
      <c r="V627" s="8"/>
      <c r="W627" s="8"/>
      <c r="X627" s="8">
        <f>1219*24.03/1000</f>
        <v>29.292570000000001</v>
      </c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11"/>
      <c r="AQ627" s="8"/>
      <c r="AR627" s="8"/>
      <c r="AS627" s="8"/>
      <c r="AT627" s="8">
        <v>1208.52</v>
      </c>
      <c r="AU627" s="8"/>
      <c r="AV627" s="8"/>
      <c r="AW627" s="8"/>
      <c r="AX627" s="8"/>
      <c r="AY627" s="8"/>
      <c r="AZ627" s="8"/>
      <c r="BA627" s="8">
        <v>10.8</v>
      </c>
      <c r="BB627" s="8"/>
      <c r="BC627" s="8"/>
      <c r="BD627" s="8"/>
      <c r="BE627" s="8"/>
      <c r="BF627" s="8"/>
      <c r="BG627" s="8">
        <v>81.23</v>
      </c>
      <c r="BH627" s="9">
        <f t="shared" si="81"/>
        <v>2398.02</v>
      </c>
      <c r="BI627" s="9">
        <f t="shared" si="82"/>
        <v>6.55</v>
      </c>
      <c r="BJ627" s="9">
        <f t="shared" si="83"/>
        <v>5.53</v>
      </c>
      <c r="BK627" s="9">
        <f t="shared" si="84"/>
        <v>29.292570000000001</v>
      </c>
      <c r="BL627" s="9">
        <f t="shared" si="85"/>
        <v>0</v>
      </c>
      <c r="BM627" s="9">
        <f t="shared" si="86"/>
        <v>0</v>
      </c>
      <c r="BN627" s="9">
        <f t="shared" si="87"/>
        <v>1208.52</v>
      </c>
      <c r="BO627" s="9">
        <f t="shared" si="88"/>
        <v>10.8</v>
      </c>
      <c r="BP627" s="9">
        <f t="shared" si="89"/>
        <v>0</v>
      </c>
    </row>
    <row r="628" spans="1:68">
      <c r="A628" s="6">
        <v>44670</v>
      </c>
      <c r="B628" s="7">
        <v>3302</v>
      </c>
      <c r="C628" s="8"/>
      <c r="D628" s="8">
        <v>865.64</v>
      </c>
      <c r="E628" s="8"/>
      <c r="F628" s="8"/>
      <c r="G628" s="8"/>
      <c r="H628" s="8"/>
      <c r="I628" s="8"/>
      <c r="J628" s="8"/>
      <c r="K628" s="8"/>
      <c r="L628" s="8"/>
      <c r="M628" s="8">
        <v>1.31</v>
      </c>
      <c r="N628" s="8"/>
      <c r="O628" s="8"/>
      <c r="P628" s="8"/>
      <c r="Q628" s="11"/>
      <c r="R628" s="11"/>
      <c r="S628" s="8">
        <v>6.52</v>
      </c>
      <c r="T628" s="8">
        <v>8.6999999999999993</v>
      </c>
      <c r="U628" s="8"/>
      <c r="V628" s="8"/>
      <c r="W628" s="8"/>
      <c r="X628" s="8"/>
      <c r="Y628" s="8"/>
      <c r="Z628" s="8"/>
      <c r="AA628" s="8"/>
      <c r="AB628" s="8"/>
      <c r="AC628" s="8">
        <v>5.22</v>
      </c>
      <c r="AD628" s="8"/>
      <c r="AE628" s="8"/>
      <c r="AF628" s="8"/>
      <c r="AG628" s="8">
        <v>8.83</v>
      </c>
      <c r="AH628" s="8"/>
      <c r="AI628" s="8"/>
      <c r="AJ628" s="8"/>
      <c r="AK628" s="8"/>
      <c r="AL628" s="8"/>
      <c r="AM628" s="8"/>
      <c r="AN628" s="8"/>
      <c r="AO628" s="8"/>
      <c r="AP628" s="11"/>
      <c r="AQ628" s="8"/>
      <c r="AR628" s="8"/>
      <c r="AS628" s="8"/>
      <c r="AT628" s="8"/>
      <c r="AU628" s="8">
        <v>435.19</v>
      </c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>
        <v>31.3</v>
      </c>
      <c r="BH628" s="9">
        <f t="shared" si="81"/>
        <v>865.64</v>
      </c>
      <c r="BI628" s="9">
        <f t="shared" si="82"/>
        <v>1.31</v>
      </c>
      <c r="BJ628" s="9">
        <f t="shared" si="83"/>
        <v>6.52</v>
      </c>
      <c r="BK628" s="9">
        <f t="shared" si="84"/>
        <v>8.6999999999999993</v>
      </c>
      <c r="BL628" s="9">
        <f t="shared" si="85"/>
        <v>0</v>
      </c>
      <c r="BM628" s="9">
        <f t="shared" si="86"/>
        <v>14.05</v>
      </c>
      <c r="BN628" s="9">
        <f t="shared" si="87"/>
        <v>435.19</v>
      </c>
      <c r="BO628" s="9">
        <f t="shared" si="88"/>
        <v>0</v>
      </c>
      <c r="BP628" s="9">
        <f t="shared" si="89"/>
        <v>0</v>
      </c>
    </row>
    <row r="629" spans="1:68">
      <c r="A629" s="6">
        <v>44670</v>
      </c>
      <c r="B629" s="7">
        <v>3201</v>
      </c>
      <c r="C629" s="8">
        <v>1166.31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>
        <v>2.94</v>
      </c>
      <c r="P629" s="8"/>
      <c r="Q629" s="11"/>
      <c r="R629" s="11"/>
      <c r="S629" s="8">
        <v>4.4400000000000004</v>
      </c>
      <c r="T629" s="8"/>
      <c r="U629" s="8">
        <v>17.59</v>
      </c>
      <c r="V629" s="8"/>
      <c r="W629" s="8"/>
      <c r="X629" s="8"/>
      <c r="Y629" s="8"/>
      <c r="Z629" s="8">
        <v>245.96</v>
      </c>
      <c r="AA629" s="8"/>
      <c r="AB629" s="8"/>
      <c r="AC629" s="8"/>
      <c r="AD629" s="8"/>
      <c r="AE629" s="8">
        <f>1533*11.7/1000</f>
        <v>17.9361</v>
      </c>
      <c r="AF629" s="8">
        <v>57.81</v>
      </c>
      <c r="AG629" s="8"/>
      <c r="AH629" s="8"/>
      <c r="AI629" s="8"/>
      <c r="AJ629" s="8"/>
      <c r="AK629" s="8"/>
      <c r="AL629" s="8"/>
      <c r="AM629" s="8"/>
      <c r="AN629" s="8"/>
      <c r="AO629" s="8"/>
      <c r="AP629" s="11"/>
      <c r="AQ629" s="8"/>
      <c r="AR629" s="8"/>
      <c r="AS629" s="8"/>
      <c r="AT629" s="8">
        <v>811.7</v>
      </c>
      <c r="AU629" s="8"/>
      <c r="AV629" s="8"/>
      <c r="AW629" s="8"/>
      <c r="AX629" s="8"/>
      <c r="AY629" s="8"/>
      <c r="AZ629" s="8"/>
      <c r="BA629" s="8"/>
      <c r="BB629" s="8"/>
      <c r="BC629" s="8">
        <v>3.04</v>
      </c>
      <c r="BD629" s="8"/>
      <c r="BE629" s="8"/>
      <c r="BF629" s="8">
        <v>56.11</v>
      </c>
      <c r="BG629" s="8">
        <v>58.14</v>
      </c>
      <c r="BH629" s="9">
        <f t="shared" si="81"/>
        <v>1166.31</v>
      </c>
      <c r="BI629" s="9">
        <f t="shared" si="82"/>
        <v>2.94</v>
      </c>
      <c r="BJ629" s="9">
        <f t="shared" si="83"/>
        <v>4.4400000000000004</v>
      </c>
      <c r="BK629" s="9">
        <f t="shared" si="84"/>
        <v>17.59</v>
      </c>
      <c r="BL629" s="9">
        <f t="shared" si="85"/>
        <v>245.96</v>
      </c>
      <c r="BM629" s="9">
        <f t="shared" si="86"/>
        <v>75.746099999999998</v>
      </c>
      <c r="BN629" s="9">
        <f t="shared" si="87"/>
        <v>811.7</v>
      </c>
      <c r="BO629" s="9">
        <f t="shared" si="88"/>
        <v>3.04</v>
      </c>
      <c r="BP629" s="9">
        <f t="shared" si="89"/>
        <v>56.11</v>
      </c>
    </row>
    <row r="630" spans="1:68">
      <c r="A630" s="6">
        <v>44671</v>
      </c>
      <c r="B630" s="7">
        <v>3200</v>
      </c>
      <c r="C630" s="8">
        <v>4373.38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>
        <v>10.95</v>
      </c>
      <c r="P630" s="8"/>
      <c r="Q630" s="11"/>
      <c r="R630" s="11"/>
      <c r="S630" s="8">
        <v>17.079999999999998</v>
      </c>
      <c r="T630" s="8"/>
      <c r="U630" s="8">
        <v>65.69</v>
      </c>
      <c r="V630" s="8"/>
      <c r="W630" s="8"/>
      <c r="X630" s="8"/>
      <c r="Y630" s="8"/>
      <c r="Z630" s="8">
        <v>918.91</v>
      </c>
      <c r="AA630" s="8"/>
      <c r="AB630" s="8"/>
      <c r="AC630" s="8"/>
      <c r="AD630" s="8"/>
      <c r="AE630" s="8">
        <f>1508*43.77/1000</f>
        <v>66.005160000000004</v>
      </c>
      <c r="AF630" s="8">
        <v>217.99</v>
      </c>
      <c r="AG630" s="8"/>
      <c r="AH630" s="8"/>
      <c r="AI630" s="8"/>
      <c r="AJ630" s="8"/>
      <c r="AK630" s="8"/>
      <c r="AL630" s="8"/>
      <c r="AM630" s="8"/>
      <c r="AN630" s="8"/>
      <c r="AO630" s="8"/>
      <c r="AP630" s="11"/>
      <c r="AQ630" s="8"/>
      <c r="AR630" s="8"/>
      <c r="AS630" s="8"/>
      <c r="AT630" s="8">
        <v>2994.96</v>
      </c>
      <c r="AU630" s="8"/>
      <c r="AV630" s="8"/>
      <c r="AW630" s="8">
        <v>12.57</v>
      </c>
      <c r="AX630" s="8"/>
      <c r="AY630" s="8"/>
      <c r="AZ630" s="8"/>
      <c r="BA630" s="8"/>
      <c r="BB630" s="8"/>
      <c r="BC630" s="8"/>
      <c r="BD630" s="8"/>
      <c r="BE630" s="8"/>
      <c r="BF630" s="8">
        <v>210.06</v>
      </c>
      <c r="BG630" s="8">
        <v>216.49</v>
      </c>
      <c r="BH630" s="9">
        <f t="shared" si="81"/>
        <v>4373.38</v>
      </c>
      <c r="BI630" s="9">
        <f t="shared" si="82"/>
        <v>10.95</v>
      </c>
      <c r="BJ630" s="9">
        <f t="shared" si="83"/>
        <v>17.079999999999998</v>
      </c>
      <c r="BK630" s="9">
        <f t="shared" si="84"/>
        <v>65.69</v>
      </c>
      <c r="BL630" s="9">
        <f t="shared" si="85"/>
        <v>918.91</v>
      </c>
      <c r="BM630" s="9">
        <f t="shared" si="86"/>
        <v>283.99516</v>
      </c>
      <c r="BN630" s="9">
        <f t="shared" si="87"/>
        <v>2994.96</v>
      </c>
      <c r="BO630" s="9">
        <f t="shared" si="88"/>
        <v>12.57</v>
      </c>
      <c r="BP630" s="9">
        <f t="shared" si="89"/>
        <v>210.06</v>
      </c>
    </row>
    <row r="631" spans="1:68">
      <c r="A631" s="6">
        <v>44671</v>
      </c>
      <c r="B631" s="7">
        <v>3408</v>
      </c>
      <c r="C631" s="8">
        <v>2215.65</v>
      </c>
      <c r="D631" s="8"/>
      <c r="E631" s="8"/>
      <c r="F631" s="8"/>
      <c r="G631" s="8"/>
      <c r="H631" s="8"/>
      <c r="I631" s="8"/>
      <c r="J631" s="8"/>
      <c r="K631" s="8"/>
      <c r="L631" s="8"/>
      <c r="M631" s="8">
        <v>5.9</v>
      </c>
      <c r="N631" s="8"/>
      <c r="O631" s="8"/>
      <c r="P631" s="8"/>
      <c r="Q631" s="11"/>
      <c r="R631" s="11"/>
      <c r="S631" s="8">
        <v>5.59</v>
      </c>
      <c r="T631" s="8">
        <v>22.32</v>
      </c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11"/>
      <c r="AQ631" s="8"/>
      <c r="AR631" s="8"/>
      <c r="AS631" s="8"/>
      <c r="AT631" s="8">
        <v>1141</v>
      </c>
      <c r="AU631" s="8"/>
      <c r="AV631" s="8"/>
      <c r="AW631" s="8"/>
      <c r="AX631" s="8"/>
      <c r="AY631" s="8"/>
      <c r="AZ631" s="8"/>
      <c r="BA631" s="8">
        <v>9.91</v>
      </c>
      <c r="BB631" s="8"/>
      <c r="BC631" s="8"/>
      <c r="BD631" s="8"/>
      <c r="BE631" s="8"/>
      <c r="BF631" s="8"/>
      <c r="BG631" s="8">
        <v>77.63</v>
      </c>
      <c r="BH631" s="9">
        <f t="shared" si="81"/>
        <v>2215.65</v>
      </c>
      <c r="BI631" s="9">
        <f t="shared" si="82"/>
        <v>5.9</v>
      </c>
      <c r="BJ631" s="9">
        <f t="shared" si="83"/>
        <v>5.59</v>
      </c>
      <c r="BK631" s="9">
        <f t="shared" si="84"/>
        <v>22.32</v>
      </c>
      <c r="BL631" s="9">
        <f t="shared" si="85"/>
        <v>0</v>
      </c>
      <c r="BM631" s="9">
        <f t="shared" si="86"/>
        <v>0</v>
      </c>
      <c r="BN631" s="9">
        <f t="shared" si="87"/>
        <v>1141</v>
      </c>
      <c r="BO631" s="9">
        <f t="shared" si="88"/>
        <v>9.91</v>
      </c>
      <c r="BP631" s="9">
        <f t="shared" si="89"/>
        <v>0</v>
      </c>
    </row>
    <row r="632" spans="1:68">
      <c r="A632" s="6">
        <v>44671</v>
      </c>
      <c r="B632" s="7">
        <v>3141</v>
      </c>
      <c r="C632" s="8">
        <v>2421.13</v>
      </c>
      <c r="D632" s="8">
        <v>427.21</v>
      </c>
      <c r="E632" s="8"/>
      <c r="F632" s="8"/>
      <c r="G632" s="8"/>
      <c r="H632" s="8"/>
      <c r="I632" s="8"/>
      <c r="J632" s="8"/>
      <c r="K632" s="8"/>
      <c r="L632" s="8"/>
      <c r="M632" s="8">
        <v>7.47</v>
      </c>
      <c r="N632" s="8"/>
      <c r="O632" s="8"/>
      <c r="P632" s="8"/>
      <c r="Q632" s="11"/>
      <c r="R632" s="11"/>
      <c r="S632" s="8">
        <v>13.4</v>
      </c>
      <c r="T632" s="8">
        <v>21.38</v>
      </c>
      <c r="U632" s="8">
        <v>21.36</v>
      </c>
      <c r="V632" s="8"/>
      <c r="W632" s="8"/>
      <c r="X632" s="8"/>
      <c r="Y632" s="8"/>
      <c r="Z632" s="8"/>
      <c r="AA632" s="8"/>
      <c r="AB632" s="8"/>
      <c r="AC632" s="8">
        <v>11.4</v>
      </c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11"/>
      <c r="AQ632" s="8"/>
      <c r="AR632" s="8"/>
      <c r="AS632" s="8"/>
      <c r="AT632" s="8">
        <v>1912.34</v>
      </c>
      <c r="AU632" s="8"/>
      <c r="AV632" s="8"/>
      <c r="AW632" s="8"/>
      <c r="AX632" s="8"/>
      <c r="AY632" s="8"/>
      <c r="AZ632" s="8"/>
      <c r="BA632" s="8">
        <v>65.38</v>
      </c>
      <c r="BB632" s="8"/>
      <c r="BC632" s="8"/>
      <c r="BD632" s="8"/>
      <c r="BE632" s="8"/>
      <c r="BF632" s="8">
        <v>199.24</v>
      </c>
      <c r="BG632" s="8">
        <v>148.30000000000001</v>
      </c>
      <c r="BH632" s="9">
        <f t="shared" si="81"/>
        <v>2848.34</v>
      </c>
      <c r="BI632" s="9">
        <f t="shared" si="82"/>
        <v>7.47</v>
      </c>
      <c r="BJ632" s="9">
        <f t="shared" si="83"/>
        <v>13.4</v>
      </c>
      <c r="BK632" s="9">
        <f t="shared" si="84"/>
        <v>42.739999999999995</v>
      </c>
      <c r="BL632" s="9">
        <f t="shared" si="85"/>
        <v>0</v>
      </c>
      <c r="BM632" s="9">
        <f t="shared" si="86"/>
        <v>11.4</v>
      </c>
      <c r="BN632" s="9">
        <f t="shared" si="87"/>
        <v>1912.34</v>
      </c>
      <c r="BO632" s="9">
        <f t="shared" si="88"/>
        <v>65.38</v>
      </c>
      <c r="BP632" s="9">
        <f t="shared" si="89"/>
        <v>199.24</v>
      </c>
    </row>
    <row r="633" spans="1:68">
      <c r="A633" s="6">
        <v>44671</v>
      </c>
      <c r="B633" s="7">
        <v>3079</v>
      </c>
      <c r="C633" s="8"/>
      <c r="D633" s="8"/>
      <c r="E633" s="8"/>
      <c r="F633" s="8">
        <v>500.28</v>
      </c>
      <c r="G633" s="8"/>
      <c r="H633" s="8"/>
      <c r="I633" s="8">
        <v>4046.94</v>
      </c>
      <c r="J633" s="8"/>
      <c r="K633" s="8"/>
      <c r="L633" s="8"/>
      <c r="M633" s="8"/>
      <c r="N633" s="8">
        <v>34.119999999999997</v>
      </c>
      <c r="O633" s="8"/>
      <c r="P633" s="8"/>
      <c r="Q633" s="11"/>
      <c r="R633" s="11"/>
      <c r="S633" s="8">
        <v>1.81</v>
      </c>
      <c r="T633" s="8">
        <v>45.53</v>
      </c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>
        <v>18.22</v>
      </c>
      <c r="AN633" s="8">
        <f>1704*26.75/1000</f>
        <v>45.582000000000001</v>
      </c>
      <c r="AO633" s="8"/>
      <c r="AP633" s="11"/>
      <c r="AQ633" s="8"/>
      <c r="AR633" s="8">
        <f>4247*26.75/1000</f>
        <v>113.60724999999999</v>
      </c>
      <c r="AS633" s="8"/>
      <c r="AT633" s="8">
        <v>1730.24</v>
      </c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>
        <v>125.03</v>
      </c>
      <c r="BH633" s="9">
        <f t="shared" si="81"/>
        <v>4547.22</v>
      </c>
      <c r="BI633" s="9">
        <f t="shared" si="82"/>
        <v>34.119999999999997</v>
      </c>
      <c r="BJ633" s="9">
        <f t="shared" si="83"/>
        <v>1.81</v>
      </c>
      <c r="BK633" s="9">
        <f t="shared" si="84"/>
        <v>45.53</v>
      </c>
      <c r="BL633" s="9">
        <f t="shared" si="85"/>
        <v>0</v>
      </c>
      <c r="BM633" s="9">
        <f t="shared" si="86"/>
        <v>177.40924999999999</v>
      </c>
      <c r="BN633" s="9">
        <f t="shared" si="87"/>
        <v>1730.24</v>
      </c>
      <c r="BO633" s="9">
        <f t="shared" si="88"/>
        <v>0</v>
      </c>
      <c r="BP633" s="9">
        <f t="shared" si="89"/>
        <v>0</v>
      </c>
    </row>
    <row r="634" spans="1:68">
      <c r="A634" s="6">
        <v>44671</v>
      </c>
      <c r="B634" s="7">
        <v>3125</v>
      </c>
      <c r="C634" s="8">
        <v>630.05999999999995</v>
      </c>
      <c r="D634" s="8"/>
      <c r="E634" s="8"/>
      <c r="F634" s="8"/>
      <c r="G634" s="8"/>
      <c r="H634" s="8"/>
      <c r="I634" s="8"/>
      <c r="J634" s="8"/>
      <c r="K634" s="8"/>
      <c r="L634" s="8"/>
      <c r="M634" s="8">
        <v>1.63</v>
      </c>
      <c r="N634" s="8"/>
      <c r="O634" s="8"/>
      <c r="P634" s="8"/>
      <c r="Q634" s="11"/>
      <c r="R634" s="11"/>
      <c r="S634" s="8">
        <v>1.9</v>
      </c>
      <c r="T634" s="8">
        <v>8.01</v>
      </c>
      <c r="U634" s="8"/>
      <c r="V634" s="8"/>
      <c r="W634" s="8"/>
      <c r="X634" s="8"/>
      <c r="Y634" s="8"/>
      <c r="Z634" s="8"/>
      <c r="AA634" s="8"/>
      <c r="AB634" s="8"/>
      <c r="AC634" s="8">
        <v>2.52</v>
      </c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11"/>
      <c r="AQ634" s="8"/>
      <c r="AR634" s="8"/>
      <c r="AS634" s="8"/>
      <c r="AT634" s="8">
        <v>360.6</v>
      </c>
      <c r="AU634" s="8"/>
      <c r="AV634" s="8">
        <v>9.4700000000000006</v>
      </c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>
        <v>27.19</v>
      </c>
      <c r="BH634" s="9">
        <f t="shared" si="81"/>
        <v>630.05999999999995</v>
      </c>
      <c r="BI634" s="9">
        <f t="shared" si="82"/>
        <v>1.63</v>
      </c>
      <c r="BJ634" s="9">
        <f t="shared" si="83"/>
        <v>1.9</v>
      </c>
      <c r="BK634" s="9">
        <f t="shared" si="84"/>
        <v>8.01</v>
      </c>
      <c r="BL634" s="9">
        <f t="shared" si="85"/>
        <v>0</v>
      </c>
      <c r="BM634" s="9">
        <f t="shared" si="86"/>
        <v>2.52</v>
      </c>
      <c r="BN634" s="9">
        <f t="shared" si="87"/>
        <v>360.6</v>
      </c>
      <c r="BO634" s="9">
        <f t="shared" si="88"/>
        <v>9.4700000000000006</v>
      </c>
      <c r="BP634" s="9">
        <f t="shared" si="89"/>
        <v>0</v>
      </c>
    </row>
    <row r="635" spans="1:68">
      <c r="A635" s="6">
        <v>44671</v>
      </c>
      <c r="B635" s="7">
        <v>3106</v>
      </c>
      <c r="C635" s="8">
        <v>4164.88</v>
      </c>
      <c r="D635" s="8"/>
      <c r="E635" s="8"/>
      <c r="F635" s="8"/>
      <c r="G635" s="8"/>
      <c r="H635" s="8"/>
      <c r="I635" s="8"/>
      <c r="J635" s="8"/>
      <c r="K635" s="8"/>
      <c r="L635" s="8"/>
      <c r="M635" s="8">
        <v>10.78</v>
      </c>
      <c r="N635" s="8"/>
      <c r="O635" s="8"/>
      <c r="P635" s="8"/>
      <c r="Q635" s="11"/>
      <c r="R635" s="11"/>
      <c r="S635" s="8">
        <v>12.53</v>
      </c>
      <c r="T635" s="8">
        <v>52.94</v>
      </c>
      <c r="U635" s="8"/>
      <c r="V635" s="8"/>
      <c r="W635" s="8"/>
      <c r="X635" s="8"/>
      <c r="Y635" s="8"/>
      <c r="Z635" s="8"/>
      <c r="AA635" s="8"/>
      <c r="AB635" s="8"/>
      <c r="AC635" s="8">
        <v>16.670000000000002</v>
      </c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11"/>
      <c r="AQ635" s="8"/>
      <c r="AR635" s="8"/>
      <c r="AS635" s="8"/>
      <c r="AT635" s="8">
        <v>2384.15</v>
      </c>
      <c r="AU635" s="8"/>
      <c r="AV635" s="8"/>
      <c r="AW635" s="8"/>
      <c r="AX635" s="8">
        <v>5.22</v>
      </c>
      <c r="AY635" s="8"/>
      <c r="AZ635" s="8"/>
      <c r="BA635" s="8"/>
      <c r="BB635" s="8"/>
      <c r="BC635" s="8"/>
      <c r="BD635" s="8"/>
      <c r="BE635" s="8"/>
      <c r="BF635" s="8"/>
      <c r="BG635" s="8">
        <v>179.5</v>
      </c>
      <c r="BH635" s="9">
        <f t="shared" si="81"/>
        <v>4164.88</v>
      </c>
      <c r="BI635" s="9">
        <f t="shared" si="82"/>
        <v>10.78</v>
      </c>
      <c r="BJ635" s="9">
        <f t="shared" si="83"/>
        <v>12.53</v>
      </c>
      <c r="BK635" s="9">
        <f t="shared" si="84"/>
        <v>52.94</v>
      </c>
      <c r="BL635" s="9">
        <f t="shared" si="85"/>
        <v>0</v>
      </c>
      <c r="BM635" s="9">
        <f t="shared" si="86"/>
        <v>16.670000000000002</v>
      </c>
      <c r="BN635" s="9">
        <f t="shared" si="87"/>
        <v>2384.15</v>
      </c>
      <c r="BO635" s="9">
        <f t="shared" si="88"/>
        <v>5.22</v>
      </c>
      <c r="BP635" s="9">
        <f t="shared" si="89"/>
        <v>0</v>
      </c>
    </row>
    <row r="636" spans="1:68">
      <c r="A636" s="6">
        <v>44671</v>
      </c>
      <c r="B636" s="7">
        <v>3135</v>
      </c>
      <c r="C636" s="8">
        <v>1050.47</v>
      </c>
      <c r="D636" s="8">
        <v>149.55000000000001</v>
      </c>
      <c r="E636" s="8"/>
      <c r="F636" s="8"/>
      <c r="G636" s="8"/>
      <c r="H636" s="8">
        <v>496.66</v>
      </c>
      <c r="I636" s="8"/>
      <c r="J636" s="8"/>
      <c r="K636" s="8"/>
      <c r="L636" s="8"/>
      <c r="M636" s="8">
        <v>3.3</v>
      </c>
      <c r="N636" s="8"/>
      <c r="O636" s="8"/>
      <c r="P636" s="8"/>
      <c r="Q636" s="11"/>
      <c r="R636" s="11"/>
      <c r="S636" s="8">
        <v>6.78</v>
      </c>
      <c r="T636" s="8">
        <v>10.32</v>
      </c>
      <c r="U636" s="8">
        <v>8.84</v>
      </c>
      <c r="V636" s="8"/>
      <c r="W636" s="8"/>
      <c r="X636" s="8"/>
      <c r="Y636" s="8"/>
      <c r="Z636" s="8"/>
      <c r="AA636" s="8"/>
      <c r="AB636" s="8"/>
      <c r="AC636" s="8">
        <v>5.89</v>
      </c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11"/>
      <c r="AQ636" s="8"/>
      <c r="AR636" s="8"/>
      <c r="AS636" s="8"/>
      <c r="AT636" s="8">
        <v>1039.49</v>
      </c>
      <c r="AU636" s="8"/>
      <c r="AV636" s="8"/>
      <c r="AW636" s="8"/>
      <c r="AX636" s="8"/>
      <c r="AY636" s="8"/>
      <c r="AZ636" s="8"/>
      <c r="BA636" s="8">
        <v>33.590000000000003</v>
      </c>
      <c r="BB636" s="8"/>
      <c r="BC636" s="8"/>
      <c r="BD636" s="8"/>
      <c r="BE636" s="8"/>
      <c r="BF636" s="8">
        <v>66.3</v>
      </c>
      <c r="BG636" s="8">
        <v>78.34</v>
      </c>
      <c r="BH636" s="9">
        <f t="shared" si="81"/>
        <v>1696.68</v>
      </c>
      <c r="BI636" s="9">
        <f t="shared" si="82"/>
        <v>3.3</v>
      </c>
      <c r="BJ636" s="9">
        <f t="shared" si="83"/>
        <v>6.78</v>
      </c>
      <c r="BK636" s="9">
        <f t="shared" si="84"/>
        <v>19.16</v>
      </c>
      <c r="BL636" s="9">
        <f t="shared" si="85"/>
        <v>0</v>
      </c>
      <c r="BM636" s="9">
        <f t="shared" si="86"/>
        <v>5.89</v>
      </c>
      <c r="BN636" s="9">
        <f t="shared" si="87"/>
        <v>1039.49</v>
      </c>
      <c r="BO636" s="9">
        <f t="shared" si="88"/>
        <v>33.590000000000003</v>
      </c>
      <c r="BP636" s="9">
        <f t="shared" si="89"/>
        <v>66.3</v>
      </c>
    </row>
    <row r="637" spans="1:68">
      <c r="A637" s="6">
        <v>44672</v>
      </c>
      <c r="B637" s="7">
        <v>3117</v>
      </c>
      <c r="C637" s="8">
        <v>847.24</v>
      </c>
      <c r="D637" s="8"/>
      <c r="E637" s="8"/>
      <c r="F637" s="8"/>
      <c r="G637" s="8"/>
      <c r="H637" s="8"/>
      <c r="I637" s="8"/>
      <c r="J637" s="8"/>
      <c r="K637" s="8"/>
      <c r="L637" s="8"/>
      <c r="M637" s="8">
        <v>1.94</v>
      </c>
      <c r="N637" s="8"/>
      <c r="O637" s="8"/>
      <c r="P637" s="8"/>
      <c r="Q637" s="11"/>
      <c r="R637" s="11"/>
      <c r="S637" s="8">
        <v>2.99</v>
      </c>
      <c r="T637" s="8">
        <v>8.5299999999999994</v>
      </c>
      <c r="U637" s="8"/>
      <c r="V637" s="8"/>
      <c r="W637" s="8"/>
      <c r="X637" s="8"/>
      <c r="Y637" s="8"/>
      <c r="Z637" s="8"/>
      <c r="AA637" s="8"/>
      <c r="AB637" s="8"/>
      <c r="AC637" s="8">
        <v>3.4</v>
      </c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11"/>
      <c r="AQ637" s="8"/>
      <c r="AR637" s="8"/>
      <c r="AS637" s="8"/>
      <c r="AT637" s="8">
        <v>537.11</v>
      </c>
      <c r="AU637" s="8"/>
      <c r="AV637" s="8">
        <v>21.33</v>
      </c>
      <c r="AW637" s="8"/>
      <c r="AX637" s="8"/>
      <c r="AY637" s="8"/>
      <c r="AZ637" s="8"/>
      <c r="BA637" s="8"/>
      <c r="BB637" s="8"/>
      <c r="BC637" s="8"/>
      <c r="BD637" s="8"/>
      <c r="BE637" s="8"/>
      <c r="BF637" s="8">
        <v>34.020000000000003</v>
      </c>
      <c r="BG637" s="8">
        <v>40.85</v>
      </c>
      <c r="BH637" s="9">
        <f t="shared" si="81"/>
        <v>847.24</v>
      </c>
      <c r="BI637" s="9">
        <f t="shared" si="82"/>
        <v>1.94</v>
      </c>
      <c r="BJ637" s="9">
        <f t="shared" si="83"/>
        <v>2.99</v>
      </c>
      <c r="BK637" s="9">
        <f t="shared" si="84"/>
        <v>8.5299999999999994</v>
      </c>
      <c r="BL637" s="9">
        <f t="shared" si="85"/>
        <v>0</v>
      </c>
      <c r="BM637" s="9">
        <f t="shared" si="86"/>
        <v>3.4</v>
      </c>
      <c r="BN637" s="9">
        <f t="shared" si="87"/>
        <v>537.11</v>
      </c>
      <c r="BO637" s="9">
        <f t="shared" si="88"/>
        <v>21.33</v>
      </c>
      <c r="BP637" s="9">
        <f t="shared" si="89"/>
        <v>34.020000000000003</v>
      </c>
    </row>
    <row r="638" spans="1:68">
      <c r="A638" s="6">
        <v>44672</v>
      </c>
      <c r="B638" s="7">
        <v>3601</v>
      </c>
      <c r="C638" s="8">
        <v>283.8</v>
      </c>
      <c r="D638" s="8"/>
      <c r="E638" s="8"/>
      <c r="F638" s="8"/>
      <c r="G638" s="8">
        <v>426.89</v>
      </c>
      <c r="H638" s="8"/>
      <c r="I638" s="8"/>
      <c r="J638" s="8"/>
      <c r="K638" s="8"/>
      <c r="L638" s="8"/>
      <c r="M638" s="8">
        <v>0.86</v>
      </c>
      <c r="N638" s="8"/>
      <c r="O638" s="8"/>
      <c r="P638" s="8"/>
      <c r="Q638" s="11"/>
      <c r="R638" s="11"/>
      <c r="S638" s="8">
        <v>3.68</v>
      </c>
      <c r="T638" s="8"/>
      <c r="U638" s="8">
        <v>4.28</v>
      </c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11"/>
      <c r="AQ638" s="8"/>
      <c r="AR638" s="8"/>
      <c r="AS638" s="8"/>
      <c r="AT638" s="8">
        <v>349.13</v>
      </c>
      <c r="AU638" s="8"/>
      <c r="AV638" s="8"/>
      <c r="AW638" s="8">
        <v>21.66</v>
      </c>
      <c r="AX638" s="8"/>
      <c r="AY638" s="8"/>
      <c r="AZ638" s="8"/>
      <c r="BA638" s="8"/>
      <c r="BB638" s="8"/>
      <c r="BC638" s="8"/>
      <c r="BD638" s="8"/>
      <c r="BE638" s="8"/>
      <c r="BF638" s="8">
        <v>39.880000000000003</v>
      </c>
      <c r="BG638" s="8">
        <v>26.57</v>
      </c>
      <c r="BH638" s="9">
        <f t="shared" si="81"/>
        <v>710.69</v>
      </c>
      <c r="BI638" s="9">
        <f t="shared" si="82"/>
        <v>0.86</v>
      </c>
      <c r="BJ638" s="9">
        <f t="shared" si="83"/>
        <v>3.68</v>
      </c>
      <c r="BK638" s="9">
        <f t="shared" si="84"/>
        <v>4.28</v>
      </c>
      <c r="BL638" s="9">
        <f t="shared" si="85"/>
        <v>0</v>
      </c>
      <c r="BM638" s="9">
        <f t="shared" si="86"/>
        <v>0</v>
      </c>
      <c r="BN638" s="9">
        <f t="shared" si="87"/>
        <v>349.13</v>
      </c>
      <c r="BO638" s="9">
        <f t="shared" si="88"/>
        <v>21.66</v>
      </c>
      <c r="BP638" s="9">
        <f t="shared" si="89"/>
        <v>39.880000000000003</v>
      </c>
    </row>
    <row r="639" spans="1:68">
      <c r="A639" s="6">
        <v>44672</v>
      </c>
      <c r="B639" s="7">
        <v>3139</v>
      </c>
      <c r="C639" s="8">
        <v>825.66</v>
      </c>
      <c r="D639" s="8"/>
      <c r="E639" s="8"/>
      <c r="F639" s="8"/>
      <c r="G639" s="8"/>
      <c r="H639" s="8">
        <v>340.79</v>
      </c>
      <c r="I639" s="8"/>
      <c r="J639" s="8"/>
      <c r="K639" s="8"/>
      <c r="L639" s="8"/>
      <c r="M639" s="8">
        <v>1.93</v>
      </c>
      <c r="N639" s="8"/>
      <c r="O639" s="8"/>
      <c r="P639" s="8"/>
      <c r="Q639" s="11"/>
      <c r="R639" s="11"/>
      <c r="S639" s="8">
        <v>3.45</v>
      </c>
      <c r="T639" s="8">
        <v>12.21</v>
      </c>
      <c r="U639" s="8"/>
      <c r="V639" s="8"/>
      <c r="W639" s="8"/>
      <c r="X639" s="8"/>
      <c r="Y639" s="8"/>
      <c r="Z639" s="8"/>
      <c r="AA639" s="8"/>
      <c r="AB639" s="8"/>
      <c r="AC639" s="8">
        <v>4.07</v>
      </c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11"/>
      <c r="AQ639" s="8"/>
      <c r="AR639" s="8"/>
      <c r="AS639" s="8"/>
      <c r="AT639" s="8">
        <v>602.01</v>
      </c>
      <c r="AU639" s="8"/>
      <c r="AV639" s="8">
        <v>20.309999999999999</v>
      </c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>
        <v>43.69</v>
      </c>
      <c r="BH639" s="9">
        <f t="shared" si="81"/>
        <v>1166.45</v>
      </c>
      <c r="BI639" s="9">
        <f t="shared" si="82"/>
        <v>1.93</v>
      </c>
      <c r="BJ639" s="9">
        <f t="shared" si="83"/>
        <v>3.45</v>
      </c>
      <c r="BK639" s="9">
        <f t="shared" si="84"/>
        <v>12.21</v>
      </c>
      <c r="BL639" s="9">
        <f t="shared" si="85"/>
        <v>0</v>
      </c>
      <c r="BM639" s="9">
        <f t="shared" si="86"/>
        <v>4.07</v>
      </c>
      <c r="BN639" s="9">
        <f t="shared" si="87"/>
        <v>602.01</v>
      </c>
      <c r="BO639" s="9">
        <f t="shared" si="88"/>
        <v>20.309999999999999</v>
      </c>
      <c r="BP639" s="9">
        <f t="shared" si="89"/>
        <v>0</v>
      </c>
    </row>
    <row r="640" spans="1:68">
      <c r="A640" s="6">
        <v>44672</v>
      </c>
      <c r="B640" s="7">
        <v>3122</v>
      </c>
      <c r="C640" s="8">
        <v>1274.93</v>
      </c>
      <c r="D640" s="8"/>
      <c r="E640" s="8"/>
      <c r="F640" s="8"/>
      <c r="G640" s="8"/>
      <c r="H640" s="8"/>
      <c r="I640" s="8"/>
      <c r="J640" s="8"/>
      <c r="K640" s="8"/>
      <c r="L640" s="8"/>
      <c r="M640" s="8">
        <v>2.2599999999999998</v>
      </c>
      <c r="N640" s="8">
        <v>2.27</v>
      </c>
      <c r="O640" s="8"/>
      <c r="P640" s="8"/>
      <c r="Q640" s="11"/>
      <c r="R640" s="11"/>
      <c r="S640" s="8">
        <v>5.0999999999999996</v>
      </c>
      <c r="T640" s="8">
        <v>8.99</v>
      </c>
      <c r="U640" s="8">
        <v>3.82</v>
      </c>
      <c r="V640" s="8"/>
      <c r="W640" s="8"/>
      <c r="X640" s="8"/>
      <c r="Y640" s="8"/>
      <c r="Z640" s="8"/>
      <c r="AA640" s="8"/>
      <c r="AB640" s="8"/>
      <c r="AC640" s="8">
        <v>5.0999999999999996</v>
      </c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11"/>
      <c r="AQ640" s="8"/>
      <c r="AR640" s="8"/>
      <c r="AS640" s="8"/>
      <c r="AT640" s="8">
        <v>565.65</v>
      </c>
      <c r="AU640" s="8"/>
      <c r="AV640" s="8">
        <v>43.32</v>
      </c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>
        <v>41.41</v>
      </c>
      <c r="BH640" s="9">
        <f t="shared" si="81"/>
        <v>1274.93</v>
      </c>
      <c r="BI640" s="9">
        <f t="shared" si="82"/>
        <v>4.5299999999999994</v>
      </c>
      <c r="BJ640" s="9">
        <f t="shared" si="83"/>
        <v>5.0999999999999996</v>
      </c>
      <c r="BK640" s="9">
        <f t="shared" si="84"/>
        <v>12.81</v>
      </c>
      <c r="BL640" s="9">
        <f t="shared" si="85"/>
        <v>0</v>
      </c>
      <c r="BM640" s="9">
        <f t="shared" si="86"/>
        <v>5.0999999999999996</v>
      </c>
      <c r="BN640" s="9">
        <f t="shared" si="87"/>
        <v>565.65</v>
      </c>
      <c r="BO640" s="9">
        <f t="shared" si="88"/>
        <v>43.32</v>
      </c>
      <c r="BP640" s="9">
        <f t="shared" si="89"/>
        <v>0</v>
      </c>
    </row>
    <row r="641" spans="1:68">
      <c r="A641" s="6">
        <v>44672</v>
      </c>
      <c r="B641" s="7">
        <v>3023</v>
      </c>
      <c r="C641" s="8"/>
      <c r="D641" s="8">
        <v>1660.16</v>
      </c>
      <c r="E641" s="8"/>
      <c r="F641" s="8"/>
      <c r="G641" s="8"/>
      <c r="H641" s="8"/>
      <c r="I641" s="8">
        <v>890.57</v>
      </c>
      <c r="J641" s="8"/>
      <c r="K641" s="8"/>
      <c r="L641" s="8"/>
      <c r="M641" s="8"/>
      <c r="N641" s="8">
        <v>14.28</v>
      </c>
      <c r="O641" s="8"/>
      <c r="P641" s="8"/>
      <c r="Q641" s="11"/>
      <c r="R641" s="11"/>
      <c r="S641" s="8">
        <v>4.09</v>
      </c>
      <c r="T641" s="8"/>
      <c r="U641" s="8"/>
      <c r="V641" s="8"/>
      <c r="W641" s="8">
        <v>23.03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>
        <v>25.55</v>
      </c>
      <c r="AN641" s="8">
        <v>17.600000000000001</v>
      </c>
      <c r="AO641" s="8"/>
      <c r="AP641" s="11"/>
      <c r="AQ641" s="8"/>
      <c r="AR641" s="8"/>
      <c r="AS641" s="8">
        <v>82.54</v>
      </c>
      <c r="AT641" s="8">
        <v>1044.42</v>
      </c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>
        <v>79.069999999999993</v>
      </c>
      <c r="BH641" s="9">
        <f t="shared" si="81"/>
        <v>2550.73</v>
      </c>
      <c r="BI641" s="9">
        <f t="shared" si="82"/>
        <v>14.28</v>
      </c>
      <c r="BJ641" s="9">
        <f t="shared" si="83"/>
        <v>4.09</v>
      </c>
      <c r="BK641" s="9">
        <f t="shared" si="84"/>
        <v>23.03</v>
      </c>
      <c r="BL641" s="9">
        <f t="shared" si="85"/>
        <v>0</v>
      </c>
      <c r="BM641" s="9">
        <f t="shared" si="86"/>
        <v>125.69000000000001</v>
      </c>
      <c r="BN641" s="9">
        <f t="shared" si="87"/>
        <v>1044.42</v>
      </c>
      <c r="BO641" s="9">
        <f t="shared" si="88"/>
        <v>0</v>
      </c>
      <c r="BP641" s="9">
        <f t="shared" si="89"/>
        <v>0</v>
      </c>
    </row>
    <row r="642" spans="1:68">
      <c r="A642" s="6">
        <v>44672</v>
      </c>
      <c r="B642" s="7">
        <v>3020</v>
      </c>
      <c r="C642" s="8">
        <v>246.05</v>
      </c>
      <c r="D642" s="8"/>
      <c r="E642" s="8"/>
      <c r="F642" s="8"/>
      <c r="G642" s="8"/>
      <c r="H642" s="8"/>
      <c r="I642" s="8">
        <v>1374.13</v>
      </c>
      <c r="J642" s="8"/>
      <c r="K642" s="8"/>
      <c r="L642" s="8"/>
      <c r="M642" s="8"/>
      <c r="N642" s="8">
        <v>9.73</v>
      </c>
      <c r="O642" s="8"/>
      <c r="P642" s="8"/>
      <c r="Q642" s="11"/>
      <c r="R642" s="11"/>
      <c r="S642" s="8">
        <v>2.92</v>
      </c>
      <c r="T642" s="8"/>
      <c r="U642" s="8"/>
      <c r="V642" s="8"/>
      <c r="W642" s="8">
        <v>16.440000000000001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>
        <v>16.2</v>
      </c>
      <c r="AN642" s="8"/>
      <c r="AO642" s="8"/>
      <c r="AP642" s="11"/>
      <c r="AQ642" s="8"/>
      <c r="AR642" s="8"/>
      <c r="AS642" s="8">
        <v>41.01</v>
      </c>
      <c r="AT642" s="8">
        <v>796.12</v>
      </c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>
        <v>58.35</v>
      </c>
      <c r="BH642" s="9">
        <f t="shared" si="81"/>
        <v>1620.18</v>
      </c>
      <c r="BI642" s="9">
        <f t="shared" si="82"/>
        <v>9.73</v>
      </c>
      <c r="BJ642" s="9">
        <f t="shared" si="83"/>
        <v>2.92</v>
      </c>
      <c r="BK642" s="9">
        <f t="shared" si="84"/>
        <v>16.440000000000001</v>
      </c>
      <c r="BL642" s="9">
        <f t="shared" si="85"/>
        <v>0</v>
      </c>
      <c r="BM642" s="9">
        <f t="shared" si="86"/>
        <v>57.209999999999994</v>
      </c>
      <c r="BN642" s="9">
        <f t="shared" si="87"/>
        <v>796.12</v>
      </c>
      <c r="BO642" s="9">
        <f t="shared" si="88"/>
        <v>0</v>
      </c>
      <c r="BP642" s="9">
        <f t="shared" si="89"/>
        <v>0</v>
      </c>
    </row>
    <row r="643" spans="1:68">
      <c r="A643" s="6">
        <v>44672</v>
      </c>
      <c r="B643" s="7">
        <v>3408</v>
      </c>
      <c r="C643" s="8">
        <v>1149.3900000000001</v>
      </c>
      <c r="D643" s="8"/>
      <c r="E643" s="8"/>
      <c r="F643" s="8"/>
      <c r="G643" s="8"/>
      <c r="H643" s="8"/>
      <c r="I643" s="8"/>
      <c r="J643" s="8"/>
      <c r="K643" s="8"/>
      <c r="L643" s="8"/>
      <c r="M643" s="8">
        <v>3.03</v>
      </c>
      <c r="N643" s="8"/>
      <c r="O643" s="8"/>
      <c r="P643" s="8"/>
      <c r="Q643" s="11"/>
      <c r="R643" s="11"/>
      <c r="S643" s="8">
        <v>2.9</v>
      </c>
      <c r="T643" s="8">
        <v>11.6</v>
      </c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11"/>
      <c r="AQ643" s="8"/>
      <c r="AR643" s="8"/>
      <c r="AS643" s="8"/>
      <c r="AT643" s="8">
        <v>592.92999999999995</v>
      </c>
      <c r="AU643" s="8"/>
      <c r="AV643" s="8"/>
      <c r="AW643" s="8"/>
      <c r="AX643" s="8"/>
      <c r="AY643" s="8"/>
      <c r="AZ643" s="8"/>
      <c r="BA643" s="8">
        <v>5.14</v>
      </c>
      <c r="BB643" s="8"/>
      <c r="BC643" s="8"/>
      <c r="BD643" s="8"/>
      <c r="BE643" s="8"/>
      <c r="BF643" s="8"/>
      <c r="BG643" s="8">
        <v>40.46</v>
      </c>
      <c r="BH643" s="9">
        <f t="shared" si="81"/>
        <v>1149.3900000000001</v>
      </c>
      <c r="BI643" s="9">
        <f t="shared" si="82"/>
        <v>3.03</v>
      </c>
      <c r="BJ643" s="9">
        <f t="shared" si="83"/>
        <v>2.9</v>
      </c>
      <c r="BK643" s="9">
        <f t="shared" si="84"/>
        <v>11.6</v>
      </c>
      <c r="BL643" s="9">
        <f t="shared" si="85"/>
        <v>0</v>
      </c>
      <c r="BM643" s="9">
        <f t="shared" si="86"/>
        <v>0</v>
      </c>
      <c r="BN643" s="9">
        <f t="shared" si="87"/>
        <v>592.92999999999995</v>
      </c>
      <c r="BO643" s="9">
        <f t="shared" si="88"/>
        <v>5.14</v>
      </c>
      <c r="BP643" s="9">
        <f t="shared" si="89"/>
        <v>0</v>
      </c>
    </row>
    <row r="644" spans="1:68">
      <c r="A644" s="6">
        <v>44672</v>
      </c>
      <c r="B644" s="7">
        <v>3502</v>
      </c>
      <c r="C644" s="8">
        <v>956.88</v>
      </c>
      <c r="D644" s="8">
        <v>640.63</v>
      </c>
      <c r="E644" s="8"/>
      <c r="F644" s="8"/>
      <c r="G644" s="8"/>
      <c r="H644" s="8"/>
      <c r="I644" s="8"/>
      <c r="J644" s="8"/>
      <c r="K644" s="8"/>
      <c r="L644" s="8"/>
      <c r="M644" s="8">
        <v>2.4500000000000002</v>
      </c>
      <c r="N644" s="8">
        <v>2.39</v>
      </c>
      <c r="O644" s="8"/>
      <c r="P644" s="8"/>
      <c r="Q644" s="11"/>
      <c r="R644" s="11"/>
      <c r="S644" s="8">
        <v>6.29</v>
      </c>
      <c r="T644" s="8"/>
      <c r="U644" s="8">
        <v>16.03</v>
      </c>
      <c r="V644" s="8"/>
      <c r="W644" s="8"/>
      <c r="X644" s="8"/>
      <c r="Y644" s="8"/>
      <c r="Z644" s="8">
        <v>320.75</v>
      </c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11"/>
      <c r="AQ644" s="8"/>
      <c r="AR644" s="8"/>
      <c r="AS644" s="8"/>
      <c r="AT644" s="8">
        <v>662.69</v>
      </c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>
        <v>51.98</v>
      </c>
      <c r="BH644" s="9">
        <f t="shared" ref="BH644:BH707" si="90">SUM(C644:L644)</f>
        <v>1597.51</v>
      </c>
      <c r="BI644" s="9">
        <f t="shared" ref="BI644:BI707" si="91">SUM(M644:R644)</f>
        <v>4.84</v>
      </c>
      <c r="BJ644" s="9">
        <f t="shared" ref="BJ644:BJ707" si="92">SUM(S644)</f>
        <v>6.29</v>
      </c>
      <c r="BK644" s="9">
        <f t="shared" ref="BK644:BK707" si="93">SUM(T644:Y644)</f>
        <v>16.03</v>
      </c>
      <c r="BL644" s="9">
        <f t="shared" ref="BL644:BL707" si="94">SUM(Z644:AA644)</f>
        <v>320.75</v>
      </c>
      <c r="BM644" s="9">
        <f t="shared" ref="BM644:BM707" si="95">SUM(AB644:AS644)</f>
        <v>0</v>
      </c>
      <c r="BN644" s="9">
        <f t="shared" ref="BN644:BN707" si="96">SUM(AT644:AU644)</f>
        <v>662.69</v>
      </c>
      <c r="BO644" s="9">
        <f t="shared" ref="BO644:BO707" si="97">SUM(AV644:BE644)</f>
        <v>0</v>
      </c>
      <c r="BP644" s="9">
        <f t="shared" ref="BP644:BP707" si="98">SUM(BF644)</f>
        <v>0</v>
      </c>
    </row>
    <row r="645" spans="1:68">
      <c r="A645" s="6">
        <v>44672</v>
      </c>
      <c r="B645" s="7">
        <v>3106</v>
      </c>
      <c r="C645" s="8">
        <v>4098.71</v>
      </c>
      <c r="D645" s="8"/>
      <c r="E645" s="8"/>
      <c r="F645" s="8"/>
      <c r="G645" s="8"/>
      <c r="H645" s="8"/>
      <c r="I645" s="8"/>
      <c r="J645" s="8"/>
      <c r="K645" s="8"/>
      <c r="L645" s="8"/>
      <c r="M645" s="8">
        <v>10.25</v>
      </c>
      <c r="N645" s="8"/>
      <c r="O645" s="8"/>
      <c r="P645" s="8"/>
      <c r="Q645" s="11"/>
      <c r="R645" s="11"/>
      <c r="S645" s="8">
        <v>12.33</v>
      </c>
      <c r="T645" s="8">
        <v>52.25</v>
      </c>
      <c r="U645" s="8"/>
      <c r="V645" s="8"/>
      <c r="W645" s="8"/>
      <c r="X645" s="8"/>
      <c r="Y645" s="8"/>
      <c r="Z645" s="8"/>
      <c r="AA645" s="8"/>
      <c r="AB645" s="8"/>
      <c r="AC645" s="8">
        <v>16.399999999999999</v>
      </c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11"/>
      <c r="AQ645" s="8"/>
      <c r="AR645" s="8"/>
      <c r="AS645" s="8"/>
      <c r="AT645" s="8">
        <v>2346.75</v>
      </c>
      <c r="AU645" s="8"/>
      <c r="AV645" s="8"/>
      <c r="AW645" s="8"/>
      <c r="AX645" s="8">
        <v>5.13</v>
      </c>
      <c r="AY645" s="8"/>
      <c r="AZ645" s="8"/>
      <c r="BA645" s="8"/>
      <c r="BB645" s="8"/>
      <c r="BC645" s="8"/>
      <c r="BD645" s="8"/>
      <c r="BE645" s="8"/>
      <c r="BF645" s="8"/>
      <c r="BG645" s="8">
        <v>176.43</v>
      </c>
      <c r="BH645" s="9">
        <f t="shared" si="90"/>
        <v>4098.71</v>
      </c>
      <c r="BI645" s="9">
        <f t="shared" si="91"/>
        <v>10.25</v>
      </c>
      <c r="BJ645" s="9">
        <f t="shared" si="92"/>
        <v>12.33</v>
      </c>
      <c r="BK645" s="9">
        <f t="shared" si="93"/>
        <v>52.25</v>
      </c>
      <c r="BL645" s="9">
        <f t="shared" si="94"/>
        <v>0</v>
      </c>
      <c r="BM645" s="9">
        <f t="shared" si="95"/>
        <v>16.399999999999999</v>
      </c>
      <c r="BN645" s="9">
        <f t="shared" si="96"/>
        <v>2346.75</v>
      </c>
      <c r="BO645" s="9">
        <f t="shared" si="97"/>
        <v>5.13</v>
      </c>
      <c r="BP645" s="9">
        <f t="shared" si="98"/>
        <v>0</v>
      </c>
    </row>
    <row r="646" spans="1:68">
      <c r="A646" s="6">
        <v>44672</v>
      </c>
      <c r="B646" s="7">
        <v>3141</v>
      </c>
      <c r="C646" s="8">
        <v>3587.94</v>
      </c>
      <c r="D646" s="8">
        <v>632.42999999999995</v>
      </c>
      <c r="E646" s="8"/>
      <c r="F646" s="8"/>
      <c r="G646" s="8"/>
      <c r="H646" s="8"/>
      <c r="I646" s="8"/>
      <c r="J646" s="8"/>
      <c r="K646" s="8"/>
      <c r="L646" s="8"/>
      <c r="M646" s="8">
        <v>10.38</v>
      </c>
      <c r="N646" s="8"/>
      <c r="O646" s="8"/>
      <c r="P646" s="8"/>
      <c r="Q646" s="11"/>
      <c r="R646" s="11"/>
      <c r="S646" s="8">
        <v>19.899999999999999</v>
      </c>
      <c r="T646" s="8">
        <v>31.75</v>
      </c>
      <c r="U646" s="8">
        <v>31.76</v>
      </c>
      <c r="V646" s="8"/>
      <c r="W646" s="8"/>
      <c r="X646" s="8"/>
      <c r="Y646" s="8"/>
      <c r="Z646" s="8"/>
      <c r="AA646" s="8"/>
      <c r="AB646" s="8"/>
      <c r="AC646" s="8">
        <v>16.940000000000001</v>
      </c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11"/>
      <c r="AQ646" s="8"/>
      <c r="AR646" s="8"/>
      <c r="AS646" s="8"/>
      <c r="AT646" s="8">
        <v>2803.96</v>
      </c>
      <c r="AU646" s="8"/>
      <c r="AV646" s="8"/>
      <c r="AW646" s="8"/>
      <c r="AX646" s="8"/>
      <c r="AY646" s="8"/>
      <c r="AZ646" s="8"/>
      <c r="BA646" s="8">
        <v>96.93</v>
      </c>
      <c r="BB646" s="8"/>
      <c r="BC646" s="8"/>
      <c r="BD646" s="8"/>
      <c r="BE646" s="8"/>
      <c r="BF646" s="8">
        <v>295.83999999999997</v>
      </c>
      <c r="BG646" s="8">
        <v>220.16</v>
      </c>
      <c r="BH646" s="9">
        <f t="shared" si="90"/>
        <v>4220.37</v>
      </c>
      <c r="BI646" s="9">
        <f t="shared" si="91"/>
        <v>10.38</v>
      </c>
      <c r="BJ646" s="9">
        <f t="shared" si="92"/>
        <v>19.899999999999999</v>
      </c>
      <c r="BK646" s="9">
        <f t="shared" si="93"/>
        <v>63.510000000000005</v>
      </c>
      <c r="BL646" s="9">
        <f t="shared" si="94"/>
        <v>0</v>
      </c>
      <c r="BM646" s="9">
        <f t="shared" si="95"/>
        <v>16.940000000000001</v>
      </c>
      <c r="BN646" s="9">
        <f t="shared" si="96"/>
        <v>2803.96</v>
      </c>
      <c r="BO646" s="9">
        <f t="shared" si="97"/>
        <v>96.93</v>
      </c>
      <c r="BP646" s="9">
        <f t="shared" si="98"/>
        <v>295.83999999999997</v>
      </c>
    </row>
    <row r="647" spans="1:68">
      <c r="A647" s="6">
        <v>44673</v>
      </c>
      <c r="B647" s="7">
        <v>3200</v>
      </c>
      <c r="C647" s="8">
        <v>2278.9699999999998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>
        <v>5.73</v>
      </c>
      <c r="P647" s="8"/>
      <c r="Q647" s="11"/>
      <c r="R647" s="11"/>
      <c r="S647" s="8">
        <v>8.89</v>
      </c>
      <c r="T647" s="8"/>
      <c r="U647" s="8">
        <v>34.24</v>
      </c>
      <c r="V647" s="8"/>
      <c r="W647" s="8"/>
      <c r="X647" s="8"/>
      <c r="Y647" s="8"/>
      <c r="Z647" s="8">
        <v>479.46</v>
      </c>
      <c r="AA647" s="8"/>
      <c r="AB647" s="8"/>
      <c r="AC647" s="8"/>
      <c r="AD647" s="8"/>
      <c r="AE647" s="8">
        <v>34.25</v>
      </c>
      <c r="AF647" s="8">
        <v>114.03</v>
      </c>
      <c r="AG647" s="8"/>
      <c r="AH647" s="8"/>
      <c r="AI647" s="8"/>
      <c r="AJ647" s="8"/>
      <c r="AK647" s="8"/>
      <c r="AL647" s="8"/>
      <c r="AM647" s="8"/>
      <c r="AN647" s="8"/>
      <c r="AO647" s="8"/>
      <c r="AP647" s="11"/>
      <c r="AQ647" s="8"/>
      <c r="AR647" s="8"/>
      <c r="AS647" s="8"/>
      <c r="AT647" s="8">
        <v>1562.43</v>
      </c>
      <c r="AU647" s="8"/>
      <c r="AV647" s="8"/>
      <c r="AW647" s="8">
        <v>6.5</v>
      </c>
      <c r="AX647" s="8"/>
      <c r="AY647" s="8"/>
      <c r="AZ647" s="8"/>
      <c r="BA647" s="8"/>
      <c r="BB647" s="8"/>
      <c r="BC647" s="8"/>
      <c r="BD647" s="8"/>
      <c r="BE647" s="8"/>
      <c r="BF647" s="8">
        <v>109.55</v>
      </c>
      <c r="BG647" s="8">
        <v>112.9</v>
      </c>
      <c r="BH647" s="9">
        <f t="shared" si="90"/>
        <v>2278.9699999999998</v>
      </c>
      <c r="BI647" s="9">
        <f t="shared" si="91"/>
        <v>5.73</v>
      </c>
      <c r="BJ647" s="9">
        <f t="shared" si="92"/>
        <v>8.89</v>
      </c>
      <c r="BK647" s="9">
        <f t="shared" si="93"/>
        <v>34.24</v>
      </c>
      <c r="BL647" s="9">
        <f t="shared" si="94"/>
        <v>479.46</v>
      </c>
      <c r="BM647" s="9">
        <f t="shared" si="95"/>
        <v>148.28</v>
      </c>
      <c r="BN647" s="9">
        <f t="shared" si="96"/>
        <v>1562.43</v>
      </c>
      <c r="BO647" s="9">
        <f t="shared" si="97"/>
        <v>6.5</v>
      </c>
      <c r="BP647" s="9">
        <f t="shared" si="98"/>
        <v>109.55</v>
      </c>
    </row>
    <row r="648" spans="1:68">
      <c r="A648" s="6">
        <v>44673</v>
      </c>
      <c r="B648" s="7">
        <v>3010</v>
      </c>
      <c r="C648" s="8">
        <v>1166.5999999999999</v>
      </c>
      <c r="D648" s="8">
        <v>779.98</v>
      </c>
      <c r="E648" s="8"/>
      <c r="F648" s="8"/>
      <c r="G648" s="8"/>
      <c r="H648" s="8"/>
      <c r="I648" s="8"/>
      <c r="J648" s="8"/>
      <c r="K648" s="8"/>
      <c r="L648" s="8"/>
      <c r="M648" s="8"/>
      <c r="N648" s="8">
        <v>3.9</v>
      </c>
      <c r="O648" s="8"/>
      <c r="P648" s="8"/>
      <c r="Q648" s="11"/>
      <c r="R648" s="11"/>
      <c r="S648" s="8">
        <v>5.26</v>
      </c>
      <c r="T648" s="8">
        <v>19.46</v>
      </c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11"/>
      <c r="AQ648" s="8"/>
      <c r="AR648" s="8"/>
      <c r="AS648" s="8"/>
      <c r="AT648" s="8">
        <v>652.30999999999995</v>
      </c>
      <c r="AU648" s="8"/>
      <c r="AV648" s="8"/>
      <c r="AW648" s="8">
        <v>21.62</v>
      </c>
      <c r="AX648" s="8"/>
      <c r="AY648" s="8"/>
      <c r="AZ648" s="8"/>
      <c r="BA648" s="8"/>
      <c r="BB648" s="8"/>
      <c r="BC648" s="8"/>
      <c r="BD648" s="8"/>
      <c r="BE648" s="8"/>
      <c r="BF648" s="8"/>
      <c r="BG648" s="8">
        <v>42.93</v>
      </c>
      <c r="BH648" s="9">
        <f t="shared" si="90"/>
        <v>1946.58</v>
      </c>
      <c r="BI648" s="9">
        <f t="shared" si="91"/>
        <v>3.9</v>
      </c>
      <c r="BJ648" s="9">
        <f t="shared" si="92"/>
        <v>5.26</v>
      </c>
      <c r="BK648" s="9">
        <f t="shared" si="93"/>
        <v>19.46</v>
      </c>
      <c r="BL648" s="9">
        <f t="shared" si="94"/>
        <v>0</v>
      </c>
      <c r="BM648" s="9">
        <f t="shared" si="95"/>
        <v>0</v>
      </c>
      <c r="BN648" s="9">
        <f t="shared" si="96"/>
        <v>652.30999999999995</v>
      </c>
      <c r="BO648" s="9">
        <f t="shared" si="97"/>
        <v>21.62</v>
      </c>
      <c r="BP648" s="9">
        <f t="shared" si="98"/>
        <v>0</v>
      </c>
    </row>
    <row r="649" spans="1:68">
      <c r="A649" s="6">
        <v>44673</v>
      </c>
      <c r="B649" s="7">
        <v>3022</v>
      </c>
      <c r="C649" s="8"/>
      <c r="D649" s="8">
        <v>335.53</v>
      </c>
      <c r="E649" s="8"/>
      <c r="F649" s="8"/>
      <c r="G649" s="8"/>
      <c r="H649" s="8"/>
      <c r="I649" s="8">
        <v>273.68</v>
      </c>
      <c r="J649" s="8"/>
      <c r="K649" s="8"/>
      <c r="L649" s="8"/>
      <c r="M649" s="8"/>
      <c r="N649" s="8">
        <v>3.05</v>
      </c>
      <c r="O649" s="8"/>
      <c r="P649" s="8"/>
      <c r="Q649" s="11"/>
      <c r="R649" s="11"/>
      <c r="S649" s="8">
        <v>1.1000000000000001</v>
      </c>
      <c r="T649" s="8"/>
      <c r="U649" s="8"/>
      <c r="V649" s="8"/>
      <c r="W649" s="8">
        <v>6.08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>
        <v>7.93</v>
      </c>
      <c r="AN649" s="8"/>
      <c r="AO649" s="8"/>
      <c r="AP649" s="11"/>
      <c r="AQ649" s="8"/>
      <c r="AR649" s="8"/>
      <c r="AS649" s="8">
        <v>21.25</v>
      </c>
      <c r="AT649" s="8">
        <v>285.14999999999998</v>
      </c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>
        <v>22.03</v>
      </c>
      <c r="BH649" s="9">
        <f t="shared" si="90"/>
        <v>609.21</v>
      </c>
      <c r="BI649" s="9">
        <f t="shared" si="91"/>
        <v>3.05</v>
      </c>
      <c r="BJ649" s="9">
        <f t="shared" si="92"/>
        <v>1.1000000000000001</v>
      </c>
      <c r="BK649" s="9">
        <f t="shared" si="93"/>
        <v>6.08</v>
      </c>
      <c r="BL649" s="9">
        <f t="shared" si="94"/>
        <v>0</v>
      </c>
      <c r="BM649" s="9">
        <f t="shared" si="95"/>
        <v>29.18</v>
      </c>
      <c r="BN649" s="9">
        <f t="shared" si="96"/>
        <v>285.14999999999998</v>
      </c>
      <c r="BO649" s="9">
        <f t="shared" si="97"/>
        <v>0</v>
      </c>
      <c r="BP649" s="9">
        <f t="shared" si="98"/>
        <v>0</v>
      </c>
    </row>
    <row r="650" spans="1:68">
      <c r="A650" s="6">
        <v>44673</v>
      </c>
      <c r="B650" s="7">
        <v>3025</v>
      </c>
      <c r="C650" s="8"/>
      <c r="D650" s="8">
        <v>117.93</v>
      </c>
      <c r="E650" s="8"/>
      <c r="F650" s="8"/>
      <c r="G650" s="8"/>
      <c r="H650" s="8"/>
      <c r="I650" s="8">
        <v>657.67</v>
      </c>
      <c r="J650" s="8"/>
      <c r="K650" s="8"/>
      <c r="L650" s="8"/>
      <c r="M650" s="8"/>
      <c r="N650" s="8">
        <v>4.17</v>
      </c>
      <c r="O650" s="8"/>
      <c r="P650" s="8"/>
      <c r="Q650" s="11"/>
      <c r="R650" s="11"/>
      <c r="S650" s="8">
        <v>1.24</v>
      </c>
      <c r="T650" s="8"/>
      <c r="U650" s="8"/>
      <c r="V650" s="8"/>
      <c r="W650" s="8">
        <v>7.1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>
        <v>7.76</v>
      </c>
      <c r="AN650" s="8">
        <v>5.47</v>
      </c>
      <c r="AO650" s="8"/>
      <c r="AP650" s="11"/>
      <c r="AQ650" s="8"/>
      <c r="AR650" s="8"/>
      <c r="AS650" s="8">
        <v>25.73</v>
      </c>
      <c r="AT650" s="8">
        <v>268.22000000000003</v>
      </c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>
        <v>17.79</v>
      </c>
      <c r="BH650" s="9">
        <f t="shared" si="90"/>
        <v>775.59999999999991</v>
      </c>
      <c r="BI650" s="9">
        <f t="shared" si="91"/>
        <v>4.17</v>
      </c>
      <c r="BJ650" s="9">
        <f t="shared" si="92"/>
        <v>1.24</v>
      </c>
      <c r="BK650" s="9">
        <f t="shared" si="93"/>
        <v>7.1</v>
      </c>
      <c r="BL650" s="9">
        <f t="shared" si="94"/>
        <v>0</v>
      </c>
      <c r="BM650" s="9">
        <f t="shared" si="95"/>
        <v>38.96</v>
      </c>
      <c r="BN650" s="9">
        <f t="shared" si="96"/>
        <v>268.22000000000003</v>
      </c>
      <c r="BO650" s="9">
        <f t="shared" si="97"/>
        <v>0</v>
      </c>
      <c r="BP650" s="9">
        <f t="shared" si="98"/>
        <v>0</v>
      </c>
    </row>
    <row r="651" spans="1:68">
      <c r="A651" s="6">
        <v>44673</v>
      </c>
      <c r="B651" s="7">
        <v>3029</v>
      </c>
      <c r="C651" s="8"/>
      <c r="D651" s="8">
        <v>462.7</v>
      </c>
      <c r="E651" s="8"/>
      <c r="F651" s="8">
        <v>326.33999999999997</v>
      </c>
      <c r="G651" s="8"/>
      <c r="H651" s="8"/>
      <c r="I651" s="8">
        <v>1932.61</v>
      </c>
      <c r="J651" s="8"/>
      <c r="K651" s="8"/>
      <c r="L651" s="8"/>
      <c r="M651" s="8"/>
      <c r="N651" s="8">
        <v>20.440000000000001</v>
      </c>
      <c r="O651" s="8"/>
      <c r="P651" s="8"/>
      <c r="Q651" s="11"/>
      <c r="R651" s="11"/>
      <c r="S651" s="8">
        <v>1.63</v>
      </c>
      <c r="T651" s="8"/>
      <c r="U651" s="8"/>
      <c r="V651" s="8"/>
      <c r="W651" s="8">
        <v>27.71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>
        <v>9.52</v>
      </c>
      <c r="AN651" s="8">
        <v>13.68</v>
      </c>
      <c r="AO651" s="8"/>
      <c r="AP651" s="11"/>
      <c r="AQ651" s="8"/>
      <c r="AR651" s="8">
        <v>83.4</v>
      </c>
      <c r="AS651" s="8"/>
      <c r="AT651" s="8">
        <v>1036.1500000000001</v>
      </c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>
        <v>72.459999999999994</v>
      </c>
      <c r="BH651" s="9">
        <f t="shared" si="90"/>
        <v>2721.6499999999996</v>
      </c>
      <c r="BI651" s="9">
        <f t="shared" si="91"/>
        <v>20.440000000000001</v>
      </c>
      <c r="BJ651" s="9">
        <f t="shared" si="92"/>
        <v>1.63</v>
      </c>
      <c r="BK651" s="9">
        <f t="shared" si="93"/>
        <v>27.71</v>
      </c>
      <c r="BL651" s="9">
        <f t="shared" si="94"/>
        <v>0</v>
      </c>
      <c r="BM651" s="9">
        <f t="shared" si="95"/>
        <v>106.60000000000001</v>
      </c>
      <c r="BN651" s="9">
        <f t="shared" si="96"/>
        <v>1036.1500000000001</v>
      </c>
      <c r="BO651" s="9">
        <f t="shared" si="97"/>
        <v>0</v>
      </c>
      <c r="BP651" s="9">
        <f t="shared" si="98"/>
        <v>0</v>
      </c>
    </row>
    <row r="652" spans="1:68">
      <c r="A652" s="6">
        <v>44673</v>
      </c>
      <c r="B652" s="7">
        <v>3405</v>
      </c>
      <c r="C652" s="8">
        <v>995.58</v>
      </c>
      <c r="D652" s="8">
        <v>248.75</v>
      </c>
      <c r="E652" s="8"/>
      <c r="F652" s="8"/>
      <c r="G652" s="8"/>
      <c r="H652" s="8"/>
      <c r="I652" s="8"/>
      <c r="J652" s="8"/>
      <c r="K652" s="8"/>
      <c r="L652" s="8"/>
      <c r="M652" s="8">
        <v>3.38</v>
      </c>
      <c r="N652" s="8"/>
      <c r="O652" s="8"/>
      <c r="P652" s="8"/>
      <c r="Q652" s="11"/>
      <c r="R652" s="11"/>
      <c r="S652" s="8">
        <v>2.86</v>
      </c>
      <c r="T652" s="8"/>
      <c r="U652" s="8"/>
      <c r="V652" s="8"/>
      <c r="W652" s="8"/>
      <c r="X652" s="8">
        <v>14.87</v>
      </c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11"/>
      <c r="AQ652" s="8"/>
      <c r="AR652" s="8"/>
      <c r="AS652" s="8"/>
      <c r="AT652" s="8">
        <v>626.19000000000005</v>
      </c>
      <c r="AU652" s="8"/>
      <c r="AV652" s="8"/>
      <c r="AW652" s="8"/>
      <c r="AX652" s="8"/>
      <c r="AY652" s="8"/>
      <c r="AZ652" s="8"/>
      <c r="BA652" s="8">
        <v>5.62</v>
      </c>
      <c r="BB652" s="8"/>
      <c r="BC652" s="8"/>
      <c r="BD652" s="8"/>
      <c r="BE652" s="8"/>
      <c r="BF652" s="8"/>
      <c r="BG652" s="8">
        <v>42.35</v>
      </c>
      <c r="BH652" s="9">
        <f t="shared" si="90"/>
        <v>1244.33</v>
      </c>
      <c r="BI652" s="9">
        <f t="shared" si="91"/>
        <v>3.38</v>
      </c>
      <c r="BJ652" s="9">
        <f t="shared" si="92"/>
        <v>2.86</v>
      </c>
      <c r="BK652" s="9">
        <f t="shared" si="93"/>
        <v>14.87</v>
      </c>
      <c r="BL652" s="9">
        <f t="shared" si="94"/>
        <v>0</v>
      </c>
      <c r="BM652" s="9">
        <f t="shared" si="95"/>
        <v>0</v>
      </c>
      <c r="BN652" s="9">
        <f t="shared" si="96"/>
        <v>626.19000000000005</v>
      </c>
      <c r="BO652" s="9">
        <f t="shared" si="97"/>
        <v>5.62</v>
      </c>
      <c r="BP652" s="9">
        <f t="shared" si="98"/>
        <v>0</v>
      </c>
    </row>
    <row r="653" spans="1:68">
      <c r="A653" s="6">
        <v>44673</v>
      </c>
      <c r="B653" s="7">
        <v>3402</v>
      </c>
      <c r="C653" s="8">
        <v>748.34</v>
      </c>
      <c r="D653" s="8">
        <v>497.9</v>
      </c>
      <c r="E653" s="8"/>
      <c r="F653" s="8"/>
      <c r="G653" s="8"/>
      <c r="H653" s="8"/>
      <c r="I653" s="8"/>
      <c r="J653" s="8"/>
      <c r="K653" s="8"/>
      <c r="L653" s="8"/>
      <c r="M653" s="8">
        <v>3.3</v>
      </c>
      <c r="N653" s="8"/>
      <c r="O653" s="8"/>
      <c r="P653" s="8"/>
      <c r="Q653" s="11"/>
      <c r="R653" s="11"/>
      <c r="S653" s="8">
        <v>2.86</v>
      </c>
      <c r="T653" s="8">
        <v>12.46</v>
      </c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11"/>
      <c r="AQ653" s="8"/>
      <c r="AR653" s="8"/>
      <c r="AS653" s="8"/>
      <c r="AT653" s="8">
        <v>588.28</v>
      </c>
      <c r="AU653" s="8"/>
      <c r="AV653" s="8"/>
      <c r="AW653" s="8"/>
      <c r="AX653" s="8"/>
      <c r="AY653" s="8"/>
      <c r="AZ653" s="8"/>
      <c r="BA653" s="8">
        <v>5.61</v>
      </c>
      <c r="BB653" s="8"/>
      <c r="BC653" s="8"/>
      <c r="BD653" s="8"/>
      <c r="BE653" s="8"/>
      <c r="BF653" s="8"/>
      <c r="BG653" s="8">
        <v>41.11</v>
      </c>
      <c r="BH653" s="9">
        <f t="shared" si="90"/>
        <v>1246.24</v>
      </c>
      <c r="BI653" s="9">
        <f t="shared" si="91"/>
        <v>3.3</v>
      </c>
      <c r="BJ653" s="9">
        <f t="shared" si="92"/>
        <v>2.86</v>
      </c>
      <c r="BK653" s="9">
        <f t="shared" si="93"/>
        <v>12.46</v>
      </c>
      <c r="BL653" s="9">
        <f t="shared" si="94"/>
        <v>0</v>
      </c>
      <c r="BM653" s="9">
        <f t="shared" si="95"/>
        <v>0</v>
      </c>
      <c r="BN653" s="9">
        <f t="shared" si="96"/>
        <v>588.28</v>
      </c>
      <c r="BO653" s="9">
        <f t="shared" si="97"/>
        <v>5.61</v>
      </c>
      <c r="BP653" s="9">
        <f t="shared" si="98"/>
        <v>0</v>
      </c>
    </row>
    <row r="654" spans="1:68">
      <c r="A654" s="6">
        <v>44673</v>
      </c>
      <c r="B654" s="7">
        <v>3141</v>
      </c>
      <c r="C654" s="8">
        <v>3632.75</v>
      </c>
      <c r="D654" s="8">
        <v>641.09</v>
      </c>
      <c r="E654" s="8"/>
      <c r="F654" s="8"/>
      <c r="G654" s="8"/>
      <c r="H654" s="8"/>
      <c r="I654" s="8"/>
      <c r="J654" s="8"/>
      <c r="K654" s="8"/>
      <c r="L654" s="8"/>
      <c r="M654" s="8">
        <v>11.13</v>
      </c>
      <c r="N654" s="8"/>
      <c r="O654" s="8"/>
      <c r="P654" s="8"/>
      <c r="Q654" s="11"/>
      <c r="R654" s="11"/>
      <c r="S654" s="8">
        <v>20.11</v>
      </c>
      <c r="T654" s="8">
        <v>32.08</v>
      </c>
      <c r="U654" s="8">
        <v>32.049999999999997</v>
      </c>
      <c r="V654" s="8"/>
      <c r="W654" s="8"/>
      <c r="X654" s="8"/>
      <c r="Y654" s="8"/>
      <c r="Z654" s="8"/>
      <c r="AA654" s="8"/>
      <c r="AB654" s="8"/>
      <c r="AC654" s="8">
        <v>17.11</v>
      </c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11"/>
      <c r="AQ654" s="8"/>
      <c r="AR654" s="8"/>
      <c r="AS654" s="8"/>
      <c r="AT654" s="8">
        <v>2826.93</v>
      </c>
      <c r="AU654" s="8"/>
      <c r="AV654" s="8"/>
      <c r="AW654" s="8"/>
      <c r="AX654" s="8"/>
      <c r="AY654" s="8"/>
      <c r="AZ654" s="8"/>
      <c r="BA654" s="8">
        <v>98</v>
      </c>
      <c r="BB654" s="8"/>
      <c r="BC654" s="8"/>
      <c r="BD654" s="8"/>
      <c r="BE654" s="8"/>
      <c r="BF654" s="8">
        <v>299.3</v>
      </c>
      <c r="BG654" s="8">
        <v>221.75</v>
      </c>
      <c r="BH654" s="9">
        <f t="shared" si="90"/>
        <v>4273.84</v>
      </c>
      <c r="BI654" s="9">
        <f t="shared" si="91"/>
        <v>11.13</v>
      </c>
      <c r="BJ654" s="9">
        <f t="shared" si="92"/>
        <v>20.11</v>
      </c>
      <c r="BK654" s="9">
        <f t="shared" si="93"/>
        <v>64.13</v>
      </c>
      <c r="BL654" s="9">
        <f t="shared" si="94"/>
        <v>0</v>
      </c>
      <c r="BM654" s="9">
        <f t="shared" si="95"/>
        <v>17.11</v>
      </c>
      <c r="BN654" s="9">
        <f t="shared" si="96"/>
        <v>2826.93</v>
      </c>
      <c r="BO654" s="9">
        <f t="shared" si="97"/>
        <v>98</v>
      </c>
      <c r="BP654" s="9">
        <f t="shared" si="98"/>
        <v>299.3</v>
      </c>
    </row>
    <row r="655" spans="1:68">
      <c r="A655" s="6">
        <v>44673</v>
      </c>
      <c r="B655" s="7">
        <v>3110</v>
      </c>
      <c r="C655" s="8">
        <v>303.81</v>
      </c>
      <c r="D655" s="8"/>
      <c r="E655" s="8"/>
      <c r="F655" s="8"/>
      <c r="G655" s="8"/>
      <c r="H655" s="8"/>
      <c r="I655" s="8"/>
      <c r="J655" s="8"/>
      <c r="K655" s="8"/>
      <c r="L655" s="8"/>
      <c r="M655" s="8">
        <v>0.61</v>
      </c>
      <c r="N655" s="8"/>
      <c r="O655" s="8"/>
      <c r="P655" s="8"/>
      <c r="Q655" s="11"/>
      <c r="R655" s="11"/>
      <c r="S655" s="8">
        <v>1.03</v>
      </c>
      <c r="T655" s="8">
        <v>3.04</v>
      </c>
      <c r="U655" s="8"/>
      <c r="V655" s="8"/>
      <c r="W655" s="8"/>
      <c r="X655" s="8"/>
      <c r="Y655" s="8"/>
      <c r="Z655" s="8"/>
      <c r="AA655" s="8"/>
      <c r="AB655" s="8"/>
      <c r="AC655" s="8">
        <v>1.21</v>
      </c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11"/>
      <c r="AQ655" s="8"/>
      <c r="AR655" s="8"/>
      <c r="AS655" s="8"/>
      <c r="AT655" s="8">
        <v>158.35</v>
      </c>
      <c r="AU655" s="8"/>
      <c r="AV655" s="8">
        <v>5.16</v>
      </c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>
        <v>11.67</v>
      </c>
      <c r="BH655" s="9">
        <f t="shared" si="90"/>
        <v>303.81</v>
      </c>
      <c r="BI655" s="9">
        <f t="shared" si="91"/>
        <v>0.61</v>
      </c>
      <c r="BJ655" s="9">
        <f t="shared" si="92"/>
        <v>1.03</v>
      </c>
      <c r="BK655" s="9">
        <f t="shared" si="93"/>
        <v>3.04</v>
      </c>
      <c r="BL655" s="9">
        <f t="shared" si="94"/>
        <v>0</v>
      </c>
      <c r="BM655" s="9">
        <f t="shared" si="95"/>
        <v>1.21</v>
      </c>
      <c r="BN655" s="9">
        <f t="shared" si="96"/>
        <v>158.35</v>
      </c>
      <c r="BO655" s="9">
        <f t="shared" si="97"/>
        <v>5.16</v>
      </c>
      <c r="BP655" s="9">
        <f t="shared" si="98"/>
        <v>0</v>
      </c>
    </row>
    <row r="656" spans="1:68">
      <c r="A656" s="6">
        <v>44673</v>
      </c>
      <c r="B656" s="7">
        <v>3121</v>
      </c>
      <c r="C656" s="8">
        <v>1923.43</v>
      </c>
      <c r="D656" s="8"/>
      <c r="E656" s="8"/>
      <c r="F656" s="8"/>
      <c r="G656" s="8"/>
      <c r="H656" s="8"/>
      <c r="I656" s="8"/>
      <c r="J656" s="8"/>
      <c r="K656" s="8"/>
      <c r="L656" s="8"/>
      <c r="M656" s="8">
        <v>4.45</v>
      </c>
      <c r="N656" s="8"/>
      <c r="O656" s="8"/>
      <c r="P656" s="8"/>
      <c r="Q656" s="11"/>
      <c r="R656" s="11"/>
      <c r="S656" s="8">
        <v>6.74</v>
      </c>
      <c r="T656" s="8"/>
      <c r="U656" s="8"/>
      <c r="V656" s="8"/>
      <c r="W656" s="8"/>
      <c r="X656" s="8"/>
      <c r="Y656" s="8"/>
      <c r="Z656" s="8"/>
      <c r="AA656" s="8"/>
      <c r="AB656" s="8"/>
      <c r="AC656" s="8">
        <v>7.7</v>
      </c>
      <c r="AD656" s="8"/>
      <c r="AE656" s="8">
        <v>19.55</v>
      </c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11"/>
      <c r="AQ656" s="8"/>
      <c r="AR656" s="8"/>
      <c r="AS656" s="8"/>
      <c r="AT656" s="8">
        <v>1019.96</v>
      </c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>
        <v>75.36</v>
      </c>
      <c r="BH656" s="9">
        <f t="shared" si="90"/>
        <v>1923.43</v>
      </c>
      <c r="BI656" s="9">
        <f t="shared" si="91"/>
        <v>4.45</v>
      </c>
      <c r="BJ656" s="9">
        <f t="shared" si="92"/>
        <v>6.74</v>
      </c>
      <c r="BK656" s="9">
        <f t="shared" si="93"/>
        <v>0</v>
      </c>
      <c r="BL656" s="9">
        <f t="shared" si="94"/>
        <v>0</v>
      </c>
      <c r="BM656" s="9">
        <f t="shared" si="95"/>
        <v>27.25</v>
      </c>
      <c r="BN656" s="9">
        <f t="shared" si="96"/>
        <v>1019.96</v>
      </c>
      <c r="BO656" s="9">
        <f t="shared" si="97"/>
        <v>0</v>
      </c>
      <c r="BP656" s="9">
        <f t="shared" si="98"/>
        <v>0</v>
      </c>
    </row>
    <row r="657" spans="1:68">
      <c r="A657" s="6">
        <v>44673</v>
      </c>
      <c r="B657" s="7">
        <v>3106</v>
      </c>
      <c r="C657" s="8">
        <v>4116.13</v>
      </c>
      <c r="D657" s="8"/>
      <c r="E657" s="8"/>
      <c r="F657" s="8"/>
      <c r="G657" s="8"/>
      <c r="H657" s="8"/>
      <c r="I657" s="8"/>
      <c r="J657" s="8"/>
      <c r="K657" s="8"/>
      <c r="L657" s="8"/>
      <c r="M657" s="8">
        <v>10.3</v>
      </c>
      <c r="N657" s="8"/>
      <c r="O657" s="8"/>
      <c r="P657" s="8"/>
      <c r="Q657" s="11"/>
      <c r="R657" s="11"/>
      <c r="S657" s="8">
        <v>12.39</v>
      </c>
      <c r="T657" s="8">
        <v>52.3</v>
      </c>
      <c r="U657" s="8"/>
      <c r="V657" s="8"/>
      <c r="W657" s="8"/>
      <c r="X657" s="8"/>
      <c r="Y657" s="8"/>
      <c r="Z657" s="8"/>
      <c r="AA657" s="8"/>
      <c r="AB657" s="8"/>
      <c r="AC657" s="8">
        <v>16.48</v>
      </c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11"/>
      <c r="AQ657" s="8"/>
      <c r="AR657" s="8"/>
      <c r="AS657" s="8"/>
      <c r="AT657" s="8">
        <v>2360.2800000000002</v>
      </c>
      <c r="AU657" s="8"/>
      <c r="AV657" s="8"/>
      <c r="AW657" s="8"/>
      <c r="AX657" s="8">
        <v>5.16</v>
      </c>
      <c r="AY657" s="8"/>
      <c r="AZ657" s="8"/>
      <c r="BA657" s="8"/>
      <c r="BB657" s="8"/>
      <c r="BC657" s="8"/>
      <c r="BD657" s="8"/>
      <c r="BE657" s="8"/>
      <c r="BF657" s="8"/>
      <c r="BG657" s="8">
        <v>177.63</v>
      </c>
      <c r="BH657" s="9">
        <f t="shared" si="90"/>
        <v>4116.13</v>
      </c>
      <c r="BI657" s="9">
        <f t="shared" si="91"/>
        <v>10.3</v>
      </c>
      <c r="BJ657" s="9">
        <f t="shared" si="92"/>
        <v>12.39</v>
      </c>
      <c r="BK657" s="9">
        <f t="shared" si="93"/>
        <v>52.3</v>
      </c>
      <c r="BL657" s="9">
        <f t="shared" si="94"/>
        <v>0</v>
      </c>
      <c r="BM657" s="9">
        <f t="shared" si="95"/>
        <v>16.48</v>
      </c>
      <c r="BN657" s="9">
        <f t="shared" si="96"/>
        <v>2360.2800000000002</v>
      </c>
      <c r="BO657" s="9">
        <f t="shared" si="97"/>
        <v>5.16</v>
      </c>
      <c r="BP657" s="9">
        <f t="shared" si="98"/>
        <v>0</v>
      </c>
    </row>
    <row r="658" spans="1:68">
      <c r="A658" s="6">
        <v>44673</v>
      </c>
      <c r="B658" s="7">
        <v>3134</v>
      </c>
      <c r="C658" s="8">
        <v>1045.5899999999999</v>
      </c>
      <c r="D658" s="8">
        <v>146.94999999999999</v>
      </c>
      <c r="E658" s="8"/>
      <c r="F658" s="8"/>
      <c r="G658" s="8"/>
      <c r="H658" s="8">
        <v>494.58</v>
      </c>
      <c r="I658" s="8"/>
      <c r="J658" s="8"/>
      <c r="K658" s="8"/>
      <c r="L658" s="8"/>
      <c r="M658" s="8">
        <v>3.21</v>
      </c>
      <c r="N658" s="8"/>
      <c r="O658" s="8"/>
      <c r="P658" s="8"/>
      <c r="Q658" s="11"/>
      <c r="R658" s="11"/>
      <c r="S658" s="8">
        <v>6.65</v>
      </c>
      <c r="T658" s="8">
        <v>10.28</v>
      </c>
      <c r="U658" s="8">
        <v>8.81</v>
      </c>
      <c r="V658" s="8"/>
      <c r="W658" s="8"/>
      <c r="X658" s="8"/>
      <c r="Y658" s="8"/>
      <c r="Z658" s="8"/>
      <c r="AA658" s="8"/>
      <c r="AB658" s="8"/>
      <c r="AC658" s="8">
        <v>5.87</v>
      </c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11"/>
      <c r="AQ658" s="8"/>
      <c r="AR658" s="8"/>
      <c r="AS658" s="8"/>
      <c r="AT658" s="8">
        <v>1033.98</v>
      </c>
      <c r="AU658" s="8"/>
      <c r="AV658" s="8"/>
      <c r="AW658" s="8"/>
      <c r="AX658" s="8"/>
      <c r="AY658" s="8">
        <v>14.81</v>
      </c>
      <c r="AZ658" s="8"/>
      <c r="BA658" s="8"/>
      <c r="BB658" s="8"/>
      <c r="BC658" s="8"/>
      <c r="BD658" s="8"/>
      <c r="BE658" s="8"/>
      <c r="BF658" s="8">
        <v>66.08</v>
      </c>
      <c r="BG658" s="8">
        <v>77.819999999999993</v>
      </c>
      <c r="BH658" s="9">
        <f t="shared" si="90"/>
        <v>1687.12</v>
      </c>
      <c r="BI658" s="9">
        <f t="shared" si="91"/>
        <v>3.21</v>
      </c>
      <c r="BJ658" s="9">
        <f t="shared" si="92"/>
        <v>6.65</v>
      </c>
      <c r="BK658" s="9">
        <f t="shared" si="93"/>
        <v>19.09</v>
      </c>
      <c r="BL658" s="9">
        <f t="shared" si="94"/>
        <v>0</v>
      </c>
      <c r="BM658" s="9">
        <f t="shared" si="95"/>
        <v>5.87</v>
      </c>
      <c r="BN658" s="9">
        <f t="shared" si="96"/>
        <v>1033.98</v>
      </c>
      <c r="BO658" s="9">
        <f t="shared" si="97"/>
        <v>14.81</v>
      </c>
      <c r="BP658" s="9">
        <f t="shared" si="98"/>
        <v>66.08</v>
      </c>
    </row>
    <row r="659" spans="1:68">
      <c r="A659" s="6">
        <v>44676</v>
      </c>
      <c r="B659" s="7">
        <v>3405</v>
      </c>
      <c r="C659" s="8">
        <v>531.16</v>
      </c>
      <c r="D659" s="8">
        <v>133.11000000000001</v>
      </c>
      <c r="E659" s="8"/>
      <c r="F659" s="8"/>
      <c r="G659" s="8"/>
      <c r="H659" s="8"/>
      <c r="I659" s="8"/>
      <c r="J659" s="8"/>
      <c r="K659" s="8"/>
      <c r="L659" s="8"/>
      <c r="M659" s="8">
        <v>1.68</v>
      </c>
      <c r="N659" s="8"/>
      <c r="O659" s="8"/>
      <c r="P659" s="8"/>
      <c r="Q659" s="11"/>
      <c r="R659" s="11"/>
      <c r="S659" s="8">
        <v>1.53</v>
      </c>
      <c r="T659" s="8"/>
      <c r="U659" s="8"/>
      <c r="V659" s="8"/>
      <c r="W659" s="8"/>
      <c r="X659" s="8">
        <v>8.01</v>
      </c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11"/>
      <c r="AQ659" s="8"/>
      <c r="AR659" s="8"/>
      <c r="AS659" s="8"/>
      <c r="AT659" s="8">
        <v>335.16</v>
      </c>
      <c r="AU659" s="8"/>
      <c r="AV659" s="8"/>
      <c r="AW659" s="8"/>
      <c r="AX659" s="8"/>
      <c r="AY659" s="8"/>
      <c r="AZ659" s="8"/>
      <c r="BA659" s="8">
        <v>3.01</v>
      </c>
      <c r="BB659" s="8"/>
      <c r="BC659" s="8"/>
      <c r="BD659" s="8"/>
      <c r="BE659" s="8"/>
      <c r="BF659" s="8"/>
      <c r="BG659" s="8">
        <v>22.73</v>
      </c>
      <c r="BH659" s="9">
        <f t="shared" si="90"/>
        <v>664.27</v>
      </c>
      <c r="BI659" s="9">
        <f t="shared" si="91"/>
        <v>1.68</v>
      </c>
      <c r="BJ659" s="9">
        <f t="shared" si="92"/>
        <v>1.53</v>
      </c>
      <c r="BK659" s="9">
        <f t="shared" si="93"/>
        <v>8.01</v>
      </c>
      <c r="BL659" s="9">
        <f t="shared" si="94"/>
        <v>0</v>
      </c>
      <c r="BM659" s="9">
        <f t="shared" si="95"/>
        <v>0</v>
      </c>
      <c r="BN659" s="9">
        <f t="shared" si="96"/>
        <v>335.16</v>
      </c>
      <c r="BO659" s="9">
        <f t="shared" si="97"/>
        <v>3.01</v>
      </c>
      <c r="BP659" s="9">
        <f t="shared" si="98"/>
        <v>0</v>
      </c>
    </row>
    <row r="660" spans="1:68">
      <c r="A660" s="6">
        <v>44676</v>
      </c>
      <c r="B660" s="7">
        <v>3433</v>
      </c>
      <c r="C660" s="8">
        <v>635.11</v>
      </c>
      <c r="D660" s="8"/>
      <c r="E660" s="8"/>
      <c r="F660" s="8"/>
      <c r="G660" s="8"/>
      <c r="H660" s="8"/>
      <c r="I660" s="8"/>
      <c r="J660" s="8"/>
      <c r="K660" s="8"/>
      <c r="L660" s="8"/>
      <c r="M660" s="8">
        <v>1.35</v>
      </c>
      <c r="N660" s="8"/>
      <c r="O660" s="8"/>
      <c r="P660" s="8"/>
      <c r="Q660" s="11"/>
      <c r="R660" s="11"/>
      <c r="S660" s="8">
        <v>2.54</v>
      </c>
      <c r="T660" s="8"/>
      <c r="U660" s="8"/>
      <c r="V660" s="8"/>
      <c r="W660" s="8"/>
      <c r="X660" s="8">
        <v>6.34</v>
      </c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11"/>
      <c r="AQ660" s="8"/>
      <c r="AR660" s="8"/>
      <c r="AS660" s="8"/>
      <c r="AT660" s="8">
        <v>287.10000000000002</v>
      </c>
      <c r="AU660" s="8"/>
      <c r="AV660" s="8"/>
      <c r="AW660" s="8"/>
      <c r="AX660" s="8"/>
      <c r="AY660" s="8"/>
      <c r="AZ660" s="8"/>
      <c r="BA660" s="8">
        <v>2.85</v>
      </c>
      <c r="BB660" s="8"/>
      <c r="BC660" s="8"/>
      <c r="BD660" s="8"/>
      <c r="BE660" s="8"/>
      <c r="BF660" s="8">
        <v>31.84</v>
      </c>
      <c r="BG660" s="8">
        <v>21.21</v>
      </c>
      <c r="BH660" s="9">
        <f t="shared" si="90"/>
        <v>635.11</v>
      </c>
      <c r="BI660" s="9">
        <f t="shared" si="91"/>
        <v>1.35</v>
      </c>
      <c r="BJ660" s="9">
        <f t="shared" si="92"/>
        <v>2.54</v>
      </c>
      <c r="BK660" s="9">
        <f t="shared" si="93"/>
        <v>6.34</v>
      </c>
      <c r="BL660" s="9">
        <f t="shared" si="94"/>
        <v>0</v>
      </c>
      <c r="BM660" s="9">
        <f t="shared" si="95"/>
        <v>0</v>
      </c>
      <c r="BN660" s="9">
        <f t="shared" si="96"/>
        <v>287.10000000000002</v>
      </c>
      <c r="BO660" s="9">
        <f t="shared" si="97"/>
        <v>2.85</v>
      </c>
      <c r="BP660" s="9">
        <f t="shared" si="98"/>
        <v>31.84</v>
      </c>
    </row>
    <row r="661" spans="1:68">
      <c r="A661" s="6">
        <v>44676</v>
      </c>
      <c r="B661" s="7">
        <v>3141</v>
      </c>
      <c r="C661" s="8">
        <v>4745.67</v>
      </c>
      <c r="D661" s="8">
        <v>837.82</v>
      </c>
      <c r="E661" s="8"/>
      <c r="F661" s="8"/>
      <c r="G661" s="8"/>
      <c r="H661" s="8"/>
      <c r="I661" s="8"/>
      <c r="J661" s="8"/>
      <c r="K661" s="8"/>
      <c r="L661" s="8"/>
      <c r="M661" s="8">
        <v>14.64</v>
      </c>
      <c r="N661" s="8"/>
      <c r="O661" s="8"/>
      <c r="P661" s="8"/>
      <c r="Q661" s="11"/>
      <c r="R661" s="11"/>
      <c r="S661" s="8">
        <v>26.27</v>
      </c>
      <c r="T661" s="8">
        <v>41.95</v>
      </c>
      <c r="U661" s="8">
        <v>41.95</v>
      </c>
      <c r="V661" s="8"/>
      <c r="W661" s="8"/>
      <c r="X661" s="8"/>
      <c r="Y661" s="8"/>
      <c r="Z661" s="8"/>
      <c r="AA661" s="8"/>
      <c r="AB661" s="8"/>
      <c r="AC661" s="8">
        <v>22.35</v>
      </c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11"/>
      <c r="AQ661" s="8"/>
      <c r="AR661" s="8"/>
      <c r="AS661" s="8"/>
      <c r="AT661" s="8">
        <v>3712.07</v>
      </c>
      <c r="AU661" s="8"/>
      <c r="AV661" s="8"/>
      <c r="AW661" s="8"/>
      <c r="AX661" s="8"/>
      <c r="AY661" s="8"/>
      <c r="AZ661" s="8"/>
      <c r="BA661" s="8">
        <v>128.13</v>
      </c>
      <c r="BB661" s="8"/>
      <c r="BC661" s="8"/>
      <c r="BD661" s="8"/>
      <c r="BE661" s="8"/>
      <c r="BF661" s="8">
        <v>391.04</v>
      </c>
      <c r="BG661" s="8">
        <v>290.60000000000002</v>
      </c>
      <c r="BH661" s="9">
        <f t="shared" si="90"/>
        <v>5583.49</v>
      </c>
      <c r="BI661" s="9">
        <f t="shared" si="91"/>
        <v>14.64</v>
      </c>
      <c r="BJ661" s="9">
        <f t="shared" si="92"/>
        <v>26.27</v>
      </c>
      <c r="BK661" s="9">
        <f t="shared" si="93"/>
        <v>83.9</v>
      </c>
      <c r="BL661" s="9">
        <f t="shared" si="94"/>
        <v>0</v>
      </c>
      <c r="BM661" s="9">
        <f t="shared" si="95"/>
        <v>22.35</v>
      </c>
      <c r="BN661" s="9">
        <f t="shared" si="96"/>
        <v>3712.07</v>
      </c>
      <c r="BO661" s="9">
        <f t="shared" si="97"/>
        <v>128.13</v>
      </c>
      <c r="BP661" s="9">
        <f t="shared" si="98"/>
        <v>391.04</v>
      </c>
    </row>
    <row r="662" spans="1:68">
      <c r="A662" s="6">
        <v>44676</v>
      </c>
      <c r="B662" s="7">
        <v>3016</v>
      </c>
      <c r="C662" s="8"/>
      <c r="D662" s="8">
        <v>1587.8</v>
      </c>
      <c r="E662" s="8"/>
      <c r="F662" s="8"/>
      <c r="G662" s="8"/>
      <c r="H662" s="8"/>
      <c r="I662" s="8">
        <v>1467.48</v>
      </c>
      <c r="J662" s="8"/>
      <c r="K662" s="8"/>
      <c r="L662" s="8"/>
      <c r="M662" s="8"/>
      <c r="N662" s="8">
        <v>18.34</v>
      </c>
      <c r="O662" s="8"/>
      <c r="P662" s="8"/>
      <c r="Q662" s="11"/>
      <c r="R662" s="11"/>
      <c r="S662" s="8">
        <v>2.14</v>
      </c>
      <c r="T662" s="8">
        <v>30.59</v>
      </c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>
        <v>12.25</v>
      </c>
      <c r="AN662" s="8">
        <v>36.630000000000003</v>
      </c>
      <c r="AO662" s="8"/>
      <c r="AP662" s="11"/>
      <c r="AQ662" s="8"/>
      <c r="AR662" s="8">
        <v>76.7</v>
      </c>
      <c r="AS662" s="8"/>
      <c r="AT662" s="8">
        <v>1135.49</v>
      </c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>
        <v>82.97</v>
      </c>
      <c r="BH662" s="9">
        <f t="shared" si="90"/>
        <v>3055.2799999999997</v>
      </c>
      <c r="BI662" s="9">
        <f t="shared" si="91"/>
        <v>18.34</v>
      </c>
      <c r="BJ662" s="9">
        <f t="shared" si="92"/>
        <v>2.14</v>
      </c>
      <c r="BK662" s="9">
        <f t="shared" si="93"/>
        <v>30.59</v>
      </c>
      <c r="BL662" s="9">
        <f t="shared" si="94"/>
        <v>0</v>
      </c>
      <c r="BM662" s="9">
        <f t="shared" si="95"/>
        <v>125.58000000000001</v>
      </c>
      <c r="BN662" s="9">
        <f t="shared" si="96"/>
        <v>1135.49</v>
      </c>
      <c r="BO662" s="9">
        <f t="shared" si="97"/>
        <v>0</v>
      </c>
      <c r="BP662" s="9">
        <f t="shared" si="98"/>
        <v>0</v>
      </c>
    </row>
    <row r="663" spans="1:68">
      <c r="A663" s="6">
        <v>44676</v>
      </c>
      <c r="B663" s="7">
        <v>3083</v>
      </c>
      <c r="C663" s="8"/>
      <c r="D663" s="8">
        <v>740.58</v>
      </c>
      <c r="E663" s="8"/>
      <c r="F663" s="8"/>
      <c r="G663" s="8"/>
      <c r="H663" s="8"/>
      <c r="I663" s="8">
        <v>1731.43</v>
      </c>
      <c r="J663" s="8"/>
      <c r="K663" s="8"/>
      <c r="L663" s="8"/>
      <c r="M663" s="8"/>
      <c r="N663" s="8">
        <v>17.07</v>
      </c>
      <c r="O663" s="8"/>
      <c r="P663" s="8"/>
      <c r="Q663" s="11"/>
      <c r="R663" s="11"/>
      <c r="S663" s="8">
        <v>1.73</v>
      </c>
      <c r="T663" s="8">
        <v>19.8</v>
      </c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>
        <v>9.8699999999999992</v>
      </c>
      <c r="AN663" s="8">
        <v>34.950000000000003</v>
      </c>
      <c r="AO663" s="8"/>
      <c r="AP663" s="11"/>
      <c r="AQ663" s="8"/>
      <c r="AR663" s="8">
        <v>61.3</v>
      </c>
      <c r="AS663" s="8"/>
      <c r="AT663" s="8">
        <v>1123.98</v>
      </c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>
        <v>88.21</v>
      </c>
      <c r="BH663" s="9">
        <f t="shared" si="90"/>
        <v>2472.0100000000002</v>
      </c>
      <c r="BI663" s="9">
        <f t="shared" si="91"/>
        <v>17.07</v>
      </c>
      <c r="BJ663" s="9">
        <f t="shared" si="92"/>
        <v>1.73</v>
      </c>
      <c r="BK663" s="9">
        <f t="shared" si="93"/>
        <v>19.8</v>
      </c>
      <c r="BL663" s="9">
        <f t="shared" si="94"/>
        <v>0</v>
      </c>
      <c r="BM663" s="9">
        <f t="shared" si="95"/>
        <v>106.12</v>
      </c>
      <c r="BN663" s="9">
        <f t="shared" si="96"/>
        <v>1123.98</v>
      </c>
      <c r="BO663" s="9">
        <f t="shared" si="97"/>
        <v>0</v>
      </c>
      <c r="BP663" s="9">
        <f t="shared" si="98"/>
        <v>0</v>
      </c>
    </row>
    <row r="664" spans="1:68">
      <c r="A664" s="6">
        <v>44676</v>
      </c>
      <c r="B664" s="7">
        <v>3203</v>
      </c>
      <c r="C664" s="8">
        <v>884.74</v>
      </c>
      <c r="D664" s="8"/>
      <c r="E664" s="8">
        <v>379.14</v>
      </c>
      <c r="F664" s="8"/>
      <c r="G664" s="8"/>
      <c r="H664" s="8"/>
      <c r="I664" s="8"/>
      <c r="J664" s="8"/>
      <c r="K664" s="8"/>
      <c r="L664" s="8"/>
      <c r="M664" s="8"/>
      <c r="N664" s="8"/>
      <c r="O664" s="8">
        <v>3.8</v>
      </c>
      <c r="P664" s="8"/>
      <c r="Q664" s="11"/>
      <c r="R664" s="11"/>
      <c r="S664" s="8">
        <v>4.93</v>
      </c>
      <c r="T664" s="8"/>
      <c r="U664" s="8">
        <v>15.67</v>
      </c>
      <c r="V664" s="8"/>
      <c r="W664" s="8"/>
      <c r="X664" s="8"/>
      <c r="Y664" s="8"/>
      <c r="Z664" s="8">
        <v>199.12</v>
      </c>
      <c r="AA664" s="8">
        <v>155.08000000000001</v>
      </c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11"/>
      <c r="AQ664" s="8"/>
      <c r="AR664" s="8"/>
      <c r="AS664" s="8"/>
      <c r="AT664" s="8">
        <v>472.79</v>
      </c>
      <c r="AU664" s="8">
        <v>236.47</v>
      </c>
      <c r="AV664" s="8"/>
      <c r="AW664" s="8"/>
      <c r="AX664" s="8"/>
      <c r="AY664" s="8"/>
      <c r="AZ664" s="8"/>
      <c r="BA664" s="8"/>
      <c r="BB664" s="8"/>
      <c r="BC664" s="8">
        <v>3.29</v>
      </c>
      <c r="BD664" s="8"/>
      <c r="BE664" s="8"/>
      <c r="BF664" s="8"/>
      <c r="BG664" s="8">
        <v>45.98</v>
      </c>
      <c r="BH664" s="9">
        <f t="shared" si="90"/>
        <v>1263.8800000000001</v>
      </c>
      <c r="BI664" s="9">
        <f t="shared" si="91"/>
        <v>3.8</v>
      </c>
      <c r="BJ664" s="9">
        <f t="shared" si="92"/>
        <v>4.93</v>
      </c>
      <c r="BK664" s="9">
        <f t="shared" si="93"/>
        <v>15.67</v>
      </c>
      <c r="BL664" s="9">
        <f t="shared" si="94"/>
        <v>354.20000000000005</v>
      </c>
      <c r="BM664" s="9">
        <f t="shared" si="95"/>
        <v>0</v>
      </c>
      <c r="BN664" s="9">
        <f t="shared" si="96"/>
        <v>709.26</v>
      </c>
      <c r="BO664" s="9">
        <f t="shared" si="97"/>
        <v>3.29</v>
      </c>
      <c r="BP664" s="9">
        <f t="shared" si="98"/>
        <v>0</v>
      </c>
    </row>
    <row r="665" spans="1:68">
      <c r="A665" s="6">
        <v>44676</v>
      </c>
      <c r="B665" s="7">
        <v>3139</v>
      </c>
      <c r="C665" s="8">
        <v>967.42</v>
      </c>
      <c r="D665" s="8"/>
      <c r="E665" s="8"/>
      <c r="F665" s="8"/>
      <c r="G665" s="8"/>
      <c r="H665" s="8">
        <v>401.48</v>
      </c>
      <c r="I665" s="8"/>
      <c r="J665" s="8"/>
      <c r="K665" s="8"/>
      <c r="L665" s="8"/>
      <c r="M665" s="8">
        <v>2.2799999999999998</v>
      </c>
      <c r="N665" s="8"/>
      <c r="O665" s="8"/>
      <c r="P665" s="8"/>
      <c r="Q665" s="11"/>
      <c r="R665" s="11"/>
      <c r="S665" s="8">
        <v>4.0599999999999996</v>
      </c>
      <c r="T665" s="8">
        <v>14.28</v>
      </c>
      <c r="U665" s="8"/>
      <c r="V665" s="8"/>
      <c r="W665" s="8"/>
      <c r="X665" s="8"/>
      <c r="Y665" s="8"/>
      <c r="Z665" s="8"/>
      <c r="AA665" s="8"/>
      <c r="AB665" s="8"/>
      <c r="AC665" s="8">
        <v>4.7699999999999996</v>
      </c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11"/>
      <c r="AQ665" s="8"/>
      <c r="AR665" s="8"/>
      <c r="AS665" s="8"/>
      <c r="AT665" s="8">
        <v>705.59</v>
      </c>
      <c r="AU665" s="8"/>
      <c r="AV665" s="8">
        <v>23.89</v>
      </c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>
        <v>51.26</v>
      </c>
      <c r="BH665" s="9">
        <f t="shared" si="90"/>
        <v>1368.9</v>
      </c>
      <c r="BI665" s="9">
        <f t="shared" si="91"/>
        <v>2.2799999999999998</v>
      </c>
      <c r="BJ665" s="9">
        <f t="shared" si="92"/>
        <v>4.0599999999999996</v>
      </c>
      <c r="BK665" s="9">
        <f t="shared" si="93"/>
        <v>14.28</v>
      </c>
      <c r="BL665" s="9">
        <f t="shared" si="94"/>
        <v>0</v>
      </c>
      <c r="BM665" s="9">
        <f t="shared" si="95"/>
        <v>4.7699999999999996</v>
      </c>
      <c r="BN665" s="9">
        <f t="shared" si="96"/>
        <v>705.59</v>
      </c>
      <c r="BO665" s="9">
        <f t="shared" si="97"/>
        <v>23.89</v>
      </c>
      <c r="BP665" s="9">
        <f t="shared" si="98"/>
        <v>0</v>
      </c>
    </row>
    <row r="666" spans="1:68">
      <c r="A666" s="6">
        <v>44676</v>
      </c>
      <c r="B666" s="7">
        <v>3602</v>
      </c>
      <c r="C666" s="8">
        <f>470.23+142.39+303.02</f>
        <v>915.64</v>
      </c>
      <c r="D666" s="8"/>
      <c r="E666" s="8"/>
      <c r="F666" s="8"/>
      <c r="G666" s="8">
        <f>705.64+213.16+454.37</f>
        <v>1373.17</v>
      </c>
      <c r="H666" s="8"/>
      <c r="I666" s="8"/>
      <c r="J666" s="8"/>
      <c r="K666" s="8"/>
      <c r="L666" s="8"/>
      <c r="M666" s="8">
        <f>1.25+0.37+0.78</f>
        <v>2.4000000000000004</v>
      </c>
      <c r="N666" s="8"/>
      <c r="O666" s="8"/>
      <c r="P666" s="8"/>
      <c r="Q666" s="11"/>
      <c r="R666" s="11"/>
      <c r="S666" s="8">
        <f>6.31+1.88+4.01</f>
        <v>12.2</v>
      </c>
      <c r="T666" s="8"/>
      <c r="U666" s="8">
        <f>3.77+1.14+2.43</f>
        <v>7.34</v>
      </c>
      <c r="V666" s="8">
        <f>11.4+3.43+7.34</f>
        <v>22.17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11"/>
      <c r="AQ666" s="8"/>
      <c r="AR666" s="8"/>
      <c r="AS666" s="8"/>
      <c r="AT666" s="8">
        <f>491.08+148.25+317.1</f>
        <v>956.43</v>
      </c>
      <c r="AU666" s="8"/>
      <c r="AV666" s="8"/>
      <c r="AW666" s="8">
        <f>30.47+9.19+19.64</f>
        <v>59.3</v>
      </c>
      <c r="AX666" s="8"/>
      <c r="AY666" s="8"/>
      <c r="AZ666" s="8"/>
      <c r="BA666" s="8"/>
      <c r="BB666" s="8"/>
      <c r="BC666" s="8"/>
      <c r="BD666" s="8"/>
      <c r="BE666" s="8"/>
      <c r="BF666" s="8">
        <f>37.74+11.4+24.31</f>
        <v>73.45</v>
      </c>
      <c r="BG666" s="8">
        <f>36.97+11.1+23.58</f>
        <v>71.650000000000006</v>
      </c>
      <c r="BH666" s="9">
        <f t="shared" si="90"/>
        <v>2288.81</v>
      </c>
      <c r="BI666" s="9">
        <f t="shared" si="91"/>
        <v>2.4000000000000004</v>
      </c>
      <c r="BJ666" s="9">
        <f t="shared" si="92"/>
        <v>12.2</v>
      </c>
      <c r="BK666" s="9">
        <f t="shared" si="93"/>
        <v>29.51</v>
      </c>
      <c r="BL666" s="9">
        <f t="shared" si="94"/>
        <v>0</v>
      </c>
      <c r="BM666" s="9">
        <f t="shared" si="95"/>
        <v>0</v>
      </c>
      <c r="BN666" s="9">
        <f t="shared" si="96"/>
        <v>956.43</v>
      </c>
      <c r="BO666" s="9">
        <f t="shared" si="97"/>
        <v>59.3</v>
      </c>
      <c r="BP666" s="9">
        <f t="shared" si="98"/>
        <v>73.45</v>
      </c>
    </row>
    <row r="667" spans="1:68">
      <c r="A667" s="6">
        <v>44676</v>
      </c>
      <c r="B667" s="7">
        <v>3705</v>
      </c>
      <c r="C667" s="8"/>
      <c r="D667" s="8">
        <v>747.59</v>
      </c>
      <c r="E667" s="8"/>
      <c r="F667" s="8"/>
      <c r="G667" s="8"/>
      <c r="H667" s="8"/>
      <c r="I667" s="8">
        <v>166.88</v>
      </c>
      <c r="J667" s="8"/>
      <c r="K667" s="8"/>
      <c r="L667" s="8"/>
      <c r="M667" s="8">
        <v>2.73</v>
      </c>
      <c r="N667" s="8"/>
      <c r="O667" s="8"/>
      <c r="P667" s="8"/>
      <c r="Q667" s="11"/>
      <c r="R667" s="11"/>
      <c r="S667" s="8">
        <v>3.19</v>
      </c>
      <c r="T667" s="8"/>
      <c r="U667" s="8">
        <v>6.37</v>
      </c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11"/>
      <c r="AQ667" s="8"/>
      <c r="AR667" s="8"/>
      <c r="AS667" s="8"/>
      <c r="AT667" s="8">
        <v>54.53</v>
      </c>
      <c r="AU667" s="8">
        <v>108.41</v>
      </c>
      <c r="AV667" s="8"/>
      <c r="AW667" s="8"/>
      <c r="AX667" s="8"/>
      <c r="AY667" s="8"/>
      <c r="AZ667" s="8"/>
      <c r="BA667" s="8"/>
      <c r="BB667" s="8"/>
      <c r="BC667" s="8"/>
      <c r="BD667" s="8">
        <v>1.82</v>
      </c>
      <c r="BE667" s="8"/>
      <c r="BF667" s="8"/>
      <c r="BG667" s="8">
        <v>8.9499999999999993</v>
      </c>
      <c r="BH667" s="9">
        <f t="shared" si="90"/>
        <v>914.47</v>
      </c>
      <c r="BI667" s="9">
        <f t="shared" si="91"/>
        <v>2.73</v>
      </c>
      <c r="BJ667" s="9">
        <f t="shared" si="92"/>
        <v>3.19</v>
      </c>
      <c r="BK667" s="9">
        <f t="shared" si="93"/>
        <v>6.37</v>
      </c>
      <c r="BL667" s="9">
        <f t="shared" si="94"/>
        <v>0</v>
      </c>
      <c r="BM667" s="9">
        <f t="shared" si="95"/>
        <v>0</v>
      </c>
      <c r="BN667" s="9">
        <f t="shared" si="96"/>
        <v>162.94</v>
      </c>
      <c r="BO667" s="9">
        <f t="shared" si="97"/>
        <v>1.82</v>
      </c>
      <c r="BP667" s="9">
        <f t="shared" si="98"/>
        <v>0</v>
      </c>
    </row>
    <row r="668" spans="1:68">
      <c r="A668" s="6">
        <v>44677</v>
      </c>
      <c r="B668" s="7">
        <v>3013</v>
      </c>
      <c r="C668" s="8">
        <v>1117.81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>
        <v>2.23</v>
      </c>
      <c r="O668" s="8"/>
      <c r="P668" s="8"/>
      <c r="Q668" s="11"/>
      <c r="R668" s="11"/>
      <c r="S668" s="8">
        <v>2.58</v>
      </c>
      <c r="T668" s="8">
        <v>11.18</v>
      </c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11"/>
      <c r="AQ668" s="8"/>
      <c r="AR668" s="8"/>
      <c r="AS668" s="8"/>
      <c r="AT668" s="8">
        <v>386.08</v>
      </c>
      <c r="AU668" s="8"/>
      <c r="AV668" s="8"/>
      <c r="AW668" s="8">
        <v>12.43</v>
      </c>
      <c r="AX668" s="8"/>
      <c r="AY668" s="8"/>
      <c r="AZ668" s="8"/>
      <c r="BA668" s="8"/>
      <c r="BB668" s="8"/>
      <c r="BC668" s="8"/>
      <c r="BD668" s="8"/>
      <c r="BE668" s="8"/>
      <c r="BF668" s="8"/>
      <c r="BG668" s="8">
        <v>25.8</v>
      </c>
      <c r="BH668" s="9">
        <f t="shared" si="90"/>
        <v>1117.81</v>
      </c>
      <c r="BI668" s="9">
        <f t="shared" si="91"/>
        <v>2.23</v>
      </c>
      <c r="BJ668" s="9">
        <f t="shared" si="92"/>
        <v>2.58</v>
      </c>
      <c r="BK668" s="9">
        <f t="shared" si="93"/>
        <v>11.18</v>
      </c>
      <c r="BL668" s="9">
        <f t="shared" si="94"/>
        <v>0</v>
      </c>
      <c r="BM668" s="9">
        <f t="shared" si="95"/>
        <v>0</v>
      </c>
      <c r="BN668" s="9">
        <f t="shared" si="96"/>
        <v>386.08</v>
      </c>
      <c r="BO668" s="9">
        <f t="shared" si="97"/>
        <v>12.43</v>
      </c>
      <c r="BP668" s="9">
        <f t="shared" si="98"/>
        <v>0</v>
      </c>
    </row>
    <row r="669" spans="1:68">
      <c r="A669" s="6">
        <v>44677</v>
      </c>
      <c r="B669" s="7">
        <v>3024</v>
      </c>
      <c r="C669" s="8"/>
      <c r="D669" s="8">
        <v>1186.23</v>
      </c>
      <c r="E669" s="8"/>
      <c r="F669" s="8"/>
      <c r="G669" s="8"/>
      <c r="H669" s="8"/>
      <c r="I669" s="8">
        <v>1184.97</v>
      </c>
      <c r="J669" s="8"/>
      <c r="K669" s="8"/>
      <c r="L669" s="8"/>
      <c r="M669" s="8"/>
      <c r="N669" s="8">
        <v>14.23</v>
      </c>
      <c r="O669" s="8"/>
      <c r="P669" s="8"/>
      <c r="Q669" s="11"/>
      <c r="R669" s="11"/>
      <c r="S669" s="8">
        <v>3.8</v>
      </c>
      <c r="T669" s="8"/>
      <c r="U669" s="8"/>
      <c r="V669" s="8"/>
      <c r="W669" s="8">
        <v>19.100000000000001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>
        <v>23.75</v>
      </c>
      <c r="AN669" s="8">
        <v>16.510000000000002</v>
      </c>
      <c r="AO669" s="8"/>
      <c r="AP669" s="11"/>
      <c r="AQ669" s="8"/>
      <c r="AR669" s="8"/>
      <c r="AS669" s="8">
        <v>77.97</v>
      </c>
      <c r="AT669" s="8">
        <v>910.44</v>
      </c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>
        <v>66.459999999999994</v>
      </c>
      <c r="BH669" s="9">
        <f t="shared" si="90"/>
        <v>2371.1999999999998</v>
      </c>
      <c r="BI669" s="9">
        <f t="shared" si="91"/>
        <v>14.23</v>
      </c>
      <c r="BJ669" s="9">
        <f t="shared" si="92"/>
        <v>3.8</v>
      </c>
      <c r="BK669" s="9">
        <f t="shared" si="93"/>
        <v>19.100000000000001</v>
      </c>
      <c r="BL669" s="9">
        <f t="shared" si="94"/>
        <v>0</v>
      </c>
      <c r="BM669" s="9">
        <f t="shared" si="95"/>
        <v>118.23</v>
      </c>
      <c r="BN669" s="9">
        <f t="shared" si="96"/>
        <v>910.44</v>
      </c>
      <c r="BO669" s="9">
        <f t="shared" si="97"/>
        <v>0</v>
      </c>
      <c r="BP669" s="9">
        <f t="shared" si="98"/>
        <v>0</v>
      </c>
    </row>
    <row r="670" spans="1:68">
      <c r="A670" s="6">
        <v>44677</v>
      </c>
      <c r="B670" s="7">
        <v>3021</v>
      </c>
      <c r="C670" s="8"/>
      <c r="D670" s="8">
        <v>196.87</v>
      </c>
      <c r="E670" s="8"/>
      <c r="F670" s="8"/>
      <c r="G670" s="8"/>
      <c r="H670" s="8"/>
      <c r="I670" s="8">
        <v>365.25</v>
      </c>
      <c r="J670" s="8"/>
      <c r="K670" s="8"/>
      <c r="L670" s="8"/>
      <c r="M670" s="8"/>
      <c r="N670" s="8">
        <v>2.99</v>
      </c>
      <c r="O670" s="8"/>
      <c r="P670" s="8"/>
      <c r="Q670" s="11"/>
      <c r="R670" s="11"/>
      <c r="S670" s="8">
        <v>1.01</v>
      </c>
      <c r="T670" s="8"/>
      <c r="U670" s="8"/>
      <c r="V670" s="8"/>
      <c r="W670" s="8">
        <v>5.63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>
        <v>5.63</v>
      </c>
      <c r="AN670" s="8"/>
      <c r="AO670" s="8"/>
      <c r="AP670" s="11"/>
      <c r="AQ670" s="8"/>
      <c r="AR670" s="8"/>
      <c r="AS670" s="8">
        <v>14.14</v>
      </c>
      <c r="AT670" s="8">
        <v>265.06</v>
      </c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>
        <v>19.93</v>
      </c>
      <c r="BH670" s="9">
        <f t="shared" si="90"/>
        <v>562.12</v>
      </c>
      <c r="BI670" s="9">
        <f t="shared" si="91"/>
        <v>2.99</v>
      </c>
      <c r="BJ670" s="9">
        <f t="shared" si="92"/>
        <v>1.01</v>
      </c>
      <c r="BK670" s="9">
        <f t="shared" si="93"/>
        <v>5.63</v>
      </c>
      <c r="BL670" s="9">
        <f t="shared" si="94"/>
        <v>0</v>
      </c>
      <c r="BM670" s="9">
        <f t="shared" si="95"/>
        <v>19.77</v>
      </c>
      <c r="BN670" s="9">
        <f t="shared" si="96"/>
        <v>265.06</v>
      </c>
      <c r="BO670" s="9">
        <f t="shared" si="97"/>
        <v>0</v>
      </c>
      <c r="BP670" s="9">
        <f t="shared" si="98"/>
        <v>0</v>
      </c>
    </row>
    <row r="671" spans="1:68">
      <c r="A671" s="6">
        <v>44677</v>
      </c>
      <c r="B671" s="7">
        <v>3502</v>
      </c>
      <c r="C671" s="8">
        <v>964.45</v>
      </c>
      <c r="D671" s="8">
        <v>643.74</v>
      </c>
      <c r="E671" s="8"/>
      <c r="F671" s="8"/>
      <c r="G671" s="8"/>
      <c r="H671" s="8"/>
      <c r="I671" s="8"/>
      <c r="J671" s="8"/>
      <c r="K671" s="8"/>
      <c r="L671" s="8"/>
      <c r="M671" s="8">
        <v>2.41</v>
      </c>
      <c r="N671" s="8">
        <v>2.42</v>
      </c>
      <c r="O671" s="8"/>
      <c r="P671" s="8"/>
      <c r="Q671" s="11"/>
      <c r="R671" s="11"/>
      <c r="S671" s="8">
        <v>6.44</v>
      </c>
      <c r="T671" s="8"/>
      <c r="U671" s="8">
        <v>16.12</v>
      </c>
      <c r="V671" s="8"/>
      <c r="W671" s="8"/>
      <c r="X671" s="8"/>
      <c r="Y671" s="8"/>
      <c r="Z671" s="8">
        <v>322.16000000000003</v>
      </c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11"/>
      <c r="AQ671" s="8"/>
      <c r="AR671" s="8"/>
      <c r="AS671" s="8"/>
      <c r="AT671" s="8">
        <v>665.19</v>
      </c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>
        <v>52.3</v>
      </c>
      <c r="BH671" s="9">
        <f t="shared" si="90"/>
        <v>1608.19</v>
      </c>
      <c r="BI671" s="9">
        <f t="shared" si="91"/>
        <v>4.83</v>
      </c>
      <c r="BJ671" s="9">
        <f t="shared" si="92"/>
        <v>6.44</v>
      </c>
      <c r="BK671" s="9">
        <f t="shared" si="93"/>
        <v>16.12</v>
      </c>
      <c r="BL671" s="9">
        <f t="shared" si="94"/>
        <v>322.16000000000003</v>
      </c>
      <c r="BM671" s="9">
        <f t="shared" si="95"/>
        <v>0</v>
      </c>
      <c r="BN671" s="9">
        <f t="shared" si="96"/>
        <v>665.19</v>
      </c>
      <c r="BO671" s="9">
        <f t="shared" si="97"/>
        <v>0</v>
      </c>
      <c r="BP671" s="9">
        <f t="shared" si="98"/>
        <v>0</v>
      </c>
    </row>
    <row r="672" spans="1:68">
      <c r="A672" s="6">
        <v>44677</v>
      </c>
      <c r="B672" s="7">
        <v>3106</v>
      </c>
      <c r="C672" s="8">
        <v>6181.24</v>
      </c>
      <c r="D672" s="8"/>
      <c r="E672" s="8"/>
      <c r="F672" s="8"/>
      <c r="G672" s="8"/>
      <c r="H672" s="8"/>
      <c r="I672" s="8"/>
      <c r="J672" s="8"/>
      <c r="K672" s="8"/>
      <c r="L672" s="8"/>
      <c r="M672" s="8">
        <v>15.48</v>
      </c>
      <c r="N672" s="8"/>
      <c r="O672" s="8"/>
      <c r="P672" s="8"/>
      <c r="Q672" s="11"/>
      <c r="R672" s="11"/>
      <c r="S672" s="8">
        <v>18.600000000000001</v>
      </c>
      <c r="T672" s="8">
        <v>78.459999999999994</v>
      </c>
      <c r="U672" s="8"/>
      <c r="V672" s="8"/>
      <c r="W672" s="8"/>
      <c r="X672" s="8"/>
      <c r="Y672" s="8"/>
      <c r="Z672" s="8"/>
      <c r="AA672" s="8"/>
      <c r="AB672" s="8"/>
      <c r="AC672" s="8">
        <v>24.74</v>
      </c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11"/>
      <c r="AQ672" s="8"/>
      <c r="AR672" s="8"/>
      <c r="AS672" s="8"/>
      <c r="AT672" s="8">
        <v>3539.73</v>
      </c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>
        <v>265.89999999999998</v>
      </c>
      <c r="BH672" s="9">
        <f t="shared" si="90"/>
        <v>6181.24</v>
      </c>
      <c r="BI672" s="9">
        <f t="shared" si="91"/>
        <v>15.48</v>
      </c>
      <c r="BJ672" s="9">
        <f t="shared" si="92"/>
        <v>18.600000000000001</v>
      </c>
      <c r="BK672" s="9">
        <f t="shared" si="93"/>
        <v>78.459999999999994</v>
      </c>
      <c r="BL672" s="9">
        <f t="shared" si="94"/>
        <v>0</v>
      </c>
      <c r="BM672" s="9">
        <f t="shared" si="95"/>
        <v>24.74</v>
      </c>
      <c r="BN672" s="9">
        <f t="shared" si="96"/>
        <v>3539.73</v>
      </c>
      <c r="BO672" s="9">
        <f t="shared" si="97"/>
        <v>0</v>
      </c>
      <c r="BP672" s="9">
        <f t="shared" si="98"/>
        <v>0</v>
      </c>
    </row>
    <row r="673" spans="1:68">
      <c r="A673" s="6">
        <v>44677</v>
      </c>
      <c r="B673" s="7">
        <v>3125</v>
      </c>
      <c r="C673" s="8">
        <v>1082.81</v>
      </c>
      <c r="D673" s="8"/>
      <c r="E673" s="8"/>
      <c r="F673" s="8"/>
      <c r="G673" s="8"/>
      <c r="H673" s="8"/>
      <c r="I673" s="8"/>
      <c r="J673" s="8"/>
      <c r="K673" s="8"/>
      <c r="L673" s="8"/>
      <c r="M673" s="8">
        <v>2.7</v>
      </c>
      <c r="N673" s="8"/>
      <c r="O673" s="8"/>
      <c r="P673" s="8"/>
      <c r="Q673" s="11"/>
      <c r="R673" s="11"/>
      <c r="S673" s="8">
        <v>3.26</v>
      </c>
      <c r="T673" s="8">
        <v>13.75</v>
      </c>
      <c r="U673" s="8"/>
      <c r="V673" s="8"/>
      <c r="W673" s="8"/>
      <c r="X673" s="8"/>
      <c r="Y673" s="8"/>
      <c r="Z673" s="8"/>
      <c r="AA673" s="8"/>
      <c r="AB673" s="8"/>
      <c r="AC673" s="8">
        <v>4.33</v>
      </c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11"/>
      <c r="AQ673" s="8"/>
      <c r="AR673" s="8"/>
      <c r="AS673" s="8"/>
      <c r="AT673" s="8">
        <v>619.38</v>
      </c>
      <c r="AU673" s="8"/>
      <c r="AV673" s="8">
        <v>16.260000000000002</v>
      </c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>
        <v>46.72</v>
      </c>
      <c r="BH673" s="9">
        <f t="shared" si="90"/>
        <v>1082.81</v>
      </c>
      <c r="BI673" s="9">
        <f t="shared" si="91"/>
        <v>2.7</v>
      </c>
      <c r="BJ673" s="9">
        <f t="shared" si="92"/>
        <v>3.26</v>
      </c>
      <c r="BK673" s="9">
        <f t="shared" si="93"/>
        <v>13.75</v>
      </c>
      <c r="BL673" s="9">
        <f t="shared" si="94"/>
        <v>0</v>
      </c>
      <c r="BM673" s="9">
        <f t="shared" si="95"/>
        <v>4.33</v>
      </c>
      <c r="BN673" s="9">
        <f t="shared" si="96"/>
        <v>619.38</v>
      </c>
      <c r="BO673" s="9">
        <f t="shared" si="97"/>
        <v>16.260000000000002</v>
      </c>
      <c r="BP673" s="9">
        <f t="shared" si="98"/>
        <v>0</v>
      </c>
    </row>
    <row r="674" spans="1:68">
      <c r="A674" s="6">
        <v>44677</v>
      </c>
      <c r="B674" s="7">
        <v>3141</v>
      </c>
      <c r="C674" s="8">
        <v>2495.11</v>
      </c>
      <c r="D674" s="8">
        <v>438.76</v>
      </c>
      <c r="E674" s="8"/>
      <c r="F674" s="8"/>
      <c r="G674" s="8"/>
      <c r="H674" s="8"/>
      <c r="I674" s="8"/>
      <c r="J674" s="8"/>
      <c r="K674" s="8"/>
      <c r="L674" s="8"/>
      <c r="M674" s="8">
        <v>7.49</v>
      </c>
      <c r="N674" s="8"/>
      <c r="O674" s="8"/>
      <c r="P674" s="8"/>
      <c r="Q674" s="11"/>
      <c r="R674" s="11"/>
      <c r="S674" s="8">
        <v>13.75</v>
      </c>
      <c r="T674" s="8">
        <v>21.95</v>
      </c>
      <c r="U674" s="8">
        <v>21.95</v>
      </c>
      <c r="V674" s="8"/>
      <c r="W674" s="8"/>
      <c r="X674" s="8"/>
      <c r="Y674" s="8"/>
      <c r="Z674" s="8"/>
      <c r="AA674" s="8"/>
      <c r="AB674" s="8"/>
      <c r="AC674" s="8">
        <v>11.69</v>
      </c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11"/>
      <c r="AQ674" s="8"/>
      <c r="AR674" s="8"/>
      <c r="AS674" s="8"/>
      <c r="AT674" s="8">
        <v>1929.06</v>
      </c>
      <c r="AU674" s="8"/>
      <c r="AV674" s="8"/>
      <c r="AW674" s="8"/>
      <c r="AX674" s="8"/>
      <c r="AY674" s="8"/>
      <c r="AZ674" s="8"/>
      <c r="BA674" s="8">
        <v>67.02</v>
      </c>
      <c r="BB674" s="8"/>
      <c r="BC674" s="8"/>
      <c r="BD674" s="8"/>
      <c r="BE674" s="8"/>
      <c r="BF674" s="8">
        <v>204.31</v>
      </c>
      <c r="BG674" s="8">
        <v>151.88999999999999</v>
      </c>
      <c r="BH674" s="9">
        <f t="shared" si="90"/>
        <v>2933.87</v>
      </c>
      <c r="BI674" s="9">
        <f t="shared" si="91"/>
        <v>7.49</v>
      </c>
      <c r="BJ674" s="9">
        <f t="shared" si="92"/>
        <v>13.75</v>
      </c>
      <c r="BK674" s="9">
        <f t="shared" si="93"/>
        <v>43.9</v>
      </c>
      <c r="BL674" s="9">
        <f t="shared" si="94"/>
        <v>0</v>
      </c>
      <c r="BM674" s="9">
        <f t="shared" si="95"/>
        <v>11.69</v>
      </c>
      <c r="BN674" s="9">
        <f t="shared" si="96"/>
        <v>1929.06</v>
      </c>
      <c r="BO674" s="9">
        <f t="shared" si="97"/>
        <v>67.02</v>
      </c>
      <c r="BP674" s="9">
        <f t="shared" si="98"/>
        <v>204.31</v>
      </c>
    </row>
    <row r="675" spans="1:68">
      <c r="A675" s="6">
        <v>44677</v>
      </c>
      <c r="B675" s="7">
        <v>3136</v>
      </c>
      <c r="C675" s="8">
        <v>1252.43</v>
      </c>
      <c r="D675" s="8"/>
      <c r="E675" s="8"/>
      <c r="F675" s="8"/>
      <c r="G675" s="8"/>
      <c r="H675" s="8">
        <v>520.47</v>
      </c>
      <c r="I675" s="8"/>
      <c r="J675" s="8"/>
      <c r="K675" s="8"/>
      <c r="L675" s="8"/>
      <c r="M675" s="8">
        <v>2.0099999999999998</v>
      </c>
      <c r="N675" s="8"/>
      <c r="O675" s="8"/>
      <c r="P675" s="8"/>
      <c r="Q675" s="11"/>
      <c r="R675" s="11"/>
      <c r="S675" s="8">
        <v>7.57</v>
      </c>
      <c r="T675" s="8">
        <v>10.81</v>
      </c>
      <c r="U675" s="8">
        <v>9.25</v>
      </c>
      <c r="V675" s="8"/>
      <c r="W675" s="8"/>
      <c r="X675" s="8"/>
      <c r="Y675" s="8"/>
      <c r="Z675" s="8"/>
      <c r="AA675" s="8"/>
      <c r="AB675" s="8"/>
      <c r="AC675" s="8">
        <v>6.17</v>
      </c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11"/>
      <c r="AQ675" s="8"/>
      <c r="AR675" s="8"/>
      <c r="AS675" s="8"/>
      <c r="AT675" s="8">
        <v>1003.15</v>
      </c>
      <c r="AU675" s="8"/>
      <c r="AV675" s="8"/>
      <c r="AW675" s="8"/>
      <c r="AX675" s="8"/>
      <c r="AY675" s="8"/>
      <c r="AZ675" s="8"/>
      <c r="BA675" s="8">
        <v>15.26</v>
      </c>
      <c r="BB675" s="8"/>
      <c r="BC675" s="8"/>
      <c r="BD675" s="8"/>
      <c r="BE675" s="8"/>
      <c r="BF675" s="8">
        <v>61.78</v>
      </c>
      <c r="BG675" s="8">
        <v>75.69</v>
      </c>
      <c r="BH675" s="9">
        <f t="shared" si="90"/>
        <v>1772.9</v>
      </c>
      <c r="BI675" s="9">
        <f t="shared" si="91"/>
        <v>2.0099999999999998</v>
      </c>
      <c r="BJ675" s="9">
        <f t="shared" si="92"/>
        <v>7.57</v>
      </c>
      <c r="BK675" s="9">
        <f t="shared" si="93"/>
        <v>20.060000000000002</v>
      </c>
      <c r="BL675" s="9">
        <f t="shared" si="94"/>
        <v>0</v>
      </c>
      <c r="BM675" s="9">
        <f t="shared" si="95"/>
        <v>6.17</v>
      </c>
      <c r="BN675" s="9">
        <f t="shared" si="96"/>
        <v>1003.15</v>
      </c>
      <c r="BO675" s="9">
        <f t="shared" si="97"/>
        <v>15.26</v>
      </c>
      <c r="BP675" s="9">
        <f t="shared" si="98"/>
        <v>61.78</v>
      </c>
    </row>
    <row r="676" spans="1:68">
      <c r="A676" s="6">
        <v>44677</v>
      </c>
      <c r="B676" s="7">
        <v>3134</v>
      </c>
      <c r="C676" s="8">
        <v>1037.46</v>
      </c>
      <c r="D676" s="8">
        <v>145.16999999999999</v>
      </c>
      <c r="E676" s="8"/>
      <c r="F676" s="8"/>
      <c r="G676" s="8"/>
      <c r="H676" s="8">
        <v>489.24</v>
      </c>
      <c r="I676" s="8"/>
      <c r="J676" s="8"/>
      <c r="K676" s="8"/>
      <c r="L676" s="8"/>
      <c r="M676" s="8">
        <v>3.18</v>
      </c>
      <c r="N676" s="8"/>
      <c r="O676" s="8"/>
      <c r="P676" s="8"/>
      <c r="Q676" s="11"/>
      <c r="R676" s="11"/>
      <c r="S676" s="8">
        <v>6.69</v>
      </c>
      <c r="T676" s="8">
        <v>10.18</v>
      </c>
      <c r="U676" s="8">
        <v>8.73</v>
      </c>
      <c r="V676" s="8"/>
      <c r="W676" s="8"/>
      <c r="X676" s="8"/>
      <c r="Y676" s="8"/>
      <c r="Z676" s="8"/>
      <c r="AA676" s="8"/>
      <c r="AB676" s="8"/>
      <c r="AC676" s="8">
        <v>5.81</v>
      </c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11"/>
      <c r="AQ676" s="8"/>
      <c r="AR676" s="8"/>
      <c r="AS676" s="8"/>
      <c r="AT676" s="8">
        <v>1027.1500000000001</v>
      </c>
      <c r="AU676" s="8"/>
      <c r="AV676" s="8"/>
      <c r="AW676" s="8"/>
      <c r="AX676" s="8"/>
      <c r="AY676" s="8">
        <v>14.86</v>
      </c>
      <c r="AZ676" s="8"/>
      <c r="BA676" s="8"/>
      <c r="BB676" s="8"/>
      <c r="BC676" s="8"/>
      <c r="BD676" s="8"/>
      <c r="BE676" s="8"/>
      <c r="BF676" s="8">
        <v>65.540000000000006</v>
      </c>
      <c r="BG676" s="8">
        <v>77.040000000000006</v>
      </c>
      <c r="BH676" s="9">
        <f t="shared" si="90"/>
        <v>1671.8700000000001</v>
      </c>
      <c r="BI676" s="9">
        <f t="shared" si="91"/>
        <v>3.18</v>
      </c>
      <c r="BJ676" s="9">
        <f t="shared" si="92"/>
        <v>6.69</v>
      </c>
      <c r="BK676" s="9">
        <f t="shared" si="93"/>
        <v>18.91</v>
      </c>
      <c r="BL676" s="9">
        <f t="shared" si="94"/>
        <v>0</v>
      </c>
      <c r="BM676" s="9">
        <f t="shared" si="95"/>
        <v>5.81</v>
      </c>
      <c r="BN676" s="9">
        <f t="shared" si="96"/>
        <v>1027.1500000000001</v>
      </c>
      <c r="BO676" s="9">
        <f t="shared" si="97"/>
        <v>14.86</v>
      </c>
      <c r="BP676" s="9">
        <f t="shared" si="98"/>
        <v>65.540000000000006</v>
      </c>
    </row>
    <row r="677" spans="1:68">
      <c r="A677" s="6">
        <v>44677</v>
      </c>
      <c r="B677" s="7">
        <v>3601</v>
      </c>
      <c r="C677" s="8">
        <v>304.02999999999997</v>
      </c>
      <c r="D677" s="8"/>
      <c r="E677" s="8"/>
      <c r="F677" s="8"/>
      <c r="G677" s="8">
        <v>458.65</v>
      </c>
      <c r="H677" s="8"/>
      <c r="I677" s="8"/>
      <c r="J677" s="8"/>
      <c r="K677" s="8"/>
      <c r="L677" s="8"/>
      <c r="M677" s="8">
        <v>0.92</v>
      </c>
      <c r="N677" s="8"/>
      <c r="O677" s="8"/>
      <c r="P677" s="8"/>
      <c r="Q677" s="11"/>
      <c r="R677" s="11"/>
      <c r="S677" s="8">
        <v>3.88</v>
      </c>
      <c r="T677" s="8"/>
      <c r="U677" s="8">
        <v>4.62</v>
      </c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11"/>
      <c r="AQ677" s="8"/>
      <c r="AR677" s="8"/>
      <c r="AS677" s="8"/>
      <c r="AT677" s="8">
        <v>375.67</v>
      </c>
      <c r="AU677" s="8"/>
      <c r="AV677" s="8"/>
      <c r="AW677" s="8">
        <v>23.42</v>
      </c>
      <c r="AX677" s="8"/>
      <c r="AY677" s="8"/>
      <c r="AZ677" s="8"/>
      <c r="BA677" s="8"/>
      <c r="BB677" s="8"/>
      <c r="BC677" s="8"/>
      <c r="BD677" s="8"/>
      <c r="BE677" s="8"/>
      <c r="BF677" s="8">
        <v>43.27</v>
      </c>
      <c r="BG677" s="8">
        <v>29.05</v>
      </c>
      <c r="BH677" s="9">
        <f t="shared" si="90"/>
        <v>762.68</v>
      </c>
      <c r="BI677" s="9">
        <f t="shared" si="91"/>
        <v>0.92</v>
      </c>
      <c r="BJ677" s="9">
        <f t="shared" si="92"/>
        <v>3.88</v>
      </c>
      <c r="BK677" s="9">
        <f t="shared" si="93"/>
        <v>4.62</v>
      </c>
      <c r="BL677" s="9">
        <f t="shared" si="94"/>
        <v>0</v>
      </c>
      <c r="BM677" s="9">
        <f t="shared" si="95"/>
        <v>0</v>
      </c>
      <c r="BN677" s="9">
        <f t="shared" si="96"/>
        <v>375.67</v>
      </c>
      <c r="BO677" s="9">
        <f t="shared" si="97"/>
        <v>23.42</v>
      </c>
      <c r="BP677" s="9">
        <f t="shared" si="98"/>
        <v>43.27</v>
      </c>
    </row>
    <row r="678" spans="1:68">
      <c r="A678" s="6">
        <v>44677</v>
      </c>
      <c r="B678" s="7">
        <v>3409</v>
      </c>
      <c r="C678" s="8">
        <v>666.13</v>
      </c>
      <c r="D678" s="8"/>
      <c r="E678" s="8"/>
      <c r="F678" s="8"/>
      <c r="G678" s="8"/>
      <c r="H678" s="8"/>
      <c r="I678" s="8"/>
      <c r="J678" s="8"/>
      <c r="K678" s="8"/>
      <c r="L678" s="8"/>
      <c r="M678" s="8">
        <v>1.7</v>
      </c>
      <c r="N678" s="8"/>
      <c r="O678" s="8"/>
      <c r="P678" s="8"/>
      <c r="Q678" s="11"/>
      <c r="R678" s="11"/>
      <c r="S678" s="8">
        <v>1.69</v>
      </c>
      <c r="T678" s="8">
        <v>6.83</v>
      </c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11"/>
      <c r="AQ678" s="8"/>
      <c r="AR678" s="8"/>
      <c r="AS678" s="8"/>
      <c r="AT678" s="8">
        <v>346.93</v>
      </c>
      <c r="AU678" s="8"/>
      <c r="AV678" s="8">
        <v>20.350000000000001</v>
      </c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>
        <v>24.02</v>
      </c>
      <c r="BH678" s="9">
        <f t="shared" si="90"/>
        <v>666.13</v>
      </c>
      <c r="BI678" s="9">
        <f t="shared" si="91"/>
        <v>1.7</v>
      </c>
      <c r="BJ678" s="9">
        <f t="shared" si="92"/>
        <v>1.69</v>
      </c>
      <c r="BK678" s="9">
        <f t="shared" si="93"/>
        <v>6.83</v>
      </c>
      <c r="BL678" s="9">
        <f t="shared" si="94"/>
        <v>0</v>
      </c>
      <c r="BM678" s="9">
        <f t="shared" si="95"/>
        <v>0</v>
      </c>
      <c r="BN678" s="9">
        <f t="shared" si="96"/>
        <v>346.93</v>
      </c>
      <c r="BO678" s="9">
        <f t="shared" si="97"/>
        <v>20.350000000000001</v>
      </c>
      <c r="BP678" s="9">
        <f t="shared" si="98"/>
        <v>0</v>
      </c>
    </row>
    <row r="679" spans="1:68">
      <c r="A679" s="6">
        <v>44677</v>
      </c>
      <c r="B679" s="7">
        <v>3307</v>
      </c>
      <c r="C679" s="8"/>
      <c r="D679" s="8">
        <v>1894.95</v>
      </c>
      <c r="E679" s="8"/>
      <c r="F679" s="8"/>
      <c r="G679" s="8"/>
      <c r="H679" s="8"/>
      <c r="I679" s="8"/>
      <c r="J679" s="8"/>
      <c r="K679" s="8"/>
      <c r="L679" s="8"/>
      <c r="M679" s="8">
        <v>2.48</v>
      </c>
      <c r="N679" s="8"/>
      <c r="O679" s="8"/>
      <c r="P679" s="8"/>
      <c r="Q679" s="11"/>
      <c r="R679" s="11"/>
      <c r="S679" s="8">
        <v>13.85</v>
      </c>
      <c r="T679" s="8">
        <v>19</v>
      </c>
      <c r="U679" s="8"/>
      <c r="V679" s="8"/>
      <c r="W679" s="8"/>
      <c r="X679" s="8"/>
      <c r="Y679" s="8"/>
      <c r="Z679" s="8"/>
      <c r="AA679" s="8"/>
      <c r="AB679" s="8"/>
      <c r="AC679" s="8">
        <v>11.38</v>
      </c>
      <c r="AD679" s="8"/>
      <c r="AE679" s="8"/>
      <c r="AF679" s="8"/>
      <c r="AG679" s="8">
        <v>19.03</v>
      </c>
      <c r="AH679" s="8"/>
      <c r="AI679" s="8"/>
      <c r="AJ679" s="8"/>
      <c r="AK679" s="8"/>
      <c r="AL679" s="8"/>
      <c r="AM679" s="8"/>
      <c r="AN679" s="8"/>
      <c r="AO679" s="8"/>
      <c r="AP679" s="11"/>
      <c r="AQ679" s="8"/>
      <c r="AR679" s="8"/>
      <c r="AS679" s="8"/>
      <c r="AT679" s="8"/>
      <c r="AU679" s="8">
        <v>949.71</v>
      </c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>
        <v>68.180000000000007</v>
      </c>
      <c r="BH679" s="9">
        <f t="shared" si="90"/>
        <v>1894.95</v>
      </c>
      <c r="BI679" s="9">
        <f t="shared" si="91"/>
        <v>2.48</v>
      </c>
      <c r="BJ679" s="9">
        <f t="shared" si="92"/>
        <v>13.85</v>
      </c>
      <c r="BK679" s="9">
        <f t="shared" si="93"/>
        <v>19</v>
      </c>
      <c r="BL679" s="9">
        <f t="shared" si="94"/>
        <v>0</v>
      </c>
      <c r="BM679" s="9">
        <f t="shared" si="95"/>
        <v>30.410000000000004</v>
      </c>
      <c r="BN679" s="9">
        <f t="shared" si="96"/>
        <v>949.71</v>
      </c>
      <c r="BO679" s="9">
        <f t="shared" si="97"/>
        <v>0</v>
      </c>
      <c r="BP679" s="9">
        <f t="shared" si="98"/>
        <v>0</v>
      </c>
    </row>
    <row r="680" spans="1:68">
      <c r="A680" s="6">
        <v>44678</v>
      </c>
      <c r="B680" s="7">
        <v>3027</v>
      </c>
      <c r="C680" s="8"/>
      <c r="D680" s="8">
        <v>993.89</v>
      </c>
      <c r="E680" s="8"/>
      <c r="F680" s="8"/>
      <c r="G680" s="8"/>
      <c r="H680" s="8"/>
      <c r="I680" s="8">
        <v>811.23</v>
      </c>
      <c r="J680" s="8"/>
      <c r="K680" s="8"/>
      <c r="L680" s="8"/>
      <c r="M680" s="8"/>
      <c r="N680" s="8">
        <v>9.94</v>
      </c>
      <c r="O680" s="8"/>
      <c r="P680" s="8"/>
      <c r="Q680" s="11"/>
      <c r="R680" s="11"/>
      <c r="S680" s="8">
        <v>2.89</v>
      </c>
      <c r="T680" s="8"/>
      <c r="U680" s="8"/>
      <c r="V680" s="8"/>
      <c r="W680" s="8">
        <v>13.7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>
        <v>18.05</v>
      </c>
      <c r="AN680" s="8">
        <v>12.68</v>
      </c>
      <c r="AO680" s="8"/>
      <c r="AP680" s="11"/>
      <c r="AQ680" s="8"/>
      <c r="AR680" s="8"/>
      <c r="AS680" s="8">
        <v>48.88</v>
      </c>
      <c r="AT680" s="8">
        <v>600</v>
      </c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>
        <v>42.24</v>
      </c>
      <c r="BH680" s="9">
        <f t="shared" si="90"/>
        <v>1805.12</v>
      </c>
      <c r="BI680" s="9">
        <f t="shared" si="91"/>
        <v>9.94</v>
      </c>
      <c r="BJ680" s="9">
        <f t="shared" si="92"/>
        <v>2.89</v>
      </c>
      <c r="BK680" s="9">
        <f t="shared" si="93"/>
        <v>13.7</v>
      </c>
      <c r="BL680" s="9">
        <f t="shared" si="94"/>
        <v>0</v>
      </c>
      <c r="BM680" s="9">
        <f t="shared" si="95"/>
        <v>79.61</v>
      </c>
      <c r="BN680" s="9">
        <f t="shared" si="96"/>
        <v>600</v>
      </c>
      <c r="BO680" s="9">
        <f t="shared" si="97"/>
        <v>0</v>
      </c>
      <c r="BP680" s="9">
        <f t="shared" si="98"/>
        <v>0</v>
      </c>
    </row>
    <row r="681" spans="1:68">
      <c r="A681" s="6">
        <v>44678</v>
      </c>
      <c r="B681" s="7">
        <v>3020</v>
      </c>
      <c r="C681" s="8"/>
      <c r="D681" s="8">
        <v>170.56</v>
      </c>
      <c r="E681" s="8"/>
      <c r="F681" s="8"/>
      <c r="G681" s="8"/>
      <c r="H681" s="8"/>
      <c r="I681" s="8">
        <v>955.69</v>
      </c>
      <c r="J681" s="8"/>
      <c r="K681" s="8"/>
      <c r="L681" s="8"/>
      <c r="M681" s="8"/>
      <c r="N681" s="8">
        <v>6.77</v>
      </c>
      <c r="O681" s="8"/>
      <c r="P681" s="8"/>
      <c r="Q681" s="11"/>
      <c r="R681" s="11"/>
      <c r="S681" s="8">
        <v>2.0299999999999998</v>
      </c>
      <c r="T681" s="8"/>
      <c r="U681" s="8"/>
      <c r="V681" s="8"/>
      <c r="W681" s="8">
        <v>11.27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>
        <v>11.28</v>
      </c>
      <c r="AN681" s="8"/>
      <c r="AO681" s="8"/>
      <c r="AP681" s="11"/>
      <c r="AQ681" s="8"/>
      <c r="AR681" s="8"/>
      <c r="AS681" s="8">
        <v>28.49</v>
      </c>
      <c r="AT681" s="8">
        <v>554.14</v>
      </c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>
        <v>40.56</v>
      </c>
      <c r="BH681" s="9">
        <f t="shared" si="90"/>
        <v>1126.25</v>
      </c>
      <c r="BI681" s="9">
        <f t="shared" si="91"/>
        <v>6.77</v>
      </c>
      <c r="BJ681" s="9">
        <f t="shared" si="92"/>
        <v>2.0299999999999998</v>
      </c>
      <c r="BK681" s="9">
        <f t="shared" si="93"/>
        <v>11.27</v>
      </c>
      <c r="BL681" s="9">
        <f t="shared" si="94"/>
        <v>0</v>
      </c>
      <c r="BM681" s="9">
        <f t="shared" si="95"/>
        <v>39.769999999999996</v>
      </c>
      <c r="BN681" s="9">
        <f t="shared" si="96"/>
        <v>554.14</v>
      </c>
      <c r="BO681" s="9">
        <f t="shared" si="97"/>
        <v>0</v>
      </c>
      <c r="BP681" s="9">
        <f t="shared" si="98"/>
        <v>0</v>
      </c>
    </row>
    <row r="682" spans="1:68">
      <c r="A682" s="6">
        <v>44678</v>
      </c>
      <c r="B682" s="7">
        <v>3022</v>
      </c>
      <c r="C682" s="8"/>
      <c r="D682" s="8">
        <v>566.71</v>
      </c>
      <c r="E682" s="8"/>
      <c r="F682" s="8"/>
      <c r="G682" s="8"/>
      <c r="H682" s="8"/>
      <c r="I682" s="8">
        <v>460.33</v>
      </c>
      <c r="J682" s="8"/>
      <c r="K682" s="8"/>
      <c r="L682" s="8"/>
      <c r="M682" s="8"/>
      <c r="N682" s="8">
        <v>5.15</v>
      </c>
      <c r="O682" s="8"/>
      <c r="P682" s="8"/>
      <c r="Q682" s="11"/>
      <c r="R682" s="11"/>
      <c r="S682" s="8">
        <v>1.85</v>
      </c>
      <c r="T682" s="8"/>
      <c r="U682" s="8"/>
      <c r="V682" s="8"/>
      <c r="W682" s="8">
        <v>10.35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>
        <v>13.37</v>
      </c>
      <c r="AN682" s="8"/>
      <c r="AO682" s="8"/>
      <c r="AP682" s="11"/>
      <c r="AQ682" s="8"/>
      <c r="AR682" s="8"/>
      <c r="AS682" s="8">
        <v>35.94</v>
      </c>
      <c r="AT682" s="8">
        <v>481.26</v>
      </c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 t="s">
        <v>72</v>
      </c>
      <c r="BH682" s="9">
        <f t="shared" si="90"/>
        <v>1027.04</v>
      </c>
      <c r="BI682" s="9">
        <f t="shared" si="91"/>
        <v>5.15</v>
      </c>
      <c r="BJ682" s="9">
        <f t="shared" si="92"/>
        <v>1.85</v>
      </c>
      <c r="BK682" s="9">
        <f t="shared" si="93"/>
        <v>10.35</v>
      </c>
      <c r="BL682" s="9">
        <f t="shared" si="94"/>
        <v>0</v>
      </c>
      <c r="BM682" s="9">
        <f t="shared" si="95"/>
        <v>49.309999999999995</v>
      </c>
      <c r="BN682" s="9">
        <f t="shared" si="96"/>
        <v>481.26</v>
      </c>
      <c r="BO682" s="9">
        <f t="shared" si="97"/>
        <v>0</v>
      </c>
      <c r="BP682" s="9">
        <f t="shared" si="98"/>
        <v>0</v>
      </c>
    </row>
    <row r="683" spans="1:68">
      <c r="A683" s="6">
        <v>44678</v>
      </c>
      <c r="B683" s="7">
        <v>3106</v>
      </c>
      <c r="C683" s="8">
        <v>6148.28</v>
      </c>
      <c r="D683" s="8"/>
      <c r="E683" s="8"/>
      <c r="F683" s="8"/>
      <c r="G683" s="8"/>
      <c r="H683" s="8"/>
      <c r="I683" s="8"/>
      <c r="J683" s="8"/>
      <c r="K683" s="8"/>
      <c r="L683" s="8"/>
      <c r="M683" s="8">
        <v>15.36</v>
      </c>
      <c r="N683" s="8"/>
      <c r="O683" s="8"/>
      <c r="P683" s="8"/>
      <c r="Q683" s="11"/>
      <c r="R683" s="11"/>
      <c r="S683" s="8">
        <v>18.54</v>
      </c>
      <c r="T683" s="8">
        <v>78.75</v>
      </c>
      <c r="U683" s="8"/>
      <c r="V683" s="8"/>
      <c r="W683" s="8"/>
      <c r="X683" s="8"/>
      <c r="Y683" s="8"/>
      <c r="Z683" s="8"/>
      <c r="AA683" s="8"/>
      <c r="AB683" s="8"/>
      <c r="AC683" s="8">
        <v>24.68</v>
      </c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11"/>
      <c r="AQ683" s="8"/>
      <c r="AR683" s="8"/>
      <c r="AS683" s="8"/>
      <c r="AT683" s="8">
        <v>3516.75</v>
      </c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>
        <v>264.76</v>
      </c>
      <c r="BH683" s="9">
        <f t="shared" si="90"/>
        <v>6148.28</v>
      </c>
      <c r="BI683" s="9">
        <f t="shared" si="91"/>
        <v>15.36</v>
      </c>
      <c r="BJ683" s="9">
        <f t="shared" si="92"/>
        <v>18.54</v>
      </c>
      <c r="BK683" s="9">
        <f t="shared" si="93"/>
        <v>78.75</v>
      </c>
      <c r="BL683" s="9">
        <f t="shared" si="94"/>
        <v>0</v>
      </c>
      <c r="BM683" s="9">
        <f t="shared" si="95"/>
        <v>24.68</v>
      </c>
      <c r="BN683" s="9">
        <f t="shared" si="96"/>
        <v>3516.75</v>
      </c>
      <c r="BO683" s="9">
        <f t="shared" si="97"/>
        <v>0</v>
      </c>
      <c r="BP683" s="9">
        <f t="shared" si="98"/>
        <v>0</v>
      </c>
    </row>
    <row r="684" spans="1:68">
      <c r="A684" s="6">
        <v>44678</v>
      </c>
      <c r="B684" s="7">
        <v>3100</v>
      </c>
      <c r="C684" s="8">
        <v>647.79999999999995</v>
      </c>
      <c r="D684" s="8"/>
      <c r="E684" s="8"/>
      <c r="F684" s="8"/>
      <c r="G684" s="8"/>
      <c r="H684" s="8"/>
      <c r="I684" s="8"/>
      <c r="J684" s="8"/>
      <c r="K684" s="8"/>
      <c r="L684" s="8"/>
      <c r="M684" s="8">
        <v>1.03</v>
      </c>
      <c r="N684" s="8"/>
      <c r="O684" s="8"/>
      <c r="P684" s="8"/>
      <c r="Q684" s="11"/>
      <c r="R684" s="11"/>
      <c r="S684" s="8">
        <v>3.71</v>
      </c>
      <c r="T684" s="8"/>
      <c r="U684" s="8">
        <v>10.44</v>
      </c>
      <c r="V684" s="8"/>
      <c r="W684" s="8"/>
      <c r="X684" s="8"/>
      <c r="Y684" s="8"/>
      <c r="Z684" s="8"/>
      <c r="AA684" s="8"/>
      <c r="AB684" s="8"/>
      <c r="AC684" s="8">
        <v>2.61</v>
      </c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11"/>
      <c r="AQ684" s="8"/>
      <c r="AR684" s="8"/>
      <c r="AS684" s="8"/>
      <c r="AT684" s="8">
        <v>438.07</v>
      </c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>
        <v>33.51</v>
      </c>
      <c r="BH684" s="9">
        <f t="shared" si="90"/>
        <v>647.79999999999995</v>
      </c>
      <c r="BI684" s="9">
        <f t="shared" si="91"/>
        <v>1.03</v>
      </c>
      <c r="BJ684" s="9">
        <f t="shared" si="92"/>
        <v>3.71</v>
      </c>
      <c r="BK684" s="9">
        <f t="shared" si="93"/>
        <v>10.44</v>
      </c>
      <c r="BL684" s="9">
        <f t="shared" si="94"/>
        <v>0</v>
      </c>
      <c r="BM684" s="9">
        <f t="shared" si="95"/>
        <v>2.61</v>
      </c>
      <c r="BN684" s="9">
        <f t="shared" si="96"/>
        <v>438.07</v>
      </c>
      <c r="BO684" s="9">
        <f t="shared" si="97"/>
        <v>0</v>
      </c>
      <c r="BP684" s="9">
        <f t="shared" si="98"/>
        <v>0</v>
      </c>
    </row>
    <row r="685" spans="1:68">
      <c r="A685" s="6">
        <v>44678</v>
      </c>
      <c r="B685" s="7">
        <v>3101</v>
      </c>
      <c r="C685" s="8">
        <v>650.30999999999995</v>
      </c>
      <c r="D685" s="8"/>
      <c r="E685" s="8"/>
      <c r="F685" s="8"/>
      <c r="G685" s="8"/>
      <c r="H685" s="8"/>
      <c r="I685" s="8"/>
      <c r="J685" s="8"/>
      <c r="K685" s="8"/>
      <c r="L685" s="8"/>
      <c r="M685" s="8">
        <v>1.28</v>
      </c>
      <c r="N685" s="8"/>
      <c r="O685" s="8"/>
      <c r="P685" s="8"/>
      <c r="Q685" s="11"/>
      <c r="R685" s="11"/>
      <c r="S685" s="8">
        <v>3.78</v>
      </c>
      <c r="T685" s="8"/>
      <c r="U685" s="8">
        <v>10.43</v>
      </c>
      <c r="V685" s="8"/>
      <c r="W685" s="8"/>
      <c r="X685" s="8"/>
      <c r="Y685" s="8"/>
      <c r="Z685" s="8"/>
      <c r="AA685" s="8"/>
      <c r="AB685" s="8"/>
      <c r="AC685" s="8">
        <v>2.61</v>
      </c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11"/>
      <c r="AQ685" s="8"/>
      <c r="AR685" s="8"/>
      <c r="AS685" s="8"/>
      <c r="AT685" s="8">
        <v>438.08</v>
      </c>
      <c r="AU685" s="8"/>
      <c r="AV685" s="8"/>
      <c r="AW685" s="8">
        <v>13.86</v>
      </c>
      <c r="AX685" s="8"/>
      <c r="AY685" s="8"/>
      <c r="AZ685" s="8"/>
      <c r="BA685" s="8"/>
      <c r="BB685" s="8"/>
      <c r="BC685" s="8"/>
      <c r="BD685" s="8"/>
      <c r="BE685" s="8"/>
      <c r="BF685" s="8">
        <v>84.6</v>
      </c>
      <c r="BG685" s="8">
        <v>33.47</v>
      </c>
      <c r="BH685" s="9">
        <f t="shared" si="90"/>
        <v>650.30999999999995</v>
      </c>
      <c r="BI685" s="9">
        <f t="shared" si="91"/>
        <v>1.28</v>
      </c>
      <c r="BJ685" s="9">
        <f t="shared" si="92"/>
        <v>3.78</v>
      </c>
      <c r="BK685" s="9">
        <f t="shared" si="93"/>
        <v>10.43</v>
      </c>
      <c r="BL685" s="9">
        <f t="shared" si="94"/>
        <v>0</v>
      </c>
      <c r="BM685" s="9">
        <f t="shared" si="95"/>
        <v>2.61</v>
      </c>
      <c r="BN685" s="9">
        <f t="shared" si="96"/>
        <v>438.08</v>
      </c>
      <c r="BO685" s="9">
        <f t="shared" si="97"/>
        <v>13.86</v>
      </c>
      <c r="BP685" s="9">
        <f t="shared" si="98"/>
        <v>84.6</v>
      </c>
    </row>
    <row r="686" spans="1:68">
      <c r="A686" s="6">
        <v>44678</v>
      </c>
      <c r="B686" s="7">
        <v>3602</v>
      </c>
      <c r="C686" s="8">
        <f>921.27+254.82</f>
        <v>1176.0899999999999</v>
      </c>
      <c r="D686" s="8"/>
      <c r="E686" s="8"/>
      <c r="F686" s="8"/>
      <c r="G686" s="8">
        <f>1379.24+383.08</f>
        <v>1762.32</v>
      </c>
      <c r="H686" s="8"/>
      <c r="I686" s="8"/>
      <c r="J686" s="8"/>
      <c r="K686" s="8"/>
      <c r="L686" s="8"/>
      <c r="M686" s="8">
        <f>2.44+0.66</f>
        <v>3.1</v>
      </c>
      <c r="N686" s="8"/>
      <c r="O686" s="8"/>
      <c r="P686" s="8"/>
      <c r="Q686" s="11"/>
      <c r="R686" s="11"/>
      <c r="S686" s="8">
        <f>11.87+3.39</f>
        <v>15.26</v>
      </c>
      <c r="T686" s="8"/>
      <c r="U686" s="8">
        <f>7.37+2.06</f>
        <v>9.43</v>
      </c>
      <c r="V686" s="8">
        <f>22.54+6.28</f>
        <v>28.82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11"/>
      <c r="AQ686" s="8"/>
      <c r="AR686" s="8"/>
      <c r="AS686" s="8"/>
      <c r="AT686" s="8">
        <f>959.73+266.72</f>
        <v>1226.45</v>
      </c>
      <c r="AU686" s="8"/>
      <c r="AV686" s="8"/>
      <c r="AW686" s="8">
        <f>59.45+16.6</f>
        <v>76.050000000000011</v>
      </c>
      <c r="AX686" s="8"/>
      <c r="AY686" s="8"/>
      <c r="AZ686" s="8"/>
      <c r="BA686" s="8"/>
      <c r="BB686" s="8"/>
      <c r="BC686" s="8"/>
      <c r="BD686" s="8"/>
      <c r="BE686" s="8"/>
      <c r="BF686" s="8">
        <f>73.72+20.57</f>
        <v>94.289999999999992</v>
      </c>
      <c r="BG686" s="8">
        <f>71.46+19.98</f>
        <v>91.44</v>
      </c>
      <c r="BH686" s="9">
        <f t="shared" si="90"/>
        <v>2938.41</v>
      </c>
      <c r="BI686" s="9">
        <f t="shared" si="91"/>
        <v>3.1</v>
      </c>
      <c r="BJ686" s="9">
        <f t="shared" si="92"/>
        <v>15.26</v>
      </c>
      <c r="BK686" s="9">
        <f t="shared" si="93"/>
        <v>38.25</v>
      </c>
      <c r="BL686" s="9">
        <f t="shared" si="94"/>
        <v>0</v>
      </c>
      <c r="BM686" s="9">
        <f t="shared" si="95"/>
        <v>0</v>
      </c>
      <c r="BN686" s="9">
        <f t="shared" si="96"/>
        <v>1226.45</v>
      </c>
      <c r="BO686" s="9">
        <f t="shared" si="97"/>
        <v>76.050000000000011</v>
      </c>
      <c r="BP686" s="9">
        <f t="shared" si="98"/>
        <v>94.289999999999992</v>
      </c>
    </row>
    <row r="687" spans="1:68">
      <c r="A687" s="6">
        <v>44690</v>
      </c>
      <c r="B687" s="7">
        <v>3079</v>
      </c>
      <c r="C687" s="8"/>
      <c r="D687" s="8"/>
      <c r="E687" s="8"/>
      <c r="F687" s="8">
        <v>333.88</v>
      </c>
      <c r="G687" s="8"/>
      <c r="H687" s="8"/>
      <c r="I687" s="8">
        <v>2697.55</v>
      </c>
      <c r="J687" s="8"/>
      <c r="K687" s="8"/>
      <c r="L687" s="8"/>
      <c r="M687" s="8"/>
      <c r="N687" s="8">
        <v>22.76</v>
      </c>
      <c r="O687" s="8"/>
      <c r="P687" s="8"/>
      <c r="Q687" s="11"/>
      <c r="R687" s="11"/>
      <c r="S687" s="8">
        <v>1.21</v>
      </c>
      <c r="T687" s="8">
        <v>30.37</v>
      </c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>
        <v>12.15</v>
      </c>
      <c r="AN687" s="8">
        <v>30.75</v>
      </c>
      <c r="AO687" s="8"/>
      <c r="AP687" s="11"/>
      <c r="AQ687" s="8"/>
      <c r="AR687" s="8">
        <v>76.23</v>
      </c>
      <c r="AS687" s="8"/>
      <c r="AT687" s="8">
        <v>1155.74</v>
      </c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>
        <v>83.41</v>
      </c>
      <c r="BH687" s="9">
        <f t="shared" si="90"/>
        <v>3031.4300000000003</v>
      </c>
      <c r="BI687" s="9">
        <f t="shared" si="91"/>
        <v>22.76</v>
      </c>
      <c r="BJ687" s="9">
        <f t="shared" si="92"/>
        <v>1.21</v>
      </c>
      <c r="BK687" s="9">
        <f t="shared" si="93"/>
        <v>30.37</v>
      </c>
      <c r="BL687" s="9">
        <f t="shared" si="94"/>
        <v>0</v>
      </c>
      <c r="BM687" s="9">
        <f t="shared" si="95"/>
        <v>119.13</v>
      </c>
      <c r="BN687" s="9">
        <f t="shared" si="96"/>
        <v>1155.74</v>
      </c>
      <c r="BO687" s="9">
        <f t="shared" si="97"/>
        <v>0</v>
      </c>
      <c r="BP687" s="9">
        <f t="shared" si="98"/>
        <v>0</v>
      </c>
    </row>
    <row r="688" spans="1:68">
      <c r="A688" s="6">
        <v>44690</v>
      </c>
      <c r="B688" s="7">
        <v>3016</v>
      </c>
      <c r="C688" s="8"/>
      <c r="D688" s="8">
        <v>3103.94</v>
      </c>
      <c r="E688" s="8"/>
      <c r="F688" s="8"/>
      <c r="G688" s="8"/>
      <c r="H688" s="8"/>
      <c r="I688" s="8">
        <v>2860.6</v>
      </c>
      <c r="J688" s="8"/>
      <c r="K688" s="8"/>
      <c r="L688" s="8"/>
      <c r="M688" s="8"/>
      <c r="N688" s="8">
        <v>35.770000000000003</v>
      </c>
      <c r="O688" s="8"/>
      <c r="P688" s="8"/>
      <c r="Q688" s="11"/>
      <c r="R688" s="11"/>
      <c r="S688" s="8">
        <v>4.16</v>
      </c>
      <c r="T688" s="8">
        <v>59.67</v>
      </c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>
        <v>23.84</v>
      </c>
      <c r="AN688" s="8">
        <v>71.44</v>
      </c>
      <c r="AO688" s="8"/>
      <c r="AP688" s="11"/>
      <c r="AQ688" s="8"/>
      <c r="AR688" s="8">
        <v>149.61000000000001</v>
      </c>
      <c r="AS688" s="8"/>
      <c r="AT688" s="8">
        <v>2215.9499999999998</v>
      </c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>
        <v>161.83000000000001</v>
      </c>
      <c r="BH688" s="9">
        <f t="shared" si="90"/>
        <v>5964.54</v>
      </c>
      <c r="BI688" s="9">
        <f t="shared" si="91"/>
        <v>35.770000000000003</v>
      </c>
      <c r="BJ688" s="9">
        <f t="shared" si="92"/>
        <v>4.16</v>
      </c>
      <c r="BK688" s="9">
        <f t="shared" si="93"/>
        <v>59.67</v>
      </c>
      <c r="BL688" s="9">
        <f t="shared" si="94"/>
        <v>0</v>
      </c>
      <c r="BM688" s="9">
        <f t="shared" si="95"/>
        <v>244.89000000000001</v>
      </c>
      <c r="BN688" s="9">
        <f t="shared" si="96"/>
        <v>2215.9499999999998</v>
      </c>
      <c r="BO688" s="9">
        <f t="shared" si="97"/>
        <v>0</v>
      </c>
      <c r="BP688" s="9">
        <f t="shared" si="98"/>
        <v>0</v>
      </c>
    </row>
    <row r="689" spans="1:68">
      <c r="A689" s="6">
        <v>44690</v>
      </c>
      <c r="B689" s="7">
        <v>3028</v>
      </c>
      <c r="C689" s="8"/>
      <c r="D689" s="8">
        <v>426.54</v>
      </c>
      <c r="E689" s="8"/>
      <c r="F689" s="8">
        <v>393.38</v>
      </c>
      <c r="G689" s="8"/>
      <c r="H689" s="8"/>
      <c r="I689" s="8">
        <v>888.76</v>
      </c>
      <c r="J689" s="8"/>
      <c r="K689" s="8"/>
      <c r="L689" s="8"/>
      <c r="M689" s="8"/>
      <c r="N689" s="8">
        <v>12.83</v>
      </c>
      <c r="O689" s="8"/>
      <c r="P689" s="8"/>
      <c r="Q689" s="11"/>
      <c r="R689" s="11"/>
      <c r="S689" s="8">
        <v>2.4</v>
      </c>
      <c r="T689" s="8"/>
      <c r="U689" s="8"/>
      <c r="V689" s="8"/>
      <c r="W689" s="8">
        <v>12.97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>
        <v>17.059999999999999</v>
      </c>
      <c r="AN689" s="8">
        <v>12.23</v>
      </c>
      <c r="AO689" s="8"/>
      <c r="AP689" s="11"/>
      <c r="AQ689" s="8"/>
      <c r="AR689" s="8"/>
      <c r="AS689" s="8">
        <v>56.76</v>
      </c>
      <c r="AT689" s="8">
        <v>570.33000000000004</v>
      </c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>
        <v>38.92</v>
      </c>
      <c r="BH689" s="9">
        <f t="shared" si="90"/>
        <v>1708.68</v>
      </c>
      <c r="BI689" s="9">
        <f t="shared" si="91"/>
        <v>12.83</v>
      </c>
      <c r="BJ689" s="9">
        <f t="shared" si="92"/>
        <v>2.4</v>
      </c>
      <c r="BK689" s="9">
        <f t="shared" si="93"/>
        <v>12.97</v>
      </c>
      <c r="BL689" s="9">
        <f t="shared" si="94"/>
        <v>0</v>
      </c>
      <c r="BM689" s="9">
        <f t="shared" si="95"/>
        <v>86.05</v>
      </c>
      <c r="BN689" s="9">
        <f t="shared" si="96"/>
        <v>570.33000000000004</v>
      </c>
      <c r="BO689" s="9">
        <f t="shared" si="97"/>
        <v>0</v>
      </c>
      <c r="BP689" s="9">
        <f t="shared" si="98"/>
        <v>0</v>
      </c>
    </row>
    <row r="690" spans="1:68">
      <c r="A690" s="6">
        <v>44690</v>
      </c>
      <c r="B690" s="7">
        <v>3025</v>
      </c>
      <c r="C690" s="8"/>
      <c r="D690" s="8">
        <v>115.98</v>
      </c>
      <c r="E690" s="8"/>
      <c r="F690" s="8"/>
      <c r="G690" s="8"/>
      <c r="H690" s="8"/>
      <c r="I690" s="8">
        <v>660.16</v>
      </c>
      <c r="J690" s="8"/>
      <c r="K690" s="8"/>
      <c r="L690" s="8"/>
      <c r="M690" s="8"/>
      <c r="N690" s="8">
        <v>4.22</v>
      </c>
      <c r="O690" s="8"/>
      <c r="P690" s="8"/>
      <c r="Q690" s="11"/>
      <c r="R690" s="11"/>
      <c r="S690" s="8">
        <v>1.25</v>
      </c>
      <c r="T690" s="8"/>
      <c r="U690" s="8"/>
      <c r="V690" s="8"/>
      <c r="W690" s="8">
        <v>7.1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>
        <v>7.77</v>
      </c>
      <c r="AN690" s="8">
        <v>5.57</v>
      </c>
      <c r="AO690" s="8"/>
      <c r="AP690" s="11"/>
      <c r="AQ690" s="8"/>
      <c r="AR690" s="8"/>
      <c r="AS690" s="8">
        <v>25.88</v>
      </c>
      <c r="AT690" s="8">
        <v>268.98</v>
      </c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>
        <v>17.84</v>
      </c>
      <c r="BH690" s="9">
        <f t="shared" si="90"/>
        <v>776.14</v>
      </c>
      <c r="BI690" s="9">
        <f t="shared" si="91"/>
        <v>4.22</v>
      </c>
      <c r="BJ690" s="9">
        <f t="shared" si="92"/>
        <v>1.25</v>
      </c>
      <c r="BK690" s="9">
        <f t="shared" si="93"/>
        <v>7.1</v>
      </c>
      <c r="BL690" s="9">
        <f t="shared" si="94"/>
        <v>0</v>
      </c>
      <c r="BM690" s="9">
        <f t="shared" si="95"/>
        <v>39.22</v>
      </c>
      <c r="BN690" s="9">
        <f t="shared" si="96"/>
        <v>268.98</v>
      </c>
      <c r="BO690" s="9">
        <f t="shared" si="97"/>
        <v>0</v>
      </c>
      <c r="BP690" s="9">
        <f t="shared" si="98"/>
        <v>0</v>
      </c>
    </row>
    <row r="691" spans="1:68">
      <c r="A691" s="6">
        <v>44690</v>
      </c>
      <c r="B691" s="7">
        <v>3405</v>
      </c>
      <c r="C691" s="8">
        <v>1007.53</v>
      </c>
      <c r="D691" s="8">
        <v>252.43</v>
      </c>
      <c r="E691" s="8"/>
      <c r="F691" s="8"/>
      <c r="G691" s="8"/>
      <c r="H691" s="8"/>
      <c r="I691" s="8"/>
      <c r="J691" s="8"/>
      <c r="K691" s="8"/>
      <c r="L691" s="8"/>
      <c r="M691" s="8">
        <v>3.4</v>
      </c>
      <c r="N691" s="8"/>
      <c r="O691" s="8"/>
      <c r="P691" s="8"/>
      <c r="Q691" s="11"/>
      <c r="R691" s="11"/>
      <c r="S691" s="8">
        <v>2.91</v>
      </c>
      <c r="T691" s="8"/>
      <c r="U691" s="8"/>
      <c r="V691" s="8"/>
      <c r="W691" s="8"/>
      <c r="X691" s="8">
        <v>15.45</v>
      </c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11"/>
      <c r="AQ691" s="8"/>
      <c r="AR691" s="8"/>
      <c r="AS691" s="8"/>
      <c r="AT691" s="8">
        <v>637.04999999999995</v>
      </c>
      <c r="AU691" s="8"/>
      <c r="AV691" s="8"/>
      <c r="AW691" s="8"/>
      <c r="AX691" s="8"/>
      <c r="AY691" s="8"/>
      <c r="AZ691" s="8"/>
      <c r="BA691" s="8">
        <v>5.63</v>
      </c>
      <c r="BB691" s="8"/>
      <c r="BC691" s="8"/>
      <c r="BD691" s="8"/>
      <c r="BE691" s="8"/>
      <c r="BF691" s="8"/>
      <c r="BG691" s="8">
        <v>43.07</v>
      </c>
      <c r="BH691" s="9">
        <f t="shared" si="90"/>
        <v>1259.96</v>
      </c>
      <c r="BI691" s="9">
        <f t="shared" si="91"/>
        <v>3.4</v>
      </c>
      <c r="BJ691" s="9">
        <f t="shared" si="92"/>
        <v>2.91</v>
      </c>
      <c r="BK691" s="9">
        <f t="shared" si="93"/>
        <v>15.45</v>
      </c>
      <c r="BL691" s="9">
        <f t="shared" si="94"/>
        <v>0</v>
      </c>
      <c r="BM691" s="9">
        <f t="shared" si="95"/>
        <v>0</v>
      </c>
      <c r="BN691" s="9">
        <f t="shared" si="96"/>
        <v>637.04999999999995</v>
      </c>
      <c r="BO691" s="9">
        <f t="shared" si="97"/>
        <v>5.63</v>
      </c>
      <c r="BP691" s="9">
        <f t="shared" si="98"/>
        <v>0</v>
      </c>
    </row>
    <row r="692" spans="1:68">
      <c r="A692" s="6">
        <v>44690</v>
      </c>
      <c r="B692" s="7">
        <v>3403</v>
      </c>
      <c r="C692" s="8">
        <v>378.55</v>
      </c>
      <c r="D692" s="8">
        <v>376.49</v>
      </c>
      <c r="E692" s="8"/>
      <c r="F692" s="8"/>
      <c r="G692" s="8"/>
      <c r="H692" s="8"/>
      <c r="I692" s="8"/>
      <c r="J692" s="8"/>
      <c r="K692" s="8"/>
      <c r="L692" s="8"/>
      <c r="M692" s="8">
        <v>1.96</v>
      </c>
      <c r="N692" s="8"/>
      <c r="O692" s="8"/>
      <c r="P692" s="8"/>
      <c r="Q692" s="11"/>
      <c r="R692" s="11"/>
      <c r="S692" s="8">
        <v>1.74</v>
      </c>
      <c r="T692" s="8"/>
      <c r="U692" s="8"/>
      <c r="V692" s="8"/>
      <c r="W692" s="8"/>
      <c r="X692" s="8">
        <v>7.67</v>
      </c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11"/>
      <c r="AQ692" s="8"/>
      <c r="AR692" s="8"/>
      <c r="AS692" s="8"/>
      <c r="AT692" s="8">
        <v>350.22</v>
      </c>
      <c r="AU692" s="8"/>
      <c r="AV692" s="8">
        <v>22.66</v>
      </c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>
        <v>24.9</v>
      </c>
      <c r="BH692" s="9">
        <f t="shared" si="90"/>
        <v>755.04</v>
      </c>
      <c r="BI692" s="9">
        <f t="shared" si="91"/>
        <v>1.96</v>
      </c>
      <c r="BJ692" s="9">
        <f t="shared" si="92"/>
        <v>1.74</v>
      </c>
      <c r="BK692" s="9">
        <f t="shared" si="93"/>
        <v>7.67</v>
      </c>
      <c r="BL692" s="9">
        <f t="shared" si="94"/>
        <v>0</v>
      </c>
      <c r="BM692" s="9">
        <f t="shared" si="95"/>
        <v>0</v>
      </c>
      <c r="BN692" s="9">
        <f t="shared" si="96"/>
        <v>350.22</v>
      </c>
      <c r="BO692" s="9">
        <f t="shared" si="97"/>
        <v>22.66</v>
      </c>
      <c r="BP692" s="9">
        <f t="shared" si="98"/>
        <v>0</v>
      </c>
    </row>
    <row r="693" spans="1:68">
      <c r="A693" s="6">
        <v>44690</v>
      </c>
      <c r="B693" s="7">
        <v>3141</v>
      </c>
      <c r="C693" s="8">
        <v>2416.98</v>
      </c>
      <c r="D693" s="8">
        <v>426.66</v>
      </c>
      <c r="E693" s="8"/>
      <c r="F693" s="8"/>
      <c r="G693" s="8"/>
      <c r="H693" s="8"/>
      <c r="I693" s="8"/>
      <c r="J693" s="8"/>
      <c r="K693" s="8"/>
      <c r="L693" s="8"/>
      <c r="M693" s="8">
        <v>6.99</v>
      </c>
      <c r="N693" s="8"/>
      <c r="O693" s="8"/>
      <c r="P693" s="8"/>
      <c r="Q693" s="11"/>
      <c r="R693" s="11"/>
      <c r="S693" s="8">
        <v>13.4</v>
      </c>
      <c r="T693" s="8">
        <v>21.38</v>
      </c>
      <c r="U693" s="8">
        <v>21.39</v>
      </c>
      <c r="V693" s="8"/>
      <c r="W693" s="8"/>
      <c r="X693" s="8"/>
      <c r="Y693" s="8"/>
      <c r="Z693" s="8"/>
      <c r="AA693" s="8"/>
      <c r="AB693" s="8"/>
      <c r="AC693" s="8">
        <v>11.4</v>
      </c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11"/>
      <c r="AQ693" s="8"/>
      <c r="AR693" s="8"/>
      <c r="AS693" s="8"/>
      <c r="AT693" s="8">
        <v>1887.82</v>
      </c>
      <c r="AU693" s="8"/>
      <c r="AV693" s="8"/>
      <c r="AW693" s="8"/>
      <c r="AX693" s="8"/>
      <c r="AY693" s="8"/>
      <c r="AZ693" s="8"/>
      <c r="BA693" s="8">
        <v>65.260000000000005</v>
      </c>
      <c r="BB693" s="8"/>
      <c r="BC693" s="8"/>
      <c r="BD693" s="8"/>
      <c r="BE693" s="8"/>
      <c r="BF693" s="8">
        <v>199.23</v>
      </c>
      <c r="BG693" s="8">
        <v>148.11000000000001</v>
      </c>
      <c r="BH693" s="9">
        <f t="shared" si="90"/>
        <v>2843.64</v>
      </c>
      <c r="BI693" s="9">
        <f t="shared" si="91"/>
        <v>6.99</v>
      </c>
      <c r="BJ693" s="9">
        <f t="shared" si="92"/>
        <v>13.4</v>
      </c>
      <c r="BK693" s="9">
        <f t="shared" si="93"/>
        <v>42.769999999999996</v>
      </c>
      <c r="BL693" s="9">
        <f t="shared" si="94"/>
        <v>0</v>
      </c>
      <c r="BM693" s="9">
        <f t="shared" si="95"/>
        <v>11.4</v>
      </c>
      <c r="BN693" s="9">
        <f t="shared" si="96"/>
        <v>1887.82</v>
      </c>
      <c r="BO693" s="9">
        <f t="shared" si="97"/>
        <v>65.260000000000005</v>
      </c>
      <c r="BP693" s="9">
        <f t="shared" si="98"/>
        <v>199.23</v>
      </c>
    </row>
    <row r="694" spans="1:68">
      <c r="A694" s="6">
        <v>44690</v>
      </c>
      <c r="B694" s="7">
        <v>3106</v>
      </c>
      <c r="C694" s="8">
        <v>4152.49</v>
      </c>
      <c r="D694" s="8"/>
      <c r="E694" s="8"/>
      <c r="F694" s="8"/>
      <c r="G694" s="8"/>
      <c r="H694" s="8"/>
      <c r="I694" s="8"/>
      <c r="J694" s="8"/>
      <c r="K694" s="8"/>
      <c r="L694" s="8"/>
      <c r="M694" s="8">
        <v>10.39</v>
      </c>
      <c r="N694" s="8"/>
      <c r="O694" s="8"/>
      <c r="P694" s="8"/>
      <c r="Q694" s="11"/>
      <c r="R694" s="11"/>
      <c r="S694" s="8">
        <v>12.49</v>
      </c>
      <c r="T694" s="8">
        <v>52.75</v>
      </c>
      <c r="U694" s="8"/>
      <c r="V694" s="8"/>
      <c r="W694" s="8"/>
      <c r="X694" s="8"/>
      <c r="Y694" s="8"/>
      <c r="Z694" s="8"/>
      <c r="AA694" s="8"/>
      <c r="AB694" s="8"/>
      <c r="AC694" s="8">
        <v>16.61</v>
      </c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11"/>
      <c r="AQ694" s="8"/>
      <c r="AR694" s="8"/>
      <c r="AS694" s="8"/>
      <c r="AT694" s="8">
        <v>2377.27</v>
      </c>
      <c r="AU694" s="8"/>
      <c r="AV694" s="8"/>
      <c r="AW694" s="8"/>
      <c r="AX694" s="8">
        <v>5.2</v>
      </c>
      <c r="AY694" s="8"/>
      <c r="AZ694" s="8"/>
      <c r="BA694" s="8"/>
      <c r="BB694" s="8"/>
      <c r="BC694" s="8"/>
      <c r="BD694" s="8"/>
      <c r="BE694" s="8"/>
      <c r="BF694" s="8"/>
      <c r="BG694" s="8">
        <v>178.91</v>
      </c>
      <c r="BH694" s="9">
        <f t="shared" si="90"/>
        <v>4152.49</v>
      </c>
      <c r="BI694" s="9">
        <f t="shared" si="91"/>
        <v>10.39</v>
      </c>
      <c r="BJ694" s="9">
        <f t="shared" si="92"/>
        <v>12.49</v>
      </c>
      <c r="BK694" s="9">
        <f t="shared" si="93"/>
        <v>52.75</v>
      </c>
      <c r="BL694" s="9">
        <f t="shared" si="94"/>
        <v>0</v>
      </c>
      <c r="BM694" s="9">
        <f t="shared" si="95"/>
        <v>16.61</v>
      </c>
      <c r="BN694" s="9">
        <f t="shared" si="96"/>
        <v>2377.27</v>
      </c>
      <c r="BO694" s="9">
        <f t="shared" si="97"/>
        <v>5.2</v>
      </c>
      <c r="BP694" s="9">
        <f t="shared" si="98"/>
        <v>0</v>
      </c>
    </row>
    <row r="695" spans="1:68">
      <c r="A695" s="6">
        <v>44690</v>
      </c>
      <c r="B695" s="7">
        <v>3134</v>
      </c>
      <c r="C695" s="8">
        <v>1036.8800000000001</v>
      </c>
      <c r="D695" s="8">
        <v>145.05000000000001</v>
      </c>
      <c r="E695" s="8"/>
      <c r="F695" s="8"/>
      <c r="G695" s="8"/>
      <c r="H695" s="8">
        <v>490.25</v>
      </c>
      <c r="I695" s="8"/>
      <c r="J695" s="8"/>
      <c r="K695" s="8"/>
      <c r="L695" s="8"/>
      <c r="M695" s="8">
        <v>3.08</v>
      </c>
      <c r="N695" s="8"/>
      <c r="O695" s="8"/>
      <c r="P695" s="8"/>
      <c r="Q695" s="11"/>
      <c r="R695" s="11"/>
      <c r="S695" s="8">
        <v>6.68</v>
      </c>
      <c r="T695" s="8">
        <v>10.17</v>
      </c>
      <c r="U695" s="8">
        <v>8.7100000000000009</v>
      </c>
      <c r="V695" s="8"/>
      <c r="W695" s="8"/>
      <c r="X695" s="8"/>
      <c r="Y695" s="8"/>
      <c r="Z695" s="8"/>
      <c r="AA695" s="8"/>
      <c r="AB695" s="8"/>
      <c r="AC695" s="8">
        <v>5.81</v>
      </c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11"/>
      <c r="AQ695" s="8"/>
      <c r="AR695" s="8"/>
      <c r="AS695" s="8"/>
      <c r="AT695" s="8">
        <v>1027.6600000000001</v>
      </c>
      <c r="AU695" s="8"/>
      <c r="AV695" s="8"/>
      <c r="AW695" s="8"/>
      <c r="AX695" s="8"/>
      <c r="AY695" s="8">
        <v>14.79</v>
      </c>
      <c r="AZ695" s="8"/>
      <c r="BA695" s="8"/>
      <c r="BB695" s="8"/>
      <c r="BC695" s="8"/>
      <c r="BD695" s="8"/>
      <c r="BE695" s="8"/>
      <c r="BF695" s="8">
        <v>65.38</v>
      </c>
      <c r="BG695" s="8">
        <v>77.55</v>
      </c>
      <c r="BH695" s="9">
        <f t="shared" si="90"/>
        <v>1672.18</v>
      </c>
      <c r="BI695" s="9">
        <f t="shared" si="91"/>
        <v>3.08</v>
      </c>
      <c r="BJ695" s="9">
        <f t="shared" si="92"/>
        <v>6.68</v>
      </c>
      <c r="BK695" s="9">
        <f t="shared" si="93"/>
        <v>18.880000000000003</v>
      </c>
      <c r="BL695" s="9">
        <f t="shared" si="94"/>
        <v>0</v>
      </c>
      <c r="BM695" s="9">
        <f t="shared" si="95"/>
        <v>5.81</v>
      </c>
      <c r="BN695" s="9">
        <f t="shared" si="96"/>
        <v>1027.6600000000001</v>
      </c>
      <c r="BO695" s="9">
        <f t="shared" si="97"/>
        <v>14.79</v>
      </c>
      <c r="BP695" s="9">
        <f t="shared" si="98"/>
        <v>65.38</v>
      </c>
    </row>
    <row r="696" spans="1:68">
      <c r="A696" s="6">
        <v>44690</v>
      </c>
      <c r="B696" s="7">
        <v>3080</v>
      </c>
      <c r="C696" s="8"/>
      <c r="D696" s="8"/>
      <c r="E696" s="8"/>
      <c r="F696" s="8">
        <v>761.12</v>
      </c>
      <c r="G696" s="8"/>
      <c r="H696" s="8"/>
      <c r="I696" s="8">
        <v>1142.78</v>
      </c>
      <c r="J696" s="8"/>
      <c r="K696" s="8"/>
      <c r="L696" s="8"/>
      <c r="M696" s="8"/>
      <c r="N696" s="8">
        <v>13.38</v>
      </c>
      <c r="O696" s="8"/>
      <c r="P696" s="8">
        <v>7.77</v>
      </c>
      <c r="Q696" s="11"/>
      <c r="R696" s="11"/>
      <c r="S696" s="8">
        <v>1.1399999999999999</v>
      </c>
      <c r="T696" s="8">
        <v>19.12</v>
      </c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>
        <v>28.7</v>
      </c>
      <c r="AJ696" s="8"/>
      <c r="AK696" s="8"/>
      <c r="AL696" s="8"/>
      <c r="AM696" s="8"/>
      <c r="AN696" s="8"/>
      <c r="AO696" s="8"/>
      <c r="AP696" s="11"/>
      <c r="AQ696" s="8">
        <v>19.190000000000001</v>
      </c>
      <c r="AR696" s="8">
        <v>66.89</v>
      </c>
      <c r="AS696" s="8"/>
      <c r="AT696" s="8">
        <v>669.84</v>
      </c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>
        <v>36.19</v>
      </c>
      <c r="BH696" s="9">
        <f t="shared" si="90"/>
        <v>1903.9</v>
      </c>
      <c r="BI696" s="9">
        <f t="shared" si="91"/>
        <v>21.15</v>
      </c>
      <c r="BJ696" s="9">
        <f t="shared" si="92"/>
        <v>1.1399999999999999</v>
      </c>
      <c r="BK696" s="9">
        <f t="shared" si="93"/>
        <v>19.12</v>
      </c>
      <c r="BL696" s="9">
        <f t="shared" si="94"/>
        <v>0</v>
      </c>
      <c r="BM696" s="9">
        <f t="shared" si="95"/>
        <v>114.78</v>
      </c>
      <c r="BN696" s="9">
        <f t="shared" si="96"/>
        <v>669.84</v>
      </c>
      <c r="BO696" s="9">
        <f t="shared" si="97"/>
        <v>0</v>
      </c>
      <c r="BP696" s="9">
        <f t="shared" si="98"/>
        <v>0</v>
      </c>
    </row>
    <row r="697" spans="1:68">
      <c r="A697" s="6">
        <v>44691</v>
      </c>
      <c r="B697" s="7">
        <v>3204</v>
      </c>
      <c r="C697" s="8"/>
      <c r="D697" s="8">
        <v>1735.06</v>
      </c>
      <c r="E697" s="8">
        <v>742.29</v>
      </c>
      <c r="F697" s="8"/>
      <c r="G697" s="8"/>
      <c r="H697" s="8"/>
      <c r="I697" s="8"/>
      <c r="J697" s="8"/>
      <c r="K697" s="8"/>
      <c r="L697" s="8"/>
      <c r="M697" s="8"/>
      <c r="N697" s="8"/>
      <c r="O697" s="8">
        <v>12.43</v>
      </c>
      <c r="P697" s="8"/>
      <c r="Q697" s="11"/>
      <c r="R697" s="11"/>
      <c r="S697" s="8">
        <v>8.44</v>
      </c>
      <c r="T697" s="8">
        <v>14.93</v>
      </c>
      <c r="U697" s="8">
        <v>12.44</v>
      </c>
      <c r="V697" s="8"/>
      <c r="W697" s="8"/>
      <c r="X697" s="8"/>
      <c r="Y697" s="8"/>
      <c r="Z697" s="8">
        <v>372.54</v>
      </c>
      <c r="AA697" s="8"/>
      <c r="AB697" s="8">
        <v>12.66</v>
      </c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11"/>
      <c r="AQ697" s="8"/>
      <c r="AR697" s="8"/>
      <c r="AS697" s="8"/>
      <c r="AT697" s="8">
        <v>1091.1300000000001</v>
      </c>
      <c r="AU697" s="8"/>
      <c r="AV697" s="8"/>
      <c r="AW697" s="8">
        <v>7.99</v>
      </c>
      <c r="AX697" s="8"/>
      <c r="AY697" s="8"/>
      <c r="AZ697" s="8"/>
      <c r="BA697" s="8"/>
      <c r="BB697" s="8"/>
      <c r="BC697" s="8"/>
      <c r="BD697" s="8"/>
      <c r="BE697" s="8"/>
      <c r="BF697" s="8"/>
      <c r="BG697" s="8">
        <v>80.77</v>
      </c>
      <c r="BH697" s="9">
        <f t="shared" si="90"/>
        <v>2477.35</v>
      </c>
      <c r="BI697" s="9">
        <f t="shared" si="91"/>
        <v>12.43</v>
      </c>
      <c r="BJ697" s="9">
        <f t="shared" si="92"/>
        <v>8.44</v>
      </c>
      <c r="BK697" s="9">
        <f t="shared" si="93"/>
        <v>27.369999999999997</v>
      </c>
      <c r="BL697" s="9">
        <f t="shared" si="94"/>
        <v>372.54</v>
      </c>
      <c r="BM697" s="9">
        <f t="shared" si="95"/>
        <v>12.66</v>
      </c>
      <c r="BN697" s="9">
        <f t="shared" si="96"/>
        <v>1091.1300000000001</v>
      </c>
      <c r="BO697" s="9">
        <f t="shared" si="97"/>
        <v>7.99</v>
      </c>
      <c r="BP697" s="9">
        <f t="shared" si="98"/>
        <v>0</v>
      </c>
    </row>
    <row r="698" spans="1:68">
      <c r="A698" s="6">
        <v>44691</v>
      </c>
      <c r="B698" s="7">
        <v>3205</v>
      </c>
      <c r="C698" s="8">
        <v>694.24</v>
      </c>
      <c r="D698" s="8">
        <v>386.35</v>
      </c>
      <c r="E698" s="8">
        <v>463.43</v>
      </c>
      <c r="F698" s="8"/>
      <c r="G698" s="8"/>
      <c r="H698" s="8"/>
      <c r="I698" s="8"/>
      <c r="J698" s="8"/>
      <c r="K698" s="8"/>
      <c r="L698" s="8"/>
      <c r="M698" s="8"/>
      <c r="N698" s="8"/>
      <c r="O698" s="8">
        <v>6.2</v>
      </c>
      <c r="P698" s="8"/>
      <c r="Q698" s="11"/>
      <c r="R698" s="11"/>
      <c r="S698" s="8">
        <v>5.73</v>
      </c>
      <c r="T698" s="8"/>
      <c r="U698" s="8">
        <v>18.600000000000001</v>
      </c>
      <c r="V698" s="8"/>
      <c r="W698" s="8"/>
      <c r="X698" s="8"/>
      <c r="Y698" s="8"/>
      <c r="Z698" s="8">
        <v>154.97</v>
      </c>
      <c r="AA698" s="8"/>
      <c r="AB698" s="8">
        <v>15.56</v>
      </c>
      <c r="AC698" s="8"/>
      <c r="AD698" s="8"/>
      <c r="AE698" s="8">
        <v>7.95</v>
      </c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11"/>
      <c r="AQ698" s="8"/>
      <c r="AR698" s="8"/>
      <c r="AS698" s="8"/>
      <c r="AT698" s="8">
        <v>404.52</v>
      </c>
      <c r="AU698" s="8">
        <v>201.45</v>
      </c>
      <c r="AV698" s="8"/>
      <c r="AW698" s="8">
        <v>6.69</v>
      </c>
      <c r="AX698" s="8"/>
      <c r="AY698" s="8"/>
      <c r="AZ698" s="8"/>
      <c r="BA698" s="8"/>
      <c r="BB698" s="8"/>
      <c r="BC698" s="8"/>
      <c r="BD698" s="8"/>
      <c r="BE698" s="8"/>
      <c r="BF698" s="8"/>
      <c r="BG698" s="8">
        <v>36.71</v>
      </c>
      <c r="BH698" s="9">
        <f t="shared" si="90"/>
        <v>1544.0200000000002</v>
      </c>
      <c r="BI698" s="9">
        <f t="shared" si="91"/>
        <v>6.2</v>
      </c>
      <c r="BJ698" s="9">
        <f t="shared" si="92"/>
        <v>5.73</v>
      </c>
      <c r="BK698" s="9">
        <f t="shared" si="93"/>
        <v>18.600000000000001</v>
      </c>
      <c r="BL698" s="9">
        <f t="shared" si="94"/>
        <v>154.97</v>
      </c>
      <c r="BM698" s="9">
        <f t="shared" si="95"/>
        <v>23.51</v>
      </c>
      <c r="BN698" s="9">
        <f t="shared" si="96"/>
        <v>605.97</v>
      </c>
      <c r="BO698" s="9">
        <f t="shared" si="97"/>
        <v>6.69</v>
      </c>
      <c r="BP698" s="9">
        <f t="shared" si="98"/>
        <v>0</v>
      </c>
    </row>
    <row r="699" spans="1:68">
      <c r="A699" s="6">
        <v>44691</v>
      </c>
      <c r="B699" s="7">
        <v>3029</v>
      </c>
      <c r="C699" s="8"/>
      <c r="D699" s="8">
        <v>463.75</v>
      </c>
      <c r="E699" s="8"/>
      <c r="F699" s="8">
        <v>327.69</v>
      </c>
      <c r="G699" s="8"/>
      <c r="H699" s="8"/>
      <c r="I699" s="8">
        <v>1936.73</v>
      </c>
      <c r="J699" s="8"/>
      <c r="K699" s="8"/>
      <c r="L699" s="8"/>
      <c r="M699" s="8"/>
      <c r="N699" s="8">
        <v>20.49</v>
      </c>
      <c r="O699" s="8"/>
      <c r="P699" s="8"/>
      <c r="Q699" s="11"/>
      <c r="R699" s="11"/>
      <c r="S699" s="8">
        <v>1.63</v>
      </c>
      <c r="T699" s="8"/>
      <c r="U699" s="8"/>
      <c r="V699" s="8"/>
      <c r="W699" s="8">
        <v>28.11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>
        <v>9.5500000000000007</v>
      </c>
      <c r="AN699" s="8">
        <v>13.81</v>
      </c>
      <c r="AO699" s="8"/>
      <c r="AP699" s="11"/>
      <c r="AQ699" s="8"/>
      <c r="AR699" s="8">
        <v>82.92</v>
      </c>
      <c r="AS699" s="8"/>
      <c r="AT699" s="8">
        <v>1034</v>
      </c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>
        <v>72.349999999999994</v>
      </c>
      <c r="BH699" s="9">
        <f t="shared" si="90"/>
        <v>2728.17</v>
      </c>
      <c r="BI699" s="9">
        <f t="shared" si="91"/>
        <v>20.49</v>
      </c>
      <c r="BJ699" s="9">
        <f t="shared" si="92"/>
        <v>1.63</v>
      </c>
      <c r="BK699" s="9">
        <f t="shared" si="93"/>
        <v>28.11</v>
      </c>
      <c r="BL699" s="9">
        <f t="shared" si="94"/>
        <v>0</v>
      </c>
      <c r="BM699" s="9">
        <f t="shared" si="95"/>
        <v>106.28</v>
      </c>
      <c r="BN699" s="9">
        <f t="shared" si="96"/>
        <v>1034</v>
      </c>
      <c r="BO699" s="9">
        <f t="shared" si="97"/>
        <v>0</v>
      </c>
      <c r="BP699" s="9">
        <f t="shared" si="98"/>
        <v>0</v>
      </c>
    </row>
    <row r="700" spans="1:68">
      <c r="A700" s="6">
        <v>44691</v>
      </c>
      <c r="B700" s="7">
        <v>3433</v>
      </c>
      <c r="C700" s="8">
        <v>1254.71</v>
      </c>
      <c r="D700" s="8"/>
      <c r="E700" s="8"/>
      <c r="F700" s="8"/>
      <c r="G700" s="8"/>
      <c r="H700" s="8"/>
      <c r="I700" s="8"/>
      <c r="J700" s="8"/>
      <c r="K700" s="8"/>
      <c r="L700" s="8"/>
      <c r="M700" s="8">
        <v>2.5099999999999998</v>
      </c>
      <c r="N700" s="8"/>
      <c r="O700" s="8"/>
      <c r="P700" s="8"/>
      <c r="Q700" s="11"/>
      <c r="R700" s="11"/>
      <c r="S700" s="8">
        <v>5.0199999999999996</v>
      </c>
      <c r="T700" s="8"/>
      <c r="U700" s="8"/>
      <c r="V700" s="8"/>
      <c r="W700" s="8"/>
      <c r="X700" s="8">
        <v>12.51</v>
      </c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11"/>
      <c r="AQ700" s="8"/>
      <c r="AR700" s="8"/>
      <c r="AS700" s="8"/>
      <c r="AT700" s="8">
        <v>569.12</v>
      </c>
      <c r="AU700" s="8"/>
      <c r="AV700" s="8"/>
      <c r="AW700" s="8"/>
      <c r="AX700" s="8"/>
      <c r="AY700" s="8"/>
      <c r="AZ700" s="8"/>
      <c r="BA700" s="8">
        <v>5.64</v>
      </c>
      <c r="BB700" s="8"/>
      <c r="BC700" s="8"/>
      <c r="BD700" s="8"/>
      <c r="BE700" s="8"/>
      <c r="BF700" s="8">
        <v>62.87</v>
      </c>
      <c r="BG700" s="8">
        <v>42.33</v>
      </c>
      <c r="BH700" s="9">
        <f t="shared" si="90"/>
        <v>1254.71</v>
      </c>
      <c r="BI700" s="9">
        <f t="shared" si="91"/>
        <v>2.5099999999999998</v>
      </c>
      <c r="BJ700" s="9">
        <f t="shared" si="92"/>
        <v>5.0199999999999996</v>
      </c>
      <c r="BK700" s="9">
        <f t="shared" si="93"/>
        <v>12.51</v>
      </c>
      <c r="BL700" s="9">
        <f t="shared" si="94"/>
        <v>0</v>
      </c>
      <c r="BM700" s="9">
        <f t="shared" si="95"/>
        <v>0</v>
      </c>
      <c r="BN700" s="9">
        <f t="shared" si="96"/>
        <v>569.12</v>
      </c>
      <c r="BO700" s="9">
        <f t="shared" si="97"/>
        <v>5.64</v>
      </c>
      <c r="BP700" s="9">
        <f t="shared" si="98"/>
        <v>62.87</v>
      </c>
    </row>
    <row r="701" spans="1:68">
      <c r="A701" s="6">
        <v>44691</v>
      </c>
      <c r="B701" s="7">
        <v>3141</v>
      </c>
      <c r="C701" s="8">
        <v>4697.51</v>
      </c>
      <c r="D701" s="8">
        <v>829.24</v>
      </c>
      <c r="E701" s="8"/>
      <c r="F701" s="8"/>
      <c r="G701" s="8"/>
      <c r="H701" s="8"/>
      <c r="I701" s="8"/>
      <c r="J701" s="8"/>
      <c r="K701" s="8"/>
      <c r="L701" s="8"/>
      <c r="M701" s="8">
        <v>13.42</v>
      </c>
      <c r="N701" s="8"/>
      <c r="O701" s="8"/>
      <c r="P701" s="8"/>
      <c r="Q701" s="11"/>
      <c r="R701" s="11"/>
      <c r="S701" s="8">
        <v>26.01</v>
      </c>
      <c r="T701" s="8">
        <v>41.53</v>
      </c>
      <c r="U701" s="8">
        <v>41.52</v>
      </c>
      <c r="V701" s="8"/>
      <c r="W701" s="8"/>
      <c r="X701" s="8"/>
      <c r="Y701" s="8"/>
      <c r="Z701" s="8"/>
      <c r="AA701" s="8"/>
      <c r="AB701" s="8"/>
      <c r="AC701" s="8">
        <v>22.13</v>
      </c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11"/>
      <c r="AQ701" s="8"/>
      <c r="AR701" s="8"/>
      <c r="AS701" s="8"/>
      <c r="AT701" s="8">
        <v>3682.32</v>
      </c>
      <c r="AU701" s="8"/>
      <c r="AV701" s="8"/>
      <c r="AW701" s="8"/>
      <c r="AX701" s="8"/>
      <c r="AY701" s="8"/>
      <c r="AZ701" s="8"/>
      <c r="BA701" s="8">
        <v>126.59</v>
      </c>
      <c r="BB701" s="8"/>
      <c r="BC701" s="8"/>
      <c r="BD701" s="8"/>
      <c r="BE701" s="8"/>
      <c r="BF701" s="8">
        <v>386.76</v>
      </c>
      <c r="BG701" s="8">
        <v>287.95</v>
      </c>
      <c r="BH701" s="9">
        <f t="shared" si="90"/>
        <v>5526.75</v>
      </c>
      <c r="BI701" s="9">
        <f t="shared" si="91"/>
        <v>13.42</v>
      </c>
      <c r="BJ701" s="9">
        <f t="shared" si="92"/>
        <v>26.01</v>
      </c>
      <c r="BK701" s="9">
        <f t="shared" si="93"/>
        <v>83.050000000000011</v>
      </c>
      <c r="BL701" s="9">
        <f t="shared" si="94"/>
        <v>0</v>
      </c>
      <c r="BM701" s="9">
        <f t="shared" si="95"/>
        <v>22.13</v>
      </c>
      <c r="BN701" s="9">
        <f t="shared" si="96"/>
        <v>3682.32</v>
      </c>
      <c r="BO701" s="9">
        <f t="shared" si="97"/>
        <v>126.59</v>
      </c>
      <c r="BP701" s="9">
        <f t="shared" si="98"/>
        <v>386.76</v>
      </c>
    </row>
    <row r="702" spans="1:68">
      <c r="A702" s="6">
        <v>44691</v>
      </c>
      <c r="B702" s="7">
        <v>3104</v>
      </c>
      <c r="C702" s="8">
        <v>772.55</v>
      </c>
      <c r="D702" s="8"/>
      <c r="E702" s="8"/>
      <c r="F702" s="8"/>
      <c r="G702" s="8"/>
      <c r="H702" s="8">
        <v>199.84</v>
      </c>
      <c r="I702" s="8"/>
      <c r="J702" s="8"/>
      <c r="K702" s="8"/>
      <c r="L702" s="8"/>
      <c r="M702" s="8">
        <v>2.2000000000000002</v>
      </c>
      <c r="N702" s="8"/>
      <c r="O702" s="8"/>
      <c r="P702" s="8"/>
      <c r="Q702" s="11"/>
      <c r="R702" s="11"/>
      <c r="S702" s="8">
        <v>4.07</v>
      </c>
      <c r="T702" s="8">
        <v>7.1</v>
      </c>
      <c r="U702" s="8">
        <v>3.1</v>
      </c>
      <c r="V702" s="8"/>
      <c r="W702" s="8"/>
      <c r="X702" s="8"/>
      <c r="Y702" s="8"/>
      <c r="Z702" s="8"/>
      <c r="AA702" s="8"/>
      <c r="AB702" s="8"/>
      <c r="AC702" s="8">
        <v>3.54</v>
      </c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11"/>
      <c r="AQ702" s="8"/>
      <c r="AR702" s="8"/>
      <c r="AS702" s="8"/>
      <c r="AT702" s="8">
        <v>566.04999999999995</v>
      </c>
      <c r="AU702" s="8"/>
      <c r="AV702" s="8"/>
      <c r="AW702" s="8"/>
      <c r="AX702" s="8"/>
      <c r="AY702" s="8"/>
      <c r="AZ702" s="8"/>
      <c r="BA702" s="8">
        <v>20.190000000000001</v>
      </c>
      <c r="BB702" s="8"/>
      <c r="BC702" s="8"/>
      <c r="BD702" s="8"/>
      <c r="BE702" s="8"/>
      <c r="BF702" s="8">
        <v>17.8</v>
      </c>
      <c r="BG702" s="8">
        <v>43.76</v>
      </c>
      <c r="BH702" s="9">
        <f t="shared" si="90"/>
        <v>972.39</v>
      </c>
      <c r="BI702" s="9">
        <f t="shared" si="91"/>
        <v>2.2000000000000002</v>
      </c>
      <c r="BJ702" s="9">
        <f t="shared" si="92"/>
        <v>4.07</v>
      </c>
      <c r="BK702" s="9">
        <f t="shared" si="93"/>
        <v>10.199999999999999</v>
      </c>
      <c r="BL702" s="9">
        <f t="shared" si="94"/>
        <v>0</v>
      </c>
      <c r="BM702" s="9">
        <f t="shared" si="95"/>
        <v>3.54</v>
      </c>
      <c r="BN702" s="9">
        <f t="shared" si="96"/>
        <v>566.04999999999995</v>
      </c>
      <c r="BO702" s="9">
        <f t="shared" si="97"/>
        <v>20.190000000000001</v>
      </c>
      <c r="BP702" s="9">
        <f t="shared" si="98"/>
        <v>17.8</v>
      </c>
    </row>
    <row r="703" spans="1:68">
      <c r="A703" s="6">
        <v>44691</v>
      </c>
      <c r="B703" s="7">
        <v>3135</v>
      </c>
      <c r="C703" s="8">
        <v>1065.1500000000001</v>
      </c>
      <c r="D703" s="8">
        <v>149.62</v>
      </c>
      <c r="E703" s="8"/>
      <c r="F703" s="8"/>
      <c r="G703" s="8"/>
      <c r="H703" s="8">
        <v>505.29</v>
      </c>
      <c r="I703" s="8"/>
      <c r="J703" s="8"/>
      <c r="K703" s="8"/>
      <c r="L703" s="8"/>
      <c r="M703" s="8">
        <v>3.79</v>
      </c>
      <c r="N703" s="8"/>
      <c r="O703" s="8"/>
      <c r="P703" s="8"/>
      <c r="Q703" s="11"/>
      <c r="R703" s="11"/>
      <c r="S703" s="8">
        <v>6.91</v>
      </c>
      <c r="T703" s="8">
        <v>10.52</v>
      </c>
      <c r="U703" s="8">
        <v>9.01</v>
      </c>
      <c r="V703" s="8"/>
      <c r="W703" s="8"/>
      <c r="X703" s="8"/>
      <c r="Y703" s="8"/>
      <c r="Z703" s="8"/>
      <c r="AA703" s="8"/>
      <c r="AB703" s="8"/>
      <c r="AC703" s="8">
        <v>6.01</v>
      </c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11"/>
      <c r="AQ703" s="8"/>
      <c r="AR703" s="8"/>
      <c r="AS703" s="8"/>
      <c r="AT703" s="8">
        <v>1061.73</v>
      </c>
      <c r="AU703" s="8"/>
      <c r="AV703" s="8"/>
      <c r="AW703" s="8"/>
      <c r="AX703" s="8"/>
      <c r="AY703" s="8"/>
      <c r="AZ703" s="8"/>
      <c r="BA703" s="8">
        <v>34.21</v>
      </c>
      <c r="BB703" s="8"/>
      <c r="BC703" s="8"/>
      <c r="BD703" s="8"/>
      <c r="BE703" s="8"/>
      <c r="BF703" s="8">
        <v>67.569999999999993</v>
      </c>
      <c r="BG703" s="8">
        <v>79.430000000000007</v>
      </c>
      <c r="BH703" s="9">
        <f t="shared" si="90"/>
        <v>1720.06</v>
      </c>
      <c r="BI703" s="9">
        <f t="shared" si="91"/>
        <v>3.79</v>
      </c>
      <c r="BJ703" s="9">
        <f t="shared" si="92"/>
        <v>6.91</v>
      </c>
      <c r="BK703" s="9">
        <f t="shared" si="93"/>
        <v>19.53</v>
      </c>
      <c r="BL703" s="9">
        <f t="shared" si="94"/>
        <v>0</v>
      </c>
      <c r="BM703" s="9">
        <f t="shared" si="95"/>
        <v>6.01</v>
      </c>
      <c r="BN703" s="9">
        <f t="shared" si="96"/>
        <v>1061.73</v>
      </c>
      <c r="BO703" s="9">
        <f t="shared" si="97"/>
        <v>34.21</v>
      </c>
      <c r="BP703" s="9">
        <f t="shared" si="98"/>
        <v>67.569999999999993</v>
      </c>
    </row>
    <row r="704" spans="1:68">
      <c r="A704" s="6">
        <v>44691</v>
      </c>
      <c r="B704" s="7">
        <v>3408</v>
      </c>
      <c r="C704" s="8">
        <v>1744.88</v>
      </c>
      <c r="D704" s="8"/>
      <c r="E704" s="8"/>
      <c r="F704" s="8"/>
      <c r="G704" s="8"/>
      <c r="H704" s="8"/>
      <c r="I704" s="8"/>
      <c r="J704" s="8"/>
      <c r="K704" s="8"/>
      <c r="L704" s="8"/>
      <c r="M704" s="8">
        <v>4.32</v>
      </c>
      <c r="N704" s="8"/>
      <c r="O704" s="8"/>
      <c r="P704" s="8"/>
      <c r="Q704" s="11"/>
      <c r="R704" s="11"/>
      <c r="S704" s="8">
        <v>4.37</v>
      </c>
      <c r="T704" s="8">
        <v>17.46</v>
      </c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11"/>
      <c r="AQ704" s="8"/>
      <c r="AR704" s="8"/>
      <c r="AS704" s="8"/>
      <c r="AT704" s="8">
        <v>892.83</v>
      </c>
      <c r="AU704" s="8"/>
      <c r="AV704" s="8"/>
      <c r="AW704" s="8"/>
      <c r="AX704" s="8"/>
      <c r="AY704" s="8"/>
      <c r="AZ704" s="8"/>
      <c r="BA704" s="8">
        <v>7.83</v>
      </c>
      <c r="BB704" s="8"/>
      <c r="BC704" s="8"/>
      <c r="BD704" s="8"/>
      <c r="BE704" s="8"/>
      <c r="BF704" s="8"/>
      <c r="BG704" s="8">
        <v>60.89</v>
      </c>
      <c r="BH704" s="9">
        <f t="shared" si="90"/>
        <v>1744.88</v>
      </c>
      <c r="BI704" s="9">
        <f t="shared" si="91"/>
        <v>4.32</v>
      </c>
      <c r="BJ704" s="9">
        <f t="shared" si="92"/>
        <v>4.37</v>
      </c>
      <c r="BK704" s="9">
        <f t="shared" si="93"/>
        <v>17.46</v>
      </c>
      <c r="BL704" s="9">
        <f t="shared" si="94"/>
        <v>0</v>
      </c>
      <c r="BM704" s="9">
        <f t="shared" si="95"/>
        <v>0</v>
      </c>
      <c r="BN704" s="9">
        <f t="shared" si="96"/>
        <v>892.83</v>
      </c>
      <c r="BO704" s="9">
        <f t="shared" si="97"/>
        <v>7.83</v>
      </c>
      <c r="BP704" s="9">
        <f t="shared" si="98"/>
        <v>0</v>
      </c>
    </row>
    <row r="705" spans="1:68">
      <c r="A705" s="6">
        <v>44691</v>
      </c>
      <c r="B705" s="7">
        <v>3200</v>
      </c>
      <c r="C705" s="8">
        <v>2239.2600000000002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>
        <v>5.62</v>
      </c>
      <c r="P705" s="8"/>
      <c r="Q705" s="11"/>
      <c r="R705" s="11"/>
      <c r="S705" s="8">
        <v>8.75</v>
      </c>
      <c r="T705" s="8"/>
      <c r="U705" s="8">
        <v>33.67</v>
      </c>
      <c r="V705" s="8"/>
      <c r="W705" s="8"/>
      <c r="X705" s="8"/>
      <c r="Y705" s="8"/>
      <c r="Z705" s="8">
        <v>471.19</v>
      </c>
      <c r="AA705" s="8"/>
      <c r="AB705" s="8"/>
      <c r="AC705" s="8"/>
      <c r="AD705" s="8"/>
      <c r="AE705" s="8">
        <v>34.03</v>
      </c>
      <c r="AF705" s="8">
        <v>111.67</v>
      </c>
      <c r="AG705" s="8"/>
      <c r="AH705" s="8"/>
      <c r="AI705" s="8"/>
      <c r="AJ705" s="8"/>
      <c r="AK705" s="8"/>
      <c r="AL705" s="8"/>
      <c r="AM705" s="8"/>
      <c r="AN705" s="8"/>
      <c r="AO705" s="8"/>
      <c r="AP705" s="11"/>
      <c r="AQ705" s="8"/>
      <c r="AR705" s="8"/>
      <c r="AS705" s="8"/>
      <c r="AT705" s="8">
        <v>1533.03</v>
      </c>
      <c r="AU705" s="8"/>
      <c r="AV705" s="8"/>
      <c r="AW705" s="8">
        <v>6.57</v>
      </c>
      <c r="AX705" s="8"/>
      <c r="AY705" s="8"/>
      <c r="AZ705" s="8"/>
      <c r="BA705" s="8"/>
      <c r="BB705" s="8"/>
      <c r="BC705" s="8"/>
      <c r="BD705" s="8"/>
      <c r="BE705" s="8"/>
      <c r="BF705" s="8">
        <v>107.61</v>
      </c>
      <c r="BG705" s="8">
        <v>111.35</v>
      </c>
      <c r="BH705" s="9">
        <f t="shared" si="90"/>
        <v>2239.2600000000002</v>
      </c>
      <c r="BI705" s="9">
        <f t="shared" si="91"/>
        <v>5.62</v>
      </c>
      <c r="BJ705" s="9">
        <f t="shared" si="92"/>
        <v>8.75</v>
      </c>
      <c r="BK705" s="9">
        <f t="shared" si="93"/>
        <v>33.67</v>
      </c>
      <c r="BL705" s="9">
        <f t="shared" si="94"/>
        <v>471.19</v>
      </c>
      <c r="BM705" s="9">
        <f t="shared" si="95"/>
        <v>145.69999999999999</v>
      </c>
      <c r="BN705" s="9">
        <f t="shared" si="96"/>
        <v>1533.03</v>
      </c>
      <c r="BO705" s="9">
        <f t="shared" si="97"/>
        <v>6.57</v>
      </c>
      <c r="BP705" s="9">
        <f t="shared" si="98"/>
        <v>107.61</v>
      </c>
    </row>
    <row r="706" spans="1:68">
      <c r="A706" s="6">
        <v>44692</v>
      </c>
      <c r="B706" s="7">
        <v>3405</v>
      </c>
      <c r="C706" s="8">
        <v>1910.36</v>
      </c>
      <c r="D706" s="8">
        <v>478.01</v>
      </c>
      <c r="E706" s="8"/>
      <c r="F706" s="8"/>
      <c r="G706" s="8"/>
      <c r="H706" s="8"/>
      <c r="I706" s="8"/>
      <c r="J706" s="8"/>
      <c r="K706" s="8"/>
      <c r="L706" s="8"/>
      <c r="M706" s="8">
        <v>6.47</v>
      </c>
      <c r="N706" s="8"/>
      <c r="O706" s="8"/>
      <c r="P706" s="8"/>
      <c r="Q706" s="11"/>
      <c r="R706" s="11"/>
      <c r="S706" s="8">
        <v>5.51</v>
      </c>
      <c r="T706" s="8"/>
      <c r="U706" s="8"/>
      <c r="V706" s="8"/>
      <c r="W706" s="8"/>
      <c r="X706" s="8">
        <v>29.22</v>
      </c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11"/>
      <c r="AQ706" s="8"/>
      <c r="AR706" s="8"/>
      <c r="AS706" s="8"/>
      <c r="AT706" s="8">
        <v>1205.08</v>
      </c>
      <c r="AU706" s="8"/>
      <c r="AV706" s="8"/>
      <c r="AW706" s="8"/>
      <c r="AX706" s="8"/>
      <c r="AY706" s="8"/>
      <c r="AZ706" s="8"/>
      <c r="BA706" s="8">
        <v>10.74</v>
      </c>
      <c r="BB706" s="8"/>
      <c r="BC706" s="8"/>
      <c r="BD706" s="8"/>
      <c r="BE706" s="8"/>
      <c r="BF706" s="8"/>
      <c r="BG706" s="8">
        <v>81.86</v>
      </c>
      <c r="BH706" s="9">
        <f t="shared" si="90"/>
        <v>2388.37</v>
      </c>
      <c r="BI706" s="9">
        <f t="shared" si="91"/>
        <v>6.47</v>
      </c>
      <c r="BJ706" s="9">
        <f t="shared" si="92"/>
        <v>5.51</v>
      </c>
      <c r="BK706" s="9">
        <f t="shared" si="93"/>
        <v>29.22</v>
      </c>
      <c r="BL706" s="9">
        <f t="shared" si="94"/>
        <v>0</v>
      </c>
      <c r="BM706" s="9">
        <f t="shared" si="95"/>
        <v>0</v>
      </c>
      <c r="BN706" s="9">
        <f t="shared" si="96"/>
        <v>1205.08</v>
      </c>
      <c r="BO706" s="9">
        <f t="shared" si="97"/>
        <v>10.74</v>
      </c>
      <c r="BP706" s="9">
        <f t="shared" si="98"/>
        <v>0</v>
      </c>
    </row>
    <row r="707" spans="1:68">
      <c r="A707" s="6">
        <v>44692</v>
      </c>
      <c r="B707" s="7">
        <v>3005</v>
      </c>
      <c r="C707" s="8">
        <v>806.37</v>
      </c>
      <c r="D707" s="8">
        <v>537.48</v>
      </c>
      <c r="E707" s="8"/>
      <c r="F707" s="8"/>
      <c r="G707" s="8"/>
      <c r="H707" s="8"/>
      <c r="I707" s="8"/>
      <c r="J707" s="8"/>
      <c r="K707" s="8"/>
      <c r="L707" s="8"/>
      <c r="M707" s="8"/>
      <c r="N707" s="8">
        <v>1.34</v>
      </c>
      <c r="O707" s="8"/>
      <c r="P707" s="8"/>
      <c r="Q707" s="11"/>
      <c r="R707" s="11"/>
      <c r="S707" s="8">
        <v>4.71</v>
      </c>
      <c r="T707" s="8">
        <v>14.82</v>
      </c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11"/>
      <c r="AQ707" s="8"/>
      <c r="AR707" s="8"/>
      <c r="AS707" s="8"/>
      <c r="AT707" s="8">
        <v>659.04</v>
      </c>
      <c r="AU707" s="8"/>
      <c r="AV707" s="8"/>
      <c r="AW707" s="8">
        <v>14.95</v>
      </c>
      <c r="AX707" s="8"/>
      <c r="AY707" s="8"/>
      <c r="AZ707" s="8"/>
      <c r="BA707" s="8"/>
      <c r="BB707" s="8"/>
      <c r="BC707" s="8"/>
      <c r="BD707" s="8"/>
      <c r="BE707" s="8"/>
      <c r="BF707" s="8"/>
      <c r="BG707" s="8">
        <v>49.12</v>
      </c>
      <c r="BH707" s="9">
        <f t="shared" si="90"/>
        <v>1343.85</v>
      </c>
      <c r="BI707" s="9">
        <f t="shared" si="91"/>
        <v>1.34</v>
      </c>
      <c r="BJ707" s="9">
        <f t="shared" si="92"/>
        <v>4.71</v>
      </c>
      <c r="BK707" s="9">
        <f t="shared" si="93"/>
        <v>14.82</v>
      </c>
      <c r="BL707" s="9">
        <f t="shared" si="94"/>
        <v>0</v>
      </c>
      <c r="BM707" s="9">
        <f t="shared" si="95"/>
        <v>0</v>
      </c>
      <c r="BN707" s="9">
        <f t="shared" si="96"/>
        <v>659.04</v>
      </c>
      <c r="BO707" s="9">
        <f t="shared" si="97"/>
        <v>14.95</v>
      </c>
      <c r="BP707" s="9">
        <f t="shared" si="98"/>
        <v>0</v>
      </c>
    </row>
    <row r="708" spans="1:68">
      <c r="A708" s="6">
        <v>44692</v>
      </c>
      <c r="B708" s="7">
        <v>3020</v>
      </c>
      <c r="C708" s="8"/>
      <c r="D708" s="8">
        <v>317.75</v>
      </c>
      <c r="E708" s="8"/>
      <c r="F708" s="8"/>
      <c r="G708" s="8"/>
      <c r="H708" s="8"/>
      <c r="I708" s="8">
        <v>1797.74</v>
      </c>
      <c r="J708" s="8"/>
      <c r="K708" s="8"/>
      <c r="L708" s="8"/>
      <c r="M708" s="8"/>
      <c r="N708" s="8">
        <v>12.71</v>
      </c>
      <c r="O708" s="8"/>
      <c r="P708" s="8"/>
      <c r="Q708" s="11"/>
      <c r="R708" s="11"/>
      <c r="S708" s="8">
        <v>3.82</v>
      </c>
      <c r="T708" s="8"/>
      <c r="U708" s="8"/>
      <c r="V708" s="8"/>
      <c r="W708" s="8">
        <v>21.46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>
        <v>21.18</v>
      </c>
      <c r="AN708" s="8"/>
      <c r="AO708" s="8"/>
      <c r="AP708" s="11"/>
      <c r="AQ708" s="8"/>
      <c r="AR708" s="8"/>
      <c r="AS708" s="8">
        <v>53.5</v>
      </c>
      <c r="AT708" s="8">
        <v>1039.92</v>
      </c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>
        <v>76.13</v>
      </c>
      <c r="BH708" s="9">
        <f t="shared" ref="BH708:BH771" si="99">SUM(C708:L708)</f>
        <v>2115.4899999999998</v>
      </c>
      <c r="BI708" s="9">
        <f t="shared" ref="BI708:BI771" si="100">SUM(M708:R708)</f>
        <v>12.71</v>
      </c>
      <c r="BJ708" s="9">
        <f t="shared" ref="BJ708:BJ771" si="101">SUM(S708)</f>
        <v>3.82</v>
      </c>
      <c r="BK708" s="9">
        <f t="shared" ref="BK708:BK771" si="102">SUM(T708:Y708)</f>
        <v>21.46</v>
      </c>
      <c r="BL708" s="9">
        <f t="shared" ref="BL708:BL771" si="103">SUM(Z708:AA708)</f>
        <v>0</v>
      </c>
      <c r="BM708" s="9">
        <f t="shared" ref="BM708:BM771" si="104">SUM(AB708:AS708)</f>
        <v>74.680000000000007</v>
      </c>
      <c r="BN708" s="9">
        <f t="shared" ref="BN708:BN771" si="105">SUM(AT708:AU708)</f>
        <v>1039.92</v>
      </c>
      <c r="BO708" s="9">
        <f t="shared" ref="BO708:BO771" si="106">SUM(AV708:BE708)</f>
        <v>0</v>
      </c>
      <c r="BP708" s="9">
        <f t="shared" ref="BP708:BP771" si="107">SUM(BF708)</f>
        <v>0</v>
      </c>
    </row>
    <row r="709" spans="1:68">
      <c r="A709" s="6">
        <v>44692</v>
      </c>
      <c r="B709" s="7">
        <v>3079</v>
      </c>
      <c r="C709" s="8"/>
      <c r="D709" s="8"/>
      <c r="E709" s="8"/>
      <c r="F709" s="8">
        <v>497.53</v>
      </c>
      <c r="G709" s="8"/>
      <c r="H709" s="8"/>
      <c r="I709" s="8">
        <v>4023</v>
      </c>
      <c r="J709" s="8"/>
      <c r="K709" s="8"/>
      <c r="L709" s="8"/>
      <c r="M709" s="8"/>
      <c r="N709" s="8">
        <v>33.93</v>
      </c>
      <c r="O709" s="8"/>
      <c r="P709" s="8"/>
      <c r="Q709" s="11"/>
      <c r="R709" s="11"/>
      <c r="S709" s="8">
        <v>1.8</v>
      </c>
      <c r="T709" s="8">
        <v>45.27</v>
      </c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>
        <v>18.12</v>
      </c>
      <c r="AN709" s="8">
        <v>45.75</v>
      </c>
      <c r="AO709" s="8"/>
      <c r="AP709" s="11"/>
      <c r="AQ709" s="8"/>
      <c r="AR709" s="8">
        <v>112.76</v>
      </c>
      <c r="AS709" s="8"/>
      <c r="AT709" s="8">
        <v>1721.73</v>
      </c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>
        <v>124.29</v>
      </c>
      <c r="BH709" s="9">
        <f t="shared" si="99"/>
        <v>4520.53</v>
      </c>
      <c r="BI709" s="9">
        <f t="shared" si="100"/>
        <v>33.93</v>
      </c>
      <c r="BJ709" s="9">
        <f t="shared" si="101"/>
        <v>1.8</v>
      </c>
      <c r="BK709" s="9">
        <f t="shared" si="102"/>
        <v>45.27</v>
      </c>
      <c r="BL709" s="9">
        <f t="shared" si="103"/>
        <v>0</v>
      </c>
      <c r="BM709" s="9">
        <f t="shared" si="104"/>
        <v>176.63</v>
      </c>
      <c r="BN709" s="9">
        <f t="shared" si="105"/>
        <v>1721.73</v>
      </c>
      <c r="BO709" s="9">
        <f t="shared" si="106"/>
        <v>0</v>
      </c>
      <c r="BP709" s="9">
        <f t="shared" si="107"/>
        <v>0</v>
      </c>
    </row>
    <row r="710" spans="1:68">
      <c r="A710" s="6">
        <v>44692</v>
      </c>
      <c r="B710" s="7">
        <v>3134</v>
      </c>
      <c r="C710" s="8">
        <v>1039.83</v>
      </c>
      <c r="D710" s="8">
        <v>146.29</v>
      </c>
      <c r="E710" s="8"/>
      <c r="F710" s="8"/>
      <c r="G710" s="8"/>
      <c r="H710" s="8">
        <v>490.46</v>
      </c>
      <c r="I710" s="8"/>
      <c r="J710" s="8"/>
      <c r="K710" s="8"/>
      <c r="L710" s="8"/>
      <c r="M710" s="8">
        <v>3.05</v>
      </c>
      <c r="N710" s="8"/>
      <c r="O710" s="8"/>
      <c r="P710" s="8"/>
      <c r="Q710" s="11"/>
      <c r="R710" s="11"/>
      <c r="S710" s="8">
        <v>6.7</v>
      </c>
      <c r="T710" s="8">
        <v>10.199999999999999</v>
      </c>
      <c r="U710" s="8">
        <v>8.75</v>
      </c>
      <c r="V710" s="8"/>
      <c r="W710" s="8"/>
      <c r="X710" s="8"/>
      <c r="Y710" s="8"/>
      <c r="Z710" s="8"/>
      <c r="AA710" s="8"/>
      <c r="AB710" s="8"/>
      <c r="AC710" s="8">
        <v>5.83</v>
      </c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11"/>
      <c r="AQ710" s="8"/>
      <c r="AR710" s="8"/>
      <c r="AS710" s="8"/>
      <c r="AT710" s="8">
        <v>1028.04</v>
      </c>
      <c r="AU710" s="8"/>
      <c r="AV710" s="8"/>
      <c r="AW710" s="8"/>
      <c r="AX710" s="8"/>
      <c r="AY710" s="8">
        <v>14.74</v>
      </c>
      <c r="AZ710" s="8"/>
      <c r="BA710" s="8"/>
      <c r="BB710" s="8"/>
      <c r="BC710" s="8"/>
      <c r="BD710" s="8"/>
      <c r="BE710" s="8"/>
      <c r="BF710" s="8">
        <v>65.67</v>
      </c>
      <c r="BG710" s="8">
        <v>77.48</v>
      </c>
      <c r="BH710" s="9">
        <f t="shared" si="99"/>
        <v>1676.58</v>
      </c>
      <c r="BI710" s="9">
        <f t="shared" si="100"/>
        <v>3.05</v>
      </c>
      <c r="BJ710" s="9">
        <f t="shared" si="101"/>
        <v>6.7</v>
      </c>
      <c r="BK710" s="9">
        <f t="shared" si="102"/>
        <v>18.95</v>
      </c>
      <c r="BL710" s="9">
        <f t="shared" si="103"/>
        <v>0</v>
      </c>
      <c r="BM710" s="9">
        <f t="shared" si="104"/>
        <v>5.83</v>
      </c>
      <c r="BN710" s="9">
        <f t="shared" si="105"/>
        <v>1028.04</v>
      </c>
      <c r="BO710" s="9">
        <f t="shared" si="106"/>
        <v>14.74</v>
      </c>
      <c r="BP710" s="9">
        <f t="shared" si="107"/>
        <v>65.67</v>
      </c>
    </row>
    <row r="711" spans="1:68">
      <c r="A711" s="6">
        <v>44692</v>
      </c>
      <c r="B711" s="7">
        <v>3141</v>
      </c>
      <c r="C711" s="8">
        <v>2419.59</v>
      </c>
      <c r="D711" s="8">
        <v>425.95</v>
      </c>
      <c r="E711" s="8"/>
      <c r="F711" s="8"/>
      <c r="G711" s="8"/>
      <c r="H711" s="8"/>
      <c r="I711" s="8"/>
      <c r="J711" s="8"/>
      <c r="K711" s="8"/>
      <c r="L711" s="8"/>
      <c r="M711" s="8">
        <v>7.21</v>
      </c>
      <c r="N711" s="8"/>
      <c r="O711" s="8"/>
      <c r="P711" s="8"/>
      <c r="Q711" s="11"/>
      <c r="R711" s="11"/>
      <c r="S711" s="8">
        <v>13.39</v>
      </c>
      <c r="T711" s="8">
        <v>21.39</v>
      </c>
      <c r="U711" s="8">
        <v>21.37</v>
      </c>
      <c r="V711" s="8"/>
      <c r="W711" s="8"/>
      <c r="X711" s="8"/>
      <c r="Y711" s="8"/>
      <c r="Z711" s="8"/>
      <c r="AA711" s="8"/>
      <c r="AB711" s="8"/>
      <c r="AC711" s="8">
        <v>11.4</v>
      </c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11"/>
      <c r="AQ711" s="8"/>
      <c r="AR711" s="8"/>
      <c r="AS711" s="8"/>
      <c r="AT711" s="8">
        <v>1892.75</v>
      </c>
      <c r="AU711" s="8"/>
      <c r="AV711" s="8"/>
      <c r="AW711" s="8"/>
      <c r="AX711" s="8"/>
      <c r="AY711" s="8"/>
      <c r="AZ711" s="8"/>
      <c r="BA711" s="8">
        <v>65.33</v>
      </c>
      <c r="BB711" s="8"/>
      <c r="BC711" s="8"/>
      <c r="BD711" s="8"/>
      <c r="BE711" s="8"/>
      <c r="BF711" s="8">
        <v>199.29</v>
      </c>
      <c r="BG711" s="8">
        <v>148</v>
      </c>
      <c r="BH711" s="9">
        <f t="shared" si="99"/>
        <v>2845.54</v>
      </c>
      <c r="BI711" s="9">
        <f t="shared" si="100"/>
        <v>7.21</v>
      </c>
      <c r="BJ711" s="9">
        <f t="shared" si="101"/>
        <v>13.39</v>
      </c>
      <c r="BK711" s="9">
        <f t="shared" si="102"/>
        <v>42.760000000000005</v>
      </c>
      <c r="BL711" s="9">
        <f t="shared" si="103"/>
        <v>0</v>
      </c>
      <c r="BM711" s="9">
        <f t="shared" si="104"/>
        <v>11.4</v>
      </c>
      <c r="BN711" s="9">
        <f t="shared" si="105"/>
        <v>1892.75</v>
      </c>
      <c r="BO711" s="9">
        <f t="shared" si="106"/>
        <v>65.33</v>
      </c>
      <c r="BP711" s="9">
        <f t="shared" si="107"/>
        <v>199.29</v>
      </c>
    </row>
    <row r="712" spans="1:68">
      <c r="A712" s="6">
        <v>44692</v>
      </c>
      <c r="B712" s="7">
        <v>3106</v>
      </c>
      <c r="C712" s="8">
        <v>2103.61</v>
      </c>
      <c r="D712" s="8"/>
      <c r="E712" s="8"/>
      <c r="F712" s="8"/>
      <c r="G712" s="8"/>
      <c r="H712" s="8"/>
      <c r="I712" s="8"/>
      <c r="J712" s="8"/>
      <c r="K712" s="8"/>
      <c r="L712" s="8"/>
      <c r="M712" s="8">
        <v>5.27</v>
      </c>
      <c r="N712" s="8"/>
      <c r="O712" s="8"/>
      <c r="P712" s="8"/>
      <c r="Q712" s="11"/>
      <c r="R712" s="11"/>
      <c r="S712" s="8">
        <v>6.31</v>
      </c>
      <c r="T712" s="8">
        <v>26.73</v>
      </c>
      <c r="U712" s="8"/>
      <c r="V712" s="8"/>
      <c r="W712" s="8"/>
      <c r="X712" s="8"/>
      <c r="Y712" s="8"/>
      <c r="Z712" s="8"/>
      <c r="AA712" s="8"/>
      <c r="AB712" s="8"/>
      <c r="AC712" s="8">
        <v>8.43</v>
      </c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11"/>
      <c r="AQ712" s="8"/>
      <c r="AR712" s="8"/>
      <c r="AS712" s="8"/>
      <c r="AT712" s="8">
        <v>1204.8</v>
      </c>
      <c r="AU712" s="8"/>
      <c r="AV712" s="8"/>
      <c r="AW712" s="8"/>
      <c r="AX712" s="8">
        <v>2.64</v>
      </c>
      <c r="AY712" s="8"/>
      <c r="AZ712" s="8"/>
      <c r="BA712" s="8"/>
      <c r="BB712" s="8"/>
      <c r="BC712" s="8"/>
      <c r="BD712" s="8"/>
      <c r="BE712" s="8"/>
      <c r="BF712" s="8"/>
      <c r="BG712" s="8">
        <v>90.58</v>
      </c>
      <c r="BH712" s="9">
        <f t="shared" si="99"/>
        <v>2103.61</v>
      </c>
      <c r="BI712" s="9">
        <f t="shared" si="100"/>
        <v>5.27</v>
      </c>
      <c r="BJ712" s="9">
        <f t="shared" si="101"/>
        <v>6.31</v>
      </c>
      <c r="BK712" s="9">
        <f t="shared" si="102"/>
        <v>26.73</v>
      </c>
      <c r="BL712" s="9">
        <f t="shared" si="103"/>
        <v>0</v>
      </c>
      <c r="BM712" s="9">
        <f t="shared" si="104"/>
        <v>8.43</v>
      </c>
      <c r="BN712" s="9">
        <f t="shared" si="105"/>
        <v>1204.8</v>
      </c>
      <c r="BO712" s="9">
        <f t="shared" si="106"/>
        <v>2.64</v>
      </c>
      <c r="BP712" s="9">
        <f t="shared" si="107"/>
        <v>0</v>
      </c>
    </row>
    <row r="713" spans="1:68">
      <c r="A713" s="6">
        <v>44692</v>
      </c>
      <c r="B713" s="7">
        <v>3701</v>
      </c>
      <c r="C713" s="8">
        <v>361.79</v>
      </c>
      <c r="D713" s="8"/>
      <c r="E713" s="8"/>
      <c r="F713" s="8"/>
      <c r="G713" s="8"/>
      <c r="H713" s="8"/>
      <c r="I713" s="8"/>
      <c r="J713" s="8">
        <v>590.57000000000005</v>
      </c>
      <c r="K713" s="8"/>
      <c r="L713" s="8"/>
      <c r="M713" s="8"/>
      <c r="N713" s="8">
        <v>2.2599999999999998</v>
      </c>
      <c r="O713" s="8"/>
      <c r="P713" s="8"/>
      <c r="Q713" s="11"/>
      <c r="R713" s="11"/>
      <c r="S713" s="8">
        <v>2.65</v>
      </c>
      <c r="T713" s="8"/>
      <c r="U713" s="8">
        <v>5.89</v>
      </c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>
        <v>19.649999999999999</v>
      </c>
      <c r="AH713" s="8"/>
      <c r="AI713" s="8"/>
      <c r="AJ713" s="8">
        <v>30.02</v>
      </c>
      <c r="AK713" s="8"/>
      <c r="AL713" s="8"/>
      <c r="AM713" s="8"/>
      <c r="AN713" s="8"/>
      <c r="AO713" s="8"/>
      <c r="AP713" s="11"/>
      <c r="AQ713" s="8"/>
      <c r="AR713" s="8"/>
      <c r="AS713" s="8"/>
      <c r="AT713" s="8"/>
      <c r="AU713" s="8">
        <v>346.2</v>
      </c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>
        <v>23.63</v>
      </c>
      <c r="BH713" s="9">
        <f t="shared" si="99"/>
        <v>952.36000000000013</v>
      </c>
      <c r="BI713" s="9">
        <f t="shared" si="100"/>
        <v>2.2599999999999998</v>
      </c>
      <c r="BJ713" s="9">
        <f t="shared" si="101"/>
        <v>2.65</v>
      </c>
      <c r="BK713" s="9">
        <f t="shared" si="102"/>
        <v>5.89</v>
      </c>
      <c r="BL713" s="9">
        <f t="shared" si="103"/>
        <v>0</v>
      </c>
      <c r="BM713" s="9">
        <f t="shared" si="104"/>
        <v>49.67</v>
      </c>
      <c r="BN713" s="9">
        <f t="shared" si="105"/>
        <v>346.2</v>
      </c>
      <c r="BO713" s="9">
        <f t="shared" si="106"/>
        <v>0</v>
      </c>
      <c r="BP713" s="9">
        <f t="shared" si="107"/>
        <v>0</v>
      </c>
    </row>
    <row r="714" spans="1:68">
      <c r="A714" s="6">
        <v>44692</v>
      </c>
      <c r="B714" s="7">
        <v>3302</v>
      </c>
      <c r="C714" s="8"/>
      <c r="D714" s="8">
        <v>835.53</v>
      </c>
      <c r="E714" s="8"/>
      <c r="F714" s="8"/>
      <c r="G714" s="8"/>
      <c r="H714" s="8"/>
      <c r="I714" s="8"/>
      <c r="J714" s="8"/>
      <c r="K714" s="8"/>
      <c r="L714" s="8"/>
      <c r="M714" s="8">
        <v>1.25</v>
      </c>
      <c r="N714" s="8"/>
      <c r="O714" s="8"/>
      <c r="P714" s="8"/>
      <c r="Q714" s="11"/>
      <c r="R714" s="11"/>
      <c r="S714" s="8">
        <v>6.29</v>
      </c>
      <c r="T714" s="8">
        <v>8.41</v>
      </c>
      <c r="U714" s="8"/>
      <c r="V714" s="8"/>
      <c r="W714" s="8"/>
      <c r="X714" s="8"/>
      <c r="Y714" s="8"/>
      <c r="Z714" s="8"/>
      <c r="AA714" s="8"/>
      <c r="AB714" s="8"/>
      <c r="AC714" s="8">
        <v>5.03</v>
      </c>
      <c r="AD714" s="8"/>
      <c r="AE714" s="8"/>
      <c r="AF714" s="8"/>
      <c r="AG714" s="8">
        <v>8.4499999999999993</v>
      </c>
      <c r="AH714" s="8"/>
      <c r="AI714" s="8"/>
      <c r="AJ714" s="8"/>
      <c r="AK714" s="8"/>
      <c r="AL714" s="8"/>
      <c r="AM714" s="8"/>
      <c r="AN714" s="8"/>
      <c r="AO714" s="8"/>
      <c r="AP714" s="11"/>
      <c r="AQ714" s="8"/>
      <c r="AR714" s="8"/>
      <c r="AS714" s="8"/>
      <c r="AT714" s="8"/>
      <c r="AU714" s="8">
        <v>420.53</v>
      </c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>
        <v>30.22</v>
      </c>
      <c r="BH714" s="9">
        <f t="shared" si="99"/>
        <v>835.53</v>
      </c>
      <c r="BI714" s="9">
        <f t="shared" si="100"/>
        <v>1.25</v>
      </c>
      <c r="BJ714" s="9">
        <f t="shared" si="101"/>
        <v>6.29</v>
      </c>
      <c r="BK714" s="9">
        <f t="shared" si="102"/>
        <v>8.41</v>
      </c>
      <c r="BL714" s="9">
        <f t="shared" si="103"/>
        <v>0</v>
      </c>
      <c r="BM714" s="9">
        <f t="shared" si="104"/>
        <v>13.48</v>
      </c>
      <c r="BN714" s="9">
        <f t="shared" si="105"/>
        <v>420.53</v>
      </c>
      <c r="BO714" s="9">
        <f t="shared" si="106"/>
        <v>0</v>
      </c>
      <c r="BP714" s="9">
        <f t="shared" si="107"/>
        <v>0</v>
      </c>
    </row>
    <row r="715" spans="1:68">
      <c r="A715" s="6">
        <v>44692</v>
      </c>
      <c r="B715" s="7">
        <v>3122</v>
      </c>
      <c r="C715" s="8">
        <v>1303.55</v>
      </c>
      <c r="D715" s="8"/>
      <c r="E715" s="8"/>
      <c r="F715" s="8"/>
      <c r="G715" s="8"/>
      <c r="H715" s="8"/>
      <c r="I715" s="8"/>
      <c r="J715" s="8"/>
      <c r="K715" s="8"/>
      <c r="L715" s="8"/>
      <c r="M715" s="8">
        <v>2.34</v>
      </c>
      <c r="N715" s="8">
        <v>2.37</v>
      </c>
      <c r="O715" s="8"/>
      <c r="P715" s="8"/>
      <c r="Q715" s="11"/>
      <c r="R715" s="11"/>
      <c r="S715" s="8">
        <v>5.21</v>
      </c>
      <c r="T715" s="8">
        <v>9.1199999999999992</v>
      </c>
      <c r="U715" s="8">
        <v>3.91</v>
      </c>
      <c r="V715" s="8"/>
      <c r="W715" s="8"/>
      <c r="X715" s="8"/>
      <c r="Y715" s="8"/>
      <c r="Z715" s="8"/>
      <c r="AA715" s="8"/>
      <c r="AB715" s="8"/>
      <c r="AC715" s="8">
        <v>5.21</v>
      </c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11"/>
      <c r="AQ715" s="8"/>
      <c r="AR715" s="8"/>
      <c r="AS715" s="8"/>
      <c r="AT715" s="8">
        <v>576.42999999999995</v>
      </c>
      <c r="AU715" s="8"/>
      <c r="AV715" s="8">
        <v>44.25</v>
      </c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>
        <v>42.31</v>
      </c>
      <c r="BH715" s="9">
        <f t="shared" si="99"/>
        <v>1303.55</v>
      </c>
      <c r="BI715" s="9">
        <f t="shared" si="100"/>
        <v>4.71</v>
      </c>
      <c r="BJ715" s="9">
        <f t="shared" si="101"/>
        <v>5.21</v>
      </c>
      <c r="BK715" s="9">
        <f t="shared" si="102"/>
        <v>13.03</v>
      </c>
      <c r="BL715" s="9">
        <f t="shared" si="103"/>
        <v>0</v>
      </c>
      <c r="BM715" s="9">
        <f t="shared" si="104"/>
        <v>5.21</v>
      </c>
      <c r="BN715" s="9">
        <f t="shared" si="105"/>
        <v>576.42999999999995</v>
      </c>
      <c r="BO715" s="9">
        <f t="shared" si="106"/>
        <v>44.25</v>
      </c>
      <c r="BP715" s="9">
        <f t="shared" si="107"/>
        <v>0</v>
      </c>
    </row>
    <row r="716" spans="1:68">
      <c r="A716" s="6">
        <v>44693</v>
      </c>
      <c r="B716" s="7">
        <v>3307</v>
      </c>
      <c r="C716" s="8"/>
      <c r="D716" s="8">
        <v>2783.48</v>
      </c>
      <c r="E716" s="8"/>
      <c r="F716" s="8"/>
      <c r="G716" s="8"/>
      <c r="H716" s="8"/>
      <c r="I716" s="8"/>
      <c r="J716" s="8"/>
      <c r="K716" s="8"/>
      <c r="L716" s="8"/>
      <c r="M716" s="8">
        <v>3.6</v>
      </c>
      <c r="N716" s="8"/>
      <c r="O716" s="8"/>
      <c r="P716" s="8"/>
      <c r="Q716" s="11"/>
      <c r="R716" s="11"/>
      <c r="S716" s="8">
        <v>20.34</v>
      </c>
      <c r="T716" s="8">
        <v>27.87</v>
      </c>
      <c r="U716" s="8"/>
      <c r="V716" s="8"/>
      <c r="W716" s="8"/>
      <c r="X716" s="8"/>
      <c r="Y716" s="8"/>
      <c r="Z716" s="8"/>
      <c r="AA716" s="8"/>
      <c r="AB716" s="8"/>
      <c r="AC716" s="8">
        <v>16.73</v>
      </c>
      <c r="AD716" s="8"/>
      <c r="AE716" s="8"/>
      <c r="AF716" s="8"/>
      <c r="AG716" s="8">
        <v>27.89</v>
      </c>
      <c r="AH716" s="8"/>
      <c r="AI716" s="8"/>
      <c r="AJ716" s="8"/>
      <c r="AK716" s="8"/>
      <c r="AL716" s="8"/>
      <c r="AM716" s="8"/>
      <c r="AN716" s="8"/>
      <c r="AO716" s="8"/>
      <c r="AP716" s="11"/>
      <c r="AQ716" s="8"/>
      <c r="AR716" s="8"/>
      <c r="AS716" s="8"/>
      <c r="AT716" s="8"/>
      <c r="AU716" s="8">
        <v>1395.52</v>
      </c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>
        <v>100.33</v>
      </c>
      <c r="BH716" s="9">
        <f t="shared" si="99"/>
        <v>2783.48</v>
      </c>
      <c r="BI716" s="9">
        <f t="shared" si="100"/>
        <v>3.6</v>
      </c>
      <c r="BJ716" s="9">
        <f t="shared" si="101"/>
        <v>20.34</v>
      </c>
      <c r="BK716" s="9">
        <f t="shared" si="102"/>
        <v>27.87</v>
      </c>
      <c r="BL716" s="9">
        <f t="shared" si="103"/>
        <v>0</v>
      </c>
      <c r="BM716" s="9">
        <f t="shared" si="104"/>
        <v>44.620000000000005</v>
      </c>
      <c r="BN716" s="9">
        <f t="shared" si="105"/>
        <v>1395.52</v>
      </c>
      <c r="BO716" s="9">
        <f t="shared" si="106"/>
        <v>0</v>
      </c>
      <c r="BP716" s="9">
        <f t="shared" si="107"/>
        <v>0</v>
      </c>
    </row>
    <row r="717" spans="1:68">
      <c r="A717" s="6">
        <v>44693</v>
      </c>
      <c r="B717" s="7">
        <v>3206</v>
      </c>
      <c r="C717" s="8">
        <v>324.25</v>
      </c>
      <c r="D717" s="8">
        <v>578.16999999999996</v>
      </c>
      <c r="E717" s="8">
        <v>384.91</v>
      </c>
      <c r="F717" s="8"/>
      <c r="G717" s="8"/>
      <c r="H717" s="8"/>
      <c r="I717" s="8"/>
      <c r="J717" s="8"/>
      <c r="K717" s="8"/>
      <c r="L717" s="8"/>
      <c r="M717" s="8"/>
      <c r="N717" s="8"/>
      <c r="O717" s="8">
        <v>2.57</v>
      </c>
      <c r="P717" s="8"/>
      <c r="Q717" s="11"/>
      <c r="R717" s="11"/>
      <c r="S717" s="8">
        <v>6.4</v>
      </c>
      <c r="T717" s="8"/>
      <c r="U717" s="8">
        <v>4.5</v>
      </c>
      <c r="V717" s="8"/>
      <c r="W717" s="8"/>
      <c r="X717" s="8"/>
      <c r="Y717" s="8"/>
      <c r="Z717" s="8">
        <v>76.989999999999995</v>
      </c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11"/>
      <c r="AQ717" s="8"/>
      <c r="AR717" s="8"/>
      <c r="AS717" s="8"/>
      <c r="AT717" s="8">
        <v>224.39</v>
      </c>
      <c r="AU717" s="8">
        <v>112.13</v>
      </c>
      <c r="AV717" s="8"/>
      <c r="AW717" s="8">
        <v>4.88</v>
      </c>
      <c r="AX717" s="8"/>
      <c r="AY717" s="8"/>
      <c r="AZ717" s="8"/>
      <c r="BA717" s="8"/>
      <c r="BB717" s="8"/>
      <c r="BC717" s="8"/>
      <c r="BD717" s="8"/>
      <c r="BE717" s="8"/>
      <c r="BF717" s="8"/>
      <c r="BG717" s="8">
        <v>22.36</v>
      </c>
      <c r="BH717" s="9">
        <f t="shared" si="99"/>
        <v>1287.33</v>
      </c>
      <c r="BI717" s="9">
        <f t="shared" si="100"/>
        <v>2.57</v>
      </c>
      <c r="BJ717" s="9">
        <f t="shared" si="101"/>
        <v>6.4</v>
      </c>
      <c r="BK717" s="9">
        <f t="shared" si="102"/>
        <v>4.5</v>
      </c>
      <c r="BL717" s="9">
        <f t="shared" si="103"/>
        <v>76.989999999999995</v>
      </c>
      <c r="BM717" s="9">
        <f t="shared" si="104"/>
        <v>0</v>
      </c>
      <c r="BN717" s="9">
        <f t="shared" si="105"/>
        <v>336.52</v>
      </c>
      <c r="BO717" s="9">
        <f t="shared" si="106"/>
        <v>4.88</v>
      </c>
      <c r="BP717" s="9">
        <f t="shared" si="107"/>
        <v>0</v>
      </c>
    </row>
    <row r="718" spans="1:68">
      <c r="A718" s="6">
        <v>44693</v>
      </c>
      <c r="B718" s="7">
        <v>3203</v>
      </c>
      <c r="C718" s="8">
        <v>1647.27</v>
      </c>
      <c r="D718" s="8"/>
      <c r="E718" s="8">
        <v>707.73</v>
      </c>
      <c r="F718" s="8"/>
      <c r="G718" s="8"/>
      <c r="H718" s="8"/>
      <c r="I718" s="8"/>
      <c r="J718" s="8"/>
      <c r="K718" s="8"/>
      <c r="L718" s="8"/>
      <c r="M718" s="8"/>
      <c r="N718" s="8"/>
      <c r="O718" s="8">
        <v>7.1</v>
      </c>
      <c r="P718" s="8"/>
      <c r="Q718" s="11"/>
      <c r="R718" s="11"/>
      <c r="S718" s="8">
        <v>9.23</v>
      </c>
      <c r="T718" s="8"/>
      <c r="U718" s="8">
        <v>29.34</v>
      </c>
      <c r="V718" s="8"/>
      <c r="W718" s="8"/>
      <c r="X718" s="8"/>
      <c r="Y718" s="8"/>
      <c r="Z718" s="8">
        <v>372.67</v>
      </c>
      <c r="AA718" s="8">
        <v>289.32</v>
      </c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11"/>
      <c r="AQ718" s="8"/>
      <c r="AR718" s="8"/>
      <c r="AS718" s="8"/>
      <c r="AT718" s="8">
        <v>883.56</v>
      </c>
      <c r="AU718" s="8">
        <v>441.93</v>
      </c>
      <c r="AV718" s="8"/>
      <c r="AW718" s="8"/>
      <c r="AX718" s="8"/>
      <c r="AY718" s="8"/>
      <c r="AZ718" s="8"/>
      <c r="BA718" s="8"/>
      <c r="BB718" s="8"/>
      <c r="BC718" s="8">
        <v>6.15</v>
      </c>
      <c r="BD718" s="8"/>
      <c r="BE718" s="8"/>
      <c r="BF718" s="8"/>
      <c r="BG718" s="8">
        <v>86.87</v>
      </c>
      <c r="BH718" s="9">
        <f t="shared" si="99"/>
        <v>2355</v>
      </c>
      <c r="BI718" s="9">
        <f t="shared" si="100"/>
        <v>7.1</v>
      </c>
      <c r="BJ718" s="9">
        <f t="shared" si="101"/>
        <v>9.23</v>
      </c>
      <c r="BK718" s="9">
        <f t="shared" si="102"/>
        <v>29.34</v>
      </c>
      <c r="BL718" s="9">
        <f t="shared" si="103"/>
        <v>661.99</v>
      </c>
      <c r="BM718" s="9">
        <f t="shared" si="104"/>
        <v>0</v>
      </c>
      <c r="BN718" s="9">
        <f t="shared" si="105"/>
        <v>1325.49</v>
      </c>
      <c r="BO718" s="9">
        <f t="shared" si="106"/>
        <v>6.15</v>
      </c>
      <c r="BP718" s="9">
        <f t="shared" si="107"/>
        <v>0</v>
      </c>
    </row>
    <row r="719" spans="1:68">
      <c r="A719" s="6">
        <v>44693</v>
      </c>
      <c r="B719" s="7">
        <v>3083</v>
      </c>
      <c r="C719" s="8"/>
      <c r="D719" s="8">
        <v>1079.3499999999999</v>
      </c>
      <c r="E719" s="8"/>
      <c r="F719" s="8"/>
      <c r="G719" s="8"/>
      <c r="H719" s="8"/>
      <c r="I719" s="8">
        <v>2519.0700000000002</v>
      </c>
      <c r="J719" s="8"/>
      <c r="K719" s="8"/>
      <c r="L719" s="8"/>
      <c r="M719" s="8"/>
      <c r="N719" s="8">
        <v>24.83</v>
      </c>
      <c r="O719" s="8"/>
      <c r="P719" s="8"/>
      <c r="Q719" s="11"/>
      <c r="R719" s="11"/>
      <c r="S719" s="8">
        <v>2.5099999999999998</v>
      </c>
      <c r="T719" s="8">
        <v>28.79</v>
      </c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>
        <v>14.38</v>
      </c>
      <c r="AN719" s="8">
        <v>50.03</v>
      </c>
      <c r="AO719" s="8"/>
      <c r="AP719" s="11"/>
      <c r="AQ719" s="8"/>
      <c r="AR719" s="8">
        <v>89.8</v>
      </c>
      <c r="AS719" s="8"/>
      <c r="AT719" s="8">
        <v>1634.51</v>
      </c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>
        <v>129.12</v>
      </c>
      <c r="BH719" s="9">
        <f t="shared" si="99"/>
        <v>3598.42</v>
      </c>
      <c r="BI719" s="9">
        <f t="shared" si="100"/>
        <v>24.83</v>
      </c>
      <c r="BJ719" s="9">
        <f t="shared" si="101"/>
        <v>2.5099999999999998</v>
      </c>
      <c r="BK719" s="9">
        <f t="shared" si="102"/>
        <v>28.79</v>
      </c>
      <c r="BL719" s="9">
        <f t="shared" si="103"/>
        <v>0</v>
      </c>
      <c r="BM719" s="9">
        <f t="shared" si="104"/>
        <v>154.20999999999998</v>
      </c>
      <c r="BN719" s="9">
        <f t="shared" si="105"/>
        <v>1634.51</v>
      </c>
      <c r="BO719" s="9">
        <f t="shared" si="106"/>
        <v>0</v>
      </c>
      <c r="BP719" s="9">
        <f t="shared" si="107"/>
        <v>0</v>
      </c>
    </row>
    <row r="720" spans="1:68">
      <c r="A720" s="6">
        <v>44693</v>
      </c>
      <c r="B720" s="7">
        <v>3016</v>
      </c>
      <c r="C720" s="8"/>
      <c r="D720" s="8">
        <v>1597.37</v>
      </c>
      <c r="E720" s="8"/>
      <c r="F720" s="8"/>
      <c r="G720" s="8"/>
      <c r="H720" s="8"/>
      <c r="I720" s="8">
        <v>1475.71</v>
      </c>
      <c r="J720" s="8"/>
      <c r="K720" s="8"/>
      <c r="L720" s="8"/>
      <c r="M720" s="8"/>
      <c r="N720" s="8">
        <v>18.46</v>
      </c>
      <c r="O720" s="8"/>
      <c r="P720" s="8"/>
      <c r="Q720" s="11"/>
      <c r="R720" s="11"/>
      <c r="S720" s="8">
        <v>2.15</v>
      </c>
      <c r="T720" s="8">
        <v>30.78</v>
      </c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>
        <v>12.3</v>
      </c>
      <c r="AN720" s="8">
        <v>37.35</v>
      </c>
      <c r="AO720" s="8"/>
      <c r="AP720" s="11"/>
      <c r="AQ720" s="8"/>
      <c r="AR720" s="8">
        <v>77.92</v>
      </c>
      <c r="AS720" s="8"/>
      <c r="AT720" s="8">
        <v>1142.17</v>
      </c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>
        <v>83.58</v>
      </c>
      <c r="BH720" s="9">
        <f t="shared" si="99"/>
        <v>3073.08</v>
      </c>
      <c r="BI720" s="9">
        <f t="shared" si="100"/>
        <v>18.46</v>
      </c>
      <c r="BJ720" s="9">
        <f t="shared" si="101"/>
        <v>2.15</v>
      </c>
      <c r="BK720" s="9">
        <f t="shared" si="102"/>
        <v>30.78</v>
      </c>
      <c r="BL720" s="9">
        <f t="shared" si="103"/>
        <v>0</v>
      </c>
      <c r="BM720" s="9">
        <f t="shared" si="104"/>
        <v>127.57000000000001</v>
      </c>
      <c r="BN720" s="9">
        <f t="shared" si="105"/>
        <v>1142.17</v>
      </c>
      <c r="BO720" s="9">
        <f t="shared" si="106"/>
        <v>0</v>
      </c>
      <c r="BP720" s="9">
        <f t="shared" si="107"/>
        <v>0</v>
      </c>
    </row>
    <row r="721" spans="1:68">
      <c r="A721" s="6">
        <v>44693</v>
      </c>
      <c r="B721" s="7">
        <v>3134</v>
      </c>
      <c r="C721" s="8">
        <v>1033.45</v>
      </c>
      <c r="D721" s="8">
        <v>144.68</v>
      </c>
      <c r="E721" s="8"/>
      <c r="F721" s="8"/>
      <c r="G721" s="8"/>
      <c r="H721" s="8">
        <v>488.55</v>
      </c>
      <c r="I721" s="8"/>
      <c r="J721" s="8"/>
      <c r="K721" s="8"/>
      <c r="L721" s="8"/>
      <c r="M721" s="8">
        <v>2.92</v>
      </c>
      <c r="N721" s="8"/>
      <c r="O721" s="8"/>
      <c r="P721" s="8"/>
      <c r="Q721" s="11"/>
      <c r="R721" s="11"/>
      <c r="S721" s="8">
        <v>6.67</v>
      </c>
      <c r="T721" s="8">
        <v>10.15</v>
      </c>
      <c r="U721" s="8">
        <v>8.6999999999999993</v>
      </c>
      <c r="V721" s="8"/>
      <c r="W721" s="8"/>
      <c r="X721" s="8"/>
      <c r="Y721" s="8"/>
      <c r="Z721" s="8"/>
      <c r="AA721" s="8"/>
      <c r="AB721" s="8"/>
      <c r="AC721" s="8">
        <v>5.79</v>
      </c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11"/>
      <c r="AQ721" s="8"/>
      <c r="AR721" s="8"/>
      <c r="AS721" s="8"/>
      <c r="AT721" s="8">
        <v>1021.97</v>
      </c>
      <c r="AU721" s="8"/>
      <c r="AV721" s="8"/>
      <c r="AW721" s="8"/>
      <c r="AX721" s="8"/>
      <c r="AY721" s="8">
        <v>14.57</v>
      </c>
      <c r="AZ721" s="8"/>
      <c r="BA721" s="8"/>
      <c r="BB721" s="8"/>
      <c r="BC721" s="8"/>
      <c r="BD721" s="8"/>
      <c r="BE721" s="8"/>
      <c r="BF721" s="8">
        <v>65.25</v>
      </c>
      <c r="BG721" s="8">
        <v>76.72</v>
      </c>
      <c r="BH721" s="9">
        <f t="shared" si="99"/>
        <v>1666.68</v>
      </c>
      <c r="BI721" s="9">
        <f t="shared" si="100"/>
        <v>2.92</v>
      </c>
      <c r="BJ721" s="9">
        <f t="shared" si="101"/>
        <v>6.67</v>
      </c>
      <c r="BK721" s="9">
        <f t="shared" si="102"/>
        <v>18.850000000000001</v>
      </c>
      <c r="BL721" s="9">
        <f t="shared" si="103"/>
        <v>0</v>
      </c>
      <c r="BM721" s="9">
        <f t="shared" si="104"/>
        <v>5.79</v>
      </c>
      <c r="BN721" s="9">
        <f t="shared" si="105"/>
        <v>1021.97</v>
      </c>
      <c r="BO721" s="9">
        <f t="shared" si="106"/>
        <v>14.57</v>
      </c>
      <c r="BP721" s="9">
        <f t="shared" si="107"/>
        <v>65.25</v>
      </c>
    </row>
    <row r="722" spans="1:68">
      <c r="A722" s="6">
        <v>44693</v>
      </c>
      <c r="B722" s="7">
        <v>3141</v>
      </c>
      <c r="C722" s="8">
        <v>2431.9699999999998</v>
      </c>
      <c r="D722" s="8">
        <v>427.71</v>
      </c>
      <c r="E722" s="8"/>
      <c r="F722" s="8"/>
      <c r="G722" s="8"/>
      <c r="H722" s="8"/>
      <c r="I722" s="8"/>
      <c r="J722" s="8"/>
      <c r="K722" s="8"/>
      <c r="L722" s="8"/>
      <c r="M722" s="8">
        <v>7.37</v>
      </c>
      <c r="N722" s="8"/>
      <c r="O722" s="8"/>
      <c r="P722" s="8"/>
      <c r="Q722" s="11"/>
      <c r="R722" s="11"/>
      <c r="S722" s="8">
        <v>13.52</v>
      </c>
      <c r="T722" s="8">
        <v>21.57</v>
      </c>
      <c r="U722" s="8">
        <v>21.58</v>
      </c>
      <c r="V722" s="8"/>
      <c r="W722" s="8"/>
      <c r="X722" s="8"/>
      <c r="Y722" s="8"/>
      <c r="Z722" s="8"/>
      <c r="AA722" s="8"/>
      <c r="AB722" s="8"/>
      <c r="AC722" s="8">
        <v>11.5</v>
      </c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11"/>
      <c r="AQ722" s="8"/>
      <c r="AR722" s="8"/>
      <c r="AS722" s="8"/>
      <c r="AT722" s="8">
        <v>1900.01</v>
      </c>
      <c r="AU722" s="8"/>
      <c r="AV722" s="8"/>
      <c r="AW722" s="8"/>
      <c r="AX722" s="8"/>
      <c r="AY722" s="8"/>
      <c r="AZ722" s="8"/>
      <c r="BA722" s="8">
        <v>65.87</v>
      </c>
      <c r="BB722" s="8"/>
      <c r="BC722" s="8"/>
      <c r="BD722" s="8"/>
      <c r="BE722" s="8"/>
      <c r="BF722" s="8">
        <v>200.77</v>
      </c>
      <c r="BG722" s="8">
        <v>149.75</v>
      </c>
      <c r="BH722" s="9">
        <f t="shared" si="99"/>
        <v>2859.68</v>
      </c>
      <c r="BI722" s="9">
        <f t="shared" si="100"/>
        <v>7.37</v>
      </c>
      <c r="BJ722" s="9">
        <f t="shared" si="101"/>
        <v>13.52</v>
      </c>
      <c r="BK722" s="9">
        <f t="shared" si="102"/>
        <v>43.15</v>
      </c>
      <c r="BL722" s="9">
        <f t="shared" si="103"/>
        <v>0</v>
      </c>
      <c r="BM722" s="9">
        <f t="shared" si="104"/>
        <v>11.5</v>
      </c>
      <c r="BN722" s="9">
        <f t="shared" si="105"/>
        <v>1900.01</v>
      </c>
      <c r="BO722" s="9">
        <f t="shared" si="106"/>
        <v>65.87</v>
      </c>
      <c r="BP722" s="9">
        <f t="shared" si="107"/>
        <v>200.77</v>
      </c>
    </row>
    <row r="723" spans="1:68">
      <c r="A723" s="6">
        <v>44693</v>
      </c>
      <c r="B723" s="7">
        <v>3113</v>
      </c>
      <c r="C723" s="8">
        <v>1551.91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>
        <v>2.8</v>
      </c>
      <c r="O723" s="8"/>
      <c r="P723" s="8"/>
      <c r="Q723" s="11"/>
      <c r="R723" s="11"/>
      <c r="S723" s="8">
        <v>4.67</v>
      </c>
      <c r="T723" s="8">
        <v>15.53</v>
      </c>
      <c r="U723" s="8"/>
      <c r="V723" s="8"/>
      <c r="W723" s="8"/>
      <c r="X723" s="8"/>
      <c r="Y723" s="8"/>
      <c r="Z723" s="8"/>
      <c r="AA723" s="8"/>
      <c r="AB723" s="8"/>
      <c r="AC723" s="8">
        <v>6.2</v>
      </c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11"/>
      <c r="AQ723" s="8"/>
      <c r="AR723" s="8"/>
      <c r="AS723" s="8"/>
      <c r="AT723" s="8">
        <v>651.21</v>
      </c>
      <c r="AU723" s="8"/>
      <c r="AV723" s="8">
        <v>52.72</v>
      </c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>
        <v>46.74</v>
      </c>
      <c r="BH723" s="9">
        <f t="shared" si="99"/>
        <v>1551.91</v>
      </c>
      <c r="BI723" s="9">
        <f t="shared" si="100"/>
        <v>2.8</v>
      </c>
      <c r="BJ723" s="9">
        <f t="shared" si="101"/>
        <v>4.67</v>
      </c>
      <c r="BK723" s="9">
        <f t="shared" si="102"/>
        <v>15.53</v>
      </c>
      <c r="BL723" s="9">
        <f t="shared" si="103"/>
        <v>0</v>
      </c>
      <c r="BM723" s="9">
        <f t="shared" si="104"/>
        <v>6.2</v>
      </c>
      <c r="BN723" s="9">
        <f t="shared" si="105"/>
        <v>651.21</v>
      </c>
      <c r="BO723" s="9">
        <f t="shared" si="106"/>
        <v>52.72</v>
      </c>
      <c r="BP723" s="9">
        <f t="shared" si="107"/>
        <v>0</v>
      </c>
    </row>
    <row r="724" spans="1:68">
      <c r="A724" s="6">
        <v>44693</v>
      </c>
      <c r="B724" s="7">
        <v>3106</v>
      </c>
      <c r="C724" s="8">
        <v>2127.34</v>
      </c>
      <c r="D724" s="8"/>
      <c r="E724" s="8"/>
      <c r="F724" s="8"/>
      <c r="G724" s="8"/>
      <c r="H724" s="8"/>
      <c r="I724" s="8"/>
      <c r="J724" s="8"/>
      <c r="K724" s="8"/>
      <c r="L724" s="8"/>
      <c r="M724" s="8">
        <v>5.39</v>
      </c>
      <c r="N724" s="8"/>
      <c r="O724" s="8"/>
      <c r="P724" s="8"/>
      <c r="Q724" s="11"/>
      <c r="R724" s="11"/>
      <c r="S724" s="8">
        <v>6.41</v>
      </c>
      <c r="T724" s="8">
        <v>27.04</v>
      </c>
      <c r="U724" s="8"/>
      <c r="V724" s="8"/>
      <c r="W724" s="8"/>
      <c r="X724" s="8"/>
      <c r="Y724" s="8"/>
      <c r="Z724" s="8"/>
      <c r="AA724" s="8"/>
      <c r="AB724" s="8"/>
      <c r="AC724" s="8">
        <v>8.52</v>
      </c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11"/>
      <c r="AQ724" s="8"/>
      <c r="AR724" s="8"/>
      <c r="AS724" s="8"/>
      <c r="AT724" s="8">
        <v>1219.1500000000001</v>
      </c>
      <c r="AU724" s="8"/>
      <c r="AV724" s="8"/>
      <c r="AW724" s="8"/>
      <c r="AX724" s="8">
        <v>2.67</v>
      </c>
      <c r="AY724" s="8"/>
      <c r="AZ724" s="8"/>
      <c r="BA724" s="8"/>
      <c r="BB724" s="8"/>
      <c r="BC724" s="8"/>
      <c r="BD724" s="8"/>
      <c r="BE724" s="8"/>
      <c r="BF724" s="8"/>
      <c r="BG724" s="8">
        <v>91.58</v>
      </c>
      <c r="BH724" s="9">
        <f t="shared" si="99"/>
        <v>2127.34</v>
      </c>
      <c r="BI724" s="9">
        <f t="shared" si="100"/>
        <v>5.39</v>
      </c>
      <c r="BJ724" s="9">
        <f t="shared" si="101"/>
        <v>6.41</v>
      </c>
      <c r="BK724" s="9">
        <f t="shared" si="102"/>
        <v>27.04</v>
      </c>
      <c r="BL724" s="9">
        <f t="shared" si="103"/>
        <v>0</v>
      </c>
      <c r="BM724" s="9">
        <f t="shared" si="104"/>
        <v>8.52</v>
      </c>
      <c r="BN724" s="9">
        <f t="shared" si="105"/>
        <v>1219.1500000000001</v>
      </c>
      <c r="BO724" s="9">
        <f t="shared" si="106"/>
        <v>2.67</v>
      </c>
      <c r="BP724" s="9">
        <f t="shared" si="107"/>
        <v>0</v>
      </c>
    </row>
    <row r="725" spans="1:68">
      <c r="A725" s="6">
        <v>44694</v>
      </c>
      <c r="B725" s="7">
        <v>3030</v>
      </c>
      <c r="C725" s="8"/>
      <c r="D725" s="8">
        <v>491.52</v>
      </c>
      <c r="E725" s="8"/>
      <c r="F725" s="8"/>
      <c r="G725" s="8"/>
      <c r="H725" s="8"/>
      <c r="I725" s="8">
        <v>200.93</v>
      </c>
      <c r="J725" s="8"/>
      <c r="K725" s="8"/>
      <c r="L725" s="8"/>
      <c r="M725" s="8"/>
      <c r="N725" s="8">
        <v>4.8499999999999996</v>
      </c>
      <c r="O725" s="8"/>
      <c r="P725" s="8"/>
      <c r="Q725" s="11"/>
      <c r="R725" s="11"/>
      <c r="S725" s="8">
        <v>0.48</v>
      </c>
      <c r="T725" s="8"/>
      <c r="U725" s="8"/>
      <c r="V725" s="8"/>
      <c r="W725" s="8">
        <v>5.6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>
        <v>2.78</v>
      </c>
      <c r="AN725" s="8">
        <v>9.68</v>
      </c>
      <c r="AO725" s="8"/>
      <c r="AP725" s="11"/>
      <c r="AQ725" s="8"/>
      <c r="AR725" s="8">
        <v>22.76</v>
      </c>
      <c r="AS725" s="8"/>
      <c r="AT725" s="8">
        <v>241.76</v>
      </c>
      <c r="AU725" s="8">
        <v>60.54</v>
      </c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>
        <v>24.07</v>
      </c>
      <c r="BH725" s="9">
        <f t="shared" si="99"/>
        <v>692.45</v>
      </c>
      <c r="BI725" s="9">
        <f t="shared" si="100"/>
        <v>4.8499999999999996</v>
      </c>
      <c r="BJ725" s="9">
        <f t="shared" si="101"/>
        <v>0.48</v>
      </c>
      <c r="BK725" s="9">
        <f t="shared" si="102"/>
        <v>5.6</v>
      </c>
      <c r="BL725" s="9">
        <f t="shared" si="103"/>
        <v>0</v>
      </c>
      <c r="BM725" s="9">
        <f t="shared" si="104"/>
        <v>35.22</v>
      </c>
      <c r="BN725" s="9">
        <f t="shared" si="105"/>
        <v>302.3</v>
      </c>
      <c r="BO725" s="9">
        <f t="shared" si="106"/>
        <v>0</v>
      </c>
      <c r="BP725" s="9">
        <f t="shared" si="107"/>
        <v>0</v>
      </c>
    </row>
    <row r="726" spans="1:68">
      <c r="A726" s="6">
        <v>44694</v>
      </c>
      <c r="B726" s="7">
        <v>3016</v>
      </c>
      <c r="C726" s="8"/>
      <c r="D726" s="8">
        <v>2349.25</v>
      </c>
      <c r="E726" s="8"/>
      <c r="F726" s="8"/>
      <c r="G726" s="8"/>
      <c r="H726" s="8"/>
      <c r="I726" s="8">
        <v>2165.19</v>
      </c>
      <c r="J726" s="8"/>
      <c r="K726" s="8"/>
      <c r="L726" s="8"/>
      <c r="M726" s="8"/>
      <c r="N726" s="8">
        <v>27.09</v>
      </c>
      <c r="O726" s="8"/>
      <c r="P726" s="8"/>
      <c r="Q726" s="11"/>
      <c r="R726" s="11"/>
      <c r="S726" s="8">
        <v>3.16</v>
      </c>
      <c r="T726" s="8">
        <v>45.2</v>
      </c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>
        <v>18.07</v>
      </c>
      <c r="AN726" s="8">
        <v>54.4</v>
      </c>
      <c r="AO726" s="8"/>
      <c r="AP726" s="11"/>
      <c r="AQ726" s="8"/>
      <c r="AR726" s="8">
        <v>113.26</v>
      </c>
      <c r="AS726" s="8"/>
      <c r="AT726" s="8">
        <v>1677.83</v>
      </c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>
        <v>122.78</v>
      </c>
      <c r="BH726" s="9">
        <f t="shared" si="99"/>
        <v>4514.4400000000005</v>
      </c>
      <c r="BI726" s="9">
        <f t="shared" si="100"/>
        <v>27.09</v>
      </c>
      <c r="BJ726" s="9">
        <f t="shared" si="101"/>
        <v>3.16</v>
      </c>
      <c r="BK726" s="9">
        <f t="shared" si="102"/>
        <v>45.2</v>
      </c>
      <c r="BL726" s="9">
        <f t="shared" si="103"/>
        <v>0</v>
      </c>
      <c r="BM726" s="9">
        <f t="shared" si="104"/>
        <v>185.73000000000002</v>
      </c>
      <c r="BN726" s="9">
        <f t="shared" si="105"/>
        <v>1677.83</v>
      </c>
      <c r="BO726" s="9">
        <f t="shared" si="106"/>
        <v>0</v>
      </c>
      <c r="BP726" s="9">
        <f t="shared" si="107"/>
        <v>0</v>
      </c>
    </row>
    <row r="727" spans="1:68">
      <c r="A727" s="6">
        <v>44694</v>
      </c>
      <c r="B727" s="7">
        <v>3080</v>
      </c>
      <c r="C727" s="8"/>
      <c r="D727" s="8"/>
      <c r="E727" s="8"/>
      <c r="F727" s="8">
        <v>772.14</v>
      </c>
      <c r="G727" s="8"/>
      <c r="H727" s="8"/>
      <c r="I727" s="8">
        <v>1158.31</v>
      </c>
      <c r="J727" s="8"/>
      <c r="K727" s="8"/>
      <c r="L727" s="8"/>
      <c r="M727" s="8"/>
      <c r="N727" s="8">
        <v>13.53</v>
      </c>
      <c r="O727" s="8"/>
      <c r="P727" s="8">
        <v>7.96</v>
      </c>
      <c r="Q727" s="11"/>
      <c r="R727" s="11"/>
      <c r="S727" s="8">
        <v>1.1599999999999999</v>
      </c>
      <c r="T727" s="8">
        <v>19.34</v>
      </c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>
        <v>29.18</v>
      </c>
      <c r="AJ727" s="8"/>
      <c r="AK727" s="8"/>
      <c r="AL727" s="8"/>
      <c r="AM727" s="8"/>
      <c r="AN727" s="8"/>
      <c r="AO727" s="8"/>
      <c r="AP727" s="11"/>
      <c r="AQ727" s="8">
        <v>19.02</v>
      </c>
      <c r="AR727" s="8">
        <v>67.72</v>
      </c>
      <c r="AS727" s="8"/>
      <c r="AT727" s="8">
        <v>677.53</v>
      </c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>
        <v>36.71</v>
      </c>
      <c r="BH727" s="9">
        <f t="shared" si="99"/>
        <v>1930.4499999999998</v>
      </c>
      <c r="BI727" s="9">
        <f t="shared" si="100"/>
        <v>21.49</v>
      </c>
      <c r="BJ727" s="9">
        <f t="shared" si="101"/>
        <v>1.1599999999999999</v>
      </c>
      <c r="BK727" s="9">
        <f t="shared" si="102"/>
        <v>19.34</v>
      </c>
      <c r="BL727" s="9">
        <f t="shared" si="103"/>
        <v>0</v>
      </c>
      <c r="BM727" s="9">
        <f t="shared" si="104"/>
        <v>115.92</v>
      </c>
      <c r="BN727" s="9">
        <f t="shared" si="105"/>
        <v>677.53</v>
      </c>
      <c r="BO727" s="9">
        <f t="shared" si="106"/>
        <v>0</v>
      </c>
      <c r="BP727" s="9">
        <f t="shared" si="107"/>
        <v>0</v>
      </c>
    </row>
    <row r="728" spans="1:68">
      <c r="A728" s="6">
        <v>44694</v>
      </c>
      <c r="B728" s="7">
        <v>3029</v>
      </c>
      <c r="C728" s="8"/>
      <c r="D728" s="8">
        <v>463.16</v>
      </c>
      <c r="E728" s="8"/>
      <c r="F728" s="8">
        <v>327.16000000000003</v>
      </c>
      <c r="G728" s="8"/>
      <c r="H728" s="8"/>
      <c r="I728" s="8">
        <v>1933.79</v>
      </c>
      <c r="J728" s="8"/>
      <c r="K728" s="8"/>
      <c r="L728" s="8"/>
      <c r="M728" s="8"/>
      <c r="N728" s="8">
        <v>20.47</v>
      </c>
      <c r="O728" s="8"/>
      <c r="P728" s="8"/>
      <c r="Q728" s="11"/>
      <c r="R728" s="11"/>
      <c r="S728" s="8">
        <v>1.63</v>
      </c>
      <c r="T728" s="8"/>
      <c r="U728" s="8"/>
      <c r="V728" s="8"/>
      <c r="W728" s="8">
        <v>27.61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>
        <v>9.5299999999999994</v>
      </c>
      <c r="AN728" s="8">
        <v>13.83</v>
      </c>
      <c r="AO728" s="8"/>
      <c r="AP728" s="11"/>
      <c r="AQ728" s="8"/>
      <c r="AR728" s="8">
        <v>83</v>
      </c>
      <c r="AS728" s="8"/>
      <c r="AT728" s="8">
        <v>1033.52</v>
      </c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>
        <v>72.38</v>
      </c>
      <c r="BH728" s="9">
        <f t="shared" si="99"/>
        <v>2724.11</v>
      </c>
      <c r="BI728" s="9">
        <f t="shared" si="100"/>
        <v>20.47</v>
      </c>
      <c r="BJ728" s="9">
        <f t="shared" si="101"/>
        <v>1.63</v>
      </c>
      <c r="BK728" s="9">
        <f t="shared" si="102"/>
        <v>27.61</v>
      </c>
      <c r="BL728" s="9">
        <f t="shared" si="103"/>
        <v>0</v>
      </c>
      <c r="BM728" s="9">
        <f t="shared" si="104"/>
        <v>106.36</v>
      </c>
      <c r="BN728" s="9">
        <f t="shared" si="105"/>
        <v>1033.52</v>
      </c>
      <c r="BO728" s="9">
        <f t="shared" si="106"/>
        <v>0</v>
      </c>
      <c r="BP728" s="9">
        <f t="shared" si="107"/>
        <v>0</v>
      </c>
    </row>
    <row r="729" spans="1:68">
      <c r="A729" s="6">
        <v>44694</v>
      </c>
      <c r="B729" s="7">
        <v>3139</v>
      </c>
      <c r="C729" s="8">
        <v>1612.56</v>
      </c>
      <c r="D729" s="8"/>
      <c r="E729" s="8"/>
      <c r="F729" s="8"/>
      <c r="G729" s="8"/>
      <c r="H729" s="8">
        <v>667.96</v>
      </c>
      <c r="I729" s="8"/>
      <c r="J729" s="8"/>
      <c r="K729" s="8"/>
      <c r="L729" s="8"/>
      <c r="M729" s="8">
        <v>3.79</v>
      </c>
      <c r="N729" s="8"/>
      <c r="O729" s="8"/>
      <c r="P729" s="8"/>
      <c r="Q729" s="11"/>
      <c r="R729" s="11"/>
      <c r="S729" s="8">
        <v>6.77</v>
      </c>
      <c r="T729" s="8">
        <v>23.91</v>
      </c>
      <c r="U729" s="8"/>
      <c r="V729" s="8"/>
      <c r="W729" s="8"/>
      <c r="X729" s="8"/>
      <c r="Y729" s="8"/>
      <c r="Z729" s="8"/>
      <c r="AA729" s="8"/>
      <c r="AB729" s="8"/>
      <c r="AC729" s="8">
        <v>7.96</v>
      </c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11"/>
      <c r="AQ729" s="8"/>
      <c r="AR729" s="8"/>
      <c r="AS729" s="8"/>
      <c r="AT729" s="8">
        <v>1176.04</v>
      </c>
      <c r="AU729" s="8"/>
      <c r="AV729" s="8">
        <v>39.79</v>
      </c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>
        <v>85.52</v>
      </c>
      <c r="BH729" s="9">
        <f t="shared" si="99"/>
        <v>2280.52</v>
      </c>
      <c r="BI729" s="9">
        <f t="shared" si="100"/>
        <v>3.79</v>
      </c>
      <c r="BJ729" s="9">
        <f t="shared" si="101"/>
        <v>6.77</v>
      </c>
      <c r="BK729" s="9">
        <f t="shared" si="102"/>
        <v>23.91</v>
      </c>
      <c r="BL729" s="9">
        <f t="shared" si="103"/>
        <v>0</v>
      </c>
      <c r="BM729" s="9">
        <f t="shared" si="104"/>
        <v>7.96</v>
      </c>
      <c r="BN729" s="9">
        <f t="shared" si="105"/>
        <v>1176.04</v>
      </c>
      <c r="BO729" s="9">
        <f t="shared" si="106"/>
        <v>39.79</v>
      </c>
      <c r="BP729" s="9">
        <f t="shared" si="107"/>
        <v>0</v>
      </c>
    </row>
    <row r="730" spans="1:68">
      <c r="A730" s="6">
        <v>44694</v>
      </c>
      <c r="B730" s="7">
        <v>3025</v>
      </c>
      <c r="C730" s="8"/>
      <c r="D730" s="8">
        <v>227.16</v>
      </c>
      <c r="E730" s="8"/>
      <c r="F730" s="8"/>
      <c r="G730" s="8"/>
      <c r="H730" s="8"/>
      <c r="I730" s="8">
        <v>1287.6400000000001</v>
      </c>
      <c r="J730" s="8"/>
      <c r="K730" s="8"/>
      <c r="L730" s="8"/>
      <c r="M730" s="8"/>
      <c r="N730" s="8">
        <v>8.2100000000000009</v>
      </c>
      <c r="O730" s="8"/>
      <c r="P730" s="8"/>
      <c r="Q730" s="11"/>
      <c r="R730" s="11"/>
      <c r="S730" s="8">
        <v>2.4300000000000002</v>
      </c>
      <c r="T730" s="8"/>
      <c r="U730" s="8"/>
      <c r="V730" s="8"/>
      <c r="W730" s="8">
        <v>14.07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>
        <v>15.17</v>
      </c>
      <c r="AN730" s="8">
        <v>10.61</v>
      </c>
      <c r="AO730" s="8"/>
      <c r="AP730" s="11"/>
      <c r="AQ730" s="8"/>
      <c r="AR730" s="8"/>
      <c r="AS730" s="8"/>
      <c r="AT730" s="8">
        <v>524.83000000000004</v>
      </c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>
        <v>34.78</v>
      </c>
      <c r="BH730" s="9">
        <f t="shared" si="99"/>
        <v>1514.8000000000002</v>
      </c>
      <c r="BI730" s="9">
        <f t="shared" si="100"/>
        <v>8.2100000000000009</v>
      </c>
      <c r="BJ730" s="9">
        <f t="shared" si="101"/>
        <v>2.4300000000000002</v>
      </c>
      <c r="BK730" s="9">
        <f t="shared" si="102"/>
        <v>14.07</v>
      </c>
      <c r="BL730" s="9">
        <f t="shared" si="103"/>
        <v>0</v>
      </c>
      <c r="BM730" s="9">
        <f t="shared" si="104"/>
        <v>25.78</v>
      </c>
      <c r="BN730" s="9">
        <f t="shared" si="105"/>
        <v>524.83000000000004</v>
      </c>
      <c r="BO730" s="9">
        <f t="shared" si="106"/>
        <v>0</v>
      </c>
      <c r="BP730" s="9">
        <f t="shared" si="107"/>
        <v>0</v>
      </c>
    </row>
    <row r="731" spans="1:68">
      <c r="A731" s="6">
        <v>44694</v>
      </c>
      <c r="B731" s="7">
        <v>3408</v>
      </c>
      <c r="C731" s="8">
        <v>3331.22</v>
      </c>
      <c r="D731" s="8"/>
      <c r="E731" s="8"/>
      <c r="F731" s="8"/>
      <c r="G731" s="8"/>
      <c r="H731" s="8"/>
      <c r="I731" s="8"/>
      <c r="J731" s="8"/>
      <c r="K731" s="8"/>
      <c r="L731" s="8"/>
      <c r="M731" s="8">
        <v>8.27</v>
      </c>
      <c r="N731" s="8"/>
      <c r="O731" s="8"/>
      <c r="P731" s="8"/>
      <c r="Q731" s="11"/>
      <c r="R731" s="11"/>
      <c r="S731" s="8">
        <v>8.31</v>
      </c>
      <c r="T731" s="8">
        <v>33.340000000000003</v>
      </c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11"/>
      <c r="AQ731" s="8"/>
      <c r="AR731" s="8"/>
      <c r="AS731" s="8"/>
      <c r="AT731" s="8">
        <v>1704.71</v>
      </c>
      <c r="AU731" s="8"/>
      <c r="AV731" s="8"/>
      <c r="AW731" s="8"/>
      <c r="AX731" s="8"/>
      <c r="AY731" s="8"/>
      <c r="AZ731" s="8"/>
      <c r="BA731" s="8">
        <v>14.9</v>
      </c>
      <c r="BB731" s="8"/>
      <c r="BC731" s="8"/>
      <c r="BD731" s="8"/>
      <c r="BE731" s="8"/>
      <c r="BF731" s="8"/>
      <c r="BG731" s="8">
        <v>117.51</v>
      </c>
      <c r="BH731" s="9">
        <f t="shared" si="99"/>
        <v>3331.22</v>
      </c>
      <c r="BI731" s="9">
        <f t="shared" si="100"/>
        <v>8.27</v>
      </c>
      <c r="BJ731" s="9">
        <f t="shared" si="101"/>
        <v>8.31</v>
      </c>
      <c r="BK731" s="9">
        <f t="shared" si="102"/>
        <v>33.340000000000003</v>
      </c>
      <c r="BL731" s="9">
        <f t="shared" si="103"/>
        <v>0</v>
      </c>
      <c r="BM731" s="9">
        <f t="shared" si="104"/>
        <v>0</v>
      </c>
      <c r="BN731" s="9">
        <f t="shared" si="105"/>
        <v>1704.71</v>
      </c>
      <c r="BO731" s="9">
        <f t="shared" si="106"/>
        <v>14.9</v>
      </c>
      <c r="BP731" s="9">
        <f t="shared" si="107"/>
        <v>0</v>
      </c>
    </row>
    <row r="732" spans="1:68">
      <c r="A732" s="6">
        <v>44694</v>
      </c>
      <c r="B732" s="7">
        <v>3004</v>
      </c>
      <c r="C732" s="8">
        <v>691.61</v>
      </c>
      <c r="D732" s="8">
        <v>373.81</v>
      </c>
      <c r="E732" s="8"/>
      <c r="F732" s="8"/>
      <c r="G732" s="8"/>
      <c r="H732" s="8"/>
      <c r="I732" s="8"/>
      <c r="J732" s="8"/>
      <c r="K732" s="8"/>
      <c r="L732" s="8"/>
      <c r="M732" s="8"/>
      <c r="N732" s="8">
        <v>11.85</v>
      </c>
      <c r="O732" s="8"/>
      <c r="P732" s="8"/>
      <c r="Q732" s="11"/>
      <c r="R732" s="11"/>
      <c r="S732" s="8">
        <v>4.8</v>
      </c>
      <c r="T732" s="8">
        <v>8.01</v>
      </c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11"/>
      <c r="AQ732" s="8"/>
      <c r="AR732" s="8"/>
      <c r="AS732" s="8"/>
      <c r="AT732" s="8">
        <v>369.56</v>
      </c>
      <c r="AU732" s="8"/>
      <c r="AV732" s="8"/>
      <c r="AW732" s="8">
        <v>11.85</v>
      </c>
      <c r="AX732" s="8"/>
      <c r="AY732" s="8"/>
      <c r="AZ732" s="8"/>
      <c r="BA732" s="8"/>
      <c r="BB732" s="8"/>
      <c r="BC732" s="8"/>
      <c r="BD732" s="8"/>
      <c r="BE732" s="8"/>
      <c r="BF732" s="8"/>
      <c r="BG732" s="8">
        <v>28.75</v>
      </c>
      <c r="BH732" s="9">
        <f t="shared" si="99"/>
        <v>1065.42</v>
      </c>
      <c r="BI732" s="9">
        <f t="shared" si="100"/>
        <v>11.85</v>
      </c>
      <c r="BJ732" s="9">
        <f t="shared" si="101"/>
        <v>4.8</v>
      </c>
      <c r="BK732" s="9">
        <f t="shared" si="102"/>
        <v>8.01</v>
      </c>
      <c r="BL732" s="9">
        <f t="shared" si="103"/>
        <v>0</v>
      </c>
      <c r="BM732" s="9">
        <f t="shared" si="104"/>
        <v>0</v>
      </c>
      <c r="BN732" s="9">
        <f t="shared" si="105"/>
        <v>369.56</v>
      </c>
      <c r="BO732" s="9">
        <f t="shared" si="106"/>
        <v>11.85</v>
      </c>
      <c r="BP732" s="9">
        <f t="shared" si="107"/>
        <v>0</v>
      </c>
    </row>
    <row r="733" spans="1:68">
      <c r="A733" s="6">
        <v>44694</v>
      </c>
      <c r="B733" s="7">
        <v>3079</v>
      </c>
      <c r="C733" s="8"/>
      <c r="D733" s="8"/>
      <c r="E733" s="8"/>
      <c r="F733" s="8">
        <v>332.01</v>
      </c>
      <c r="G733" s="8"/>
      <c r="H733" s="8"/>
      <c r="I733" s="8">
        <v>2682.16</v>
      </c>
      <c r="J733" s="8"/>
      <c r="K733" s="8"/>
      <c r="L733" s="8"/>
      <c r="M733" s="8"/>
      <c r="N733" s="8">
        <v>22.63</v>
      </c>
      <c r="O733" s="8"/>
      <c r="P733" s="8"/>
      <c r="Q733" s="11"/>
      <c r="R733" s="11"/>
      <c r="S733" s="8">
        <v>1.2</v>
      </c>
      <c r="T733" s="8">
        <v>30.2</v>
      </c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>
        <v>12.08</v>
      </c>
      <c r="AN733" s="8">
        <v>30.39</v>
      </c>
      <c r="AO733" s="8"/>
      <c r="AP733" s="11"/>
      <c r="AQ733" s="8"/>
      <c r="AR733" s="8">
        <v>75.72</v>
      </c>
      <c r="AS733" s="8"/>
      <c r="AT733" s="8">
        <v>1148.25</v>
      </c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>
        <v>82.96</v>
      </c>
      <c r="BH733" s="9">
        <f t="shared" si="99"/>
        <v>3014.17</v>
      </c>
      <c r="BI733" s="9">
        <f t="shared" si="100"/>
        <v>22.63</v>
      </c>
      <c r="BJ733" s="9">
        <f t="shared" si="101"/>
        <v>1.2</v>
      </c>
      <c r="BK733" s="9">
        <f t="shared" si="102"/>
        <v>30.2</v>
      </c>
      <c r="BL733" s="9">
        <f t="shared" si="103"/>
        <v>0</v>
      </c>
      <c r="BM733" s="9">
        <f t="shared" si="104"/>
        <v>118.19</v>
      </c>
      <c r="BN733" s="9">
        <f t="shared" si="105"/>
        <v>1148.25</v>
      </c>
      <c r="BO733" s="9">
        <f t="shared" si="106"/>
        <v>0</v>
      </c>
      <c r="BP733" s="9">
        <f t="shared" si="107"/>
        <v>0</v>
      </c>
    </row>
    <row r="734" spans="1:68">
      <c r="A734" s="6">
        <v>44695</v>
      </c>
      <c r="B734" s="7">
        <v>3134</v>
      </c>
      <c r="C734" s="8">
        <v>2044.2</v>
      </c>
      <c r="D734" s="8">
        <v>286.81</v>
      </c>
      <c r="E734" s="8"/>
      <c r="F734" s="8"/>
      <c r="G734" s="8"/>
      <c r="H734" s="8">
        <v>965.24</v>
      </c>
      <c r="I734" s="8"/>
      <c r="J734" s="8"/>
      <c r="K734" s="8"/>
      <c r="L734" s="8"/>
      <c r="M734" s="8">
        <v>5.76</v>
      </c>
      <c r="N734" s="8"/>
      <c r="O734" s="8"/>
      <c r="P734" s="8"/>
      <c r="Q734" s="11"/>
      <c r="R734" s="11"/>
      <c r="S734" s="8">
        <v>13.18</v>
      </c>
      <c r="T734" s="8">
        <v>20.09</v>
      </c>
      <c r="U734" s="8">
        <v>17.21</v>
      </c>
      <c r="V734" s="8"/>
      <c r="W734" s="8"/>
      <c r="X734" s="8"/>
      <c r="Y734" s="8"/>
      <c r="Z734" s="8"/>
      <c r="AA734" s="8"/>
      <c r="AB734" s="8"/>
      <c r="AC734" s="8">
        <v>11.47</v>
      </c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11"/>
      <c r="AQ734" s="8"/>
      <c r="AR734" s="8"/>
      <c r="AS734" s="8"/>
      <c r="AT734" s="8">
        <v>2029.98</v>
      </c>
      <c r="AU734" s="8"/>
      <c r="AV734" s="8"/>
      <c r="AW734" s="8"/>
      <c r="AX734" s="8"/>
      <c r="AY734" s="8">
        <v>28.59</v>
      </c>
      <c r="AZ734" s="8"/>
      <c r="BA734" s="8"/>
      <c r="BB734" s="8"/>
      <c r="BC734" s="8"/>
      <c r="BD734" s="8"/>
      <c r="BE734" s="8"/>
      <c r="BF734" s="8">
        <v>129.12</v>
      </c>
      <c r="BG734" s="8">
        <v>151.9</v>
      </c>
      <c r="BH734" s="9">
        <f t="shared" si="99"/>
        <v>3296.25</v>
      </c>
      <c r="BI734" s="9">
        <f t="shared" si="100"/>
        <v>5.76</v>
      </c>
      <c r="BJ734" s="9">
        <f t="shared" si="101"/>
        <v>13.18</v>
      </c>
      <c r="BK734" s="9">
        <f t="shared" si="102"/>
        <v>37.299999999999997</v>
      </c>
      <c r="BL734" s="9">
        <f t="shared" si="103"/>
        <v>0</v>
      </c>
      <c r="BM734" s="9">
        <f t="shared" si="104"/>
        <v>11.47</v>
      </c>
      <c r="BN734" s="9">
        <f t="shared" si="105"/>
        <v>2029.98</v>
      </c>
      <c r="BO734" s="9">
        <f t="shared" si="106"/>
        <v>28.59</v>
      </c>
      <c r="BP734" s="9">
        <f t="shared" si="107"/>
        <v>129.12</v>
      </c>
    </row>
    <row r="735" spans="1:68">
      <c r="A735" s="6">
        <v>44695</v>
      </c>
      <c r="B735" s="7">
        <v>3104</v>
      </c>
      <c r="C735" s="8">
        <v>1514.2</v>
      </c>
      <c r="D735" s="8"/>
      <c r="E735" s="8"/>
      <c r="F735" s="8"/>
      <c r="G735" s="8"/>
      <c r="H735" s="8"/>
      <c r="I735" s="8"/>
      <c r="J735" s="8"/>
      <c r="K735" s="8"/>
      <c r="L735" s="8"/>
      <c r="M735" s="8">
        <v>4.34</v>
      </c>
      <c r="N735" s="8"/>
      <c r="O735" s="8"/>
      <c r="P735" s="8"/>
      <c r="Q735" s="11"/>
      <c r="R735" s="11"/>
      <c r="S735" s="8">
        <v>7.98</v>
      </c>
      <c r="T735" s="8">
        <v>13.94</v>
      </c>
      <c r="U735" s="8">
        <v>6.05</v>
      </c>
      <c r="V735" s="8"/>
      <c r="W735" s="8"/>
      <c r="X735" s="8"/>
      <c r="Y735" s="8"/>
      <c r="Z735" s="8"/>
      <c r="AA735" s="8"/>
      <c r="AB735" s="8"/>
      <c r="AC735" s="8">
        <v>6.94</v>
      </c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11"/>
      <c r="AQ735" s="8"/>
      <c r="AR735" s="8"/>
      <c r="AS735" s="8"/>
      <c r="AT735" s="8">
        <v>1107.42</v>
      </c>
      <c r="AU735" s="8"/>
      <c r="AV735" s="8"/>
      <c r="AW735" s="8"/>
      <c r="AX735" s="8"/>
      <c r="AY735" s="8"/>
      <c r="AZ735" s="8"/>
      <c r="BA735" s="8">
        <v>39.6</v>
      </c>
      <c r="BB735" s="8"/>
      <c r="BC735" s="8"/>
      <c r="BD735" s="8"/>
      <c r="BE735" s="8"/>
      <c r="BF735" s="8">
        <v>34.72</v>
      </c>
      <c r="BG735" s="8">
        <v>85.73</v>
      </c>
      <c r="BH735" s="9">
        <f t="shared" si="99"/>
        <v>1514.2</v>
      </c>
      <c r="BI735" s="9">
        <f t="shared" si="100"/>
        <v>4.34</v>
      </c>
      <c r="BJ735" s="9">
        <f t="shared" si="101"/>
        <v>7.98</v>
      </c>
      <c r="BK735" s="9">
        <f t="shared" si="102"/>
        <v>19.989999999999998</v>
      </c>
      <c r="BL735" s="9">
        <f t="shared" si="103"/>
        <v>0</v>
      </c>
      <c r="BM735" s="9">
        <f t="shared" si="104"/>
        <v>6.94</v>
      </c>
      <c r="BN735" s="9">
        <f t="shared" si="105"/>
        <v>1107.42</v>
      </c>
      <c r="BO735" s="9">
        <f t="shared" si="106"/>
        <v>39.6</v>
      </c>
      <c r="BP735" s="9">
        <f t="shared" si="107"/>
        <v>34.72</v>
      </c>
    </row>
    <row r="736" spans="1:68">
      <c r="A736" s="6">
        <v>44695</v>
      </c>
      <c r="B736" s="7">
        <v>3106</v>
      </c>
      <c r="C736" s="8">
        <v>4141.53</v>
      </c>
      <c r="D736" s="8"/>
      <c r="E736" s="8"/>
      <c r="F736" s="8"/>
      <c r="G736" s="8"/>
      <c r="H736" s="8"/>
      <c r="I736" s="8"/>
      <c r="J736" s="8"/>
      <c r="K736" s="8"/>
      <c r="L736" s="8"/>
      <c r="M736" s="8">
        <v>10.75</v>
      </c>
      <c r="N736" s="8"/>
      <c r="O736" s="8"/>
      <c r="P736" s="8"/>
      <c r="Q736" s="11"/>
      <c r="R736" s="11"/>
      <c r="S736" s="8">
        <v>12.44</v>
      </c>
      <c r="T736" s="8">
        <v>52.63</v>
      </c>
      <c r="U736" s="8"/>
      <c r="V736" s="8"/>
      <c r="W736" s="8"/>
      <c r="X736" s="8"/>
      <c r="Y736" s="8"/>
      <c r="Z736" s="8"/>
      <c r="AA736" s="8"/>
      <c r="AB736" s="8"/>
      <c r="AC736" s="8">
        <v>16.559999999999999</v>
      </c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11"/>
      <c r="AQ736" s="8"/>
      <c r="AR736" s="8"/>
      <c r="AS736" s="8"/>
      <c r="AT736" s="8">
        <v>2368.87</v>
      </c>
      <c r="AU736" s="8"/>
      <c r="AV736" s="8"/>
      <c r="AW736" s="8"/>
      <c r="AX736" s="8">
        <v>5.18</v>
      </c>
      <c r="AY736" s="8"/>
      <c r="AZ736" s="8"/>
      <c r="BA736" s="8"/>
      <c r="BB736" s="8"/>
      <c r="BC736" s="8"/>
      <c r="BD736" s="8"/>
      <c r="BE736" s="8"/>
      <c r="BF736" s="8"/>
      <c r="BG736" s="8">
        <v>178.52</v>
      </c>
      <c r="BH736" s="9">
        <f t="shared" si="99"/>
        <v>4141.53</v>
      </c>
      <c r="BI736" s="9">
        <f t="shared" si="100"/>
        <v>10.75</v>
      </c>
      <c r="BJ736" s="9">
        <f t="shared" si="101"/>
        <v>12.44</v>
      </c>
      <c r="BK736" s="9">
        <f t="shared" si="102"/>
        <v>52.63</v>
      </c>
      <c r="BL736" s="9">
        <f t="shared" si="103"/>
        <v>0</v>
      </c>
      <c r="BM736" s="9">
        <f t="shared" si="104"/>
        <v>16.559999999999999</v>
      </c>
      <c r="BN736" s="9">
        <f t="shared" si="105"/>
        <v>2368.87</v>
      </c>
      <c r="BO736" s="9">
        <f t="shared" si="106"/>
        <v>5.18</v>
      </c>
      <c r="BP736" s="9">
        <f t="shared" si="107"/>
        <v>0</v>
      </c>
    </row>
    <row r="737" spans="1:68">
      <c r="A737" s="6">
        <v>44695</v>
      </c>
      <c r="B737" s="7">
        <v>3141</v>
      </c>
      <c r="C737" s="8">
        <v>2427.39</v>
      </c>
      <c r="D737" s="8">
        <v>428.32</v>
      </c>
      <c r="E737" s="8"/>
      <c r="F737" s="8"/>
      <c r="G737" s="8"/>
      <c r="H737" s="8"/>
      <c r="I737" s="8"/>
      <c r="J737" s="8"/>
      <c r="K737" s="8"/>
      <c r="L737" s="8"/>
      <c r="M737" s="8">
        <v>6.93</v>
      </c>
      <c r="N737" s="8"/>
      <c r="O737" s="8"/>
      <c r="P737" s="8"/>
      <c r="Q737" s="11"/>
      <c r="R737" s="11"/>
      <c r="S737" s="8">
        <v>13.43</v>
      </c>
      <c r="T737" s="8">
        <v>21.44</v>
      </c>
      <c r="U737" s="8">
        <v>21.44</v>
      </c>
      <c r="V737" s="8"/>
      <c r="W737" s="8"/>
      <c r="X737" s="8"/>
      <c r="Y737" s="8"/>
      <c r="Z737" s="8"/>
      <c r="AA737" s="8"/>
      <c r="AB737" s="8"/>
      <c r="AC737" s="8">
        <v>11.44</v>
      </c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11"/>
      <c r="AQ737" s="8"/>
      <c r="AR737" s="8"/>
      <c r="AS737" s="8"/>
      <c r="AT737" s="8">
        <v>1892.72</v>
      </c>
      <c r="AU737" s="8"/>
      <c r="AV737" s="8"/>
      <c r="AW737" s="8"/>
      <c r="AX737" s="8"/>
      <c r="AY737" s="8"/>
      <c r="AZ737" s="8"/>
      <c r="BA737" s="8">
        <v>65.44</v>
      </c>
      <c r="BB737" s="8"/>
      <c r="BC737" s="8"/>
      <c r="BD737" s="8"/>
      <c r="BE737" s="8"/>
      <c r="BF737" s="8">
        <v>200</v>
      </c>
      <c r="BG737" s="8">
        <v>148.63999999999999</v>
      </c>
      <c r="BH737" s="9">
        <f t="shared" si="99"/>
        <v>2855.71</v>
      </c>
      <c r="BI737" s="9">
        <f t="shared" si="100"/>
        <v>6.93</v>
      </c>
      <c r="BJ737" s="9">
        <f t="shared" si="101"/>
        <v>13.43</v>
      </c>
      <c r="BK737" s="9">
        <f t="shared" si="102"/>
        <v>42.88</v>
      </c>
      <c r="BL737" s="9">
        <f t="shared" si="103"/>
        <v>0</v>
      </c>
      <c r="BM737" s="9">
        <f t="shared" si="104"/>
        <v>11.44</v>
      </c>
      <c r="BN737" s="9">
        <f t="shared" si="105"/>
        <v>1892.72</v>
      </c>
      <c r="BO737" s="9">
        <f t="shared" si="106"/>
        <v>65.44</v>
      </c>
      <c r="BP737" s="9">
        <f t="shared" si="107"/>
        <v>200</v>
      </c>
    </row>
    <row r="738" spans="1:68">
      <c r="A738" s="6">
        <v>44695</v>
      </c>
      <c r="B738" s="7">
        <v>3602</v>
      </c>
      <c r="C738" s="8">
        <v>573.96</v>
      </c>
      <c r="D738" s="8"/>
      <c r="E738" s="8"/>
      <c r="F738" s="8"/>
      <c r="G738" s="8">
        <v>860.81</v>
      </c>
      <c r="H738" s="8"/>
      <c r="I738" s="8"/>
      <c r="J738" s="8"/>
      <c r="K738" s="8"/>
      <c r="L738" s="8"/>
      <c r="M738" s="8">
        <v>1.5</v>
      </c>
      <c r="N738" s="8"/>
      <c r="O738" s="8"/>
      <c r="P738" s="8"/>
      <c r="Q738" s="11"/>
      <c r="R738" s="11"/>
      <c r="S738" s="8">
        <v>7.71</v>
      </c>
      <c r="T738" s="8"/>
      <c r="U738" s="8">
        <v>4.5999999999999996</v>
      </c>
      <c r="V738" s="8">
        <v>14.03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11"/>
      <c r="AQ738" s="8"/>
      <c r="AR738" s="8"/>
      <c r="AS738" s="8"/>
      <c r="AT738" s="8">
        <v>599.80999999999995</v>
      </c>
      <c r="AU738" s="8"/>
      <c r="AV738" s="8"/>
      <c r="AW738" s="8">
        <v>37.17</v>
      </c>
      <c r="AX738" s="8"/>
      <c r="AY738" s="8"/>
      <c r="AZ738" s="8"/>
      <c r="BA738" s="8"/>
      <c r="BB738" s="8"/>
      <c r="BC738" s="8"/>
      <c r="BD738" s="8"/>
      <c r="BE738" s="8"/>
      <c r="BF738" s="8">
        <v>46.03</v>
      </c>
      <c r="BG738" s="8">
        <v>44.77</v>
      </c>
      <c r="BH738" s="9">
        <f t="shared" si="99"/>
        <v>1434.77</v>
      </c>
      <c r="BI738" s="9">
        <f t="shared" si="100"/>
        <v>1.5</v>
      </c>
      <c r="BJ738" s="9">
        <f t="shared" si="101"/>
        <v>7.71</v>
      </c>
      <c r="BK738" s="9">
        <f t="shared" si="102"/>
        <v>18.63</v>
      </c>
      <c r="BL738" s="9">
        <f t="shared" si="103"/>
        <v>0</v>
      </c>
      <c r="BM738" s="9">
        <f t="shared" si="104"/>
        <v>0</v>
      </c>
      <c r="BN738" s="9">
        <f t="shared" si="105"/>
        <v>599.80999999999995</v>
      </c>
      <c r="BO738" s="9">
        <f t="shared" si="106"/>
        <v>37.17</v>
      </c>
      <c r="BP738" s="9">
        <f t="shared" si="107"/>
        <v>46.03</v>
      </c>
    </row>
    <row r="739" spans="1:68">
      <c r="A739" s="6">
        <v>44695</v>
      </c>
      <c r="B739" s="7">
        <v>3405</v>
      </c>
      <c r="C739" s="8">
        <v>3796.67</v>
      </c>
      <c r="D739" s="8">
        <v>950.97</v>
      </c>
      <c r="E739" s="8"/>
      <c r="F739" s="8"/>
      <c r="G739" s="8"/>
      <c r="H739" s="8"/>
      <c r="I739" s="8"/>
      <c r="J739" s="8"/>
      <c r="K739" s="8"/>
      <c r="L739" s="8"/>
      <c r="M739" s="8">
        <v>12.86</v>
      </c>
      <c r="N739" s="8"/>
      <c r="O739" s="8"/>
      <c r="P739" s="8"/>
      <c r="Q739" s="11"/>
      <c r="R739" s="11"/>
      <c r="S739" s="8">
        <v>10.91</v>
      </c>
      <c r="T739" s="8"/>
      <c r="U739" s="8"/>
      <c r="V739" s="8"/>
      <c r="W739" s="8"/>
      <c r="X739" s="8">
        <v>56.3</v>
      </c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11"/>
      <c r="AQ739" s="8"/>
      <c r="AR739" s="8"/>
      <c r="AS739" s="8"/>
      <c r="AT739" s="8">
        <v>2385.37</v>
      </c>
      <c r="AU739" s="8"/>
      <c r="AV739" s="8"/>
      <c r="AW739" s="8"/>
      <c r="AX739" s="8"/>
      <c r="AY739" s="8"/>
      <c r="AZ739" s="8"/>
      <c r="BA739" s="8">
        <v>21.32</v>
      </c>
      <c r="BB739" s="8"/>
      <c r="BC739" s="8"/>
      <c r="BD739" s="8"/>
      <c r="BE739" s="8"/>
      <c r="BF739" s="8"/>
      <c r="BG739" s="8">
        <v>160.85</v>
      </c>
      <c r="BH739" s="9">
        <f t="shared" si="99"/>
        <v>4747.6400000000003</v>
      </c>
      <c r="BI739" s="9">
        <f t="shared" si="100"/>
        <v>12.86</v>
      </c>
      <c r="BJ739" s="9">
        <f t="shared" si="101"/>
        <v>10.91</v>
      </c>
      <c r="BK739" s="9">
        <f t="shared" si="102"/>
        <v>56.3</v>
      </c>
      <c r="BL739" s="9">
        <f t="shared" si="103"/>
        <v>0</v>
      </c>
      <c r="BM739" s="9">
        <f t="shared" si="104"/>
        <v>0</v>
      </c>
      <c r="BN739" s="9">
        <f t="shared" si="105"/>
        <v>2385.37</v>
      </c>
      <c r="BO739" s="9">
        <f t="shared" si="106"/>
        <v>21.32</v>
      </c>
      <c r="BP739" s="9">
        <f t="shared" si="107"/>
        <v>0</v>
      </c>
    </row>
    <row r="740" spans="1:68">
      <c r="A740" s="6">
        <v>44695</v>
      </c>
      <c r="B740" s="7">
        <v>3101</v>
      </c>
      <c r="C740" s="8">
        <v>667.09</v>
      </c>
      <c r="D740" s="8"/>
      <c r="E740" s="8"/>
      <c r="F740" s="8"/>
      <c r="G740" s="8"/>
      <c r="H740" s="8"/>
      <c r="I740" s="8"/>
      <c r="J740" s="8"/>
      <c r="K740" s="8"/>
      <c r="L740" s="8"/>
      <c r="M740" s="8">
        <v>1.33</v>
      </c>
      <c r="N740" s="8"/>
      <c r="O740" s="8"/>
      <c r="P740" s="8"/>
      <c r="Q740" s="11"/>
      <c r="R740" s="11"/>
      <c r="S740" s="8">
        <v>3.87</v>
      </c>
      <c r="T740" s="8"/>
      <c r="U740" s="8">
        <v>10.69</v>
      </c>
      <c r="V740" s="8"/>
      <c r="W740" s="8"/>
      <c r="X740" s="8"/>
      <c r="Y740" s="8"/>
      <c r="Z740" s="8"/>
      <c r="AA740" s="8"/>
      <c r="AB740" s="8"/>
      <c r="AC740" s="8">
        <v>2.67</v>
      </c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11"/>
      <c r="AQ740" s="8"/>
      <c r="AR740" s="8"/>
      <c r="AS740" s="8"/>
      <c r="AT740" s="8">
        <v>448.68</v>
      </c>
      <c r="AU740" s="8"/>
      <c r="AV740" s="8"/>
      <c r="AW740" s="8">
        <v>14.21</v>
      </c>
      <c r="AX740" s="8"/>
      <c r="AY740" s="8"/>
      <c r="AZ740" s="8"/>
      <c r="BA740" s="8"/>
      <c r="BB740" s="8"/>
      <c r="BC740" s="8"/>
      <c r="BD740" s="8"/>
      <c r="BE740" s="8"/>
      <c r="BF740" s="8">
        <v>86.79</v>
      </c>
      <c r="BG740" s="8">
        <v>34.35</v>
      </c>
      <c r="BH740" s="9">
        <f t="shared" si="99"/>
        <v>667.09</v>
      </c>
      <c r="BI740" s="9">
        <f t="shared" si="100"/>
        <v>1.33</v>
      </c>
      <c r="BJ740" s="9">
        <f t="shared" si="101"/>
        <v>3.87</v>
      </c>
      <c r="BK740" s="9">
        <f t="shared" si="102"/>
        <v>10.69</v>
      </c>
      <c r="BL740" s="9">
        <f t="shared" si="103"/>
        <v>0</v>
      </c>
      <c r="BM740" s="9">
        <f t="shared" si="104"/>
        <v>2.67</v>
      </c>
      <c r="BN740" s="9">
        <f t="shared" si="105"/>
        <v>448.68</v>
      </c>
      <c r="BO740" s="9">
        <f t="shared" si="106"/>
        <v>14.21</v>
      </c>
      <c r="BP740" s="9">
        <f t="shared" si="107"/>
        <v>86.79</v>
      </c>
    </row>
    <row r="741" spans="1:68">
      <c r="A741" s="6">
        <v>44695</v>
      </c>
      <c r="B741" s="7">
        <v>3601</v>
      </c>
      <c r="C741" s="8">
        <v>311.01</v>
      </c>
      <c r="D741" s="8"/>
      <c r="E741" s="8"/>
      <c r="F741" s="8"/>
      <c r="G741" s="8">
        <v>466.71</v>
      </c>
      <c r="H741" s="8"/>
      <c r="I741" s="8"/>
      <c r="J741" s="8"/>
      <c r="K741" s="8"/>
      <c r="L741" s="8"/>
      <c r="M741" s="8">
        <v>0.94</v>
      </c>
      <c r="N741" s="8"/>
      <c r="O741" s="8"/>
      <c r="P741" s="8"/>
      <c r="Q741" s="11"/>
      <c r="R741" s="11"/>
      <c r="S741" s="8">
        <v>3.92</v>
      </c>
      <c r="T741" s="8"/>
      <c r="U741" s="8">
        <v>4.67</v>
      </c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11"/>
      <c r="AQ741" s="8"/>
      <c r="AR741" s="8"/>
      <c r="AS741" s="8"/>
      <c r="AT741" s="8">
        <v>381.24</v>
      </c>
      <c r="AU741" s="8"/>
      <c r="AV741" s="8"/>
      <c r="AW741" s="8">
        <v>23.65</v>
      </c>
      <c r="AX741" s="8"/>
      <c r="AY741" s="8"/>
      <c r="AZ741" s="8"/>
      <c r="BA741" s="8"/>
      <c r="BB741" s="8"/>
      <c r="BC741" s="8"/>
      <c r="BD741" s="8"/>
      <c r="BE741" s="8"/>
      <c r="BF741" s="8">
        <v>43.44</v>
      </c>
      <c r="BG741" s="8">
        <v>29.04</v>
      </c>
      <c r="BH741" s="9">
        <f t="shared" si="99"/>
        <v>777.72</v>
      </c>
      <c r="BI741" s="9">
        <f t="shared" si="100"/>
        <v>0.94</v>
      </c>
      <c r="BJ741" s="9">
        <f t="shared" si="101"/>
        <v>3.92</v>
      </c>
      <c r="BK741" s="9">
        <f t="shared" si="102"/>
        <v>4.67</v>
      </c>
      <c r="BL741" s="9">
        <f t="shared" si="103"/>
        <v>0</v>
      </c>
      <c r="BM741" s="9">
        <f t="shared" si="104"/>
        <v>0</v>
      </c>
      <c r="BN741" s="9">
        <f t="shared" si="105"/>
        <v>381.24</v>
      </c>
      <c r="BO741" s="9">
        <f t="shared" si="106"/>
        <v>23.65</v>
      </c>
      <c r="BP741" s="9">
        <f t="shared" si="107"/>
        <v>43.44</v>
      </c>
    </row>
    <row r="742" spans="1:68">
      <c r="A742" s="6">
        <v>44698</v>
      </c>
      <c r="B742" s="7">
        <v>3200</v>
      </c>
      <c r="C742" s="8">
        <v>2283.42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>
        <v>5.74</v>
      </c>
      <c r="P742" s="8"/>
      <c r="Q742" s="11"/>
      <c r="R742" s="11"/>
      <c r="S742" s="8">
        <v>8.9499999999999993</v>
      </c>
      <c r="T742" s="8"/>
      <c r="U742" s="8">
        <v>34.5</v>
      </c>
      <c r="V742" s="8"/>
      <c r="W742" s="8"/>
      <c r="X742" s="8"/>
      <c r="Y742" s="8"/>
      <c r="Z742" s="8">
        <v>482.79</v>
      </c>
      <c r="AA742" s="8"/>
      <c r="AB742" s="8"/>
      <c r="AC742" s="8"/>
      <c r="AD742" s="8"/>
      <c r="AE742" s="8">
        <v>35.049999999999997</v>
      </c>
      <c r="AF742" s="8">
        <v>115</v>
      </c>
      <c r="AG742" s="8"/>
      <c r="AH742" s="8"/>
      <c r="AI742" s="8"/>
      <c r="AJ742" s="8"/>
      <c r="AK742" s="8"/>
      <c r="AL742" s="8"/>
      <c r="AM742" s="8"/>
      <c r="AN742" s="8"/>
      <c r="AO742" s="8"/>
      <c r="AP742" s="11"/>
      <c r="AQ742" s="8"/>
      <c r="AR742" s="8"/>
      <c r="AS742" s="8"/>
      <c r="AT742" s="8">
        <v>1571.98</v>
      </c>
      <c r="AU742" s="8"/>
      <c r="AV742" s="8"/>
      <c r="AW742" s="8">
        <v>6.72</v>
      </c>
      <c r="AX742" s="8"/>
      <c r="AY742" s="8"/>
      <c r="AZ742" s="8"/>
      <c r="BA742" s="8"/>
      <c r="BB742" s="8"/>
      <c r="BC742" s="8"/>
      <c r="BD742" s="8"/>
      <c r="BE742" s="8"/>
      <c r="BF742" s="8">
        <v>110.45</v>
      </c>
      <c r="BG742" s="8">
        <v>113.09</v>
      </c>
      <c r="BH742" s="9">
        <f t="shared" si="99"/>
        <v>2283.42</v>
      </c>
      <c r="BI742" s="9">
        <f t="shared" si="100"/>
        <v>5.74</v>
      </c>
      <c r="BJ742" s="9">
        <f t="shared" si="101"/>
        <v>8.9499999999999993</v>
      </c>
      <c r="BK742" s="9">
        <f t="shared" si="102"/>
        <v>34.5</v>
      </c>
      <c r="BL742" s="9">
        <f t="shared" si="103"/>
        <v>482.79</v>
      </c>
      <c r="BM742" s="9">
        <f t="shared" si="104"/>
        <v>150.05000000000001</v>
      </c>
      <c r="BN742" s="9">
        <f t="shared" si="105"/>
        <v>1571.98</v>
      </c>
      <c r="BO742" s="9">
        <f t="shared" si="106"/>
        <v>6.72</v>
      </c>
      <c r="BP742" s="9">
        <f t="shared" si="107"/>
        <v>110.45</v>
      </c>
    </row>
    <row r="743" spans="1:68">
      <c r="A743" s="6">
        <v>44698</v>
      </c>
      <c r="B743" s="7">
        <v>3408</v>
      </c>
      <c r="C743" s="8">
        <v>1183.74</v>
      </c>
      <c r="D743" s="8"/>
      <c r="E743" s="8"/>
      <c r="F743" s="8"/>
      <c r="G743" s="8"/>
      <c r="H743" s="8"/>
      <c r="I743" s="8"/>
      <c r="J743" s="8"/>
      <c r="K743" s="8"/>
      <c r="L743" s="8"/>
      <c r="M743" s="8">
        <v>2.98</v>
      </c>
      <c r="N743" s="8"/>
      <c r="O743" s="8"/>
      <c r="P743" s="8"/>
      <c r="Q743" s="11"/>
      <c r="R743" s="11"/>
      <c r="S743" s="8">
        <v>2.99</v>
      </c>
      <c r="T743" s="8">
        <v>11.96</v>
      </c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11"/>
      <c r="AQ743" s="8"/>
      <c r="AR743" s="8"/>
      <c r="AS743" s="8"/>
      <c r="AT743" s="8">
        <v>610.59</v>
      </c>
      <c r="AU743" s="8"/>
      <c r="AV743" s="8"/>
      <c r="AW743" s="8"/>
      <c r="AX743" s="8"/>
      <c r="AY743" s="8"/>
      <c r="AZ743" s="8"/>
      <c r="BA743" s="8">
        <v>5.34</v>
      </c>
      <c r="BB743" s="8"/>
      <c r="BC743" s="8"/>
      <c r="BD743" s="8"/>
      <c r="BE743" s="8"/>
      <c r="BF743" s="8"/>
      <c r="BG743" s="8">
        <v>41.85</v>
      </c>
      <c r="BH743" s="9">
        <f t="shared" si="99"/>
        <v>1183.74</v>
      </c>
      <c r="BI743" s="9">
        <f t="shared" si="100"/>
        <v>2.98</v>
      </c>
      <c r="BJ743" s="9">
        <f t="shared" si="101"/>
        <v>2.99</v>
      </c>
      <c r="BK743" s="9">
        <f t="shared" si="102"/>
        <v>11.96</v>
      </c>
      <c r="BL743" s="9">
        <f t="shared" si="103"/>
        <v>0</v>
      </c>
      <c r="BM743" s="9">
        <f t="shared" si="104"/>
        <v>0</v>
      </c>
      <c r="BN743" s="9">
        <f t="shared" si="105"/>
        <v>610.59</v>
      </c>
      <c r="BO743" s="9">
        <f t="shared" si="106"/>
        <v>5.34</v>
      </c>
      <c r="BP743" s="9">
        <f t="shared" si="107"/>
        <v>0</v>
      </c>
    </row>
    <row r="744" spans="1:68">
      <c r="A744" s="6">
        <v>44698</v>
      </c>
      <c r="B744" s="7">
        <v>3433</v>
      </c>
      <c r="C744" s="8">
        <v>2300.3200000000002</v>
      </c>
      <c r="D744" s="8"/>
      <c r="E744" s="8"/>
      <c r="F744" s="8"/>
      <c r="G744" s="8"/>
      <c r="H744" s="8"/>
      <c r="I744" s="8"/>
      <c r="J744" s="8"/>
      <c r="K744" s="8"/>
      <c r="L744" s="8"/>
      <c r="M744" s="8">
        <v>4.72</v>
      </c>
      <c r="N744" s="8"/>
      <c r="O744" s="8"/>
      <c r="P744" s="8"/>
      <c r="Q744" s="11"/>
      <c r="R744" s="11"/>
      <c r="S744" s="8">
        <v>9.19</v>
      </c>
      <c r="T744" s="8"/>
      <c r="U744" s="8"/>
      <c r="V744" s="8"/>
      <c r="W744" s="8"/>
      <c r="X744" s="8">
        <v>23.3</v>
      </c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11"/>
      <c r="AQ744" s="8"/>
      <c r="AR744" s="8"/>
      <c r="AS744" s="8"/>
      <c r="AT744" s="8">
        <v>1044.5899999999999</v>
      </c>
      <c r="AU744" s="8"/>
      <c r="AV744" s="8"/>
      <c r="AW744" s="8"/>
      <c r="AX744" s="8"/>
      <c r="AY744" s="8"/>
      <c r="AZ744" s="8"/>
      <c r="BA744" s="8">
        <v>10.37</v>
      </c>
      <c r="BB744" s="8"/>
      <c r="BC744" s="8"/>
      <c r="BD744" s="8"/>
      <c r="BE744" s="8"/>
      <c r="BF744" s="8">
        <v>114.89</v>
      </c>
      <c r="BG744" s="8">
        <v>76.61</v>
      </c>
      <c r="BH744" s="9">
        <f t="shared" si="99"/>
        <v>2300.3200000000002</v>
      </c>
      <c r="BI744" s="9">
        <f t="shared" si="100"/>
        <v>4.72</v>
      </c>
      <c r="BJ744" s="9">
        <f t="shared" si="101"/>
        <v>9.19</v>
      </c>
      <c r="BK744" s="9">
        <f t="shared" si="102"/>
        <v>23.3</v>
      </c>
      <c r="BL744" s="9">
        <f t="shared" si="103"/>
        <v>0</v>
      </c>
      <c r="BM744" s="9">
        <f t="shared" si="104"/>
        <v>0</v>
      </c>
      <c r="BN744" s="9">
        <f t="shared" si="105"/>
        <v>1044.5899999999999</v>
      </c>
      <c r="BO744" s="9">
        <f t="shared" si="106"/>
        <v>10.37</v>
      </c>
      <c r="BP744" s="9">
        <f t="shared" si="107"/>
        <v>114.89</v>
      </c>
    </row>
    <row r="745" spans="1:68">
      <c r="A745" s="6">
        <v>44698</v>
      </c>
      <c r="B745" s="7">
        <v>3134</v>
      </c>
      <c r="C745" s="8">
        <v>1027.49</v>
      </c>
      <c r="D745" s="8">
        <v>145.03</v>
      </c>
      <c r="E745" s="8"/>
      <c r="F745" s="8"/>
      <c r="G745" s="8"/>
      <c r="H745" s="8">
        <v>486.52</v>
      </c>
      <c r="I745" s="8"/>
      <c r="J745" s="8"/>
      <c r="K745" s="8"/>
      <c r="L745" s="8"/>
      <c r="M745" s="8">
        <v>3.2</v>
      </c>
      <c r="N745" s="8"/>
      <c r="O745" s="8"/>
      <c r="P745" s="8"/>
      <c r="Q745" s="11"/>
      <c r="R745" s="11"/>
      <c r="S745" s="8">
        <v>6.65</v>
      </c>
      <c r="T745" s="8">
        <v>10.119999999999999</v>
      </c>
      <c r="U745" s="8">
        <v>8.67</v>
      </c>
      <c r="V745" s="8"/>
      <c r="W745" s="8"/>
      <c r="X745" s="8"/>
      <c r="Y745" s="8"/>
      <c r="Z745" s="8"/>
      <c r="AA745" s="8"/>
      <c r="AB745" s="8"/>
      <c r="AC745" s="8">
        <v>5.77</v>
      </c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11"/>
      <c r="AQ745" s="8"/>
      <c r="AR745" s="8"/>
      <c r="AS745" s="8"/>
      <c r="AT745" s="8">
        <v>1018.53</v>
      </c>
      <c r="AU745" s="8"/>
      <c r="AV745" s="8"/>
      <c r="AW745" s="8"/>
      <c r="AX745" s="8"/>
      <c r="AY745" s="8">
        <v>14.45</v>
      </c>
      <c r="AZ745" s="8"/>
      <c r="BA745" s="8"/>
      <c r="BB745" s="8"/>
      <c r="BC745" s="8"/>
      <c r="BD745" s="8"/>
      <c r="BE745" s="8"/>
      <c r="BF745" s="8">
        <v>65.03</v>
      </c>
      <c r="BG745" s="8">
        <v>76.44</v>
      </c>
      <c r="BH745" s="9">
        <f t="shared" si="99"/>
        <v>1659.04</v>
      </c>
      <c r="BI745" s="9">
        <f t="shared" si="100"/>
        <v>3.2</v>
      </c>
      <c r="BJ745" s="9">
        <f t="shared" si="101"/>
        <v>6.65</v>
      </c>
      <c r="BK745" s="9">
        <f t="shared" si="102"/>
        <v>18.79</v>
      </c>
      <c r="BL745" s="9">
        <f t="shared" si="103"/>
        <v>0</v>
      </c>
      <c r="BM745" s="9">
        <f t="shared" si="104"/>
        <v>5.77</v>
      </c>
      <c r="BN745" s="9">
        <f t="shared" si="105"/>
        <v>1018.53</v>
      </c>
      <c r="BO745" s="9">
        <f t="shared" si="106"/>
        <v>14.45</v>
      </c>
      <c r="BP745" s="9">
        <f t="shared" si="107"/>
        <v>65.03</v>
      </c>
    </row>
    <row r="746" spans="1:68">
      <c r="A746" s="6">
        <v>44698</v>
      </c>
      <c r="B746" s="7">
        <v>3106</v>
      </c>
      <c r="C746" s="8">
        <v>6141.82</v>
      </c>
      <c r="D746" s="8"/>
      <c r="E746" s="8"/>
      <c r="F746" s="8"/>
      <c r="G746" s="8"/>
      <c r="H746" s="8"/>
      <c r="I746" s="8"/>
      <c r="J746" s="8"/>
      <c r="K746" s="8"/>
      <c r="L746" s="8"/>
      <c r="M746" s="8">
        <v>16.579999999999998</v>
      </c>
      <c r="N746" s="8"/>
      <c r="O746" s="8"/>
      <c r="P746" s="8"/>
      <c r="Q746" s="11"/>
      <c r="R746" s="11"/>
      <c r="S746" s="8">
        <v>18.46</v>
      </c>
      <c r="T746" s="8">
        <v>79.56</v>
      </c>
      <c r="U746" s="8"/>
      <c r="V746" s="8"/>
      <c r="W746" s="8"/>
      <c r="X746" s="8"/>
      <c r="Y746" s="8"/>
      <c r="Z746" s="8"/>
      <c r="AA746" s="8"/>
      <c r="AB746" s="8"/>
      <c r="AC746" s="8">
        <v>24.6</v>
      </c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11"/>
      <c r="AQ746" s="8"/>
      <c r="AR746" s="8"/>
      <c r="AS746" s="8"/>
      <c r="AT746" s="8">
        <v>3520.75</v>
      </c>
      <c r="AU746" s="8"/>
      <c r="AV746" s="8"/>
      <c r="AW746" s="8"/>
      <c r="AX746" s="8">
        <v>7.69</v>
      </c>
      <c r="AY746" s="8"/>
      <c r="AZ746" s="8"/>
      <c r="BA746" s="8"/>
      <c r="BB746" s="8"/>
      <c r="BC746" s="8"/>
      <c r="BD746" s="8"/>
      <c r="BE746" s="8"/>
      <c r="BF746" s="8"/>
      <c r="BG746" s="8">
        <v>264.20999999999998</v>
      </c>
      <c r="BH746" s="9">
        <f t="shared" si="99"/>
        <v>6141.82</v>
      </c>
      <c r="BI746" s="9">
        <f t="shared" si="100"/>
        <v>16.579999999999998</v>
      </c>
      <c r="BJ746" s="9">
        <f t="shared" si="101"/>
        <v>18.46</v>
      </c>
      <c r="BK746" s="9">
        <f t="shared" si="102"/>
        <v>79.56</v>
      </c>
      <c r="BL746" s="9">
        <f t="shared" si="103"/>
        <v>0</v>
      </c>
      <c r="BM746" s="9">
        <f t="shared" si="104"/>
        <v>24.6</v>
      </c>
      <c r="BN746" s="9">
        <f t="shared" si="105"/>
        <v>3520.75</v>
      </c>
      <c r="BO746" s="9">
        <f t="shared" si="106"/>
        <v>7.69</v>
      </c>
      <c r="BP746" s="9">
        <f t="shared" si="107"/>
        <v>0</v>
      </c>
    </row>
    <row r="747" spans="1:68">
      <c r="A747" s="6">
        <v>44698</v>
      </c>
      <c r="B747" s="7">
        <v>3204</v>
      </c>
      <c r="C747" s="8"/>
      <c r="D747" s="8">
        <v>1761.18</v>
      </c>
      <c r="E747" s="8">
        <v>753.27</v>
      </c>
      <c r="F747" s="8"/>
      <c r="G747" s="8"/>
      <c r="H747" s="8"/>
      <c r="I747" s="8"/>
      <c r="J747" s="8"/>
      <c r="K747" s="8"/>
      <c r="L747" s="8"/>
      <c r="M747" s="8"/>
      <c r="N747" s="8"/>
      <c r="O747" s="8">
        <v>12.59</v>
      </c>
      <c r="P747" s="8"/>
      <c r="Q747" s="11"/>
      <c r="R747" s="11"/>
      <c r="S747" s="8">
        <v>8.5500000000000007</v>
      </c>
      <c r="T747" s="8">
        <v>15.11</v>
      </c>
      <c r="U747" s="8">
        <v>12.6</v>
      </c>
      <c r="V747" s="8"/>
      <c r="W747" s="8"/>
      <c r="X747" s="8"/>
      <c r="Y747" s="8"/>
      <c r="Z747" s="8">
        <v>377.9</v>
      </c>
      <c r="AA747" s="8"/>
      <c r="AB747" s="8">
        <v>12.75</v>
      </c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11"/>
      <c r="AQ747" s="8"/>
      <c r="AR747" s="8"/>
      <c r="AS747" s="8"/>
      <c r="AT747" s="8">
        <v>1106.71</v>
      </c>
      <c r="AU747" s="8"/>
      <c r="AV747" s="8"/>
      <c r="AW747" s="8">
        <v>8.07</v>
      </c>
      <c r="AX747" s="8"/>
      <c r="AY747" s="8"/>
      <c r="AZ747" s="8"/>
      <c r="BA747" s="8"/>
      <c r="BB747" s="8"/>
      <c r="BC747" s="8"/>
      <c r="BD747" s="8"/>
      <c r="BE747" s="8"/>
      <c r="BF747" s="8"/>
      <c r="BG747" s="8">
        <v>81.86</v>
      </c>
      <c r="BH747" s="9">
        <f t="shared" si="99"/>
        <v>2514.4499999999998</v>
      </c>
      <c r="BI747" s="9">
        <f t="shared" si="100"/>
        <v>12.59</v>
      </c>
      <c r="BJ747" s="9">
        <f t="shared" si="101"/>
        <v>8.5500000000000007</v>
      </c>
      <c r="BK747" s="9">
        <f t="shared" si="102"/>
        <v>27.71</v>
      </c>
      <c r="BL747" s="9">
        <f t="shared" si="103"/>
        <v>377.9</v>
      </c>
      <c r="BM747" s="9">
        <f t="shared" si="104"/>
        <v>12.75</v>
      </c>
      <c r="BN747" s="9">
        <f t="shared" si="105"/>
        <v>1106.71</v>
      </c>
      <c r="BO747" s="9">
        <f t="shared" si="106"/>
        <v>8.07</v>
      </c>
      <c r="BP747" s="9">
        <f t="shared" si="107"/>
        <v>0</v>
      </c>
    </row>
    <row r="748" spans="1:68">
      <c r="A748" s="6">
        <v>44698</v>
      </c>
      <c r="B748" s="7">
        <v>3027</v>
      </c>
      <c r="C748" s="8"/>
      <c r="D748" s="8">
        <v>1008.17</v>
      </c>
      <c r="E748" s="8"/>
      <c r="F748" s="8"/>
      <c r="G748" s="8"/>
      <c r="H748" s="8"/>
      <c r="I748" s="8">
        <v>824.44</v>
      </c>
      <c r="J748" s="8"/>
      <c r="K748" s="8"/>
      <c r="L748" s="8"/>
      <c r="M748" s="8"/>
      <c r="N748" s="8">
        <v>10.08</v>
      </c>
      <c r="O748" s="8"/>
      <c r="P748" s="8"/>
      <c r="Q748" s="11"/>
      <c r="R748" s="11"/>
      <c r="S748" s="8">
        <v>2.93</v>
      </c>
      <c r="T748" s="8"/>
      <c r="U748" s="8"/>
      <c r="V748" s="8"/>
      <c r="W748" s="8">
        <v>13.84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>
        <v>18.329999999999998</v>
      </c>
      <c r="AN748" s="8">
        <v>12.83</v>
      </c>
      <c r="AO748" s="8"/>
      <c r="AP748" s="11"/>
      <c r="AQ748" s="8"/>
      <c r="AR748" s="8"/>
      <c r="AS748" s="8">
        <v>60.05</v>
      </c>
      <c r="AT748" s="8">
        <v>609.09</v>
      </c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>
        <v>43.15</v>
      </c>
      <c r="BH748" s="9">
        <f t="shared" si="99"/>
        <v>1832.6100000000001</v>
      </c>
      <c r="BI748" s="9">
        <f t="shared" si="100"/>
        <v>10.08</v>
      </c>
      <c r="BJ748" s="9">
        <f t="shared" si="101"/>
        <v>2.93</v>
      </c>
      <c r="BK748" s="9">
        <f t="shared" si="102"/>
        <v>13.84</v>
      </c>
      <c r="BL748" s="9">
        <f t="shared" si="103"/>
        <v>0</v>
      </c>
      <c r="BM748" s="9">
        <f t="shared" si="104"/>
        <v>91.21</v>
      </c>
      <c r="BN748" s="9">
        <f t="shared" si="105"/>
        <v>609.09</v>
      </c>
      <c r="BO748" s="9">
        <f t="shared" si="106"/>
        <v>0</v>
      </c>
      <c r="BP748" s="9">
        <f t="shared" si="107"/>
        <v>0</v>
      </c>
    </row>
    <row r="749" spans="1:68">
      <c r="A749" s="6">
        <v>44698</v>
      </c>
      <c r="B749" s="7">
        <v>3028</v>
      </c>
      <c r="C749" s="8"/>
      <c r="D749" s="8">
        <v>414.8</v>
      </c>
      <c r="E749" s="8"/>
      <c r="F749" s="8">
        <v>379.71</v>
      </c>
      <c r="G749" s="8"/>
      <c r="H749" s="8"/>
      <c r="I749" s="8">
        <v>858.7</v>
      </c>
      <c r="J749" s="8"/>
      <c r="K749" s="8"/>
      <c r="L749" s="8"/>
      <c r="M749" s="8"/>
      <c r="N749" s="8">
        <v>12.38</v>
      </c>
      <c r="O749" s="8"/>
      <c r="P749" s="8"/>
      <c r="Q749" s="11"/>
      <c r="R749" s="11"/>
      <c r="S749" s="8">
        <v>2.3199999999999998</v>
      </c>
      <c r="T749" s="8"/>
      <c r="U749" s="8"/>
      <c r="V749" s="8"/>
      <c r="W749" s="8">
        <v>12.53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>
        <v>16.510000000000002</v>
      </c>
      <c r="AN749" s="8">
        <v>11.61</v>
      </c>
      <c r="AO749" s="8"/>
      <c r="AP749" s="11"/>
      <c r="AQ749" s="8"/>
      <c r="AR749" s="8"/>
      <c r="AS749" s="8">
        <v>54.74</v>
      </c>
      <c r="AT749" s="8">
        <v>550.79</v>
      </c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>
        <v>37.61</v>
      </c>
      <c r="BH749" s="9">
        <f t="shared" si="99"/>
        <v>1653.21</v>
      </c>
      <c r="BI749" s="9">
        <f t="shared" si="100"/>
        <v>12.38</v>
      </c>
      <c r="BJ749" s="9">
        <f t="shared" si="101"/>
        <v>2.3199999999999998</v>
      </c>
      <c r="BK749" s="9">
        <f t="shared" si="102"/>
        <v>12.53</v>
      </c>
      <c r="BL749" s="9">
        <f t="shared" si="103"/>
        <v>0</v>
      </c>
      <c r="BM749" s="9">
        <f t="shared" si="104"/>
        <v>82.86</v>
      </c>
      <c r="BN749" s="9">
        <f t="shared" si="105"/>
        <v>550.79</v>
      </c>
      <c r="BO749" s="9">
        <f t="shared" si="106"/>
        <v>0</v>
      </c>
      <c r="BP749" s="9">
        <f t="shared" si="107"/>
        <v>0</v>
      </c>
    </row>
    <row r="750" spans="1:68">
      <c r="A750" s="6">
        <v>44698</v>
      </c>
      <c r="B750" s="7">
        <v>3022</v>
      </c>
      <c r="C750" s="8"/>
      <c r="D750" s="8">
        <v>541.51</v>
      </c>
      <c r="E750" s="8"/>
      <c r="F750" s="8"/>
      <c r="G750" s="8"/>
      <c r="H750" s="8"/>
      <c r="I750" s="8">
        <v>443.17</v>
      </c>
      <c r="J750" s="8"/>
      <c r="K750" s="8"/>
      <c r="L750" s="8"/>
      <c r="M750" s="8"/>
      <c r="N750" s="8">
        <v>4.93</v>
      </c>
      <c r="O750" s="8"/>
      <c r="P750" s="8"/>
      <c r="Q750" s="11"/>
      <c r="R750" s="11"/>
      <c r="S750" s="8">
        <v>1.77</v>
      </c>
      <c r="T750" s="8"/>
      <c r="U750" s="8"/>
      <c r="V750" s="8"/>
      <c r="W750" s="8">
        <v>9.81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>
        <v>12.78</v>
      </c>
      <c r="AN750" s="8"/>
      <c r="AO750" s="8"/>
      <c r="AP750" s="11"/>
      <c r="AQ750" s="8"/>
      <c r="AR750" s="8"/>
      <c r="AS750" s="8">
        <v>16.41</v>
      </c>
      <c r="AT750" s="8">
        <v>460.7</v>
      </c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>
        <v>35.43</v>
      </c>
      <c r="BH750" s="9">
        <f t="shared" si="99"/>
        <v>984.68000000000006</v>
      </c>
      <c r="BI750" s="9">
        <f t="shared" si="100"/>
        <v>4.93</v>
      </c>
      <c r="BJ750" s="9">
        <f t="shared" si="101"/>
        <v>1.77</v>
      </c>
      <c r="BK750" s="9">
        <f t="shared" si="102"/>
        <v>9.81</v>
      </c>
      <c r="BL750" s="9">
        <f t="shared" si="103"/>
        <v>0</v>
      </c>
      <c r="BM750" s="9">
        <f t="shared" si="104"/>
        <v>29.189999999999998</v>
      </c>
      <c r="BN750" s="9">
        <f t="shared" si="105"/>
        <v>460.7</v>
      </c>
      <c r="BO750" s="9">
        <f t="shared" si="106"/>
        <v>0</v>
      </c>
      <c r="BP750" s="9">
        <f t="shared" si="107"/>
        <v>0</v>
      </c>
    </row>
    <row r="751" spans="1:68">
      <c r="A751" s="6">
        <v>44698</v>
      </c>
      <c r="B751" s="7">
        <v>3020</v>
      </c>
      <c r="C751" s="8"/>
      <c r="D751" s="8">
        <f>45.5+138.38</f>
        <v>183.88</v>
      </c>
      <c r="E751" s="8"/>
      <c r="F751" s="8"/>
      <c r="G751" s="8"/>
      <c r="H751" s="8"/>
      <c r="I751" s="8">
        <f>780.15+256.55</f>
        <v>1036.7</v>
      </c>
      <c r="J751" s="8"/>
      <c r="K751" s="8"/>
      <c r="L751" s="8"/>
      <c r="M751" s="8"/>
      <c r="N751" s="8">
        <f>5.52+1.81</f>
        <v>7.33</v>
      </c>
      <c r="O751" s="8"/>
      <c r="P751" s="8"/>
      <c r="Q751" s="11"/>
      <c r="R751" s="11"/>
      <c r="S751" s="8">
        <f>1.66+0.54</f>
        <v>2.2000000000000002</v>
      </c>
      <c r="T751" s="8"/>
      <c r="U751" s="8"/>
      <c r="V751" s="8"/>
      <c r="W751" s="8">
        <f>9.43+3.11</f>
        <v>12.54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>
        <f>9.18+3.03</f>
        <v>12.209999999999999</v>
      </c>
      <c r="AN751" s="8"/>
      <c r="AO751" s="8"/>
      <c r="AP751" s="11"/>
      <c r="AQ751" s="8"/>
      <c r="AR751" s="8"/>
      <c r="AS751" s="8">
        <f>7.6+23.07</f>
        <v>30.67</v>
      </c>
      <c r="AT751" s="8">
        <f>450.61+148.89</f>
        <v>599.5</v>
      </c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>
        <f>32.99+10.88</f>
        <v>43.870000000000005</v>
      </c>
      <c r="BH751" s="9">
        <f t="shared" si="99"/>
        <v>1220.58</v>
      </c>
      <c r="BI751" s="9">
        <f t="shared" si="100"/>
        <v>7.33</v>
      </c>
      <c r="BJ751" s="9">
        <f t="shared" si="101"/>
        <v>2.2000000000000002</v>
      </c>
      <c r="BK751" s="9">
        <f t="shared" si="102"/>
        <v>12.54</v>
      </c>
      <c r="BL751" s="9">
        <f t="shared" si="103"/>
        <v>0</v>
      </c>
      <c r="BM751" s="9">
        <f t="shared" si="104"/>
        <v>42.88</v>
      </c>
      <c r="BN751" s="9">
        <f t="shared" si="105"/>
        <v>599.5</v>
      </c>
      <c r="BO751" s="9">
        <f t="shared" si="106"/>
        <v>0</v>
      </c>
      <c r="BP751" s="9">
        <f t="shared" si="107"/>
        <v>0</v>
      </c>
    </row>
    <row r="752" spans="1:68">
      <c r="A752" s="6">
        <v>44699</v>
      </c>
      <c r="B752" s="7">
        <v>3310</v>
      </c>
      <c r="C752" s="8"/>
      <c r="D752" s="8">
        <v>845.03</v>
      </c>
      <c r="E752" s="8"/>
      <c r="F752" s="8"/>
      <c r="G752" s="8"/>
      <c r="H752" s="8"/>
      <c r="I752" s="8"/>
      <c r="J752" s="8"/>
      <c r="K752" s="8"/>
      <c r="L752" s="8"/>
      <c r="M752" s="8">
        <v>0.99</v>
      </c>
      <c r="N752" s="8"/>
      <c r="O752" s="8"/>
      <c r="P752" s="8"/>
      <c r="Q752" s="11"/>
      <c r="R752" s="11"/>
      <c r="S752" s="8">
        <v>6</v>
      </c>
      <c r="T752" s="8">
        <v>7.62</v>
      </c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>
        <v>8.51</v>
      </c>
      <c r="AH752" s="8"/>
      <c r="AI752" s="8"/>
      <c r="AJ752" s="8"/>
      <c r="AK752" s="8"/>
      <c r="AL752" s="8"/>
      <c r="AM752" s="8"/>
      <c r="AN752" s="8"/>
      <c r="AO752" s="8"/>
      <c r="AP752" s="11"/>
      <c r="AQ752" s="8"/>
      <c r="AR752" s="8"/>
      <c r="AS752" s="8"/>
      <c r="AT752" s="8"/>
      <c r="AU752" s="8">
        <v>365.13</v>
      </c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24.4</v>
      </c>
      <c r="BH752" s="9">
        <f t="shared" si="99"/>
        <v>845.03</v>
      </c>
      <c r="BI752" s="9">
        <f t="shared" si="100"/>
        <v>0.99</v>
      </c>
      <c r="BJ752" s="9">
        <f t="shared" si="101"/>
        <v>6</v>
      </c>
      <c r="BK752" s="9">
        <f t="shared" si="102"/>
        <v>7.62</v>
      </c>
      <c r="BL752" s="9">
        <f t="shared" si="103"/>
        <v>0</v>
      </c>
      <c r="BM752" s="9">
        <f t="shared" si="104"/>
        <v>8.51</v>
      </c>
      <c r="BN752" s="9">
        <f t="shared" si="105"/>
        <v>365.13</v>
      </c>
      <c r="BO752" s="9">
        <f t="shared" si="106"/>
        <v>0</v>
      </c>
      <c r="BP752" s="9">
        <f t="shared" si="107"/>
        <v>0</v>
      </c>
    </row>
    <row r="753" spans="1:68">
      <c r="A753" s="6">
        <v>44699</v>
      </c>
      <c r="B753" s="7">
        <v>3205</v>
      </c>
      <c r="C753" s="8">
        <v>653.70000000000005</v>
      </c>
      <c r="D753" s="8">
        <v>362.51</v>
      </c>
      <c r="E753" s="8">
        <v>435.93</v>
      </c>
      <c r="F753" s="8"/>
      <c r="G753" s="8"/>
      <c r="H753" s="8"/>
      <c r="I753" s="8"/>
      <c r="J753" s="8"/>
      <c r="K753" s="8"/>
      <c r="L753" s="8"/>
      <c r="M753" s="8"/>
      <c r="N753" s="8"/>
      <c r="O753" s="8">
        <v>5.82</v>
      </c>
      <c r="P753" s="8"/>
      <c r="Q753" s="11"/>
      <c r="R753" s="11"/>
      <c r="S753" s="8">
        <v>5.39</v>
      </c>
      <c r="T753" s="8"/>
      <c r="U753" s="8">
        <v>17.47</v>
      </c>
      <c r="V753" s="8"/>
      <c r="W753" s="8"/>
      <c r="X753" s="8"/>
      <c r="Y753" s="8"/>
      <c r="Z753" s="8">
        <v>145.57</v>
      </c>
      <c r="AA753" s="8"/>
      <c r="AB753" s="8">
        <v>14.88</v>
      </c>
      <c r="AC753" s="8"/>
      <c r="AD753" s="8"/>
      <c r="AE753" s="8">
        <v>7.44</v>
      </c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11"/>
      <c r="AQ753" s="8"/>
      <c r="AR753" s="8"/>
      <c r="AS753" s="8"/>
      <c r="AT753" s="8">
        <v>378.45</v>
      </c>
      <c r="AU753" s="8">
        <v>189.79</v>
      </c>
      <c r="AV753" s="8"/>
      <c r="AW753" s="8">
        <v>6.28</v>
      </c>
      <c r="AX753" s="8"/>
      <c r="AY753" s="8"/>
      <c r="AZ753" s="8"/>
      <c r="BA753" s="8"/>
      <c r="BB753" s="8"/>
      <c r="BC753" s="8"/>
      <c r="BD753" s="8"/>
      <c r="BE753" s="8"/>
      <c r="BF753" s="8"/>
      <c r="BG753" s="8">
        <v>34.14</v>
      </c>
      <c r="BH753" s="9">
        <f t="shared" si="99"/>
        <v>1452.14</v>
      </c>
      <c r="BI753" s="9">
        <f t="shared" si="100"/>
        <v>5.82</v>
      </c>
      <c r="BJ753" s="9">
        <f t="shared" si="101"/>
        <v>5.39</v>
      </c>
      <c r="BK753" s="9">
        <f t="shared" si="102"/>
        <v>17.47</v>
      </c>
      <c r="BL753" s="9">
        <f t="shared" si="103"/>
        <v>145.57</v>
      </c>
      <c r="BM753" s="9">
        <f t="shared" si="104"/>
        <v>22.32</v>
      </c>
      <c r="BN753" s="9">
        <f t="shared" si="105"/>
        <v>568.24</v>
      </c>
      <c r="BO753" s="9">
        <f t="shared" si="106"/>
        <v>6.28</v>
      </c>
      <c r="BP753" s="9">
        <f t="shared" si="107"/>
        <v>0</v>
      </c>
    </row>
    <row r="754" spans="1:68">
      <c r="A754" s="6">
        <v>44699</v>
      </c>
      <c r="B754" s="7">
        <v>3081</v>
      </c>
      <c r="C754" s="8"/>
      <c r="D754" s="8">
        <v>303.52</v>
      </c>
      <c r="E754" s="8"/>
      <c r="F754" s="8">
        <v>340.84</v>
      </c>
      <c r="G754" s="8"/>
      <c r="H754" s="8"/>
      <c r="I754" s="8">
        <v>1244.5999999999999</v>
      </c>
      <c r="J754" s="8"/>
      <c r="K754" s="8"/>
      <c r="L754" s="8"/>
      <c r="M754" s="8"/>
      <c r="N754" s="8">
        <v>13.89</v>
      </c>
      <c r="O754" s="8"/>
      <c r="P754" s="8">
        <v>7.71</v>
      </c>
      <c r="Q754" s="11"/>
      <c r="R754" s="11"/>
      <c r="S754" s="8">
        <v>1.32</v>
      </c>
      <c r="T754" s="8">
        <v>19.010000000000002</v>
      </c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11"/>
      <c r="AQ754" s="8">
        <v>18.63</v>
      </c>
      <c r="AR754" s="8">
        <v>66.62</v>
      </c>
      <c r="AS754" s="8"/>
      <c r="AT754" s="8">
        <v>594.91</v>
      </c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>
        <v>39.520000000000003</v>
      </c>
      <c r="BH754" s="9">
        <f t="shared" si="99"/>
        <v>1888.9599999999998</v>
      </c>
      <c r="BI754" s="9">
        <f t="shared" si="100"/>
        <v>21.6</v>
      </c>
      <c r="BJ754" s="9">
        <f t="shared" si="101"/>
        <v>1.32</v>
      </c>
      <c r="BK754" s="9">
        <f t="shared" si="102"/>
        <v>19.010000000000002</v>
      </c>
      <c r="BL754" s="9">
        <f t="shared" si="103"/>
        <v>0</v>
      </c>
      <c r="BM754" s="9">
        <f t="shared" si="104"/>
        <v>85.25</v>
      </c>
      <c r="BN754" s="9">
        <f t="shared" si="105"/>
        <v>594.91</v>
      </c>
      <c r="BO754" s="9">
        <f t="shared" si="106"/>
        <v>0</v>
      </c>
      <c r="BP754" s="9">
        <f t="shared" si="107"/>
        <v>0</v>
      </c>
    </row>
    <row r="755" spans="1:68">
      <c r="A755" s="6">
        <v>44699</v>
      </c>
      <c r="B755" s="7">
        <v>3029</v>
      </c>
      <c r="C755" s="8"/>
      <c r="D755" s="8">
        <v>243.06</v>
      </c>
      <c r="E755" s="8"/>
      <c r="F755" s="8">
        <v>171.37</v>
      </c>
      <c r="G755" s="8"/>
      <c r="H755" s="8"/>
      <c r="I755" s="8">
        <v>1015.37</v>
      </c>
      <c r="J755" s="8"/>
      <c r="K755" s="8"/>
      <c r="L755" s="8"/>
      <c r="M755" s="8"/>
      <c r="N755" s="8">
        <v>10.74</v>
      </c>
      <c r="O755" s="8"/>
      <c r="P755" s="8"/>
      <c r="Q755" s="11"/>
      <c r="R755" s="11"/>
      <c r="S755" s="8">
        <v>0.86</v>
      </c>
      <c r="T755" s="8"/>
      <c r="U755" s="8"/>
      <c r="V755" s="8"/>
      <c r="W755" s="8">
        <v>14.68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>
        <v>4.99</v>
      </c>
      <c r="AN755" s="8">
        <v>7.19</v>
      </c>
      <c r="AO755" s="8"/>
      <c r="AP755" s="11"/>
      <c r="AQ755" s="8"/>
      <c r="AR755" s="8">
        <v>42.98</v>
      </c>
      <c r="AS755" s="8"/>
      <c r="AT755" s="8">
        <v>542.94000000000005</v>
      </c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>
        <v>37.950000000000003</v>
      </c>
      <c r="BH755" s="9">
        <f t="shared" si="99"/>
        <v>1429.8</v>
      </c>
      <c r="BI755" s="9">
        <f t="shared" si="100"/>
        <v>10.74</v>
      </c>
      <c r="BJ755" s="9">
        <f t="shared" si="101"/>
        <v>0.86</v>
      </c>
      <c r="BK755" s="9">
        <f t="shared" si="102"/>
        <v>14.68</v>
      </c>
      <c r="BL755" s="9">
        <f t="shared" si="103"/>
        <v>0</v>
      </c>
      <c r="BM755" s="9">
        <f t="shared" si="104"/>
        <v>55.16</v>
      </c>
      <c r="BN755" s="9">
        <f t="shared" si="105"/>
        <v>542.94000000000005</v>
      </c>
      <c r="BO755" s="9">
        <f t="shared" si="106"/>
        <v>0</v>
      </c>
      <c r="BP755" s="9">
        <f t="shared" si="107"/>
        <v>0</v>
      </c>
    </row>
    <row r="756" spans="1:68">
      <c r="A756" s="6">
        <v>44699</v>
      </c>
      <c r="B756" s="7">
        <v>3031</v>
      </c>
      <c r="C756" s="8"/>
      <c r="D756" s="8"/>
      <c r="E756" s="8"/>
      <c r="F756" s="8"/>
      <c r="G756" s="8"/>
      <c r="H756" s="8"/>
      <c r="I756" s="8">
        <v>1148.8900000000001</v>
      </c>
      <c r="J756" s="8"/>
      <c r="K756" s="8"/>
      <c r="L756" s="8"/>
      <c r="M756" s="8"/>
      <c r="N756" s="8">
        <v>8.16</v>
      </c>
      <c r="O756" s="8"/>
      <c r="P756" s="8"/>
      <c r="Q756" s="11"/>
      <c r="R756" s="11"/>
      <c r="S756" s="8">
        <v>0.8</v>
      </c>
      <c r="T756" s="8">
        <v>11.51</v>
      </c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>
        <v>17.52</v>
      </c>
      <c r="AJ756" s="8"/>
      <c r="AK756" s="8"/>
      <c r="AL756" s="8"/>
      <c r="AM756" s="8"/>
      <c r="AN756" s="8">
        <v>11.73</v>
      </c>
      <c r="AO756" s="8"/>
      <c r="AP756" s="11"/>
      <c r="AQ756" s="8"/>
      <c r="AR756" s="8">
        <v>34.65</v>
      </c>
      <c r="AS756" s="8"/>
      <c r="AT756" s="8">
        <v>547.37</v>
      </c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>
        <v>37.119999999999997</v>
      </c>
      <c r="BH756" s="9">
        <f t="shared" si="99"/>
        <v>1148.8900000000001</v>
      </c>
      <c r="BI756" s="9">
        <f t="shared" si="100"/>
        <v>8.16</v>
      </c>
      <c r="BJ756" s="9">
        <f t="shared" si="101"/>
        <v>0.8</v>
      </c>
      <c r="BK756" s="9">
        <f t="shared" si="102"/>
        <v>11.51</v>
      </c>
      <c r="BL756" s="9">
        <f t="shared" si="103"/>
        <v>0</v>
      </c>
      <c r="BM756" s="9">
        <f t="shared" si="104"/>
        <v>63.9</v>
      </c>
      <c r="BN756" s="9">
        <f t="shared" si="105"/>
        <v>547.37</v>
      </c>
      <c r="BO756" s="9">
        <f t="shared" si="106"/>
        <v>0</v>
      </c>
      <c r="BP756" s="9">
        <f t="shared" si="107"/>
        <v>0</v>
      </c>
    </row>
    <row r="757" spans="1:68">
      <c r="A757" s="6">
        <v>44699</v>
      </c>
      <c r="B757" s="7">
        <v>3016</v>
      </c>
      <c r="C757" s="8"/>
      <c r="D757" s="8">
        <v>1581.82</v>
      </c>
      <c r="E757" s="8"/>
      <c r="F757" s="8"/>
      <c r="G757" s="8"/>
      <c r="H757" s="8"/>
      <c r="I757" s="8">
        <v>1459.92</v>
      </c>
      <c r="J757" s="8"/>
      <c r="K757" s="8"/>
      <c r="L757" s="8"/>
      <c r="M757" s="8"/>
      <c r="N757" s="8">
        <v>18.22</v>
      </c>
      <c r="O757" s="8"/>
      <c r="P757" s="8"/>
      <c r="Q757" s="11"/>
      <c r="R757" s="11"/>
      <c r="S757" s="8">
        <v>2.11</v>
      </c>
      <c r="T757" s="8">
        <v>30.4</v>
      </c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>
        <v>12.16</v>
      </c>
      <c r="AN757" s="8">
        <v>36.72</v>
      </c>
      <c r="AO757" s="8"/>
      <c r="AP757" s="11"/>
      <c r="AQ757" s="8"/>
      <c r="AR757" s="8">
        <v>75.84</v>
      </c>
      <c r="AS757" s="8"/>
      <c r="AT757" s="8">
        <v>1130.0999999999999</v>
      </c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>
        <v>82.75</v>
      </c>
      <c r="BH757" s="9">
        <f t="shared" si="99"/>
        <v>3041.74</v>
      </c>
      <c r="BI757" s="9">
        <f t="shared" si="100"/>
        <v>18.22</v>
      </c>
      <c r="BJ757" s="9">
        <f t="shared" si="101"/>
        <v>2.11</v>
      </c>
      <c r="BK757" s="9">
        <f t="shared" si="102"/>
        <v>30.4</v>
      </c>
      <c r="BL757" s="9">
        <f t="shared" si="103"/>
        <v>0</v>
      </c>
      <c r="BM757" s="9">
        <f t="shared" si="104"/>
        <v>124.72</v>
      </c>
      <c r="BN757" s="9">
        <f t="shared" si="105"/>
        <v>1130.0999999999999</v>
      </c>
      <c r="BO757" s="9">
        <f t="shared" si="106"/>
        <v>0</v>
      </c>
      <c r="BP757" s="9">
        <f t="shared" si="107"/>
        <v>0</v>
      </c>
    </row>
    <row r="758" spans="1:68">
      <c r="A758" s="6">
        <v>44699</v>
      </c>
      <c r="B758" s="7">
        <v>3079</v>
      </c>
      <c r="C758" s="8"/>
      <c r="D758" s="8"/>
      <c r="E758" s="8"/>
      <c r="F758" s="8">
        <v>330.69</v>
      </c>
      <c r="G758" s="8"/>
      <c r="H758" s="8"/>
      <c r="I758" s="8">
        <v>2677.14</v>
      </c>
      <c r="J758" s="8"/>
      <c r="K758" s="8"/>
      <c r="L758" s="8"/>
      <c r="M758" s="8"/>
      <c r="N758" s="8">
        <v>22.53</v>
      </c>
      <c r="O758" s="8"/>
      <c r="P758" s="8"/>
      <c r="Q758" s="11"/>
      <c r="R758" s="11"/>
      <c r="S758" s="8">
        <v>1.21</v>
      </c>
      <c r="T758" s="8">
        <v>30.1</v>
      </c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>
        <v>12.02</v>
      </c>
      <c r="AN758" s="8">
        <v>30.48</v>
      </c>
      <c r="AO758" s="8"/>
      <c r="AP758" s="11"/>
      <c r="AQ758" s="8"/>
      <c r="AR758" s="8">
        <v>75.03</v>
      </c>
      <c r="AS758" s="8"/>
      <c r="AT758" s="8">
        <v>1142.8599999999999</v>
      </c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>
        <v>82.61</v>
      </c>
      <c r="BH758" s="9">
        <f t="shared" si="99"/>
        <v>3007.83</v>
      </c>
      <c r="BI758" s="9">
        <f t="shared" si="100"/>
        <v>22.53</v>
      </c>
      <c r="BJ758" s="9">
        <f t="shared" si="101"/>
        <v>1.21</v>
      </c>
      <c r="BK758" s="9">
        <f t="shared" si="102"/>
        <v>30.1</v>
      </c>
      <c r="BL758" s="9">
        <f t="shared" si="103"/>
        <v>0</v>
      </c>
      <c r="BM758" s="9">
        <f t="shared" si="104"/>
        <v>117.53</v>
      </c>
      <c r="BN758" s="9">
        <f t="shared" si="105"/>
        <v>1142.8599999999999</v>
      </c>
      <c r="BO758" s="9">
        <f t="shared" si="106"/>
        <v>0</v>
      </c>
      <c r="BP758" s="9">
        <f t="shared" si="107"/>
        <v>0</v>
      </c>
    </row>
    <row r="759" spans="1:68">
      <c r="A759" s="6">
        <v>44699</v>
      </c>
      <c r="B759" s="7">
        <v>3135</v>
      </c>
      <c r="C759" s="8">
        <v>1044.99</v>
      </c>
      <c r="D759" s="8">
        <v>145.62</v>
      </c>
      <c r="E759" s="8"/>
      <c r="F759" s="8"/>
      <c r="G759" s="8"/>
      <c r="H759" s="8">
        <v>494.38</v>
      </c>
      <c r="I759" s="8"/>
      <c r="J759" s="8"/>
      <c r="K759" s="8"/>
      <c r="L759" s="8"/>
      <c r="M759" s="8">
        <v>3.15</v>
      </c>
      <c r="N759" s="8"/>
      <c r="O759" s="8"/>
      <c r="P759" s="8"/>
      <c r="Q759" s="11"/>
      <c r="R759" s="11"/>
      <c r="S759" s="8">
        <v>6.76</v>
      </c>
      <c r="T759" s="8">
        <v>10.31</v>
      </c>
      <c r="U759" s="8">
        <v>8.83</v>
      </c>
      <c r="V759" s="8"/>
      <c r="W759" s="8"/>
      <c r="X759" s="8"/>
      <c r="Y759" s="8"/>
      <c r="Z759" s="8"/>
      <c r="AA759" s="8"/>
      <c r="AB759" s="8"/>
      <c r="AC759" s="8">
        <v>5.88</v>
      </c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11"/>
      <c r="AQ759" s="8"/>
      <c r="AR759" s="8"/>
      <c r="AS759" s="8"/>
      <c r="AT759" s="8">
        <v>1036.83</v>
      </c>
      <c r="AU759" s="8"/>
      <c r="AV759" s="8"/>
      <c r="AW759" s="8"/>
      <c r="AX759" s="8"/>
      <c r="AY759" s="8"/>
      <c r="AZ759" s="8"/>
      <c r="BA759" s="8">
        <v>33.409999999999997</v>
      </c>
      <c r="BB759" s="8"/>
      <c r="BC759" s="8"/>
      <c r="BD759" s="8"/>
      <c r="BE759" s="8"/>
      <c r="BF759" s="8">
        <v>66.11</v>
      </c>
      <c r="BG759" s="8">
        <v>77.900000000000006</v>
      </c>
      <c r="BH759" s="9">
        <f t="shared" si="99"/>
        <v>1684.9900000000002</v>
      </c>
      <c r="BI759" s="9">
        <f t="shared" si="100"/>
        <v>3.15</v>
      </c>
      <c r="BJ759" s="9">
        <f t="shared" si="101"/>
        <v>6.76</v>
      </c>
      <c r="BK759" s="9">
        <f t="shared" si="102"/>
        <v>19.14</v>
      </c>
      <c r="BL759" s="9">
        <f t="shared" si="103"/>
        <v>0</v>
      </c>
      <c r="BM759" s="9">
        <f t="shared" si="104"/>
        <v>5.88</v>
      </c>
      <c r="BN759" s="9">
        <f t="shared" si="105"/>
        <v>1036.83</v>
      </c>
      <c r="BO759" s="9">
        <f t="shared" si="106"/>
        <v>33.409999999999997</v>
      </c>
      <c r="BP759" s="9">
        <f t="shared" si="107"/>
        <v>66.11</v>
      </c>
    </row>
    <row r="760" spans="1:68">
      <c r="A760" s="6">
        <v>44699</v>
      </c>
      <c r="B760" s="7">
        <v>3127</v>
      </c>
      <c r="C760" s="8">
        <v>1062.97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>
        <v>3.18</v>
      </c>
      <c r="O760" s="8"/>
      <c r="P760" s="8"/>
      <c r="Q760" s="11"/>
      <c r="R760" s="11"/>
      <c r="S760" s="8">
        <v>5.22</v>
      </c>
      <c r="T760" s="8">
        <v>10.62</v>
      </c>
      <c r="U760" s="8"/>
      <c r="V760" s="8"/>
      <c r="W760" s="8"/>
      <c r="X760" s="8"/>
      <c r="Y760" s="8"/>
      <c r="Z760" s="8">
        <v>159.63</v>
      </c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11"/>
      <c r="AQ760" s="8"/>
      <c r="AR760" s="8"/>
      <c r="AS760" s="8"/>
      <c r="AT760" s="8">
        <v>522.91999999999996</v>
      </c>
      <c r="AU760" s="8"/>
      <c r="AV760" s="8">
        <v>21.27</v>
      </c>
      <c r="AW760" s="8"/>
      <c r="AX760" s="8"/>
      <c r="AY760" s="8"/>
      <c r="AZ760" s="8"/>
      <c r="BA760" s="8"/>
      <c r="BB760" s="8"/>
      <c r="BC760" s="8"/>
      <c r="BD760" s="8"/>
      <c r="BE760" s="8"/>
      <c r="BF760" s="8">
        <v>53.13</v>
      </c>
      <c r="BG760" s="8">
        <v>37.24</v>
      </c>
      <c r="BH760" s="9">
        <f t="shared" si="99"/>
        <v>1062.97</v>
      </c>
      <c r="BI760" s="9">
        <f t="shared" si="100"/>
        <v>3.18</v>
      </c>
      <c r="BJ760" s="9">
        <f t="shared" si="101"/>
        <v>5.22</v>
      </c>
      <c r="BK760" s="9">
        <f t="shared" si="102"/>
        <v>10.62</v>
      </c>
      <c r="BL760" s="9">
        <f t="shared" si="103"/>
        <v>159.63</v>
      </c>
      <c r="BM760" s="9">
        <f t="shared" si="104"/>
        <v>0</v>
      </c>
      <c r="BN760" s="9">
        <f t="shared" si="105"/>
        <v>522.91999999999996</v>
      </c>
      <c r="BO760" s="9">
        <f t="shared" si="106"/>
        <v>21.27</v>
      </c>
      <c r="BP760" s="9">
        <f t="shared" si="107"/>
        <v>53.13</v>
      </c>
    </row>
    <row r="761" spans="1:68">
      <c r="A761" s="6">
        <v>44699</v>
      </c>
      <c r="B761" s="7">
        <v>3106</v>
      </c>
      <c r="C761" s="8">
        <v>4148.8900000000003</v>
      </c>
      <c r="D761" s="8"/>
      <c r="E761" s="8"/>
      <c r="F761" s="8"/>
      <c r="G761" s="8"/>
      <c r="H761" s="8"/>
      <c r="I761" s="8"/>
      <c r="J761" s="8"/>
      <c r="K761" s="8"/>
      <c r="L761" s="8"/>
      <c r="M761" s="8">
        <v>11.21</v>
      </c>
      <c r="N761" s="8"/>
      <c r="O761" s="8"/>
      <c r="P761" s="8"/>
      <c r="Q761" s="11"/>
      <c r="R761" s="11"/>
      <c r="S761" s="8">
        <v>12.49</v>
      </c>
      <c r="T761" s="8">
        <v>52.69</v>
      </c>
      <c r="U761" s="8"/>
      <c r="V761" s="8"/>
      <c r="W761" s="8"/>
      <c r="X761" s="8"/>
      <c r="Y761" s="8"/>
      <c r="Z761" s="8"/>
      <c r="AA761" s="8"/>
      <c r="AB761" s="8"/>
      <c r="AC761" s="8">
        <v>16.62</v>
      </c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11"/>
      <c r="AQ761" s="8"/>
      <c r="AR761" s="8"/>
      <c r="AS761" s="8"/>
      <c r="AT761" s="8">
        <v>2380.04</v>
      </c>
      <c r="AU761" s="8"/>
      <c r="AV761" s="8"/>
      <c r="AW761" s="8"/>
      <c r="AX761" s="8">
        <v>5.2</v>
      </c>
      <c r="AY761" s="8"/>
      <c r="AZ761" s="8"/>
      <c r="BA761" s="8"/>
      <c r="BB761" s="8"/>
      <c r="BC761" s="8"/>
      <c r="BD761" s="8"/>
      <c r="BE761" s="8"/>
      <c r="BF761" s="8"/>
      <c r="BG761" s="8">
        <v>178.74</v>
      </c>
      <c r="BH761" s="9">
        <f t="shared" si="99"/>
        <v>4148.8900000000003</v>
      </c>
      <c r="BI761" s="9">
        <f t="shared" si="100"/>
        <v>11.21</v>
      </c>
      <c r="BJ761" s="9">
        <f t="shared" si="101"/>
        <v>12.49</v>
      </c>
      <c r="BK761" s="9">
        <f t="shared" si="102"/>
        <v>52.69</v>
      </c>
      <c r="BL761" s="9">
        <f t="shared" si="103"/>
        <v>0</v>
      </c>
      <c r="BM761" s="9">
        <f t="shared" si="104"/>
        <v>16.62</v>
      </c>
      <c r="BN761" s="9">
        <f t="shared" si="105"/>
        <v>2380.04</v>
      </c>
      <c r="BO761" s="9">
        <f t="shared" si="106"/>
        <v>5.2</v>
      </c>
      <c r="BP761" s="9">
        <f t="shared" si="107"/>
        <v>0</v>
      </c>
    </row>
    <row r="762" spans="1:68">
      <c r="A762" s="6">
        <v>44699</v>
      </c>
      <c r="B762" s="7">
        <v>3134</v>
      </c>
      <c r="C762" s="8">
        <v>1022.52</v>
      </c>
      <c r="D762" s="8">
        <v>143.06</v>
      </c>
      <c r="E762" s="8"/>
      <c r="F762" s="8"/>
      <c r="G762" s="8"/>
      <c r="H762" s="8">
        <v>483.9</v>
      </c>
      <c r="I762" s="8"/>
      <c r="J762" s="8"/>
      <c r="K762" s="8"/>
      <c r="L762" s="8"/>
      <c r="M762" s="8">
        <v>3.02</v>
      </c>
      <c r="N762" s="8"/>
      <c r="O762" s="8"/>
      <c r="P762" s="8"/>
      <c r="Q762" s="11"/>
      <c r="R762" s="11"/>
      <c r="S762" s="8">
        <v>6.6</v>
      </c>
      <c r="T762" s="8">
        <v>10.050000000000001</v>
      </c>
      <c r="U762" s="8">
        <v>8.61</v>
      </c>
      <c r="V762" s="8"/>
      <c r="W762" s="8"/>
      <c r="X762" s="8"/>
      <c r="Y762" s="8"/>
      <c r="Z762" s="8"/>
      <c r="AA762" s="8"/>
      <c r="AB762" s="8"/>
      <c r="AC762" s="8">
        <v>5.73</v>
      </c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11"/>
      <c r="AQ762" s="8"/>
      <c r="AR762" s="8"/>
      <c r="AS762" s="8"/>
      <c r="AT762" s="8">
        <v>1011.9</v>
      </c>
      <c r="AU762" s="8"/>
      <c r="AV762" s="8"/>
      <c r="AW762" s="8"/>
      <c r="AX762" s="8"/>
      <c r="AY762" s="8">
        <v>14.5</v>
      </c>
      <c r="AZ762" s="8"/>
      <c r="BA762" s="8"/>
      <c r="BB762" s="8"/>
      <c r="BC762" s="8"/>
      <c r="BD762" s="8"/>
      <c r="BE762" s="8"/>
      <c r="BF762" s="8">
        <v>64.47</v>
      </c>
      <c r="BG762" s="8">
        <v>75.930000000000007</v>
      </c>
      <c r="BH762" s="9">
        <f t="shared" si="99"/>
        <v>1649.48</v>
      </c>
      <c r="BI762" s="9">
        <f t="shared" si="100"/>
        <v>3.02</v>
      </c>
      <c r="BJ762" s="9">
        <f t="shared" si="101"/>
        <v>6.6</v>
      </c>
      <c r="BK762" s="9">
        <f t="shared" si="102"/>
        <v>18.66</v>
      </c>
      <c r="BL762" s="9">
        <f t="shared" si="103"/>
        <v>0</v>
      </c>
      <c r="BM762" s="9">
        <f t="shared" si="104"/>
        <v>5.73</v>
      </c>
      <c r="BN762" s="9">
        <f t="shared" si="105"/>
        <v>1011.9</v>
      </c>
      <c r="BO762" s="9">
        <f t="shared" si="106"/>
        <v>14.5</v>
      </c>
      <c r="BP762" s="9">
        <f t="shared" si="107"/>
        <v>64.47</v>
      </c>
    </row>
    <row r="763" spans="1:68">
      <c r="A763" s="6">
        <v>44699</v>
      </c>
      <c r="B763" s="7">
        <v>3408</v>
      </c>
      <c r="C763" s="8">
        <v>1377.85</v>
      </c>
      <c r="D763" s="8"/>
      <c r="E763" s="8"/>
      <c r="F763" s="8"/>
      <c r="G763" s="8"/>
      <c r="H763" s="8"/>
      <c r="I763" s="8"/>
      <c r="J763" s="8"/>
      <c r="K763" s="8"/>
      <c r="L763" s="8"/>
      <c r="M763" s="8">
        <v>3.38</v>
      </c>
      <c r="N763" s="8"/>
      <c r="O763" s="8"/>
      <c r="P763" s="8"/>
      <c r="Q763" s="11"/>
      <c r="R763" s="11"/>
      <c r="S763" s="8">
        <v>3.48</v>
      </c>
      <c r="T763" s="8">
        <v>13.93</v>
      </c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11"/>
      <c r="AQ763" s="8"/>
      <c r="AR763" s="8"/>
      <c r="AS763" s="8"/>
      <c r="AT763" s="8">
        <v>710.48</v>
      </c>
      <c r="AU763" s="8"/>
      <c r="AV763" s="8"/>
      <c r="AW763" s="8"/>
      <c r="AX763" s="8"/>
      <c r="AY763" s="8"/>
      <c r="AZ763" s="8"/>
      <c r="BA763" s="8">
        <v>6.19</v>
      </c>
      <c r="BB763" s="8"/>
      <c r="BC763" s="8"/>
      <c r="BD763" s="8"/>
      <c r="BE763" s="8"/>
      <c r="BF763" s="8"/>
      <c r="BG763" s="8">
        <v>48.83</v>
      </c>
      <c r="BH763" s="9">
        <f t="shared" si="99"/>
        <v>1377.85</v>
      </c>
      <c r="BI763" s="9">
        <f t="shared" si="100"/>
        <v>3.38</v>
      </c>
      <c r="BJ763" s="9">
        <f t="shared" si="101"/>
        <v>3.48</v>
      </c>
      <c r="BK763" s="9">
        <f t="shared" si="102"/>
        <v>13.93</v>
      </c>
      <c r="BL763" s="9">
        <f t="shared" si="103"/>
        <v>0</v>
      </c>
      <c r="BM763" s="9">
        <f t="shared" si="104"/>
        <v>0</v>
      </c>
      <c r="BN763" s="9">
        <f t="shared" si="105"/>
        <v>710.48</v>
      </c>
      <c r="BO763" s="9">
        <f t="shared" si="106"/>
        <v>6.19</v>
      </c>
      <c r="BP763" s="9">
        <f t="shared" si="107"/>
        <v>0</v>
      </c>
    </row>
    <row r="764" spans="1:68">
      <c r="A764" s="6">
        <v>44700</v>
      </c>
      <c r="B764" s="7">
        <v>3200</v>
      </c>
      <c r="C764" s="8">
        <v>2247.77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>
        <v>5.64</v>
      </c>
      <c r="P764" s="8"/>
      <c r="Q764" s="11"/>
      <c r="R764" s="11"/>
      <c r="S764" s="8">
        <v>8.76</v>
      </c>
      <c r="T764" s="8"/>
      <c r="U764" s="8">
        <v>33.75</v>
      </c>
      <c r="V764" s="8"/>
      <c r="W764" s="8"/>
      <c r="X764" s="8"/>
      <c r="Y764" s="8"/>
      <c r="Z764" s="8">
        <v>472.23</v>
      </c>
      <c r="AA764" s="8"/>
      <c r="AB764" s="8"/>
      <c r="AC764" s="8"/>
      <c r="AD764" s="8"/>
      <c r="AE764" s="8">
        <v>34.369999999999997</v>
      </c>
      <c r="AF764" s="8">
        <v>112.66</v>
      </c>
      <c r="AG764" s="8"/>
      <c r="AH764" s="8"/>
      <c r="AI764" s="8"/>
      <c r="AJ764" s="8"/>
      <c r="AK764" s="8"/>
      <c r="AL764" s="8"/>
      <c r="AM764" s="8"/>
      <c r="AN764" s="8"/>
      <c r="AO764" s="8"/>
      <c r="AP764" s="11"/>
      <c r="AQ764" s="8"/>
      <c r="AR764" s="8"/>
      <c r="AS764" s="8"/>
      <c r="AT764" s="8">
        <v>1538.42</v>
      </c>
      <c r="AU764" s="8"/>
      <c r="AV764" s="8"/>
      <c r="AW764" s="8">
        <v>6.43</v>
      </c>
      <c r="AX764" s="8"/>
      <c r="AY764" s="8"/>
      <c r="AZ764" s="8"/>
      <c r="BA764" s="8"/>
      <c r="BB764" s="8"/>
      <c r="BC764" s="8"/>
      <c r="BD764" s="8"/>
      <c r="BE764" s="8"/>
      <c r="BF764" s="8">
        <v>107.84</v>
      </c>
      <c r="BG764" s="8">
        <v>111.24</v>
      </c>
      <c r="BH764" s="9">
        <f t="shared" si="99"/>
        <v>2247.77</v>
      </c>
      <c r="BI764" s="9">
        <f t="shared" si="100"/>
        <v>5.64</v>
      </c>
      <c r="BJ764" s="9">
        <f t="shared" si="101"/>
        <v>8.76</v>
      </c>
      <c r="BK764" s="9">
        <f t="shared" si="102"/>
        <v>33.75</v>
      </c>
      <c r="BL764" s="9">
        <f t="shared" si="103"/>
        <v>472.23</v>
      </c>
      <c r="BM764" s="9">
        <f t="shared" si="104"/>
        <v>147.03</v>
      </c>
      <c r="BN764" s="9">
        <f t="shared" si="105"/>
        <v>1538.42</v>
      </c>
      <c r="BO764" s="9">
        <f t="shared" si="106"/>
        <v>6.43</v>
      </c>
      <c r="BP764" s="9">
        <f t="shared" si="107"/>
        <v>107.84</v>
      </c>
    </row>
    <row r="765" spans="1:68">
      <c r="A765" s="6">
        <v>44700</v>
      </c>
      <c r="B765" s="7">
        <v>3405</v>
      </c>
      <c r="C765" s="8">
        <v>3125.34</v>
      </c>
      <c r="D765" s="8">
        <v>780.51</v>
      </c>
      <c r="E765" s="8"/>
      <c r="F765" s="8"/>
      <c r="G765" s="8"/>
      <c r="H765" s="8"/>
      <c r="I765" s="8"/>
      <c r="J765" s="8"/>
      <c r="K765" s="8"/>
      <c r="L765" s="8"/>
      <c r="M765" s="8">
        <v>10.119999999999999</v>
      </c>
      <c r="N765" s="8"/>
      <c r="O765" s="8"/>
      <c r="P765" s="8"/>
      <c r="Q765" s="11"/>
      <c r="R765" s="11"/>
      <c r="S765" s="8">
        <v>8.98</v>
      </c>
      <c r="T765" s="8"/>
      <c r="U765" s="8"/>
      <c r="V765" s="8"/>
      <c r="W765" s="8"/>
      <c r="X765" s="8">
        <v>47.36</v>
      </c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11"/>
      <c r="AQ765" s="8"/>
      <c r="AR765" s="8"/>
      <c r="AS765" s="8"/>
      <c r="AT765" s="8">
        <v>1964.25</v>
      </c>
      <c r="AU765" s="8"/>
      <c r="AV765" s="8"/>
      <c r="AW765" s="8"/>
      <c r="AX765" s="8"/>
      <c r="AY765" s="8"/>
      <c r="AZ765" s="8"/>
      <c r="BA765" s="8">
        <v>17.59</v>
      </c>
      <c r="BB765" s="8"/>
      <c r="BC765" s="8"/>
      <c r="BD765" s="8"/>
      <c r="BE765" s="8"/>
      <c r="BF765" s="8"/>
      <c r="BG765" s="8">
        <v>133.28</v>
      </c>
      <c r="BH765" s="9">
        <f t="shared" si="99"/>
        <v>3905.8500000000004</v>
      </c>
      <c r="BI765" s="9">
        <f t="shared" si="100"/>
        <v>10.119999999999999</v>
      </c>
      <c r="BJ765" s="9">
        <f t="shared" si="101"/>
        <v>8.98</v>
      </c>
      <c r="BK765" s="9">
        <f t="shared" si="102"/>
        <v>47.36</v>
      </c>
      <c r="BL765" s="9">
        <f t="shared" si="103"/>
        <v>0</v>
      </c>
      <c r="BM765" s="9">
        <f t="shared" si="104"/>
        <v>0</v>
      </c>
      <c r="BN765" s="9">
        <f t="shared" si="105"/>
        <v>1964.25</v>
      </c>
      <c r="BO765" s="9">
        <f t="shared" si="106"/>
        <v>17.59</v>
      </c>
      <c r="BP765" s="9">
        <f t="shared" si="107"/>
        <v>0</v>
      </c>
    </row>
    <row r="766" spans="1:68">
      <c r="A766" s="6">
        <v>44700</v>
      </c>
      <c r="B766" s="7">
        <v>3010</v>
      </c>
      <c r="C766" s="8">
        <v>699.71</v>
      </c>
      <c r="D766" s="8">
        <v>467.68</v>
      </c>
      <c r="E766" s="8"/>
      <c r="F766" s="8"/>
      <c r="G766" s="8"/>
      <c r="H766" s="8"/>
      <c r="I766" s="8"/>
      <c r="J766" s="8"/>
      <c r="K766" s="8"/>
      <c r="L766" s="8"/>
      <c r="M766" s="8"/>
      <c r="N766" s="8">
        <v>2.34</v>
      </c>
      <c r="O766" s="8"/>
      <c r="P766" s="8"/>
      <c r="Q766" s="11"/>
      <c r="R766" s="11"/>
      <c r="S766" s="8">
        <v>3.16</v>
      </c>
      <c r="T766" s="8">
        <v>11.71</v>
      </c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11"/>
      <c r="AQ766" s="8"/>
      <c r="AR766" s="8"/>
      <c r="AS766" s="8"/>
      <c r="AT766" s="8">
        <v>391.9</v>
      </c>
      <c r="AU766" s="8"/>
      <c r="AV766" s="8"/>
      <c r="AW766" s="8">
        <v>12.98</v>
      </c>
      <c r="AX766" s="8"/>
      <c r="AY766" s="8"/>
      <c r="AZ766" s="8"/>
      <c r="BA766" s="8"/>
      <c r="BB766" s="8"/>
      <c r="BC766" s="8"/>
      <c r="BD766" s="8"/>
      <c r="BE766" s="8"/>
      <c r="BF766" s="8"/>
      <c r="BG766" s="8">
        <v>25.77</v>
      </c>
      <c r="BH766" s="9">
        <f t="shared" si="99"/>
        <v>1167.3900000000001</v>
      </c>
      <c r="BI766" s="9">
        <f t="shared" si="100"/>
        <v>2.34</v>
      </c>
      <c r="BJ766" s="9">
        <f t="shared" si="101"/>
        <v>3.16</v>
      </c>
      <c r="BK766" s="9">
        <f t="shared" si="102"/>
        <v>11.71</v>
      </c>
      <c r="BL766" s="9">
        <f t="shared" si="103"/>
        <v>0</v>
      </c>
      <c r="BM766" s="9">
        <f t="shared" si="104"/>
        <v>0</v>
      </c>
      <c r="BN766" s="9">
        <f t="shared" si="105"/>
        <v>391.9</v>
      </c>
      <c r="BO766" s="9">
        <f t="shared" si="106"/>
        <v>12.98</v>
      </c>
      <c r="BP766" s="9">
        <f t="shared" si="107"/>
        <v>0</v>
      </c>
    </row>
    <row r="767" spans="1:68">
      <c r="A767" s="6">
        <v>44700</v>
      </c>
      <c r="B767" s="7">
        <v>3106</v>
      </c>
      <c r="C767" s="8">
        <v>4095.41</v>
      </c>
      <c r="D767" s="8"/>
      <c r="E767" s="8"/>
      <c r="F767" s="8"/>
      <c r="G767" s="8"/>
      <c r="H767" s="8"/>
      <c r="I767" s="8"/>
      <c r="J767" s="8"/>
      <c r="K767" s="8"/>
      <c r="L767" s="8"/>
      <c r="M767" s="8">
        <v>11.09</v>
      </c>
      <c r="N767" s="8"/>
      <c r="O767" s="8"/>
      <c r="P767" s="8"/>
      <c r="Q767" s="11"/>
      <c r="R767" s="11"/>
      <c r="S767" s="8">
        <v>12.32</v>
      </c>
      <c r="T767" s="8">
        <v>51.99</v>
      </c>
      <c r="U767" s="8"/>
      <c r="V767" s="8"/>
      <c r="W767" s="8"/>
      <c r="X767" s="8"/>
      <c r="Y767" s="8"/>
      <c r="Z767" s="8"/>
      <c r="AA767" s="8"/>
      <c r="AB767" s="8"/>
      <c r="AC767" s="8">
        <v>16.39</v>
      </c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11"/>
      <c r="AQ767" s="8"/>
      <c r="AR767" s="8"/>
      <c r="AS767" s="8"/>
      <c r="AT767" s="8">
        <v>2341.4</v>
      </c>
      <c r="AU767" s="8"/>
      <c r="AV767" s="8"/>
      <c r="AW767" s="8"/>
      <c r="AX767" s="8">
        <v>5.12</v>
      </c>
      <c r="AY767" s="8"/>
      <c r="AZ767" s="8"/>
      <c r="BA767" s="8"/>
      <c r="BB767" s="8"/>
      <c r="BC767" s="8"/>
      <c r="BD767" s="8"/>
      <c r="BE767" s="8"/>
      <c r="BF767" s="8"/>
      <c r="BG767" s="8">
        <v>176.62</v>
      </c>
      <c r="BH767" s="9">
        <f t="shared" si="99"/>
        <v>4095.41</v>
      </c>
      <c r="BI767" s="9">
        <f t="shared" si="100"/>
        <v>11.09</v>
      </c>
      <c r="BJ767" s="9">
        <f t="shared" si="101"/>
        <v>12.32</v>
      </c>
      <c r="BK767" s="9">
        <f t="shared" si="102"/>
        <v>51.99</v>
      </c>
      <c r="BL767" s="9">
        <f t="shared" si="103"/>
        <v>0</v>
      </c>
      <c r="BM767" s="9">
        <f t="shared" si="104"/>
        <v>16.39</v>
      </c>
      <c r="BN767" s="9">
        <f t="shared" si="105"/>
        <v>2341.4</v>
      </c>
      <c r="BO767" s="9">
        <f t="shared" si="106"/>
        <v>5.12</v>
      </c>
      <c r="BP767" s="9">
        <f t="shared" si="107"/>
        <v>0</v>
      </c>
    </row>
    <row r="768" spans="1:68">
      <c r="A768" s="6">
        <v>44700</v>
      </c>
      <c r="B768" s="7">
        <v>3141</v>
      </c>
      <c r="C768" s="8">
        <v>2418</v>
      </c>
      <c r="D768" s="8">
        <v>426.05</v>
      </c>
      <c r="E768" s="8"/>
      <c r="F768" s="8"/>
      <c r="G768" s="8"/>
      <c r="H768" s="8"/>
      <c r="I768" s="8"/>
      <c r="J768" s="8"/>
      <c r="K768" s="8"/>
      <c r="L768" s="8"/>
      <c r="M768" s="8">
        <v>6.9</v>
      </c>
      <c r="N768" s="8"/>
      <c r="O768" s="8"/>
      <c r="P768" s="8"/>
      <c r="Q768" s="11"/>
      <c r="R768" s="11"/>
      <c r="S768" s="8">
        <v>13.4</v>
      </c>
      <c r="T768" s="8"/>
      <c r="U768" s="8"/>
      <c r="V768" s="8"/>
      <c r="W768" s="8"/>
      <c r="X768" s="8"/>
      <c r="Y768" s="8"/>
      <c r="Z768" s="8"/>
      <c r="AA768" s="8"/>
      <c r="AB768" s="8"/>
      <c r="AC768" s="8">
        <v>11.41</v>
      </c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11"/>
      <c r="AQ768" s="8"/>
      <c r="AR768" s="8"/>
      <c r="AS768" s="8"/>
      <c r="AT768" s="8">
        <v>1884.35</v>
      </c>
      <c r="AU768" s="8"/>
      <c r="AV768" s="8"/>
      <c r="AW768" s="8"/>
      <c r="AX768" s="8"/>
      <c r="AY768" s="8"/>
      <c r="AZ768" s="8"/>
      <c r="BA768" s="8">
        <v>65.260000000000005</v>
      </c>
      <c r="BB768" s="8"/>
      <c r="BC768" s="8"/>
      <c r="BD768" s="8"/>
      <c r="BE768" s="8"/>
      <c r="BF768" s="8">
        <v>199.29</v>
      </c>
      <c r="BG768" s="8">
        <v>148.37</v>
      </c>
      <c r="BH768" s="9">
        <f t="shared" si="99"/>
        <v>2844.05</v>
      </c>
      <c r="BI768" s="9">
        <f t="shared" si="100"/>
        <v>6.9</v>
      </c>
      <c r="BJ768" s="9">
        <f t="shared" si="101"/>
        <v>13.4</v>
      </c>
      <c r="BK768" s="9">
        <f t="shared" si="102"/>
        <v>0</v>
      </c>
      <c r="BL768" s="9">
        <f t="shared" si="103"/>
        <v>0</v>
      </c>
      <c r="BM768" s="9">
        <f t="shared" si="104"/>
        <v>11.41</v>
      </c>
      <c r="BN768" s="9">
        <f t="shared" si="105"/>
        <v>1884.35</v>
      </c>
      <c r="BO768" s="9">
        <f t="shared" si="106"/>
        <v>65.260000000000005</v>
      </c>
      <c r="BP768" s="9">
        <f t="shared" si="107"/>
        <v>199.29</v>
      </c>
    </row>
    <row r="769" spans="1:68">
      <c r="A769" s="6">
        <v>44700</v>
      </c>
      <c r="B769" s="7">
        <v>3204</v>
      </c>
      <c r="C769" s="8"/>
      <c r="D769" s="8">
        <v>1801.4</v>
      </c>
      <c r="E769" s="8">
        <v>762.78</v>
      </c>
      <c r="F769" s="8"/>
      <c r="G769" s="8"/>
      <c r="H769" s="8"/>
      <c r="I769" s="8"/>
      <c r="J769" s="8"/>
      <c r="K769" s="8"/>
      <c r="L769" s="8"/>
      <c r="M769" s="8"/>
      <c r="N769" s="8"/>
      <c r="O769" s="8">
        <v>12.84</v>
      </c>
      <c r="P769" s="8"/>
      <c r="Q769" s="11"/>
      <c r="R769" s="11"/>
      <c r="S769" s="8">
        <v>8.75</v>
      </c>
      <c r="T769" s="8">
        <v>15.44</v>
      </c>
      <c r="U769" s="8">
        <v>12.87</v>
      </c>
      <c r="V769" s="8"/>
      <c r="W769" s="8"/>
      <c r="X769" s="8"/>
      <c r="Y769" s="8"/>
      <c r="Z769" s="8">
        <v>386.01</v>
      </c>
      <c r="AA769" s="8"/>
      <c r="AB769" s="8">
        <v>13.13</v>
      </c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11"/>
      <c r="AQ769" s="8"/>
      <c r="AR769" s="8"/>
      <c r="AS769" s="8"/>
      <c r="AT769" s="8">
        <v>1137.45</v>
      </c>
      <c r="AU769" s="8"/>
      <c r="AV769" s="8"/>
      <c r="AW769" s="8">
        <v>8.2100000000000009</v>
      </c>
      <c r="AX769" s="8"/>
      <c r="AY769" s="8"/>
      <c r="AZ769" s="8"/>
      <c r="BA769" s="8"/>
      <c r="BB769" s="8"/>
      <c r="BC769" s="8"/>
      <c r="BD769" s="8"/>
      <c r="BE769" s="8"/>
      <c r="BF769" s="8"/>
      <c r="BG769" s="8">
        <v>83.61</v>
      </c>
      <c r="BH769" s="9">
        <f t="shared" si="99"/>
        <v>2564.1800000000003</v>
      </c>
      <c r="BI769" s="9">
        <f t="shared" si="100"/>
        <v>12.84</v>
      </c>
      <c r="BJ769" s="9">
        <f t="shared" si="101"/>
        <v>8.75</v>
      </c>
      <c r="BK769" s="9">
        <f t="shared" si="102"/>
        <v>28.31</v>
      </c>
      <c r="BL769" s="9">
        <f t="shared" si="103"/>
        <v>386.01</v>
      </c>
      <c r="BM769" s="9">
        <f t="shared" si="104"/>
        <v>13.13</v>
      </c>
      <c r="BN769" s="9">
        <f t="shared" si="105"/>
        <v>1137.45</v>
      </c>
      <c r="BO769" s="9">
        <f t="shared" si="106"/>
        <v>8.2100000000000009</v>
      </c>
      <c r="BP769" s="9">
        <f t="shared" si="107"/>
        <v>0</v>
      </c>
    </row>
    <row r="770" spans="1:68">
      <c r="A770" s="6">
        <v>44700</v>
      </c>
      <c r="B770" s="7">
        <v>3118</v>
      </c>
      <c r="C770" s="8">
        <v>631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>
        <v>1.89</v>
      </c>
      <c r="O770" s="8"/>
      <c r="P770" s="8"/>
      <c r="Q770" s="11"/>
      <c r="R770" s="11"/>
      <c r="S770" s="8">
        <v>3.33</v>
      </c>
      <c r="T770" s="8">
        <v>3.79</v>
      </c>
      <c r="U770" s="8">
        <v>3.79</v>
      </c>
      <c r="V770" s="8"/>
      <c r="W770" s="8"/>
      <c r="X770" s="8"/>
      <c r="Y770" s="8"/>
      <c r="Z770" s="8"/>
      <c r="AA770" s="8"/>
      <c r="AB770" s="8"/>
      <c r="AC770" s="8">
        <v>2.5099999999999998</v>
      </c>
      <c r="AD770" s="8"/>
      <c r="AE770" s="8">
        <v>6.43</v>
      </c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11"/>
      <c r="AQ770" s="8"/>
      <c r="AR770" s="8"/>
      <c r="AS770" s="8"/>
      <c r="AT770" s="8">
        <v>409.32</v>
      </c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>
        <v>44.13</v>
      </c>
      <c r="BG770" s="8">
        <v>31.31</v>
      </c>
      <c r="BH770" s="9">
        <f t="shared" si="99"/>
        <v>631</v>
      </c>
      <c r="BI770" s="9">
        <f t="shared" si="100"/>
        <v>1.89</v>
      </c>
      <c r="BJ770" s="9">
        <f t="shared" si="101"/>
        <v>3.33</v>
      </c>
      <c r="BK770" s="9">
        <f t="shared" si="102"/>
        <v>7.58</v>
      </c>
      <c r="BL770" s="9">
        <f t="shared" si="103"/>
        <v>0</v>
      </c>
      <c r="BM770" s="9">
        <f t="shared" si="104"/>
        <v>8.94</v>
      </c>
      <c r="BN770" s="9">
        <f t="shared" si="105"/>
        <v>409.32</v>
      </c>
      <c r="BO770" s="9">
        <f t="shared" si="106"/>
        <v>0</v>
      </c>
      <c r="BP770" s="9">
        <f t="shared" si="107"/>
        <v>44.13</v>
      </c>
    </row>
    <row r="771" spans="1:68">
      <c r="A771" s="6">
        <v>44700</v>
      </c>
      <c r="B771" s="7">
        <v>3122</v>
      </c>
      <c r="C771" s="8">
        <v>238.39</v>
      </c>
      <c r="D771" s="8"/>
      <c r="E771" s="8"/>
      <c r="F771" s="8"/>
      <c r="G771" s="8"/>
      <c r="H771" s="8"/>
      <c r="I771" s="8"/>
      <c r="J771" s="8"/>
      <c r="K771" s="8"/>
      <c r="L771" s="8"/>
      <c r="M771" s="8">
        <v>0.43</v>
      </c>
      <c r="N771" s="8">
        <v>0.43</v>
      </c>
      <c r="O771" s="8"/>
      <c r="P771" s="8"/>
      <c r="Q771" s="11"/>
      <c r="R771" s="11"/>
      <c r="S771" s="8">
        <v>0.96</v>
      </c>
      <c r="T771" s="8">
        <v>1.68</v>
      </c>
      <c r="U771" s="8">
        <v>0.72</v>
      </c>
      <c r="V771" s="8"/>
      <c r="W771" s="8"/>
      <c r="X771" s="8"/>
      <c r="Y771" s="8"/>
      <c r="Z771" s="8"/>
      <c r="AA771" s="8"/>
      <c r="AB771" s="8"/>
      <c r="AC771" s="8">
        <v>0.96</v>
      </c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11"/>
      <c r="AQ771" s="8"/>
      <c r="AR771" s="8"/>
      <c r="AS771" s="8"/>
      <c r="AT771" s="8">
        <v>106.2</v>
      </c>
      <c r="AU771" s="8"/>
      <c r="AV771" s="8">
        <v>8.14</v>
      </c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>
        <v>7.77</v>
      </c>
      <c r="BH771" s="9">
        <f t="shared" si="99"/>
        <v>238.39</v>
      </c>
      <c r="BI771" s="9">
        <f t="shared" si="100"/>
        <v>0.86</v>
      </c>
      <c r="BJ771" s="9">
        <f t="shared" si="101"/>
        <v>0.96</v>
      </c>
      <c r="BK771" s="9">
        <f t="shared" si="102"/>
        <v>2.4</v>
      </c>
      <c r="BL771" s="9">
        <f t="shared" si="103"/>
        <v>0</v>
      </c>
      <c r="BM771" s="9">
        <f t="shared" si="104"/>
        <v>0.96</v>
      </c>
      <c r="BN771" s="9">
        <f t="shared" si="105"/>
        <v>106.2</v>
      </c>
      <c r="BO771" s="9">
        <f t="shared" si="106"/>
        <v>8.14</v>
      </c>
      <c r="BP771" s="9">
        <f t="shared" si="107"/>
        <v>0</v>
      </c>
    </row>
    <row r="772" spans="1:68">
      <c r="A772" s="6">
        <v>44700</v>
      </c>
      <c r="B772" s="7">
        <v>3117</v>
      </c>
      <c r="C772" s="8">
        <v>1428.77</v>
      </c>
      <c r="D772" s="8"/>
      <c r="E772" s="8"/>
      <c r="F772" s="8"/>
      <c r="G772" s="8"/>
      <c r="H772" s="8"/>
      <c r="I772" s="8"/>
      <c r="J772" s="8"/>
      <c r="K772" s="8"/>
      <c r="L772" s="8"/>
      <c r="M772" s="8">
        <v>3.28</v>
      </c>
      <c r="N772" s="8"/>
      <c r="O772" s="8"/>
      <c r="P772" s="8"/>
      <c r="Q772" s="11"/>
      <c r="R772" s="11"/>
      <c r="S772" s="8">
        <v>5.01</v>
      </c>
      <c r="T772" s="8">
        <v>14.3</v>
      </c>
      <c r="U772" s="8"/>
      <c r="V772" s="8"/>
      <c r="W772" s="8"/>
      <c r="X772" s="8"/>
      <c r="Y772" s="8"/>
      <c r="Z772" s="8"/>
      <c r="AA772" s="8"/>
      <c r="AB772" s="8"/>
      <c r="AC772" s="8">
        <v>5.72</v>
      </c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11"/>
      <c r="AQ772" s="8"/>
      <c r="AR772" s="8"/>
      <c r="AS772" s="8"/>
      <c r="AT772" s="8">
        <v>902.2</v>
      </c>
      <c r="AU772" s="8"/>
      <c r="AV772" s="8">
        <v>35.78</v>
      </c>
      <c r="AW772" s="8"/>
      <c r="AX772" s="8"/>
      <c r="AY772" s="8"/>
      <c r="AZ772" s="8"/>
      <c r="BA772" s="8"/>
      <c r="BB772" s="8"/>
      <c r="BC772" s="8"/>
      <c r="BD772" s="8"/>
      <c r="BE772" s="8"/>
      <c r="BF772" s="8">
        <v>57.19</v>
      </c>
      <c r="BG772" s="8">
        <v>68.56</v>
      </c>
      <c r="BH772" s="9">
        <f t="shared" ref="BH772:BH835" si="108">SUM(C772:L772)</f>
        <v>1428.77</v>
      </c>
      <c r="BI772" s="9">
        <f t="shared" ref="BI772:BI835" si="109">SUM(M772:R772)</f>
        <v>3.28</v>
      </c>
      <c r="BJ772" s="9">
        <f t="shared" ref="BJ772:BJ835" si="110">SUM(S772)</f>
        <v>5.01</v>
      </c>
      <c r="BK772" s="9">
        <f t="shared" ref="BK772:BK835" si="111">SUM(T772:Y772)</f>
        <v>14.3</v>
      </c>
      <c r="BL772" s="9">
        <f t="shared" ref="BL772:BL835" si="112">SUM(Z772:AA772)</f>
        <v>0</v>
      </c>
      <c r="BM772" s="9">
        <f t="shared" ref="BM772:BM835" si="113">SUM(AB772:AS772)</f>
        <v>5.72</v>
      </c>
      <c r="BN772" s="9">
        <f t="shared" ref="BN772:BN835" si="114">SUM(AT772:AU772)</f>
        <v>902.2</v>
      </c>
      <c r="BO772" s="9">
        <f t="shared" ref="BO772:BO835" si="115">SUM(AV772:BE772)</f>
        <v>35.78</v>
      </c>
      <c r="BP772" s="9">
        <f t="shared" ref="BP772:BP835" si="116">SUM(BF772)</f>
        <v>57.19</v>
      </c>
    </row>
    <row r="773" spans="1:68">
      <c r="A773" s="6">
        <v>44701</v>
      </c>
      <c r="B773" s="7">
        <v>3081</v>
      </c>
      <c r="C773" s="8"/>
      <c r="D773" s="8">
        <v>302.64</v>
      </c>
      <c r="E773" s="8"/>
      <c r="F773" s="8">
        <v>336.08</v>
      </c>
      <c r="G773" s="8"/>
      <c r="H773" s="8"/>
      <c r="I773" s="8">
        <v>1234.32</v>
      </c>
      <c r="J773" s="8"/>
      <c r="K773" s="8"/>
      <c r="L773" s="8"/>
      <c r="M773" s="8"/>
      <c r="N773" s="8">
        <v>13.83</v>
      </c>
      <c r="O773" s="8"/>
      <c r="P773" s="8">
        <v>7.51</v>
      </c>
      <c r="Q773" s="11"/>
      <c r="R773" s="11"/>
      <c r="S773" s="8">
        <v>1.31</v>
      </c>
      <c r="T773" s="8">
        <v>18.98</v>
      </c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11"/>
      <c r="AQ773" s="8">
        <v>18.98</v>
      </c>
      <c r="AR773" s="8">
        <v>66.45</v>
      </c>
      <c r="AS773" s="8"/>
      <c r="AT773" s="8">
        <v>592.95000000000005</v>
      </c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>
        <v>39.700000000000003</v>
      </c>
      <c r="BH773" s="9">
        <f t="shared" si="108"/>
        <v>1873.04</v>
      </c>
      <c r="BI773" s="9">
        <f t="shared" si="109"/>
        <v>21.34</v>
      </c>
      <c r="BJ773" s="9">
        <f t="shared" si="110"/>
        <v>1.31</v>
      </c>
      <c r="BK773" s="9">
        <f t="shared" si="111"/>
        <v>18.98</v>
      </c>
      <c r="BL773" s="9">
        <f t="shared" si="112"/>
        <v>0</v>
      </c>
      <c r="BM773" s="9">
        <f t="shared" si="113"/>
        <v>85.43</v>
      </c>
      <c r="BN773" s="9">
        <f t="shared" si="114"/>
        <v>592.95000000000005</v>
      </c>
      <c r="BO773" s="9">
        <f t="shared" si="115"/>
        <v>0</v>
      </c>
      <c r="BP773" s="9">
        <f t="shared" si="116"/>
        <v>0</v>
      </c>
    </row>
    <row r="774" spans="1:68">
      <c r="A774" s="6">
        <v>44701</v>
      </c>
      <c r="B774" s="7">
        <v>3079</v>
      </c>
      <c r="C774" s="8"/>
      <c r="D774" s="8"/>
      <c r="E774" s="8"/>
      <c r="F774" s="8">
        <v>336.42</v>
      </c>
      <c r="G774" s="8"/>
      <c r="H774" s="8"/>
      <c r="I774" s="8">
        <v>2731.4</v>
      </c>
      <c r="J774" s="8"/>
      <c r="K774" s="8"/>
      <c r="L774" s="8"/>
      <c r="M774" s="8"/>
      <c r="N774" s="8">
        <v>23</v>
      </c>
      <c r="O774" s="8"/>
      <c r="P774" s="8"/>
      <c r="Q774" s="11"/>
      <c r="R774" s="11"/>
      <c r="S774" s="8">
        <v>1.2</v>
      </c>
      <c r="T774" s="8">
        <v>30.7</v>
      </c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>
        <v>12.28</v>
      </c>
      <c r="AN774" s="8">
        <v>31.05</v>
      </c>
      <c r="AO774" s="8"/>
      <c r="AP774" s="11"/>
      <c r="AQ774" s="8"/>
      <c r="AR774" s="8">
        <v>76.97</v>
      </c>
      <c r="AS774" s="8"/>
      <c r="AT774" s="8">
        <v>1168.06</v>
      </c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>
        <v>84.29</v>
      </c>
      <c r="BH774" s="9">
        <f t="shared" si="108"/>
        <v>3067.82</v>
      </c>
      <c r="BI774" s="9">
        <f t="shared" si="109"/>
        <v>23</v>
      </c>
      <c r="BJ774" s="9">
        <f t="shared" si="110"/>
        <v>1.2</v>
      </c>
      <c r="BK774" s="9">
        <f t="shared" si="111"/>
        <v>30.7</v>
      </c>
      <c r="BL774" s="9">
        <f t="shared" si="112"/>
        <v>0</v>
      </c>
      <c r="BM774" s="9">
        <f t="shared" si="113"/>
        <v>120.3</v>
      </c>
      <c r="BN774" s="9">
        <f t="shared" si="114"/>
        <v>1168.06</v>
      </c>
      <c r="BO774" s="9">
        <f t="shared" si="115"/>
        <v>0</v>
      </c>
      <c r="BP774" s="9">
        <f t="shared" si="116"/>
        <v>0</v>
      </c>
    </row>
    <row r="775" spans="1:68">
      <c r="A775" s="6">
        <v>44701</v>
      </c>
      <c r="B775" s="7">
        <v>3016</v>
      </c>
      <c r="C775" s="8"/>
      <c r="D775" s="8">
        <v>1593.72</v>
      </c>
      <c r="E775" s="8"/>
      <c r="F775" s="8"/>
      <c r="G775" s="8"/>
      <c r="H775" s="8"/>
      <c r="I775" s="8">
        <v>1473.33</v>
      </c>
      <c r="J775" s="8"/>
      <c r="K775" s="8"/>
      <c r="L775" s="8"/>
      <c r="M775" s="8"/>
      <c r="N775" s="8">
        <v>18.39</v>
      </c>
      <c r="O775" s="8"/>
      <c r="P775" s="8"/>
      <c r="Q775" s="11"/>
      <c r="R775" s="11"/>
      <c r="S775" s="8">
        <v>2.15</v>
      </c>
      <c r="T775" s="8">
        <v>30.68</v>
      </c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>
        <v>12.28</v>
      </c>
      <c r="AN775" s="8">
        <v>37.07</v>
      </c>
      <c r="AO775" s="8"/>
      <c r="AP775" s="11"/>
      <c r="AQ775" s="8"/>
      <c r="AR775" s="8">
        <v>76.88</v>
      </c>
      <c r="AS775" s="8"/>
      <c r="AT775" s="8">
        <v>1140.1199999999999</v>
      </c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>
        <v>83.24</v>
      </c>
      <c r="BH775" s="9">
        <f t="shared" si="108"/>
        <v>3067.05</v>
      </c>
      <c r="BI775" s="9">
        <f t="shared" si="109"/>
        <v>18.39</v>
      </c>
      <c r="BJ775" s="9">
        <f t="shared" si="110"/>
        <v>2.15</v>
      </c>
      <c r="BK775" s="9">
        <f t="shared" si="111"/>
        <v>30.68</v>
      </c>
      <c r="BL775" s="9">
        <f t="shared" si="112"/>
        <v>0</v>
      </c>
      <c r="BM775" s="9">
        <f t="shared" si="113"/>
        <v>126.22999999999999</v>
      </c>
      <c r="BN775" s="9">
        <f t="shared" si="114"/>
        <v>1140.1199999999999</v>
      </c>
      <c r="BO775" s="9">
        <f t="shared" si="115"/>
        <v>0</v>
      </c>
      <c r="BP775" s="9">
        <f t="shared" si="116"/>
        <v>0</v>
      </c>
    </row>
    <row r="776" spans="1:68">
      <c r="A776" s="6">
        <v>44701</v>
      </c>
      <c r="B776" s="7">
        <v>3029</v>
      </c>
      <c r="C776" s="8"/>
      <c r="D776" s="8">
        <v>457.29</v>
      </c>
      <c r="E776" s="8"/>
      <c r="F776" s="8">
        <v>320.87</v>
      </c>
      <c r="G776" s="8"/>
      <c r="H776" s="8"/>
      <c r="I776" s="8">
        <v>1907.25</v>
      </c>
      <c r="J776" s="8"/>
      <c r="K776" s="8"/>
      <c r="L776" s="8"/>
      <c r="M776" s="8"/>
      <c r="N776" s="8">
        <v>20.22</v>
      </c>
      <c r="O776" s="8"/>
      <c r="P776" s="8"/>
      <c r="Q776" s="11"/>
      <c r="R776" s="11"/>
      <c r="S776" s="8">
        <v>1.61</v>
      </c>
      <c r="T776" s="8"/>
      <c r="U776" s="8"/>
      <c r="V776" s="8"/>
      <c r="W776" s="8">
        <v>27.37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>
        <v>9.43</v>
      </c>
      <c r="AN776" s="8">
        <v>13.77</v>
      </c>
      <c r="AO776" s="8"/>
      <c r="AP776" s="11"/>
      <c r="AQ776" s="8"/>
      <c r="AR776" s="8">
        <v>81.22</v>
      </c>
      <c r="AS776" s="8"/>
      <c r="AT776" s="8">
        <v>1023.12</v>
      </c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>
        <v>71.36</v>
      </c>
      <c r="BH776" s="9">
        <f t="shared" si="108"/>
        <v>2685.41</v>
      </c>
      <c r="BI776" s="9">
        <f t="shared" si="109"/>
        <v>20.22</v>
      </c>
      <c r="BJ776" s="9">
        <f t="shared" si="110"/>
        <v>1.61</v>
      </c>
      <c r="BK776" s="9">
        <f t="shared" si="111"/>
        <v>27.37</v>
      </c>
      <c r="BL776" s="9">
        <f t="shared" si="112"/>
        <v>0</v>
      </c>
      <c r="BM776" s="9">
        <f t="shared" si="113"/>
        <v>104.42</v>
      </c>
      <c r="BN776" s="9">
        <f t="shared" si="114"/>
        <v>1023.12</v>
      </c>
      <c r="BO776" s="9">
        <f t="shared" si="115"/>
        <v>0</v>
      </c>
      <c r="BP776" s="9">
        <f t="shared" si="116"/>
        <v>0</v>
      </c>
    </row>
    <row r="777" spans="1:68">
      <c r="A777" s="6">
        <v>44701</v>
      </c>
      <c r="B777" s="7">
        <v>3082</v>
      </c>
      <c r="C777" s="8"/>
      <c r="D777" s="8"/>
      <c r="E777" s="8"/>
      <c r="F777" s="8">
        <v>44.8</v>
      </c>
      <c r="G777" s="8"/>
      <c r="H777" s="8"/>
      <c r="I777" s="8">
        <v>34.549999999999997</v>
      </c>
      <c r="J777" s="8"/>
      <c r="K777" s="8">
        <v>144.94999999999999</v>
      </c>
      <c r="L777" s="8"/>
      <c r="M777" s="8"/>
      <c r="N777" s="8">
        <v>1.75</v>
      </c>
      <c r="O777" s="8"/>
      <c r="P777" s="8"/>
      <c r="Q777" s="11"/>
      <c r="R777" s="11"/>
      <c r="S777" s="8"/>
      <c r="T777" s="8"/>
      <c r="U777" s="8"/>
      <c r="V777" s="8"/>
      <c r="W777" s="8">
        <v>2.23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>
        <v>9.8800000000000008</v>
      </c>
      <c r="AI777" s="8"/>
      <c r="AJ777" s="8"/>
      <c r="AK777" s="8"/>
      <c r="AL777" s="8"/>
      <c r="AM777" s="8"/>
      <c r="AN777" s="8"/>
      <c r="AO777" s="8"/>
      <c r="AP777" s="11"/>
      <c r="AQ777" s="8"/>
      <c r="AR777" s="8">
        <v>4.71</v>
      </c>
      <c r="AS777" s="8"/>
      <c r="AT777" s="8"/>
      <c r="AU777" s="8">
        <v>105.2</v>
      </c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>
        <v>4.22</v>
      </c>
      <c r="BH777" s="9">
        <f t="shared" si="108"/>
        <v>224.29999999999998</v>
      </c>
      <c r="BI777" s="9">
        <f t="shared" si="109"/>
        <v>1.75</v>
      </c>
      <c r="BJ777" s="9">
        <f t="shared" si="110"/>
        <v>0</v>
      </c>
      <c r="BK777" s="9">
        <f t="shared" si="111"/>
        <v>2.23</v>
      </c>
      <c r="BL777" s="9">
        <f t="shared" si="112"/>
        <v>0</v>
      </c>
      <c r="BM777" s="9">
        <f t="shared" si="113"/>
        <v>14.59</v>
      </c>
      <c r="BN777" s="9">
        <f t="shared" si="114"/>
        <v>105.2</v>
      </c>
      <c r="BO777" s="9">
        <f t="shared" si="115"/>
        <v>0</v>
      </c>
      <c r="BP777" s="9">
        <f t="shared" si="116"/>
        <v>0</v>
      </c>
    </row>
    <row r="778" spans="1:68">
      <c r="A778" s="6">
        <v>44701</v>
      </c>
      <c r="B778" s="7">
        <v>3078</v>
      </c>
      <c r="C778" s="8"/>
      <c r="D778" s="8"/>
      <c r="E778" s="8"/>
      <c r="F778" s="8">
        <v>89.99</v>
      </c>
      <c r="G778" s="8"/>
      <c r="H778" s="8"/>
      <c r="I778" s="8">
        <v>318.54000000000002</v>
      </c>
      <c r="J778" s="8"/>
      <c r="K778" s="8">
        <v>45.9</v>
      </c>
      <c r="L778" s="8"/>
      <c r="M778" s="8"/>
      <c r="N778" s="8">
        <v>3.47</v>
      </c>
      <c r="O778" s="8"/>
      <c r="P778" s="8"/>
      <c r="Q778" s="11"/>
      <c r="R778" s="11"/>
      <c r="S778" s="8">
        <v>0.92</v>
      </c>
      <c r="T778" s="8"/>
      <c r="U778" s="8"/>
      <c r="V778" s="8"/>
      <c r="W778" s="8">
        <v>6.96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>
        <v>4.58</v>
      </c>
      <c r="AN778" s="8"/>
      <c r="AO778" s="8"/>
      <c r="AP778" s="11"/>
      <c r="AQ778" s="8"/>
      <c r="AR778" s="8"/>
      <c r="AS778" s="8">
        <v>11.5</v>
      </c>
      <c r="AT778" s="8">
        <v>219.26</v>
      </c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>
        <v>22.89</v>
      </c>
      <c r="BG778" s="8">
        <v>15.66</v>
      </c>
      <c r="BH778" s="9">
        <f t="shared" si="108"/>
        <v>454.43</v>
      </c>
      <c r="BI778" s="9">
        <f t="shared" si="109"/>
        <v>3.47</v>
      </c>
      <c r="BJ778" s="9">
        <f t="shared" si="110"/>
        <v>0.92</v>
      </c>
      <c r="BK778" s="9">
        <f t="shared" si="111"/>
        <v>6.96</v>
      </c>
      <c r="BL778" s="9">
        <f t="shared" si="112"/>
        <v>0</v>
      </c>
      <c r="BM778" s="9">
        <f t="shared" si="113"/>
        <v>16.079999999999998</v>
      </c>
      <c r="BN778" s="9">
        <f t="shared" si="114"/>
        <v>219.26</v>
      </c>
      <c r="BO778" s="9">
        <f t="shared" si="115"/>
        <v>0</v>
      </c>
      <c r="BP778" s="9">
        <f t="shared" si="116"/>
        <v>22.89</v>
      </c>
    </row>
    <row r="779" spans="1:68">
      <c r="A779" s="6">
        <v>44701</v>
      </c>
      <c r="B779" s="7">
        <v>3022</v>
      </c>
      <c r="C779" s="8"/>
      <c r="D779" s="8">
        <v>1048.19</v>
      </c>
      <c r="E779" s="8"/>
      <c r="F779" s="8"/>
      <c r="G779" s="8"/>
      <c r="H779" s="8"/>
      <c r="I779" s="8">
        <v>857.05</v>
      </c>
      <c r="J779" s="8"/>
      <c r="K779" s="8"/>
      <c r="L779" s="8"/>
      <c r="M779" s="8"/>
      <c r="N779" s="8">
        <v>9.52</v>
      </c>
      <c r="O779" s="8"/>
      <c r="P779" s="8"/>
      <c r="Q779" s="11"/>
      <c r="R779" s="11"/>
      <c r="S779" s="8">
        <v>3.43</v>
      </c>
      <c r="T779" s="8"/>
      <c r="U779" s="8"/>
      <c r="V779" s="8"/>
      <c r="W779" s="8">
        <v>19.48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>
        <v>24.8</v>
      </c>
      <c r="AN779" s="8"/>
      <c r="AO779" s="8"/>
      <c r="AP779" s="11"/>
      <c r="AQ779" s="8"/>
      <c r="AR779" s="8"/>
      <c r="AS779" s="8">
        <v>66.81</v>
      </c>
      <c r="AT779" s="8">
        <v>891.38</v>
      </c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>
        <v>68.599999999999994</v>
      </c>
      <c r="BH779" s="9">
        <f t="shared" si="108"/>
        <v>1905.24</v>
      </c>
      <c r="BI779" s="9">
        <f t="shared" si="109"/>
        <v>9.52</v>
      </c>
      <c r="BJ779" s="9">
        <f t="shared" si="110"/>
        <v>3.43</v>
      </c>
      <c r="BK779" s="9">
        <f t="shared" si="111"/>
        <v>19.48</v>
      </c>
      <c r="BL779" s="9">
        <f t="shared" si="112"/>
        <v>0</v>
      </c>
      <c r="BM779" s="9">
        <f t="shared" si="113"/>
        <v>91.61</v>
      </c>
      <c r="BN779" s="9">
        <f t="shared" si="114"/>
        <v>891.38</v>
      </c>
      <c r="BO779" s="9">
        <f t="shared" si="115"/>
        <v>0</v>
      </c>
      <c r="BP779" s="9">
        <f t="shared" si="116"/>
        <v>0</v>
      </c>
    </row>
    <row r="780" spans="1:68">
      <c r="A780" s="6">
        <v>44701</v>
      </c>
      <c r="B780" s="7">
        <v>3020</v>
      </c>
      <c r="C780" s="8"/>
      <c r="D780" s="8">
        <v>167.8</v>
      </c>
      <c r="E780" s="8"/>
      <c r="F780" s="8"/>
      <c r="G780" s="8"/>
      <c r="H780" s="8"/>
      <c r="I780" s="8">
        <v>958.71</v>
      </c>
      <c r="J780" s="8"/>
      <c r="K780" s="8"/>
      <c r="L780" s="8"/>
      <c r="M780" s="8"/>
      <c r="N780" s="8">
        <v>6.77</v>
      </c>
      <c r="O780" s="8"/>
      <c r="P780" s="8"/>
      <c r="Q780" s="11"/>
      <c r="R780" s="11"/>
      <c r="S780" s="8">
        <v>2.0299999999999998</v>
      </c>
      <c r="T780" s="8"/>
      <c r="U780" s="8"/>
      <c r="V780" s="8"/>
      <c r="W780" s="8">
        <v>11.3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>
        <v>11.29</v>
      </c>
      <c r="AN780" s="8"/>
      <c r="AO780" s="8"/>
      <c r="AP780" s="11"/>
      <c r="AQ780" s="8"/>
      <c r="AR780" s="8"/>
      <c r="AS780" s="8">
        <v>28.38</v>
      </c>
      <c r="AT780" s="8">
        <v>554.54999999999995</v>
      </c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>
        <v>40.590000000000003</v>
      </c>
      <c r="BH780" s="9">
        <f t="shared" si="108"/>
        <v>1126.51</v>
      </c>
      <c r="BI780" s="9">
        <f t="shared" si="109"/>
        <v>6.77</v>
      </c>
      <c r="BJ780" s="9">
        <f t="shared" si="110"/>
        <v>2.0299999999999998</v>
      </c>
      <c r="BK780" s="9">
        <f t="shared" si="111"/>
        <v>11.3</v>
      </c>
      <c r="BL780" s="9">
        <f t="shared" si="112"/>
        <v>0</v>
      </c>
      <c r="BM780" s="9">
        <f t="shared" si="113"/>
        <v>39.67</v>
      </c>
      <c r="BN780" s="9">
        <f t="shared" si="114"/>
        <v>554.54999999999995</v>
      </c>
      <c r="BO780" s="9">
        <f t="shared" si="115"/>
        <v>0</v>
      </c>
      <c r="BP780" s="9">
        <f t="shared" si="116"/>
        <v>0</v>
      </c>
    </row>
    <row r="781" spans="1:68">
      <c r="A781" s="6">
        <v>44701</v>
      </c>
      <c r="B781" s="7">
        <v>3021</v>
      </c>
      <c r="C781" s="8"/>
      <c r="D781" s="8">
        <v>349.49</v>
      </c>
      <c r="E781" s="8"/>
      <c r="F781" s="8"/>
      <c r="G781" s="8"/>
      <c r="H781" s="8"/>
      <c r="I781" s="8">
        <v>647.73</v>
      </c>
      <c r="J781" s="8"/>
      <c r="K781" s="8"/>
      <c r="L781" s="8"/>
      <c r="M781" s="8"/>
      <c r="N781" s="8">
        <v>5.28</v>
      </c>
      <c r="O781" s="8"/>
      <c r="P781" s="8"/>
      <c r="Q781" s="11"/>
      <c r="R781" s="11"/>
      <c r="S781" s="8">
        <v>1.8</v>
      </c>
      <c r="T781" s="8"/>
      <c r="U781" s="8"/>
      <c r="V781" s="8"/>
      <c r="W781" s="8">
        <v>10.02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>
        <v>9.9600000000000009</v>
      </c>
      <c r="AN781" s="8"/>
      <c r="AO781" s="8"/>
      <c r="AP781" s="11"/>
      <c r="AQ781" s="8"/>
      <c r="AR781" s="8"/>
      <c r="AS781" s="8">
        <v>24.96</v>
      </c>
      <c r="AT781" s="8">
        <v>469.98</v>
      </c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>
        <v>35.49</v>
      </c>
      <c r="BH781" s="9">
        <f t="shared" si="108"/>
        <v>997.22</v>
      </c>
      <c r="BI781" s="9">
        <f t="shared" si="109"/>
        <v>5.28</v>
      </c>
      <c r="BJ781" s="9">
        <f t="shared" si="110"/>
        <v>1.8</v>
      </c>
      <c r="BK781" s="9">
        <f t="shared" si="111"/>
        <v>10.02</v>
      </c>
      <c r="BL781" s="9">
        <f t="shared" si="112"/>
        <v>0</v>
      </c>
      <c r="BM781" s="9">
        <f t="shared" si="113"/>
        <v>34.92</v>
      </c>
      <c r="BN781" s="9">
        <f t="shared" si="114"/>
        <v>469.98</v>
      </c>
      <c r="BO781" s="9">
        <f t="shared" si="115"/>
        <v>0</v>
      </c>
      <c r="BP781" s="9">
        <f t="shared" si="116"/>
        <v>0</v>
      </c>
    </row>
    <row r="782" spans="1:68">
      <c r="A782" s="6">
        <v>44701</v>
      </c>
      <c r="B782" s="7">
        <v>3405</v>
      </c>
      <c r="C782" s="8">
        <v>2106.98</v>
      </c>
      <c r="D782" s="8">
        <v>528.85</v>
      </c>
      <c r="E782" s="8"/>
      <c r="F782" s="8"/>
      <c r="G782" s="8"/>
      <c r="H782" s="8"/>
      <c r="I782" s="8"/>
      <c r="J782" s="8"/>
      <c r="K782" s="8"/>
      <c r="L782" s="8"/>
      <c r="M782" s="8">
        <v>6.84</v>
      </c>
      <c r="N782" s="8"/>
      <c r="O782" s="8"/>
      <c r="P782" s="8"/>
      <c r="Q782" s="11"/>
      <c r="R782" s="11"/>
      <c r="S782" s="8">
        <v>6.06</v>
      </c>
      <c r="T782" s="8"/>
      <c r="U782" s="8"/>
      <c r="V782" s="8"/>
      <c r="W782" s="8"/>
      <c r="X782" s="8">
        <v>31.83</v>
      </c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11"/>
      <c r="AQ782" s="8"/>
      <c r="AR782" s="8"/>
      <c r="AS782" s="8"/>
      <c r="AT782" s="8">
        <v>1323.61</v>
      </c>
      <c r="AU782" s="8"/>
      <c r="AV782" s="8"/>
      <c r="AW782" s="8"/>
      <c r="AX782" s="8"/>
      <c r="AY782" s="8"/>
      <c r="AZ782" s="8"/>
      <c r="BA782" s="8">
        <v>11.89</v>
      </c>
      <c r="BB782" s="8"/>
      <c r="BC782" s="8"/>
      <c r="BD782" s="8"/>
      <c r="BE782" s="8"/>
      <c r="BF782" s="8"/>
      <c r="BG782" s="8">
        <v>89.33</v>
      </c>
      <c r="BH782" s="9">
        <f t="shared" si="108"/>
        <v>2635.83</v>
      </c>
      <c r="BI782" s="9">
        <f t="shared" si="109"/>
        <v>6.84</v>
      </c>
      <c r="BJ782" s="9">
        <f t="shared" si="110"/>
        <v>6.06</v>
      </c>
      <c r="BK782" s="9">
        <f t="shared" si="111"/>
        <v>31.83</v>
      </c>
      <c r="BL782" s="9">
        <f t="shared" si="112"/>
        <v>0</v>
      </c>
      <c r="BM782" s="9">
        <f t="shared" si="113"/>
        <v>0</v>
      </c>
      <c r="BN782" s="9">
        <f t="shared" si="114"/>
        <v>1323.61</v>
      </c>
      <c r="BO782" s="9">
        <f t="shared" si="115"/>
        <v>11.89</v>
      </c>
      <c r="BP782" s="9">
        <f t="shared" si="116"/>
        <v>0</v>
      </c>
    </row>
    <row r="783" spans="1:68">
      <c r="A783" s="6">
        <v>44701</v>
      </c>
      <c r="B783" s="7">
        <v>3408</v>
      </c>
      <c r="C783" s="8">
        <v>1367.57</v>
      </c>
      <c r="D783" s="8"/>
      <c r="E783" s="8"/>
      <c r="F783" s="8"/>
      <c r="G783" s="8"/>
      <c r="H783" s="8"/>
      <c r="I783" s="8"/>
      <c r="J783" s="8"/>
      <c r="K783" s="8"/>
      <c r="L783" s="8"/>
      <c r="M783" s="8">
        <v>3.28</v>
      </c>
      <c r="N783" s="8"/>
      <c r="O783" s="8"/>
      <c r="P783" s="8"/>
      <c r="Q783" s="11"/>
      <c r="R783" s="11"/>
      <c r="S783" s="8">
        <v>3.42</v>
      </c>
      <c r="T783" s="8">
        <v>13.69</v>
      </c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11"/>
      <c r="AQ783" s="8"/>
      <c r="AR783" s="8"/>
      <c r="AS783" s="8"/>
      <c r="AT783" s="8">
        <v>699.55</v>
      </c>
      <c r="AU783" s="8"/>
      <c r="AV783" s="8"/>
      <c r="AW783" s="8"/>
      <c r="AX783" s="8"/>
      <c r="AY783" s="8"/>
      <c r="AZ783" s="8"/>
      <c r="BA783" s="8">
        <v>6.16</v>
      </c>
      <c r="BB783" s="8"/>
      <c r="BC783" s="8"/>
      <c r="BD783" s="8"/>
      <c r="BE783" s="8"/>
      <c r="BF783" s="8"/>
      <c r="BG783" s="8">
        <v>48.06</v>
      </c>
      <c r="BH783" s="9">
        <f t="shared" si="108"/>
        <v>1367.57</v>
      </c>
      <c r="BI783" s="9">
        <f t="shared" si="109"/>
        <v>3.28</v>
      </c>
      <c r="BJ783" s="9">
        <f t="shared" si="110"/>
        <v>3.42</v>
      </c>
      <c r="BK783" s="9">
        <f t="shared" si="111"/>
        <v>13.69</v>
      </c>
      <c r="BL783" s="9">
        <f t="shared" si="112"/>
        <v>0</v>
      </c>
      <c r="BM783" s="9">
        <f t="shared" si="113"/>
        <v>0</v>
      </c>
      <c r="BN783" s="9">
        <f t="shared" si="114"/>
        <v>699.55</v>
      </c>
      <c r="BO783" s="9">
        <f t="shared" si="115"/>
        <v>6.16</v>
      </c>
      <c r="BP783" s="9">
        <f t="shared" si="116"/>
        <v>0</v>
      </c>
    </row>
    <row r="784" spans="1:68">
      <c r="A784" s="6">
        <v>44702</v>
      </c>
      <c r="B784" s="7">
        <v>3307</v>
      </c>
      <c r="C784" s="8"/>
      <c r="D784" s="8">
        <v>1894.13</v>
      </c>
      <c r="E784" s="8"/>
      <c r="F784" s="8"/>
      <c r="G784" s="8"/>
      <c r="H784" s="8"/>
      <c r="I784" s="8"/>
      <c r="J784" s="8"/>
      <c r="K784" s="8"/>
      <c r="L784" s="8"/>
      <c r="M784" s="8">
        <v>2.46</v>
      </c>
      <c r="N784" s="8"/>
      <c r="O784" s="8"/>
      <c r="P784" s="8"/>
      <c r="Q784" s="11"/>
      <c r="R784" s="11"/>
      <c r="S784" s="8">
        <v>13.82</v>
      </c>
      <c r="T784" s="8">
        <v>18.95</v>
      </c>
      <c r="U784" s="8"/>
      <c r="V784" s="8"/>
      <c r="W784" s="8"/>
      <c r="X784" s="8"/>
      <c r="Y784" s="8"/>
      <c r="Z784" s="8"/>
      <c r="AA784" s="8"/>
      <c r="AB784" s="8"/>
      <c r="AC784" s="8">
        <v>11.36</v>
      </c>
      <c r="AD784" s="8"/>
      <c r="AE784" s="8"/>
      <c r="AF784" s="8"/>
      <c r="AG784" s="8">
        <v>18.95</v>
      </c>
      <c r="AH784" s="8"/>
      <c r="AI784" s="8"/>
      <c r="AJ784" s="8"/>
      <c r="AK784" s="8"/>
      <c r="AL784" s="8"/>
      <c r="AM784" s="8"/>
      <c r="AN784" s="8"/>
      <c r="AO784" s="8"/>
      <c r="AP784" s="11"/>
      <c r="AQ784" s="8"/>
      <c r="AR784" s="8"/>
      <c r="AS784" s="8"/>
      <c r="AT784" s="8"/>
      <c r="AU784" s="8">
        <v>947.97</v>
      </c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>
        <v>68.069999999999993</v>
      </c>
      <c r="BH784" s="9">
        <f t="shared" si="108"/>
        <v>1894.13</v>
      </c>
      <c r="BI784" s="9">
        <f t="shared" si="109"/>
        <v>2.46</v>
      </c>
      <c r="BJ784" s="9">
        <f t="shared" si="110"/>
        <v>13.82</v>
      </c>
      <c r="BK784" s="9">
        <f t="shared" si="111"/>
        <v>18.95</v>
      </c>
      <c r="BL784" s="9">
        <f t="shared" si="112"/>
        <v>0</v>
      </c>
      <c r="BM784" s="9">
        <f t="shared" si="113"/>
        <v>30.31</v>
      </c>
      <c r="BN784" s="9">
        <f t="shared" si="114"/>
        <v>947.97</v>
      </c>
      <c r="BO784" s="9">
        <f t="shared" si="115"/>
        <v>0</v>
      </c>
      <c r="BP784" s="9">
        <f t="shared" si="116"/>
        <v>0</v>
      </c>
    </row>
    <row r="785" spans="1:68">
      <c r="A785" s="6">
        <v>44702</v>
      </c>
      <c r="B785" s="7">
        <v>3802</v>
      </c>
      <c r="C785" s="8">
        <v>850.04</v>
      </c>
      <c r="D785" s="8"/>
      <c r="E785" s="8"/>
      <c r="F785" s="8"/>
      <c r="G785" s="8"/>
      <c r="H785" s="8"/>
      <c r="I785" s="8"/>
      <c r="J785" s="8"/>
      <c r="K785" s="8"/>
      <c r="L785" s="8">
        <v>705.16</v>
      </c>
      <c r="M785" s="8"/>
      <c r="N785" s="8">
        <v>2.2400000000000002</v>
      </c>
      <c r="O785" s="8"/>
      <c r="P785" s="8"/>
      <c r="Q785" s="11"/>
      <c r="R785" s="11"/>
      <c r="S785" s="8">
        <v>6.24</v>
      </c>
      <c r="T785" s="8"/>
      <c r="U785" s="8">
        <v>12.49</v>
      </c>
      <c r="V785" s="8"/>
      <c r="W785" s="8"/>
      <c r="X785" s="8"/>
      <c r="Y785" s="8"/>
      <c r="Z785" s="8">
        <v>187.1</v>
      </c>
      <c r="AA785" s="8">
        <v>63.87</v>
      </c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11"/>
      <c r="AQ785" s="8"/>
      <c r="AR785" s="8"/>
      <c r="AS785" s="8">
        <v>25.38</v>
      </c>
      <c r="AT785" s="8">
        <v>756.49</v>
      </c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>
        <v>58.78</v>
      </c>
      <c r="BH785" s="9">
        <f t="shared" si="108"/>
        <v>1555.1999999999998</v>
      </c>
      <c r="BI785" s="9">
        <f t="shared" si="109"/>
        <v>2.2400000000000002</v>
      </c>
      <c r="BJ785" s="9">
        <f t="shared" si="110"/>
        <v>6.24</v>
      </c>
      <c r="BK785" s="9">
        <f t="shared" si="111"/>
        <v>12.49</v>
      </c>
      <c r="BL785" s="9">
        <f t="shared" si="112"/>
        <v>250.97</v>
      </c>
      <c r="BM785" s="9">
        <f t="shared" si="113"/>
        <v>25.38</v>
      </c>
      <c r="BN785" s="9">
        <f t="shared" si="114"/>
        <v>756.49</v>
      </c>
      <c r="BO785" s="9">
        <f t="shared" si="115"/>
        <v>0</v>
      </c>
      <c r="BP785" s="9">
        <f t="shared" si="116"/>
        <v>0</v>
      </c>
    </row>
    <row r="786" spans="1:68">
      <c r="A786" s="6">
        <v>44702</v>
      </c>
      <c r="B786" s="7">
        <v>3801</v>
      </c>
      <c r="C786" s="8">
        <v>238.43</v>
      </c>
      <c r="D786" s="8"/>
      <c r="E786" s="8"/>
      <c r="F786" s="8"/>
      <c r="G786" s="8"/>
      <c r="H786" s="8"/>
      <c r="I786" s="8"/>
      <c r="J786" s="8"/>
      <c r="K786" s="8"/>
      <c r="L786" s="8">
        <v>195.52</v>
      </c>
      <c r="M786" s="8"/>
      <c r="N786" s="8">
        <v>0.49</v>
      </c>
      <c r="O786" s="8"/>
      <c r="P786" s="8"/>
      <c r="Q786" s="11"/>
      <c r="R786" s="11"/>
      <c r="S786" s="8">
        <v>1.93</v>
      </c>
      <c r="T786" s="8"/>
      <c r="U786" s="8">
        <v>2.0699999999999998</v>
      </c>
      <c r="V786" s="8"/>
      <c r="W786" s="8"/>
      <c r="X786" s="8"/>
      <c r="Y786" s="8"/>
      <c r="Z786" s="8">
        <v>34.71</v>
      </c>
      <c r="AA786" s="8">
        <v>13.93</v>
      </c>
      <c r="AB786" s="8"/>
      <c r="AC786" s="8"/>
      <c r="AD786" s="8"/>
      <c r="AE786" s="8">
        <v>1.25</v>
      </c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11"/>
      <c r="AQ786" s="8"/>
      <c r="AR786" s="8"/>
      <c r="AS786" s="8"/>
      <c r="AT786" s="8">
        <v>169.22</v>
      </c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>
        <v>12.79</v>
      </c>
      <c r="BH786" s="9">
        <f t="shared" si="108"/>
        <v>433.95000000000005</v>
      </c>
      <c r="BI786" s="9">
        <f t="shared" si="109"/>
        <v>0.49</v>
      </c>
      <c r="BJ786" s="9">
        <f t="shared" si="110"/>
        <v>1.93</v>
      </c>
      <c r="BK786" s="9">
        <f t="shared" si="111"/>
        <v>2.0699999999999998</v>
      </c>
      <c r="BL786" s="9">
        <f t="shared" si="112"/>
        <v>48.64</v>
      </c>
      <c r="BM786" s="9">
        <f t="shared" si="113"/>
        <v>1.25</v>
      </c>
      <c r="BN786" s="9">
        <f t="shared" si="114"/>
        <v>169.22</v>
      </c>
      <c r="BO786" s="9">
        <f t="shared" si="115"/>
        <v>0</v>
      </c>
      <c r="BP786" s="9">
        <f t="shared" si="116"/>
        <v>0</v>
      </c>
    </row>
    <row r="787" spans="1:68">
      <c r="A787" s="6">
        <v>44702</v>
      </c>
      <c r="B787" s="7">
        <v>3602</v>
      </c>
      <c r="C787" s="8">
        <v>578.16999999999996</v>
      </c>
      <c r="D787" s="8"/>
      <c r="E787" s="8"/>
      <c r="F787" s="8"/>
      <c r="G787" s="8">
        <v>866.72</v>
      </c>
      <c r="H787" s="8"/>
      <c r="I787" s="8"/>
      <c r="J787" s="8"/>
      <c r="K787" s="8"/>
      <c r="L787" s="8"/>
      <c r="M787" s="8">
        <v>1.48</v>
      </c>
      <c r="N787" s="8"/>
      <c r="O787" s="8"/>
      <c r="P787" s="8"/>
      <c r="Q787" s="11"/>
      <c r="R787" s="11"/>
      <c r="S787" s="8">
        <v>7.65</v>
      </c>
      <c r="T787" s="8"/>
      <c r="U787" s="8">
        <v>4.6399999999999997</v>
      </c>
      <c r="V787" s="8">
        <v>14.05</v>
      </c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11"/>
      <c r="AQ787" s="8"/>
      <c r="AR787" s="8"/>
      <c r="AS787" s="8"/>
      <c r="AT787" s="8">
        <v>603.45000000000005</v>
      </c>
      <c r="AU787" s="8"/>
      <c r="AV787" s="8"/>
      <c r="AW787" s="8">
        <v>37.44</v>
      </c>
      <c r="AX787" s="8"/>
      <c r="AY787" s="8"/>
      <c r="AZ787" s="8"/>
      <c r="BA787" s="8"/>
      <c r="BB787" s="8"/>
      <c r="BC787" s="8"/>
      <c r="BD787" s="8"/>
      <c r="BE787" s="8"/>
      <c r="BF787" s="8">
        <v>46.39</v>
      </c>
      <c r="BG787" s="8">
        <v>45.09</v>
      </c>
      <c r="BH787" s="9">
        <f t="shared" si="108"/>
        <v>1444.8899999999999</v>
      </c>
      <c r="BI787" s="9">
        <f t="shared" si="109"/>
        <v>1.48</v>
      </c>
      <c r="BJ787" s="9">
        <f t="shared" si="110"/>
        <v>7.65</v>
      </c>
      <c r="BK787" s="9">
        <f t="shared" si="111"/>
        <v>18.690000000000001</v>
      </c>
      <c r="BL787" s="9">
        <f t="shared" si="112"/>
        <v>0</v>
      </c>
      <c r="BM787" s="9">
        <f t="shared" si="113"/>
        <v>0</v>
      </c>
      <c r="BN787" s="9">
        <f t="shared" si="114"/>
        <v>603.45000000000005</v>
      </c>
      <c r="BO787" s="9">
        <f t="shared" si="115"/>
        <v>37.44</v>
      </c>
      <c r="BP787" s="9">
        <f t="shared" si="116"/>
        <v>46.39</v>
      </c>
    </row>
    <row r="788" spans="1:68">
      <c r="A788" s="6">
        <v>44702</v>
      </c>
      <c r="B788" s="7">
        <v>3601</v>
      </c>
      <c r="C788" s="8">
        <v>289.7</v>
      </c>
      <c r="D788" s="8"/>
      <c r="E788" s="8"/>
      <c r="F788" s="8"/>
      <c r="G788" s="8">
        <v>433.5</v>
      </c>
      <c r="H788" s="8"/>
      <c r="I788" s="8"/>
      <c r="J788" s="8"/>
      <c r="K788" s="8"/>
      <c r="L788" s="8"/>
      <c r="M788" s="8">
        <v>0.87</v>
      </c>
      <c r="N788" s="8"/>
      <c r="O788" s="8"/>
      <c r="P788" s="8"/>
      <c r="Q788" s="11"/>
      <c r="R788" s="11"/>
      <c r="S788" s="8">
        <v>3.64</v>
      </c>
      <c r="T788" s="8"/>
      <c r="U788" s="8">
        <v>4.3499999999999996</v>
      </c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11"/>
      <c r="AQ788" s="8"/>
      <c r="AR788" s="8"/>
      <c r="AS788" s="8"/>
      <c r="AT788" s="8">
        <v>353.78</v>
      </c>
      <c r="AU788" s="8"/>
      <c r="AV788" s="8"/>
      <c r="AW788" s="8">
        <v>21.98</v>
      </c>
      <c r="AX788" s="8"/>
      <c r="AY788" s="8"/>
      <c r="AZ788" s="8"/>
      <c r="BA788" s="8"/>
      <c r="BB788" s="8"/>
      <c r="BC788" s="8"/>
      <c r="BD788" s="8"/>
      <c r="BE788" s="8"/>
      <c r="BF788" s="8">
        <v>40.15</v>
      </c>
      <c r="BG788" s="8">
        <v>26.79</v>
      </c>
      <c r="BH788" s="9">
        <f t="shared" si="108"/>
        <v>723.2</v>
      </c>
      <c r="BI788" s="9">
        <f t="shared" si="109"/>
        <v>0.87</v>
      </c>
      <c r="BJ788" s="9">
        <f t="shared" si="110"/>
        <v>3.64</v>
      </c>
      <c r="BK788" s="9">
        <f t="shared" si="111"/>
        <v>4.3499999999999996</v>
      </c>
      <c r="BL788" s="9">
        <f t="shared" si="112"/>
        <v>0</v>
      </c>
      <c r="BM788" s="9">
        <f t="shared" si="113"/>
        <v>0</v>
      </c>
      <c r="BN788" s="9">
        <f t="shared" si="114"/>
        <v>353.78</v>
      </c>
      <c r="BO788" s="9">
        <f t="shared" si="115"/>
        <v>21.98</v>
      </c>
      <c r="BP788" s="9">
        <f t="shared" si="116"/>
        <v>40.15</v>
      </c>
    </row>
    <row r="789" spans="1:68">
      <c r="A789" s="6">
        <v>44702</v>
      </c>
      <c r="B789" s="7">
        <v>3139</v>
      </c>
      <c r="C789" s="8">
        <v>1599.63</v>
      </c>
      <c r="D789" s="8"/>
      <c r="E789" s="8"/>
      <c r="F789" s="8"/>
      <c r="G789" s="8"/>
      <c r="H789" s="8">
        <v>663.89</v>
      </c>
      <c r="I789" s="8"/>
      <c r="J789" s="8"/>
      <c r="K789" s="8"/>
      <c r="L789" s="8"/>
      <c r="M789" s="8">
        <v>3.78</v>
      </c>
      <c r="N789" s="8"/>
      <c r="O789" s="8"/>
      <c r="P789" s="8"/>
      <c r="Q789" s="11"/>
      <c r="R789" s="11"/>
      <c r="S789" s="8">
        <v>6.69</v>
      </c>
      <c r="T789" s="8">
        <v>23.67</v>
      </c>
      <c r="U789" s="8"/>
      <c r="V789" s="8"/>
      <c r="W789" s="8"/>
      <c r="X789" s="8"/>
      <c r="Y789" s="8"/>
      <c r="Z789" s="8"/>
      <c r="AA789" s="8"/>
      <c r="AB789" s="8"/>
      <c r="AC789" s="8">
        <v>7.88</v>
      </c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11"/>
      <c r="AQ789" s="8"/>
      <c r="AR789" s="8"/>
      <c r="AS789" s="8"/>
      <c r="AT789" s="8">
        <v>1169.02</v>
      </c>
      <c r="AU789" s="8"/>
      <c r="AV789" s="8">
        <v>39.44</v>
      </c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>
        <v>84.76</v>
      </c>
      <c r="BH789" s="9">
        <f t="shared" si="108"/>
        <v>2263.52</v>
      </c>
      <c r="BI789" s="9">
        <f t="shared" si="109"/>
        <v>3.78</v>
      </c>
      <c r="BJ789" s="9">
        <f t="shared" si="110"/>
        <v>6.69</v>
      </c>
      <c r="BK789" s="9">
        <f t="shared" si="111"/>
        <v>23.67</v>
      </c>
      <c r="BL789" s="9">
        <f t="shared" si="112"/>
        <v>0</v>
      </c>
      <c r="BM789" s="9">
        <f t="shared" si="113"/>
        <v>7.88</v>
      </c>
      <c r="BN789" s="9">
        <f t="shared" si="114"/>
        <v>1169.02</v>
      </c>
      <c r="BO789" s="9">
        <f t="shared" si="115"/>
        <v>39.44</v>
      </c>
      <c r="BP789" s="9">
        <f t="shared" si="116"/>
        <v>0</v>
      </c>
    </row>
    <row r="790" spans="1:68">
      <c r="A790" s="6">
        <v>44702</v>
      </c>
      <c r="B790" s="7">
        <v>3129</v>
      </c>
      <c r="C790" s="8">
        <v>1493.51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11"/>
      <c r="R790" s="11">
        <v>8.18</v>
      </c>
      <c r="S790" s="8">
        <f>5.54+6.92</f>
        <v>12.46</v>
      </c>
      <c r="T790" s="8"/>
      <c r="U790" s="8"/>
      <c r="V790" s="8"/>
      <c r="W790" s="8"/>
      <c r="X790" s="8">
        <v>13.19</v>
      </c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11"/>
      <c r="AQ790" s="8"/>
      <c r="AR790" s="8"/>
      <c r="AS790" s="8"/>
      <c r="AT790" s="8">
        <v>204.59</v>
      </c>
      <c r="AU790" s="8">
        <v>412.17</v>
      </c>
      <c r="AV790" s="8"/>
      <c r="AW790" s="8"/>
      <c r="AX790" s="8"/>
      <c r="AY790" s="8"/>
      <c r="AZ790" s="8"/>
      <c r="BA790" s="8"/>
      <c r="BB790" s="8"/>
      <c r="BC790" s="8"/>
      <c r="BD790" s="8">
        <f>3.74+13.45</f>
        <v>17.189999999999998</v>
      </c>
      <c r="BE790" s="8"/>
      <c r="BF790" s="8"/>
      <c r="BG790" s="8">
        <v>44.77</v>
      </c>
      <c r="BH790" s="9">
        <f t="shared" si="108"/>
        <v>1493.51</v>
      </c>
      <c r="BI790" s="9">
        <f t="shared" si="109"/>
        <v>8.18</v>
      </c>
      <c r="BJ790" s="9">
        <f t="shared" si="110"/>
        <v>12.46</v>
      </c>
      <c r="BK790" s="9">
        <f t="shared" si="111"/>
        <v>13.19</v>
      </c>
      <c r="BL790" s="9">
        <f t="shared" si="112"/>
        <v>0</v>
      </c>
      <c r="BM790" s="9">
        <f t="shared" si="113"/>
        <v>0</v>
      </c>
      <c r="BN790" s="9">
        <f t="shared" si="114"/>
        <v>616.76</v>
      </c>
      <c r="BO790" s="9">
        <f t="shared" si="115"/>
        <v>17.189999999999998</v>
      </c>
      <c r="BP790" s="9">
        <f t="shared" si="116"/>
        <v>0</v>
      </c>
    </row>
    <row r="791" spans="1:68">
      <c r="A791" s="6">
        <v>44702</v>
      </c>
      <c r="B791" s="7">
        <v>3134</v>
      </c>
      <c r="C791" s="8">
        <v>2059.94</v>
      </c>
      <c r="D791" s="8">
        <v>287.13</v>
      </c>
      <c r="E791" s="8"/>
      <c r="F791" s="8"/>
      <c r="G791" s="8"/>
      <c r="H791" s="8">
        <v>975.18</v>
      </c>
      <c r="I791" s="8"/>
      <c r="J791" s="8"/>
      <c r="K791" s="8"/>
      <c r="L791" s="8"/>
      <c r="M791" s="8">
        <v>6.12</v>
      </c>
      <c r="N791" s="8"/>
      <c r="O791" s="8"/>
      <c r="P791" s="8"/>
      <c r="Q791" s="11"/>
      <c r="R791" s="11"/>
      <c r="S791" s="8">
        <v>13.3</v>
      </c>
      <c r="T791" s="8">
        <v>20.27</v>
      </c>
      <c r="U791" s="8">
        <v>17.36</v>
      </c>
      <c r="V791" s="8"/>
      <c r="W791" s="8"/>
      <c r="X791" s="8"/>
      <c r="Y791" s="8"/>
      <c r="Z791" s="8"/>
      <c r="AA791" s="8"/>
      <c r="AB791" s="8"/>
      <c r="AC791" s="8">
        <v>11.56</v>
      </c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11"/>
      <c r="AQ791" s="8"/>
      <c r="AR791" s="8"/>
      <c r="AS791" s="8"/>
      <c r="AT791" s="8">
        <v>2039.44</v>
      </c>
      <c r="AU791" s="8"/>
      <c r="AV791" s="8"/>
      <c r="AW791" s="8"/>
      <c r="AX791" s="8"/>
      <c r="AY791" s="8">
        <v>29.72</v>
      </c>
      <c r="AZ791" s="8"/>
      <c r="BA791" s="8"/>
      <c r="BB791" s="8"/>
      <c r="BC791" s="8"/>
      <c r="BD791" s="8"/>
      <c r="BE791" s="8"/>
      <c r="BF791" s="8">
        <v>130.1</v>
      </c>
      <c r="BG791" s="8">
        <v>153.16</v>
      </c>
      <c r="BH791" s="9">
        <f t="shared" si="108"/>
        <v>3322.25</v>
      </c>
      <c r="BI791" s="9">
        <f t="shared" si="109"/>
        <v>6.12</v>
      </c>
      <c r="BJ791" s="9">
        <f t="shared" si="110"/>
        <v>13.3</v>
      </c>
      <c r="BK791" s="9">
        <f t="shared" si="111"/>
        <v>37.629999999999995</v>
      </c>
      <c r="BL791" s="9">
        <f t="shared" si="112"/>
        <v>0</v>
      </c>
      <c r="BM791" s="9">
        <f t="shared" si="113"/>
        <v>11.56</v>
      </c>
      <c r="BN791" s="9">
        <f t="shared" si="114"/>
        <v>2039.44</v>
      </c>
      <c r="BO791" s="9">
        <f t="shared" si="115"/>
        <v>29.72</v>
      </c>
      <c r="BP791" s="9">
        <f t="shared" si="116"/>
        <v>130.1</v>
      </c>
    </row>
    <row r="792" spans="1:68">
      <c r="A792" s="6">
        <v>44702</v>
      </c>
      <c r="B792" s="7">
        <v>3113</v>
      </c>
      <c r="C792" s="8">
        <v>1570.05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>
        <v>2.83</v>
      </c>
      <c r="O792" s="8"/>
      <c r="P792" s="8"/>
      <c r="Q792" s="11"/>
      <c r="R792" s="11"/>
      <c r="S792" s="8">
        <v>4.7300000000000004</v>
      </c>
      <c r="T792" s="8">
        <v>15.72</v>
      </c>
      <c r="U792" s="8"/>
      <c r="V792" s="8"/>
      <c r="W792" s="8"/>
      <c r="X792" s="8"/>
      <c r="Y792" s="8"/>
      <c r="Z792" s="8"/>
      <c r="AA792" s="8"/>
      <c r="AB792" s="8"/>
      <c r="AC792" s="8">
        <v>6.28</v>
      </c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11"/>
      <c r="AQ792" s="8"/>
      <c r="AR792" s="8"/>
      <c r="AS792" s="8"/>
      <c r="AT792" s="8">
        <v>659.7</v>
      </c>
      <c r="AU792" s="8"/>
      <c r="AV792" s="8">
        <v>53.39</v>
      </c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>
        <v>47.3</v>
      </c>
      <c r="BH792" s="9">
        <f t="shared" si="108"/>
        <v>1570.05</v>
      </c>
      <c r="BI792" s="9">
        <f t="shared" si="109"/>
        <v>2.83</v>
      </c>
      <c r="BJ792" s="9">
        <f t="shared" si="110"/>
        <v>4.7300000000000004</v>
      </c>
      <c r="BK792" s="9">
        <f t="shared" si="111"/>
        <v>15.72</v>
      </c>
      <c r="BL792" s="9">
        <f t="shared" si="112"/>
        <v>0</v>
      </c>
      <c r="BM792" s="9">
        <f t="shared" si="113"/>
        <v>6.28</v>
      </c>
      <c r="BN792" s="9">
        <f t="shared" si="114"/>
        <v>659.7</v>
      </c>
      <c r="BO792" s="9">
        <f t="shared" si="115"/>
        <v>53.39</v>
      </c>
      <c r="BP792" s="9">
        <f t="shared" si="116"/>
        <v>0</v>
      </c>
    </row>
    <row r="793" spans="1:68">
      <c r="A793" s="6">
        <v>44702</v>
      </c>
      <c r="B793" s="7">
        <v>3110</v>
      </c>
      <c r="C793" s="8">
        <v>1236.5</v>
      </c>
      <c r="D793" s="8"/>
      <c r="E793" s="8"/>
      <c r="F793" s="8"/>
      <c r="G793" s="8"/>
      <c r="H793" s="8"/>
      <c r="I793" s="8"/>
      <c r="J793" s="8"/>
      <c r="K793" s="8"/>
      <c r="L793" s="8"/>
      <c r="M793" s="8">
        <v>2.48</v>
      </c>
      <c r="N793" s="8"/>
      <c r="O793" s="8"/>
      <c r="P793" s="8"/>
      <c r="Q793" s="11"/>
      <c r="R793" s="11"/>
      <c r="S793" s="8">
        <v>4.2</v>
      </c>
      <c r="T793" s="8">
        <v>12.31</v>
      </c>
      <c r="U793" s="8"/>
      <c r="V793" s="8"/>
      <c r="W793" s="8"/>
      <c r="X793" s="8"/>
      <c r="Y793" s="8"/>
      <c r="Z793" s="8"/>
      <c r="AA793" s="8"/>
      <c r="AB793" s="8"/>
      <c r="AC793" s="8">
        <v>4.95</v>
      </c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11"/>
      <c r="AQ793" s="8"/>
      <c r="AR793" s="8"/>
      <c r="AS793" s="8"/>
      <c r="AT793" s="8">
        <v>645.86</v>
      </c>
      <c r="AU793" s="8"/>
      <c r="AV793" s="8">
        <v>21.05</v>
      </c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>
        <v>47.69</v>
      </c>
      <c r="BH793" s="9">
        <f t="shared" si="108"/>
        <v>1236.5</v>
      </c>
      <c r="BI793" s="9">
        <f t="shared" si="109"/>
        <v>2.48</v>
      </c>
      <c r="BJ793" s="9">
        <f t="shared" si="110"/>
        <v>4.2</v>
      </c>
      <c r="BK793" s="9">
        <f t="shared" si="111"/>
        <v>12.31</v>
      </c>
      <c r="BL793" s="9">
        <f t="shared" si="112"/>
        <v>0</v>
      </c>
      <c r="BM793" s="9">
        <f t="shared" si="113"/>
        <v>4.95</v>
      </c>
      <c r="BN793" s="9">
        <f t="shared" si="114"/>
        <v>645.86</v>
      </c>
      <c r="BO793" s="9">
        <f t="shared" si="115"/>
        <v>21.05</v>
      </c>
      <c r="BP793" s="9">
        <f t="shared" si="116"/>
        <v>0</v>
      </c>
    </row>
    <row r="794" spans="1:68">
      <c r="A794" s="6">
        <v>44702</v>
      </c>
      <c r="B794" s="7">
        <v>3106</v>
      </c>
      <c r="C794" s="8">
        <v>4128.6899999999996</v>
      </c>
      <c r="D794" s="8"/>
      <c r="E794" s="8"/>
      <c r="F794" s="8"/>
      <c r="G794" s="8"/>
      <c r="H794" s="8"/>
      <c r="I794" s="8"/>
      <c r="J794" s="8"/>
      <c r="K794" s="8"/>
      <c r="L794" s="8"/>
      <c r="M794" s="8">
        <v>11.13</v>
      </c>
      <c r="N794" s="8"/>
      <c r="O794" s="8"/>
      <c r="P794" s="8"/>
      <c r="Q794" s="11"/>
      <c r="R794" s="11"/>
      <c r="S794" s="8">
        <v>12.42</v>
      </c>
      <c r="T794" s="8">
        <v>52.43</v>
      </c>
      <c r="U794" s="8"/>
      <c r="V794" s="8"/>
      <c r="W794" s="8"/>
      <c r="X794" s="8"/>
      <c r="Y794" s="8"/>
      <c r="Z794" s="8"/>
      <c r="AA794" s="8"/>
      <c r="AB794" s="8"/>
      <c r="AC794" s="8">
        <v>16.53</v>
      </c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11"/>
      <c r="AQ794" s="8"/>
      <c r="AR794" s="8"/>
      <c r="AS794" s="8"/>
      <c r="AT794" s="8">
        <v>2363.7800000000002</v>
      </c>
      <c r="AU794" s="8"/>
      <c r="AV794" s="8"/>
      <c r="AW794" s="8"/>
      <c r="AX794" s="8">
        <v>5.17</v>
      </c>
      <c r="AY794" s="8"/>
      <c r="AZ794" s="8"/>
      <c r="BA794" s="8"/>
      <c r="BB794" s="8"/>
      <c r="BC794" s="8"/>
      <c r="BD794" s="8"/>
      <c r="BE794" s="8"/>
      <c r="BF794" s="8"/>
      <c r="BG794" s="8">
        <v>177.4</v>
      </c>
      <c r="BH794" s="9">
        <f t="shared" si="108"/>
        <v>4128.6899999999996</v>
      </c>
      <c r="BI794" s="9">
        <f t="shared" si="109"/>
        <v>11.13</v>
      </c>
      <c r="BJ794" s="9">
        <f t="shared" si="110"/>
        <v>12.42</v>
      </c>
      <c r="BK794" s="9">
        <f t="shared" si="111"/>
        <v>52.43</v>
      </c>
      <c r="BL794" s="9">
        <f t="shared" si="112"/>
        <v>0</v>
      </c>
      <c r="BM794" s="9">
        <f t="shared" si="113"/>
        <v>16.53</v>
      </c>
      <c r="BN794" s="9">
        <f t="shared" si="114"/>
        <v>2363.7800000000002</v>
      </c>
      <c r="BO794" s="9">
        <f t="shared" si="115"/>
        <v>5.17</v>
      </c>
      <c r="BP794" s="9">
        <f t="shared" si="116"/>
        <v>0</v>
      </c>
    </row>
    <row r="795" spans="1:68">
      <c r="A795" s="6">
        <v>44704</v>
      </c>
      <c r="B795" s="7">
        <v>3083</v>
      </c>
      <c r="C795" s="8"/>
      <c r="D795" s="8">
        <v>1074.2</v>
      </c>
      <c r="E795" s="8"/>
      <c r="F795" s="8"/>
      <c r="G795" s="8"/>
      <c r="H795" s="8"/>
      <c r="I795" s="8">
        <v>2510.85</v>
      </c>
      <c r="J795" s="8"/>
      <c r="K795" s="8"/>
      <c r="L795" s="8"/>
      <c r="M795" s="8"/>
      <c r="N795" s="8">
        <v>24.75</v>
      </c>
      <c r="O795" s="8"/>
      <c r="P795" s="8"/>
      <c r="Q795" s="11"/>
      <c r="R795" s="11"/>
      <c r="S795" s="8">
        <v>2.5</v>
      </c>
      <c r="T795" s="8">
        <v>28.68</v>
      </c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>
        <v>14.36</v>
      </c>
      <c r="AN795" s="8">
        <v>50.06</v>
      </c>
      <c r="AO795" s="8"/>
      <c r="AP795" s="11"/>
      <c r="AQ795" s="8"/>
      <c r="AR795" s="8">
        <v>89.83</v>
      </c>
      <c r="AS795" s="8"/>
      <c r="AT795" s="8">
        <v>1630.66</v>
      </c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>
        <v>128.16</v>
      </c>
      <c r="BH795" s="9">
        <f t="shared" si="108"/>
        <v>3585.05</v>
      </c>
      <c r="BI795" s="9">
        <f t="shared" si="109"/>
        <v>24.75</v>
      </c>
      <c r="BJ795" s="9">
        <f t="shared" si="110"/>
        <v>2.5</v>
      </c>
      <c r="BK795" s="9">
        <f t="shared" si="111"/>
        <v>28.68</v>
      </c>
      <c r="BL795" s="9">
        <f t="shared" si="112"/>
        <v>0</v>
      </c>
      <c r="BM795" s="9">
        <f t="shared" si="113"/>
        <v>154.25</v>
      </c>
      <c r="BN795" s="9">
        <f t="shared" si="114"/>
        <v>1630.66</v>
      </c>
      <c r="BO795" s="9">
        <f t="shared" si="115"/>
        <v>0</v>
      </c>
      <c r="BP795" s="9">
        <f t="shared" si="116"/>
        <v>0</v>
      </c>
    </row>
    <row r="796" spans="1:68">
      <c r="A796" s="6">
        <v>44704</v>
      </c>
      <c r="B796" s="7">
        <v>3029</v>
      </c>
      <c r="C796" s="8"/>
      <c r="D796" s="8">
        <v>455.27</v>
      </c>
      <c r="E796" s="8"/>
      <c r="F796" s="8">
        <v>321.49</v>
      </c>
      <c r="G796" s="8"/>
      <c r="H796" s="8"/>
      <c r="I796" s="8">
        <v>1902.86</v>
      </c>
      <c r="J796" s="8"/>
      <c r="K796" s="8"/>
      <c r="L796" s="8"/>
      <c r="M796" s="8"/>
      <c r="N796" s="8">
        <v>20.12</v>
      </c>
      <c r="O796" s="8"/>
      <c r="P796" s="8"/>
      <c r="Q796" s="11"/>
      <c r="R796" s="11"/>
      <c r="S796" s="8">
        <v>1.61</v>
      </c>
      <c r="T796" s="8"/>
      <c r="U796" s="8"/>
      <c r="V796" s="8"/>
      <c r="W796" s="8">
        <v>27.39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>
        <v>9.3699999999999992</v>
      </c>
      <c r="AN796" s="8">
        <v>13.79</v>
      </c>
      <c r="AO796" s="8"/>
      <c r="AP796" s="11"/>
      <c r="AQ796" s="8"/>
      <c r="AR796" s="8">
        <v>82.3</v>
      </c>
      <c r="AS796" s="8"/>
      <c r="AT796" s="8">
        <v>1017.41</v>
      </c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>
        <v>71.45</v>
      </c>
      <c r="BH796" s="9">
        <f t="shared" si="108"/>
        <v>2679.62</v>
      </c>
      <c r="BI796" s="9">
        <f t="shared" si="109"/>
        <v>20.12</v>
      </c>
      <c r="BJ796" s="9">
        <f t="shared" si="110"/>
        <v>1.61</v>
      </c>
      <c r="BK796" s="9">
        <f t="shared" si="111"/>
        <v>27.39</v>
      </c>
      <c r="BL796" s="9">
        <f t="shared" si="112"/>
        <v>0</v>
      </c>
      <c r="BM796" s="9">
        <f t="shared" si="113"/>
        <v>105.46</v>
      </c>
      <c r="BN796" s="9">
        <f t="shared" si="114"/>
        <v>1017.41</v>
      </c>
      <c r="BO796" s="9">
        <f t="shared" si="115"/>
        <v>0</v>
      </c>
      <c r="BP796" s="9">
        <f t="shared" si="116"/>
        <v>0</v>
      </c>
    </row>
    <row r="797" spans="1:68">
      <c r="A797" s="6">
        <v>44704</v>
      </c>
      <c r="B797" s="7">
        <v>3408</v>
      </c>
      <c r="C797" s="8">
        <v>2582.5</v>
      </c>
      <c r="D797" s="8"/>
      <c r="E797" s="8"/>
      <c r="F797" s="8"/>
      <c r="G797" s="8"/>
      <c r="H797" s="8"/>
      <c r="I797" s="8"/>
      <c r="J797" s="8"/>
      <c r="K797" s="8"/>
      <c r="L797" s="8"/>
      <c r="M797" s="8">
        <v>6.2</v>
      </c>
      <c r="N797" s="8"/>
      <c r="O797" s="8"/>
      <c r="P797" s="8"/>
      <c r="Q797" s="11"/>
      <c r="R797" s="11"/>
      <c r="S797" s="8">
        <v>6.46</v>
      </c>
      <c r="T797" s="8">
        <v>25.83</v>
      </c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11"/>
      <c r="AQ797" s="8"/>
      <c r="AR797" s="8"/>
      <c r="AS797" s="8"/>
      <c r="AT797" s="8">
        <v>1320.52</v>
      </c>
      <c r="AU797" s="8"/>
      <c r="AV797" s="8"/>
      <c r="AW797" s="8"/>
      <c r="AX797" s="8"/>
      <c r="AY797" s="8"/>
      <c r="AZ797" s="8"/>
      <c r="BA797" s="8">
        <v>11.63</v>
      </c>
      <c r="BB797" s="8"/>
      <c r="BC797" s="8"/>
      <c r="BD797" s="8"/>
      <c r="BE797" s="8"/>
      <c r="BF797" s="8"/>
      <c r="BG797" s="8">
        <v>90.32</v>
      </c>
      <c r="BH797" s="9">
        <f t="shared" si="108"/>
        <v>2582.5</v>
      </c>
      <c r="BI797" s="9">
        <f t="shared" si="109"/>
        <v>6.2</v>
      </c>
      <c r="BJ797" s="9">
        <f t="shared" si="110"/>
        <v>6.46</v>
      </c>
      <c r="BK797" s="9">
        <f t="shared" si="111"/>
        <v>25.83</v>
      </c>
      <c r="BL797" s="9">
        <f t="shared" si="112"/>
        <v>0</v>
      </c>
      <c r="BM797" s="9">
        <f t="shared" si="113"/>
        <v>0</v>
      </c>
      <c r="BN797" s="9">
        <f t="shared" si="114"/>
        <v>1320.52</v>
      </c>
      <c r="BO797" s="9">
        <f t="shared" si="115"/>
        <v>11.63</v>
      </c>
      <c r="BP797" s="9">
        <f t="shared" si="116"/>
        <v>0</v>
      </c>
    </row>
    <row r="798" spans="1:68">
      <c r="A798" s="6">
        <v>44704</v>
      </c>
      <c r="B798" s="7">
        <v>3409</v>
      </c>
      <c r="C798" s="8">
        <f>718.2+41.85</f>
        <v>760.05000000000007</v>
      </c>
      <c r="D798" s="8"/>
      <c r="E798" s="8"/>
      <c r="F798" s="8"/>
      <c r="G798" s="8"/>
      <c r="H798" s="8"/>
      <c r="I798" s="8"/>
      <c r="J798" s="8"/>
      <c r="K798" s="8"/>
      <c r="L798" s="8"/>
      <c r="M798" s="8">
        <f>0.09+1.81</f>
        <v>1.9000000000000001</v>
      </c>
      <c r="N798" s="8"/>
      <c r="O798" s="8"/>
      <c r="P798" s="8"/>
      <c r="Q798" s="11"/>
      <c r="R798" s="11"/>
      <c r="S798" s="8">
        <f>1.8+0.1</f>
        <v>1.9000000000000001</v>
      </c>
      <c r="T798" s="8">
        <f>7.2+0.42</f>
        <v>7.62</v>
      </c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11"/>
      <c r="AQ798" s="8"/>
      <c r="AR798" s="8"/>
      <c r="AS798" s="8"/>
      <c r="AT798" s="8">
        <f>367.8+21.39</f>
        <v>389.19</v>
      </c>
      <c r="AU798" s="8"/>
      <c r="AV798" s="8">
        <f>1.25+21.55</f>
        <v>22.8</v>
      </c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>
        <f>25.21+1.48</f>
        <v>26.69</v>
      </c>
      <c r="BH798" s="9">
        <f t="shared" si="108"/>
        <v>760.05000000000007</v>
      </c>
      <c r="BI798" s="9">
        <f t="shared" si="109"/>
        <v>1.9000000000000001</v>
      </c>
      <c r="BJ798" s="9">
        <f t="shared" si="110"/>
        <v>1.9000000000000001</v>
      </c>
      <c r="BK798" s="9">
        <f t="shared" si="111"/>
        <v>7.62</v>
      </c>
      <c r="BL798" s="9">
        <f t="shared" si="112"/>
        <v>0</v>
      </c>
      <c r="BM798" s="9">
        <f t="shared" si="113"/>
        <v>0</v>
      </c>
      <c r="BN798" s="9">
        <f t="shared" si="114"/>
        <v>389.19</v>
      </c>
      <c r="BO798" s="9">
        <f t="shared" si="115"/>
        <v>22.8</v>
      </c>
      <c r="BP798" s="9">
        <f t="shared" si="116"/>
        <v>0</v>
      </c>
    </row>
    <row r="799" spans="1:68">
      <c r="A799" s="6">
        <v>44704</v>
      </c>
      <c r="B799" s="7">
        <v>3141</v>
      </c>
      <c r="C799" s="8">
        <v>2407.9499999999998</v>
      </c>
      <c r="D799" s="8">
        <v>424.61</v>
      </c>
      <c r="E799" s="8"/>
      <c r="F799" s="8"/>
      <c r="G799" s="8"/>
      <c r="H799" s="8"/>
      <c r="I799" s="8"/>
      <c r="J799" s="8"/>
      <c r="K799" s="8"/>
      <c r="L799" s="8"/>
      <c r="M799" s="8">
        <v>7.17</v>
      </c>
      <c r="N799" s="8"/>
      <c r="O799" s="8"/>
      <c r="P799" s="8"/>
      <c r="Q799" s="11"/>
      <c r="R799" s="11"/>
      <c r="S799" s="8">
        <v>13.33</v>
      </c>
      <c r="T799" s="8">
        <v>21.28</v>
      </c>
      <c r="U799" s="8">
        <v>21.27</v>
      </c>
      <c r="V799" s="8"/>
      <c r="W799" s="8"/>
      <c r="X799" s="8"/>
      <c r="Y799" s="8"/>
      <c r="Z799" s="8"/>
      <c r="AA799" s="8"/>
      <c r="AB799" s="8"/>
      <c r="AC799" s="8">
        <v>11.34</v>
      </c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11"/>
      <c r="AQ799" s="8"/>
      <c r="AR799" s="8"/>
      <c r="AS799" s="8"/>
      <c r="AT799" s="8">
        <v>1882.21</v>
      </c>
      <c r="AU799" s="8"/>
      <c r="AV799" s="8"/>
      <c r="AW799" s="8"/>
      <c r="AX799" s="8"/>
      <c r="AY799" s="8"/>
      <c r="AZ799" s="8"/>
      <c r="BA799" s="8">
        <v>64.930000000000007</v>
      </c>
      <c r="BB799" s="8"/>
      <c r="BC799" s="8"/>
      <c r="BD799" s="8"/>
      <c r="BE799" s="8"/>
      <c r="BF799" s="8">
        <v>198.34</v>
      </c>
      <c r="BG799" s="8">
        <v>147.46</v>
      </c>
      <c r="BH799" s="9">
        <f t="shared" si="108"/>
        <v>2832.56</v>
      </c>
      <c r="BI799" s="9">
        <f t="shared" si="109"/>
        <v>7.17</v>
      </c>
      <c r="BJ799" s="9">
        <f t="shared" si="110"/>
        <v>13.33</v>
      </c>
      <c r="BK799" s="9">
        <f t="shared" si="111"/>
        <v>42.55</v>
      </c>
      <c r="BL799" s="9">
        <f t="shared" si="112"/>
        <v>0</v>
      </c>
      <c r="BM799" s="9">
        <f t="shared" si="113"/>
        <v>11.34</v>
      </c>
      <c r="BN799" s="9">
        <f t="shared" si="114"/>
        <v>1882.21</v>
      </c>
      <c r="BO799" s="9">
        <f t="shared" si="115"/>
        <v>64.930000000000007</v>
      </c>
      <c r="BP799" s="9">
        <f t="shared" si="116"/>
        <v>198.34</v>
      </c>
    </row>
    <row r="800" spans="1:68">
      <c r="A800" s="6">
        <v>44704</v>
      </c>
      <c r="B800" s="7">
        <v>3105</v>
      </c>
      <c r="C800" s="8">
        <v>644.64</v>
      </c>
      <c r="D800" s="8"/>
      <c r="E800" s="8"/>
      <c r="F800" s="8"/>
      <c r="G800" s="8"/>
      <c r="H800" s="8"/>
      <c r="I800" s="8"/>
      <c r="J800" s="8"/>
      <c r="K800" s="8"/>
      <c r="L800" s="8"/>
      <c r="M800" s="8">
        <v>1.61</v>
      </c>
      <c r="N800" s="8"/>
      <c r="O800" s="8"/>
      <c r="P800" s="8"/>
      <c r="Q800" s="11"/>
      <c r="R800" s="11"/>
      <c r="S800" s="8">
        <v>1.94</v>
      </c>
      <c r="T800" s="8">
        <v>8.19</v>
      </c>
      <c r="U800" s="8"/>
      <c r="V800" s="8"/>
      <c r="W800" s="8"/>
      <c r="X800" s="8"/>
      <c r="Y800" s="8"/>
      <c r="Z800" s="8"/>
      <c r="AA800" s="8"/>
      <c r="AB800" s="8"/>
      <c r="AC800" s="8">
        <v>2.58</v>
      </c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11"/>
      <c r="AQ800" s="8"/>
      <c r="AR800" s="8"/>
      <c r="AS800" s="8"/>
      <c r="AT800" s="8">
        <v>368.7</v>
      </c>
      <c r="AU800" s="8"/>
      <c r="AV800" s="8">
        <v>2.25</v>
      </c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>
        <v>27.72</v>
      </c>
      <c r="BH800" s="9">
        <f t="shared" si="108"/>
        <v>644.64</v>
      </c>
      <c r="BI800" s="9">
        <f t="shared" si="109"/>
        <v>1.61</v>
      </c>
      <c r="BJ800" s="9">
        <f t="shared" si="110"/>
        <v>1.94</v>
      </c>
      <c r="BK800" s="9">
        <f t="shared" si="111"/>
        <v>8.19</v>
      </c>
      <c r="BL800" s="9">
        <f t="shared" si="112"/>
        <v>0</v>
      </c>
      <c r="BM800" s="9">
        <f t="shared" si="113"/>
        <v>2.58</v>
      </c>
      <c r="BN800" s="9">
        <f t="shared" si="114"/>
        <v>368.7</v>
      </c>
      <c r="BO800" s="9">
        <f t="shared" si="115"/>
        <v>2.25</v>
      </c>
      <c r="BP800" s="9">
        <f t="shared" si="116"/>
        <v>0</v>
      </c>
    </row>
    <row r="801" spans="1:68">
      <c r="A801" s="6">
        <v>44704</v>
      </c>
      <c r="B801" s="7">
        <v>3106</v>
      </c>
      <c r="C801" s="8">
        <v>4115.84</v>
      </c>
      <c r="D801" s="8"/>
      <c r="E801" s="8"/>
      <c r="F801" s="8"/>
      <c r="G801" s="8"/>
      <c r="H801" s="8"/>
      <c r="I801" s="8"/>
      <c r="J801" s="8"/>
      <c r="K801" s="8"/>
      <c r="L801" s="8"/>
      <c r="M801" s="8">
        <v>11.1</v>
      </c>
      <c r="N801" s="8"/>
      <c r="O801" s="8"/>
      <c r="P801" s="8"/>
      <c r="Q801" s="11"/>
      <c r="R801" s="11"/>
      <c r="S801" s="8">
        <v>12.34</v>
      </c>
      <c r="T801" s="8">
        <v>52.25</v>
      </c>
      <c r="U801" s="8"/>
      <c r="V801" s="8"/>
      <c r="W801" s="8"/>
      <c r="X801" s="8"/>
      <c r="Y801" s="8"/>
      <c r="Z801" s="8"/>
      <c r="AA801" s="8"/>
      <c r="AB801" s="8"/>
      <c r="AC801" s="8">
        <v>16.47</v>
      </c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11"/>
      <c r="AQ801" s="8"/>
      <c r="AR801" s="8"/>
      <c r="AS801" s="8"/>
      <c r="AT801" s="8">
        <v>2356.31</v>
      </c>
      <c r="AU801" s="8"/>
      <c r="AV801" s="8"/>
      <c r="AW801" s="8"/>
      <c r="AX801" s="8">
        <v>5.15</v>
      </c>
      <c r="AY801" s="8"/>
      <c r="AZ801" s="8"/>
      <c r="BA801" s="8"/>
      <c r="BB801" s="8"/>
      <c r="BC801" s="8"/>
      <c r="BD801" s="8"/>
      <c r="BE801" s="8"/>
      <c r="BF801" s="8"/>
      <c r="BG801" s="8">
        <v>177.31</v>
      </c>
      <c r="BH801" s="9">
        <f t="shared" si="108"/>
        <v>4115.84</v>
      </c>
      <c r="BI801" s="9">
        <f t="shared" si="109"/>
        <v>11.1</v>
      </c>
      <c r="BJ801" s="9">
        <f t="shared" si="110"/>
        <v>12.34</v>
      </c>
      <c r="BK801" s="9">
        <f t="shared" si="111"/>
        <v>52.25</v>
      </c>
      <c r="BL801" s="9">
        <f t="shared" si="112"/>
        <v>0</v>
      </c>
      <c r="BM801" s="9">
        <f t="shared" si="113"/>
        <v>16.47</v>
      </c>
      <c r="BN801" s="9">
        <f t="shared" si="114"/>
        <v>2356.31</v>
      </c>
      <c r="BO801" s="9">
        <f t="shared" si="115"/>
        <v>5.15</v>
      </c>
      <c r="BP801" s="9">
        <f t="shared" si="116"/>
        <v>0</v>
      </c>
    </row>
    <row r="802" spans="1:68">
      <c r="A802" s="6">
        <v>44704</v>
      </c>
      <c r="B802" s="7">
        <v>3139</v>
      </c>
      <c r="C802" s="8">
        <v>1689.29</v>
      </c>
      <c r="D802" s="8"/>
      <c r="E802" s="8"/>
      <c r="F802" s="8"/>
      <c r="G802" s="8"/>
      <c r="H802" s="8">
        <v>700.74</v>
      </c>
      <c r="I802" s="8"/>
      <c r="J802" s="8"/>
      <c r="K802" s="8"/>
      <c r="L802" s="8"/>
      <c r="M802" s="8">
        <v>3.95</v>
      </c>
      <c r="N802" s="8"/>
      <c r="O802" s="8"/>
      <c r="P802" s="8"/>
      <c r="Q802" s="11"/>
      <c r="R802" s="11"/>
      <c r="S802" s="8">
        <v>7.08</v>
      </c>
      <c r="T802" s="8">
        <v>25</v>
      </c>
      <c r="U802" s="8"/>
      <c r="V802" s="8"/>
      <c r="W802" s="8"/>
      <c r="X802" s="8"/>
      <c r="Y802" s="8"/>
      <c r="Z802" s="8"/>
      <c r="AA802" s="8"/>
      <c r="AB802" s="8"/>
      <c r="AC802" s="8">
        <v>8.33</v>
      </c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11"/>
      <c r="AQ802" s="8"/>
      <c r="AR802" s="8"/>
      <c r="AS802" s="8"/>
      <c r="AT802" s="8">
        <v>1233.5899999999999</v>
      </c>
      <c r="AU802" s="8"/>
      <c r="AV802" s="8">
        <v>41.59</v>
      </c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>
        <v>89.53</v>
      </c>
      <c r="BH802" s="9">
        <f t="shared" si="108"/>
        <v>2390.0299999999997</v>
      </c>
      <c r="BI802" s="9">
        <f t="shared" si="109"/>
        <v>3.95</v>
      </c>
      <c r="BJ802" s="9">
        <f t="shared" si="110"/>
        <v>7.08</v>
      </c>
      <c r="BK802" s="9">
        <f t="shared" si="111"/>
        <v>25</v>
      </c>
      <c r="BL802" s="9">
        <f t="shared" si="112"/>
        <v>0</v>
      </c>
      <c r="BM802" s="9">
        <f t="shared" si="113"/>
        <v>8.33</v>
      </c>
      <c r="BN802" s="9">
        <f t="shared" si="114"/>
        <v>1233.5899999999999</v>
      </c>
      <c r="BO802" s="9">
        <f t="shared" si="115"/>
        <v>41.59</v>
      </c>
      <c r="BP802" s="9">
        <f t="shared" si="116"/>
        <v>0</v>
      </c>
    </row>
    <row r="803" spans="1:68">
      <c r="A803" s="6">
        <v>44704</v>
      </c>
      <c r="B803" s="7">
        <v>3433</v>
      </c>
      <c r="C803" s="8">
        <v>1243.77</v>
      </c>
      <c r="D803" s="8"/>
      <c r="E803" s="8"/>
      <c r="F803" s="8"/>
      <c r="G803" s="8"/>
      <c r="H803" s="8"/>
      <c r="I803" s="8"/>
      <c r="J803" s="8"/>
      <c r="K803" s="8"/>
      <c r="L803" s="8"/>
      <c r="M803" s="8">
        <v>2.4900000000000002</v>
      </c>
      <c r="N803" s="8"/>
      <c r="O803" s="8"/>
      <c r="P803" s="8"/>
      <c r="Q803" s="11"/>
      <c r="R803" s="11"/>
      <c r="S803" s="8">
        <v>5</v>
      </c>
      <c r="T803" s="8"/>
      <c r="U803" s="8"/>
      <c r="V803" s="8"/>
      <c r="W803" s="8"/>
      <c r="X803" s="8">
        <v>12.54</v>
      </c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11"/>
      <c r="AQ803" s="8"/>
      <c r="AR803" s="8"/>
      <c r="AS803" s="8"/>
      <c r="AT803" s="8">
        <v>565.42999999999995</v>
      </c>
      <c r="AU803" s="8"/>
      <c r="AV803" s="8"/>
      <c r="AW803" s="8"/>
      <c r="AX803" s="8"/>
      <c r="AY803" s="8"/>
      <c r="AZ803" s="8"/>
      <c r="BA803" s="8">
        <v>5.58</v>
      </c>
      <c r="BB803" s="8"/>
      <c r="BC803" s="8"/>
      <c r="BD803" s="8"/>
      <c r="BE803" s="8"/>
      <c r="BF803" s="8">
        <v>62.59</v>
      </c>
      <c r="BG803" s="8">
        <v>41.86</v>
      </c>
      <c r="BH803" s="9">
        <f t="shared" si="108"/>
        <v>1243.77</v>
      </c>
      <c r="BI803" s="9">
        <f t="shared" si="109"/>
        <v>2.4900000000000002</v>
      </c>
      <c r="BJ803" s="9">
        <f t="shared" si="110"/>
        <v>5</v>
      </c>
      <c r="BK803" s="9">
        <f t="shared" si="111"/>
        <v>12.54</v>
      </c>
      <c r="BL803" s="9">
        <f t="shared" si="112"/>
        <v>0</v>
      </c>
      <c r="BM803" s="9">
        <f t="shared" si="113"/>
        <v>0</v>
      </c>
      <c r="BN803" s="9">
        <f t="shared" si="114"/>
        <v>565.42999999999995</v>
      </c>
      <c r="BO803" s="9">
        <f t="shared" si="115"/>
        <v>5.58</v>
      </c>
      <c r="BP803" s="9">
        <f t="shared" si="116"/>
        <v>62.59</v>
      </c>
    </row>
    <row r="804" spans="1:68">
      <c r="A804" s="6">
        <v>44705</v>
      </c>
      <c r="B804" s="7">
        <v>3304</v>
      </c>
      <c r="C804" s="8"/>
      <c r="D804" s="8">
        <v>910.17</v>
      </c>
      <c r="E804" s="8"/>
      <c r="F804" s="8"/>
      <c r="G804" s="8"/>
      <c r="H804" s="8"/>
      <c r="I804" s="8"/>
      <c r="J804" s="8"/>
      <c r="K804" s="8"/>
      <c r="L804" s="8"/>
      <c r="M804" s="8">
        <v>1.08</v>
      </c>
      <c r="N804" s="8"/>
      <c r="O804" s="8"/>
      <c r="P804" s="8"/>
      <c r="Q804" s="11"/>
      <c r="R804" s="11"/>
      <c r="S804" s="8">
        <v>6.48</v>
      </c>
      <c r="T804" s="8">
        <v>8.24</v>
      </c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>
        <v>9.1999999999999993</v>
      </c>
      <c r="AH804" s="8"/>
      <c r="AI804" s="8"/>
      <c r="AJ804" s="8"/>
      <c r="AK804" s="8"/>
      <c r="AL804" s="8"/>
      <c r="AM804" s="8"/>
      <c r="AN804" s="8"/>
      <c r="AO804" s="8"/>
      <c r="AP804" s="11"/>
      <c r="AQ804" s="8"/>
      <c r="AR804" s="8"/>
      <c r="AS804" s="8"/>
      <c r="AT804" s="8"/>
      <c r="AU804" s="8">
        <v>394.39</v>
      </c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>
        <v>26.78</v>
      </c>
      <c r="BH804" s="9">
        <f t="shared" si="108"/>
        <v>910.17</v>
      </c>
      <c r="BI804" s="9">
        <f t="shared" si="109"/>
        <v>1.08</v>
      </c>
      <c r="BJ804" s="9">
        <f t="shared" si="110"/>
        <v>6.48</v>
      </c>
      <c r="BK804" s="9">
        <f t="shared" si="111"/>
        <v>8.24</v>
      </c>
      <c r="BL804" s="9">
        <f t="shared" si="112"/>
        <v>0</v>
      </c>
      <c r="BM804" s="9">
        <f t="shared" si="113"/>
        <v>9.1999999999999993</v>
      </c>
      <c r="BN804" s="9">
        <f t="shared" si="114"/>
        <v>394.39</v>
      </c>
      <c r="BO804" s="9">
        <f t="shared" si="115"/>
        <v>0</v>
      </c>
      <c r="BP804" s="9">
        <f t="shared" si="116"/>
        <v>0</v>
      </c>
    </row>
    <row r="805" spans="1:68">
      <c r="A805" s="6">
        <v>44705</v>
      </c>
      <c r="B805" s="7">
        <v>3122</v>
      </c>
      <c r="C805" s="8">
        <v>2479.4499999999998</v>
      </c>
      <c r="D805" s="8"/>
      <c r="E805" s="8"/>
      <c r="F805" s="8"/>
      <c r="G805" s="8"/>
      <c r="H805" s="8"/>
      <c r="I805" s="8"/>
      <c r="J805" s="8"/>
      <c r="K805" s="8"/>
      <c r="L805" s="8"/>
      <c r="M805" s="8">
        <v>4.3899999999999997</v>
      </c>
      <c r="N805" s="8">
        <v>4.45</v>
      </c>
      <c r="O805" s="8"/>
      <c r="P805" s="8"/>
      <c r="Q805" s="11"/>
      <c r="R805" s="11"/>
      <c r="S805" s="8">
        <v>9.92</v>
      </c>
      <c r="T805" s="8">
        <v>17.39</v>
      </c>
      <c r="U805" s="8">
        <v>7.44</v>
      </c>
      <c r="V805" s="8"/>
      <c r="W805" s="8"/>
      <c r="X805" s="8"/>
      <c r="Y805" s="8"/>
      <c r="Z805" s="8"/>
      <c r="AA805" s="8"/>
      <c r="AB805" s="8"/>
      <c r="AC805" s="8">
        <v>9.91</v>
      </c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11"/>
      <c r="AQ805" s="8"/>
      <c r="AR805" s="8"/>
      <c r="AS805" s="8"/>
      <c r="AT805" s="8">
        <v>1099.96</v>
      </c>
      <c r="AU805" s="8"/>
      <c r="AV805" s="8">
        <v>84.44</v>
      </c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>
        <v>80.66</v>
      </c>
      <c r="BH805" s="9">
        <f t="shared" si="108"/>
        <v>2479.4499999999998</v>
      </c>
      <c r="BI805" s="9">
        <f t="shared" si="109"/>
        <v>8.84</v>
      </c>
      <c r="BJ805" s="9">
        <f t="shared" si="110"/>
        <v>9.92</v>
      </c>
      <c r="BK805" s="9">
        <f t="shared" si="111"/>
        <v>24.830000000000002</v>
      </c>
      <c r="BL805" s="9">
        <f t="shared" si="112"/>
        <v>0</v>
      </c>
      <c r="BM805" s="9">
        <f t="shared" si="113"/>
        <v>9.91</v>
      </c>
      <c r="BN805" s="9">
        <f t="shared" si="114"/>
        <v>1099.96</v>
      </c>
      <c r="BO805" s="9">
        <f t="shared" si="115"/>
        <v>84.44</v>
      </c>
      <c r="BP805" s="9">
        <f t="shared" si="116"/>
        <v>0</v>
      </c>
    </row>
    <row r="806" spans="1:68">
      <c r="A806" s="6">
        <v>44705</v>
      </c>
      <c r="B806" s="7">
        <v>3702</v>
      </c>
      <c r="C806" s="8">
        <v>824.54</v>
      </c>
      <c r="D806" s="8">
        <v>549.4</v>
      </c>
      <c r="E806" s="8"/>
      <c r="F806" s="8"/>
      <c r="G806" s="8"/>
      <c r="H806" s="8"/>
      <c r="I806" s="8"/>
      <c r="J806" s="8"/>
      <c r="K806" s="8"/>
      <c r="L806" s="8"/>
      <c r="M806" s="8">
        <v>2.75</v>
      </c>
      <c r="N806" s="8"/>
      <c r="O806" s="8"/>
      <c r="P806" s="8"/>
      <c r="Q806" s="11"/>
      <c r="R806" s="11"/>
      <c r="S806" s="8">
        <v>6.45</v>
      </c>
      <c r="T806" s="8"/>
      <c r="U806" s="8">
        <v>11</v>
      </c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11"/>
      <c r="AQ806" s="8"/>
      <c r="AR806" s="8"/>
      <c r="AS806" s="8"/>
      <c r="AT806" s="8">
        <v>333.73</v>
      </c>
      <c r="AU806" s="8">
        <v>167.48</v>
      </c>
      <c r="AV806" s="8"/>
      <c r="AW806" s="8">
        <v>2.99</v>
      </c>
      <c r="AX806" s="8"/>
      <c r="AY806" s="8"/>
      <c r="AZ806" s="8"/>
      <c r="BA806" s="8"/>
      <c r="BB806" s="8"/>
      <c r="BC806" s="8"/>
      <c r="BD806" s="8"/>
      <c r="BE806" s="8"/>
      <c r="BF806" s="8"/>
      <c r="BG806" s="8">
        <v>35.14</v>
      </c>
      <c r="BH806" s="9">
        <f t="shared" si="108"/>
        <v>1373.94</v>
      </c>
      <c r="BI806" s="9">
        <f t="shared" si="109"/>
        <v>2.75</v>
      </c>
      <c r="BJ806" s="9">
        <f t="shared" si="110"/>
        <v>6.45</v>
      </c>
      <c r="BK806" s="9">
        <f t="shared" si="111"/>
        <v>11</v>
      </c>
      <c r="BL806" s="9">
        <f t="shared" si="112"/>
        <v>0</v>
      </c>
      <c r="BM806" s="9">
        <f t="shared" si="113"/>
        <v>0</v>
      </c>
      <c r="BN806" s="9">
        <f t="shared" si="114"/>
        <v>501.21000000000004</v>
      </c>
      <c r="BO806" s="9">
        <f t="shared" si="115"/>
        <v>2.99</v>
      </c>
      <c r="BP806" s="9">
        <f t="shared" si="116"/>
        <v>0</v>
      </c>
    </row>
    <row r="807" spans="1:68">
      <c r="A807" s="6">
        <v>44705</v>
      </c>
      <c r="B807" s="7">
        <v>3703</v>
      </c>
      <c r="C807" s="8">
        <v>841.06</v>
      </c>
      <c r="D807" s="8">
        <v>562.67999999999995</v>
      </c>
      <c r="E807" s="8"/>
      <c r="F807" s="8"/>
      <c r="G807" s="8"/>
      <c r="H807" s="8"/>
      <c r="I807" s="8"/>
      <c r="J807" s="8"/>
      <c r="K807" s="8"/>
      <c r="L807" s="8"/>
      <c r="M807" s="8">
        <v>2.81</v>
      </c>
      <c r="N807" s="8"/>
      <c r="O807" s="8"/>
      <c r="P807" s="8"/>
      <c r="Q807" s="11"/>
      <c r="R807" s="11"/>
      <c r="S807" s="8">
        <v>6.88</v>
      </c>
      <c r="T807" s="8"/>
      <c r="U807" s="8">
        <v>11.29</v>
      </c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11"/>
      <c r="AQ807" s="8"/>
      <c r="AR807" s="8"/>
      <c r="AS807" s="8"/>
      <c r="AT807" s="8">
        <v>343.37</v>
      </c>
      <c r="AU807" s="8">
        <v>171.57</v>
      </c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>
        <v>35.96</v>
      </c>
      <c r="BH807" s="9">
        <f t="shared" si="108"/>
        <v>1403.7399999999998</v>
      </c>
      <c r="BI807" s="9">
        <f t="shared" si="109"/>
        <v>2.81</v>
      </c>
      <c r="BJ807" s="9">
        <f t="shared" si="110"/>
        <v>6.88</v>
      </c>
      <c r="BK807" s="9">
        <f t="shared" si="111"/>
        <v>11.29</v>
      </c>
      <c r="BL807" s="9">
        <f t="shared" si="112"/>
        <v>0</v>
      </c>
      <c r="BM807" s="9">
        <f t="shared" si="113"/>
        <v>0</v>
      </c>
      <c r="BN807" s="9">
        <f t="shared" si="114"/>
        <v>514.94000000000005</v>
      </c>
      <c r="BO807" s="9">
        <f t="shared" si="115"/>
        <v>0</v>
      </c>
      <c r="BP807" s="9">
        <f t="shared" si="116"/>
        <v>0</v>
      </c>
    </row>
    <row r="808" spans="1:68">
      <c r="A808" s="6">
        <v>44705</v>
      </c>
      <c r="B808" s="7">
        <v>3704</v>
      </c>
      <c r="C808" s="8">
        <v>647.72</v>
      </c>
      <c r="D808" s="8">
        <v>1004.14</v>
      </c>
      <c r="E808" s="8"/>
      <c r="F808" s="8"/>
      <c r="G808" s="8"/>
      <c r="H808" s="8"/>
      <c r="I808" s="8"/>
      <c r="J808" s="8"/>
      <c r="K808" s="8"/>
      <c r="L808" s="8"/>
      <c r="M808" s="8">
        <v>5.01</v>
      </c>
      <c r="N808" s="8"/>
      <c r="O808" s="8"/>
      <c r="P808" s="8"/>
      <c r="Q808" s="11"/>
      <c r="R808" s="11"/>
      <c r="S808" s="8">
        <v>5.86</v>
      </c>
      <c r="T808" s="8"/>
      <c r="U808" s="8">
        <v>12.58</v>
      </c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>
        <v>20.14</v>
      </c>
      <c r="AM808" s="8"/>
      <c r="AN808" s="8"/>
      <c r="AO808" s="8"/>
      <c r="AP808" s="11"/>
      <c r="AQ808" s="8"/>
      <c r="AR808" s="8"/>
      <c r="AS808" s="8"/>
      <c r="AT808" s="8">
        <v>290.5</v>
      </c>
      <c r="AU808" s="8">
        <v>144.69999999999999</v>
      </c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>
        <v>26.72</v>
      </c>
      <c r="BH808" s="9">
        <f t="shared" si="108"/>
        <v>1651.8600000000001</v>
      </c>
      <c r="BI808" s="9">
        <f t="shared" si="109"/>
        <v>5.01</v>
      </c>
      <c r="BJ808" s="9">
        <f t="shared" si="110"/>
        <v>5.86</v>
      </c>
      <c r="BK808" s="9">
        <f t="shared" si="111"/>
        <v>12.58</v>
      </c>
      <c r="BL808" s="9">
        <f t="shared" si="112"/>
        <v>0</v>
      </c>
      <c r="BM808" s="9">
        <f t="shared" si="113"/>
        <v>20.14</v>
      </c>
      <c r="BN808" s="9">
        <f t="shared" si="114"/>
        <v>435.2</v>
      </c>
      <c r="BO808" s="9">
        <f t="shared" si="115"/>
        <v>0</v>
      </c>
      <c r="BP808" s="9">
        <f t="shared" si="116"/>
        <v>0</v>
      </c>
    </row>
    <row r="809" spans="1:68">
      <c r="A809" s="6">
        <v>44705</v>
      </c>
      <c r="B809" s="7">
        <v>3206</v>
      </c>
      <c r="C809" s="8">
        <v>298.87</v>
      </c>
      <c r="D809" s="8">
        <v>531.42999999999995</v>
      </c>
      <c r="E809" s="8">
        <v>354.27</v>
      </c>
      <c r="F809" s="8"/>
      <c r="G809" s="8"/>
      <c r="H809" s="8"/>
      <c r="I809" s="8"/>
      <c r="J809" s="8"/>
      <c r="K809" s="8"/>
      <c r="L809" s="8"/>
      <c r="M809" s="8"/>
      <c r="N809" s="8"/>
      <c r="O809" s="8">
        <v>2.36</v>
      </c>
      <c r="P809" s="8"/>
      <c r="Q809" s="11"/>
      <c r="R809" s="11"/>
      <c r="S809" s="8">
        <v>5.92</v>
      </c>
      <c r="T809" s="8"/>
      <c r="U809" s="8">
        <v>4.16</v>
      </c>
      <c r="V809" s="8"/>
      <c r="W809" s="8"/>
      <c r="X809" s="8"/>
      <c r="Y809" s="8"/>
      <c r="Z809" s="8">
        <v>71.09</v>
      </c>
      <c r="AA809" s="8"/>
      <c r="AB809" s="8">
        <v>6.01</v>
      </c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11"/>
      <c r="AQ809" s="8"/>
      <c r="AR809" s="8"/>
      <c r="AS809" s="8"/>
      <c r="AT809" s="8">
        <v>207.48</v>
      </c>
      <c r="AU809" s="8">
        <v>103.42</v>
      </c>
      <c r="AV809" s="8"/>
      <c r="AW809" s="8">
        <v>4.49</v>
      </c>
      <c r="AX809" s="8"/>
      <c r="AY809" s="8"/>
      <c r="AZ809" s="8"/>
      <c r="BA809" s="8"/>
      <c r="BB809" s="8"/>
      <c r="BC809" s="8"/>
      <c r="BD809" s="8"/>
      <c r="BE809" s="8"/>
      <c r="BF809" s="8"/>
      <c r="BG809" s="8">
        <v>20.47</v>
      </c>
      <c r="BH809" s="9">
        <f t="shared" si="108"/>
        <v>1184.57</v>
      </c>
      <c r="BI809" s="9">
        <f t="shared" si="109"/>
        <v>2.36</v>
      </c>
      <c r="BJ809" s="9">
        <f t="shared" si="110"/>
        <v>5.92</v>
      </c>
      <c r="BK809" s="9">
        <f t="shared" si="111"/>
        <v>4.16</v>
      </c>
      <c r="BL809" s="9">
        <f t="shared" si="112"/>
        <v>71.09</v>
      </c>
      <c r="BM809" s="9">
        <f t="shared" si="113"/>
        <v>6.01</v>
      </c>
      <c r="BN809" s="9">
        <f t="shared" si="114"/>
        <v>310.89999999999998</v>
      </c>
      <c r="BO809" s="9">
        <f t="shared" si="115"/>
        <v>4.49</v>
      </c>
      <c r="BP809" s="9">
        <f t="shared" si="116"/>
        <v>0</v>
      </c>
    </row>
    <row r="810" spans="1:68">
      <c r="A810" s="6">
        <v>44705</v>
      </c>
      <c r="B810" s="7">
        <v>3205</v>
      </c>
      <c r="C810" s="8">
        <v>683.73</v>
      </c>
      <c r="D810" s="8">
        <v>382.15</v>
      </c>
      <c r="E810" s="8">
        <v>456.07</v>
      </c>
      <c r="F810" s="8"/>
      <c r="G810" s="8"/>
      <c r="H810" s="8"/>
      <c r="I810" s="8"/>
      <c r="J810" s="8"/>
      <c r="K810" s="8"/>
      <c r="L810" s="8"/>
      <c r="M810" s="8"/>
      <c r="N810" s="8"/>
      <c r="O810" s="8">
        <v>6.1</v>
      </c>
      <c r="P810" s="8"/>
      <c r="Q810" s="11"/>
      <c r="R810" s="11"/>
      <c r="S810" s="8">
        <v>5.64</v>
      </c>
      <c r="T810" s="8"/>
      <c r="U810" s="8">
        <v>18.28</v>
      </c>
      <c r="V810" s="8"/>
      <c r="W810" s="8"/>
      <c r="X810" s="8"/>
      <c r="Y810" s="8"/>
      <c r="Z810" s="8">
        <v>152.31</v>
      </c>
      <c r="AA810" s="8"/>
      <c r="AB810" s="8">
        <v>15.6</v>
      </c>
      <c r="AC810" s="8"/>
      <c r="AD810" s="8"/>
      <c r="AE810" s="8">
        <v>7.83</v>
      </c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11"/>
      <c r="AQ810" s="8"/>
      <c r="AR810" s="8"/>
      <c r="AS810" s="8"/>
      <c r="AT810" s="8">
        <v>398.69</v>
      </c>
      <c r="AU810" s="8">
        <v>198.42</v>
      </c>
      <c r="AV810" s="8"/>
      <c r="AW810" s="8">
        <v>6.52</v>
      </c>
      <c r="AX810" s="8"/>
      <c r="AY810" s="8"/>
      <c r="AZ810" s="8"/>
      <c r="BA810" s="8"/>
      <c r="BB810" s="8"/>
      <c r="BC810" s="8"/>
      <c r="BD810" s="8"/>
      <c r="BE810" s="8"/>
      <c r="BF810" s="8"/>
      <c r="BG810" s="8">
        <v>36.24</v>
      </c>
      <c r="BH810" s="9">
        <f t="shared" si="108"/>
        <v>1521.95</v>
      </c>
      <c r="BI810" s="9">
        <f t="shared" si="109"/>
        <v>6.1</v>
      </c>
      <c r="BJ810" s="9">
        <f t="shared" si="110"/>
        <v>5.64</v>
      </c>
      <c r="BK810" s="9">
        <f t="shared" si="111"/>
        <v>18.28</v>
      </c>
      <c r="BL810" s="9">
        <f t="shared" si="112"/>
        <v>152.31</v>
      </c>
      <c r="BM810" s="9">
        <f t="shared" si="113"/>
        <v>23.43</v>
      </c>
      <c r="BN810" s="9">
        <f t="shared" si="114"/>
        <v>597.11</v>
      </c>
      <c r="BO810" s="9">
        <f t="shared" si="115"/>
        <v>6.52</v>
      </c>
      <c r="BP810" s="9">
        <f t="shared" si="116"/>
        <v>0</v>
      </c>
    </row>
    <row r="811" spans="1:68">
      <c r="A811" s="6">
        <v>44705</v>
      </c>
      <c r="B811" s="7">
        <v>3204</v>
      </c>
      <c r="C811" s="8"/>
      <c r="D811" s="8">
        <v>1760.47</v>
      </c>
      <c r="E811" s="8">
        <v>751.15</v>
      </c>
      <c r="F811" s="8"/>
      <c r="G811" s="8"/>
      <c r="H811" s="8"/>
      <c r="I811" s="8"/>
      <c r="J811" s="8"/>
      <c r="K811" s="8"/>
      <c r="L811" s="8"/>
      <c r="M811" s="8"/>
      <c r="N811" s="8"/>
      <c r="O811" s="8">
        <v>12.6</v>
      </c>
      <c r="P811" s="8"/>
      <c r="Q811" s="11"/>
      <c r="R811" s="11"/>
      <c r="S811" s="8">
        <v>8.5399999999999991</v>
      </c>
      <c r="T811" s="8">
        <v>15.1</v>
      </c>
      <c r="U811" s="8">
        <v>12.59</v>
      </c>
      <c r="V811" s="8"/>
      <c r="W811" s="8"/>
      <c r="X811" s="8"/>
      <c r="Y811" s="8"/>
      <c r="Z811" s="8">
        <v>377.12</v>
      </c>
      <c r="AA811" s="8"/>
      <c r="AB811" s="8">
        <v>12.75</v>
      </c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11"/>
      <c r="AQ811" s="8"/>
      <c r="AR811" s="8"/>
      <c r="AS811" s="8"/>
      <c r="AT811" s="8">
        <v>1104.8699999999999</v>
      </c>
      <c r="AU811" s="8"/>
      <c r="AV811" s="8"/>
      <c r="AW811" s="8">
        <v>8</v>
      </c>
      <c r="AX811" s="8"/>
      <c r="AY811" s="8"/>
      <c r="AZ811" s="8"/>
      <c r="BA811" s="8"/>
      <c r="BB811" s="8"/>
      <c r="BC811" s="8"/>
      <c r="BD811" s="8"/>
      <c r="BE811" s="8"/>
      <c r="BF811" s="8"/>
      <c r="BG811" s="8">
        <v>81.72</v>
      </c>
      <c r="BH811" s="9">
        <f t="shared" si="108"/>
        <v>2511.62</v>
      </c>
      <c r="BI811" s="9">
        <f t="shared" si="109"/>
        <v>12.6</v>
      </c>
      <c r="BJ811" s="9">
        <f t="shared" si="110"/>
        <v>8.5399999999999991</v>
      </c>
      <c r="BK811" s="9">
        <f t="shared" si="111"/>
        <v>27.689999999999998</v>
      </c>
      <c r="BL811" s="9">
        <f t="shared" si="112"/>
        <v>377.12</v>
      </c>
      <c r="BM811" s="9">
        <f t="shared" si="113"/>
        <v>12.75</v>
      </c>
      <c r="BN811" s="9">
        <f t="shared" si="114"/>
        <v>1104.8699999999999</v>
      </c>
      <c r="BO811" s="9">
        <f t="shared" si="115"/>
        <v>8</v>
      </c>
      <c r="BP811" s="9">
        <f t="shared" si="116"/>
        <v>0</v>
      </c>
    </row>
    <row r="812" spans="1:68">
      <c r="A812" s="6">
        <v>44705</v>
      </c>
      <c r="B812" s="7">
        <v>3106</v>
      </c>
      <c r="C812" s="8">
        <v>4112.3599999999997</v>
      </c>
      <c r="D812" s="8"/>
      <c r="E812" s="8"/>
      <c r="F812" s="8"/>
      <c r="G812" s="8"/>
      <c r="H812" s="8"/>
      <c r="I812" s="8"/>
      <c r="J812" s="8"/>
      <c r="K812" s="8"/>
      <c r="L812" s="8"/>
      <c r="M812" s="8">
        <v>11.17</v>
      </c>
      <c r="N812" s="8"/>
      <c r="O812" s="8"/>
      <c r="P812" s="8"/>
      <c r="Q812" s="11"/>
      <c r="R812" s="11"/>
      <c r="S812" s="8">
        <v>12.4</v>
      </c>
      <c r="T812" s="8">
        <v>52.47</v>
      </c>
      <c r="U812" s="8"/>
      <c r="V812" s="8"/>
      <c r="W812" s="8"/>
      <c r="X812" s="8"/>
      <c r="Y812" s="8"/>
      <c r="Z812" s="8"/>
      <c r="AA812" s="8"/>
      <c r="AB812" s="8"/>
      <c r="AC812" s="8">
        <v>16.46</v>
      </c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11"/>
      <c r="AQ812" s="8"/>
      <c r="AR812" s="8"/>
      <c r="AS812" s="8"/>
      <c r="AT812" s="8">
        <v>2356.46</v>
      </c>
      <c r="AU812" s="8"/>
      <c r="AV812" s="8"/>
      <c r="AW812" s="8"/>
      <c r="AX812" s="8">
        <v>5.15</v>
      </c>
      <c r="AY812" s="8"/>
      <c r="AZ812" s="8"/>
      <c r="BA812" s="8"/>
      <c r="BB812" s="8"/>
      <c r="BC812" s="8"/>
      <c r="BD812" s="8"/>
      <c r="BE812" s="8"/>
      <c r="BF812" s="8"/>
      <c r="BG812" s="8">
        <v>177.63</v>
      </c>
      <c r="BH812" s="9">
        <f t="shared" si="108"/>
        <v>4112.3599999999997</v>
      </c>
      <c r="BI812" s="9">
        <f t="shared" si="109"/>
        <v>11.17</v>
      </c>
      <c r="BJ812" s="9">
        <f t="shared" si="110"/>
        <v>12.4</v>
      </c>
      <c r="BK812" s="9">
        <f t="shared" si="111"/>
        <v>52.47</v>
      </c>
      <c r="BL812" s="9">
        <f t="shared" si="112"/>
        <v>0</v>
      </c>
      <c r="BM812" s="9">
        <f t="shared" si="113"/>
        <v>16.46</v>
      </c>
      <c r="BN812" s="9">
        <f t="shared" si="114"/>
        <v>2356.46</v>
      </c>
      <c r="BO812" s="9">
        <f t="shared" si="115"/>
        <v>5.15</v>
      </c>
      <c r="BP812" s="9">
        <f t="shared" si="116"/>
        <v>0</v>
      </c>
    </row>
    <row r="813" spans="1:68">
      <c r="A813" s="6">
        <v>44705</v>
      </c>
      <c r="B813" s="7">
        <v>3134</v>
      </c>
      <c r="C813" s="8">
        <v>2044.24</v>
      </c>
      <c r="D813" s="8">
        <v>284.79000000000002</v>
      </c>
      <c r="E813" s="8"/>
      <c r="F813" s="8"/>
      <c r="G813" s="8"/>
      <c r="H813" s="8">
        <v>968.29</v>
      </c>
      <c r="I813" s="8"/>
      <c r="J813" s="8"/>
      <c r="K813" s="8"/>
      <c r="L813" s="8"/>
      <c r="M813" s="8">
        <v>6.13</v>
      </c>
      <c r="N813" s="8"/>
      <c r="O813" s="8"/>
      <c r="P813" s="8"/>
      <c r="Q813" s="11"/>
      <c r="R813" s="11"/>
      <c r="S813" s="8">
        <v>13.2</v>
      </c>
      <c r="T813" s="8">
        <v>20.12</v>
      </c>
      <c r="U813" s="8">
        <v>17.239999999999998</v>
      </c>
      <c r="V813" s="8"/>
      <c r="W813" s="8"/>
      <c r="X813" s="8"/>
      <c r="Y813" s="8"/>
      <c r="Z813" s="8"/>
      <c r="AA813" s="8"/>
      <c r="AB813" s="8"/>
      <c r="AC813" s="8">
        <v>11.48</v>
      </c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11"/>
      <c r="AQ813" s="8"/>
      <c r="AR813" s="8"/>
      <c r="AS813" s="8"/>
      <c r="AT813" s="8">
        <v>2025.39</v>
      </c>
      <c r="AU813" s="8"/>
      <c r="AV813" s="8"/>
      <c r="AW813" s="8"/>
      <c r="AX813" s="8"/>
      <c r="AY813" s="8">
        <v>28.77</v>
      </c>
      <c r="AZ813" s="8"/>
      <c r="BA813" s="8"/>
      <c r="BB813" s="8"/>
      <c r="BC813" s="8"/>
      <c r="BD813" s="8"/>
      <c r="BE813" s="8"/>
      <c r="BF813" s="8">
        <v>129.15</v>
      </c>
      <c r="BG813" s="8">
        <v>152.97</v>
      </c>
      <c r="BH813" s="9">
        <f t="shared" si="108"/>
        <v>3297.32</v>
      </c>
      <c r="BI813" s="9">
        <f t="shared" si="109"/>
        <v>6.13</v>
      </c>
      <c r="BJ813" s="9">
        <f t="shared" si="110"/>
        <v>13.2</v>
      </c>
      <c r="BK813" s="9">
        <f t="shared" si="111"/>
        <v>37.36</v>
      </c>
      <c r="BL813" s="9">
        <f t="shared" si="112"/>
        <v>0</v>
      </c>
      <c r="BM813" s="9">
        <f t="shared" si="113"/>
        <v>11.48</v>
      </c>
      <c r="BN813" s="9">
        <f t="shared" si="114"/>
        <v>2025.39</v>
      </c>
      <c r="BO813" s="9">
        <f t="shared" si="115"/>
        <v>28.77</v>
      </c>
      <c r="BP813" s="9">
        <f t="shared" si="116"/>
        <v>129.15</v>
      </c>
    </row>
    <row r="814" spans="1:68">
      <c r="A814" s="6">
        <v>44705</v>
      </c>
      <c r="B814" s="7">
        <v>3200</v>
      </c>
      <c r="C814" s="8">
        <v>1198.4100000000001</v>
      </c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>
        <v>3</v>
      </c>
      <c r="P814" s="8"/>
      <c r="Q814" s="11"/>
      <c r="R814" s="11"/>
      <c r="S814" s="8">
        <v>4.67</v>
      </c>
      <c r="T814" s="8"/>
      <c r="U814" s="8">
        <v>18.02</v>
      </c>
      <c r="V814" s="8"/>
      <c r="W814" s="8"/>
      <c r="X814" s="8"/>
      <c r="Y814" s="8"/>
      <c r="Z814" s="8">
        <v>252.23</v>
      </c>
      <c r="AA814" s="8"/>
      <c r="AB814" s="8"/>
      <c r="AC814" s="8"/>
      <c r="AD814" s="8"/>
      <c r="AE814" s="8">
        <v>18.14</v>
      </c>
      <c r="AF814" s="8">
        <v>59.85</v>
      </c>
      <c r="AG814" s="8"/>
      <c r="AH814" s="8"/>
      <c r="AI814" s="8"/>
      <c r="AJ814" s="8"/>
      <c r="AK814" s="8"/>
      <c r="AL814" s="8"/>
      <c r="AM814" s="8"/>
      <c r="AN814" s="8"/>
      <c r="AO814" s="8"/>
      <c r="AP814" s="11"/>
      <c r="AQ814" s="8"/>
      <c r="AR814" s="8"/>
      <c r="AS814" s="8"/>
      <c r="AT814" s="8">
        <v>821.87</v>
      </c>
      <c r="AU814" s="8"/>
      <c r="AV814" s="8"/>
      <c r="AW814" s="8">
        <v>3.41</v>
      </c>
      <c r="AX814" s="8"/>
      <c r="AY814" s="8"/>
      <c r="AZ814" s="8"/>
      <c r="BA814" s="8"/>
      <c r="BB814" s="8"/>
      <c r="BC814" s="8"/>
      <c r="BD814" s="8"/>
      <c r="BE814" s="8"/>
      <c r="BF814" s="8">
        <v>57.56</v>
      </c>
      <c r="BG814" s="8">
        <v>59.55</v>
      </c>
      <c r="BH814" s="9">
        <f t="shared" si="108"/>
        <v>1198.4100000000001</v>
      </c>
      <c r="BI814" s="9">
        <f t="shared" si="109"/>
        <v>3</v>
      </c>
      <c r="BJ814" s="9">
        <f t="shared" si="110"/>
        <v>4.67</v>
      </c>
      <c r="BK814" s="9">
        <f t="shared" si="111"/>
        <v>18.02</v>
      </c>
      <c r="BL814" s="9">
        <f t="shared" si="112"/>
        <v>252.23</v>
      </c>
      <c r="BM814" s="9">
        <f t="shared" si="113"/>
        <v>77.990000000000009</v>
      </c>
      <c r="BN814" s="9">
        <f t="shared" si="114"/>
        <v>821.87</v>
      </c>
      <c r="BO814" s="9">
        <f t="shared" si="115"/>
        <v>3.41</v>
      </c>
      <c r="BP814" s="9">
        <f t="shared" si="116"/>
        <v>57.56</v>
      </c>
    </row>
    <row r="815" spans="1:68">
      <c r="A815" s="6">
        <v>44706</v>
      </c>
      <c r="B815" s="7">
        <v>3028</v>
      </c>
      <c r="C815" s="8"/>
      <c r="D815" s="8">
        <v>788.7</v>
      </c>
      <c r="E815" s="8"/>
      <c r="F815" s="8">
        <v>721.68</v>
      </c>
      <c r="G815" s="8"/>
      <c r="H815" s="8"/>
      <c r="I815" s="8">
        <v>1638.14</v>
      </c>
      <c r="J815" s="8"/>
      <c r="K815" s="8"/>
      <c r="L815" s="8"/>
      <c r="M815" s="8"/>
      <c r="N815" s="8">
        <v>23.59</v>
      </c>
      <c r="O815" s="8"/>
      <c r="P815" s="8"/>
      <c r="Q815" s="11"/>
      <c r="R815" s="11"/>
      <c r="S815" s="8">
        <v>4.42</v>
      </c>
      <c r="T815" s="8"/>
      <c r="U815" s="8"/>
      <c r="V815" s="8"/>
      <c r="W815" s="8">
        <v>23.05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>
        <v>31.44</v>
      </c>
      <c r="AN815" s="8">
        <v>21.93</v>
      </c>
      <c r="AO815" s="8"/>
      <c r="AP815" s="11"/>
      <c r="AQ815" s="8"/>
      <c r="AR815" s="8"/>
      <c r="AS815" s="8">
        <v>103.17</v>
      </c>
      <c r="AT815" s="8">
        <v>1050.2</v>
      </c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>
        <v>70.81</v>
      </c>
      <c r="BH815" s="9">
        <f t="shared" si="108"/>
        <v>3148.5200000000004</v>
      </c>
      <c r="BI815" s="9">
        <f t="shared" si="109"/>
        <v>23.59</v>
      </c>
      <c r="BJ815" s="9">
        <f t="shared" si="110"/>
        <v>4.42</v>
      </c>
      <c r="BK815" s="9">
        <f t="shared" si="111"/>
        <v>23.05</v>
      </c>
      <c r="BL815" s="9">
        <f t="shared" si="112"/>
        <v>0</v>
      </c>
      <c r="BM815" s="9">
        <f t="shared" si="113"/>
        <v>156.54000000000002</v>
      </c>
      <c r="BN815" s="9">
        <f t="shared" si="114"/>
        <v>1050.2</v>
      </c>
      <c r="BO815" s="9">
        <f t="shared" si="115"/>
        <v>0</v>
      </c>
      <c r="BP815" s="9">
        <f t="shared" si="116"/>
        <v>0</v>
      </c>
    </row>
    <row r="816" spans="1:68">
      <c r="A816" s="6">
        <v>44706</v>
      </c>
      <c r="B816" s="7">
        <v>3024</v>
      </c>
      <c r="C816" s="8"/>
      <c r="D816" s="8">
        <v>655.16</v>
      </c>
      <c r="E816" s="8"/>
      <c r="F816" s="8"/>
      <c r="G816" s="8"/>
      <c r="H816" s="8"/>
      <c r="I816" s="8">
        <v>653.96</v>
      </c>
      <c r="J816" s="8"/>
      <c r="K816" s="8"/>
      <c r="L816" s="8"/>
      <c r="M816" s="8"/>
      <c r="N816" s="8">
        <v>7.86</v>
      </c>
      <c r="O816" s="8"/>
      <c r="P816" s="8"/>
      <c r="Q816" s="11"/>
      <c r="R816" s="11"/>
      <c r="S816" s="8">
        <v>2.09</v>
      </c>
      <c r="T816" s="8"/>
      <c r="U816" s="8"/>
      <c r="V816" s="8"/>
      <c r="W816" s="8">
        <v>10.54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>
        <v>13.11</v>
      </c>
      <c r="AN816" s="8">
        <v>9.2799999999999994</v>
      </c>
      <c r="AO816" s="8"/>
      <c r="AP816" s="11"/>
      <c r="AQ816" s="8"/>
      <c r="AR816" s="8"/>
      <c r="AS816" s="8">
        <v>42.56</v>
      </c>
      <c r="AT816" s="8">
        <v>503.66</v>
      </c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>
        <v>503.66</v>
      </c>
      <c r="BH816" s="9">
        <f t="shared" si="108"/>
        <v>1309.1199999999999</v>
      </c>
      <c r="BI816" s="9">
        <f t="shared" si="109"/>
        <v>7.86</v>
      </c>
      <c r="BJ816" s="9">
        <f t="shared" si="110"/>
        <v>2.09</v>
      </c>
      <c r="BK816" s="9">
        <f t="shared" si="111"/>
        <v>10.54</v>
      </c>
      <c r="BL816" s="9">
        <f t="shared" si="112"/>
        <v>0</v>
      </c>
      <c r="BM816" s="9">
        <f t="shared" si="113"/>
        <v>64.95</v>
      </c>
      <c r="BN816" s="9">
        <f t="shared" si="114"/>
        <v>503.66</v>
      </c>
      <c r="BO816" s="9">
        <f t="shared" si="115"/>
        <v>0</v>
      </c>
      <c r="BP816" s="9">
        <f t="shared" si="116"/>
        <v>0</v>
      </c>
    </row>
    <row r="817" spans="1:68">
      <c r="A817" s="6">
        <v>44706</v>
      </c>
      <c r="B817" s="7">
        <v>3005</v>
      </c>
      <c r="C817" s="8">
        <v>799.26</v>
      </c>
      <c r="D817" s="8">
        <v>532.45000000000005</v>
      </c>
      <c r="E817" s="8"/>
      <c r="F817" s="8"/>
      <c r="G817" s="8"/>
      <c r="H817" s="8"/>
      <c r="I817" s="8"/>
      <c r="J817" s="8"/>
      <c r="K817" s="8"/>
      <c r="L817" s="8"/>
      <c r="M817" s="8"/>
      <c r="N817" s="8">
        <v>1.33</v>
      </c>
      <c r="O817" s="8"/>
      <c r="P817" s="8"/>
      <c r="Q817" s="11"/>
      <c r="R817" s="11"/>
      <c r="S817" s="8">
        <v>4.66</v>
      </c>
      <c r="T817" s="8">
        <v>14.69</v>
      </c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11"/>
      <c r="AQ817" s="8"/>
      <c r="AR817" s="8"/>
      <c r="AS817" s="8"/>
      <c r="AT817" s="8">
        <v>651.80999999999995</v>
      </c>
      <c r="AU817" s="8"/>
      <c r="AV817" s="8"/>
      <c r="AW817" s="8">
        <v>14.79</v>
      </c>
      <c r="AX817" s="8"/>
      <c r="AY817" s="8"/>
      <c r="AZ817" s="8"/>
      <c r="BA817" s="8"/>
      <c r="BB817" s="8"/>
      <c r="BC817" s="8"/>
      <c r="BD817" s="8"/>
      <c r="BE817" s="8"/>
      <c r="BF817" s="8"/>
      <c r="BG817" s="8">
        <v>48.55</v>
      </c>
      <c r="BH817" s="9">
        <f t="shared" si="108"/>
        <v>1331.71</v>
      </c>
      <c r="BI817" s="9">
        <f t="shared" si="109"/>
        <v>1.33</v>
      </c>
      <c r="BJ817" s="9">
        <f t="shared" si="110"/>
        <v>4.66</v>
      </c>
      <c r="BK817" s="9">
        <f t="shared" si="111"/>
        <v>14.69</v>
      </c>
      <c r="BL817" s="9">
        <f t="shared" si="112"/>
        <v>0</v>
      </c>
      <c r="BM817" s="9">
        <f t="shared" si="113"/>
        <v>0</v>
      </c>
      <c r="BN817" s="9">
        <f t="shared" si="114"/>
        <v>651.80999999999995</v>
      </c>
      <c r="BO817" s="9">
        <f t="shared" si="115"/>
        <v>14.79</v>
      </c>
      <c r="BP817" s="9">
        <f t="shared" si="116"/>
        <v>0</v>
      </c>
    </row>
    <row r="818" spans="1:68">
      <c r="A818" s="6">
        <v>44706</v>
      </c>
      <c r="B818" s="7">
        <v>3201</v>
      </c>
      <c r="C818" s="8">
        <v>1181.02</v>
      </c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>
        <v>2.98</v>
      </c>
      <c r="P818" s="8"/>
      <c r="Q818" s="11"/>
      <c r="R818" s="11"/>
      <c r="S818" s="8">
        <v>4.51</v>
      </c>
      <c r="T818" s="8"/>
      <c r="U818" s="8">
        <v>17.829999999999998</v>
      </c>
      <c r="V818" s="8"/>
      <c r="W818" s="8"/>
      <c r="X818" s="8"/>
      <c r="Y818" s="8"/>
      <c r="Z818" s="8">
        <v>249.6</v>
      </c>
      <c r="AA818" s="8"/>
      <c r="AB818" s="8"/>
      <c r="AC818" s="8"/>
      <c r="AD818" s="8"/>
      <c r="AE818" s="8">
        <v>18.14</v>
      </c>
      <c r="AF818" s="8">
        <v>59.39</v>
      </c>
      <c r="AG818" s="8"/>
      <c r="AH818" s="8"/>
      <c r="AI818" s="8"/>
      <c r="AJ818" s="8"/>
      <c r="AK818" s="8"/>
      <c r="AL818" s="8"/>
      <c r="AM818" s="8"/>
      <c r="AN818" s="8"/>
      <c r="AO818" s="8"/>
      <c r="AP818" s="11"/>
      <c r="AQ818" s="8"/>
      <c r="AR818" s="8"/>
      <c r="AS818" s="8"/>
      <c r="AT818" s="8">
        <v>823.98</v>
      </c>
      <c r="AU818" s="8"/>
      <c r="AV818" s="8"/>
      <c r="AW818" s="8"/>
      <c r="AX818" s="8"/>
      <c r="AY818" s="8"/>
      <c r="AZ818" s="8"/>
      <c r="BA818" s="8"/>
      <c r="BB818" s="8"/>
      <c r="BC818" s="8">
        <v>3.09</v>
      </c>
      <c r="BD818" s="8"/>
      <c r="BE818" s="8"/>
      <c r="BF818" s="8">
        <v>57.04</v>
      </c>
      <c r="BG818" s="8">
        <v>58.96</v>
      </c>
      <c r="BH818" s="9">
        <f t="shared" si="108"/>
        <v>1181.02</v>
      </c>
      <c r="BI818" s="9">
        <f t="shared" si="109"/>
        <v>2.98</v>
      </c>
      <c r="BJ818" s="9">
        <f t="shared" si="110"/>
        <v>4.51</v>
      </c>
      <c r="BK818" s="9">
        <f t="shared" si="111"/>
        <v>17.829999999999998</v>
      </c>
      <c r="BL818" s="9">
        <f t="shared" si="112"/>
        <v>249.6</v>
      </c>
      <c r="BM818" s="9">
        <f t="shared" si="113"/>
        <v>77.53</v>
      </c>
      <c r="BN818" s="9">
        <f t="shared" si="114"/>
        <v>823.98</v>
      </c>
      <c r="BO818" s="9">
        <f t="shared" si="115"/>
        <v>3.09</v>
      </c>
      <c r="BP818" s="9">
        <f t="shared" si="116"/>
        <v>57.04</v>
      </c>
    </row>
    <row r="819" spans="1:68">
      <c r="A819" s="6">
        <v>44706</v>
      </c>
      <c r="B819" s="7">
        <v>3106</v>
      </c>
      <c r="C819" s="8">
        <v>4058.75</v>
      </c>
      <c r="D819" s="8"/>
      <c r="E819" s="8"/>
      <c r="F819" s="8"/>
      <c r="G819" s="8"/>
      <c r="H819" s="8"/>
      <c r="I819" s="8"/>
      <c r="J819" s="8"/>
      <c r="K819" s="8"/>
      <c r="L819" s="8"/>
      <c r="M819" s="8">
        <v>10.83</v>
      </c>
      <c r="N819" s="8"/>
      <c r="O819" s="8"/>
      <c r="P819" s="8"/>
      <c r="Q819" s="11"/>
      <c r="R819" s="11"/>
      <c r="S819" s="8">
        <v>12.21</v>
      </c>
      <c r="T819" s="8">
        <v>51.59</v>
      </c>
      <c r="U819" s="8"/>
      <c r="V819" s="8"/>
      <c r="W819" s="8"/>
      <c r="X819" s="8"/>
      <c r="Y819" s="8"/>
      <c r="Z819" s="8"/>
      <c r="AA819" s="8"/>
      <c r="AB819" s="8"/>
      <c r="AC819" s="8">
        <v>16.239999999999998</v>
      </c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11"/>
      <c r="AQ819" s="8"/>
      <c r="AR819" s="8"/>
      <c r="AS819" s="8"/>
      <c r="AT819" s="8">
        <v>2322.39</v>
      </c>
      <c r="AU819" s="8"/>
      <c r="AV819" s="8"/>
      <c r="AW819" s="8"/>
      <c r="AX819" s="8">
        <v>5.07</v>
      </c>
      <c r="AY819" s="8"/>
      <c r="AZ819" s="8"/>
      <c r="BA819" s="8"/>
      <c r="BB819" s="8"/>
      <c r="BC819" s="8"/>
      <c r="BD819" s="8"/>
      <c r="BE819" s="8"/>
      <c r="BF819" s="8"/>
      <c r="BG819" s="8">
        <v>174.97</v>
      </c>
      <c r="BH819" s="9">
        <f t="shared" si="108"/>
        <v>4058.75</v>
      </c>
      <c r="BI819" s="9">
        <f t="shared" si="109"/>
        <v>10.83</v>
      </c>
      <c r="BJ819" s="9">
        <f t="shared" si="110"/>
        <v>12.21</v>
      </c>
      <c r="BK819" s="9">
        <f t="shared" si="111"/>
        <v>51.59</v>
      </c>
      <c r="BL819" s="9">
        <f t="shared" si="112"/>
        <v>0</v>
      </c>
      <c r="BM819" s="9">
        <f t="shared" si="113"/>
        <v>16.239999999999998</v>
      </c>
      <c r="BN819" s="9">
        <f t="shared" si="114"/>
        <v>2322.39</v>
      </c>
      <c r="BO819" s="9">
        <f t="shared" si="115"/>
        <v>5.07</v>
      </c>
      <c r="BP819" s="9">
        <f t="shared" si="116"/>
        <v>0</v>
      </c>
    </row>
    <row r="820" spans="1:68">
      <c r="A820" s="6">
        <v>44706</v>
      </c>
      <c r="B820" s="7">
        <v>3141</v>
      </c>
      <c r="C820" s="8">
        <v>3562.58</v>
      </c>
      <c r="D820" s="8">
        <v>630.25</v>
      </c>
      <c r="E820" s="8"/>
      <c r="F820" s="8"/>
      <c r="G820" s="8"/>
      <c r="H820" s="8"/>
      <c r="I820" s="8"/>
      <c r="J820" s="8"/>
      <c r="K820" s="8"/>
      <c r="L820" s="8"/>
      <c r="M820" s="8">
        <v>10.64</v>
      </c>
      <c r="N820" s="8"/>
      <c r="O820" s="8"/>
      <c r="P820" s="8"/>
      <c r="Q820" s="11"/>
      <c r="R820" s="11"/>
      <c r="S820" s="8">
        <v>19.77</v>
      </c>
      <c r="T820" s="8">
        <v>31.5</v>
      </c>
      <c r="U820" s="8">
        <v>31.59</v>
      </c>
      <c r="V820" s="8"/>
      <c r="W820" s="8"/>
      <c r="X820" s="8"/>
      <c r="Y820" s="8"/>
      <c r="Z820" s="8"/>
      <c r="AA820" s="8"/>
      <c r="AB820" s="8"/>
      <c r="AC820" s="8">
        <v>16.829999999999998</v>
      </c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11"/>
      <c r="AQ820" s="8"/>
      <c r="AR820" s="8"/>
      <c r="AS820" s="8"/>
      <c r="AT820" s="8">
        <v>2782.13</v>
      </c>
      <c r="AU820" s="8"/>
      <c r="AV820" s="8"/>
      <c r="AW820" s="8"/>
      <c r="AX820" s="8"/>
      <c r="AY820" s="8"/>
      <c r="AZ820" s="8"/>
      <c r="BA820" s="8">
        <v>96.41</v>
      </c>
      <c r="BB820" s="8"/>
      <c r="BC820" s="8"/>
      <c r="BD820" s="8"/>
      <c r="BE820" s="8"/>
      <c r="BF820" s="8">
        <v>294.01</v>
      </c>
      <c r="BG820" s="8">
        <v>218.18</v>
      </c>
      <c r="BH820" s="9">
        <f t="shared" si="108"/>
        <v>4192.83</v>
      </c>
      <c r="BI820" s="9">
        <f t="shared" si="109"/>
        <v>10.64</v>
      </c>
      <c r="BJ820" s="9">
        <f t="shared" si="110"/>
        <v>19.77</v>
      </c>
      <c r="BK820" s="9">
        <f t="shared" si="111"/>
        <v>63.09</v>
      </c>
      <c r="BL820" s="9">
        <f t="shared" si="112"/>
        <v>0</v>
      </c>
      <c r="BM820" s="9">
        <f t="shared" si="113"/>
        <v>16.829999999999998</v>
      </c>
      <c r="BN820" s="9">
        <f t="shared" si="114"/>
        <v>2782.13</v>
      </c>
      <c r="BO820" s="9">
        <f t="shared" si="115"/>
        <v>96.41</v>
      </c>
      <c r="BP820" s="9">
        <f t="shared" si="116"/>
        <v>294.01</v>
      </c>
    </row>
    <row r="821" spans="1:68">
      <c r="A821" s="6">
        <v>44706</v>
      </c>
      <c r="B821" s="7">
        <v>3704</v>
      </c>
      <c r="C821" s="8">
        <v>653.47</v>
      </c>
      <c r="D821" s="8">
        <v>1011.98</v>
      </c>
      <c r="E821" s="8"/>
      <c r="F821" s="8"/>
      <c r="G821" s="8"/>
      <c r="H821" s="8"/>
      <c r="I821" s="8"/>
      <c r="J821" s="8"/>
      <c r="K821" s="8"/>
      <c r="L821" s="8"/>
      <c r="M821" s="8">
        <v>5.0599999999999996</v>
      </c>
      <c r="N821" s="8"/>
      <c r="O821" s="8"/>
      <c r="P821" s="8"/>
      <c r="Q821" s="11"/>
      <c r="R821" s="11"/>
      <c r="S821" s="8">
        <v>5.9</v>
      </c>
      <c r="T821" s="8"/>
      <c r="U821" s="8">
        <v>12.67</v>
      </c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>
        <v>20.329999999999998</v>
      </c>
      <c r="AM821" s="8"/>
      <c r="AN821" s="8"/>
      <c r="AO821" s="8"/>
      <c r="AP821" s="11"/>
      <c r="AQ821" s="8"/>
      <c r="AR821" s="8"/>
      <c r="AS821" s="8"/>
      <c r="AT821" s="8">
        <v>292.08999999999997</v>
      </c>
      <c r="AU821" s="8">
        <v>145.68</v>
      </c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>
        <v>26.94</v>
      </c>
      <c r="BH821" s="9">
        <f t="shared" si="108"/>
        <v>1665.45</v>
      </c>
      <c r="BI821" s="9">
        <f t="shared" si="109"/>
        <v>5.0599999999999996</v>
      </c>
      <c r="BJ821" s="9">
        <f t="shared" si="110"/>
        <v>5.9</v>
      </c>
      <c r="BK821" s="9">
        <f t="shared" si="111"/>
        <v>12.67</v>
      </c>
      <c r="BL821" s="9">
        <f t="shared" si="112"/>
        <v>0</v>
      </c>
      <c r="BM821" s="9">
        <f t="shared" si="113"/>
        <v>20.329999999999998</v>
      </c>
      <c r="BN821" s="9">
        <f t="shared" si="114"/>
        <v>437.77</v>
      </c>
      <c r="BO821" s="9">
        <f t="shared" si="115"/>
        <v>0</v>
      </c>
      <c r="BP821" s="9">
        <f t="shared" si="116"/>
        <v>0</v>
      </c>
    </row>
    <row r="822" spans="1:68">
      <c r="A822" s="6">
        <v>44706</v>
      </c>
      <c r="B822" s="7">
        <v>3702</v>
      </c>
      <c r="C822" s="8">
        <v>838.13</v>
      </c>
      <c r="D822" s="8">
        <v>560.27</v>
      </c>
      <c r="E822" s="8"/>
      <c r="F822" s="8"/>
      <c r="G822" s="8"/>
      <c r="H822" s="8"/>
      <c r="I822" s="8"/>
      <c r="J822" s="8"/>
      <c r="K822" s="8"/>
      <c r="L822" s="8"/>
      <c r="M822" s="8">
        <v>2.81</v>
      </c>
      <c r="N822" s="8"/>
      <c r="O822" s="8"/>
      <c r="P822" s="8"/>
      <c r="Q822" s="11"/>
      <c r="R822" s="11"/>
      <c r="S822" s="8">
        <v>6.57</v>
      </c>
      <c r="T822" s="8"/>
      <c r="U822" s="8">
        <v>11.21</v>
      </c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11"/>
      <c r="AQ822" s="8"/>
      <c r="AR822" s="8"/>
      <c r="AS822" s="8"/>
      <c r="AT822" s="8">
        <v>342.64</v>
      </c>
      <c r="AU822" s="8">
        <v>170.41</v>
      </c>
      <c r="AV822" s="8"/>
      <c r="AW822" s="8">
        <v>3.08</v>
      </c>
      <c r="AX822" s="8"/>
      <c r="AY822" s="8"/>
      <c r="AZ822" s="8"/>
      <c r="BA822" s="8"/>
      <c r="BB822" s="8"/>
      <c r="BC822" s="8"/>
      <c r="BD822" s="8"/>
      <c r="BE822" s="8"/>
      <c r="BF822" s="8"/>
      <c r="BG822" s="8">
        <v>35.81</v>
      </c>
      <c r="BH822" s="9">
        <f t="shared" si="108"/>
        <v>1398.4</v>
      </c>
      <c r="BI822" s="9">
        <f t="shared" si="109"/>
        <v>2.81</v>
      </c>
      <c r="BJ822" s="9">
        <f t="shared" si="110"/>
        <v>6.57</v>
      </c>
      <c r="BK822" s="9">
        <f t="shared" si="111"/>
        <v>11.21</v>
      </c>
      <c r="BL822" s="9">
        <f t="shared" si="112"/>
        <v>0</v>
      </c>
      <c r="BM822" s="9">
        <f t="shared" si="113"/>
        <v>0</v>
      </c>
      <c r="BN822" s="9">
        <f t="shared" si="114"/>
        <v>513.04999999999995</v>
      </c>
      <c r="BO822" s="9">
        <f t="shared" si="115"/>
        <v>3.08</v>
      </c>
      <c r="BP822" s="9">
        <f t="shared" si="116"/>
        <v>0</v>
      </c>
    </row>
    <row r="823" spans="1:68">
      <c r="A823" s="6">
        <v>44706</v>
      </c>
      <c r="B823" s="7">
        <v>3310</v>
      </c>
      <c r="C823" s="8"/>
      <c r="D823" s="8">
        <v>1252.42</v>
      </c>
      <c r="E823" s="8"/>
      <c r="F823" s="8"/>
      <c r="G823" s="8"/>
      <c r="H823" s="8"/>
      <c r="I823" s="8"/>
      <c r="J823" s="8"/>
      <c r="K823" s="8"/>
      <c r="L823" s="8"/>
      <c r="M823" s="8">
        <v>1.51</v>
      </c>
      <c r="N823" s="8"/>
      <c r="O823" s="8"/>
      <c r="P823" s="8"/>
      <c r="Q823" s="11"/>
      <c r="R823" s="11"/>
      <c r="S823" s="8">
        <v>8.9</v>
      </c>
      <c r="T823" s="8">
        <v>11.29</v>
      </c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>
        <v>12.54</v>
      </c>
      <c r="AH823" s="8"/>
      <c r="AI823" s="8"/>
      <c r="AJ823" s="8"/>
      <c r="AK823" s="8"/>
      <c r="AL823" s="8"/>
      <c r="AM823" s="8"/>
      <c r="AN823" s="8"/>
      <c r="AO823" s="8"/>
      <c r="AP823" s="11"/>
      <c r="AQ823" s="8"/>
      <c r="AR823" s="8"/>
      <c r="AS823" s="8"/>
      <c r="AT823" s="8"/>
      <c r="AU823" s="8">
        <v>541.38</v>
      </c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>
        <v>36.380000000000003</v>
      </c>
      <c r="BH823" s="9">
        <f t="shared" si="108"/>
        <v>1252.42</v>
      </c>
      <c r="BI823" s="9">
        <f t="shared" si="109"/>
        <v>1.51</v>
      </c>
      <c r="BJ823" s="9">
        <f t="shared" si="110"/>
        <v>8.9</v>
      </c>
      <c r="BK823" s="9">
        <f t="shared" si="111"/>
        <v>11.29</v>
      </c>
      <c r="BL823" s="9">
        <f t="shared" si="112"/>
        <v>0</v>
      </c>
      <c r="BM823" s="9">
        <f t="shared" si="113"/>
        <v>12.54</v>
      </c>
      <c r="BN823" s="9">
        <f t="shared" si="114"/>
        <v>541.38</v>
      </c>
      <c r="BO823" s="9">
        <f t="shared" si="115"/>
        <v>0</v>
      </c>
      <c r="BP823" s="9">
        <f t="shared" si="116"/>
        <v>0</v>
      </c>
    </row>
    <row r="824" spans="1:68">
      <c r="A824" s="6">
        <v>44706</v>
      </c>
      <c r="B824" s="7">
        <v>3139</v>
      </c>
      <c r="C824" s="8">
        <v>833.98</v>
      </c>
      <c r="D824" s="8"/>
      <c r="E824" s="8"/>
      <c r="F824" s="8"/>
      <c r="G824" s="8"/>
      <c r="H824" s="8">
        <v>345.98</v>
      </c>
      <c r="I824" s="8"/>
      <c r="J824" s="8"/>
      <c r="K824" s="8"/>
      <c r="L824" s="8"/>
      <c r="M824" s="8">
        <v>1.9</v>
      </c>
      <c r="N824" s="8"/>
      <c r="O824" s="8"/>
      <c r="P824" s="8"/>
      <c r="Q824" s="11"/>
      <c r="R824" s="11"/>
      <c r="S824" s="8">
        <v>3.49</v>
      </c>
      <c r="T824" s="8">
        <v>12.34</v>
      </c>
      <c r="U824" s="8"/>
      <c r="V824" s="8"/>
      <c r="W824" s="8"/>
      <c r="X824" s="8"/>
      <c r="Y824" s="8"/>
      <c r="Z824" s="8"/>
      <c r="AA824" s="8"/>
      <c r="AB824" s="8"/>
      <c r="AC824" s="8">
        <v>4.1100000000000003</v>
      </c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11"/>
      <c r="AQ824" s="8"/>
      <c r="AR824" s="8"/>
      <c r="AS824" s="8"/>
      <c r="AT824" s="8">
        <v>608.66999999999996</v>
      </c>
      <c r="AU824" s="8"/>
      <c r="AV824" s="8">
        <v>20.68</v>
      </c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>
        <v>44.2</v>
      </c>
      <c r="BH824" s="9">
        <f t="shared" si="108"/>
        <v>1179.96</v>
      </c>
      <c r="BI824" s="9">
        <f t="shared" si="109"/>
        <v>1.9</v>
      </c>
      <c r="BJ824" s="9">
        <f t="shared" si="110"/>
        <v>3.49</v>
      </c>
      <c r="BK824" s="9">
        <f t="shared" si="111"/>
        <v>12.34</v>
      </c>
      <c r="BL824" s="9">
        <f t="shared" si="112"/>
        <v>0</v>
      </c>
      <c r="BM824" s="9">
        <f t="shared" si="113"/>
        <v>4.1100000000000003</v>
      </c>
      <c r="BN824" s="9">
        <f t="shared" si="114"/>
        <v>608.66999999999996</v>
      </c>
      <c r="BO824" s="9">
        <f t="shared" si="115"/>
        <v>20.68</v>
      </c>
      <c r="BP824" s="9">
        <f t="shared" si="116"/>
        <v>0</v>
      </c>
    </row>
    <row r="825" spans="1:68">
      <c r="A825" s="6">
        <v>44708</v>
      </c>
      <c r="B825" s="7">
        <v>3307</v>
      </c>
      <c r="C825" s="8"/>
      <c r="D825" s="8">
        <v>1865.36</v>
      </c>
      <c r="E825" s="8"/>
      <c r="F825" s="8"/>
      <c r="G825" s="8"/>
      <c r="H825" s="8"/>
      <c r="I825" s="8"/>
      <c r="J825" s="8"/>
      <c r="K825" s="8"/>
      <c r="L825" s="8"/>
      <c r="M825" s="8">
        <v>2.44</v>
      </c>
      <c r="N825" s="8"/>
      <c r="O825" s="8"/>
      <c r="P825" s="8"/>
      <c r="Q825" s="11"/>
      <c r="R825" s="11"/>
      <c r="S825" s="8">
        <v>13.62</v>
      </c>
      <c r="T825" s="8">
        <v>18.66</v>
      </c>
      <c r="U825" s="8"/>
      <c r="V825" s="8"/>
      <c r="W825" s="8"/>
      <c r="X825" s="8"/>
      <c r="Y825" s="8"/>
      <c r="Z825" s="8"/>
      <c r="AA825" s="8"/>
      <c r="AB825" s="8"/>
      <c r="AC825" s="8">
        <v>11.2</v>
      </c>
      <c r="AD825" s="8"/>
      <c r="AE825" s="8"/>
      <c r="AF825" s="8"/>
      <c r="AG825" s="8">
        <v>18.670000000000002</v>
      </c>
      <c r="AH825" s="8"/>
      <c r="AI825" s="8"/>
      <c r="AJ825" s="8"/>
      <c r="AK825" s="8"/>
      <c r="AL825" s="8"/>
      <c r="AM825" s="8"/>
      <c r="AN825" s="8"/>
      <c r="AO825" s="8"/>
      <c r="AP825" s="11"/>
      <c r="AQ825" s="8"/>
      <c r="AR825" s="8"/>
      <c r="AS825" s="8"/>
      <c r="AT825" s="8"/>
      <c r="AU825" s="8">
        <v>934.75</v>
      </c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>
        <v>67.099999999999994</v>
      </c>
      <c r="BH825" s="9">
        <f t="shared" si="108"/>
        <v>1865.36</v>
      </c>
      <c r="BI825" s="9">
        <f t="shared" si="109"/>
        <v>2.44</v>
      </c>
      <c r="BJ825" s="9">
        <f t="shared" si="110"/>
        <v>13.62</v>
      </c>
      <c r="BK825" s="9">
        <f t="shared" si="111"/>
        <v>18.66</v>
      </c>
      <c r="BL825" s="9">
        <f t="shared" si="112"/>
        <v>0</v>
      </c>
      <c r="BM825" s="9">
        <f t="shared" si="113"/>
        <v>29.87</v>
      </c>
      <c r="BN825" s="9">
        <f t="shared" si="114"/>
        <v>934.75</v>
      </c>
      <c r="BO825" s="9">
        <f t="shared" si="115"/>
        <v>0</v>
      </c>
      <c r="BP825" s="9">
        <f t="shared" si="116"/>
        <v>0</v>
      </c>
    </row>
    <row r="826" spans="1:68">
      <c r="A826" s="6">
        <v>44708</v>
      </c>
      <c r="B826" s="7">
        <v>3602</v>
      </c>
      <c r="C826" s="8">
        <v>707.12</v>
      </c>
      <c r="D826" s="8"/>
      <c r="E826" s="8"/>
      <c r="F826" s="8"/>
      <c r="G826" s="8">
        <v>1060.03</v>
      </c>
      <c r="H826" s="8"/>
      <c r="I826" s="8"/>
      <c r="J826" s="8"/>
      <c r="K826" s="8"/>
      <c r="L826" s="8"/>
      <c r="M826" s="8">
        <v>1.81</v>
      </c>
      <c r="N826" s="8"/>
      <c r="O826" s="8"/>
      <c r="P826" s="8"/>
      <c r="Q826" s="11"/>
      <c r="R826" s="11"/>
      <c r="S826" s="8">
        <v>9.35</v>
      </c>
      <c r="T826" s="8"/>
      <c r="U826" s="8">
        <v>5.66</v>
      </c>
      <c r="V826" s="8">
        <v>17.27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11"/>
      <c r="AQ826" s="8"/>
      <c r="AR826" s="8"/>
      <c r="AS826" s="8"/>
      <c r="AT826" s="8">
        <v>738.14</v>
      </c>
      <c r="AU826" s="8"/>
      <c r="AV826" s="8"/>
      <c r="AW826" s="8">
        <v>45.73</v>
      </c>
      <c r="AX826" s="8"/>
      <c r="AY826" s="8"/>
      <c r="AZ826" s="8"/>
      <c r="BA826" s="8"/>
      <c r="BB826" s="8"/>
      <c r="BC826" s="8"/>
      <c r="BD826" s="8"/>
      <c r="BE826" s="8"/>
      <c r="BF826" s="8">
        <v>56.61</v>
      </c>
      <c r="BG826" s="8">
        <v>55.24</v>
      </c>
      <c r="BH826" s="9">
        <f t="shared" si="108"/>
        <v>1767.15</v>
      </c>
      <c r="BI826" s="9">
        <f t="shared" si="109"/>
        <v>1.81</v>
      </c>
      <c r="BJ826" s="9">
        <f t="shared" si="110"/>
        <v>9.35</v>
      </c>
      <c r="BK826" s="9">
        <f t="shared" si="111"/>
        <v>22.93</v>
      </c>
      <c r="BL826" s="9">
        <f t="shared" si="112"/>
        <v>0</v>
      </c>
      <c r="BM826" s="9">
        <f t="shared" si="113"/>
        <v>0</v>
      </c>
      <c r="BN826" s="9">
        <f t="shared" si="114"/>
        <v>738.14</v>
      </c>
      <c r="BO826" s="9">
        <f t="shared" si="115"/>
        <v>45.73</v>
      </c>
      <c r="BP826" s="9">
        <f t="shared" si="116"/>
        <v>56.61</v>
      </c>
    </row>
    <row r="827" spans="1:68">
      <c r="A827" s="6">
        <v>44708</v>
      </c>
      <c r="B827" s="7">
        <v>3023</v>
      </c>
      <c r="C827" s="8"/>
      <c r="D827" s="8">
        <v>886.46</v>
      </c>
      <c r="E827" s="8"/>
      <c r="F827" s="8"/>
      <c r="G827" s="8"/>
      <c r="H827" s="8"/>
      <c r="I827" s="8">
        <v>476.57</v>
      </c>
      <c r="J827" s="8"/>
      <c r="K827" s="8"/>
      <c r="L827" s="8"/>
      <c r="M827" s="8"/>
      <c r="N827" s="8">
        <v>7.64</v>
      </c>
      <c r="O827" s="8"/>
      <c r="P827" s="8"/>
      <c r="Q827" s="11"/>
      <c r="R827" s="11"/>
      <c r="S827" s="8">
        <v>2.19</v>
      </c>
      <c r="T827" s="8"/>
      <c r="U827" s="8"/>
      <c r="V827" s="8"/>
      <c r="W827" s="8">
        <v>12.25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>
        <v>13.67</v>
      </c>
      <c r="AN827" s="8">
        <v>9.39</v>
      </c>
      <c r="AO827" s="8"/>
      <c r="AP827" s="11"/>
      <c r="AQ827" s="8"/>
      <c r="AR827" s="8"/>
      <c r="AS827" s="8">
        <v>44.35</v>
      </c>
      <c r="AT827" s="8">
        <v>558.27</v>
      </c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>
        <v>42.31</v>
      </c>
      <c r="BH827" s="9">
        <f t="shared" si="108"/>
        <v>1363.03</v>
      </c>
      <c r="BI827" s="9">
        <f t="shared" si="109"/>
        <v>7.64</v>
      </c>
      <c r="BJ827" s="9">
        <f t="shared" si="110"/>
        <v>2.19</v>
      </c>
      <c r="BK827" s="9">
        <f t="shared" si="111"/>
        <v>12.25</v>
      </c>
      <c r="BL827" s="9">
        <f t="shared" si="112"/>
        <v>0</v>
      </c>
      <c r="BM827" s="9">
        <f t="shared" si="113"/>
        <v>67.41</v>
      </c>
      <c r="BN827" s="9">
        <f t="shared" si="114"/>
        <v>558.27</v>
      </c>
      <c r="BO827" s="9">
        <f t="shared" si="115"/>
        <v>0</v>
      </c>
      <c r="BP827" s="9">
        <f t="shared" si="116"/>
        <v>0</v>
      </c>
    </row>
    <row r="828" spans="1:68">
      <c r="A828" s="6">
        <v>44708</v>
      </c>
      <c r="B828" s="7">
        <v>3022</v>
      </c>
      <c r="C828" s="8"/>
      <c r="D828" s="8">
        <v>555.08000000000004</v>
      </c>
      <c r="E828" s="8"/>
      <c r="F828" s="8"/>
      <c r="G828" s="8"/>
      <c r="H828" s="8"/>
      <c r="I828" s="8">
        <v>452.28</v>
      </c>
      <c r="J828" s="8"/>
      <c r="K828" s="8"/>
      <c r="L828" s="8"/>
      <c r="M828" s="8"/>
      <c r="N828" s="8">
        <v>5.04</v>
      </c>
      <c r="O828" s="8"/>
      <c r="P828" s="8"/>
      <c r="Q828" s="11"/>
      <c r="R828" s="11"/>
      <c r="S828" s="8">
        <v>1.81</v>
      </c>
      <c r="T828" s="8"/>
      <c r="U828" s="8"/>
      <c r="V828" s="8"/>
      <c r="W828" s="8">
        <v>9.9600000000000009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>
        <v>13.07</v>
      </c>
      <c r="AN828" s="8"/>
      <c r="AO828" s="8"/>
      <c r="AP828" s="11"/>
      <c r="AQ828" s="8"/>
      <c r="AR828" s="8"/>
      <c r="AS828" s="8">
        <v>35.21</v>
      </c>
      <c r="AT828" s="8">
        <v>470.9</v>
      </c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>
        <v>36.22</v>
      </c>
      <c r="BH828" s="9">
        <f t="shared" si="108"/>
        <v>1007.36</v>
      </c>
      <c r="BI828" s="9">
        <f t="shared" si="109"/>
        <v>5.04</v>
      </c>
      <c r="BJ828" s="9">
        <f t="shared" si="110"/>
        <v>1.81</v>
      </c>
      <c r="BK828" s="9">
        <f t="shared" si="111"/>
        <v>9.9600000000000009</v>
      </c>
      <c r="BL828" s="9">
        <f t="shared" si="112"/>
        <v>0</v>
      </c>
      <c r="BM828" s="9">
        <f t="shared" si="113"/>
        <v>48.28</v>
      </c>
      <c r="BN828" s="9">
        <f t="shared" si="114"/>
        <v>470.9</v>
      </c>
      <c r="BO828" s="9">
        <f t="shared" si="115"/>
        <v>0</v>
      </c>
      <c r="BP828" s="9">
        <f t="shared" si="116"/>
        <v>0</v>
      </c>
    </row>
    <row r="829" spans="1:68">
      <c r="A829" s="6">
        <v>44708</v>
      </c>
      <c r="B829" s="7">
        <v>3200</v>
      </c>
      <c r="C829" s="8">
        <v>3293.34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>
        <v>8.24</v>
      </c>
      <c r="P829" s="8"/>
      <c r="Q829" s="11"/>
      <c r="R829" s="11"/>
      <c r="S829" s="8">
        <v>12.87</v>
      </c>
      <c r="T829" s="8"/>
      <c r="U829" s="8">
        <v>49.49</v>
      </c>
      <c r="V829" s="8"/>
      <c r="W829" s="8"/>
      <c r="X829" s="8"/>
      <c r="Y829" s="8"/>
      <c r="Z829" s="8">
        <v>692.78</v>
      </c>
      <c r="AA829" s="8"/>
      <c r="AB829" s="8"/>
      <c r="AC829" s="8"/>
      <c r="AD829" s="8"/>
      <c r="AE829" s="8">
        <v>50.55</v>
      </c>
      <c r="AF829" s="8">
        <v>164.58</v>
      </c>
      <c r="AG829" s="8"/>
      <c r="AH829" s="8"/>
      <c r="AI829" s="8"/>
      <c r="AJ829" s="8"/>
      <c r="AK829" s="8"/>
      <c r="AL829" s="8"/>
      <c r="AM829" s="8"/>
      <c r="AN829" s="8"/>
      <c r="AO829" s="8"/>
      <c r="AP829" s="11"/>
      <c r="AQ829" s="8"/>
      <c r="AR829" s="8"/>
      <c r="AS829" s="8"/>
      <c r="AT829" s="8">
        <v>2255.64</v>
      </c>
      <c r="AU829" s="8"/>
      <c r="AV829" s="8"/>
      <c r="AW829" s="8">
        <v>9.6</v>
      </c>
      <c r="AX829" s="8"/>
      <c r="AY829" s="8"/>
      <c r="AZ829" s="8"/>
      <c r="BA829" s="8"/>
      <c r="BB829" s="8"/>
      <c r="BC829" s="8"/>
      <c r="BD829" s="8"/>
      <c r="BE829" s="8"/>
      <c r="BF829" s="8">
        <v>158.22999999999999</v>
      </c>
      <c r="BG829" s="8">
        <v>163.58000000000001</v>
      </c>
      <c r="BH829" s="9">
        <f t="shared" si="108"/>
        <v>3293.34</v>
      </c>
      <c r="BI829" s="9">
        <f t="shared" si="109"/>
        <v>8.24</v>
      </c>
      <c r="BJ829" s="9">
        <f t="shared" si="110"/>
        <v>12.87</v>
      </c>
      <c r="BK829" s="9">
        <f t="shared" si="111"/>
        <v>49.49</v>
      </c>
      <c r="BL829" s="9">
        <f t="shared" si="112"/>
        <v>692.78</v>
      </c>
      <c r="BM829" s="9">
        <f t="shared" si="113"/>
        <v>215.13</v>
      </c>
      <c r="BN829" s="9">
        <f t="shared" si="114"/>
        <v>2255.64</v>
      </c>
      <c r="BO829" s="9">
        <f t="shared" si="115"/>
        <v>9.6</v>
      </c>
      <c r="BP829" s="9">
        <f t="shared" si="116"/>
        <v>158.22999999999999</v>
      </c>
    </row>
    <row r="830" spans="1:68">
      <c r="A830" s="6">
        <v>44708</v>
      </c>
      <c r="B830" s="7">
        <v>3203</v>
      </c>
      <c r="C830" s="8">
        <v>884.88</v>
      </c>
      <c r="D830" s="8"/>
      <c r="E830" s="8">
        <v>380.03</v>
      </c>
      <c r="F830" s="8"/>
      <c r="G830" s="8"/>
      <c r="H830" s="8"/>
      <c r="I830" s="8"/>
      <c r="J830" s="8"/>
      <c r="K830" s="8"/>
      <c r="L830" s="8"/>
      <c r="M830" s="8"/>
      <c r="N830" s="8"/>
      <c r="O830" s="8">
        <v>3.82</v>
      </c>
      <c r="P830" s="8"/>
      <c r="Q830" s="11"/>
      <c r="R830" s="11"/>
      <c r="S830" s="8">
        <v>4.96</v>
      </c>
      <c r="T830" s="8"/>
      <c r="U830" s="8">
        <v>15.75</v>
      </c>
      <c r="V830" s="8"/>
      <c r="W830" s="8"/>
      <c r="X830" s="8"/>
      <c r="Y830" s="8"/>
      <c r="Z830" s="8">
        <v>199.94</v>
      </c>
      <c r="AA830" s="8">
        <v>154.43</v>
      </c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11"/>
      <c r="AQ830" s="8"/>
      <c r="AR830" s="8"/>
      <c r="AS830" s="8"/>
      <c r="AT830" s="8">
        <v>474.79</v>
      </c>
      <c r="AU830" s="8">
        <v>237.11</v>
      </c>
      <c r="AV830" s="8"/>
      <c r="AW830" s="8"/>
      <c r="AX830" s="8"/>
      <c r="AY830" s="8"/>
      <c r="AZ830" s="8"/>
      <c r="BA830" s="8"/>
      <c r="BB830" s="8"/>
      <c r="BC830" s="8">
        <v>3.3</v>
      </c>
      <c r="BD830" s="8"/>
      <c r="BE830" s="8"/>
      <c r="BF830" s="8"/>
      <c r="BG830" s="8">
        <v>46.32</v>
      </c>
      <c r="BH830" s="9">
        <f t="shared" si="108"/>
        <v>1264.9099999999999</v>
      </c>
      <c r="BI830" s="9">
        <f t="shared" si="109"/>
        <v>3.82</v>
      </c>
      <c r="BJ830" s="9">
        <f t="shared" si="110"/>
        <v>4.96</v>
      </c>
      <c r="BK830" s="9">
        <f t="shared" si="111"/>
        <v>15.75</v>
      </c>
      <c r="BL830" s="9">
        <f t="shared" si="112"/>
        <v>354.37</v>
      </c>
      <c r="BM830" s="9">
        <f t="shared" si="113"/>
        <v>0</v>
      </c>
      <c r="BN830" s="9">
        <f t="shared" si="114"/>
        <v>711.90000000000009</v>
      </c>
      <c r="BO830" s="9">
        <f t="shared" si="115"/>
        <v>3.3</v>
      </c>
      <c r="BP830" s="9">
        <f t="shared" si="116"/>
        <v>0</v>
      </c>
    </row>
    <row r="831" spans="1:68">
      <c r="A831" s="6">
        <v>44708</v>
      </c>
      <c r="B831" s="7">
        <v>3403</v>
      </c>
      <c r="C831" s="8">
        <v>352.34</v>
      </c>
      <c r="D831" s="8">
        <v>353.55</v>
      </c>
      <c r="E831" s="8"/>
      <c r="F831" s="8"/>
      <c r="G831" s="8"/>
      <c r="H831" s="8"/>
      <c r="I831" s="8"/>
      <c r="J831" s="8"/>
      <c r="K831" s="8"/>
      <c r="L831" s="8"/>
      <c r="M831" s="8">
        <v>1.7</v>
      </c>
      <c r="N831" s="8"/>
      <c r="O831" s="8"/>
      <c r="P831" s="8"/>
      <c r="Q831" s="11"/>
      <c r="R831" s="11"/>
      <c r="S831" s="8">
        <v>1.63</v>
      </c>
      <c r="T831" s="8"/>
      <c r="U831" s="8"/>
      <c r="V831" s="8"/>
      <c r="W831" s="8"/>
      <c r="X831" s="8">
        <v>8.42</v>
      </c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11"/>
      <c r="AQ831" s="8"/>
      <c r="AR831" s="8"/>
      <c r="AS831" s="8"/>
      <c r="AT831" s="8">
        <v>328.04</v>
      </c>
      <c r="AU831" s="8"/>
      <c r="AV831" s="8">
        <v>21.27</v>
      </c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>
        <v>23.39</v>
      </c>
      <c r="BH831" s="9">
        <f t="shared" si="108"/>
        <v>705.89</v>
      </c>
      <c r="BI831" s="9">
        <f t="shared" si="109"/>
        <v>1.7</v>
      </c>
      <c r="BJ831" s="9">
        <f t="shared" si="110"/>
        <v>1.63</v>
      </c>
      <c r="BK831" s="9">
        <f t="shared" si="111"/>
        <v>8.42</v>
      </c>
      <c r="BL831" s="9">
        <f t="shared" si="112"/>
        <v>0</v>
      </c>
      <c r="BM831" s="9">
        <f t="shared" si="113"/>
        <v>0</v>
      </c>
      <c r="BN831" s="9">
        <f t="shared" si="114"/>
        <v>328.04</v>
      </c>
      <c r="BO831" s="9">
        <f t="shared" si="115"/>
        <v>21.27</v>
      </c>
      <c r="BP831" s="9">
        <f t="shared" si="116"/>
        <v>0</v>
      </c>
    </row>
    <row r="832" spans="1:68">
      <c r="A832" s="6">
        <v>44708</v>
      </c>
      <c r="B832" s="7">
        <v>3141</v>
      </c>
      <c r="C832" s="8">
        <v>2417.66</v>
      </c>
      <c r="D832" s="8">
        <v>426.95</v>
      </c>
      <c r="E832" s="8"/>
      <c r="F832" s="8"/>
      <c r="G832" s="8"/>
      <c r="H832" s="8"/>
      <c r="I832" s="8"/>
      <c r="J832" s="8"/>
      <c r="K832" s="8"/>
      <c r="L832" s="8"/>
      <c r="M832" s="8">
        <v>7.41</v>
      </c>
      <c r="N832" s="8"/>
      <c r="O832" s="8"/>
      <c r="P832" s="8"/>
      <c r="Q832" s="11"/>
      <c r="R832" s="11"/>
      <c r="S832" s="8">
        <v>13.39</v>
      </c>
      <c r="T832" s="8">
        <v>21.38</v>
      </c>
      <c r="U832" s="8">
        <v>21.36</v>
      </c>
      <c r="V832" s="8"/>
      <c r="W832" s="8"/>
      <c r="X832" s="8"/>
      <c r="Y832" s="8"/>
      <c r="Z832" s="8"/>
      <c r="AA832" s="8"/>
      <c r="AB832" s="8"/>
      <c r="AC832" s="8">
        <v>11.4</v>
      </c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11"/>
      <c r="AQ832" s="8"/>
      <c r="AR832" s="8"/>
      <c r="AS832" s="8"/>
      <c r="AT832" s="8">
        <v>1896.51</v>
      </c>
      <c r="AU832" s="8"/>
      <c r="AV832" s="8"/>
      <c r="AW832" s="8"/>
      <c r="AX832" s="8"/>
      <c r="AY832" s="8"/>
      <c r="AZ832" s="8"/>
      <c r="BA832" s="8">
        <v>65.290000000000006</v>
      </c>
      <c r="BB832" s="8"/>
      <c r="BC832" s="8"/>
      <c r="BD832" s="8"/>
      <c r="BE832" s="8"/>
      <c r="BF832" s="8">
        <v>199.3</v>
      </c>
      <c r="BG832" s="8">
        <v>147.94</v>
      </c>
      <c r="BH832" s="9">
        <f t="shared" si="108"/>
        <v>2844.6099999999997</v>
      </c>
      <c r="BI832" s="9">
        <f t="shared" si="109"/>
        <v>7.41</v>
      </c>
      <c r="BJ832" s="9">
        <f t="shared" si="110"/>
        <v>13.39</v>
      </c>
      <c r="BK832" s="9">
        <f t="shared" si="111"/>
        <v>42.739999999999995</v>
      </c>
      <c r="BL832" s="9">
        <f t="shared" si="112"/>
        <v>0</v>
      </c>
      <c r="BM832" s="9">
        <f t="shared" si="113"/>
        <v>11.4</v>
      </c>
      <c r="BN832" s="9">
        <f t="shared" si="114"/>
        <v>1896.51</v>
      </c>
      <c r="BO832" s="9">
        <f t="shared" si="115"/>
        <v>65.290000000000006</v>
      </c>
      <c r="BP832" s="9">
        <f t="shared" si="116"/>
        <v>199.3</v>
      </c>
    </row>
    <row r="833" spans="1:68">
      <c r="A833" s="6">
        <v>44708</v>
      </c>
      <c r="B833" s="7">
        <v>3121</v>
      </c>
      <c r="C833" s="8">
        <v>1898.88</v>
      </c>
      <c r="D833" s="8"/>
      <c r="E833" s="8"/>
      <c r="F833" s="8"/>
      <c r="G833" s="8"/>
      <c r="H833" s="8"/>
      <c r="I833" s="8"/>
      <c r="J833" s="8"/>
      <c r="K833" s="8"/>
      <c r="L833" s="8"/>
      <c r="M833" s="8">
        <v>4.57</v>
      </c>
      <c r="N833" s="8"/>
      <c r="O833" s="8"/>
      <c r="P833" s="8"/>
      <c r="Q833" s="11"/>
      <c r="R833" s="11"/>
      <c r="S833" s="8">
        <v>6.64</v>
      </c>
      <c r="T833" s="8">
        <v>24.08</v>
      </c>
      <c r="U833" s="8"/>
      <c r="V833" s="8"/>
      <c r="W833" s="8"/>
      <c r="X833" s="8"/>
      <c r="Y833" s="8"/>
      <c r="Z833" s="8"/>
      <c r="AA833" s="8"/>
      <c r="AB833" s="8"/>
      <c r="AC833" s="8">
        <v>7.59</v>
      </c>
      <c r="AD833" s="8"/>
      <c r="AE833" s="8">
        <v>19.22</v>
      </c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11"/>
      <c r="AQ833" s="8"/>
      <c r="AR833" s="8"/>
      <c r="AS833" s="8"/>
      <c r="AT833" s="8">
        <v>1006.48</v>
      </c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>
        <v>74.19</v>
      </c>
      <c r="BH833" s="9">
        <f t="shared" si="108"/>
        <v>1898.88</v>
      </c>
      <c r="BI833" s="9">
        <f t="shared" si="109"/>
        <v>4.57</v>
      </c>
      <c r="BJ833" s="9">
        <f t="shared" si="110"/>
        <v>6.64</v>
      </c>
      <c r="BK833" s="9">
        <f t="shared" si="111"/>
        <v>24.08</v>
      </c>
      <c r="BL833" s="9">
        <f t="shared" si="112"/>
        <v>0</v>
      </c>
      <c r="BM833" s="9">
        <f t="shared" si="113"/>
        <v>26.81</v>
      </c>
      <c r="BN833" s="9">
        <f t="shared" si="114"/>
        <v>1006.48</v>
      </c>
      <c r="BO833" s="9">
        <f t="shared" si="115"/>
        <v>0</v>
      </c>
      <c r="BP833" s="9">
        <f t="shared" si="116"/>
        <v>0</v>
      </c>
    </row>
    <row r="834" spans="1:68">
      <c r="A834" s="6">
        <v>44708</v>
      </c>
      <c r="B834" s="7">
        <v>3108</v>
      </c>
      <c r="C834" s="8">
        <v>2304.58</v>
      </c>
      <c r="D834" s="8"/>
      <c r="E834" s="8"/>
      <c r="F834" s="8"/>
      <c r="G834" s="8"/>
      <c r="H834" s="8"/>
      <c r="I834" s="8"/>
      <c r="J834" s="8"/>
      <c r="K834" s="8"/>
      <c r="L834" s="8"/>
      <c r="M834" s="8">
        <v>5.09</v>
      </c>
      <c r="N834" s="8"/>
      <c r="O834" s="8"/>
      <c r="P834" s="8"/>
      <c r="Q834" s="11"/>
      <c r="R834" s="11"/>
      <c r="S834" s="8">
        <v>7.86</v>
      </c>
      <c r="T834" s="8">
        <v>29.27</v>
      </c>
      <c r="U834" s="8"/>
      <c r="V834" s="8"/>
      <c r="W834" s="8"/>
      <c r="X834" s="8"/>
      <c r="Y834" s="8"/>
      <c r="Z834" s="8"/>
      <c r="AA834" s="8"/>
      <c r="AB834" s="8"/>
      <c r="AC834" s="8">
        <v>9.2200000000000006</v>
      </c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11"/>
      <c r="AQ834" s="8"/>
      <c r="AR834" s="8"/>
      <c r="AS834" s="8"/>
      <c r="AT834" s="8">
        <v>1254.53</v>
      </c>
      <c r="AU834" s="8"/>
      <c r="AV834" s="8"/>
      <c r="AW834" s="8"/>
      <c r="AX834" s="8"/>
      <c r="AY834" s="8"/>
      <c r="AZ834" s="8"/>
      <c r="BA834" s="8">
        <v>85.69</v>
      </c>
      <c r="BB834" s="8"/>
      <c r="BC834" s="8"/>
      <c r="BD834" s="8"/>
      <c r="BE834" s="8"/>
      <c r="BF834" s="8"/>
      <c r="BG834" s="8">
        <v>93.34</v>
      </c>
      <c r="BH834" s="9">
        <f t="shared" si="108"/>
        <v>2304.58</v>
      </c>
      <c r="BI834" s="9">
        <f t="shared" si="109"/>
        <v>5.09</v>
      </c>
      <c r="BJ834" s="9">
        <f t="shared" si="110"/>
        <v>7.86</v>
      </c>
      <c r="BK834" s="9">
        <f t="shared" si="111"/>
        <v>29.27</v>
      </c>
      <c r="BL834" s="9">
        <f t="shared" si="112"/>
        <v>0</v>
      </c>
      <c r="BM834" s="9">
        <f t="shared" si="113"/>
        <v>9.2200000000000006</v>
      </c>
      <c r="BN834" s="9">
        <f t="shared" si="114"/>
        <v>1254.53</v>
      </c>
      <c r="BO834" s="9">
        <f t="shared" si="115"/>
        <v>85.69</v>
      </c>
      <c r="BP834" s="9">
        <f t="shared" si="116"/>
        <v>0</v>
      </c>
    </row>
    <row r="835" spans="1:68">
      <c r="A835" s="6">
        <v>44711</v>
      </c>
      <c r="B835" s="7">
        <v>3106</v>
      </c>
      <c r="C835" s="8">
        <v>2138.4699999999998</v>
      </c>
      <c r="D835" s="8"/>
      <c r="E835" s="8"/>
      <c r="F835" s="8"/>
      <c r="G835" s="8"/>
      <c r="H835" s="8"/>
      <c r="I835" s="8"/>
      <c r="J835" s="8"/>
      <c r="K835" s="8"/>
      <c r="L835" s="8"/>
      <c r="M835" s="8">
        <v>5.35</v>
      </c>
      <c r="N835" s="8"/>
      <c r="O835" s="8"/>
      <c r="P835" s="8"/>
      <c r="Q835" s="11"/>
      <c r="R835" s="11"/>
      <c r="S835" s="8">
        <v>6.43</v>
      </c>
      <c r="T835" s="8">
        <v>27.15</v>
      </c>
      <c r="U835" s="8"/>
      <c r="V835" s="8"/>
      <c r="W835" s="8"/>
      <c r="X835" s="8"/>
      <c r="Y835" s="8"/>
      <c r="Z835" s="8"/>
      <c r="AA835" s="8"/>
      <c r="AB835" s="8"/>
      <c r="AC835" s="8">
        <v>8.5500000000000007</v>
      </c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11"/>
      <c r="AQ835" s="8"/>
      <c r="AR835" s="8"/>
      <c r="AS835" s="8"/>
      <c r="AT835" s="8">
        <v>1224.17</v>
      </c>
      <c r="AU835" s="8"/>
      <c r="AV835" s="8"/>
      <c r="AW835" s="8"/>
      <c r="AX835" s="8">
        <v>2.67</v>
      </c>
      <c r="AY835" s="8"/>
      <c r="AZ835" s="8"/>
      <c r="BA835" s="8"/>
      <c r="BB835" s="8"/>
      <c r="BC835" s="8"/>
      <c r="BD835" s="8"/>
      <c r="BE835" s="8"/>
      <c r="BF835" s="8"/>
      <c r="BG835" s="8">
        <v>91.88</v>
      </c>
      <c r="BH835" s="9">
        <f t="shared" si="108"/>
        <v>2138.4699999999998</v>
      </c>
      <c r="BI835" s="9">
        <f t="shared" si="109"/>
        <v>5.35</v>
      </c>
      <c r="BJ835" s="9">
        <f t="shared" si="110"/>
        <v>6.43</v>
      </c>
      <c r="BK835" s="9">
        <f t="shared" si="111"/>
        <v>27.15</v>
      </c>
      <c r="BL835" s="9">
        <f t="shared" si="112"/>
        <v>0</v>
      </c>
      <c r="BM835" s="9">
        <f t="shared" si="113"/>
        <v>8.5500000000000007</v>
      </c>
      <c r="BN835" s="9">
        <f t="shared" si="114"/>
        <v>1224.17</v>
      </c>
      <c r="BO835" s="9">
        <f t="shared" si="115"/>
        <v>2.67</v>
      </c>
      <c r="BP835" s="9">
        <f t="shared" si="116"/>
        <v>0</v>
      </c>
    </row>
    <row r="836" spans="1:68">
      <c r="A836" s="6">
        <v>44711</v>
      </c>
      <c r="B836" s="7">
        <v>3204</v>
      </c>
      <c r="C836" s="8"/>
      <c r="D836" s="8">
        <v>979.81</v>
      </c>
      <c r="E836" s="8">
        <v>420.55</v>
      </c>
      <c r="F836" s="8"/>
      <c r="G836" s="8"/>
      <c r="H836" s="8"/>
      <c r="I836" s="8"/>
      <c r="J836" s="8"/>
      <c r="K836" s="8"/>
      <c r="L836" s="8"/>
      <c r="M836" s="8"/>
      <c r="N836" s="8"/>
      <c r="O836" s="8">
        <v>7.02</v>
      </c>
      <c r="P836" s="8"/>
      <c r="Q836" s="11"/>
      <c r="R836" s="11"/>
      <c r="S836" s="8">
        <v>4.76</v>
      </c>
      <c r="T836" s="8">
        <v>8.43</v>
      </c>
      <c r="U836" s="8">
        <v>7.02</v>
      </c>
      <c r="V836" s="8"/>
      <c r="W836" s="8"/>
      <c r="X836" s="8"/>
      <c r="Y836" s="8"/>
      <c r="Z836" s="8">
        <v>210.43</v>
      </c>
      <c r="AA836" s="8"/>
      <c r="AB836" s="8">
        <v>7.11</v>
      </c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11"/>
      <c r="AQ836" s="8"/>
      <c r="AR836" s="8"/>
      <c r="AS836" s="8"/>
      <c r="AT836" s="8">
        <v>617.85</v>
      </c>
      <c r="AU836" s="8"/>
      <c r="AV836" s="8"/>
      <c r="AW836" s="8">
        <v>4.5</v>
      </c>
      <c r="AX836" s="8"/>
      <c r="AY836" s="8"/>
      <c r="AZ836" s="8"/>
      <c r="BA836" s="8"/>
      <c r="BB836" s="8"/>
      <c r="BC836" s="8"/>
      <c r="BD836" s="8"/>
      <c r="BE836" s="8"/>
      <c r="BF836" s="8"/>
      <c r="BG836" s="8">
        <v>45.62</v>
      </c>
      <c r="BH836" s="9">
        <f t="shared" ref="BH836:BH899" si="117">SUM(C836:L836)</f>
        <v>1400.36</v>
      </c>
      <c r="BI836" s="9">
        <f t="shared" ref="BI836:BI899" si="118">SUM(M836:R836)</f>
        <v>7.02</v>
      </c>
      <c r="BJ836" s="9">
        <f t="shared" ref="BJ836:BJ899" si="119">SUM(S836)</f>
        <v>4.76</v>
      </c>
      <c r="BK836" s="9">
        <f t="shared" ref="BK836:BK899" si="120">SUM(T836:Y836)</f>
        <v>15.45</v>
      </c>
      <c r="BL836" s="9">
        <f t="shared" ref="BL836:BL899" si="121">SUM(Z836:AA836)</f>
        <v>210.43</v>
      </c>
      <c r="BM836" s="9">
        <f t="shared" ref="BM836:BM899" si="122">SUM(AB836:AS836)</f>
        <v>7.11</v>
      </c>
      <c r="BN836" s="9">
        <f t="shared" ref="BN836:BN899" si="123">SUM(AT836:AU836)</f>
        <v>617.85</v>
      </c>
      <c r="BO836" s="9">
        <f t="shared" ref="BO836:BO899" si="124">SUM(AV836:BE836)</f>
        <v>4.5</v>
      </c>
      <c r="BP836" s="9">
        <f t="shared" ref="BP836:BP899" si="125">SUM(BF836)</f>
        <v>0</v>
      </c>
    </row>
    <row r="837" spans="1:68">
      <c r="A837" s="6">
        <v>44711</v>
      </c>
      <c r="B837" s="7">
        <v>3029</v>
      </c>
      <c r="C837" s="8"/>
      <c r="D837" s="8">
        <v>674.07</v>
      </c>
      <c r="E837" s="8"/>
      <c r="F837" s="8">
        <v>474.37</v>
      </c>
      <c r="G837" s="8"/>
      <c r="H837" s="8"/>
      <c r="I837" s="8">
        <v>2812.18</v>
      </c>
      <c r="J837" s="8"/>
      <c r="K837" s="8"/>
      <c r="L837" s="8"/>
      <c r="M837" s="8"/>
      <c r="N837" s="8">
        <v>29.7</v>
      </c>
      <c r="O837" s="8"/>
      <c r="P837" s="8"/>
      <c r="Q837" s="11"/>
      <c r="R837" s="11"/>
      <c r="S837" s="8">
        <v>2.37</v>
      </c>
      <c r="T837" s="8"/>
      <c r="U837" s="8"/>
      <c r="V837" s="8"/>
      <c r="W837" s="8">
        <v>40.24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>
        <v>13.85</v>
      </c>
      <c r="AN837" s="8">
        <v>20.3</v>
      </c>
      <c r="AO837" s="8"/>
      <c r="AP837" s="11"/>
      <c r="AQ837" s="8"/>
      <c r="AR837" s="8">
        <v>119.51</v>
      </c>
      <c r="AS837" s="8"/>
      <c r="AT837" s="8">
        <v>1502.4</v>
      </c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>
        <v>105.04</v>
      </c>
      <c r="BH837" s="9">
        <f t="shared" si="117"/>
        <v>3960.62</v>
      </c>
      <c r="BI837" s="9">
        <f t="shared" si="118"/>
        <v>29.7</v>
      </c>
      <c r="BJ837" s="9">
        <f t="shared" si="119"/>
        <v>2.37</v>
      </c>
      <c r="BK837" s="9">
        <f t="shared" si="120"/>
        <v>40.24</v>
      </c>
      <c r="BL837" s="9">
        <f t="shared" si="121"/>
        <v>0</v>
      </c>
      <c r="BM837" s="9">
        <f t="shared" si="122"/>
        <v>153.66</v>
      </c>
      <c r="BN837" s="9">
        <f t="shared" si="123"/>
        <v>1502.4</v>
      </c>
      <c r="BO837" s="9">
        <f t="shared" si="124"/>
        <v>0</v>
      </c>
      <c r="BP837" s="9">
        <f t="shared" si="125"/>
        <v>0</v>
      </c>
    </row>
    <row r="838" spans="1:68">
      <c r="A838" s="6">
        <v>44711</v>
      </c>
      <c r="B838" s="7">
        <v>3079</v>
      </c>
      <c r="C838" s="8"/>
      <c r="D838" s="8"/>
      <c r="E838" s="8"/>
      <c r="F838" s="8">
        <v>335.71</v>
      </c>
      <c r="G838" s="8"/>
      <c r="H838" s="8"/>
      <c r="I838" s="8">
        <v>2718.97</v>
      </c>
      <c r="J838" s="8"/>
      <c r="K838" s="8"/>
      <c r="L838" s="8"/>
      <c r="M838" s="8"/>
      <c r="N838" s="8">
        <v>22.92</v>
      </c>
      <c r="O838" s="8"/>
      <c r="P838" s="8"/>
      <c r="Q838" s="11"/>
      <c r="R838" s="11"/>
      <c r="S838" s="8">
        <v>1.21</v>
      </c>
      <c r="T838" s="8">
        <v>30.59</v>
      </c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>
        <v>12.23</v>
      </c>
      <c r="AN838" s="8">
        <v>30.98</v>
      </c>
      <c r="AO838" s="8"/>
      <c r="AP838" s="11"/>
      <c r="AQ838" s="8"/>
      <c r="AR838" s="8">
        <v>76.599999999999994</v>
      </c>
      <c r="AS838" s="8"/>
      <c r="AT838" s="8">
        <v>1163.83</v>
      </c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>
        <v>84.02</v>
      </c>
      <c r="BH838" s="9">
        <f t="shared" si="117"/>
        <v>3054.68</v>
      </c>
      <c r="BI838" s="9">
        <f t="shared" si="118"/>
        <v>22.92</v>
      </c>
      <c r="BJ838" s="9">
        <f t="shared" si="119"/>
        <v>1.21</v>
      </c>
      <c r="BK838" s="9">
        <f t="shared" si="120"/>
        <v>30.59</v>
      </c>
      <c r="BL838" s="9">
        <f t="shared" si="121"/>
        <v>0</v>
      </c>
      <c r="BM838" s="9">
        <f t="shared" si="122"/>
        <v>119.81</v>
      </c>
      <c r="BN838" s="9">
        <f t="shared" si="123"/>
        <v>1163.83</v>
      </c>
      <c r="BO838" s="9">
        <f t="shared" si="124"/>
        <v>0</v>
      </c>
      <c r="BP838" s="9">
        <f t="shared" si="125"/>
        <v>0</v>
      </c>
    </row>
    <row r="839" spans="1:68">
      <c r="A839" s="6">
        <v>44711</v>
      </c>
      <c r="B839" s="7">
        <v>3119</v>
      </c>
      <c r="C839" s="8">
        <v>2641.77</v>
      </c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>
        <v>8.57</v>
      </c>
      <c r="O839" s="8"/>
      <c r="P839" s="8"/>
      <c r="Q839" s="11"/>
      <c r="R839" s="11"/>
      <c r="S839" s="8">
        <v>12.12</v>
      </c>
      <c r="T839" s="8">
        <v>26.4</v>
      </c>
      <c r="U839" s="8"/>
      <c r="V839" s="8"/>
      <c r="W839" s="8"/>
      <c r="X839" s="8"/>
      <c r="Y839" s="8"/>
      <c r="Z839" s="8"/>
      <c r="AA839" s="8"/>
      <c r="AB839" s="8"/>
      <c r="AC839" s="8">
        <v>6.61</v>
      </c>
      <c r="AD839" s="8"/>
      <c r="AE839" s="8"/>
      <c r="AF839" s="8"/>
      <c r="AG839" s="8">
        <v>7.91</v>
      </c>
      <c r="AH839" s="8"/>
      <c r="AI839" s="8"/>
      <c r="AJ839" s="8"/>
      <c r="AK839" s="8"/>
      <c r="AL839" s="8"/>
      <c r="AM839" s="8"/>
      <c r="AN839" s="8"/>
      <c r="AO839" s="8"/>
      <c r="AP839" s="11"/>
      <c r="AQ839" s="8"/>
      <c r="AR839" s="8"/>
      <c r="AS839" s="8"/>
      <c r="AT839" s="8">
        <v>996.66</v>
      </c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>
        <v>184.63</v>
      </c>
      <c r="BG839" s="8">
        <v>70.319999999999993</v>
      </c>
      <c r="BH839" s="9">
        <f t="shared" si="117"/>
        <v>2641.77</v>
      </c>
      <c r="BI839" s="9">
        <f t="shared" si="118"/>
        <v>8.57</v>
      </c>
      <c r="BJ839" s="9">
        <f t="shared" si="119"/>
        <v>12.12</v>
      </c>
      <c r="BK839" s="9">
        <f t="shared" si="120"/>
        <v>26.4</v>
      </c>
      <c r="BL839" s="9">
        <f t="shared" si="121"/>
        <v>0</v>
      </c>
      <c r="BM839" s="9">
        <f t="shared" si="122"/>
        <v>14.52</v>
      </c>
      <c r="BN839" s="9">
        <f t="shared" si="123"/>
        <v>996.66</v>
      </c>
      <c r="BO839" s="9">
        <f t="shared" si="124"/>
        <v>0</v>
      </c>
      <c r="BP839" s="9">
        <f t="shared" si="125"/>
        <v>184.63</v>
      </c>
    </row>
    <row r="840" spans="1:68">
      <c r="A840" s="6">
        <v>44711</v>
      </c>
      <c r="B840" s="7">
        <v>3134</v>
      </c>
      <c r="C840" s="8">
        <v>2047.61</v>
      </c>
      <c r="D840" s="8">
        <v>287.27999999999997</v>
      </c>
      <c r="E840" s="8"/>
      <c r="F840" s="8"/>
      <c r="G840" s="8"/>
      <c r="H840" s="8">
        <v>974.08</v>
      </c>
      <c r="I840" s="8"/>
      <c r="J840" s="8"/>
      <c r="K840" s="8"/>
      <c r="L840" s="8"/>
      <c r="M840" s="8">
        <v>6.35</v>
      </c>
      <c r="N840" s="8"/>
      <c r="O840" s="8"/>
      <c r="P840" s="8"/>
      <c r="Q840" s="11"/>
      <c r="R840" s="11"/>
      <c r="S840" s="8">
        <v>13.23</v>
      </c>
      <c r="T840" s="8">
        <v>20.16</v>
      </c>
      <c r="U840" s="8">
        <v>17.260000000000002</v>
      </c>
      <c r="V840" s="8"/>
      <c r="W840" s="8"/>
      <c r="X840" s="8"/>
      <c r="Y840" s="8"/>
      <c r="Z840" s="8"/>
      <c r="AA840" s="8"/>
      <c r="AB840" s="8"/>
      <c r="AC840" s="8">
        <v>11.5</v>
      </c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11"/>
      <c r="AQ840" s="8"/>
      <c r="AR840" s="8"/>
      <c r="AS840" s="8"/>
      <c r="AT840" s="8">
        <v>2028.46</v>
      </c>
      <c r="AU840" s="8"/>
      <c r="AV840" s="8"/>
      <c r="AW840" s="8"/>
      <c r="AX840" s="8"/>
      <c r="AY840" s="8">
        <v>28.96</v>
      </c>
      <c r="AZ840" s="8"/>
      <c r="BA840" s="8"/>
      <c r="BB840" s="8"/>
      <c r="BC840" s="8"/>
      <c r="BD840" s="8"/>
      <c r="BE840" s="8"/>
      <c r="BF840" s="8">
        <v>129.22999999999999</v>
      </c>
      <c r="BG840" s="8">
        <v>152.29</v>
      </c>
      <c r="BH840" s="9">
        <f t="shared" si="117"/>
        <v>3308.97</v>
      </c>
      <c r="BI840" s="9">
        <f t="shared" si="118"/>
        <v>6.35</v>
      </c>
      <c r="BJ840" s="9">
        <f t="shared" si="119"/>
        <v>13.23</v>
      </c>
      <c r="BK840" s="9">
        <f t="shared" si="120"/>
        <v>37.42</v>
      </c>
      <c r="BL840" s="9">
        <f t="shared" si="121"/>
        <v>0</v>
      </c>
      <c r="BM840" s="9">
        <f t="shared" si="122"/>
        <v>11.5</v>
      </c>
      <c r="BN840" s="9">
        <f t="shared" si="123"/>
        <v>2028.46</v>
      </c>
      <c r="BO840" s="9">
        <f t="shared" si="124"/>
        <v>28.96</v>
      </c>
      <c r="BP840" s="9">
        <f t="shared" si="125"/>
        <v>129.22999999999999</v>
      </c>
    </row>
    <row r="841" spans="1:68">
      <c r="A841" s="6">
        <v>44711</v>
      </c>
      <c r="B841" s="7">
        <v>3104</v>
      </c>
      <c r="C841" s="8">
        <f>805.13+711.8</f>
        <v>1516.9299999999998</v>
      </c>
      <c r="D841" s="8"/>
      <c r="E841" s="8"/>
      <c r="F841" s="8"/>
      <c r="G841" s="8"/>
      <c r="H841" s="8">
        <f>206.93+183.34</f>
        <v>390.27</v>
      </c>
      <c r="I841" s="8"/>
      <c r="J841" s="8"/>
      <c r="K841" s="8"/>
      <c r="L841" s="8"/>
      <c r="M841" s="8">
        <f>2.3+2.04</f>
        <v>4.34</v>
      </c>
      <c r="N841" s="8"/>
      <c r="O841" s="8"/>
      <c r="P841" s="8"/>
      <c r="Q841" s="11"/>
      <c r="R841" s="11"/>
      <c r="S841" s="8">
        <f>4.24+3.76</f>
        <v>8</v>
      </c>
      <c r="T841" s="8">
        <f>7.36+6.53</f>
        <v>13.89</v>
      </c>
      <c r="U841" s="8">
        <f>2.86+3.22</f>
        <v>6.08</v>
      </c>
      <c r="V841" s="8"/>
      <c r="W841" s="8"/>
      <c r="X841" s="8"/>
      <c r="Y841" s="8"/>
      <c r="Z841" s="8"/>
      <c r="AA841" s="8"/>
      <c r="AB841" s="8"/>
      <c r="AC841" s="8">
        <f>3.68+3.26</f>
        <v>6.9399999999999995</v>
      </c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11"/>
      <c r="AQ841" s="8"/>
      <c r="AR841" s="8"/>
      <c r="AS841" s="8"/>
      <c r="AT841" s="8">
        <f>588.02+519.65</f>
        <v>1107.67</v>
      </c>
      <c r="AU841" s="8"/>
      <c r="AV841" s="8"/>
      <c r="AW841" s="8"/>
      <c r="AX841" s="8"/>
      <c r="AY841" s="8"/>
      <c r="AZ841" s="8"/>
      <c r="BA841" s="8">
        <f>20.99+18.59</f>
        <v>39.58</v>
      </c>
      <c r="BB841" s="8"/>
      <c r="BC841" s="8"/>
      <c r="BD841" s="8"/>
      <c r="BE841" s="8"/>
      <c r="BF841" s="8">
        <f>18.42+16.35</f>
        <v>34.770000000000003</v>
      </c>
      <c r="BG841" s="8">
        <f>45.62+40.47</f>
        <v>86.09</v>
      </c>
      <c r="BH841" s="9">
        <f t="shared" si="117"/>
        <v>1907.1999999999998</v>
      </c>
      <c r="BI841" s="9">
        <f t="shared" si="118"/>
        <v>4.34</v>
      </c>
      <c r="BJ841" s="9">
        <f t="shared" si="119"/>
        <v>8</v>
      </c>
      <c r="BK841" s="9">
        <f t="shared" si="120"/>
        <v>19.97</v>
      </c>
      <c r="BL841" s="9">
        <f t="shared" si="121"/>
        <v>0</v>
      </c>
      <c r="BM841" s="9">
        <f t="shared" si="122"/>
        <v>6.9399999999999995</v>
      </c>
      <c r="BN841" s="9">
        <f t="shared" si="123"/>
        <v>1107.67</v>
      </c>
      <c r="BO841" s="9">
        <f t="shared" si="124"/>
        <v>39.58</v>
      </c>
      <c r="BP841" s="9">
        <f t="shared" si="125"/>
        <v>34.770000000000003</v>
      </c>
    </row>
    <row r="842" spans="1:68">
      <c r="A842" s="6">
        <v>44711</v>
      </c>
      <c r="B842" s="7">
        <v>3602</v>
      </c>
      <c r="C842" s="8">
        <v>566.73</v>
      </c>
      <c r="D842" s="8"/>
      <c r="E842" s="8"/>
      <c r="F842" s="8"/>
      <c r="G842" s="8">
        <v>850.8</v>
      </c>
      <c r="H842" s="8"/>
      <c r="I842" s="8"/>
      <c r="J842" s="8"/>
      <c r="K842" s="8"/>
      <c r="L842" s="8"/>
      <c r="M842" s="8">
        <v>1.48</v>
      </c>
      <c r="N842" s="8"/>
      <c r="O842" s="8"/>
      <c r="P842" s="8"/>
      <c r="Q842" s="11"/>
      <c r="R842" s="11"/>
      <c r="S842" s="8">
        <v>7.51</v>
      </c>
      <c r="T842" s="8"/>
      <c r="U842" s="8">
        <v>4.55</v>
      </c>
      <c r="V842" s="8">
        <v>13.68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11"/>
      <c r="AQ842" s="8"/>
      <c r="AR842" s="8"/>
      <c r="AS842" s="8"/>
      <c r="AT842" s="8">
        <v>592.20000000000005</v>
      </c>
      <c r="AU842" s="8"/>
      <c r="AV842" s="8"/>
      <c r="AW842" s="8">
        <v>36.72</v>
      </c>
      <c r="AX842" s="8"/>
      <c r="AY842" s="8"/>
      <c r="AZ842" s="8"/>
      <c r="BA842" s="8"/>
      <c r="BB842" s="8"/>
      <c r="BC842" s="8"/>
      <c r="BD842" s="8"/>
      <c r="BE842" s="8"/>
      <c r="BF842" s="8">
        <v>45.53</v>
      </c>
      <c r="BG842" s="8">
        <v>44.39</v>
      </c>
      <c r="BH842" s="9">
        <f t="shared" si="117"/>
        <v>1417.53</v>
      </c>
      <c r="BI842" s="9">
        <f t="shared" si="118"/>
        <v>1.48</v>
      </c>
      <c r="BJ842" s="9">
        <f t="shared" si="119"/>
        <v>7.51</v>
      </c>
      <c r="BK842" s="9">
        <f t="shared" si="120"/>
        <v>18.23</v>
      </c>
      <c r="BL842" s="9">
        <f t="shared" si="121"/>
        <v>0</v>
      </c>
      <c r="BM842" s="9">
        <f t="shared" si="122"/>
        <v>0</v>
      </c>
      <c r="BN842" s="9">
        <f t="shared" si="123"/>
        <v>592.20000000000005</v>
      </c>
      <c r="BO842" s="9">
        <f t="shared" si="124"/>
        <v>36.72</v>
      </c>
      <c r="BP842" s="9">
        <f t="shared" si="125"/>
        <v>45.53</v>
      </c>
    </row>
    <row r="843" spans="1:68">
      <c r="A843" s="6">
        <v>44711</v>
      </c>
      <c r="B843" s="7">
        <v>3801</v>
      </c>
      <c r="C843" s="8">
        <v>272.67</v>
      </c>
      <c r="D843" s="8"/>
      <c r="E843" s="8"/>
      <c r="F843" s="8"/>
      <c r="G843" s="8"/>
      <c r="H843" s="8"/>
      <c r="I843" s="8"/>
      <c r="J843" s="8"/>
      <c r="K843" s="8"/>
      <c r="L843" s="8">
        <v>230.59</v>
      </c>
      <c r="M843" s="8"/>
      <c r="N843" s="8">
        <v>0.56000000000000005</v>
      </c>
      <c r="O843" s="8"/>
      <c r="P843" s="8"/>
      <c r="Q843" s="11"/>
      <c r="R843" s="11"/>
      <c r="S843" s="8">
        <v>2.13</v>
      </c>
      <c r="T843" s="8"/>
      <c r="U843" s="8">
        <v>2.42</v>
      </c>
      <c r="V843" s="8"/>
      <c r="W843" s="8"/>
      <c r="X843" s="8"/>
      <c r="Y843" s="8"/>
      <c r="Z843" s="8">
        <v>40.22</v>
      </c>
      <c r="AA843" s="8">
        <v>16.114000000000001</v>
      </c>
      <c r="AB843" s="8"/>
      <c r="AC843" s="8"/>
      <c r="AD843" s="8"/>
      <c r="AE843" s="8">
        <v>1.43</v>
      </c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11"/>
      <c r="AQ843" s="8"/>
      <c r="AR843" s="8"/>
      <c r="AS843" s="8"/>
      <c r="AT843" s="8">
        <v>195.86</v>
      </c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>
        <v>14.82</v>
      </c>
      <c r="BH843" s="9">
        <f t="shared" si="117"/>
        <v>503.26</v>
      </c>
      <c r="BI843" s="9">
        <f t="shared" si="118"/>
        <v>0.56000000000000005</v>
      </c>
      <c r="BJ843" s="9">
        <f t="shared" si="119"/>
        <v>2.13</v>
      </c>
      <c r="BK843" s="9">
        <f t="shared" si="120"/>
        <v>2.42</v>
      </c>
      <c r="BL843" s="9">
        <f t="shared" si="121"/>
        <v>56.334000000000003</v>
      </c>
      <c r="BM843" s="9">
        <f t="shared" si="122"/>
        <v>1.43</v>
      </c>
      <c r="BN843" s="9">
        <f t="shared" si="123"/>
        <v>195.86</v>
      </c>
      <c r="BO843" s="9">
        <f t="shared" si="124"/>
        <v>0</v>
      </c>
      <c r="BP843" s="9">
        <f t="shared" si="125"/>
        <v>0</v>
      </c>
    </row>
    <row r="844" spans="1:68">
      <c r="A844" s="6">
        <v>44711</v>
      </c>
      <c r="B844" s="7">
        <v>3080</v>
      </c>
      <c r="C844" s="8"/>
      <c r="D844" s="8"/>
      <c r="E844" s="8"/>
      <c r="F844" s="8">
        <v>764.05</v>
      </c>
      <c r="G844" s="8"/>
      <c r="H844" s="8"/>
      <c r="I844" s="8">
        <v>1148.6300000000001</v>
      </c>
      <c r="J844" s="8"/>
      <c r="K844" s="8"/>
      <c r="L844" s="8"/>
      <c r="M844" s="8"/>
      <c r="N844" s="8">
        <v>13.51</v>
      </c>
      <c r="O844" s="8"/>
      <c r="P844" s="8">
        <v>7.74</v>
      </c>
      <c r="Q844" s="11"/>
      <c r="R844" s="11"/>
      <c r="S844" s="8">
        <v>1.17</v>
      </c>
      <c r="T844" s="8">
        <v>19.3</v>
      </c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>
        <v>29.58</v>
      </c>
      <c r="AJ844" s="8"/>
      <c r="AK844" s="8"/>
      <c r="AL844" s="8"/>
      <c r="AM844" s="8"/>
      <c r="AN844" s="8"/>
      <c r="AO844" s="8"/>
      <c r="AP844" s="11"/>
      <c r="AQ844" s="8">
        <v>19.29</v>
      </c>
      <c r="AR844" s="8">
        <v>66.12</v>
      </c>
      <c r="AS844" s="8"/>
      <c r="AT844" s="8">
        <v>672.28</v>
      </c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>
        <v>36.65</v>
      </c>
      <c r="BH844" s="9">
        <f t="shared" si="117"/>
        <v>1912.68</v>
      </c>
      <c r="BI844" s="9">
        <f t="shared" si="118"/>
        <v>21.25</v>
      </c>
      <c r="BJ844" s="9">
        <f t="shared" si="119"/>
        <v>1.17</v>
      </c>
      <c r="BK844" s="9">
        <f t="shared" si="120"/>
        <v>19.3</v>
      </c>
      <c r="BL844" s="9">
        <f t="shared" si="121"/>
        <v>0</v>
      </c>
      <c r="BM844" s="9">
        <f t="shared" si="122"/>
        <v>114.99000000000001</v>
      </c>
      <c r="BN844" s="9">
        <f t="shared" si="123"/>
        <v>672.28</v>
      </c>
      <c r="BO844" s="9">
        <f t="shared" si="124"/>
        <v>0</v>
      </c>
      <c r="BP844" s="9">
        <f t="shared" si="125"/>
        <v>0</v>
      </c>
    </row>
    <row r="845" spans="1:68">
      <c r="A845" s="6">
        <v>44712</v>
      </c>
      <c r="B845" s="7">
        <v>3022</v>
      </c>
      <c r="C845" s="8"/>
      <c r="D845" s="8">
        <v>1544.02</v>
      </c>
      <c r="E845" s="8"/>
      <c r="F845" s="8"/>
      <c r="G845" s="8"/>
      <c r="H845" s="8"/>
      <c r="I845" s="8">
        <v>1265.42</v>
      </c>
      <c r="J845" s="8"/>
      <c r="K845" s="8"/>
      <c r="L845" s="8"/>
      <c r="M845" s="8"/>
      <c r="N845" s="8">
        <v>14.05</v>
      </c>
      <c r="O845" s="8"/>
      <c r="P845" s="8"/>
      <c r="Q845" s="11"/>
      <c r="R845" s="11"/>
      <c r="S845" s="8">
        <v>5.0599999999999996</v>
      </c>
      <c r="T845" s="8"/>
      <c r="U845" s="8"/>
      <c r="V845" s="8"/>
      <c r="W845" s="8">
        <v>28.027999999999999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>
        <v>36.56</v>
      </c>
      <c r="AN845" s="8"/>
      <c r="AO845" s="8"/>
      <c r="AP845" s="11"/>
      <c r="AQ845" s="8"/>
      <c r="AR845" s="8"/>
      <c r="AS845" s="8">
        <v>98.265000000000001</v>
      </c>
      <c r="AT845" s="8">
        <v>1313.9</v>
      </c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>
        <v>101.09</v>
      </c>
      <c r="BH845" s="9">
        <f t="shared" si="117"/>
        <v>2809.44</v>
      </c>
      <c r="BI845" s="9">
        <f t="shared" si="118"/>
        <v>14.05</v>
      </c>
      <c r="BJ845" s="9">
        <f t="shared" si="119"/>
        <v>5.0599999999999996</v>
      </c>
      <c r="BK845" s="9">
        <f t="shared" si="120"/>
        <v>28.027999999999999</v>
      </c>
      <c r="BL845" s="9">
        <f t="shared" si="121"/>
        <v>0</v>
      </c>
      <c r="BM845" s="9">
        <f t="shared" si="122"/>
        <v>134.82499999999999</v>
      </c>
      <c r="BN845" s="9">
        <f t="shared" si="123"/>
        <v>1313.9</v>
      </c>
      <c r="BO845" s="9">
        <f t="shared" si="124"/>
        <v>0</v>
      </c>
      <c r="BP845" s="9">
        <f t="shared" si="125"/>
        <v>0</v>
      </c>
    </row>
    <row r="846" spans="1:68">
      <c r="A846" s="6">
        <v>44712</v>
      </c>
      <c r="B846" s="7">
        <v>3020</v>
      </c>
      <c r="C846" s="8"/>
      <c r="D846" s="8">
        <v>170.26</v>
      </c>
      <c r="E846" s="8"/>
      <c r="F846" s="8"/>
      <c r="G846" s="8"/>
      <c r="H846" s="8"/>
      <c r="I846" s="8">
        <v>961.98</v>
      </c>
      <c r="J846" s="8"/>
      <c r="K846" s="8"/>
      <c r="L846" s="8"/>
      <c r="M846" s="8"/>
      <c r="N846" s="8">
        <v>6.78</v>
      </c>
      <c r="O846" s="8"/>
      <c r="P846" s="8"/>
      <c r="Q846" s="11"/>
      <c r="R846" s="11"/>
      <c r="S846" s="8">
        <v>2.0299999999999998</v>
      </c>
      <c r="T846" s="8"/>
      <c r="U846" s="8"/>
      <c r="V846" s="8"/>
      <c r="W846" s="8">
        <v>11.363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>
        <v>11.25</v>
      </c>
      <c r="AN846" s="8"/>
      <c r="AO846" s="8"/>
      <c r="AP846" s="11"/>
      <c r="AQ846" s="8"/>
      <c r="AR846" s="8"/>
      <c r="AS846" s="8">
        <v>28.469000000000001</v>
      </c>
      <c r="AT846" s="8">
        <v>556.91</v>
      </c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>
        <v>40.72</v>
      </c>
      <c r="BH846" s="9">
        <f t="shared" si="117"/>
        <v>1132.24</v>
      </c>
      <c r="BI846" s="9">
        <f t="shared" si="118"/>
        <v>6.78</v>
      </c>
      <c r="BJ846" s="9">
        <f t="shared" si="119"/>
        <v>2.0299999999999998</v>
      </c>
      <c r="BK846" s="9">
        <f t="shared" si="120"/>
        <v>11.363</v>
      </c>
      <c r="BL846" s="9">
        <f t="shared" si="121"/>
        <v>0</v>
      </c>
      <c r="BM846" s="9">
        <f t="shared" si="122"/>
        <v>39.719000000000001</v>
      </c>
      <c r="BN846" s="9">
        <f t="shared" si="123"/>
        <v>556.91</v>
      </c>
      <c r="BO846" s="9">
        <f t="shared" si="124"/>
        <v>0</v>
      </c>
      <c r="BP846" s="9">
        <f t="shared" si="125"/>
        <v>0</v>
      </c>
    </row>
    <row r="847" spans="1:68">
      <c r="A847" s="6">
        <v>44712</v>
      </c>
      <c r="B847" s="7">
        <v>3021</v>
      </c>
      <c r="C847" s="8"/>
      <c r="D847" s="8">
        <v>350.29</v>
      </c>
      <c r="E847" s="8"/>
      <c r="F847" s="8"/>
      <c r="G847" s="8"/>
      <c r="H847" s="8"/>
      <c r="I847" s="8">
        <v>652.52</v>
      </c>
      <c r="J847" s="8"/>
      <c r="K847" s="8"/>
      <c r="L847" s="8"/>
      <c r="M847" s="8"/>
      <c r="N847" s="8">
        <v>5.32</v>
      </c>
      <c r="O847" s="8"/>
      <c r="P847" s="8"/>
      <c r="Q847" s="11"/>
      <c r="R847" s="11"/>
      <c r="S847" s="8">
        <v>1.8</v>
      </c>
      <c r="T847" s="8"/>
      <c r="U847" s="8"/>
      <c r="V847" s="8"/>
      <c r="W847" s="8">
        <v>9.9700000000000006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>
        <v>10.050000000000001</v>
      </c>
      <c r="AN847" s="8"/>
      <c r="AO847" s="8"/>
      <c r="AP847" s="11"/>
      <c r="AQ847" s="8"/>
      <c r="AR847" s="8"/>
      <c r="AS847" s="8">
        <v>25.021000000000001</v>
      </c>
      <c r="AT847" s="8">
        <v>472.28</v>
      </c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>
        <v>35.78</v>
      </c>
      <c r="BH847" s="9">
        <f t="shared" si="117"/>
        <v>1002.81</v>
      </c>
      <c r="BI847" s="9">
        <f t="shared" si="118"/>
        <v>5.32</v>
      </c>
      <c r="BJ847" s="9">
        <f t="shared" si="119"/>
        <v>1.8</v>
      </c>
      <c r="BK847" s="9">
        <f t="shared" si="120"/>
        <v>9.9700000000000006</v>
      </c>
      <c r="BL847" s="9">
        <f t="shared" si="121"/>
        <v>0</v>
      </c>
      <c r="BM847" s="9">
        <f t="shared" si="122"/>
        <v>35.070999999999998</v>
      </c>
      <c r="BN847" s="9">
        <f t="shared" si="123"/>
        <v>472.28</v>
      </c>
      <c r="BO847" s="9">
        <f t="shared" si="124"/>
        <v>0</v>
      </c>
      <c r="BP847" s="9">
        <f t="shared" si="125"/>
        <v>0</v>
      </c>
    </row>
    <row r="848" spans="1:68">
      <c r="A848" s="6">
        <v>44712</v>
      </c>
      <c r="B848" s="7">
        <v>3016</v>
      </c>
      <c r="C848" s="8"/>
      <c r="D848" s="8">
        <v>1588.93</v>
      </c>
      <c r="E848" s="8"/>
      <c r="F848" s="8"/>
      <c r="G848" s="8"/>
      <c r="H848" s="8"/>
      <c r="I848" s="8">
        <v>1465.72</v>
      </c>
      <c r="J848" s="8"/>
      <c r="K848" s="8"/>
      <c r="L848" s="8"/>
      <c r="M848" s="8"/>
      <c r="N848" s="8">
        <v>18.309999999999999</v>
      </c>
      <c r="O848" s="8"/>
      <c r="P848" s="8"/>
      <c r="Q848" s="11"/>
      <c r="R848" s="11"/>
      <c r="S848" s="8">
        <v>2.14</v>
      </c>
      <c r="T848" s="8">
        <v>30.72</v>
      </c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>
        <v>12.19</v>
      </c>
      <c r="AN848" s="8">
        <v>36.533000000000001</v>
      </c>
      <c r="AO848" s="8"/>
      <c r="AP848" s="11"/>
      <c r="AQ848" s="8"/>
      <c r="AR848" s="8">
        <v>76.174000000000007</v>
      </c>
      <c r="AS848" s="8"/>
      <c r="AT848" s="8">
        <v>1133.52</v>
      </c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>
        <v>82.83</v>
      </c>
      <c r="BH848" s="9">
        <f t="shared" si="117"/>
        <v>3054.65</v>
      </c>
      <c r="BI848" s="9">
        <f t="shared" si="118"/>
        <v>18.309999999999999</v>
      </c>
      <c r="BJ848" s="9">
        <f t="shared" si="119"/>
        <v>2.14</v>
      </c>
      <c r="BK848" s="9">
        <f t="shared" si="120"/>
        <v>30.72</v>
      </c>
      <c r="BL848" s="9">
        <f t="shared" si="121"/>
        <v>0</v>
      </c>
      <c r="BM848" s="9">
        <f t="shared" si="122"/>
        <v>124.89700000000001</v>
      </c>
      <c r="BN848" s="9">
        <f t="shared" si="123"/>
        <v>1133.52</v>
      </c>
      <c r="BO848" s="9">
        <f t="shared" si="124"/>
        <v>0</v>
      </c>
      <c r="BP848" s="9">
        <f t="shared" si="125"/>
        <v>0</v>
      </c>
    </row>
    <row r="849" spans="1:68">
      <c r="A849" s="6">
        <v>44712</v>
      </c>
      <c r="B849" s="7">
        <v>3083</v>
      </c>
      <c r="C849" s="8"/>
      <c r="D849" s="8">
        <v>736.19</v>
      </c>
      <c r="E849" s="8"/>
      <c r="F849" s="8"/>
      <c r="G849" s="8"/>
      <c r="H849" s="8"/>
      <c r="I849" s="8">
        <v>1721.68</v>
      </c>
      <c r="J849" s="8"/>
      <c r="K849" s="8"/>
      <c r="L849" s="8"/>
      <c r="M849" s="8"/>
      <c r="N849" s="8">
        <v>16.96</v>
      </c>
      <c r="O849" s="8"/>
      <c r="P849" s="8"/>
      <c r="Q849" s="11"/>
      <c r="R849" s="11"/>
      <c r="S849" s="8">
        <v>1.72</v>
      </c>
      <c r="T849" s="8">
        <v>19.66</v>
      </c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>
        <v>9.8000000000000007</v>
      </c>
      <c r="AN849" s="8">
        <v>34.598999999999997</v>
      </c>
      <c r="AO849" s="8"/>
      <c r="AP849" s="11"/>
      <c r="AQ849" s="8"/>
      <c r="AR849" s="8">
        <v>61.582999999999998</v>
      </c>
      <c r="AS849" s="8"/>
      <c r="AT849" s="8">
        <v>1115.44</v>
      </c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>
        <v>88.12</v>
      </c>
      <c r="BH849" s="9">
        <f t="shared" si="117"/>
        <v>2457.87</v>
      </c>
      <c r="BI849" s="9">
        <f t="shared" si="118"/>
        <v>16.96</v>
      </c>
      <c r="BJ849" s="9">
        <f t="shared" si="119"/>
        <v>1.72</v>
      </c>
      <c r="BK849" s="9">
        <f t="shared" si="120"/>
        <v>19.66</v>
      </c>
      <c r="BL849" s="9">
        <f t="shared" si="121"/>
        <v>0</v>
      </c>
      <c r="BM849" s="9">
        <f t="shared" si="122"/>
        <v>105.982</v>
      </c>
      <c r="BN849" s="9">
        <f t="shared" si="123"/>
        <v>1115.44</v>
      </c>
      <c r="BO849" s="9">
        <f t="shared" si="124"/>
        <v>0</v>
      </c>
      <c r="BP849" s="9">
        <f t="shared" si="125"/>
        <v>0</v>
      </c>
    </row>
    <row r="850" spans="1:68">
      <c r="A850" s="6">
        <v>44712</v>
      </c>
      <c r="B850" s="7">
        <v>3135</v>
      </c>
      <c r="C850" s="8">
        <v>1068.8900000000001</v>
      </c>
      <c r="D850" s="8">
        <v>149.29</v>
      </c>
      <c r="E850" s="8"/>
      <c r="F850" s="8"/>
      <c r="G850" s="8"/>
      <c r="H850" s="8">
        <v>506.16</v>
      </c>
      <c r="I850" s="8"/>
      <c r="J850" s="8"/>
      <c r="K850" s="8"/>
      <c r="L850" s="8"/>
      <c r="M850" s="8">
        <v>3.62</v>
      </c>
      <c r="N850" s="8"/>
      <c r="O850" s="8"/>
      <c r="P850" s="8"/>
      <c r="Q850" s="11"/>
      <c r="R850" s="11"/>
      <c r="S850" s="8">
        <v>6.91</v>
      </c>
      <c r="T850" s="8">
        <v>10.51</v>
      </c>
      <c r="U850" s="8">
        <v>9.01</v>
      </c>
      <c r="V850" s="8"/>
      <c r="W850" s="8"/>
      <c r="X850" s="8"/>
      <c r="Y850" s="8"/>
      <c r="Z850" s="8"/>
      <c r="AA850" s="8"/>
      <c r="AB850" s="8"/>
      <c r="AC850" s="8">
        <v>6</v>
      </c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11"/>
      <c r="AQ850" s="8"/>
      <c r="AR850" s="8"/>
      <c r="AS850" s="8"/>
      <c r="AT850" s="8">
        <v>1058.48</v>
      </c>
      <c r="AU850" s="8"/>
      <c r="AV850" s="8"/>
      <c r="AW850" s="8"/>
      <c r="AX850" s="8"/>
      <c r="AY850" s="8"/>
      <c r="AZ850" s="8"/>
      <c r="BA850" s="8">
        <v>34.21</v>
      </c>
      <c r="BB850" s="8"/>
      <c r="BC850" s="8"/>
      <c r="BD850" s="8"/>
      <c r="BE850" s="8"/>
      <c r="BF850" s="8">
        <v>67.48</v>
      </c>
      <c r="BG850" s="8">
        <v>79.5</v>
      </c>
      <c r="BH850" s="9">
        <f t="shared" si="117"/>
        <v>1724.3400000000001</v>
      </c>
      <c r="BI850" s="9">
        <f t="shared" si="118"/>
        <v>3.62</v>
      </c>
      <c r="BJ850" s="9">
        <f t="shared" si="119"/>
        <v>6.91</v>
      </c>
      <c r="BK850" s="9">
        <f t="shared" si="120"/>
        <v>19.52</v>
      </c>
      <c r="BL850" s="9">
        <f t="shared" si="121"/>
        <v>0</v>
      </c>
      <c r="BM850" s="9">
        <f t="shared" si="122"/>
        <v>6</v>
      </c>
      <c r="BN850" s="9">
        <f t="shared" si="123"/>
        <v>1058.48</v>
      </c>
      <c r="BO850" s="9">
        <f t="shared" si="124"/>
        <v>34.21</v>
      </c>
      <c r="BP850" s="9">
        <f t="shared" si="125"/>
        <v>67.48</v>
      </c>
    </row>
    <row r="851" spans="1:68">
      <c r="A851" s="6">
        <v>44712</v>
      </c>
      <c r="B851" s="7">
        <v>3106</v>
      </c>
      <c r="C851" s="8">
        <v>2103.6999999999998</v>
      </c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11">
        <f>855*9.57/1000</f>
        <v>8.1823499999999996</v>
      </c>
      <c r="R851" s="11"/>
      <c r="S851" s="8">
        <v>6.32</v>
      </c>
      <c r="T851" s="8">
        <v>26.7</v>
      </c>
      <c r="U851" s="8"/>
      <c r="V851" s="8"/>
      <c r="W851" s="8"/>
      <c r="X851" s="8"/>
      <c r="Y851" s="8"/>
      <c r="Z851" s="8"/>
      <c r="AA851" s="8"/>
      <c r="AB851" s="8"/>
      <c r="AC851" s="8">
        <v>5.26</v>
      </c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11"/>
      <c r="AQ851" s="8"/>
      <c r="AR851" s="8"/>
      <c r="AS851" s="8"/>
      <c r="AT851" s="8">
        <v>1202.29</v>
      </c>
      <c r="AU851" s="8"/>
      <c r="AV851" s="8"/>
      <c r="AW851" s="8"/>
      <c r="AX851" s="8">
        <v>2.63</v>
      </c>
      <c r="AY851" s="8"/>
      <c r="AZ851" s="8"/>
      <c r="BA851" s="8"/>
      <c r="BB851" s="8"/>
      <c r="BC851" s="8"/>
      <c r="BD851" s="8"/>
      <c r="BE851" s="8"/>
      <c r="BF851" s="8"/>
      <c r="BG851" s="8">
        <v>90.25</v>
      </c>
      <c r="BH851" s="9">
        <f t="shared" si="117"/>
        <v>2103.6999999999998</v>
      </c>
      <c r="BI851" s="9">
        <f t="shared" si="118"/>
        <v>8.1823499999999996</v>
      </c>
      <c r="BJ851" s="9">
        <f t="shared" si="119"/>
        <v>6.32</v>
      </c>
      <c r="BK851" s="9">
        <f t="shared" si="120"/>
        <v>26.7</v>
      </c>
      <c r="BL851" s="9">
        <f t="shared" si="121"/>
        <v>0</v>
      </c>
      <c r="BM851" s="9">
        <f t="shared" si="122"/>
        <v>5.26</v>
      </c>
      <c r="BN851" s="9">
        <f t="shared" si="123"/>
        <v>1202.29</v>
      </c>
      <c r="BO851" s="9">
        <f t="shared" si="124"/>
        <v>2.63</v>
      </c>
      <c r="BP851" s="9">
        <f t="shared" si="125"/>
        <v>0</v>
      </c>
    </row>
    <row r="852" spans="1:68">
      <c r="A852" s="6">
        <v>44712</v>
      </c>
      <c r="B852" s="7">
        <v>3106</v>
      </c>
      <c r="C852" s="8">
        <v>2112.17</v>
      </c>
      <c r="D852" s="8"/>
      <c r="E852" s="8"/>
      <c r="F852" s="8"/>
      <c r="G852" s="8"/>
      <c r="H852" s="8"/>
      <c r="I852" s="8"/>
      <c r="J852" s="8"/>
      <c r="K852" s="8"/>
      <c r="L852" s="8"/>
      <c r="M852" s="8">
        <v>5.7</v>
      </c>
      <c r="N852" s="8"/>
      <c r="O852" s="8"/>
      <c r="P852" s="8"/>
      <c r="Q852" s="11"/>
      <c r="R852" s="11"/>
      <c r="S852" s="8">
        <v>6.37</v>
      </c>
      <c r="T852" s="8">
        <v>26.82</v>
      </c>
      <c r="U852" s="8"/>
      <c r="V852" s="8"/>
      <c r="W852" s="8"/>
      <c r="X852" s="8"/>
      <c r="Y852" s="8"/>
      <c r="Z852" s="8"/>
      <c r="AA852" s="8"/>
      <c r="AB852" s="8"/>
      <c r="AC852" s="8">
        <v>5.29</v>
      </c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11"/>
      <c r="AQ852" s="8"/>
      <c r="AR852" s="8"/>
      <c r="AS852" s="8"/>
      <c r="AT852" s="8">
        <v>1210.7</v>
      </c>
      <c r="AU852" s="8"/>
      <c r="AV852" s="8"/>
      <c r="AW852" s="8"/>
      <c r="AX852" s="8">
        <v>2.65</v>
      </c>
      <c r="AY852" s="8"/>
      <c r="AZ852" s="8"/>
      <c r="BA852" s="8"/>
      <c r="BB852" s="8"/>
      <c r="BC852" s="8"/>
      <c r="BD852" s="8"/>
      <c r="BE852" s="8"/>
      <c r="BF852" s="8"/>
      <c r="BG852" s="8">
        <v>91.22</v>
      </c>
      <c r="BH852" s="9">
        <f t="shared" si="117"/>
        <v>2112.17</v>
      </c>
      <c r="BI852" s="9">
        <f t="shared" si="118"/>
        <v>5.7</v>
      </c>
      <c r="BJ852" s="9">
        <f t="shared" si="119"/>
        <v>6.37</v>
      </c>
      <c r="BK852" s="9">
        <f t="shared" si="120"/>
        <v>26.82</v>
      </c>
      <c r="BL852" s="9">
        <f t="shared" si="121"/>
        <v>0</v>
      </c>
      <c r="BM852" s="9">
        <f t="shared" si="122"/>
        <v>5.29</v>
      </c>
      <c r="BN852" s="9">
        <f t="shared" si="123"/>
        <v>1210.7</v>
      </c>
      <c r="BO852" s="9">
        <f t="shared" si="124"/>
        <v>2.65</v>
      </c>
      <c r="BP852" s="9">
        <f t="shared" si="125"/>
        <v>0</v>
      </c>
    </row>
    <row r="853" spans="1:68">
      <c r="A853" s="6">
        <v>44714</v>
      </c>
      <c r="B853" s="7">
        <v>3703</v>
      </c>
      <c r="C853" s="8">
        <v>840.14</v>
      </c>
      <c r="D853" s="8">
        <v>560.17999999999995</v>
      </c>
      <c r="E853" s="8"/>
      <c r="F853" s="8"/>
      <c r="G853" s="8"/>
      <c r="H853" s="8"/>
      <c r="I853" s="8"/>
      <c r="J853" s="8"/>
      <c r="K853" s="8"/>
      <c r="L853" s="8"/>
      <c r="M853" s="8">
        <v>2.81</v>
      </c>
      <c r="N853" s="8"/>
      <c r="O853" s="8"/>
      <c r="P853" s="8"/>
      <c r="Q853" s="11"/>
      <c r="R853" s="11"/>
      <c r="S853" s="8">
        <v>6.87</v>
      </c>
      <c r="T853" s="8"/>
      <c r="U853" s="8">
        <v>11.21</v>
      </c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>
        <v>14.01</v>
      </c>
      <c r="AM853" s="8"/>
      <c r="AN853" s="8"/>
      <c r="AO853" s="8"/>
      <c r="AP853" s="11"/>
      <c r="AQ853" s="8"/>
      <c r="AR853" s="8"/>
      <c r="AS853" s="8"/>
      <c r="AT853" s="8">
        <v>342.73</v>
      </c>
      <c r="AU853" s="8">
        <v>170.48</v>
      </c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>
        <v>35.700000000000003</v>
      </c>
      <c r="BH853" s="9">
        <f t="shared" si="117"/>
        <v>1400.32</v>
      </c>
      <c r="BI853" s="9">
        <f t="shared" si="118"/>
        <v>2.81</v>
      </c>
      <c r="BJ853" s="9">
        <f t="shared" si="119"/>
        <v>6.87</v>
      </c>
      <c r="BK853" s="9">
        <f t="shared" si="120"/>
        <v>11.21</v>
      </c>
      <c r="BL853" s="9">
        <f t="shared" si="121"/>
        <v>0</v>
      </c>
      <c r="BM853" s="9">
        <f t="shared" si="122"/>
        <v>14.01</v>
      </c>
      <c r="BN853" s="9">
        <f t="shared" si="123"/>
        <v>513.21</v>
      </c>
      <c r="BO853" s="9">
        <f t="shared" si="124"/>
        <v>0</v>
      </c>
      <c r="BP853" s="9">
        <f t="shared" si="125"/>
        <v>0</v>
      </c>
    </row>
    <row r="854" spans="1:68">
      <c r="A854" s="6">
        <v>44714</v>
      </c>
      <c r="B854" s="7">
        <v>3117</v>
      </c>
      <c r="C854" s="8">
        <v>1422.56</v>
      </c>
      <c r="D854" s="8"/>
      <c r="E854" s="8"/>
      <c r="F854" s="8"/>
      <c r="G854" s="8"/>
      <c r="H854" s="8"/>
      <c r="I854" s="8"/>
      <c r="J854" s="8"/>
      <c r="K854" s="8"/>
      <c r="L854" s="8"/>
      <c r="M854" s="8">
        <v>3.32</v>
      </c>
      <c r="N854" s="8"/>
      <c r="O854" s="8"/>
      <c r="P854" s="8"/>
      <c r="Q854" s="11"/>
      <c r="R854" s="11"/>
      <c r="S854" s="8">
        <v>5</v>
      </c>
      <c r="T854" s="8">
        <v>14.24</v>
      </c>
      <c r="U854" s="8"/>
      <c r="V854" s="8"/>
      <c r="W854" s="8"/>
      <c r="X854" s="8"/>
      <c r="Y854" s="8"/>
      <c r="Z854" s="8"/>
      <c r="AA854" s="8"/>
      <c r="AB854" s="8"/>
      <c r="AC854" s="8">
        <v>5.7</v>
      </c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11"/>
      <c r="AQ854" s="8"/>
      <c r="AR854" s="8"/>
      <c r="AS854" s="8"/>
      <c r="AT854" s="8">
        <v>900.04</v>
      </c>
      <c r="AU854" s="8"/>
      <c r="AV854" s="8">
        <v>35.659999999999997</v>
      </c>
      <c r="AW854" s="8"/>
      <c r="AX854" s="8"/>
      <c r="AY854" s="8"/>
      <c r="AZ854" s="8"/>
      <c r="BA854" s="8"/>
      <c r="BB854" s="8"/>
      <c r="BC854" s="8"/>
      <c r="BD854" s="8"/>
      <c r="BE854" s="8"/>
      <c r="BF854" s="8">
        <v>56.99</v>
      </c>
      <c r="BG854" s="8">
        <v>68.34</v>
      </c>
      <c r="BH854" s="9">
        <f t="shared" si="117"/>
        <v>1422.56</v>
      </c>
      <c r="BI854" s="9">
        <f t="shared" si="118"/>
        <v>3.32</v>
      </c>
      <c r="BJ854" s="9">
        <f t="shared" si="119"/>
        <v>5</v>
      </c>
      <c r="BK854" s="9">
        <f t="shared" si="120"/>
        <v>14.24</v>
      </c>
      <c r="BL854" s="9">
        <f t="shared" si="121"/>
        <v>0</v>
      </c>
      <c r="BM854" s="9">
        <f t="shared" si="122"/>
        <v>5.7</v>
      </c>
      <c r="BN854" s="9">
        <f t="shared" si="123"/>
        <v>900.04</v>
      </c>
      <c r="BO854" s="9">
        <f t="shared" si="124"/>
        <v>35.659999999999997</v>
      </c>
      <c r="BP854" s="9">
        <f t="shared" si="125"/>
        <v>56.99</v>
      </c>
    </row>
    <row r="855" spans="1:68">
      <c r="A855" s="6">
        <v>44714</v>
      </c>
      <c r="B855" s="7">
        <v>3118</v>
      </c>
      <c r="C855" s="8">
        <v>658.16</v>
      </c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>
        <v>1.96</v>
      </c>
      <c r="O855" s="8"/>
      <c r="P855" s="8"/>
      <c r="Q855" s="11"/>
      <c r="R855" s="11"/>
      <c r="S855" s="8">
        <v>3.49</v>
      </c>
      <c r="T855" s="8">
        <v>3.95</v>
      </c>
      <c r="U855" s="8">
        <v>3.94</v>
      </c>
      <c r="V855" s="8"/>
      <c r="W855" s="8"/>
      <c r="X855" s="8"/>
      <c r="Y855" s="8"/>
      <c r="Z855" s="8"/>
      <c r="AA855" s="8"/>
      <c r="AB855" s="8"/>
      <c r="AC855" s="8">
        <v>2.62</v>
      </c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11"/>
      <c r="AQ855" s="8">
        <v>6.5679999999999996</v>
      </c>
      <c r="AR855" s="8"/>
      <c r="AS855" s="8"/>
      <c r="AT855" s="8">
        <v>426.72</v>
      </c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>
        <v>45.99</v>
      </c>
      <c r="BG855" s="8">
        <v>32.61</v>
      </c>
      <c r="BH855" s="9">
        <f t="shared" si="117"/>
        <v>658.16</v>
      </c>
      <c r="BI855" s="9">
        <f t="shared" si="118"/>
        <v>1.96</v>
      </c>
      <c r="BJ855" s="9">
        <f t="shared" si="119"/>
        <v>3.49</v>
      </c>
      <c r="BK855" s="9">
        <f t="shared" si="120"/>
        <v>7.8900000000000006</v>
      </c>
      <c r="BL855" s="9">
        <f t="shared" si="121"/>
        <v>0</v>
      </c>
      <c r="BM855" s="9">
        <f t="shared" si="122"/>
        <v>9.1879999999999988</v>
      </c>
      <c r="BN855" s="9">
        <f t="shared" si="123"/>
        <v>426.72</v>
      </c>
      <c r="BO855" s="9">
        <f t="shared" si="124"/>
        <v>0</v>
      </c>
      <c r="BP855" s="9">
        <f t="shared" si="125"/>
        <v>45.99</v>
      </c>
    </row>
    <row r="856" spans="1:68">
      <c r="A856" s="6">
        <v>44714</v>
      </c>
      <c r="B856" s="7">
        <v>3306</v>
      </c>
      <c r="C856" s="8"/>
      <c r="D856" s="8">
        <v>771.87</v>
      </c>
      <c r="E856" s="8"/>
      <c r="F856" s="8"/>
      <c r="G856" s="8"/>
      <c r="H856" s="8"/>
      <c r="I856" s="8"/>
      <c r="J856" s="8"/>
      <c r="K856" s="8"/>
      <c r="L856" s="8"/>
      <c r="M856" s="8">
        <v>0.84</v>
      </c>
      <c r="N856" s="8"/>
      <c r="O856" s="8"/>
      <c r="P856" s="8"/>
      <c r="Q856" s="11"/>
      <c r="R856" s="11"/>
      <c r="S856" s="8">
        <v>5.41</v>
      </c>
      <c r="T856" s="8">
        <v>7.73</v>
      </c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>
        <v>7.74</v>
      </c>
      <c r="AH856" s="8"/>
      <c r="AI856" s="8"/>
      <c r="AJ856" s="8"/>
      <c r="AK856" s="8"/>
      <c r="AL856" s="8"/>
      <c r="AM856" s="8"/>
      <c r="AN856" s="8"/>
      <c r="AO856" s="8"/>
      <c r="AP856" s="11"/>
      <c r="AQ856" s="8"/>
      <c r="AR856" s="8"/>
      <c r="AS856" s="8"/>
      <c r="AT856" s="8"/>
      <c r="AU856" s="8">
        <v>395.92</v>
      </c>
      <c r="AV856" s="8">
        <v>11.57</v>
      </c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>
        <v>27.83</v>
      </c>
      <c r="BH856" s="9">
        <f t="shared" si="117"/>
        <v>771.87</v>
      </c>
      <c r="BI856" s="9">
        <f t="shared" si="118"/>
        <v>0.84</v>
      </c>
      <c r="BJ856" s="9">
        <f t="shared" si="119"/>
        <v>5.41</v>
      </c>
      <c r="BK856" s="9">
        <f t="shared" si="120"/>
        <v>7.73</v>
      </c>
      <c r="BL856" s="9">
        <f t="shared" si="121"/>
        <v>0</v>
      </c>
      <c r="BM856" s="9">
        <f t="shared" si="122"/>
        <v>7.74</v>
      </c>
      <c r="BN856" s="9">
        <f t="shared" si="123"/>
        <v>395.92</v>
      </c>
      <c r="BO856" s="9">
        <f t="shared" si="124"/>
        <v>11.57</v>
      </c>
      <c r="BP856" s="9">
        <f t="shared" si="125"/>
        <v>0</v>
      </c>
    </row>
    <row r="857" spans="1:68">
      <c r="A857" s="6">
        <v>44714</v>
      </c>
      <c r="B857" s="7">
        <v>3203</v>
      </c>
      <c r="C857" s="8">
        <v>1622.02</v>
      </c>
      <c r="D857" s="8"/>
      <c r="E857" s="8">
        <v>702.86</v>
      </c>
      <c r="F857" s="8"/>
      <c r="G857" s="8"/>
      <c r="H857" s="8"/>
      <c r="I857" s="8"/>
      <c r="J857" s="8"/>
      <c r="K857" s="8"/>
      <c r="L857" s="8"/>
      <c r="M857" s="8"/>
      <c r="N857" s="8"/>
      <c r="O857" s="8">
        <v>6.98</v>
      </c>
      <c r="P857" s="8"/>
      <c r="Q857" s="11"/>
      <c r="R857" s="11"/>
      <c r="S857" s="8">
        <v>9.16</v>
      </c>
      <c r="T857" s="8"/>
      <c r="U857" s="8">
        <v>28.95</v>
      </c>
      <c r="V857" s="8"/>
      <c r="W857" s="8"/>
      <c r="X857" s="8"/>
      <c r="Y857" s="8"/>
      <c r="Z857" s="8">
        <v>370.45</v>
      </c>
      <c r="AA857" s="8">
        <v>288.27800000000002</v>
      </c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11"/>
      <c r="AQ857" s="8"/>
      <c r="AR857" s="8"/>
      <c r="AS857" s="8"/>
      <c r="AT857" s="8">
        <v>878.15</v>
      </c>
      <c r="AU857" s="8">
        <v>438.65</v>
      </c>
      <c r="AV857" s="8"/>
      <c r="AW857" s="8"/>
      <c r="AX857" s="8"/>
      <c r="AY857" s="8"/>
      <c r="AZ857" s="8"/>
      <c r="BA857" s="8"/>
      <c r="BB857" s="8"/>
      <c r="BC857" s="8">
        <v>6.11</v>
      </c>
      <c r="BD857" s="8"/>
      <c r="BE857" s="8"/>
      <c r="BF857" s="8"/>
      <c r="BG857" s="8">
        <v>86.38</v>
      </c>
      <c r="BH857" s="9">
        <f t="shared" si="117"/>
        <v>2324.88</v>
      </c>
      <c r="BI857" s="9">
        <f t="shared" si="118"/>
        <v>6.98</v>
      </c>
      <c r="BJ857" s="9">
        <f t="shared" si="119"/>
        <v>9.16</v>
      </c>
      <c r="BK857" s="9">
        <f t="shared" si="120"/>
        <v>28.95</v>
      </c>
      <c r="BL857" s="9">
        <f t="shared" si="121"/>
        <v>658.72800000000007</v>
      </c>
      <c r="BM857" s="9">
        <f t="shared" si="122"/>
        <v>0</v>
      </c>
      <c r="BN857" s="9">
        <f t="shared" si="123"/>
        <v>1316.8</v>
      </c>
      <c r="BO857" s="9">
        <f t="shared" si="124"/>
        <v>6.11</v>
      </c>
      <c r="BP857" s="9">
        <f t="shared" si="125"/>
        <v>0</v>
      </c>
    </row>
    <row r="858" spans="1:68">
      <c r="A858" s="6">
        <v>44714</v>
      </c>
      <c r="B858" s="7">
        <v>3200</v>
      </c>
      <c r="C858" s="8">
        <v>2260.75</v>
      </c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>
        <v>5.66</v>
      </c>
      <c r="P858" s="8"/>
      <c r="Q858" s="11"/>
      <c r="R858" s="11"/>
      <c r="S858" s="8">
        <v>8.84</v>
      </c>
      <c r="T858" s="8"/>
      <c r="U858" s="8">
        <v>33.950000000000003</v>
      </c>
      <c r="V858" s="8"/>
      <c r="W858" s="8"/>
      <c r="X858" s="8"/>
      <c r="Y858" s="8"/>
      <c r="Z858" s="8">
        <v>475.11</v>
      </c>
      <c r="AA858" s="8"/>
      <c r="AB858" s="8"/>
      <c r="AC858" s="8"/>
      <c r="AD858" s="8"/>
      <c r="AE858" s="8">
        <v>34.85</v>
      </c>
      <c r="AF858" s="8">
        <v>112.95</v>
      </c>
      <c r="AG858" s="8"/>
      <c r="AH858" s="8"/>
      <c r="AI858" s="8"/>
      <c r="AJ858" s="8"/>
      <c r="AK858" s="8"/>
      <c r="AL858" s="8"/>
      <c r="AM858" s="8"/>
      <c r="AN858" s="8"/>
      <c r="AO858" s="8"/>
      <c r="AP858" s="11"/>
      <c r="AQ858" s="8"/>
      <c r="AR858" s="8"/>
      <c r="AS858" s="8"/>
      <c r="AT858" s="8">
        <v>1546.67</v>
      </c>
      <c r="AU858" s="8"/>
      <c r="AV858" s="8"/>
      <c r="AW858" s="8">
        <v>6.61</v>
      </c>
      <c r="AX858" s="8"/>
      <c r="AY858" s="8"/>
      <c r="AZ858" s="8"/>
      <c r="BA858" s="8"/>
      <c r="BB858" s="8"/>
      <c r="BC858" s="8"/>
      <c r="BD858" s="8"/>
      <c r="BE858" s="8"/>
      <c r="BF858" s="8">
        <v>108.56</v>
      </c>
      <c r="BG858" s="8">
        <v>112.31</v>
      </c>
      <c r="BH858" s="9">
        <f t="shared" si="117"/>
        <v>2260.75</v>
      </c>
      <c r="BI858" s="9">
        <f t="shared" si="118"/>
        <v>5.66</v>
      </c>
      <c r="BJ858" s="9">
        <f t="shared" si="119"/>
        <v>8.84</v>
      </c>
      <c r="BK858" s="9">
        <f t="shared" si="120"/>
        <v>33.950000000000003</v>
      </c>
      <c r="BL858" s="9">
        <f t="shared" si="121"/>
        <v>475.11</v>
      </c>
      <c r="BM858" s="9">
        <f t="shared" si="122"/>
        <v>147.80000000000001</v>
      </c>
      <c r="BN858" s="9">
        <f t="shared" si="123"/>
        <v>1546.67</v>
      </c>
      <c r="BO858" s="9">
        <f t="shared" si="124"/>
        <v>6.61</v>
      </c>
      <c r="BP858" s="9">
        <f t="shared" si="125"/>
        <v>108.56</v>
      </c>
    </row>
    <row r="859" spans="1:68">
      <c r="A859" s="6">
        <v>44714</v>
      </c>
      <c r="B859" s="7">
        <v>3403</v>
      </c>
      <c r="C859" s="8">
        <v>362.4</v>
      </c>
      <c r="D859" s="8">
        <v>362.94</v>
      </c>
      <c r="E859" s="8"/>
      <c r="F859" s="8"/>
      <c r="G859" s="8"/>
      <c r="H859" s="8"/>
      <c r="I859" s="8"/>
      <c r="J859" s="8"/>
      <c r="K859" s="8"/>
      <c r="L859" s="8"/>
      <c r="M859" s="8">
        <v>1.75</v>
      </c>
      <c r="N859" s="8"/>
      <c r="O859" s="8"/>
      <c r="P859" s="8"/>
      <c r="Q859" s="11"/>
      <c r="R859" s="11"/>
      <c r="S859" s="8">
        <v>1.67</v>
      </c>
      <c r="T859" s="8"/>
      <c r="U859" s="8"/>
      <c r="V859" s="8"/>
      <c r="W859" s="8"/>
      <c r="X859" s="8">
        <v>7.306</v>
      </c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11"/>
      <c r="AQ859" s="8"/>
      <c r="AR859" s="8"/>
      <c r="AS859" s="8"/>
      <c r="AT859" s="8">
        <v>337.68</v>
      </c>
      <c r="AU859" s="8"/>
      <c r="AV859" s="8">
        <v>21.77</v>
      </c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>
        <v>24</v>
      </c>
      <c r="BH859" s="9">
        <f t="shared" si="117"/>
        <v>725.33999999999992</v>
      </c>
      <c r="BI859" s="9">
        <f t="shared" si="118"/>
        <v>1.75</v>
      </c>
      <c r="BJ859" s="9">
        <f t="shared" si="119"/>
        <v>1.67</v>
      </c>
      <c r="BK859" s="9">
        <f t="shared" si="120"/>
        <v>7.306</v>
      </c>
      <c r="BL859" s="9">
        <f t="shared" si="121"/>
        <v>0</v>
      </c>
      <c r="BM859" s="9">
        <f t="shared" si="122"/>
        <v>0</v>
      </c>
      <c r="BN859" s="9">
        <f t="shared" si="123"/>
        <v>337.68</v>
      </c>
      <c r="BO859" s="9">
        <f t="shared" si="124"/>
        <v>21.77</v>
      </c>
      <c r="BP859" s="9">
        <f t="shared" si="125"/>
        <v>0</v>
      </c>
    </row>
    <row r="860" spans="1:68">
      <c r="A860" s="6">
        <v>44714</v>
      </c>
      <c r="B860" s="7">
        <v>3141</v>
      </c>
      <c r="C860" s="8">
        <v>2422.39</v>
      </c>
      <c r="D860" s="8">
        <v>427.83</v>
      </c>
      <c r="E860" s="8"/>
      <c r="F860" s="8"/>
      <c r="G860" s="8"/>
      <c r="H860" s="8"/>
      <c r="I860" s="8"/>
      <c r="J860" s="8"/>
      <c r="K860" s="8"/>
      <c r="L860" s="8"/>
      <c r="M860" s="8">
        <v>7.67</v>
      </c>
      <c r="N860" s="8"/>
      <c r="O860" s="8"/>
      <c r="P860" s="8"/>
      <c r="Q860" s="11"/>
      <c r="R860" s="11"/>
      <c r="S860" s="8">
        <v>13.42</v>
      </c>
      <c r="T860" s="8">
        <v>21.41</v>
      </c>
      <c r="U860" s="8">
        <v>21.4</v>
      </c>
      <c r="V860" s="8"/>
      <c r="W860" s="8"/>
      <c r="X860" s="8"/>
      <c r="Y860" s="8"/>
      <c r="Z860" s="8"/>
      <c r="AA860" s="8"/>
      <c r="AB860" s="8"/>
      <c r="AC860" s="8">
        <v>11.41</v>
      </c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11"/>
      <c r="AQ860" s="8"/>
      <c r="AR860" s="8"/>
      <c r="AS860" s="8"/>
      <c r="AT860" s="8">
        <v>1889.84</v>
      </c>
      <c r="AU860" s="8"/>
      <c r="AV860" s="8"/>
      <c r="AW860" s="8"/>
      <c r="AX860" s="8"/>
      <c r="AY860" s="8"/>
      <c r="AZ860" s="8"/>
      <c r="BA860" s="8">
        <v>65.34</v>
      </c>
      <c r="BB860" s="8"/>
      <c r="BC860" s="8"/>
      <c r="BD860" s="8"/>
      <c r="BE860" s="8"/>
      <c r="BF860" s="8">
        <v>199.63</v>
      </c>
      <c r="BG860" s="8">
        <v>148.30000000000001</v>
      </c>
      <c r="BH860" s="9">
        <f t="shared" si="117"/>
        <v>2850.22</v>
      </c>
      <c r="BI860" s="9">
        <f t="shared" si="118"/>
        <v>7.67</v>
      </c>
      <c r="BJ860" s="9">
        <f t="shared" si="119"/>
        <v>13.42</v>
      </c>
      <c r="BK860" s="9">
        <f t="shared" si="120"/>
        <v>42.81</v>
      </c>
      <c r="BL860" s="9">
        <f t="shared" si="121"/>
        <v>0</v>
      </c>
      <c r="BM860" s="9">
        <f t="shared" si="122"/>
        <v>11.41</v>
      </c>
      <c r="BN860" s="9">
        <f t="shared" si="123"/>
        <v>1889.84</v>
      </c>
      <c r="BO860" s="9">
        <f t="shared" si="124"/>
        <v>65.34</v>
      </c>
      <c r="BP860" s="9">
        <f t="shared" si="125"/>
        <v>199.63</v>
      </c>
    </row>
    <row r="861" spans="1:68">
      <c r="A861" s="6">
        <v>44714</v>
      </c>
      <c r="B861" s="7">
        <v>3106</v>
      </c>
      <c r="C861" s="8">
        <v>4129.7</v>
      </c>
      <c r="D861" s="8"/>
      <c r="E861" s="8"/>
      <c r="F861" s="8"/>
      <c r="G861" s="8"/>
      <c r="H861" s="8"/>
      <c r="I861" s="8"/>
      <c r="J861" s="8"/>
      <c r="K861" s="8"/>
      <c r="L861" s="8"/>
      <c r="M861" s="8">
        <v>11.15</v>
      </c>
      <c r="N861" s="8"/>
      <c r="O861" s="8"/>
      <c r="P861" s="8"/>
      <c r="Q861" s="11"/>
      <c r="R861" s="11"/>
      <c r="S861" s="8">
        <v>12.43</v>
      </c>
      <c r="T861" s="8">
        <v>52.45</v>
      </c>
      <c r="U861" s="8"/>
      <c r="V861" s="8"/>
      <c r="W861" s="8"/>
      <c r="X861" s="8"/>
      <c r="Y861" s="8"/>
      <c r="Z861" s="8"/>
      <c r="AA861" s="8"/>
      <c r="AB861" s="8"/>
      <c r="AC861" s="8">
        <v>10.34</v>
      </c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11"/>
      <c r="AQ861" s="8"/>
      <c r="AR861" s="8"/>
      <c r="AS861" s="8"/>
      <c r="AT861" s="8">
        <v>2365.89</v>
      </c>
      <c r="AU861" s="8"/>
      <c r="AV861" s="8"/>
      <c r="AW861" s="8"/>
      <c r="AX861" s="8">
        <v>5.17</v>
      </c>
      <c r="AY861" s="8"/>
      <c r="AZ861" s="8"/>
      <c r="BA861" s="8"/>
      <c r="BB861" s="8"/>
      <c r="BC861" s="8"/>
      <c r="BD861" s="8"/>
      <c r="BE861" s="8"/>
      <c r="BF861" s="8"/>
      <c r="BG861" s="8">
        <v>177.65</v>
      </c>
      <c r="BH861" s="9">
        <f t="shared" si="117"/>
        <v>4129.7</v>
      </c>
      <c r="BI861" s="9">
        <f t="shared" si="118"/>
        <v>11.15</v>
      </c>
      <c r="BJ861" s="9">
        <f t="shared" si="119"/>
        <v>12.43</v>
      </c>
      <c r="BK861" s="9">
        <f t="shared" si="120"/>
        <v>52.45</v>
      </c>
      <c r="BL861" s="9">
        <f t="shared" si="121"/>
        <v>0</v>
      </c>
      <c r="BM861" s="9">
        <f t="shared" si="122"/>
        <v>10.34</v>
      </c>
      <c r="BN861" s="9">
        <f t="shared" si="123"/>
        <v>2365.89</v>
      </c>
      <c r="BO861" s="9">
        <f t="shared" si="124"/>
        <v>5.17</v>
      </c>
      <c r="BP861" s="9">
        <f t="shared" si="125"/>
        <v>0</v>
      </c>
    </row>
    <row r="862" spans="1:68">
      <c r="A862" s="6">
        <v>44714</v>
      </c>
      <c r="B862" s="7">
        <v>3134</v>
      </c>
      <c r="C862" s="8">
        <v>1043.93</v>
      </c>
      <c r="D862" s="8">
        <v>145.93</v>
      </c>
      <c r="E862" s="8"/>
      <c r="F862" s="8"/>
      <c r="G862" s="8"/>
      <c r="H862" s="8">
        <v>493.66</v>
      </c>
      <c r="I862" s="8"/>
      <c r="J862" s="8"/>
      <c r="K862" s="8"/>
      <c r="L862" s="8"/>
      <c r="M862" s="8">
        <v>3.36</v>
      </c>
      <c r="N862" s="8"/>
      <c r="O862" s="8"/>
      <c r="P862" s="8"/>
      <c r="Q862" s="11"/>
      <c r="R862" s="11"/>
      <c r="S862" s="8">
        <v>6.73</v>
      </c>
      <c r="T862" s="8">
        <v>10.26</v>
      </c>
      <c r="U862" s="8">
        <v>8.7899999999999991</v>
      </c>
      <c r="V862" s="8"/>
      <c r="W862" s="8"/>
      <c r="X862" s="8"/>
      <c r="Y862" s="8"/>
      <c r="Z862" s="8"/>
      <c r="AA862" s="8"/>
      <c r="AB862" s="8"/>
      <c r="AC862" s="8">
        <v>5.85</v>
      </c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11"/>
      <c r="AQ862" s="8"/>
      <c r="AR862" s="8"/>
      <c r="AS862" s="8"/>
      <c r="AT862" s="8">
        <v>1032.21</v>
      </c>
      <c r="AU862" s="8"/>
      <c r="AV862" s="8"/>
      <c r="AW862" s="8"/>
      <c r="AX862" s="8"/>
      <c r="AY862" s="8">
        <v>14.773</v>
      </c>
      <c r="AZ862" s="8"/>
      <c r="BA862" s="8"/>
      <c r="BB862" s="8"/>
      <c r="BC862" s="8"/>
      <c r="BD862" s="8"/>
      <c r="BE862" s="8"/>
      <c r="BF862" s="8">
        <v>65.89</v>
      </c>
      <c r="BG862" s="8">
        <v>77.5</v>
      </c>
      <c r="BH862" s="9">
        <f t="shared" si="117"/>
        <v>1683.5200000000002</v>
      </c>
      <c r="BI862" s="9">
        <f t="shared" si="118"/>
        <v>3.36</v>
      </c>
      <c r="BJ862" s="9">
        <f t="shared" si="119"/>
        <v>6.73</v>
      </c>
      <c r="BK862" s="9">
        <f t="shared" si="120"/>
        <v>19.049999999999997</v>
      </c>
      <c r="BL862" s="9">
        <f t="shared" si="121"/>
        <v>0</v>
      </c>
      <c r="BM862" s="9">
        <f t="shared" si="122"/>
        <v>5.85</v>
      </c>
      <c r="BN862" s="9">
        <f t="shared" si="123"/>
        <v>1032.21</v>
      </c>
      <c r="BO862" s="9">
        <f t="shared" si="124"/>
        <v>14.773</v>
      </c>
      <c r="BP862" s="9">
        <f t="shared" si="125"/>
        <v>65.89</v>
      </c>
    </row>
    <row r="863" spans="1:68">
      <c r="A863" s="6">
        <v>44715</v>
      </c>
      <c r="B863" s="7">
        <v>3200</v>
      </c>
      <c r="C863" s="8">
        <v>2262.92</v>
      </c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>
        <v>5.7</v>
      </c>
      <c r="P863" s="8"/>
      <c r="Q863" s="11"/>
      <c r="R863" s="11"/>
      <c r="S863" s="8">
        <v>8.8800000000000008</v>
      </c>
      <c r="T863" s="8"/>
      <c r="U863" s="8">
        <v>34.090000000000003</v>
      </c>
      <c r="V863" s="8"/>
      <c r="W863" s="8"/>
      <c r="X863" s="8"/>
      <c r="Y863" s="8"/>
      <c r="Z863" s="8">
        <v>477.41</v>
      </c>
      <c r="AA863" s="8"/>
      <c r="AB863" s="8"/>
      <c r="AC863" s="8"/>
      <c r="AD863" s="8"/>
      <c r="AE863" s="8">
        <v>34.03</v>
      </c>
      <c r="AF863" s="8">
        <v>112.87</v>
      </c>
      <c r="AG863" s="8"/>
      <c r="AH863" s="8"/>
      <c r="AI863" s="8"/>
      <c r="AJ863" s="8"/>
      <c r="AK863" s="8"/>
      <c r="AL863" s="8"/>
      <c r="AM863" s="8"/>
      <c r="AN863" s="8"/>
      <c r="AO863" s="8"/>
      <c r="AP863" s="11"/>
      <c r="AQ863" s="8"/>
      <c r="AR863" s="8"/>
      <c r="AS863" s="8"/>
      <c r="AT863" s="8">
        <v>1553.52</v>
      </c>
      <c r="AU863" s="8"/>
      <c r="AV863" s="8"/>
      <c r="AW863" s="8">
        <v>6.63</v>
      </c>
      <c r="AX863" s="8"/>
      <c r="AY863" s="8"/>
      <c r="AZ863" s="8"/>
      <c r="BA863" s="8"/>
      <c r="BB863" s="8"/>
      <c r="BC863" s="8"/>
      <c r="BD863" s="8"/>
      <c r="BE863" s="8"/>
      <c r="BF863" s="8">
        <v>109.72</v>
      </c>
      <c r="BG863" s="8">
        <v>112.7</v>
      </c>
      <c r="BH863" s="9">
        <f t="shared" si="117"/>
        <v>2262.92</v>
      </c>
      <c r="BI863" s="9">
        <f t="shared" si="118"/>
        <v>5.7</v>
      </c>
      <c r="BJ863" s="9">
        <f t="shared" si="119"/>
        <v>8.8800000000000008</v>
      </c>
      <c r="BK863" s="9">
        <f t="shared" si="120"/>
        <v>34.090000000000003</v>
      </c>
      <c r="BL863" s="9">
        <f t="shared" si="121"/>
        <v>477.41</v>
      </c>
      <c r="BM863" s="9">
        <f t="shared" si="122"/>
        <v>146.9</v>
      </c>
      <c r="BN863" s="9">
        <f t="shared" si="123"/>
        <v>1553.52</v>
      </c>
      <c r="BO863" s="9">
        <f t="shared" si="124"/>
        <v>6.63</v>
      </c>
      <c r="BP863" s="9">
        <f t="shared" si="125"/>
        <v>109.72</v>
      </c>
    </row>
    <row r="864" spans="1:68">
      <c r="A864" s="6">
        <v>44715</v>
      </c>
      <c r="B864" s="7">
        <v>3602</v>
      </c>
      <c r="C864" s="8">
        <v>305.60000000000002</v>
      </c>
      <c r="D864" s="8"/>
      <c r="E864" s="8"/>
      <c r="F864" s="8"/>
      <c r="G864" s="8">
        <v>458.84</v>
      </c>
      <c r="H864" s="8"/>
      <c r="I864" s="8"/>
      <c r="J864" s="8"/>
      <c r="K864" s="8"/>
      <c r="L864" s="8"/>
      <c r="M864" s="8">
        <v>0.81</v>
      </c>
      <c r="N864" s="8"/>
      <c r="O864" s="8"/>
      <c r="P864" s="8"/>
      <c r="Q864" s="11"/>
      <c r="R864" s="11"/>
      <c r="S864" s="8">
        <v>4.07</v>
      </c>
      <c r="T864" s="8"/>
      <c r="U864" s="8">
        <v>2.46</v>
      </c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11"/>
      <c r="AQ864" s="8"/>
      <c r="AR864" s="8"/>
      <c r="AS864" s="8"/>
      <c r="AT864" s="8">
        <v>320.70999999999998</v>
      </c>
      <c r="AU864" s="8"/>
      <c r="AV864" s="8"/>
      <c r="AW864" s="8">
        <v>19.87</v>
      </c>
      <c r="AX864" s="8"/>
      <c r="AY864" s="8"/>
      <c r="AZ864" s="8"/>
      <c r="BA864" s="8"/>
      <c r="BB864" s="8"/>
      <c r="BC864" s="8"/>
      <c r="BD864" s="8"/>
      <c r="BE864" s="8"/>
      <c r="BF864" s="8">
        <v>24.64</v>
      </c>
      <c r="BG864" s="8">
        <v>24.06</v>
      </c>
      <c r="BH864" s="9">
        <f t="shared" si="117"/>
        <v>764.44</v>
      </c>
      <c r="BI864" s="9">
        <f t="shared" si="118"/>
        <v>0.81</v>
      </c>
      <c r="BJ864" s="9">
        <f t="shared" si="119"/>
        <v>4.07</v>
      </c>
      <c r="BK864" s="9">
        <f t="shared" si="120"/>
        <v>2.46</v>
      </c>
      <c r="BL864" s="9">
        <f t="shared" si="121"/>
        <v>0</v>
      </c>
      <c r="BM864" s="9">
        <f t="shared" si="122"/>
        <v>0</v>
      </c>
      <c r="BN864" s="9">
        <f t="shared" si="123"/>
        <v>320.70999999999998</v>
      </c>
      <c r="BO864" s="9">
        <f t="shared" si="124"/>
        <v>19.87</v>
      </c>
      <c r="BP864" s="9">
        <f t="shared" si="125"/>
        <v>24.64</v>
      </c>
    </row>
    <row r="865" spans="1:68">
      <c r="A865" s="6">
        <v>44715</v>
      </c>
      <c r="B865" s="7">
        <v>3601</v>
      </c>
      <c r="C865" s="8">
        <v>301.79000000000002</v>
      </c>
      <c r="D865" s="8"/>
      <c r="E865" s="8"/>
      <c r="F865" s="8"/>
      <c r="G865" s="8">
        <v>451.86</v>
      </c>
      <c r="H865" s="8"/>
      <c r="I865" s="8"/>
      <c r="J865" s="8"/>
      <c r="K865" s="8"/>
      <c r="L865" s="8"/>
      <c r="M865" s="8">
        <v>0.9</v>
      </c>
      <c r="N865" s="8"/>
      <c r="O865" s="8"/>
      <c r="P865" s="8"/>
      <c r="Q865" s="11"/>
      <c r="R865" s="11"/>
      <c r="S865" s="8">
        <v>3.8</v>
      </c>
      <c r="T865" s="8"/>
      <c r="U865" s="8">
        <v>4.53</v>
      </c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11"/>
      <c r="AQ865" s="8"/>
      <c r="AR865" s="8"/>
      <c r="AS865" s="8"/>
      <c r="AT865" s="8">
        <v>369.67</v>
      </c>
      <c r="AU865" s="8"/>
      <c r="AV865" s="8"/>
      <c r="AW865" s="8">
        <v>22.89</v>
      </c>
      <c r="AX865" s="8"/>
      <c r="AY865" s="8"/>
      <c r="AZ865" s="8"/>
      <c r="BA865" s="8"/>
      <c r="BB865" s="8"/>
      <c r="BC865" s="8"/>
      <c r="BD865" s="8"/>
      <c r="BE865" s="8"/>
      <c r="BF865" s="8">
        <v>42.01</v>
      </c>
      <c r="BG865" s="8">
        <v>27.9</v>
      </c>
      <c r="BH865" s="9">
        <f t="shared" si="117"/>
        <v>753.65000000000009</v>
      </c>
      <c r="BI865" s="9">
        <f t="shared" si="118"/>
        <v>0.9</v>
      </c>
      <c r="BJ865" s="9">
        <f t="shared" si="119"/>
        <v>3.8</v>
      </c>
      <c r="BK865" s="9">
        <f t="shared" si="120"/>
        <v>4.53</v>
      </c>
      <c r="BL865" s="9">
        <f t="shared" si="121"/>
        <v>0</v>
      </c>
      <c r="BM865" s="9">
        <f t="shared" si="122"/>
        <v>0</v>
      </c>
      <c r="BN865" s="9">
        <f t="shared" si="123"/>
        <v>369.67</v>
      </c>
      <c r="BO865" s="9">
        <f t="shared" si="124"/>
        <v>22.89</v>
      </c>
      <c r="BP865" s="9">
        <f t="shared" si="125"/>
        <v>42.01</v>
      </c>
    </row>
    <row r="866" spans="1:68">
      <c r="A866" s="6">
        <v>44715</v>
      </c>
      <c r="B866" s="7">
        <v>3141</v>
      </c>
      <c r="C866" s="8">
        <v>3568.78</v>
      </c>
      <c r="D866" s="8">
        <v>629.42999999999995</v>
      </c>
      <c r="E866" s="8"/>
      <c r="F866" s="8"/>
      <c r="G866" s="8"/>
      <c r="H866" s="8"/>
      <c r="I866" s="8"/>
      <c r="J866" s="8"/>
      <c r="K866" s="8"/>
      <c r="L866" s="8"/>
      <c r="M866" s="8">
        <v>11.31</v>
      </c>
      <c r="N866" s="8"/>
      <c r="O866" s="8"/>
      <c r="P866" s="8"/>
      <c r="Q866" s="11"/>
      <c r="R866" s="11"/>
      <c r="S866" s="8">
        <v>19.75</v>
      </c>
      <c r="T866" s="8">
        <v>31.51</v>
      </c>
      <c r="U866" s="8">
        <v>31.5</v>
      </c>
      <c r="V866" s="8"/>
      <c r="W866" s="8"/>
      <c r="X866" s="8"/>
      <c r="Y866" s="8"/>
      <c r="Z866" s="8"/>
      <c r="AA866" s="8"/>
      <c r="AB866" s="8"/>
      <c r="AC866" s="8">
        <v>16.8</v>
      </c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11"/>
      <c r="AQ866" s="8"/>
      <c r="AR866" s="8"/>
      <c r="AS866" s="8"/>
      <c r="AT866" s="8">
        <v>2771.61</v>
      </c>
      <c r="AU866" s="8"/>
      <c r="AV866" s="8"/>
      <c r="AW866" s="8"/>
      <c r="AX866" s="8"/>
      <c r="AY866" s="8"/>
      <c r="AZ866" s="8"/>
      <c r="BA866" s="8">
        <v>69.19</v>
      </c>
      <c r="BB866" s="8"/>
      <c r="BC866" s="8"/>
      <c r="BD866" s="8"/>
      <c r="BE866" s="8"/>
      <c r="BF866" s="8">
        <v>293.95</v>
      </c>
      <c r="BG866" s="8">
        <v>218.25</v>
      </c>
      <c r="BH866" s="9">
        <f t="shared" si="117"/>
        <v>4198.21</v>
      </c>
      <c r="BI866" s="9">
        <f t="shared" si="118"/>
        <v>11.31</v>
      </c>
      <c r="BJ866" s="9">
        <f t="shared" si="119"/>
        <v>19.75</v>
      </c>
      <c r="BK866" s="9">
        <f t="shared" si="120"/>
        <v>63.010000000000005</v>
      </c>
      <c r="BL866" s="9">
        <f t="shared" si="121"/>
        <v>0</v>
      </c>
      <c r="BM866" s="9">
        <f t="shared" si="122"/>
        <v>16.8</v>
      </c>
      <c r="BN866" s="9">
        <f t="shared" si="123"/>
        <v>2771.61</v>
      </c>
      <c r="BO866" s="9">
        <f t="shared" si="124"/>
        <v>69.19</v>
      </c>
      <c r="BP866" s="9">
        <f t="shared" si="125"/>
        <v>293.95</v>
      </c>
    </row>
    <row r="867" spans="1:68">
      <c r="A867" s="6">
        <v>44715</v>
      </c>
      <c r="B867" s="7">
        <v>3134</v>
      </c>
      <c r="C867" s="8">
        <v>1039.81</v>
      </c>
      <c r="D867" s="8">
        <v>146.51</v>
      </c>
      <c r="E867" s="8"/>
      <c r="F867" s="8"/>
      <c r="G867" s="8"/>
      <c r="H867" s="8">
        <v>491.61</v>
      </c>
      <c r="I867" s="8"/>
      <c r="J867" s="8"/>
      <c r="K867" s="8"/>
      <c r="L867" s="8"/>
      <c r="M867" s="8">
        <v>3.35</v>
      </c>
      <c r="N867" s="8"/>
      <c r="O867" s="8"/>
      <c r="P867" s="8"/>
      <c r="Q867" s="11"/>
      <c r="R867" s="11"/>
      <c r="S867" s="8">
        <v>6.71</v>
      </c>
      <c r="T867" s="8">
        <v>10.220000000000001</v>
      </c>
      <c r="U867" s="8">
        <v>8.76</v>
      </c>
      <c r="V867" s="8"/>
      <c r="W867" s="8"/>
      <c r="X867" s="8"/>
      <c r="Y867" s="8"/>
      <c r="Z867" s="8"/>
      <c r="AA867" s="8"/>
      <c r="AB867" s="8"/>
      <c r="AC867" s="8">
        <v>5.83</v>
      </c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11"/>
      <c r="AQ867" s="8"/>
      <c r="AR867" s="8"/>
      <c r="AS867" s="8"/>
      <c r="AT867" s="8">
        <v>1027.72</v>
      </c>
      <c r="AU867" s="8"/>
      <c r="AV867" s="8"/>
      <c r="AW867" s="8"/>
      <c r="AX867" s="8"/>
      <c r="AY867" s="8">
        <v>14.89</v>
      </c>
      <c r="AZ867" s="8"/>
      <c r="BA867" s="8"/>
      <c r="BB867" s="8"/>
      <c r="BC867" s="8"/>
      <c r="BD867" s="8"/>
      <c r="BE867" s="8"/>
      <c r="BF867" s="8">
        <v>65.7</v>
      </c>
      <c r="BG867" s="8">
        <v>77.28</v>
      </c>
      <c r="BH867" s="9">
        <f t="shared" si="117"/>
        <v>1677.9299999999998</v>
      </c>
      <c r="BI867" s="9">
        <f t="shared" si="118"/>
        <v>3.35</v>
      </c>
      <c r="BJ867" s="9">
        <f t="shared" si="119"/>
        <v>6.71</v>
      </c>
      <c r="BK867" s="9">
        <f t="shared" si="120"/>
        <v>18.98</v>
      </c>
      <c r="BL867" s="9">
        <f t="shared" si="121"/>
        <v>0</v>
      </c>
      <c r="BM867" s="9">
        <f t="shared" si="122"/>
        <v>5.83</v>
      </c>
      <c r="BN867" s="9">
        <f t="shared" si="123"/>
        <v>1027.72</v>
      </c>
      <c r="BO867" s="9">
        <f t="shared" si="124"/>
        <v>14.89</v>
      </c>
      <c r="BP867" s="9">
        <f t="shared" si="125"/>
        <v>65.7</v>
      </c>
    </row>
    <row r="868" spans="1:68">
      <c r="A868" s="6">
        <v>44715</v>
      </c>
      <c r="B868" s="7">
        <v>3079</v>
      </c>
      <c r="C868" s="8"/>
      <c r="D868" s="8"/>
      <c r="E868" s="8"/>
      <c r="F868" s="8">
        <v>336.15</v>
      </c>
      <c r="G868" s="8"/>
      <c r="H868" s="8"/>
      <c r="I868" s="8">
        <v>2718.9</v>
      </c>
      <c r="J868" s="8"/>
      <c r="K868" s="8"/>
      <c r="L868" s="8"/>
      <c r="M868" s="8"/>
      <c r="N868" s="8">
        <v>22.92</v>
      </c>
      <c r="O868" s="8"/>
      <c r="P868" s="8"/>
      <c r="Q868" s="11"/>
      <c r="R868" s="11"/>
      <c r="S868" s="8">
        <v>1.2</v>
      </c>
      <c r="T868" s="8">
        <v>30.59</v>
      </c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>
        <v>12.21</v>
      </c>
      <c r="AN868" s="8">
        <v>30.637</v>
      </c>
      <c r="AO868" s="8"/>
      <c r="AP868" s="11"/>
      <c r="AQ868" s="8"/>
      <c r="AR868" s="8">
        <v>75.587000000000003</v>
      </c>
      <c r="AS868" s="8"/>
      <c r="AT868" s="8">
        <v>1162.93</v>
      </c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>
        <v>84</v>
      </c>
      <c r="BH868" s="9">
        <f t="shared" si="117"/>
        <v>3055.05</v>
      </c>
      <c r="BI868" s="9">
        <f t="shared" si="118"/>
        <v>22.92</v>
      </c>
      <c r="BJ868" s="9">
        <f t="shared" si="119"/>
        <v>1.2</v>
      </c>
      <c r="BK868" s="9">
        <f t="shared" si="120"/>
        <v>30.59</v>
      </c>
      <c r="BL868" s="9">
        <f t="shared" si="121"/>
        <v>0</v>
      </c>
      <c r="BM868" s="9">
        <f t="shared" si="122"/>
        <v>118.434</v>
      </c>
      <c r="BN868" s="9">
        <f t="shared" si="123"/>
        <v>1162.93</v>
      </c>
      <c r="BO868" s="9">
        <f t="shared" si="124"/>
        <v>0</v>
      </c>
      <c r="BP868" s="9">
        <f t="shared" si="125"/>
        <v>0</v>
      </c>
    </row>
    <row r="869" spans="1:68">
      <c r="A869" s="6">
        <v>44715</v>
      </c>
      <c r="B869" s="7">
        <v>3083</v>
      </c>
      <c r="C869" s="8"/>
      <c r="D869" s="8">
        <v>726.29</v>
      </c>
      <c r="E869" s="8"/>
      <c r="F869" s="8"/>
      <c r="G869" s="8"/>
      <c r="H869" s="8"/>
      <c r="I869" s="8">
        <v>1698.74</v>
      </c>
      <c r="J869" s="8"/>
      <c r="K869" s="8"/>
      <c r="L869" s="8"/>
      <c r="M869" s="8"/>
      <c r="N869" s="8">
        <v>16.739999999999998</v>
      </c>
      <c r="O869" s="8"/>
      <c r="P869" s="8"/>
      <c r="Q869" s="11"/>
      <c r="R869" s="11"/>
      <c r="S869" s="8">
        <v>1.69</v>
      </c>
      <c r="T869" s="8">
        <v>19.399999999999999</v>
      </c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>
        <v>9.7100000000000009</v>
      </c>
      <c r="AN869" s="8">
        <v>34.034999999999997</v>
      </c>
      <c r="AO869" s="8"/>
      <c r="AP869" s="11"/>
      <c r="AQ869" s="8"/>
      <c r="AR869" s="8">
        <v>60.738</v>
      </c>
      <c r="AS869" s="8"/>
      <c r="AT869" s="8">
        <v>1099.8800000000001</v>
      </c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>
        <v>86.86</v>
      </c>
      <c r="BH869" s="9">
        <f t="shared" si="117"/>
        <v>2425.0299999999997</v>
      </c>
      <c r="BI869" s="9">
        <f t="shared" si="118"/>
        <v>16.739999999999998</v>
      </c>
      <c r="BJ869" s="9">
        <f t="shared" si="119"/>
        <v>1.69</v>
      </c>
      <c r="BK869" s="9">
        <f t="shared" si="120"/>
        <v>19.399999999999999</v>
      </c>
      <c r="BL869" s="9">
        <f t="shared" si="121"/>
        <v>0</v>
      </c>
      <c r="BM869" s="9">
        <f t="shared" si="122"/>
        <v>104.483</v>
      </c>
      <c r="BN869" s="9">
        <f t="shared" si="123"/>
        <v>1099.8800000000001</v>
      </c>
      <c r="BO869" s="9">
        <f t="shared" si="124"/>
        <v>0</v>
      </c>
      <c r="BP869" s="9">
        <f t="shared" si="125"/>
        <v>0</v>
      </c>
    </row>
    <row r="870" spans="1:68">
      <c r="A870" s="6">
        <v>44715</v>
      </c>
      <c r="B870" s="7">
        <v>3016</v>
      </c>
      <c r="C870" s="8"/>
      <c r="D870" s="8">
        <v>1582.4</v>
      </c>
      <c r="E870" s="8"/>
      <c r="F870" s="8"/>
      <c r="G870" s="8"/>
      <c r="H870" s="8"/>
      <c r="I870" s="8">
        <v>1464.5</v>
      </c>
      <c r="J870" s="8"/>
      <c r="K870" s="8"/>
      <c r="L870" s="8"/>
      <c r="M870" s="8"/>
      <c r="N870" s="8">
        <v>18.32</v>
      </c>
      <c r="O870" s="8"/>
      <c r="P870" s="8"/>
      <c r="Q870" s="11"/>
      <c r="R870" s="11"/>
      <c r="S870" s="8">
        <v>2.14</v>
      </c>
      <c r="T870" s="8">
        <v>30.48</v>
      </c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>
        <v>12.2</v>
      </c>
      <c r="AN870" s="8">
        <v>36.828000000000003</v>
      </c>
      <c r="AO870" s="8"/>
      <c r="AP870" s="11"/>
      <c r="AQ870" s="8"/>
      <c r="AR870" s="8">
        <v>75.376999999999995</v>
      </c>
      <c r="AS870" s="8"/>
      <c r="AT870" s="8">
        <v>1133.1500000000001</v>
      </c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>
        <v>82.83</v>
      </c>
      <c r="BH870" s="9">
        <f t="shared" si="117"/>
        <v>3046.9</v>
      </c>
      <c r="BI870" s="9">
        <f t="shared" si="118"/>
        <v>18.32</v>
      </c>
      <c r="BJ870" s="9">
        <f t="shared" si="119"/>
        <v>2.14</v>
      </c>
      <c r="BK870" s="9">
        <f t="shared" si="120"/>
        <v>30.48</v>
      </c>
      <c r="BL870" s="9">
        <f t="shared" si="121"/>
        <v>0</v>
      </c>
      <c r="BM870" s="9">
        <f t="shared" si="122"/>
        <v>124.405</v>
      </c>
      <c r="BN870" s="9">
        <f t="shared" si="123"/>
        <v>1133.1500000000001</v>
      </c>
      <c r="BO870" s="9">
        <f t="shared" si="124"/>
        <v>0</v>
      </c>
      <c r="BP870" s="9">
        <f t="shared" si="125"/>
        <v>0</v>
      </c>
    </row>
    <row r="871" spans="1:68">
      <c r="A871" s="6">
        <v>44715</v>
      </c>
      <c r="B871" s="7">
        <v>3005</v>
      </c>
      <c r="C871" s="8">
        <v>808.84</v>
      </c>
      <c r="D871" s="8">
        <v>539.45000000000005</v>
      </c>
      <c r="E871" s="8"/>
      <c r="F871" s="8"/>
      <c r="G871" s="8"/>
      <c r="H871" s="8"/>
      <c r="I871" s="8"/>
      <c r="J871" s="8"/>
      <c r="K871" s="8"/>
      <c r="L871" s="8"/>
      <c r="M871" s="8"/>
      <c r="N871" s="8">
        <v>1.36</v>
      </c>
      <c r="O871" s="8"/>
      <c r="P871" s="8"/>
      <c r="Q871" s="11"/>
      <c r="R871" s="11"/>
      <c r="S871" s="8">
        <v>4.72</v>
      </c>
      <c r="T871" s="8">
        <v>14.84</v>
      </c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11"/>
      <c r="AQ871" s="8"/>
      <c r="AR871" s="8"/>
      <c r="AS871" s="8"/>
      <c r="AT871" s="8">
        <v>660.67</v>
      </c>
      <c r="AU871" s="8"/>
      <c r="AV871" s="8"/>
      <c r="AW871" s="8">
        <v>14.97</v>
      </c>
      <c r="AX871" s="8"/>
      <c r="AY871" s="8"/>
      <c r="AZ871" s="8"/>
      <c r="BA871" s="8"/>
      <c r="BB871" s="8"/>
      <c r="BC871" s="8"/>
      <c r="BD871" s="8"/>
      <c r="BE871" s="8"/>
      <c r="BF871" s="8"/>
      <c r="BG871" s="8">
        <v>49.26</v>
      </c>
      <c r="BH871" s="9">
        <f t="shared" si="117"/>
        <v>1348.29</v>
      </c>
      <c r="BI871" s="9">
        <f t="shared" si="118"/>
        <v>1.36</v>
      </c>
      <c r="BJ871" s="9">
        <f t="shared" si="119"/>
        <v>4.72</v>
      </c>
      <c r="BK871" s="9">
        <f t="shared" si="120"/>
        <v>14.84</v>
      </c>
      <c r="BL871" s="9">
        <f t="shared" si="121"/>
        <v>0</v>
      </c>
      <c r="BM871" s="9">
        <f t="shared" si="122"/>
        <v>0</v>
      </c>
      <c r="BN871" s="9">
        <f t="shared" si="123"/>
        <v>660.67</v>
      </c>
      <c r="BO871" s="9">
        <f t="shared" si="124"/>
        <v>14.97</v>
      </c>
      <c r="BP871" s="9">
        <f t="shared" si="125"/>
        <v>0</v>
      </c>
    </row>
    <row r="872" spans="1:68">
      <c r="A872" s="6">
        <v>44718</v>
      </c>
      <c r="B872" s="7">
        <v>3310</v>
      </c>
      <c r="C872" s="8"/>
      <c r="D872" s="8">
        <v>856.21</v>
      </c>
      <c r="E872" s="8"/>
      <c r="F872" s="8"/>
      <c r="G872" s="8"/>
      <c r="H872" s="8"/>
      <c r="I872" s="8"/>
      <c r="J872" s="8"/>
      <c r="K872" s="8"/>
      <c r="L872" s="8"/>
      <c r="M872" s="8">
        <v>0.99</v>
      </c>
      <c r="N872" s="8"/>
      <c r="O872" s="8"/>
      <c r="P872" s="8"/>
      <c r="Q872" s="11"/>
      <c r="R872" s="11"/>
      <c r="S872" s="8">
        <v>6.08</v>
      </c>
      <c r="T872" s="8">
        <v>7.75</v>
      </c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>
        <v>8.61</v>
      </c>
      <c r="AH872" s="8"/>
      <c r="AI872" s="8"/>
      <c r="AJ872" s="8"/>
      <c r="AK872" s="8"/>
      <c r="AL872" s="8"/>
      <c r="AM872" s="8"/>
      <c r="AN872" s="8"/>
      <c r="AO872" s="8"/>
      <c r="AP872" s="11"/>
      <c r="AQ872" s="8"/>
      <c r="AR872" s="8"/>
      <c r="AS872" s="8"/>
      <c r="AT872" s="8"/>
      <c r="AU872" s="8">
        <v>370.15</v>
      </c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>
        <v>24.7</v>
      </c>
      <c r="BH872" s="9">
        <f t="shared" si="117"/>
        <v>856.21</v>
      </c>
      <c r="BI872" s="9">
        <f t="shared" si="118"/>
        <v>0.99</v>
      </c>
      <c r="BJ872" s="9">
        <f t="shared" si="119"/>
        <v>6.08</v>
      </c>
      <c r="BK872" s="9">
        <f t="shared" si="120"/>
        <v>7.75</v>
      </c>
      <c r="BL872" s="9">
        <f t="shared" si="121"/>
        <v>0</v>
      </c>
      <c r="BM872" s="9">
        <f t="shared" si="122"/>
        <v>8.61</v>
      </c>
      <c r="BN872" s="9">
        <f t="shared" si="123"/>
        <v>370.15</v>
      </c>
      <c r="BO872" s="9">
        <f t="shared" si="124"/>
        <v>0</v>
      </c>
      <c r="BP872" s="9">
        <f t="shared" si="125"/>
        <v>0</v>
      </c>
    </row>
    <row r="873" spans="1:68">
      <c r="A873" s="6">
        <v>44718</v>
      </c>
      <c r="B873" s="7">
        <v>3307</v>
      </c>
      <c r="C873" s="8"/>
      <c r="D873" s="8">
        <v>1900.83</v>
      </c>
      <c r="E873" s="8"/>
      <c r="F873" s="8"/>
      <c r="G873" s="8"/>
      <c r="H873" s="8"/>
      <c r="I873" s="8"/>
      <c r="J873" s="8"/>
      <c r="K873" s="8"/>
      <c r="L873" s="8"/>
      <c r="M873" s="8">
        <v>2.5</v>
      </c>
      <c r="N873" s="8"/>
      <c r="O873" s="8"/>
      <c r="P873" s="8"/>
      <c r="Q873" s="11"/>
      <c r="R873" s="11"/>
      <c r="S873" s="8">
        <v>13.9</v>
      </c>
      <c r="T873" s="8">
        <v>19.07</v>
      </c>
      <c r="U873" s="8"/>
      <c r="V873" s="8"/>
      <c r="W873" s="8"/>
      <c r="X873" s="8"/>
      <c r="Y873" s="8"/>
      <c r="Z873" s="8"/>
      <c r="AA873" s="8"/>
      <c r="AB873" s="8"/>
      <c r="AC873" s="8">
        <v>11.43</v>
      </c>
      <c r="AD873" s="8"/>
      <c r="AE873" s="8"/>
      <c r="AF873" s="8"/>
      <c r="AG873" s="8">
        <v>19.12</v>
      </c>
      <c r="AH873" s="8"/>
      <c r="AI873" s="8"/>
      <c r="AJ873" s="8"/>
      <c r="AK873" s="8"/>
      <c r="AL873" s="8"/>
      <c r="AM873" s="8"/>
      <c r="AN873" s="8"/>
      <c r="AO873" s="8"/>
      <c r="AP873" s="11"/>
      <c r="AQ873" s="8"/>
      <c r="AR873" s="8"/>
      <c r="AS873" s="8"/>
      <c r="AT873" s="8"/>
      <c r="AU873" s="8">
        <v>953.86</v>
      </c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>
        <v>68.430000000000007</v>
      </c>
      <c r="BH873" s="9">
        <f t="shared" si="117"/>
        <v>1900.83</v>
      </c>
      <c r="BI873" s="9">
        <f t="shared" si="118"/>
        <v>2.5</v>
      </c>
      <c r="BJ873" s="9">
        <f t="shared" si="119"/>
        <v>13.9</v>
      </c>
      <c r="BK873" s="9">
        <f t="shared" si="120"/>
        <v>19.07</v>
      </c>
      <c r="BL873" s="9">
        <f t="shared" si="121"/>
        <v>0</v>
      </c>
      <c r="BM873" s="9">
        <f t="shared" si="122"/>
        <v>30.55</v>
      </c>
      <c r="BN873" s="9">
        <f t="shared" si="123"/>
        <v>953.86</v>
      </c>
      <c r="BO873" s="9">
        <f t="shared" si="124"/>
        <v>0</v>
      </c>
      <c r="BP873" s="9">
        <f t="shared" si="125"/>
        <v>0</v>
      </c>
    </row>
    <row r="874" spans="1:68">
      <c r="A874" s="6">
        <v>44718</v>
      </c>
      <c r="B874" s="7">
        <v>3204</v>
      </c>
      <c r="C874" s="8"/>
      <c r="D874" s="8">
        <v>1769.68</v>
      </c>
      <c r="E874" s="8">
        <v>747.86</v>
      </c>
      <c r="F874" s="8"/>
      <c r="G874" s="8"/>
      <c r="H874" s="8"/>
      <c r="I874" s="8"/>
      <c r="J874" s="8"/>
      <c r="K874" s="8"/>
      <c r="L874" s="8"/>
      <c r="M874" s="8"/>
      <c r="N874" s="8"/>
      <c r="O874" s="8">
        <v>12.61</v>
      </c>
      <c r="P874" s="8"/>
      <c r="Q874" s="11"/>
      <c r="R874" s="11"/>
      <c r="S874" s="8">
        <v>8.6</v>
      </c>
      <c r="T874" s="8">
        <v>15.17</v>
      </c>
      <c r="U874" s="8">
        <v>12.7</v>
      </c>
      <c r="V874" s="8"/>
      <c r="W874" s="8"/>
      <c r="X874" s="8"/>
      <c r="Y874" s="8"/>
      <c r="Z874" s="8">
        <v>379.9</v>
      </c>
      <c r="AA874" s="8"/>
      <c r="AB874" s="8">
        <v>12.721</v>
      </c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11"/>
      <c r="AQ874" s="8"/>
      <c r="AR874" s="8"/>
      <c r="AS874" s="8"/>
      <c r="AT874" s="8">
        <v>1113.47</v>
      </c>
      <c r="AU874" s="8"/>
      <c r="AV874" s="8"/>
      <c r="AW874" s="8">
        <v>8.1300000000000008</v>
      </c>
      <c r="AX874" s="8"/>
      <c r="AY874" s="8"/>
      <c r="AZ874" s="8"/>
      <c r="BA874" s="8"/>
      <c r="BB874" s="8"/>
      <c r="BC874" s="8"/>
      <c r="BD874" s="8"/>
      <c r="BE874" s="8"/>
      <c r="BF874" s="8"/>
      <c r="BG874" s="8">
        <v>82.28</v>
      </c>
      <c r="BH874" s="9">
        <f t="shared" si="117"/>
        <v>2517.54</v>
      </c>
      <c r="BI874" s="9">
        <f t="shared" si="118"/>
        <v>12.61</v>
      </c>
      <c r="BJ874" s="9">
        <f t="shared" si="119"/>
        <v>8.6</v>
      </c>
      <c r="BK874" s="9">
        <f t="shared" si="120"/>
        <v>27.869999999999997</v>
      </c>
      <c r="BL874" s="9">
        <f t="shared" si="121"/>
        <v>379.9</v>
      </c>
      <c r="BM874" s="9">
        <f t="shared" si="122"/>
        <v>12.721</v>
      </c>
      <c r="BN874" s="9">
        <f t="shared" si="123"/>
        <v>1113.47</v>
      </c>
      <c r="BO874" s="9">
        <f t="shared" si="124"/>
        <v>8.1300000000000008</v>
      </c>
      <c r="BP874" s="9">
        <f t="shared" si="125"/>
        <v>0</v>
      </c>
    </row>
    <row r="875" spans="1:68">
      <c r="A875" s="6">
        <v>44718</v>
      </c>
      <c r="B875" s="7">
        <v>3028</v>
      </c>
      <c r="C875" s="8"/>
      <c r="D875" s="8">
        <v>777.64</v>
      </c>
      <c r="E875" s="8"/>
      <c r="F875" s="8">
        <v>717.79</v>
      </c>
      <c r="G875" s="8"/>
      <c r="H875" s="8"/>
      <c r="I875" s="8">
        <v>1621.83</v>
      </c>
      <c r="J875" s="8"/>
      <c r="K875" s="8"/>
      <c r="L875" s="8"/>
      <c r="M875" s="8"/>
      <c r="N875" s="8">
        <v>23.41</v>
      </c>
      <c r="O875" s="8"/>
      <c r="P875" s="8"/>
      <c r="Q875" s="11"/>
      <c r="R875" s="11"/>
      <c r="S875" s="8">
        <v>4.3499999999999996</v>
      </c>
      <c r="T875" s="8"/>
      <c r="U875" s="8"/>
      <c r="V875" s="8"/>
      <c r="W875" s="8">
        <v>23.564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>
        <v>31.14</v>
      </c>
      <c r="AN875" s="8">
        <v>22.068000000000001</v>
      </c>
      <c r="AO875" s="8"/>
      <c r="AP875" s="11"/>
      <c r="AQ875" s="8"/>
      <c r="AR875" s="8"/>
      <c r="AS875" s="8">
        <v>102.34099999999999</v>
      </c>
      <c r="AT875" s="8">
        <v>1041.0899999999999</v>
      </c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>
        <v>70.23</v>
      </c>
      <c r="BH875" s="9">
        <f t="shared" si="117"/>
        <v>3117.2599999999998</v>
      </c>
      <c r="BI875" s="9">
        <f t="shared" si="118"/>
        <v>23.41</v>
      </c>
      <c r="BJ875" s="9">
        <f t="shared" si="119"/>
        <v>4.3499999999999996</v>
      </c>
      <c r="BK875" s="9">
        <f t="shared" si="120"/>
        <v>23.564</v>
      </c>
      <c r="BL875" s="9">
        <f t="shared" si="121"/>
        <v>0</v>
      </c>
      <c r="BM875" s="9">
        <f t="shared" si="122"/>
        <v>155.54899999999998</v>
      </c>
      <c r="BN875" s="9">
        <f t="shared" si="123"/>
        <v>1041.0899999999999</v>
      </c>
      <c r="BO875" s="9">
        <f t="shared" si="124"/>
        <v>0</v>
      </c>
      <c r="BP875" s="9">
        <f t="shared" si="125"/>
        <v>0</v>
      </c>
    </row>
    <row r="876" spans="1:68">
      <c r="A876" s="6">
        <v>44718</v>
      </c>
      <c r="B876" s="7">
        <v>3021</v>
      </c>
      <c r="C876" s="8"/>
      <c r="D876" s="8">
        <v>363.92</v>
      </c>
      <c r="E876" s="8"/>
      <c r="F876" s="8"/>
      <c r="G876" s="8"/>
      <c r="H876" s="8"/>
      <c r="I876" s="8">
        <v>675.52</v>
      </c>
      <c r="J876" s="8"/>
      <c r="K876" s="8"/>
      <c r="L876" s="8"/>
      <c r="M876" s="8"/>
      <c r="N876" s="8">
        <v>5.51</v>
      </c>
      <c r="O876" s="8"/>
      <c r="P876" s="8"/>
      <c r="Q876" s="11"/>
      <c r="R876" s="11"/>
      <c r="S876" s="8">
        <v>1.87</v>
      </c>
      <c r="T876" s="8"/>
      <c r="U876" s="8"/>
      <c r="V876" s="8"/>
      <c r="W876" s="8">
        <v>10.365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>
        <v>10.37</v>
      </c>
      <c r="AN876" s="8"/>
      <c r="AO876" s="8"/>
      <c r="AP876" s="11"/>
      <c r="AQ876" s="8"/>
      <c r="AR876" s="8"/>
      <c r="AS876" s="8">
        <v>26.274000000000001</v>
      </c>
      <c r="AT876" s="8">
        <v>488.8</v>
      </c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>
        <v>36.840000000000003</v>
      </c>
      <c r="BH876" s="9">
        <f t="shared" si="117"/>
        <v>1039.44</v>
      </c>
      <c r="BI876" s="9">
        <f t="shared" si="118"/>
        <v>5.51</v>
      </c>
      <c r="BJ876" s="9">
        <f t="shared" si="119"/>
        <v>1.87</v>
      </c>
      <c r="BK876" s="9">
        <f t="shared" si="120"/>
        <v>10.365</v>
      </c>
      <c r="BL876" s="9">
        <f t="shared" si="121"/>
        <v>0</v>
      </c>
      <c r="BM876" s="9">
        <f t="shared" si="122"/>
        <v>36.643999999999998</v>
      </c>
      <c r="BN876" s="9">
        <f t="shared" si="123"/>
        <v>488.8</v>
      </c>
      <c r="BO876" s="9">
        <f t="shared" si="124"/>
        <v>0</v>
      </c>
      <c r="BP876" s="9">
        <f t="shared" si="125"/>
        <v>0</v>
      </c>
    </row>
    <row r="877" spans="1:68">
      <c r="A877" s="6">
        <v>44718</v>
      </c>
      <c r="B877" s="7">
        <v>3200</v>
      </c>
      <c r="C877" s="8">
        <f>68.78+2315.97</f>
        <v>2384.75</v>
      </c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>
        <f>0.17+5.8</f>
        <v>5.97</v>
      </c>
      <c r="P877" s="8"/>
      <c r="Q877" s="11"/>
      <c r="R877" s="11"/>
      <c r="S877" s="8">
        <f>0.27+9.05</f>
        <v>9.32</v>
      </c>
      <c r="T877" s="8"/>
      <c r="U877" s="8">
        <f>1.04+34.8</f>
        <v>35.839999999999996</v>
      </c>
      <c r="V877" s="8"/>
      <c r="W877" s="8"/>
      <c r="X877" s="8"/>
      <c r="Y877" s="8"/>
      <c r="Z877" s="8">
        <f>14.53+487.08</f>
        <v>501.60999999999996</v>
      </c>
      <c r="AA877" s="8"/>
      <c r="AB877" s="8"/>
      <c r="AC877" s="8"/>
      <c r="AD877" s="8"/>
      <c r="AE877" s="8"/>
      <c r="AF877" s="8">
        <f>3.46+116.07</f>
        <v>119.52999999999999</v>
      </c>
      <c r="AG877" s="8"/>
      <c r="AH877" s="8"/>
      <c r="AI877" s="8"/>
      <c r="AJ877" s="8"/>
      <c r="AK877" s="8"/>
      <c r="AL877" s="8"/>
      <c r="AM877" s="8"/>
      <c r="AN877" s="8"/>
      <c r="AO877" s="8"/>
      <c r="AP877" s="11"/>
      <c r="AQ877" s="8">
        <v>35.723999999999997</v>
      </c>
      <c r="AR877" s="8"/>
      <c r="AS877" s="8"/>
      <c r="AT877" s="8">
        <f>47.15+1586.69</f>
        <v>1633.8400000000001</v>
      </c>
      <c r="AU877" s="8"/>
      <c r="AV877" s="8"/>
      <c r="AW877" s="8">
        <f>0.2+6.73</f>
        <v>6.9300000000000006</v>
      </c>
      <c r="AX877" s="8"/>
      <c r="AY877" s="8"/>
      <c r="AZ877" s="8"/>
      <c r="BA877" s="8"/>
      <c r="BB877" s="8"/>
      <c r="BC877" s="8"/>
      <c r="BD877" s="8"/>
      <c r="BE877" s="8"/>
      <c r="BF877" s="8">
        <f>3.32+111.29</f>
        <v>114.61</v>
      </c>
      <c r="BG877" s="8">
        <f>3.43+114.36</f>
        <v>117.79</v>
      </c>
      <c r="BH877" s="9">
        <f t="shared" si="117"/>
        <v>2384.75</v>
      </c>
      <c r="BI877" s="9">
        <f t="shared" si="118"/>
        <v>5.97</v>
      </c>
      <c r="BJ877" s="9">
        <f t="shared" si="119"/>
        <v>9.32</v>
      </c>
      <c r="BK877" s="9">
        <f t="shared" si="120"/>
        <v>35.839999999999996</v>
      </c>
      <c r="BL877" s="9">
        <f t="shared" si="121"/>
        <v>501.60999999999996</v>
      </c>
      <c r="BM877" s="9">
        <f t="shared" si="122"/>
        <v>155.25399999999999</v>
      </c>
      <c r="BN877" s="9">
        <f t="shared" si="123"/>
        <v>1633.8400000000001</v>
      </c>
      <c r="BO877" s="9">
        <f t="shared" si="124"/>
        <v>6.9300000000000006</v>
      </c>
      <c r="BP877" s="9">
        <f t="shared" si="125"/>
        <v>114.61</v>
      </c>
    </row>
    <row r="878" spans="1:68">
      <c r="A878" s="6">
        <v>44718</v>
      </c>
      <c r="B878" s="7">
        <v>8058</v>
      </c>
      <c r="C878" s="8">
        <v>1272.44</v>
      </c>
      <c r="D878" s="8">
        <v>224.56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11">
        <v>4.1870000000000003</v>
      </c>
      <c r="R878" s="11"/>
      <c r="S878" s="8">
        <v>7.04</v>
      </c>
      <c r="T878" s="8">
        <v>11.24</v>
      </c>
      <c r="U878" s="8">
        <v>11.23</v>
      </c>
      <c r="V878" s="8"/>
      <c r="W878" s="8"/>
      <c r="X878" s="8"/>
      <c r="Y878" s="8"/>
      <c r="Z878" s="8"/>
      <c r="AA878" s="8"/>
      <c r="AB878" s="8"/>
      <c r="AC878" s="8">
        <v>5.99</v>
      </c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11"/>
      <c r="AQ878" s="8"/>
      <c r="AR878" s="8"/>
      <c r="AS878" s="8"/>
      <c r="AT878" s="8">
        <v>991.53</v>
      </c>
      <c r="AU878" s="8"/>
      <c r="AV878" s="8"/>
      <c r="AW878" s="8" t="s">
        <v>73</v>
      </c>
      <c r="AX878" s="8"/>
      <c r="AY878" s="8"/>
      <c r="AZ878" s="8"/>
      <c r="BA878" s="8">
        <v>34.33</v>
      </c>
      <c r="BB878" s="8"/>
      <c r="BC878" s="8"/>
      <c r="BD878" s="8"/>
      <c r="BE878" s="8"/>
      <c r="BF878" s="8">
        <v>104.84</v>
      </c>
      <c r="BG878" s="8">
        <v>77.89</v>
      </c>
      <c r="BH878" s="9">
        <f t="shared" si="117"/>
        <v>1497</v>
      </c>
      <c r="BI878" s="9">
        <f t="shared" si="118"/>
        <v>4.1870000000000003</v>
      </c>
      <c r="BJ878" s="9">
        <f t="shared" si="119"/>
        <v>7.04</v>
      </c>
      <c r="BK878" s="9">
        <f t="shared" si="120"/>
        <v>22.47</v>
      </c>
      <c r="BL878" s="9">
        <f t="shared" si="121"/>
        <v>0</v>
      </c>
      <c r="BM878" s="9">
        <f t="shared" si="122"/>
        <v>5.99</v>
      </c>
      <c r="BN878" s="9">
        <f t="shared" si="123"/>
        <v>991.53</v>
      </c>
      <c r="BO878" s="9">
        <f t="shared" si="124"/>
        <v>34.33</v>
      </c>
      <c r="BP878" s="9">
        <f t="shared" si="125"/>
        <v>104.84</v>
      </c>
    </row>
    <row r="879" spans="1:68">
      <c r="A879" s="6">
        <v>44718</v>
      </c>
      <c r="B879" s="7">
        <v>3121</v>
      </c>
      <c r="C879" s="8">
        <v>1878</v>
      </c>
      <c r="D879" s="8"/>
      <c r="E879" s="8"/>
      <c r="F879" s="8"/>
      <c r="G879" s="8"/>
      <c r="H879" s="8"/>
      <c r="I879" s="8"/>
      <c r="J879" s="8"/>
      <c r="K879" s="8"/>
      <c r="L879" s="8"/>
      <c r="M879" s="8">
        <v>4.7</v>
      </c>
      <c r="N879" s="8"/>
      <c r="O879" s="8"/>
      <c r="P879" s="8"/>
      <c r="Q879" s="11"/>
      <c r="R879" s="11"/>
      <c r="S879" s="8">
        <v>6.58</v>
      </c>
      <c r="T879" s="8">
        <v>23.81</v>
      </c>
      <c r="U879" s="8"/>
      <c r="V879" s="8"/>
      <c r="W879" s="8"/>
      <c r="X879" s="8"/>
      <c r="Y879" s="8"/>
      <c r="Z879" s="8"/>
      <c r="AA879" s="8"/>
      <c r="AB879" s="8"/>
      <c r="AC879" s="8">
        <v>7.51</v>
      </c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11"/>
      <c r="AQ879" s="8">
        <v>18.981999999999999</v>
      </c>
      <c r="AR879" s="8"/>
      <c r="AS879" s="8"/>
      <c r="AT879" s="8">
        <v>994.77</v>
      </c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>
        <v>73.27</v>
      </c>
      <c r="BH879" s="9">
        <f t="shared" si="117"/>
        <v>1878</v>
      </c>
      <c r="BI879" s="9">
        <f t="shared" si="118"/>
        <v>4.7</v>
      </c>
      <c r="BJ879" s="9">
        <f t="shared" si="119"/>
        <v>6.58</v>
      </c>
      <c r="BK879" s="9">
        <f t="shared" si="120"/>
        <v>23.81</v>
      </c>
      <c r="BL879" s="9">
        <f t="shared" si="121"/>
        <v>0</v>
      </c>
      <c r="BM879" s="9">
        <f t="shared" si="122"/>
        <v>26.491999999999997</v>
      </c>
      <c r="BN879" s="9">
        <f t="shared" si="123"/>
        <v>994.77</v>
      </c>
      <c r="BO879" s="9">
        <f t="shared" si="124"/>
        <v>0</v>
      </c>
      <c r="BP879" s="9">
        <f t="shared" si="125"/>
        <v>0</v>
      </c>
    </row>
    <row r="880" spans="1:68">
      <c r="A880" s="6">
        <v>44718</v>
      </c>
      <c r="B880" s="7">
        <v>3106</v>
      </c>
      <c r="C880" s="8">
        <v>4186.5</v>
      </c>
      <c r="D880" s="8"/>
      <c r="E880" s="8"/>
      <c r="F880" s="8"/>
      <c r="G880" s="8"/>
      <c r="H880" s="8"/>
      <c r="I880" s="8"/>
      <c r="J880" s="8"/>
      <c r="K880" s="8"/>
      <c r="L880" s="8"/>
      <c r="M880" s="8">
        <v>11.28</v>
      </c>
      <c r="N880" s="8"/>
      <c r="O880" s="8"/>
      <c r="P880" s="8"/>
      <c r="Q880" s="11"/>
      <c r="R880" s="11"/>
      <c r="S880" s="8">
        <v>12.6</v>
      </c>
      <c r="T880" s="8">
        <v>53.2</v>
      </c>
      <c r="U880" s="8"/>
      <c r="V880" s="8"/>
      <c r="W880" s="8"/>
      <c r="X880" s="8"/>
      <c r="Y880" s="8"/>
      <c r="Z880" s="8"/>
      <c r="AA880" s="8"/>
      <c r="AB880" s="8"/>
      <c r="AC880" s="8">
        <v>10.47</v>
      </c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11"/>
      <c r="AQ880" s="8"/>
      <c r="AR880" s="8"/>
      <c r="AS880" s="8"/>
      <c r="AT880" s="8">
        <v>2394.5</v>
      </c>
      <c r="AU880" s="8"/>
      <c r="AV880" s="8"/>
      <c r="AW880" s="8"/>
      <c r="AX880" s="8">
        <v>5.24</v>
      </c>
      <c r="AY880" s="8"/>
      <c r="AZ880" s="8"/>
      <c r="BA880" s="8"/>
      <c r="BB880" s="8"/>
      <c r="BC880" s="8"/>
      <c r="BD880" s="8"/>
      <c r="BE880" s="8"/>
      <c r="BF880" s="8"/>
      <c r="BG880" s="8">
        <v>180.11</v>
      </c>
      <c r="BH880" s="9">
        <f t="shared" si="117"/>
        <v>4186.5</v>
      </c>
      <c r="BI880" s="9">
        <f t="shared" si="118"/>
        <v>11.28</v>
      </c>
      <c r="BJ880" s="9">
        <f t="shared" si="119"/>
        <v>12.6</v>
      </c>
      <c r="BK880" s="9">
        <f t="shared" si="120"/>
        <v>53.2</v>
      </c>
      <c r="BL880" s="9">
        <f t="shared" si="121"/>
        <v>0</v>
      </c>
      <c r="BM880" s="9">
        <f t="shared" si="122"/>
        <v>10.47</v>
      </c>
      <c r="BN880" s="9">
        <f t="shared" si="123"/>
        <v>2394.5</v>
      </c>
      <c r="BO880" s="9">
        <f t="shared" si="124"/>
        <v>5.24</v>
      </c>
      <c r="BP880" s="9">
        <f t="shared" si="125"/>
        <v>0</v>
      </c>
    </row>
    <row r="881" spans="1:68">
      <c r="A881" s="6">
        <v>44718</v>
      </c>
      <c r="B881" s="7">
        <v>3141</v>
      </c>
      <c r="C881" s="8">
        <v>1193.42</v>
      </c>
      <c r="D881" s="8">
        <v>210.6</v>
      </c>
      <c r="E881" s="8"/>
      <c r="F881" s="8"/>
      <c r="G881" s="8"/>
      <c r="H881" s="8"/>
      <c r="I881" s="8"/>
      <c r="J881" s="8"/>
      <c r="K881" s="8"/>
      <c r="L881" s="8"/>
      <c r="M881" s="8">
        <v>3.97</v>
      </c>
      <c r="N881" s="8"/>
      <c r="O881" s="8"/>
      <c r="P881" s="8"/>
      <c r="Q881" s="11"/>
      <c r="R881" s="11"/>
      <c r="S881" s="8">
        <v>6.61</v>
      </c>
      <c r="T881" s="8">
        <v>10.54</v>
      </c>
      <c r="U881" s="8">
        <v>10.53</v>
      </c>
      <c r="V881" s="8"/>
      <c r="W881" s="8"/>
      <c r="X881" s="8"/>
      <c r="Y881" s="8"/>
      <c r="Z881" s="8"/>
      <c r="AA881" s="8"/>
      <c r="AB881" s="8"/>
      <c r="AC881" s="8">
        <v>5.62</v>
      </c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11"/>
      <c r="AQ881" s="8"/>
      <c r="AR881" s="8"/>
      <c r="AS881" s="8"/>
      <c r="AT881" s="8">
        <v>927.21</v>
      </c>
      <c r="AU881" s="8"/>
      <c r="AV881" s="8"/>
      <c r="AW881" s="8"/>
      <c r="AX881" s="8"/>
      <c r="AY881" s="8"/>
      <c r="AZ881" s="8"/>
      <c r="BA881" s="8">
        <v>32.18</v>
      </c>
      <c r="BB881" s="8"/>
      <c r="BC881" s="8"/>
      <c r="BD881" s="8"/>
      <c r="BE881" s="8"/>
      <c r="BF881" s="8">
        <v>98.29</v>
      </c>
      <c r="BG881" s="8">
        <v>72.97</v>
      </c>
      <c r="BH881" s="9">
        <f t="shared" si="117"/>
        <v>1404.02</v>
      </c>
      <c r="BI881" s="9">
        <f t="shared" si="118"/>
        <v>3.97</v>
      </c>
      <c r="BJ881" s="9">
        <f t="shared" si="119"/>
        <v>6.61</v>
      </c>
      <c r="BK881" s="9">
        <f t="shared" si="120"/>
        <v>21.07</v>
      </c>
      <c r="BL881" s="9">
        <f t="shared" si="121"/>
        <v>0</v>
      </c>
      <c r="BM881" s="9">
        <f t="shared" si="122"/>
        <v>5.62</v>
      </c>
      <c r="BN881" s="9">
        <f t="shared" si="123"/>
        <v>927.21</v>
      </c>
      <c r="BO881" s="9">
        <f t="shared" si="124"/>
        <v>32.18</v>
      </c>
      <c r="BP881" s="9">
        <f t="shared" si="125"/>
        <v>98.29</v>
      </c>
    </row>
    <row r="882" spans="1:68">
      <c r="A882" s="6">
        <v>44719</v>
      </c>
      <c r="B882" s="7">
        <v>3022</v>
      </c>
      <c r="C882" s="8"/>
      <c r="D882" s="8">
        <v>1071.1199999999999</v>
      </c>
      <c r="E882" s="8"/>
      <c r="F882" s="8"/>
      <c r="G882" s="8"/>
      <c r="H882" s="8"/>
      <c r="I882" s="8">
        <v>874.57</v>
      </c>
      <c r="J882" s="8"/>
      <c r="K882" s="8"/>
      <c r="L882" s="8"/>
      <c r="M882" s="8"/>
      <c r="N882" s="8">
        <v>9.67</v>
      </c>
      <c r="O882" s="8"/>
      <c r="P882" s="8"/>
      <c r="Q882" s="11"/>
      <c r="R882" s="11"/>
      <c r="S882" s="8">
        <v>3.49</v>
      </c>
      <c r="T882" s="8"/>
      <c r="U882" s="8"/>
      <c r="V882" s="8"/>
      <c r="W882" s="8">
        <v>19.675000000000001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>
        <v>25.2</v>
      </c>
      <c r="AN882" s="8"/>
      <c r="AO882" s="8"/>
      <c r="AP882" s="11"/>
      <c r="AQ882" s="8"/>
      <c r="AR882" s="8"/>
      <c r="AS882" s="8">
        <v>67.822000000000003</v>
      </c>
      <c r="AT882" s="8">
        <v>905.77</v>
      </c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>
        <v>69.87</v>
      </c>
      <c r="BH882" s="9">
        <f t="shared" si="117"/>
        <v>1945.69</v>
      </c>
      <c r="BI882" s="9">
        <f t="shared" si="118"/>
        <v>9.67</v>
      </c>
      <c r="BJ882" s="9">
        <f t="shared" si="119"/>
        <v>3.49</v>
      </c>
      <c r="BK882" s="9">
        <f t="shared" si="120"/>
        <v>19.675000000000001</v>
      </c>
      <c r="BL882" s="9">
        <f t="shared" si="121"/>
        <v>0</v>
      </c>
      <c r="BM882" s="9">
        <f t="shared" si="122"/>
        <v>93.022000000000006</v>
      </c>
      <c r="BN882" s="9">
        <f t="shared" si="123"/>
        <v>905.77</v>
      </c>
      <c r="BO882" s="9">
        <f t="shared" si="124"/>
        <v>0</v>
      </c>
      <c r="BP882" s="9">
        <f t="shared" si="125"/>
        <v>0</v>
      </c>
    </row>
    <row r="883" spans="1:68">
      <c r="A883" s="6">
        <v>44719</v>
      </c>
      <c r="B883" s="7">
        <v>3020</v>
      </c>
      <c r="C883" s="8"/>
      <c r="D883" s="8">
        <v>165.82</v>
      </c>
      <c r="E883" s="8"/>
      <c r="F883" s="8"/>
      <c r="G883" s="8"/>
      <c r="H883" s="8"/>
      <c r="I883" s="8">
        <v>929.08</v>
      </c>
      <c r="J883" s="8"/>
      <c r="K883" s="8"/>
      <c r="L883" s="8"/>
      <c r="M883" s="8"/>
      <c r="N883" s="8">
        <v>6.57</v>
      </c>
      <c r="O883" s="8"/>
      <c r="P883" s="8"/>
      <c r="Q883" s="11"/>
      <c r="R883" s="11"/>
      <c r="S883" s="8">
        <v>1.98</v>
      </c>
      <c r="T883" s="8"/>
      <c r="U883" s="8"/>
      <c r="V883" s="8"/>
      <c r="W883" s="8">
        <v>10.919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>
        <v>10.96</v>
      </c>
      <c r="AN883" s="8"/>
      <c r="AO883" s="8"/>
      <c r="AP883" s="11"/>
      <c r="AQ883" s="8"/>
      <c r="AR883" s="8"/>
      <c r="AS883" s="8">
        <v>27.463000000000001</v>
      </c>
      <c r="AT883" s="8">
        <v>538.28</v>
      </c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>
        <v>39.4</v>
      </c>
      <c r="BH883" s="9">
        <f t="shared" si="117"/>
        <v>1094.9000000000001</v>
      </c>
      <c r="BI883" s="9">
        <f t="shared" si="118"/>
        <v>6.57</v>
      </c>
      <c r="BJ883" s="9">
        <f t="shared" si="119"/>
        <v>1.98</v>
      </c>
      <c r="BK883" s="9">
        <f t="shared" si="120"/>
        <v>10.919</v>
      </c>
      <c r="BL883" s="9">
        <f t="shared" si="121"/>
        <v>0</v>
      </c>
      <c r="BM883" s="9">
        <f t="shared" si="122"/>
        <v>38.423000000000002</v>
      </c>
      <c r="BN883" s="9">
        <f t="shared" si="123"/>
        <v>538.28</v>
      </c>
      <c r="BO883" s="9">
        <f t="shared" si="124"/>
        <v>0</v>
      </c>
      <c r="BP883" s="9">
        <f t="shared" si="125"/>
        <v>0</v>
      </c>
    </row>
    <row r="884" spans="1:68">
      <c r="A884" s="6">
        <v>44719</v>
      </c>
      <c r="B884" s="7">
        <v>3602</v>
      </c>
      <c r="C884" s="8">
        <v>323.83999999999997</v>
      </c>
      <c r="D884" s="8"/>
      <c r="E884" s="8"/>
      <c r="F884" s="8"/>
      <c r="G884" s="8">
        <v>485.99</v>
      </c>
      <c r="H884" s="8"/>
      <c r="I884" s="8"/>
      <c r="J884" s="8"/>
      <c r="K884" s="8"/>
      <c r="L884" s="8"/>
      <c r="M884" s="8">
        <v>0.81</v>
      </c>
      <c r="N884" s="8"/>
      <c r="O884" s="8"/>
      <c r="P884" s="8"/>
      <c r="Q884" s="11"/>
      <c r="R884" s="11"/>
      <c r="S884" s="8">
        <v>4.33</v>
      </c>
      <c r="T884" s="8"/>
      <c r="U884" s="8">
        <v>2.6</v>
      </c>
      <c r="V884" s="8">
        <v>7.9619999999999997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11"/>
      <c r="AQ884" s="8"/>
      <c r="AR884" s="8"/>
      <c r="AS884" s="8"/>
      <c r="AT884" s="8">
        <v>338.4</v>
      </c>
      <c r="AU884" s="8"/>
      <c r="AV884" s="8"/>
      <c r="AW884" s="8">
        <v>20.98</v>
      </c>
      <c r="AX884" s="8"/>
      <c r="AY884" s="8"/>
      <c r="AZ884" s="8"/>
      <c r="BA884" s="8"/>
      <c r="BB884" s="8"/>
      <c r="BC884" s="8"/>
      <c r="BD884" s="8"/>
      <c r="BE884" s="8"/>
      <c r="BF884" s="8">
        <v>26</v>
      </c>
      <c r="BG884" s="8">
        <v>25.25</v>
      </c>
      <c r="BH884" s="9">
        <f t="shared" si="117"/>
        <v>809.82999999999993</v>
      </c>
      <c r="BI884" s="9">
        <f t="shared" si="118"/>
        <v>0.81</v>
      </c>
      <c r="BJ884" s="9">
        <f t="shared" si="119"/>
        <v>4.33</v>
      </c>
      <c r="BK884" s="9">
        <f t="shared" si="120"/>
        <v>10.561999999999999</v>
      </c>
      <c r="BL884" s="9">
        <f t="shared" si="121"/>
        <v>0</v>
      </c>
      <c r="BM884" s="9">
        <f t="shared" si="122"/>
        <v>0</v>
      </c>
      <c r="BN884" s="9">
        <f t="shared" si="123"/>
        <v>338.4</v>
      </c>
      <c r="BO884" s="9">
        <f t="shared" si="124"/>
        <v>20.98</v>
      </c>
      <c r="BP884" s="9">
        <f t="shared" si="125"/>
        <v>26</v>
      </c>
    </row>
    <row r="885" spans="1:68">
      <c r="A885" s="6">
        <v>44719</v>
      </c>
      <c r="B885" s="7">
        <v>3029</v>
      </c>
      <c r="C885" s="8"/>
      <c r="D885" s="8">
        <v>660.97</v>
      </c>
      <c r="E885" s="8"/>
      <c r="F885" s="8">
        <v>466.96</v>
      </c>
      <c r="G885" s="8"/>
      <c r="H885" s="8"/>
      <c r="I885" s="8">
        <v>2760.92</v>
      </c>
      <c r="J885" s="8"/>
      <c r="K885" s="8"/>
      <c r="L885" s="8"/>
      <c r="M885" s="8"/>
      <c r="N885" s="8">
        <v>29.21</v>
      </c>
      <c r="O885" s="8"/>
      <c r="P885" s="8"/>
      <c r="Q885" s="11"/>
      <c r="R885" s="11"/>
      <c r="S885" s="8">
        <v>2.33</v>
      </c>
      <c r="T885" s="8"/>
      <c r="U885" s="8"/>
      <c r="V885" s="8"/>
      <c r="W885" s="8">
        <v>39.494999999999997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>
        <v>13.62</v>
      </c>
      <c r="AN885" s="8">
        <v>19.773</v>
      </c>
      <c r="AO885" s="8"/>
      <c r="AP885" s="11"/>
      <c r="AQ885" s="8"/>
      <c r="AR885" s="8">
        <v>117.319</v>
      </c>
      <c r="AS885" s="8"/>
      <c r="AT885" s="8">
        <v>1476.61</v>
      </c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>
        <v>103.33</v>
      </c>
      <c r="BH885" s="9">
        <f t="shared" si="117"/>
        <v>3888.8500000000004</v>
      </c>
      <c r="BI885" s="9">
        <f t="shared" si="118"/>
        <v>29.21</v>
      </c>
      <c r="BJ885" s="9">
        <f t="shared" si="119"/>
        <v>2.33</v>
      </c>
      <c r="BK885" s="9">
        <f t="shared" si="120"/>
        <v>39.494999999999997</v>
      </c>
      <c r="BL885" s="9">
        <f t="shared" si="121"/>
        <v>0</v>
      </c>
      <c r="BM885" s="9">
        <f t="shared" si="122"/>
        <v>150.71199999999999</v>
      </c>
      <c r="BN885" s="9">
        <f t="shared" si="123"/>
        <v>1476.61</v>
      </c>
      <c r="BO885" s="9">
        <f t="shared" si="124"/>
        <v>0</v>
      </c>
      <c r="BP885" s="9">
        <f t="shared" si="125"/>
        <v>0</v>
      </c>
    </row>
    <row r="886" spans="1:68">
      <c r="A886" s="6">
        <v>44719</v>
      </c>
      <c r="B886" s="7">
        <v>3081</v>
      </c>
      <c r="C886" s="8"/>
      <c r="D886" s="8">
        <f>207.1+382.88</f>
        <v>589.98</v>
      </c>
      <c r="E886" s="8"/>
      <c r="F886" s="8">
        <f>233.71+431.21</f>
        <v>664.92</v>
      </c>
      <c r="G886" s="8"/>
      <c r="H886" s="8"/>
      <c r="I886" s="8">
        <f>1574.65+852.71</f>
        <v>2427.36</v>
      </c>
      <c r="J886" s="8"/>
      <c r="K886" s="8"/>
      <c r="L886" s="8"/>
      <c r="M886" s="8"/>
      <c r="N886" s="8">
        <f>17.52+9.48</f>
        <v>27</v>
      </c>
      <c r="O886" s="8"/>
      <c r="P886" s="8">
        <v>14.977</v>
      </c>
      <c r="Q886" s="11"/>
      <c r="R886" s="11"/>
      <c r="S886" s="8">
        <f>0.91+1.68</f>
        <v>2.59</v>
      </c>
      <c r="T886" s="8">
        <f>12.99+24</f>
        <v>36.99</v>
      </c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11"/>
      <c r="AQ886" s="8">
        <v>36.417999999999999</v>
      </c>
      <c r="AR886" s="8">
        <v>132.12899999999999</v>
      </c>
      <c r="AS886" s="8"/>
      <c r="AT886" s="8">
        <f>406.4+750.06</f>
        <v>1156.46</v>
      </c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>
        <f>49.7+26.91</f>
        <v>76.61</v>
      </c>
      <c r="BH886" s="9">
        <f t="shared" si="117"/>
        <v>3682.26</v>
      </c>
      <c r="BI886" s="9">
        <f t="shared" si="118"/>
        <v>41.977000000000004</v>
      </c>
      <c r="BJ886" s="9">
        <f t="shared" si="119"/>
        <v>2.59</v>
      </c>
      <c r="BK886" s="9">
        <f t="shared" si="120"/>
        <v>36.99</v>
      </c>
      <c r="BL886" s="9">
        <f t="shared" si="121"/>
        <v>0</v>
      </c>
      <c r="BM886" s="9">
        <f t="shared" si="122"/>
        <v>168.547</v>
      </c>
      <c r="BN886" s="9">
        <f t="shared" si="123"/>
        <v>1156.46</v>
      </c>
      <c r="BO886" s="9">
        <f t="shared" si="124"/>
        <v>0</v>
      </c>
      <c r="BP886" s="9">
        <f t="shared" si="125"/>
        <v>0</v>
      </c>
    </row>
    <row r="887" spans="1:68">
      <c r="A887" s="6">
        <v>44719</v>
      </c>
      <c r="B887" s="7">
        <v>3141</v>
      </c>
      <c r="C887" s="8">
        <v>2446.56</v>
      </c>
      <c r="D887" s="8">
        <v>431.19</v>
      </c>
      <c r="E887" s="8"/>
      <c r="F887" s="8"/>
      <c r="G887" s="8"/>
      <c r="H887" s="8"/>
      <c r="I887" s="8"/>
      <c r="J887" s="8"/>
      <c r="K887" s="8"/>
      <c r="L887" s="8"/>
      <c r="M887" s="8">
        <v>8.35</v>
      </c>
      <c r="N887" s="8"/>
      <c r="O887" s="8"/>
      <c r="P887" s="8"/>
      <c r="Q887" s="11"/>
      <c r="R887" s="11"/>
      <c r="S887" s="8">
        <v>13.56</v>
      </c>
      <c r="T887" s="8">
        <v>21.64</v>
      </c>
      <c r="U887" s="8">
        <v>21.64</v>
      </c>
      <c r="V887" s="8"/>
      <c r="W887" s="8"/>
      <c r="X887" s="8"/>
      <c r="Y887" s="8"/>
      <c r="Z887" s="8"/>
      <c r="AA887" s="8"/>
      <c r="AB887" s="8"/>
      <c r="AC887" s="8">
        <v>11.54</v>
      </c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11"/>
      <c r="AQ887" s="8"/>
      <c r="AR887" s="8"/>
      <c r="AS887" s="8"/>
      <c r="AT887" s="8">
        <v>1900.94</v>
      </c>
      <c r="AU887" s="8"/>
      <c r="AV887" s="8"/>
      <c r="AW887" s="8"/>
      <c r="AX887" s="8"/>
      <c r="AY887" s="8"/>
      <c r="AZ887" s="8"/>
      <c r="BA887" s="8">
        <v>66.05</v>
      </c>
      <c r="BB887" s="8"/>
      <c r="BC887" s="8"/>
      <c r="BD887" s="8"/>
      <c r="BE887" s="8"/>
      <c r="BF887" s="8">
        <v>201.72</v>
      </c>
      <c r="BG887" s="8">
        <v>150.34</v>
      </c>
      <c r="BH887" s="9">
        <f t="shared" si="117"/>
        <v>2877.75</v>
      </c>
      <c r="BI887" s="9">
        <f t="shared" si="118"/>
        <v>8.35</v>
      </c>
      <c r="BJ887" s="9">
        <f t="shared" si="119"/>
        <v>13.56</v>
      </c>
      <c r="BK887" s="9">
        <f t="shared" si="120"/>
        <v>43.28</v>
      </c>
      <c r="BL887" s="9">
        <f t="shared" si="121"/>
        <v>0</v>
      </c>
      <c r="BM887" s="9">
        <f t="shared" si="122"/>
        <v>11.54</v>
      </c>
      <c r="BN887" s="9">
        <f t="shared" si="123"/>
        <v>1900.94</v>
      </c>
      <c r="BO887" s="9">
        <f t="shared" si="124"/>
        <v>66.05</v>
      </c>
      <c r="BP887" s="9">
        <f t="shared" si="125"/>
        <v>201.72</v>
      </c>
    </row>
    <row r="888" spans="1:68">
      <c r="A888" s="6">
        <v>44719</v>
      </c>
      <c r="B888" s="7">
        <v>3113</v>
      </c>
      <c r="C888" s="8">
        <v>3008.18</v>
      </c>
      <c r="D888" s="8"/>
      <c r="E888" s="8"/>
      <c r="F888" s="8"/>
      <c r="G888" s="8"/>
      <c r="H888" s="8"/>
      <c r="I888" s="8"/>
      <c r="J888" s="8"/>
      <c r="K888" s="8"/>
      <c r="L888" s="8"/>
      <c r="M888" s="8">
        <v>5.66</v>
      </c>
      <c r="N888" s="8"/>
      <c r="O888" s="8"/>
      <c r="P888" s="8"/>
      <c r="Q888" s="11"/>
      <c r="R888" s="11"/>
      <c r="S888" s="8">
        <v>9.0399999999999991</v>
      </c>
      <c r="T888" s="8">
        <v>29.95</v>
      </c>
      <c r="U888" s="8"/>
      <c r="V888" s="8"/>
      <c r="W888" s="8"/>
      <c r="X888" s="8"/>
      <c r="Y888" s="8"/>
      <c r="Z888" s="8"/>
      <c r="AA888" s="8"/>
      <c r="AB888" s="8"/>
      <c r="AC888" s="8">
        <v>1.03</v>
      </c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11"/>
      <c r="AQ888" s="8"/>
      <c r="AR888" s="8"/>
      <c r="AS888" s="8"/>
      <c r="AT888" s="8">
        <v>1256.6300000000001</v>
      </c>
      <c r="AU888" s="8"/>
      <c r="AV888" s="8">
        <v>102.46</v>
      </c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>
        <v>90.72</v>
      </c>
      <c r="BH888" s="9">
        <f t="shared" si="117"/>
        <v>3008.18</v>
      </c>
      <c r="BI888" s="9">
        <f t="shared" si="118"/>
        <v>5.66</v>
      </c>
      <c r="BJ888" s="9">
        <f t="shared" si="119"/>
        <v>9.0399999999999991</v>
      </c>
      <c r="BK888" s="9">
        <f t="shared" si="120"/>
        <v>29.95</v>
      </c>
      <c r="BL888" s="9">
        <f t="shared" si="121"/>
        <v>0</v>
      </c>
      <c r="BM888" s="9">
        <f t="shared" si="122"/>
        <v>1.03</v>
      </c>
      <c r="BN888" s="9">
        <f t="shared" si="123"/>
        <v>1256.6300000000001</v>
      </c>
      <c r="BO888" s="9">
        <f t="shared" si="124"/>
        <v>102.46</v>
      </c>
      <c r="BP888" s="9">
        <f t="shared" si="125"/>
        <v>0</v>
      </c>
    </row>
    <row r="889" spans="1:68">
      <c r="A889" s="6">
        <v>44719</v>
      </c>
      <c r="B889" s="7">
        <v>3106</v>
      </c>
      <c r="C889" s="8">
        <v>4127.82</v>
      </c>
      <c r="D889" s="8"/>
      <c r="E889" s="8"/>
      <c r="F889" s="8"/>
      <c r="G889" s="8"/>
      <c r="H889" s="8"/>
      <c r="I889" s="8"/>
      <c r="J889" s="8"/>
      <c r="K889" s="8"/>
      <c r="L889" s="8"/>
      <c r="M889" s="8">
        <v>11.18</v>
      </c>
      <c r="N889" s="8"/>
      <c r="O889" s="8"/>
      <c r="P889" s="8"/>
      <c r="Q889" s="11"/>
      <c r="R889" s="11"/>
      <c r="S889" s="8">
        <v>12.43</v>
      </c>
      <c r="T889" s="8">
        <v>52.51</v>
      </c>
      <c r="U889" s="8"/>
      <c r="V889" s="8"/>
      <c r="W889" s="8"/>
      <c r="X889" s="8"/>
      <c r="Y889" s="8"/>
      <c r="Z889" s="8"/>
      <c r="AA889" s="8"/>
      <c r="AB889" s="8"/>
      <c r="AC889" s="8">
        <v>10.34</v>
      </c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11"/>
      <c r="AQ889" s="8"/>
      <c r="AR889" s="8"/>
      <c r="AS889" s="8"/>
      <c r="AT889" s="8">
        <v>2368.23</v>
      </c>
      <c r="AU889" s="8"/>
      <c r="AV889" s="8"/>
      <c r="AW889" s="8"/>
      <c r="AX889" s="8">
        <v>5.17</v>
      </c>
      <c r="AY889" s="8"/>
      <c r="AZ889" s="8"/>
      <c r="BA889" s="8"/>
      <c r="BB889" s="8"/>
      <c r="BC889" s="8"/>
      <c r="BD889" s="8"/>
      <c r="BE889" s="8"/>
      <c r="BF889" s="8"/>
      <c r="BG889" s="8">
        <v>178.62</v>
      </c>
      <c r="BH889" s="9">
        <f t="shared" si="117"/>
        <v>4127.82</v>
      </c>
      <c r="BI889" s="9">
        <f t="shared" si="118"/>
        <v>11.18</v>
      </c>
      <c r="BJ889" s="9">
        <f t="shared" si="119"/>
        <v>12.43</v>
      </c>
      <c r="BK889" s="9">
        <f t="shared" si="120"/>
        <v>52.51</v>
      </c>
      <c r="BL889" s="9">
        <f t="shared" si="121"/>
        <v>0</v>
      </c>
      <c r="BM889" s="9">
        <f t="shared" si="122"/>
        <v>10.34</v>
      </c>
      <c r="BN889" s="9">
        <f t="shared" si="123"/>
        <v>2368.23</v>
      </c>
      <c r="BO889" s="9">
        <f t="shared" si="124"/>
        <v>5.17</v>
      </c>
      <c r="BP889" s="9">
        <f t="shared" si="125"/>
        <v>0</v>
      </c>
    </row>
    <row r="890" spans="1:68">
      <c r="A890" s="6">
        <v>44719</v>
      </c>
      <c r="B890" s="7">
        <v>3134</v>
      </c>
      <c r="C890" s="8">
        <v>1043.74</v>
      </c>
      <c r="D890" s="8">
        <v>147.27000000000001</v>
      </c>
      <c r="E890" s="8"/>
      <c r="F890" s="8"/>
      <c r="G890" s="8"/>
      <c r="H890" s="8">
        <v>493.15</v>
      </c>
      <c r="I890" s="8"/>
      <c r="J890" s="8"/>
      <c r="K890" s="8"/>
      <c r="L890" s="8"/>
      <c r="M890" s="8">
        <v>3.36</v>
      </c>
      <c r="N890" s="8"/>
      <c r="O890" s="8"/>
      <c r="P890" s="8"/>
      <c r="Q890" s="11"/>
      <c r="R890" s="11"/>
      <c r="S890" s="8">
        <v>6.74</v>
      </c>
      <c r="T890" s="8">
        <v>10.25</v>
      </c>
      <c r="U890" s="8">
        <v>8.7799999999999994</v>
      </c>
      <c r="V890" s="8"/>
      <c r="W890" s="8"/>
      <c r="X890" s="8"/>
      <c r="Y890" s="8"/>
      <c r="Z890" s="8"/>
      <c r="AA890" s="8"/>
      <c r="AB890" s="8"/>
      <c r="AC890" s="8">
        <v>5.85</v>
      </c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11"/>
      <c r="AQ890" s="8"/>
      <c r="AR890" s="8"/>
      <c r="AS890" s="8"/>
      <c r="AT890" s="8">
        <v>1032.08</v>
      </c>
      <c r="AU890" s="8"/>
      <c r="AV890" s="8"/>
      <c r="AW890" s="8"/>
      <c r="AX890" s="8"/>
      <c r="AY890" s="8">
        <v>14.891</v>
      </c>
      <c r="AZ890" s="8"/>
      <c r="BA890" s="8"/>
      <c r="BB890" s="8"/>
      <c r="BC890" s="8"/>
      <c r="BD890" s="8"/>
      <c r="BE890" s="8"/>
      <c r="BF890" s="8">
        <v>65.89</v>
      </c>
      <c r="BG890" s="8">
        <v>77.63</v>
      </c>
      <c r="BH890" s="9">
        <f t="shared" si="117"/>
        <v>1684.1599999999999</v>
      </c>
      <c r="BI890" s="9">
        <f t="shared" si="118"/>
        <v>3.36</v>
      </c>
      <c r="BJ890" s="9">
        <f t="shared" si="119"/>
        <v>6.74</v>
      </c>
      <c r="BK890" s="9">
        <f t="shared" si="120"/>
        <v>19.03</v>
      </c>
      <c r="BL890" s="9">
        <f t="shared" si="121"/>
        <v>0</v>
      </c>
      <c r="BM890" s="9">
        <f t="shared" si="122"/>
        <v>5.85</v>
      </c>
      <c r="BN890" s="9">
        <f t="shared" si="123"/>
        <v>1032.08</v>
      </c>
      <c r="BO890" s="9">
        <f t="shared" si="124"/>
        <v>14.891</v>
      </c>
      <c r="BP890" s="9">
        <f t="shared" si="125"/>
        <v>65.89</v>
      </c>
    </row>
    <row r="891" spans="1:68">
      <c r="A891" s="6">
        <v>44720</v>
      </c>
      <c r="B891" s="7">
        <v>3200</v>
      </c>
      <c r="C891" s="8">
        <v>2256.08</v>
      </c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>
        <v>5.64</v>
      </c>
      <c r="P891" s="8"/>
      <c r="Q891" s="11"/>
      <c r="R891" s="11"/>
      <c r="S891" s="8">
        <v>8.8000000000000007</v>
      </c>
      <c r="T891" s="8"/>
      <c r="U891" s="8">
        <v>33.880000000000003</v>
      </c>
      <c r="V891" s="8"/>
      <c r="W891" s="8"/>
      <c r="X891" s="8"/>
      <c r="Y891" s="8"/>
      <c r="Z891" s="8">
        <v>474.48</v>
      </c>
      <c r="AA891" s="8"/>
      <c r="AB891" s="8"/>
      <c r="AC891" s="8"/>
      <c r="AD891" s="8"/>
      <c r="AE891" s="8"/>
      <c r="AF891" s="8">
        <v>112.79</v>
      </c>
      <c r="AG891" s="8"/>
      <c r="AH891" s="8"/>
      <c r="AI891" s="8"/>
      <c r="AJ891" s="8"/>
      <c r="AK891" s="8"/>
      <c r="AL891" s="8"/>
      <c r="AM891" s="8"/>
      <c r="AN891" s="8"/>
      <c r="AO891" s="8"/>
      <c r="AP891" s="11"/>
      <c r="AQ891" s="8">
        <v>34.463999999999999</v>
      </c>
      <c r="AR891" s="8"/>
      <c r="AS891" s="8"/>
      <c r="AT891" s="8">
        <v>1546.96</v>
      </c>
      <c r="AU891" s="8"/>
      <c r="AV891" s="8"/>
      <c r="AW891" s="8">
        <v>6.47</v>
      </c>
      <c r="AX891" s="8"/>
      <c r="AY891" s="8"/>
      <c r="AZ891" s="8"/>
      <c r="BA891" s="8"/>
      <c r="BB891" s="8"/>
      <c r="BC891" s="8"/>
      <c r="BD891" s="8"/>
      <c r="BE891" s="8"/>
      <c r="BF891" s="8">
        <v>108.36</v>
      </c>
      <c r="BG891" s="8">
        <v>111.87</v>
      </c>
      <c r="BH891" s="9">
        <f t="shared" si="117"/>
        <v>2256.08</v>
      </c>
      <c r="BI891" s="9">
        <f t="shared" si="118"/>
        <v>5.64</v>
      </c>
      <c r="BJ891" s="9">
        <f t="shared" si="119"/>
        <v>8.8000000000000007</v>
      </c>
      <c r="BK891" s="9">
        <f t="shared" si="120"/>
        <v>33.880000000000003</v>
      </c>
      <c r="BL891" s="9">
        <f t="shared" si="121"/>
        <v>474.48</v>
      </c>
      <c r="BM891" s="9">
        <f t="shared" si="122"/>
        <v>147.25400000000002</v>
      </c>
      <c r="BN891" s="9">
        <f t="shared" si="123"/>
        <v>1546.96</v>
      </c>
      <c r="BO891" s="9">
        <f t="shared" si="124"/>
        <v>6.47</v>
      </c>
      <c r="BP891" s="9">
        <f t="shared" si="125"/>
        <v>108.36</v>
      </c>
    </row>
    <row r="892" spans="1:68">
      <c r="A892" s="6">
        <v>44720</v>
      </c>
      <c r="B892" s="7">
        <v>3083</v>
      </c>
      <c r="C892" s="8"/>
      <c r="D892" s="8">
        <v>1076.3399999999999</v>
      </c>
      <c r="E892" s="8"/>
      <c r="F892" s="8"/>
      <c r="G892" s="8"/>
      <c r="H892" s="8"/>
      <c r="I892" s="8">
        <v>2510.4299999999998</v>
      </c>
      <c r="J892" s="8"/>
      <c r="K892" s="8"/>
      <c r="L892" s="8"/>
      <c r="M892" s="8"/>
      <c r="N892" s="8">
        <v>24.75</v>
      </c>
      <c r="O892" s="8"/>
      <c r="P892" s="8"/>
      <c r="Q892" s="11"/>
      <c r="R892" s="11"/>
      <c r="S892" s="8">
        <v>2.5</v>
      </c>
      <c r="T892" s="8">
        <v>28.66</v>
      </c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>
        <v>14.31</v>
      </c>
      <c r="AN892" s="8">
        <v>50.284999999999997</v>
      </c>
      <c r="AO892" s="8"/>
      <c r="AP892" s="11"/>
      <c r="AQ892" s="8"/>
      <c r="AR892" s="8">
        <v>90.906999999999996</v>
      </c>
      <c r="AS892" s="8"/>
      <c r="AT892" s="8">
        <v>1627.21</v>
      </c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>
        <v>128.19</v>
      </c>
      <c r="BH892" s="9">
        <f t="shared" si="117"/>
        <v>3586.7699999999995</v>
      </c>
      <c r="BI892" s="9">
        <f t="shared" si="118"/>
        <v>24.75</v>
      </c>
      <c r="BJ892" s="9">
        <f t="shared" si="119"/>
        <v>2.5</v>
      </c>
      <c r="BK892" s="9">
        <f t="shared" si="120"/>
        <v>28.66</v>
      </c>
      <c r="BL892" s="9">
        <f t="shared" si="121"/>
        <v>0</v>
      </c>
      <c r="BM892" s="9">
        <f t="shared" si="122"/>
        <v>155.50200000000001</v>
      </c>
      <c r="BN892" s="9">
        <f t="shared" si="123"/>
        <v>1627.21</v>
      </c>
      <c r="BO892" s="9">
        <f t="shared" si="124"/>
        <v>0</v>
      </c>
      <c r="BP892" s="9">
        <f t="shared" si="125"/>
        <v>0</v>
      </c>
    </row>
    <row r="893" spans="1:68">
      <c r="A893" s="6">
        <v>44720</v>
      </c>
      <c r="B893" s="7">
        <v>3134</v>
      </c>
      <c r="C893" s="8">
        <v>1068.81</v>
      </c>
      <c r="D893" s="8">
        <v>150.25</v>
      </c>
      <c r="E893" s="8"/>
      <c r="F893" s="8"/>
      <c r="G893" s="8"/>
      <c r="H893" s="8">
        <v>503.88</v>
      </c>
      <c r="I893" s="8"/>
      <c r="J893" s="8"/>
      <c r="K893" s="8"/>
      <c r="L893" s="8"/>
      <c r="M893" s="8">
        <v>3.48</v>
      </c>
      <c r="N893" s="8"/>
      <c r="O893" s="8"/>
      <c r="P893" s="8"/>
      <c r="Q893" s="11"/>
      <c r="R893" s="11"/>
      <c r="S893" s="8">
        <v>6.94</v>
      </c>
      <c r="T893" s="8">
        <v>10.56</v>
      </c>
      <c r="U893" s="8">
        <v>9.0500000000000007</v>
      </c>
      <c r="V893" s="8"/>
      <c r="W893" s="8"/>
      <c r="X893" s="8"/>
      <c r="Y893" s="8"/>
      <c r="Z893" s="8"/>
      <c r="AA893" s="8"/>
      <c r="AB893" s="8"/>
      <c r="AC893" s="8">
        <v>6.04</v>
      </c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11"/>
      <c r="AQ893" s="8"/>
      <c r="AR893" s="8"/>
      <c r="AS893" s="8"/>
      <c r="AT893" s="8">
        <v>1062.07</v>
      </c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>
        <v>67.77</v>
      </c>
      <c r="BG893" s="8">
        <v>79.77</v>
      </c>
      <c r="BH893" s="9">
        <f t="shared" si="117"/>
        <v>1722.94</v>
      </c>
      <c r="BI893" s="9">
        <f t="shared" si="118"/>
        <v>3.48</v>
      </c>
      <c r="BJ893" s="9">
        <f t="shared" si="119"/>
        <v>6.94</v>
      </c>
      <c r="BK893" s="9">
        <f t="shared" si="120"/>
        <v>19.61</v>
      </c>
      <c r="BL893" s="9">
        <f t="shared" si="121"/>
        <v>0</v>
      </c>
      <c r="BM893" s="9">
        <f t="shared" si="122"/>
        <v>6.04</v>
      </c>
      <c r="BN893" s="9">
        <f t="shared" si="123"/>
        <v>1062.07</v>
      </c>
      <c r="BO893" s="9">
        <f t="shared" si="124"/>
        <v>0</v>
      </c>
      <c r="BP893" s="9">
        <f t="shared" si="125"/>
        <v>67.77</v>
      </c>
    </row>
    <row r="894" spans="1:68">
      <c r="A894" s="6">
        <v>44720</v>
      </c>
      <c r="B894" s="7">
        <v>3106</v>
      </c>
      <c r="C894" s="8">
        <v>4112.59</v>
      </c>
      <c r="D894" s="8"/>
      <c r="E894" s="8"/>
      <c r="F894" s="8"/>
      <c r="G894" s="8"/>
      <c r="H894" s="8"/>
      <c r="I894" s="8"/>
      <c r="J894" s="8"/>
      <c r="K894" s="8"/>
      <c r="L894" s="8"/>
      <c r="M894" s="8">
        <v>10.78</v>
      </c>
      <c r="N894" s="8"/>
      <c r="O894" s="8"/>
      <c r="P894" s="8"/>
      <c r="Q894" s="11"/>
      <c r="R894" s="11"/>
      <c r="S894" s="8">
        <v>12.38</v>
      </c>
      <c r="T894" s="8">
        <v>52.24</v>
      </c>
      <c r="U894" s="8"/>
      <c r="V894" s="8"/>
      <c r="W894" s="8"/>
      <c r="X894" s="8"/>
      <c r="Y894" s="8"/>
      <c r="Z894" s="8"/>
      <c r="AA894" s="8"/>
      <c r="AB894" s="8"/>
      <c r="AC894" s="8">
        <v>10.3</v>
      </c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11"/>
      <c r="AQ894" s="8"/>
      <c r="AR894" s="8"/>
      <c r="AS894" s="8"/>
      <c r="AT894" s="8">
        <v>2355.27</v>
      </c>
      <c r="AU894" s="8"/>
      <c r="AV894" s="8"/>
      <c r="AW894" s="8"/>
      <c r="AX894" s="8">
        <v>5.15</v>
      </c>
      <c r="AY894" s="8"/>
      <c r="AZ894" s="8"/>
      <c r="BA894" s="8"/>
      <c r="BB894" s="8"/>
      <c r="BC894" s="8"/>
      <c r="BD894" s="8"/>
      <c r="BE894" s="8"/>
      <c r="BF894" s="8"/>
      <c r="BG894" s="8">
        <v>177.36</v>
      </c>
      <c r="BH894" s="9">
        <f t="shared" si="117"/>
        <v>4112.59</v>
      </c>
      <c r="BI894" s="9">
        <f t="shared" si="118"/>
        <v>10.78</v>
      </c>
      <c r="BJ894" s="9">
        <f t="shared" si="119"/>
        <v>12.38</v>
      </c>
      <c r="BK894" s="9">
        <f t="shared" si="120"/>
        <v>52.24</v>
      </c>
      <c r="BL894" s="9">
        <f t="shared" si="121"/>
        <v>0</v>
      </c>
      <c r="BM894" s="9">
        <f t="shared" si="122"/>
        <v>10.3</v>
      </c>
      <c r="BN894" s="9">
        <f t="shared" si="123"/>
        <v>2355.27</v>
      </c>
      <c r="BO894" s="9">
        <f t="shared" si="124"/>
        <v>5.15</v>
      </c>
      <c r="BP894" s="9">
        <f t="shared" si="125"/>
        <v>0</v>
      </c>
    </row>
    <row r="895" spans="1:68">
      <c r="A895" s="6">
        <v>44720</v>
      </c>
      <c r="B895" s="7">
        <v>3801</v>
      </c>
      <c r="C895" s="8">
        <v>519.72</v>
      </c>
      <c r="D895" s="8"/>
      <c r="E895" s="8"/>
      <c r="F895" s="8"/>
      <c r="G895" s="8"/>
      <c r="H895" s="8"/>
      <c r="I895" s="8"/>
      <c r="J895" s="8"/>
      <c r="K895" s="8"/>
      <c r="L895" s="8">
        <v>423.017</v>
      </c>
      <c r="M895" s="8"/>
      <c r="N895" s="8">
        <v>1.05</v>
      </c>
      <c r="O895" s="8"/>
      <c r="P895" s="8"/>
      <c r="Q895" s="11"/>
      <c r="R895" s="11"/>
      <c r="S895" s="8">
        <v>4.17</v>
      </c>
      <c r="T895" s="8"/>
      <c r="U895" s="8">
        <v>4.54</v>
      </c>
      <c r="V895" s="8"/>
      <c r="W895" s="8"/>
      <c r="X895" s="8"/>
      <c r="Y895" s="8"/>
      <c r="Z895" s="8">
        <v>75.7</v>
      </c>
      <c r="AA895" s="8">
        <v>30.26</v>
      </c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11"/>
      <c r="AQ895" s="8">
        <v>2.681</v>
      </c>
      <c r="AR895" s="8"/>
      <c r="AS895" s="8"/>
      <c r="AT895" s="8">
        <v>369.02</v>
      </c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>
        <v>28.11</v>
      </c>
      <c r="BH895" s="9">
        <f t="shared" si="117"/>
        <v>942.73700000000008</v>
      </c>
      <c r="BI895" s="9">
        <f t="shared" si="118"/>
        <v>1.05</v>
      </c>
      <c r="BJ895" s="9">
        <f t="shared" si="119"/>
        <v>4.17</v>
      </c>
      <c r="BK895" s="9">
        <f t="shared" si="120"/>
        <v>4.54</v>
      </c>
      <c r="BL895" s="9">
        <f t="shared" si="121"/>
        <v>105.96000000000001</v>
      </c>
      <c r="BM895" s="9">
        <f t="shared" si="122"/>
        <v>2.681</v>
      </c>
      <c r="BN895" s="9">
        <f t="shared" si="123"/>
        <v>369.02</v>
      </c>
      <c r="BO895" s="9">
        <f t="shared" si="124"/>
        <v>0</v>
      </c>
      <c r="BP895" s="9">
        <f t="shared" si="125"/>
        <v>0</v>
      </c>
    </row>
    <row r="896" spans="1:68">
      <c r="A896" s="6">
        <v>44720</v>
      </c>
      <c r="B896" s="7">
        <v>3704</v>
      </c>
      <c r="C896" s="8">
        <v>640.51</v>
      </c>
      <c r="D896" s="8">
        <v>990.33</v>
      </c>
      <c r="E896" s="8"/>
      <c r="F896" s="8"/>
      <c r="G896" s="8"/>
      <c r="H896" s="8"/>
      <c r="I896" s="8"/>
      <c r="J896" s="8"/>
      <c r="K896" s="8"/>
      <c r="L896" s="8"/>
      <c r="M896" s="8">
        <v>4.96</v>
      </c>
      <c r="N896" s="8"/>
      <c r="O896" s="8"/>
      <c r="P896" s="8"/>
      <c r="Q896" s="11"/>
      <c r="R896" s="11"/>
      <c r="S896" s="8">
        <v>5.78</v>
      </c>
      <c r="T896" s="8"/>
      <c r="U896" s="8">
        <v>12.39</v>
      </c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>
        <v>19.975000000000001</v>
      </c>
      <c r="AM896" s="8"/>
      <c r="AN896" s="8"/>
      <c r="AO896" s="8"/>
      <c r="AP896" s="11"/>
      <c r="AQ896" s="8"/>
      <c r="AR896" s="8"/>
      <c r="AS896" s="8"/>
      <c r="AT896" s="8">
        <v>285.87</v>
      </c>
      <c r="AU896" s="8">
        <v>142.85</v>
      </c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>
        <v>26.36</v>
      </c>
      <c r="BH896" s="9">
        <f t="shared" si="117"/>
        <v>1630.8400000000001</v>
      </c>
      <c r="BI896" s="9">
        <f t="shared" si="118"/>
        <v>4.96</v>
      </c>
      <c r="BJ896" s="9">
        <f t="shared" si="119"/>
        <v>5.78</v>
      </c>
      <c r="BK896" s="9">
        <f t="shared" si="120"/>
        <v>12.39</v>
      </c>
      <c r="BL896" s="9">
        <f t="shared" si="121"/>
        <v>0</v>
      </c>
      <c r="BM896" s="9">
        <f t="shared" si="122"/>
        <v>19.975000000000001</v>
      </c>
      <c r="BN896" s="9">
        <f t="shared" si="123"/>
        <v>428.72</v>
      </c>
      <c r="BO896" s="9">
        <f t="shared" si="124"/>
        <v>0</v>
      </c>
      <c r="BP896" s="9">
        <f t="shared" si="125"/>
        <v>0</v>
      </c>
    </row>
    <row r="897" spans="1:68">
      <c r="A897" s="6">
        <v>44720</v>
      </c>
      <c r="B897" s="7">
        <v>3100</v>
      </c>
      <c r="C897" s="8">
        <v>648.86</v>
      </c>
      <c r="D897" s="8"/>
      <c r="E897" s="8"/>
      <c r="F897" s="8"/>
      <c r="G897" s="8"/>
      <c r="H897" s="8"/>
      <c r="I897" s="8"/>
      <c r="J897" s="8"/>
      <c r="K897" s="8"/>
      <c r="L897" s="8"/>
      <c r="M897" s="8">
        <v>1.06</v>
      </c>
      <c r="N897" s="8"/>
      <c r="O897" s="8"/>
      <c r="P897" s="8"/>
      <c r="Q897" s="11"/>
      <c r="R897" s="11"/>
      <c r="S897" s="8">
        <v>3.71</v>
      </c>
      <c r="T897" s="8"/>
      <c r="U897" s="8">
        <v>10.43</v>
      </c>
      <c r="V897" s="8"/>
      <c r="W897" s="8"/>
      <c r="X897" s="8"/>
      <c r="Y897" s="8"/>
      <c r="Z897" s="8"/>
      <c r="AA897" s="8"/>
      <c r="AB897" s="8"/>
      <c r="AC897" s="8">
        <v>2.6</v>
      </c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11"/>
      <c r="AQ897" s="8"/>
      <c r="AR897" s="8"/>
      <c r="AS897" s="8"/>
      <c r="AT897" s="8">
        <v>436.37</v>
      </c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>
        <v>84.6</v>
      </c>
      <c r="BG897" s="8">
        <v>33.479999999999997</v>
      </c>
      <c r="BH897" s="9">
        <f t="shared" si="117"/>
        <v>648.86</v>
      </c>
      <c r="BI897" s="9">
        <f t="shared" si="118"/>
        <v>1.06</v>
      </c>
      <c r="BJ897" s="9">
        <f t="shared" si="119"/>
        <v>3.71</v>
      </c>
      <c r="BK897" s="9">
        <f t="shared" si="120"/>
        <v>10.43</v>
      </c>
      <c r="BL897" s="9">
        <f t="shared" si="121"/>
        <v>0</v>
      </c>
      <c r="BM897" s="9">
        <f t="shared" si="122"/>
        <v>2.6</v>
      </c>
      <c r="BN897" s="9">
        <f t="shared" si="123"/>
        <v>436.37</v>
      </c>
      <c r="BO897" s="9">
        <f t="shared" si="124"/>
        <v>0</v>
      </c>
      <c r="BP897" s="9">
        <f t="shared" si="125"/>
        <v>84.6</v>
      </c>
    </row>
    <row r="898" spans="1:68">
      <c r="A898" s="6">
        <v>44720</v>
      </c>
      <c r="B898" s="7">
        <v>3122</v>
      </c>
      <c r="C898" s="8">
        <v>2459.87</v>
      </c>
      <c r="D898" s="8"/>
      <c r="E898" s="8"/>
      <c r="F898" s="8"/>
      <c r="G898" s="8"/>
      <c r="H898" s="8"/>
      <c r="I898" s="8"/>
      <c r="J898" s="8"/>
      <c r="K898" s="8"/>
      <c r="L898" s="8"/>
      <c r="M898" s="8">
        <v>4.42</v>
      </c>
      <c r="N898" s="8">
        <v>4.43</v>
      </c>
      <c r="O898" s="8"/>
      <c r="P898" s="8"/>
      <c r="Q898" s="11"/>
      <c r="R898" s="11"/>
      <c r="S898" s="8">
        <v>9.84</v>
      </c>
      <c r="T898" s="8">
        <v>17.23</v>
      </c>
      <c r="U898" s="8">
        <v>7.4</v>
      </c>
      <c r="V898" s="8"/>
      <c r="W898" s="8"/>
      <c r="X898" s="8"/>
      <c r="Y898" s="8"/>
      <c r="Z898" s="8"/>
      <c r="AA898" s="8"/>
      <c r="AB898" s="8"/>
      <c r="AC898" s="8">
        <v>9.82</v>
      </c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11"/>
      <c r="AQ898" s="8"/>
      <c r="AR898" s="8"/>
      <c r="AS898" s="8"/>
      <c r="AT898" s="8">
        <v>1092.21</v>
      </c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>
        <v>79.92</v>
      </c>
      <c r="BH898" s="9">
        <f t="shared" si="117"/>
        <v>2459.87</v>
      </c>
      <c r="BI898" s="9">
        <f t="shared" si="118"/>
        <v>8.85</v>
      </c>
      <c r="BJ898" s="9">
        <f t="shared" si="119"/>
        <v>9.84</v>
      </c>
      <c r="BK898" s="9">
        <f t="shared" si="120"/>
        <v>24.630000000000003</v>
      </c>
      <c r="BL898" s="9">
        <f t="shared" si="121"/>
        <v>0</v>
      </c>
      <c r="BM898" s="9">
        <f t="shared" si="122"/>
        <v>9.82</v>
      </c>
      <c r="BN898" s="9">
        <f t="shared" si="123"/>
        <v>1092.21</v>
      </c>
      <c r="BO898" s="9">
        <f t="shared" si="124"/>
        <v>0</v>
      </c>
      <c r="BP898" s="9">
        <f t="shared" si="125"/>
        <v>0</v>
      </c>
    </row>
    <row r="899" spans="1:68">
      <c r="A899" s="6">
        <v>44720</v>
      </c>
      <c r="B899" s="7">
        <v>3602</v>
      </c>
      <c r="C899" s="8">
        <f>358.12+389.88</f>
        <v>748</v>
      </c>
      <c r="D899" s="8"/>
      <c r="E899" s="8"/>
      <c r="F899" s="8"/>
      <c r="G899" s="8">
        <f>536.84+584.32</f>
        <v>1121.1600000000001</v>
      </c>
      <c r="H899" s="8"/>
      <c r="I899" s="8"/>
      <c r="J899" s="8"/>
      <c r="K899" s="8"/>
      <c r="L899" s="8"/>
      <c r="M899" s="8">
        <f>0.85+0.85</f>
        <v>1.7</v>
      </c>
      <c r="N899" s="8"/>
      <c r="O899" s="8"/>
      <c r="P899" s="8"/>
      <c r="Q899" s="11"/>
      <c r="R899" s="11"/>
      <c r="S899" s="8">
        <f>4.87+5.24</f>
        <v>10.11</v>
      </c>
      <c r="T899" s="8"/>
      <c r="U899" s="8">
        <f>2.87+3.12</f>
        <v>5.99</v>
      </c>
      <c r="V899" s="8">
        <v>18.241</v>
      </c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11"/>
      <c r="AQ899" s="8"/>
      <c r="AR899" s="8"/>
      <c r="AS899" s="8"/>
      <c r="AT899" s="8">
        <f>373.85+406.11</f>
        <v>779.96</v>
      </c>
      <c r="AU899" s="8"/>
      <c r="AV899" s="8"/>
      <c r="AW899" s="8">
        <f>23.14+25.18</f>
        <v>48.32</v>
      </c>
      <c r="AX899" s="8"/>
      <c r="AY899" s="8"/>
      <c r="AZ899" s="8"/>
      <c r="BA899" s="8"/>
      <c r="BB899" s="8"/>
      <c r="BC899" s="8"/>
      <c r="BD899" s="8"/>
      <c r="BE899" s="8"/>
      <c r="BF899" s="8">
        <f>28.66+31.24</f>
        <v>59.9</v>
      </c>
      <c r="BG899" s="8">
        <f>27.87+30.58</f>
        <v>58.45</v>
      </c>
      <c r="BH899" s="9">
        <f t="shared" si="117"/>
        <v>1869.16</v>
      </c>
      <c r="BI899" s="9">
        <f t="shared" si="118"/>
        <v>1.7</v>
      </c>
      <c r="BJ899" s="9">
        <f t="shared" si="119"/>
        <v>10.11</v>
      </c>
      <c r="BK899" s="9">
        <f t="shared" si="120"/>
        <v>24.231000000000002</v>
      </c>
      <c r="BL899" s="9">
        <f t="shared" si="121"/>
        <v>0</v>
      </c>
      <c r="BM899" s="9">
        <f t="shared" si="122"/>
        <v>0</v>
      </c>
      <c r="BN899" s="9">
        <f t="shared" si="123"/>
        <v>779.96</v>
      </c>
      <c r="BO899" s="9">
        <f t="shared" si="124"/>
        <v>48.32</v>
      </c>
      <c r="BP899" s="9">
        <f t="shared" si="125"/>
        <v>59.9</v>
      </c>
    </row>
    <row r="900" spans="1:68">
      <c r="A900" s="6">
        <v>44721</v>
      </c>
      <c r="B900" s="7">
        <v>3304</v>
      </c>
      <c r="C900" s="8"/>
      <c r="D900" s="8">
        <v>848.07</v>
      </c>
      <c r="E900" s="8"/>
      <c r="F900" s="8"/>
      <c r="G900" s="8"/>
      <c r="H900" s="8"/>
      <c r="I900" s="8"/>
      <c r="J900" s="8"/>
      <c r="K900" s="8"/>
      <c r="L900" s="8"/>
      <c r="M900" s="8">
        <v>1.01</v>
      </c>
      <c r="N900" s="8"/>
      <c r="O900" s="8"/>
      <c r="P900" s="8"/>
      <c r="Q900" s="11"/>
      <c r="R900" s="11"/>
      <c r="S900" s="8">
        <v>6.02</v>
      </c>
      <c r="T900" s="8">
        <v>7.63</v>
      </c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>
        <v>8.5500000000000007</v>
      </c>
      <c r="AH900" s="8"/>
      <c r="AI900" s="8"/>
      <c r="AJ900" s="8"/>
      <c r="AK900" s="8"/>
      <c r="AL900" s="8"/>
      <c r="AM900" s="8"/>
      <c r="AN900" s="8"/>
      <c r="AO900" s="8"/>
      <c r="AP900" s="11"/>
      <c r="AQ900" s="8"/>
      <c r="AR900" s="8"/>
      <c r="AS900" s="8"/>
      <c r="AT900" s="8"/>
      <c r="AU900" s="8">
        <v>366.06</v>
      </c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>
        <v>24.96</v>
      </c>
      <c r="BH900" s="9">
        <f t="shared" ref="BH900:BH963" si="126">SUM(C900:L900)</f>
        <v>848.07</v>
      </c>
      <c r="BI900" s="9">
        <f t="shared" ref="BI900:BI963" si="127">SUM(M900:R900)</f>
        <v>1.01</v>
      </c>
      <c r="BJ900" s="9">
        <f t="shared" ref="BJ900:BJ963" si="128">SUM(S900)</f>
        <v>6.02</v>
      </c>
      <c r="BK900" s="9">
        <f t="shared" ref="BK900:BK963" si="129">SUM(T900:Y900)</f>
        <v>7.63</v>
      </c>
      <c r="BL900" s="9">
        <f t="shared" ref="BL900:BL963" si="130">SUM(Z900:AA900)</f>
        <v>0</v>
      </c>
      <c r="BM900" s="9">
        <f t="shared" ref="BM900:BM963" si="131">SUM(AB900:AS900)</f>
        <v>8.5500000000000007</v>
      </c>
      <c r="BN900" s="9">
        <f t="shared" ref="BN900:BN963" si="132">SUM(AT900:AU900)</f>
        <v>366.06</v>
      </c>
      <c r="BO900" s="9">
        <f t="shared" ref="BO900:BO963" si="133">SUM(AV900:BE900)</f>
        <v>0</v>
      </c>
      <c r="BP900" s="9">
        <f t="shared" ref="BP900:BP963" si="134">SUM(BF900)</f>
        <v>0</v>
      </c>
    </row>
    <row r="901" spans="1:68">
      <c r="A901" s="6">
        <v>44721</v>
      </c>
      <c r="B901" s="7">
        <v>3080</v>
      </c>
      <c r="C901" s="8"/>
      <c r="D901" s="8"/>
      <c r="E901" s="8"/>
      <c r="F901" s="8">
        <v>748.75</v>
      </c>
      <c r="G901" s="8"/>
      <c r="H901" s="8"/>
      <c r="I901" s="8">
        <v>1127.48</v>
      </c>
      <c r="J901" s="8"/>
      <c r="K901" s="8"/>
      <c r="L901" s="8"/>
      <c r="M901" s="8"/>
      <c r="N901" s="8">
        <v>13.33</v>
      </c>
      <c r="O901" s="8"/>
      <c r="P901" s="8">
        <v>7.7359999999999998</v>
      </c>
      <c r="Q901" s="11"/>
      <c r="R901" s="11"/>
      <c r="S901" s="8">
        <v>1.1499999999999999</v>
      </c>
      <c r="T901" s="8">
        <v>19.04</v>
      </c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>
        <v>29.263000000000002</v>
      </c>
      <c r="AJ901" s="8"/>
      <c r="AK901" s="8"/>
      <c r="AL901" s="8"/>
      <c r="AM901" s="8"/>
      <c r="AN901" s="8"/>
      <c r="AO901" s="8"/>
      <c r="AP901" s="11"/>
      <c r="AQ901" s="8">
        <v>19.475999999999999</v>
      </c>
      <c r="AR901" s="8">
        <v>66.766000000000005</v>
      </c>
      <c r="AS901" s="8"/>
      <c r="AT901" s="8">
        <v>661.94</v>
      </c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>
        <v>36.17</v>
      </c>
      <c r="BH901" s="9">
        <f t="shared" si="126"/>
        <v>1876.23</v>
      </c>
      <c r="BI901" s="9">
        <f t="shared" si="127"/>
        <v>21.065999999999999</v>
      </c>
      <c r="BJ901" s="9">
        <f t="shared" si="128"/>
        <v>1.1499999999999999</v>
      </c>
      <c r="BK901" s="9">
        <f t="shared" si="129"/>
        <v>19.04</v>
      </c>
      <c r="BL901" s="9">
        <f t="shared" si="130"/>
        <v>0</v>
      </c>
      <c r="BM901" s="9">
        <f t="shared" si="131"/>
        <v>115.50500000000001</v>
      </c>
      <c r="BN901" s="9">
        <f t="shared" si="132"/>
        <v>661.94</v>
      </c>
      <c r="BO901" s="9">
        <f t="shared" si="133"/>
        <v>0</v>
      </c>
      <c r="BP901" s="9">
        <f t="shared" si="134"/>
        <v>0</v>
      </c>
    </row>
    <row r="902" spans="1:68">
      <c r="A902" s="6">
        <v>44721</v>
      </c>
      <c r="B902" s="7">
        <v>3016</v>
      </c>
      <c r="C902" s="8"/>
      <c r="D902" s="8">
        <v>2343.27</v>
      </c>
      <c r="E902" s="8"/>
      <c r="F902" s="8"/>
      <c r="G902" s="8"/>
      <c r="H902" s="8"/>
      <c r="I902" s="8">
        <v>2163.75</v>
      </c>
      <c r="J902" s="8"/>
      <c r="K902" s="8"/>
      <c r="L902" s="8"/>
      <c r="M902" s="8"/>
      <c r="N902" s="8">
        <v>27.07</v>
      </c>
      <c r="O902" s="8"/>
      <c r="P902" s="8"/>
      <c r="Q902" s="11"/>
      <c r="R902" s="11"/>
      <c r="S902" s="8">
        <v>3.15</v>
      </c>
      <c r="T902" s="8">
        <v>45.18</v>
      </c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>
        <v>18.02</v>
      </c>
      <c r="AN902" s="8">
        <v>54.161999999999999</v>
      </c>
      <c r="AO902" s="8"/>
      <c r="AP902" s="11"/>
      <c r="AQ902" s="8"/>
      <c r="AR902" s="8">
        <v>113.687</v>
      </c>
      <c r="AS902" s="8"/>
      <c r="AT902" s="8">
        <v>1676.2</v>
      </c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>
        <v>122.57</v>
      </c>
      <c r="BH902" s="9">
        <f t="shared" si="126"/>
        <v>4507.0200000000004</v>
      </c>
      <c r="BI902" s="9">
        <f t="shared" si="127"/>
        <v>27.07</v>
      </c>
      <c r="BJ902" s="9">
        <f t="shared" si="128"/>
        <v>3.15</v>
      </c>
      <c r="BK902" s="9">
        <f t="shared" si="129"/>
        <v>45.18</v>
      </c>
      <c r="BL902" s="9">
        <f t="shared" si="130"/>
        <v>0</v>
      </c>
      <c r="BM902" s="9">
        <f t="shared" si="131"/>
        <v>185.869</v>
      </c>
      <c r="BN902" s="9">
        <f t="shared" si="132"/>
        <v>1676.2</v>
      </c>
      <c r="BO902" s="9">
        <f t="shared" si="133"/>
        <v>0</v>
      </c>
      <c r="BP902" s="9">
        <f t="shared" si="134"/>
        <v>0</v>
      </c>
    </row>
    <row r="903" spans="1:68">
      <c r="A903" s="6">
        <v>44721</v>
      </c>
      <c r="B903" s="7">
        <v>3017</v>
      </c>
      <c r="C903" s="8"/>
      <c r="D903" s="8">
        <v>482.56</v>
      </c>
      <c r="E903" s="8"/>
      <c r="F903" s="8"/>
      <c r="G903" s="8"/>
      <c r="H903" s="8"/>
      <c r="I903" s="8">
        <v>666.6</v>
      </c>
      <c r="J903" s="8"/>
      <c r="K903" s="8"/>
      <c r="L903" s="8"/>
      <c r="M903" s="8"/>
      <c r="N903" s="8">
        <v>8.0399999999999991</v>
      </c>
      <c r="O903" s="8"/>
      <c r="P903" s="8"/>
      <c r="Q903" s="11"/>
      <c r="R903" s="11"/>
      <c r="S903" s="8">
        <v>0.81</v>
      </c>
      <c r="T903" s="8"/>
      <c r="U903" s="8"/>
      <c r="V903" s="8"/>
      <c r="W903" s="8">
        <v>8.7750000000000004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>
        <v>4.63</v>
      </c>
      <c r="AN903" s="8">
        <v>11.467000000000001</v>
      </c>
      <c r="AO903" s="8"/>
      <c r="AP903" s="11"/>
      <c r="AQ903" s="8"/>
      <c r="AR903" s="8">
        <v>46.576999999999998</v>
      </c>
      <c r="AS903" s="8"/>
      <c r="AT903" s="8">
        <v>493.11</v>
      </c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>
        <v>35.770000000000003</v>
      </c>
      <c r="BH903" s="9">
        <f t="shared" si="126"/>
        <v>1149.1600000000001</v>
      </c>
      <c r="BI903" s="9">
        <f t="shared" si="127"/>
        <v>8.0399999999999991</v>
      </c>
      <c r="BJ903" s="9">
        <f t="shared" si="128"/>
        <v>0.81</v>
      </c>
      <c r="BK903" s="9">
        <f t="shared" si="129"/>
        <v>8.7750000000000004</v>
      </c>
      <c r="BL903" s="9">
        <f t="shared" si="130"/>
        <v>0</v>
      </c>
      <c r="BM903" s="9">
        <f t="shared" si="131"/>
        <v>62.673999999999999</v>
      </c>
      <c r="BN903" s="9">
        <f t="shared" si="132"/>
        <v>493.11</v>
      </c>
      <c r="BO903" s="9">
        <f t="shared" si="133"/>
        <v>0</v>
      </c>
      <c r="BP903" s="9">
        <f t="shared" si="134"/>
        <v>0</v>
      </c>
    </row>
    <row r="904" spans="1:68">
      <c r="A904" s="6">
        <v>44721</v>
      </c>
      <c r="B904" s="7">
        <v>3024</v>
      </c>
      <c r="C904" s="8"/>
      <c r="D904" s="8">
        <v>596.75</v>
      </c>
      <c r="E904" s="8"/>
      <c r="F904" s="8"/>
      <c r="G904" s="8"/>
      <c r="H904" s="8"/>
      <c r="I904" s="8">
        <v>598.28</v>
      </c>
      <c r="J904" s="8"/>
      <c r="K904" s="8"/>
      <c r="L904" s="8"/>
      <c r="M904" s="8"/>
      <c r="N904" s="8">
        <v>7.16</v>
      </c>
      <c r="O904" s="8"/>
      <c r="P904" s="8"/>
      <c r="Q904" s="11"/>
      <c r="R904" s="11"/>
      <c r="S904" s="8">
        <v>1.91</v>
      </c>
      <c r="T904" s="8"/>
      <c r="U904" s="8"/>
      <c r="V904" s="8"/>
      <c r="W904" s="8">
        <v>9.6809999999999992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>
        <v>11.94</v>
      </c>
      <c r="AN904" s="8">
        <v>8.3970000000000002</v>
      </c>
      <c r="AO904" s="8"/>
      <c r="AP904" s="11"/>
      <c r="AQ904" s="8"/>
      <c r="AR904" s="8"/>
      <c r="AS904" s="8">
        <v>39.262</v>
      </c>
      <c r="AT904" s="8">
        <v>461.94</v>
      </c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>
        <v>33.479999999999997</v>
      </c>
      <c r="BH904" s="9">
        <f t="shared" si="126"/>
        <v>1195.03</v>
      </c>
      <c r="BI904" s="9">
        <f t="shared" si="127"/>
        <v>7.16</v>
      </c>
      <c r="BJ904" s="9">
        <f t="shared" si="128"/>
        <v>1.91</v>
      </c>
      <c r="BK904" s="9">
        <f t="shared" si="129"/>
        <v>9.6809999999999992</v>
      </c>
      <c r="BL904" s="9">
        <f t="shared" si="130"/>
        <v>0</v>
      </c>
      <c r="BM904" s="9">
        <f t="shared" si="131"/>
        <v>59.599000000000004</v>
      </c>
      <c r="BN904" s="9">
        <f t="shared" si="132"/>
        <v>461.94</v>
      </c>
      <c r="BO904" s="9">
        <f t="shared" si="133"/>
        <v>0</v>
      </c>
      <c r="BP904" s="9">
        <f t="shared" si="134"/>
        <v>0</v>
      </c>
    </row>
    <row r="905" spans="1:68">
      <c r="A905" s="6">
        <v>44721</v>
      </c>
      <c r="B905" s="7">
        <v>3021</v>
      </c>
      <c r="C905" s="8"/>
      <c r="D905" s="8">
        <v>362.36</v>
      </c>
      <c r="E905" s="8"/>
      <c r="F905" s="8"/>
      <c r="G905" s="8"/>
      <c r="H905" s="8"/>
      <c r="I905" s="8">
        <v>671.29</v>
      </c>
      <c r="J905" s="8"/>
      <c r="K905" s="8"/>
      <c r="L905" s="8"/>
      <c r="M905" s="8"/>
      <c r="N905" s="8">
        <v>5.51</v>
      </c>
      <c r="O905" s="8"/>
      <c r="P905" s="8"/>
      <c r="Q905" s="11"/>
      <c r="R905" s="11"/>
      <c r="S905" s="8">
        <v>1.87</v>
      </c>
      <c r="T905" s="8"/>
      <c r="U905" s="8"/>
      <c r="V905" s="8"/>
      <c r="W905" s="8">
        <v>10.215999999999999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>
        <v>10.38</v>
      </c>
      <c r="AN905" s="8"/>
      <c r="AO905" s="8"/>
      <c r="AP905" s="11"/>
      <c r="AQ905" s="8"/>
      <c r="AR905" s="8"/>
      <c r="AS905" s="8">
        <v>26.492000000000001</v>
      </c>
      <c r="AT905" s="8">
        <v>486.95</v>
      </c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>
        <v>36.82</v>
      </c>
      <c r="BH905" s="9">
        <f t="shared" si="126"/>
        <v>1033.6500000000001</v>
      </c>
      <c r="BI905" s="9">
        <f t="shared" si="127"/>
        <v>5.51</v>
      </c>
      <c r="BJ905" s="9">
        <f t="shared" si="128"/>
        <v>1.87</v>
      </c>
      <c r="BK905" s="9">
        <f t="shared" si="129"/>
        <v>10.215999999999999</v>
      </c>
      <c r="BL905" s="9">
        <f t="shared" si="130"/>
        <v>0</v>
      </c>
      <c r="BM905" s="9">
        <f t="shared" si="131"/>
        <v>36.872</v>
      </c>
      <c r="BN905" s="9">
        <f t="shared" si="132"/>
        <v>486.95</v>
      </c>
      <c r="BO905" s="9">
        <f t="shared" si="133"/>
        <v>0</v>
      </c>
      <c r="BP905" s="9">
        <f t="shared" si="134"/>
        <v>0</v>
      </c>
    </row>
    <row r="906" spans="1:68">
      <c r="A906" s="6">
        <v>44721</v>
      </c>
      <c r="B906" s="7">
        <v>3201</v>
      </c>
      <c r="C906" s="8">
        <v>1211.02</v>
      </c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>
        <v>3.03</v>
      </c>
      <c r="P906" s="8"/>
      <c r="Q906" s="11"/>
      <c r="R906" s="11"/>
      <c r="S906" s="8">
        <v>4.62</v>
      </c>
      <c r="T906" s="8"/>
      <c r="U906" s="8">
        <v>18.260000000000002</v>
      </c>
      <c r="V906" s="8"/>
      <c r="W906" s="8"/>
      <c r="X906" s="8"/>
      <c r="Y906" s="8"/>
      <c r="Z906" s="8">
        <v>255.61</v>
      </c>
      <c r="AA906" s="8"/>
      <c r="AB906" s="8"/>
      <c r="AC906" s="8"/>
      <c r="AD906" s="8"/>
      <c r="AE906" s="8"/>
      <c r="AF906" s="8">
        <v>60.3</v>
      </c>
      <c r="AG906" s="8"/>
      <c r="AH906" s="8"/>
      <c r="AI906" s="8"/>
      <c r="AJ906" s="8"/>
      <c r="AK906" s="8"/>
      <c r="AL906" s="8"/>
      <c r="AM906" s="8"/>
      <c r="AN906" s="8"/>
      <c r="AO906" s="8"/>
      <c r="AP906" s="11"/>
      <c r="AQ906" s="8">
        <v>18.54</v>
      </c>
      <c r="AR906" s="8"/>
      <c r="AS906" s="8"/>
      <c r="AT906" s="8">
        <v>845.6</v>
      </c>
      <c r="AU906" s="8"/>
      <c r="AV906" s="8"/>
      <c r="AW906" s="8"/>
      <c r="AX906" s="8"/>
      <c r="AY906" s="8"/>
      <c r="AZ906" s="8"/>
      <c r="BA906" s="8"/>
      <c r="BB906" s="8"/>
      <c r="BC906" s="8">
        <v>3.16</v>
      </c>
      <c r="BD906" s="8"/>
      <c r="BE906" s="8"/>
      <c r="BF906" s="8">
        <v>58.39</v>
      </c>
      <c r="BG906" s="8">
        <v>60.16</v>
      </c>
      <c r="BH906" s="9">
        <f t="shared" si="126"/>
        <v>1211.02</v>
      </c>
      <c r="BI906" s="9">
        <f t="shared" si="127"/>
        <v>3.03</v>
      </c>
      <c r="BJ906" s="9">
        <f t="shared" si="128"/>
        <v>4.62</v>
      </c>
      <c r="BK906" s="9">
        <f t="shared" si="129"/>
        <v>18.260000000000002</v>
      </c>
      <c r="BL906" s="9">
        <f t="shared" si="130"/>
        <v>255.61</v>
      </c>
      <c r="BM906" s="9">
        <f t="shared" si="131"/>
        <v>78.84</v>
      </c>
      <c r="BN906" s="9">
        <f t="shared" si="132"/>
        <v>845.6</v>
      </c>
      <c r="BO906" s="9">
        <f t="shared" si="133"/>
        <v>3.16</v>
      </c>
      <c r="BP906" s="9">
        <f t="shared" si="134"/>
        <v>58.39</v>
      </c>
    </row>
    <row r="907" spans="1:68">
      <c r="A907" s="6">
        <v>44721</v>
      </c>
      <c r="B907" s="7">
        <v>3405</v>
      </c>
      <c r="C907" s="8">
        <v>580.53</v>
      </c>
      <c r="D907" s="8">
        <v>144.47</v>
      </c>
      <c r="E907" s="8"/>
      <c r="F907" s="8"/>
      <c r="G907" s="8"/>
      <c r="H907" s="8"/>
      <c r="I907" s="8"/>
      <c r="J907" s="8"/>
      <c r="K907" s="8"/>
      <c r="L907" s="8"/>
      <c r="M907" s="8">
        <v>1.88</v>
      </c>
      <c r="N907" s="8"/>
      <c r="O907" s="8"/>
      <c r="P907" s="8"/>
      <c r="Q907" s="11"/>
      <c r="R907" s="11"/>
      <c r="S907" s="8">
        <v>1.67</v>
      </c>
      <c r="T907" s="8"/>
      <c r="U907" s="8"/>
      <c r="V907" s="8"/>
      <c r="W907" s="8"/>
      <c r="X907" s="8">
        <v>8.6180000000000003</v>
      </c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11"/>
      <c r="AQ907" s="8"/>
      <c r="AR907" s="8"/>
      <c r="AS907" s="8"/>
      <c r="AT907" s="8">
        <v>364.04</v>
      </c>
      <c r="AU907" s="8"/>
      <c r="AV907" s="8"/>
      <c r="AW907" s="8"/>
      <c r="AX907" s="8"/>
      <c r="AY907" s="8"/>
      <c r="AZ907" s="8"/>
      <c r="BA907" s="8">
        <v>3.27</v>
      </c>
      <c r="BB907" s="8"/>
      <c r="BC907" s="8"/>
      <c r="BD907" s="8"/>
      <c r="BE907" s="8"/>
      <c r="BF907" s="8"/>
      <c r="BG907" s="8">
        <v>24.49</v>
      </c>
      <c r="BH907" s="9">
        <f t="shared" si="126"/>
        <v>725</v>
      </c>
      <c r="BI907" s="9">
        <f t="shared" si="127"/>
        <v>1.88</v>
      </c>
      <c r="BJ907" s="9">
        <f t="shared" si="128"/>
        <v>1.67</v>
      </c>
      <c r="BK907" s="9">
        <f t="shared" si="129"/>
        <v>8.6180000000000003</v>
      </c>
      <c r="BL907" s="9">
        <f t="shared" si="130"/>
        <v>0</v>
      </c>
      <c r="BM907" s="9">
        <f t="shared" si="131"/>
        <v>0</v>
      </c>
      <c r="BN907" s="9">
        <f t="shared" si="132"/>
        <v>364.04</v>
      </c>
      <c r="BO907" s="9">
        <f t="shared" si="133"/>
        <v>3.27</v>
      </c>
      <c r="BP907" s="9">
        <f t="shared" si="134"/>
        <v>0</v>
      </c>
    </row>
    <row r="908" spans="1:68">
      <c r="A908" s="6">
        <v>44721</v>
      </c>
      <c r="B908" s="7">
        <v>3141</v>
      </c>
      <c r="C908" s="8">
        <v>2451.9499999999998</v>
      </c>
      <c r="D908" s="8">
        <v>432.06</v>
      </c>
      <c r="E908" s="8"/>
      <c r="F908" s="8"/>
      <c r="G908" s="8"/>
      <c r="H908" s="8"/>
      <c r="I908" s="8"/>
      <c r="J908" s="8"/>
      <c r="K908" s="8"/>
      <c r="L908" s="8"/>
      <c r="M908" s="8">
        <v>7.46</v>
      </c>
      <c r="N908" s="8"/>
      <c r="O908" s="8"/>
      <c r="P908" s="8"/>
      <c r="Q908" s="11"/>
      <c r="R908" s="11"/>
      <c r="S908" s="8">
        <v>13.58</v>
      </c>
      <c r="T908" s="8">
        <v>21.67</v>
      </c>
      <c r="U908" s="8">
        <v>21.67</v>
      </c>
      <c r="V908" s="8"/>
      <c r="W908" s="8"/>
      <c r="X908" s="8"/>
      <c r="Y908" s="8"/>
      <c r="Z908" s="8"/>
      <c r="AA908" s="8"/>
      <c r="AB908" s="8"/>
      <c r="AC908" s="8">
        <v>11.55</v>
      </c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11"/>
      <c r="AQ908" s="8"/>
      <c r="AR908" s="8"/>
      <c r="AS908" s="8"/>
      <c r="AT908" s="8">
        <v>1915.86</v>
      </c>
      <c r="AU908" s="8"/>
      <c r="AV908" s="8"/>
      <c r="AW908" s="8"/>
      <c r="AX908" s="8"/>
      <c r="AY908" s="8"/>
      <c r="AZ908" s="8"/>
      <c r="BA908" s="8">
        <v>66.180000000000007</v>
      </c>
      <c r="BB908" s="8"/>
      <c r="BC908" s="8"/>
      <c r="BD908" s="8"/>
      <c r="BE908" s="8"/>
      <c r="BF908" s="8">
        <v>201.95</v>
      </c>
      <c r="BG908" s="8">
        <v>150.26</v>
      </c>
      <c r="BH908" s="9">
        <f t="shared" si="126"/>
        <v>2884.0099999999998</v>
      </c>
      <c r="BI908" s="9">
        <f t="shared" si="127"/>
        <v>7.46</v>
      </c>
      <c r="BJ908" s="9">
        <f t="shared" si="128"/>
        <v>13.58</v>
      </c>
      <c r="BK908" s="9">
        <f t="shared" si="129"/>
        <v>43.34</v>
      </c>
      <c r="BL908" s="9">
        <f t="shared" si="130"/>
        <v>0</v>
      </c>
      <c r="BM908" s="9">
        <f t="shared" si="131"/>
        <v>11.55</v>
      </c>
      <c r="BN908" s="9">
        <f t="shared" si="132"/>
        <v>1915.86</v>
      </c>
      <c r="BO908" s="9">
        <f t="shared" si="133"/>
        <v>66.180000000000007</v>
      </c>
      <c r="BP908" s="9">
        <f t="shared" si="134"/>
        <v>201.95</v>
      </c>
    </row>
    <row r="909" spans="1:68">
      <c r="A909" s="6">
        <v>44721</v>
      </c>
      <c r="B909" s="7">
        <v>3134</v>
      </c>
      <c r="C909" s="8">
        <v>1039.08</v>
      </c>
      <c r="D909" s="8">
        <v>145.41</v>
      </c>
      <c r="E909" s="8"/>
      <c r="F909" s="8"/>
      <c r="G909" s="8"/>
      <c r="H909" s="8">
        <v>490.72</v>
      </c>
      <c r="I909" s="8"/>
      <c r="J909" s="8"/>
      <c r="K909" s="8"/>
      <c r="L909" s="8"/>
      <c r="M909" s="8">
        <v>3.36</v>
      </c>
      <c r="N909" s="8"/>
      <c r="O909" s="8"/>
      <c r="P909" s="8"/>
      <c r="Q909" s="11"/>
      <c r="R909" s="11"/>
      <c r="S909" s="8">
        <v>6.71</v>
      </c>
      <c r="T909" s="8">
        <v>10.210000000000001</v>
      </c>
      <c r="U909" s="8">
        <v>8.74</v>
      </c>
      <c r="V909" s="8"/>
      <c r="W909" s="8"/>
      <c r="X909" s="8"/>
      <c r="Y909" s="8"/>
      <c r="Z909" s="8"/>
      <c r="AA909" s="8"/>
      <c r="AB909" s="8"/>
      <c r="AC909" s="8">
        <v>5.82</v>
      </c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11"/>
      <c r="AQ909" s="8"/>
      <c r="AR909" s="8"/>
      <c r="AS909" s="8"/>
      <c r="AT909" s="8">
        <v>1027.17</v>
      </c>
      <c r="AU909" s="8"/>
      <c r="AV909" s="8"/>
      <c r="AW909" s="8"/>
      <c r="AX909" s="8"/>
      <c r="AY909" s="8">
        <v>14.670999999999999</v>
      </c>
      <c r="AZ909" s="8"/>
      <c r="BA909" s="8"/>
      <c r="BB909" s="8"/>
      <c r="BC909" s="8"/>
      <c r="BD909" s="8"/>
      <c r="BE909" s="8"/>
      <c r="BF909" s="8">
        <v>65.59</v>
      </c>
      <c r="BG909" s="8">
        <v>77.2</v>
      </c>
      <c r="BH909" s="9">
        <f t="shared" si="126"/>
        <v>1675.21</v>
      </c>
      <c r="BI909" s="9">
        <f t="shared" si="127"/>
        <v>3.36</v>
      </c>
      <c r="BJ909" s="9">
        <f t="shared" si="128"/>
        <v>6.71</v>
      </c>
      <c r="BK909" s="9">
        <f t="shared" si="129"/>
        <v>18.950000000000003</v>
      </c>
      <c r="BL909" s="9">
        <f t="shared" si="130"/>
        <v>0</v>
      </c>
      <c r="BM909" s="9">
        <f t="shared" si="131"/>
        <v>5.82</v>
      </c>
      <c r="BN909" s="9">
        <f t="shared" si="132"/>
        <v>1027.17</v>
      </c>
      <c r="BO909" s="9">
        <f t="shared" si="133"/>
        <v>14.670999999999999</v>
      </c>
      <c r="BP909" s="9">
        <f t="shared" si="134"/>
        <v>65.59</v>
      </c>
    </row>
    <row r="910" spans="1:68">
      <c r="A910" s="6">
        <v>44722</v>
      </c>
      <c r="B910" s="7">
        <v>3083</v>
      </c>
      <c r="C910" s="8"/>
      <c r="D910" s="8">
        <v>727.02</v>
      </c>
      <c r="E910" s="8"/>
      <c r="F910" s="8"/>
      <c r="G910" s="8"/>
      <c r="H910" s="8"/>
      <c r="I910" s="8">
        <v>1695.41</v>
      </c>
      <c r="J910" s="8"/>
      <c r="K910" s="8"/>
      <c r="L910" s="8"/>
      <c r="M910" s="8"/>
      <c r="N910" s="8">
        <v>16.71</v>
      </c>
      <c r="O910" s="8"/>
      <c r="P910" s="8"/>
      <c r="Q910" s="11"/>
      <c r="R910" s="11"/>
      <c r="S910" s="8">
        <v>1.69</v>
      </c>
      <c r="T910" s="8">
        <v>19.37</v>
      </c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>
        <v>9.66</v>
      </c>
      <c r="AN910" s="8">
        <v>33.832999999999998</v>
      </c>
      <c r="AO910" s="8"/>
      <c r="AP910" s="11"/>
      <c r="AQ910" s="8"/>
      <c r="AR910" s="8">
        <v>60.405999999999999</v>
      </c>
      <c r="AS910" s="8"/>
      <c r="AT910" s="8">
        <v>1099.93</v>
      </c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>
        <v>86.58</v>
      </c>
      <c r="BH910" s="9">
        <f t="shared" si="126"/>
        <v>2422.4300000000003</v>
      </c>
      <c r="BI910" s="9">
        <f t="shared" si="127"/>
        <v>16.71</v>
      </c>
      <c r="BJ910" s="9">
        <f t="shared" si="128"/>
        <v>1.69</v>
      </c>
      <c r="BK910" s="9">
        <f t="shared" si="129"/>
        <v>19.37</v>
      </c>
      <c r="BL910" s="9">
        <f t="shared" si="130"/>
        <v>0</v>
      </c>
      <c r="BM910" s="9">
        <f t="shared" si="131"/>
        <v>103.899</v>
      </c>
      <c r="BN910" s="9">
        <f t="shared" si="132"/>
        <v>1099.93</v>
      </c>
      <c r="BO910" s="9">
        <f t="shared" si="133"/>
        <v>0</v>
      </c>
      <c r="BP910" s="9">
        <f t="shared" si="134"/>
        <v>0</v>
      </c>
    </row>
    <row r="911" spans="1:68">
      <c r="A911" s="6">
        <v>44722</v>
      </c>
      <c r="B911" s="7">
        <v>3029</v>
      </c>
      <c r="C911" s="8"/>
      <c r="D911" s="8">
        <f>451.11+16.7+245.15</f>
        <v>712.96</v>
      </c>
      <c r="E911" s="8"/>
      <c r="F911" s="8">
        <f>318.51+11.78+173.02</f>
        <v>503.30999999999995</v>
      </c>
      <c r="G911" s="8"/>
      <c r="H911" s="8"/>
      <c r="I911" s="8">
        <f>1882.17+69.74+1023.63</f>
        <v>2975.54</v>
      </c>
      <c r="J911" s="8"/>
      <c r="K911" s="8"/>
      <c r="L911" s="8"/>
      <c r="M911" s="8"/>
      <c r="N911" s="8">
        <f>19.87+0.74+10.83</f>
        <v>31.439999999999998</v>
      </c>
      <c r="O911" s="8"/>
      <c r="P911" s="8"/>
      <c r="Q911" s="11"/>
      <c r="R911" s="11"/>
      <c r="S911" s="8">
        <f>1.59+0.06+0.86</f>
        <v>2.5100000000000002</v>
      </c>
      <c r="T911" s="8"/>
      <c r="U911" s="8"/>
      <c r="V911" s="8"/>
      <c r="W911" s="8">
        <v>44.197000000000003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>
        <f>9.27+0.34+5.04</f>
        <v>14.649999999999999</v>
      </c>
      <c r="AN911" s="8">
        <v>19.626999999999999</v>
      </c>
      <c r="AO911" s="8"/>
      <c r="AP911" s="11"/>
      <c r="AQ911" s="8"/>
      <c r="AR911" s="8">
        <v>124.801</v>
      </c>
      <c r="AS911" s="8"/>
      <c r="AT911" s="8">
        <f>1005.06+37.31+547.81</f>
        <v>1590.1799999999998</v>
      </c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>
        <f>70.31+2.6+38.39</f>
        <v>111.3</v>
      </c>
      <c r="BH911" s="9">
        <f t="shared" si="126"/>
        <v>4191.8099999999995</v>
      </c>
      <c r="BI911" s="9">
        <f t="shared" si="127"/>
        <v>31.439999999999998</v>
      </c>
      <c r="BJ911" s="9">
        <f t="shared" si="128"/>
        <v>2.5100000000000002</v>
      </c>
      <c r="BK911" s="9">
        <f t="shared" si="129"/>
        <v>44.197000000000003</v>
      </c>
      <c r="BL911" s="9">
        <f t="shared" si="130"/>
        <v>0</v>
      </c>
      <c r="BM911" s="9">
        <f t="shared" si="131"/>
        <v>159.078</v>
      </c>
      <c r="BN911" s="9">
        <f t="shared" si="132"/>
        <v>1590.1799999999998</v>
      </c>
      <c r="BO911" s="9">
        <f t="shared" si="133"/>
        <v>0</v>
      </c>
      <c r="BP911" s="9">
        <f t="shared" si="134"/>
        <v>0</v>
      </c>
    </row>
    <row r="912" spans="1:68">
      <c r="A912" s="6">
        <v>44722</v>
      </c>
      <c r="B912" s="7">
        <v>3079</v>
      </c>
      <c r="C912" s="8"/>
      <c r="D912" s="8"/>
      <c r="E912" s="8"/>
      <c r="F912" s="8">
        <v>181.53</v>
      </c>
      <c r="G912" s="8"/>
      <c r="H912" s="8"/>
      <c r="I912" s="8">
        <v>1468.11</v>
      </c>
      <c r="J912" s="8"/>
      <c r="K912" s="8"/>
      <c r="L912" s="8"/>
      <c r="M912" s="8"/>
      <c r="N912" s="8">
        <v>12.38</v>
      </c>
      <c r="O912" s="8"/>
      <c r="P912" s="8"/>
      <c r="Q912" s="11"/>
      <c r="R912" s="11"/>
      <c r="S912" s="8">
        <v>0.65</v>
      </c>
      <c r="T912" s="8">
        <v>16.52</v>
      </c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>
        <v>6.6</v>
      </c>
      <c r="AN912" s="8">
        <v>16.645</v>
      </c>
      <c r="AO912" s="8"/>
      <c r="AP912" s="11"/>
      <c r="AQ912" s="8"/>
      <c r="AR912" s="8">
        <v>41.350999999999999</v>
      </c>
      <c r="AS912" s="8"/>
      <c r="AT912" s="8">
        <v>627.19000000000005</v>
      </c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>
        <v>45.35</v>
      </c>
      <c r="BH912" s="9">
        <f t="shared" si="126"/>
        <v>1649.6399999999999</v>
      </c>
      <c r="BI912" s="9">
        <f t="shared" si="127"/>
        <v>12.38</v>
      </c>
      <c r="BJ912" s="9">
        <f t="shared" si="128"/>
        <v>0.65</v>
      </c>
      <c r="BK912" s="9">
        <f t="shared" si="129"/>
        <v>16.52</v>
      </c>
      <c r="BL912" s="9">
        <f t="shared" si="130"/>
        <v>0</v>
      </c>
      <c r="BM912" s="9">
        <f t="shared" si="131"/>
        <v>64.596000000000004</v>
      </c>
      <c r="BN912" s="9">
        <f t="shared" si="132"/>
        <v>627.19000000000005</v>
      </c>
      <c r="BO912" s="9">
        <f t="shared" si="133"/>
        <v>0</v>
      </c>
      <c r="BP912" s="9">
        <f t="shared" si="134"/>
        <v>0</v>
      </c>
    </row>
    <row r="913" spans="1:68">
      <c r="A913" s="6">
        <v>44722</v>
      </c>
      <c r="B913" s="7">
        <v>3020</v>
      </c>
      <c r="C913" s="8"/>
      <c r="D913" s="8">
        <v>240.41</v>
      </c>
      <c r="E913" s="8"/>
      <c r="F913" s="8"/>
      <c r="G913" s="8"/>
      <c r="H913" s="8"/>
      <c r="I913" s="8">
        <v>1349.67</v>
      </c>
      <c r="J913" s="8"/>
      <c r="K913" s="8"/>
      <c r="L913" s="8"/>
      <c r="M913" s="8"/>
      <c r="N913" s="8">
        <v>9.5399999999999991</v>
      </c>
      <c r="O913" s="8"/>
      <c r="P913" s="8"/>
      <c r="Q913" s="11"/>
      <c r="R913" s="11"/>
      <c r="S913" s="8">
        <v>2.86</v>
      </c>
      <c r="T913" s="8"/>
      <c r="U913" s="8"/>
      <c r="V913" s="8"/>
      <c r="W913" s="8">
        <v>15.817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>
        <v>15.93</v>
      </c>
      <c r="AN913" s="8"/>
      <c r="AO913" s="8"/>
      <c r="AP913" s="11"/>
      <c r="AQ913" s="8"/>
      <c r="AR913" s="8"/>
      <c r="AS913" s="8">
        <v>40.021999999999998</v>
      </c>
      <c r="AT913" s="8">
        <v>782.48</v>
      </c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>
        <v>57.26</v>
      </c>
      <c r="BH913" s="9">
        <f t="shared" si="126"/>
        <v>1590.0800000000002</v>
      </c>
      <c r="BI913" s="9">
        <f t="shared" si="127"/>
        <v>9.5399999999999991</v>
      </c>
      <c r="BJ913" s="9">
        <f t="shared" si="128"/>
        <v>2.86</v>
      </c>
      <c r="BK913" s="9">
        <f t="shared" si="129"/>
        <v>15.817</v>
      </c>
      <c r="BL913" s="9">
        <f t="shared" si="130"/>
        <v>0</v>
      </c>
      <c r="BM913" s="9">
        <f t="shared" si="131"/>
        <v>55.951999999999998</v>
      </c>
      <c r="BN913" s="9">
        <f t="shared" si="132"/>
        <v>782.48</v>
      </c>
      <c r="BO913" s="9">
        <f t="shared" si="133"/>
        <v>0</v>
      </c>
      <c r="BP913" s="9">
        <f t="shared" si="134"/>
        <v>0</v>
      </c>
    </row>
    <row r="914" spans="1:68">
      <c r="A914" s="6">
        <v>44722</v>
      </c>
      <c r="B914" s="7">
        <v>3022</v>
      </c>
      <c r="C914" s="8"/>
      <c r="D914" s="8">
        <v>1059.48</v>
      </c>
      <c r="E914" s="8"/>
      <c r="F914" s="8"/>
      <c r="G914" s="8"/>
      <c r="H914" s="8"/>
      <c r="I914" s="8">
        <v>863.41</v>
      </c>
      <c r="J914" s="8"/>
      <c r="K914" s="8"/>
      <c r="L914" s="8"/>
      <c r="M914" s="8"/>
      <c r="N914" s="8">
        <v>9.6300000000000008</v>
      </c>
      <c r="O914" s="8"/>
      <c r="P914" s="8"/>
      <c r="Q914" s="11"/>
      <c r="R914" s="11"/>
      <c r="S914" s="8">
        <v>3.47</v>
      </c>
      <c r="T914" s="8"/>
      <c r="U914" s="8"/>
      <c r="V914" s="8"/>
      <c r="W914" s="8">
        <v>19.195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>
        <v>25.04</v>
      </c>
      <c r="AN914" s="8"/>
      <c r="AO914" s="8"/>
      <c r="AP914" s="11"/>
      <c r="AQ914" s="8"/>
      <c r="AR914" s="8"/>
      <c r="AS914" s="8">
        <v>67.647999999999996</v>
      </c>
      <c r="AT914" s="8">
        <v>900.82</v>
      </c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>
        <v>69.45</v>
      </c>
      <c r="BH914" s="9">
        <f t="shared" si="126"/>
        <v>1922.8899999999999</v>
      </c>
      <c r="BI914" s="9">
        <f t="shared" si="127"/>
        <v>9.6300000000000008</v>
      </c>
      <c r="BJ914" s="9">
        <f t="shared" si="128"/>
        <v>3.47</v>
      </c>
      <c r="BK914" s="9">
        <f t="shared" si="129"/>
        <v>19.195</v>
      </c>
      <c r="BL914" s="9">
        <f t="shared" si="130"/>
        <v>0</v>
      </c>
      <c r="BM914" s="9">
        <f t="shared" si="131"/>
        <v>92.687999999999988</v>
      </c>
      <c r="BN914" s="9">
        <f t="shared" si="132"/>
        <v>900.82</v>
      </c>
      <c r="BO914" s="9">
        <f t="shared" si="133"/>
        <v>0</v>
      </c>
      <c r="BP914" s="9">
        <f t="shared" si="134"/>
        <v>0</v>
      </c>
    </row>
    <row r="915" spans="1:68">
      <c r="A915" s="6">
        <v>44722</v>
      </c>
      <c r="B915" s="7">
        <v>3139</v>
      </c>
      <c r="C915" s="8">
        <v>965.67</v>
      </c>
      <c r="D915" s="8"/>
      <c r="E915" s="8"/>
      <c r="F915" s="8"/>
      <c r="G915" s="8"/>
      <c r="H915" s="8">
        <v>400.13</v>
      </c>
      <c r="I915" s="8"/>
      <c r="J915" s="8"/>
      <c r="K915" s="8"/>
      <c r="L915" s="8"/>
      <c r="M915" s="8">
        <v>2.2599999999999998</v>
      </c>
      <c r="N915" s="8"/>
      <c r="O915" s="8"/>
      <c r="P915" s="8"/>
      <c r="Q915" s="11"/>
      <c r="R915" s="11"/>
      <c r="S915" s="8">
        <v>4.05</v>
      </c>
      <c r="T915" s="8">
        <v>14.29</v>
      </c>
      <c r="U915" s="8"/>
      <c r="V915" s="8"/>
      <c r="W915" s="8"/>
      <c r="X915" s="8"/>
      <c r="Y915" s="8"/>
      <c r="Z915" s="8"/>
      <c r="AA915" s="8"/>
      <c r="AB915" s="8"/>
      <c r="AC915" s="8">
        <v>4.76</v>
      </c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11"/>
      <c r="AQ915" s="8"/>
      <c r="AR915" s="8"/>
      <c r="AS915" s="8"/>
      <c r="AT915" s="8">
        <v>705.13</v>
      </c>
      <c r="AU915" s="8"/>
      <c r="AV915" s="8">
        <v>23.79</v>
      </c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>
        <v>51.23</v>
      </c>
      <c r="BH915" s="9">
        <f t="shared" si="126"/>
        <v>1365.8</v>
      </c>
      <c r="BI915" s="9">
        <f t="shared" si="127"/>
        <v>2.2599999999999998</v>
      </c>
      <c r="BJ915" s="9">
        <f t="shared" si="128"/>
        <v>4.05</v>
      </c>
      <c r="BK915" s="9">
        <f t="shared" si="129"/>
        <v>14.29</v>
      </c>
      <c r="BL915" s="9">
        <f t="shared" si="130"/>
        <v>0</v>
      </c>
      <c r="BM915" s="9">
        <f t="shared" si="131"/>
        <v>4.76</v>
      </c>
      <c r="BN915" s="9">
        <f t="shared" si="132"/>
        <v>705.13</v>
      </c>
      <c r="BO915" s="9">
        <f t="shared" si="133"/>
        <v>23.79</v>
      </c>
      <c r="BP915" s="9">
        <f t="shared" si="134"/>
        <v>0</v>
      </c>
    </row>
    <row r="916" spans="1:68">
      <c r="A916" s="6">
        <v>44722</v>
      </c>
      <c r="B916" s="7">
        <v>3129</v>
      </c>
      <c r="C916" s="8">
        <v>1511.22</v>
      </c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11"/>
      <c r="R916" s="11">
        <v>8.14</v>
      </c>
      <c r="S916" s="8">
        <f>6.931+5.61</f>
        <v>12.541</v>
      </c>
      <c r="T916" s="8"/>
      <c r="U916" s="8"/>
      <c r="V916" s="8"/>
      <c r="W916" s="8"/>
      <c r="X916" s="8">
        <v>13.561</v>
      </c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11"/>
      <c r="AQ916" s="8"/>
      <c r="AR916" s="8"/>
      <c r="AS916" s="8"/>
      <c r="AT916" s="8">
        <v>207.38</v>
      </c>
      <c r="AU916" s="8">
        <v>416.96</v>
      </c>
      <c r="AV916" s="8"/>
      <c r="AW916" s="8"/>
      <c r="AX916" s="8"/>
      <c r="AY916" s="8"/>
      <c r="AZ916" s="8"/>
      <c r="BA916" s="8"/>
      <c r="BB916" s="8"/>
      <c r="BC916" s="8"/>
      <c r="BD916" s="8">
        <v>3.79</v>
      </c>
      <c r="BE916" s="8">
        <v>13.788</v>
      </c>
      <c r="BF916" s="8"/>
      <c r="BG916" s="8">
        <v>45.3</v>
      </c>
      <c r="BH916" s="9">
        <f t="shared" si="126"/>
        <v>1511.22</v>
      </c>
      <c r="BI916" s="9">
        <f t="shared" si="127"/>
        <v>8.14</v>
      </c>
      <c r="BJ916" s="9">
        <f t="shared" si="128"/>
        <v>12.541</v>
      </c>
      <c r="BK916" s="9">
        <f t="shared" si="129"/>
        <v>13.561</v>
      </c>
      <c r="BL916" s="9">
        <f t="shared" si="130"/>
        <v>0</v>
      </c>
      <c r="BM916" s="9">
        <f t="shared" si="131"/>
        <v>0</v>
      </c>
      <c r="BN916" s="9">
        <f t="shared" si="132"/>
        <v>624.33999999999992</v>
      </c>
      <c r="BO916" s="9">
        <f t="shared" si="133"/>
        <v>17.577999999999999</v>
      </c>
      <c r="BP916" s="9">
        <f t="shared" si="134"/>
        <v>0</v>
      </c>
    </row>
    <row r="917" spans="1:68">
      <c r="A917" s="6">
        <v>44722</v>
      </c>
      <c r="B917" s="7">
        <v>3307</v>
      </c>
      <c r="C917" s="8"/>
      <c r="D917" s="8">
        <v>1901.01</v>
      </c>
      <c r="E917" s="8"/>
      <c r="F917" s="8"/>
      <c r="G917" s="8"/>
      <c r="H917" s="8"/>
      <c r="I917" s="8"/>
      <c r="J917" s="8"/>
      <c r="K917" s="8"/>
      <c r="L917" s="8"/>
      <c r="M917" s="8">
        <v>2.46</v>
      </c>
      <c r="N917" s="8"/>
      <c r="O917" s="8"/>
      <c r="P917" s="8"/>
      <c r="Q917" s="11"/>
      <c r="R917" s="11"/>
      <c r="S917" s="8">
        <v>13.88</v>
      </c>
      <c r="T917" s="8">
        <v>19</v>
      </c>
      <c r="U917" s="8"/>
      <c r="V917" s="8"/>
      <c r="W917" s="8"/>
      <c r="X917" s="8"/>
      <c r="Y917" s="8"/>
      <c r="Z917" s="8"/>
      <c r="AA917" s="8"/>
      <c r="AB917" s="8"/>
      <c r="AC917" s="8">
        <v>11.41</v>
      </c>
      <c r="AD917" s="8"/>
      <c r="AE917" s="8"/>
      <c r="AF917" s="8"/>
      <c r="AG917" s="8">
        <v>19.03</v>
      </c>
      <c r="AH917" s="8"/>
      <c r="AI917" s="8"/>
      <c r="AJ917" s="8"/>
      <c r="AK917" s="8"/>
      <c r="AL917" s="8"/>
      <c r="AM917" s="8"/>
      <c r="AN917" s="8"/>
      <c r="AO917" s="8"/>
      <c r="AP917" s="11"/>
      <c r="AQ917" s="8"/>
      <c r="AR917" s="8"/>
      <c r="AS917" s="8"/>
      <c r="AT917" s="8"/>
      <c r="AU917" s="8">
        <v>952.73</v>
      </c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>
        <v>68.41</v>
      </c>
      <c r="BH917" s="9">
        <f t="shared" si="126"/>
        <v>1901.01</v>
      </c>
      <c r="BI917" s="9">
        <f t="shared" si="127"/>
        <v>2.46</v>
      </c>
      <c r="BJ917" s="9">
        <f t="shared" si="128"/>
        <v>13.88</v>
      </c>
      <c r="BK917" s="9">
        <f t="shared" si="129"/>
        <v>19</v>
      </c>
      <c r="BL917" s="9">
        <f t="shared" si="130"/>
        <v>0</v>
      </c>
      <c r="BM917" s="9">
        <f t="shared" si="131"/>
        <v>30.44</v>
      </c>
      <c r="BN917" s="9">
        <f t="shared" si="132"/>
        <v>952.73</v>
      </c>
      <c r="BO917" s="9">
        <f t="shared" si="133"/>
        <v>0</v>
      </c>
      <c r="BP917" s="9">
        <f t="shared" si="134"/>
        <v>0</v>
      </c>
    </row>
    <row r="918" spans="1:68">
      <c r="A918" s="6">
        <v>44722</v>
      </c>
      <c r="B918" s="7">
        <v>3139</v>
      </c>
      <c r="C918" s="8">
        <v>851.04</v>
      </c>
      <c r="D918" s="8"/>
      <c r="E918" s="8"/>
      <c r="F918" s="8"/>
      <c r="G918" s="8"/>
      <c r="H918" s="8">
        <v>358.11</v>
      </c>
      <c r="I918" s="8"/>
      <c r="J918" s="8"/>
      <c r="K918" s="8"/>
      <c r="L918" s="8"/>
      <c r="M918" s="8">
        <v>1.96</v>
      </c>
      <c r="N918" s="8"/>
      <c r="O918" s="8"/>
      <c r="P918" s="8"/>
      <c r="Q918" s="11"/>
      <c r="R918" s="11"/>
      <c r="S918" s="8">
        <v>3.55</v>
      </c>
      <c r="T918" s="8">
        <v>12.52</v>
      </c>
      <c r="U918" s="8"/>
      <c r="V918" s="8"/>
      <c r="W918" s="8"/>
      <c r="X918" s="8"/>
      <c r="Y918" s="8"/>
      <c r="Z918" s="8"/>
      <c r="AA918" s="8"/>
      <c r="AB918" s="8"/>
      <c r="AC918" s="8">
        <v>4.17</v>
      </c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11"/>
      <c r="AQ918" s="8"/>
      <c r="AR918" s="8"/>
      <c r="AS918" s="8"/>
      <c r="AT918" s="8">
        <v>617.66</v>
      </c>
      <c r="AU918" s="8"/>
      <c r="AV918" s="8">
        <v>20.91</v>
      </c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>
        <v>44.9</v>
      </c>
      <c r="BH918" s="9">
        <f t="shared" si="126"/>
        <v>1209.1500000000001</v>
      </c>
      <c r="BI918" s="9">
        <f t="shared" si="127"/>
        <v>1.96</v>
      </c>
      <c r="BJ918" s="9">
        <f t="shared" si="128"/>
        <v>3.55</v>
      </c>
      <c r="BK918" s="9">
        <f t="shared" si="129"/>
        <v>12.52</v>
      </c>
      <c r="BL918" s="9">
        <f t="shared" si="130"/>
        <v>0</v>
      </c>
      <c r="BM918" s="9">
        <f t="shared" si="131"/>
        <v>4.17</v>
      </c>
      <c r="BN918" s="9">
        <f t="shared" si="132"/>
        <v>617.66</v>
      </c>
      <c r="BO918" s="9">
        <f t="shared" si="133"/>
        <v>20.91</v>
      </c>
      <c r="BP918" s="9">
        <f t="shared" si="134"/>
        <v>0</v>
      </c>
    </row>
    <row r="919" spans="1:68">
      <c r="A919" s="6">
        <v>44722</v>
      </c>
      <c r="B919" s="7">
        <v>3101</v>
      </c>
      <c r="C919" s="8">
        <v>649.12</v>
      </c>
      <c r="D919" s="8"/>
      <c r="E919" s="8"/>
      <c r="F919" s="8"/>
      <c r="G919" s="8"/>
      <c r="H919" s="8"/>
      <c r="I919" s="8"/>
      <c r="J919" s="8"/>
      <c r="K919" s="8"/>
      <c r="L919" s="8"/>
      <c r="M919" s="8">
        <v>1.29</v>
      </c>
      <c r="N919" s="8"/>
      <c r="O919" s="8"/>
      <c r="P919" s="8"/>
      <c r="Q919" s="11"/>
      <c r="R919" s="11"/>
      <c r="S919" s="8">
        <v>3.78</v>
      </c>
      <c r="T919" s="8"/>
      <c r="U919" s="8">
        <v>10.41</v>
      </c>
      <c r="V919" s="8"/>
      <c r="W919" s="8"/>
      <c r="X919" s="8"/>
      <c r="Y919" s="8"/>
      <c r="Z919" s="8"/>
      <c r="AA919" s="8"/>
      <c r="AB919" s="8"/>
      <c r="AC919" s="8">
        <v>2.6</v>
      </c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11"/>
      <c r="AQ919" s="8"/>
      <c r="AR919" s="8"/>
      <c r="AS919" s="8"/>
      <c r="AT919" s="8">
        <v>436.67</v>
      </c>
      <c r="AU919" s="8"/>
      <c r="AV919" s="8"/>
      <c r="AW919" s="8">
        <v>13.86</v>
      </c>
      <c r="AX919" s="8"/>
      <c r="AY919" s="8"/>
      <c r="AZ919" s="8"/>
      <c r="BA919" s="8"/>
      <c r="BB919" s="8"/>
      <c r="BC919" s="8"/>
      <c r="BD919" s="8"/>
      <c r="BE919" s="8"/>
      <c r="BF919" s="8">
        <v>84.53</v>
      </c>
      <c r="BG919" s="8">
        <v>33.450000000000003</v>
      </c>
      <c r="BH919" s="9">
        <f t="shared" si="126"/>
        <v>649.12</v>
      </c>
      <c r="BI919" s="9">
        <f t="shared" si="127"/>
        <v>1.29</v>
      </c>
      <c r="BJ919" s="9">
        <f t="shared" si="128"/>
        <v>3.78</v>
      </c>
      <c r="BK919" s="9">
        <f t="shared" si="129"/>
        <v>10.41</v>
      </c>
      <c r="BL919" s="9">
        <f t="shared" si="130"/>
        <v>0</v>
      </c>
      <c r="BM919" s="9">
        <f t="shared" si="131"/>
        <v>2.6</v>
      </c>
      <c r="BN919" s="9">
        <f t="shared" si="132"/>
        <v>436.67</v>
      </c>
      <c r="BO919" s="9">
        <f t="shared" si="133"/>
        <v>13.86</v>
      </c>
      <c r="BP919" s="9">
        <f t="shared" si="134"/>
        <v>84.53</v>
      </c>
    </row>
    <row r="920" spans="1:68">
      <c r="A920" s="6">
        <v>44725</v>
      </c>
      <c r="B920" s="7">
        <v>3601</v>
      </c>
      <c r="C920" s="8">
        <v>352.44</v>
      </c>
      <c r="D920" s="8"/>
      <c r="E920" s="8"/>
      <c r="F920" s="8"/>
      <c r="G920" s="8">
        <v>527.89</v>
      </c>
      <c r="H920" s="8"/>
      <c r="I920" s="8"/>
      <c r="J920" s="8"/>
      <c r="K920" s="8"/>
      <c r="L920" s="8"/>
      <c r="M920" s="8">
        <v>1.05</v>
      </c>
      <c r="N920" s="8"/>
      <c r="O920" s="8"/>
      <c r="P920" s="8"/>
      <c r="Q920" s="11"/>
      <c r="R920" s="11"/>
      <c r="S920" s="8">
        <v>4.4400000000000004</v>
      </c>
      <c r="T920" s="8"/>
      <c r="U920" s="8">
        <v>5.29</v>
      </c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11"/>
      <c r="AQ920" s="8"/>
      <c r="AR920" s="8"/>
      <c r="AS920" s="8"/>
      <c r="AT920" s="8">
        <v>431.7</v>
      </c>
      <c r="AU920" s="8"/>
      <c r="AV920" s="8"/>
      <c r="AW920" s="8">
        <v>26.78</v>
      </c>
      <c r="AX920" s="8"/>
      <c r="AY920" s="8"/>
      <c r="AZ920" s="8"/>
      <c r="BA920" s="8"/>
      <c r="BB920" s="8"/>
      <c r="BC920" s="8"/>
      <c r="BD920" s="8"/>
      <c r="BE920" s="8"/>
      <c r="BF920" s="8">
        <v>49.39</v>
      </c>
      <c r="BG920" s="8">
        <v>32.67</v>
      </c>
      <c r="BH920" s="9">
        <f t="shared" si="126"/>
        <v>880.32999999999993</v>
      </c>
      <c r="BI920" s="9">
        <f t="shared" si="127"/>
        <v>1.05</v>
      </c>
      <c r="BJ920" s="9">
        <f t="shared" si="128"/>
        <v>4.4400000000000004</v>
      </c>
      <c r="BK920" s="9">
        <f t="shared" si="129"/>
        <v>5.29</v>
      </c>
      <c r="BL920" s="9">
        <f t="shared" si="130"/>
        <v>0</v>
      </c>
      <c r="BM920" s="9">
        <f t="shared" si="131"/>
        <v>0</v>
      </c>
      <c r="BN920" s="9">
        <f t="shared" si="132"/>
        <v>431.7</v>
      </c>
      <c r="BO920" s="9">
        <f t="shared" si="133"/>
        <v>26.78</v>
      </c>
      <c r="BP920" s="9">
        <f t="shared" si="134"/>
        <v>49.39</v>
      </c>
    </row>
    <row r="921" spans="1:68">
      <c r="A921" s="6">
        <v>44725</v>
      </c>
      <c r="B921" s="7">
        <v>3117</v>
      </c>
      <c r="C921" s="8">
        <v>1411.07</v>
      </c>
      <c r="D921" s="8"/>
      <c r="E921" s="8"/>
      <c r="F921" s="8"/>
      <c r="G921" s="8"/>
      <c r="H921" s="8"/>
      <c r="I921" s="8"/>
      <c r="J921" s="8"/>
      <c r="K921" s="8"/>
      <c r="L921" s="8"/>
      <c r="M921" s="8">
        <v>3.28</v>
      </c>
      <c r="N921" s="8"/>
      <c r="O921" s="8"/>
      <c r="P921" s="8"/>
      <c r="Q921" s="11"/>
      <c r="R921" s="11"/>
      <c r="S921" s="8">
        <v>4.95</v>
      </c>
      <c r="T921" s="8">
        <v>14.13</v>
      </c>
      <c r="U921" s="8"/>
      <c r="V921" s="8"/>
      <c r="W921" s="8"/>
      <c r="X921" s="8"/>
      <c r="Y921" s="8"/>
      <c r="Z921" s="8"/>
      <c r="AA921" s="8"/>
      <c r="AB921" s="8"/>
      <c r="AC921" s="8">
        <v>5.66</v>
      </c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11"/>
      <c r="AQ921" s="8"/>
      <c r="AR921" s="8"/>
      <c r="AS921" s="8"/>
      <c r="AT921" s="8">
        <v>893.06</v>
      </c>
      <c r="AU921" s="8"/>
      <c r="AV921" s="8">
        <v>35.35</v>
      </c>
      <c r="AW921" s="8"/>
      <c r="AX921" s="8"/>
      <c r="AY921" s="8"/>
      <c r="AZ921" s="8"/>
      <c r="BA921" s="8"/>
      <c r="BB921" s="8"/>
      <c r="BC921" s="8"/>
      <c r="BD921" s="8"/>
      <c r="BE921" s="8"/>
      <c r="BF921" s="8">
        <v>56.58</v>
      </c>
      <c r="BG921" s="8">
        <v>67.819999999999993</v>
      </c>
      <c r="BH921" s="9">
        <f t="shared" si="126"/>
        <v>1411.07</v>
      </c>
      <c r="BI921" s="9">
        <f t="shared" si="127"/>
        <v>3.28</v>
      </c>
      <c r="BJ921" s="9">
        <f t="shared" si="128"/>
        <v>4.95</v>
      </c>
      <c r="BK921" s="9">
        <f t="shared" si="129"/>
        <v>14.13</v>
      </c>
      <c r="BL921" s="9">
        <f t="shared" si="130"/>
        <v>0</v>
      </c>
      <c r="BM921" s="9">
        <f t="shared" si="131"/>
        <v>5.66</v>
      </c>
      <c r="BN921" s="9">
        <f t="shared" si="132"/>
        <v>893.06</v>
      </c>
      <c r="BO921" s="9">
        <f t="shared" si="133"/>
        <v>35.35</v>
      </c>
      <c r="BP921" s="9">
        <f t="shared" si="134"/>
        <v>56.58</v>
      </c>
    </row>
    <row r="922" spans="1:68">
      <c r="A922" s="6">
        <v>44725</v>
      </c>
      <c r="B922" s="7">
        <v>3204</v>
      </c>
      <c r="C922" s="8"/>
      <c r="D922" s="8">
        <v>1777.7</v>
      </c>
      <c r="E922" s="8">
        <v>760.13</v>
      </c>
      <c r="F922" s="8"/>
      <c r="G922" s="8"/>
      <c r="H922" s="8"/>
      <c r="I922" s="8"/>
      <c r="J922" s="8"/>
      <c r="K922" s="8"/>
      <c r="L922" s="8"/>
      <c r="M922" s="8"/>
      <c r="N922" s="8"/>
      <c r="O922" s="8">
        <v>12.68</v>
      </c>
      <c r="P922" s="8"/>
      <c r="Q922" s="11"/>
      <c r="R922" s="11"/>
      <c r="S922" s="8">
        <v>8.6199999999999992</v>
      </c>
      <c r="T922" s="8">
        <v>15.23</v>
      </c>
      <c r="U922" s="8">
        <v>12.7</v>
      </c>
      <c r="V922" s="8"/>
      <c r="W922" s="8"/>
      <c r="X922" s="8"/>
      <c r="Y922" s="8"/>
      <c r="Z922" s="8">
        <v>380.86</v>
      </c>
      <c r="AA922" s="8"/>
      <c r="AB922" s="8">
        <v>12.702</v>
      </c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11"/>
      <c r="AQ922" s="8"/>
      <c r="AR922" s="8"/>
      <c r="AS922" s="8"/>
      <c r="AT922" s="8">
        <v>1117.93</v>
      </c>
      <c r="AU922" s="8"/>
      <c r="AV922" s="8"/>
      <c r="AW922" s="8">
        <v>8.1199999999999992</v>
      </c>
      <c r="AX922" s="8"/>
      <c r="AY922" s="8"/>
      <c r="AZ922" s="8"/>
      <c r="BA922" s="8"/>
      <c r="BB922" s="8"/>
      <c r="BC922" s="8"/>
      <c r="BD922" s="8"/>
      <c r="BE922" s="8"/>
      <c r="BF922" s="8"/>
      <c r="BG922" s="8">
        <v>82.53</v>
      </c>
      <c r="BH922" s="9">
        <f t="shared" si="126"/>
        <v>2537.83</v>
      </c>
      <c r="BI922" s="9">
        <f t="shared" si="127"/>
        <v>12.68</v>
      </c>
      <c r="BJ922" s="9">
        <f t="shared" si="128"/>
        <v>8.6199999999999992</v>
      </c>
      <c r="BK922" s="9">
        <f t="shared" si="129"/>
        <v>27.93</v>
      </c>
      <c r="BL922" s="9">
        <f t="shared" si="130"/>
        <v>380.86</v>
      </c>
      <c r="BM922" s="9">
        <f t="shared" si="131"/>
        <v>12.702</v>
      </c>
      <c r="BN922" s="9">
        <f t="shared" si="132"/>
        <v>1117.93</v>
      </c>
      <c r="BO922" s="9">
        <f t="shared" si="133"/>
        <v>8.1199999999999992</v>
      </c>
      <c r="BP922" s="9">
        <f t="shared" si="134"/>
        <v>0</v>
      </c>
    </row>
    <row r="923" spans="1:68">
      <c r="A923" s="6">
        <v>44725</v>
      </c>
      <c r="B923" s="7">
        <v>3200</v>
      </c>
      <c r="C923" s="8">
        <v>2262.96</v>
      </c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>
        <v>5.67</v>
      </c>
      <c r="P923" s="8"/>
      <c r="Q923" s="11"/>
      <c r="R923" s="11"/>
      <c r="S923" s="8">
        <v>8.84</v>
      </c>
      <c r="T923" s="8"/>
      <c r="U923" s="8">
        <v>34</v>
      </c>
      <c r="V923" s="8"/>
      <c r="W923" s="8"/>
      <c r="X923" s="8"/>
      <c r="Y923" s="8"/>
      <c r="Z923" s="8">
        <v>475.92</v>
      </c>
      <c r="AA923" s="8"/>
      <c r="AB923" s="8"/>
      <c r="AC923" s="8"/>
      <c r="AD923" s="8"/>
      <c r="AE923" s="8"/>
      <c r="AF923" s="8">
        <v>113.71</v>
      </c>
      <c r="AG923" s="8"/>
      <c r="AH923" s="8"/>
      <c r="AI923" s="8"/>
      <c r="AJ923" s="8"/>
      <c r="AK923" s="8"/>
      <c r="AL923" s="8"/>
      <c r="AM923" s="8"/>
      <c r="AN923" s="8"/>
      <c r="AO923" s="8"/>
      <c r="AP923" s="11"/>
      <c r="AQ923" s="8">
        <v>34.585999999999999</v>
      </c>
      <c r="AR923" s="8"/>
      <c r="AS923" s="8"/>
      <c r="AT923" s="8">
        <v>1549.17</v>
      </c>
      <c r="AU923" s="8"/>
      <c r="AV923" s="8"/>
      <c r="AW923" s="8">
        <v>6.47</v>
      </c>
      <c r="AX923" s="8"/>
      <c r="AY923" s="8"/>
      <c r="AZ923" s="8"/>
      <c r="BA923" s="8"/>
      <c r="BB923" s="8"/>
      <c r="BC923" s="8"/>
      <c r="BD923" s="8"/>
      <c r="BE923" s="8"/>
      <c r="BF923" s="8">
        <v>108.77</v>
      </c>
      <c r="BG923" s="8">
        <v>112.48</v>
      </c>
      <c r="BH923" s="9">
        <f t="shared" si="126"/>
        <v>2262.96</v>
      </c>
      <c r="BI923" s="9">
        <f t="shared" si="127"/>
        <v>5.67</v>
      </c>
      <c r="BJ923" s="9">
        <f t="shared" si="128"/>
        <v>8.84</v>
      </c>
      <c r="BK923" s="9">
        <f t="shared" si="129"/>
        <v>34</v>
      </c>
      <c r="BL923" s="9">
        <f t="shared" si="130"/>
        <v>475.92</v>
      </c>
      <c r="BM923" s="9">
        <f t="shared" si="131"/>
        <v>148.29599999999999</v>
      </c>
      <c r="BN923" s="9">
        <f t="shared" si="132"/>
        <v>1549.17</v>
      </c>
      <c r="BO923" s="9">
        <f t="shared" si="133"/>
        <v>6.47</v>
      </c>
      <c r="BP923" s="9">
        <f t="shared" si="134"/>
        <v>108.77</v>
      </c>
    </row>
    <row r="924" spans="1:68">
      <c r="A924" s="6">
        <v>44725</v>
      </c>
      <c r="B924" s="7">
        <v>3408</v>
      </c>
      <c r="C924" s="8">
        <v>1373.64</v>
      </c>
      <c r="D924" s="8"/>
      <c r="E924" s="8"/>
      <c r="F924" s="8"/>
      <c r="G924" s="8"/>
      <c r="H924" s="8"/>
      <c r="I924" s="8"/>
      <c r="J924" s="8"/>
      <c r="K924" s="8"/>
      <c r="L924" s="8"/>
      <c r="M924" s="8">
        <v>3.32</v>
      </c>
      <c r="N924" s="8"/>
      <c r="O924" s="8"/>
      <c r="P924" s="8"/>
      <c r="Q924" s="11"/>
      <c r="R924" s="11"/>
      <c r="S924" s="8">
        <v>3.43</v>
      </c>
      <c r="T924" s="8">
        <v>13.74</v>
      </c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11"/>
      <c r="AQ924" s="8"/>
      <c r="AR924" s="8"/>
      <c r="AS924" s="8"/>
      <c r="AT924" s="8">
        <v>702.78</v>
      </c>
      <c r="AU924" s="8"/>
      <c r="AV924" s="8"/>
      <c r="AW924" s="8"/>
      <c r="AX924" s="8"/>
      <c r="AY924" s="8"/>
      <c r="AZ924" s="8"/>
      <c r="BA924" s="8">
        <v>6.2</v>
      </c>
      <c r="BB924" s="8"/>
      <c r="BC924" s="8"/>
      <c r="BD924" s="8"/>
      <c r="BE924" s="8"/>
      <c r="BF924" s="8"/>
      <c r="BG924" s="8">
        <v>48.39</v>
      </c>
      <c r="BH924" s="9">
        <f t="shared" si="126"/>
        <v>1373.64</v>
      </c>
      <c r="BI924" s="9">
        <f t="shared" si="127"/>
        <v>3.32</v>
      </c>
      <c r="BJ924" s="9">
        <f t="shared" si="128"/>
        <v>3.43</v>
      </c>
      <c r="BK924" s="9">
        <f t="shared" si="129"/>
        <v>13.74</v>
      </c>
      <c r="BL924" s="9">
        <f t="shared" si="130"/>
        <v>0</v>
      </c>
      <c r="BM924" s="9">
        <f t="shared" si="131"/>
        <v>0</v>
      </c>
      <c r="BN924" s="9">
        <f t="shared" si="132"/>
        <v>702.78</v>
      </c>
      <c r="BO924" s="9">
        <f t="shared" si="133"/>
        <v>6.2</v>
      </c>
      <c r="BP924" s="9">
        <f t="shared" si="134"/>
        <v>0</v>
      </c>
    </row>
    <row r="925" spans="1:68">
      <c r="A925" s="6">
        <v>44725</v>
      </c>
      <c r="B925" s="7">
        <v>3141</v>
      </c>
      <c r="C925" s="8">
        <v>2433.59</v>
      </c>
      <c r="D925" s="8">
        <v>429.4</v>
      </c>
      <c r="E925" s="8"/>
      <c r="F925" s="8"/>
      <c r="G925" s="8"/>
      <c r="H925" s="8"/>
      <c r="I925" s="8"/>
      <c r="J925" s="8"/>
      <c r="K925" s="8"/>
      <c r="L925" s="8"/>
      <c r="M925" s="8">
        <v>7.47</v>
      </c>
      <c r="N925" s="8"/>
      <c r="O925" s="8"/>
      <c r="P925" s="8"/>
      <c r="Q925" s="11"/>
      <c r="R925" s="11"/>
      <c r="S925" s="8">
        <v>13.47</v>
      </c>
      <c r="T925" s="8">
        <v>21.49</v>
      </c>
      <c r="U925" s="8">
        <v>21.49</v>
      </c>
      <c r="V925" s="8"/>
      <c r="W925" s="8"/>
      <c r="X925" s="8"/>
      <c r="Y925" s="8"/>
      <c r="Z925" s="8"/>
      <c r="AA925" s="8"/>
      <c r="AB925" s="8"/>
      <c r="AC925" s="8">
        <v>11.46</v>
      </c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11"/>
      <c r="AQ925" s="8"/>
      <c r="AR925" s="8"/>
      <c r="AS925" s="8"/>
      <c r="AT925" s="8">
        <v>1901.23</v>
      </c>
      <c r="AU925" s="8"/>
      <c r="AV925" s="8"/>
      <c r="AW925" s="8"/>
      <c r="AX925" s="8"/>
      <c r="AY925" s="8"/>
      <c r="AZ925" s="8"/>
      <c r="BA925" s="8">
        <v>65.59</v>
      </c>
      <c r="BB925" s="8"/>
      <c r="BC925" s="8"/>
      <c r="BD925" s="8"/>
      <c r="BE925" s="8"/>
      <c r="BF925" s="8">
        <v>200.62</v>
      </c>
      <c r="BG925" s="8">
        <v>149.02000000000001</v>
      </c>
      <c r="BH925" s="9">
        <f t="shared" si="126"/>
        <v>2862.9900000000002</v>
      </c>
      <c r="BI925" s="9">
        <f t="shared" si="127"/>
        <v>7.47</v>
      </c>
      <c r="BJ925" s="9">
        <f t="shared" si="128"/>
        <v>13.47</v>
      </c>
      <c r="BK925" s="9">
        <f t="shared" si="129"/>
        <v>42.98</v>
      </c>
      <c r="BL925" s="9">
        <f t="shared" si="130"/>
        <v>0</v>
      </c>
      <c r="BM925" s="9">
        <f t="shared" si="131"/>
        <v>11.46</v>
      </c>
      <c r="BN925" s="9">
        <f t="shared" si="132"/>
        <v>1901.23</v>
      </c>
      <c r="BO925" s="9">
        <f t="shared" si="133"/>
        <v>65.59</v>
      </c>
      <c r="BP925" s="9">
        <f t="shared" si="134"/>
        <v>200.62</v>
      </c>
    </row>
    <row r="926" spans="1:68">
      <c r="A926" s="6">
        <v>44725</v>
      </c>
      <c r="B926" s="7">
        <v>3106</v>
      </c>
      <c r="C926" s="8">
        <v>4153.3599999999997</v>
      </c>
      <c r="D926" s="8"/>
      <c r="E926" s="8"/>
      <c r="F926" s="8"/>
      <c r="G926" s="8"/>
      <c r="H926" s="8"/>
      <c r="I926" s="8"/>
      <c r="J926" s="8"/>
      <c r="K926" s="8"/>
      <c r="L926" s="8"/>
      <c r="M926" s="8">
        <v>11.21</v>
      </c>
      <c r="N926" s="8"/>
      <c r="O926" s="8"/>
      <c r="P926" s="8"/>
      <c r="Q926" s="11"/>
      <c r="R926" s="11"/>
      <c r="S926" s="8">
        <v>12.5</v>
      </c>
      <c r="T926" s="8">
        <v>52.75</v>
      </c>
      <c r="U926" s="8"/>
      <c r="V926" s="8"/>
      <c r="W926" s="8"/>
      <c r="X926" s="8"/>
      <c r="Y926" s="8"/>
      <c r="Z926" s="8"/>
      <c r="AA926" s="8"/>
      <c r="AB926" s="8"/>
      <c r="AC926" s="8">
        <v>10.39</v>
      </c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11"/>
      <c r="AQ926" s="8"/>
      <c r="AR926" s="8"/>
      <c r="AS926" s="8"/>
      <c r="AT926" s="8">
        <v>2377.0500000000002</v>
      </c>
      <c r="AU926" s="8"/>
      <c r="AV926" s="8"/>
      <c r="AW926" s="8"/>
      <c r="AX926" s="8">
        <v>5.2</v>
      </c>
      <c r="AY926" s="8"/>
      <c r="AZ926" s="8"/>
      <c r="BA926" s="8"/>
      <c r="BB926" s="8"/>
      <c r="BC926" s="8"/>
      <c r="BD926" s="8"/>
      <c r="BE926" s="8"/>
      <c r="BF926" s="8"/>
      <c r="BG926" s="8">
        <v>178.64</v>
      </c>
      <c r="BH926" s="9">
        <f t="shared" si="126"/>
        <v>4153.3599999999997</v>
      </c>
      <c r="BI926" s="9">
        <f t="shared" si="127"/>
        <v>11.21</v>
      </c>
      <c r="BJ926" s="9">
        <f t="shared" si="128"/>
        <v>12.5</v>
      </c>
      <c r="BK926" s="9">
        <f t="shared" si="129"/>
        <v>52.75</v>
      </c>
      <c r="BL926" s="9">
        <f t="shared" si="130"/>
        <v>0</v>
      </c>
      <c r="BM926" s="9">
        <f t="shared" si="131"/>
        <v>10.39</v>
      </c>
      <c r="BN926" s="9">
        <f t="shared" si="132"/>
        <v>2377.0500000000002</v>
      </c>
      <c r="BO926" s="9">
        <f t="shared" si="133"/>
        <v>5.2</v>
      </c>
      <c r="BP926" s="9">
        <f t="shared" si="134"/>
        <v>0</v>
      </c>
    </row>
    <row r="927" spans="1:68">
      <c r="A927" s="6">
        <v>44725</v>
      </c>
      <c r="B927" s="7">
        <v>3136</v>
      </c>
      <c r="C927" s="8">
        <v>1237.51</v>
      </c>
      <c r="D927" s="8"/>
      <c r="E927" s="8"/>
      <c r="F927" s="8"/>
      <c r="G927" s="8"/>
      <c r="H927" s="8">
        <v>513.78</v>
      </c>
      <c r="I927" s="8"/>
      <c r="J927" s="8"/>
      <c r="K927" s="8"/>
      <c r="L927" s="8"/>
      <c r="M927" s="8">
        <v>2</v>
      </c>
      <c r="N927" s="8"/>
      <c r="O927" s="8"/>
      <c r="P927" s="8"/>
      <c r="Q927" s="11"/>
      <c r="R927" s="11"/>
      <c r="S927" s="8">
        <v>7.48</v>
      </c>
      <c r="T927" s="8">
        <v>10.66</v>
      </c>
      <c r="U927" s="8">
        <v>9.14</v>
      </c>
      <c r="V927" s="8"/>
      <c r="W927" s="8"/>
      <c r="X927" s="8"/>
      <c r="Y927" s="8"/>
      <c r="Z927" s="8"/>
      <c r="AA927" s="8"/>
      <c r="AB927" s="8"/>
      <c r="AC927" s="8">
        <v>6.09</v>
      </c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11"/>
      <c r="AQ927" s="8"/>
      <c r="AR927" s="8"/>
      <c r="AS927" s="8"/>
      <c r="AT927" s="8">
        <v>991.13</v>
      </c>
      <c r="AU927" s="8"/>
      <c r="AV927" s="8"/>
      <c r="AW927" s="8"/>
      <c r="AX927" s="8"/>
      <c r="AY927" s="8"/>
      <c r="AZ927" s="8"/>
      <c r="BA927" s="8">
        <v>15.1</v>
      </c>
      <c r="BB927" s="8"/>
      <c r="BC927" s="8"/>
      <c r="BD927" s="8"/>
      <c r="BE927" s="8"/>
      <c r="BF927" s="8">
        <v>60.95</v>
      </c>
      <c r="BG927" s="8">
        <v>74.760000000000005</v>
      </c>
      <c r="BH927" s="9">
        <f t="shared" si="126"/>
        <v>1751.29</v>
      </c>
      <c r="BI927" s="9">
        <f t="shared" si="127"/>
        <v>2</v>
      </c>
      <c r="BJ927" s="9">
        <f t="shared" si="128"/>
        <v>7.48</v>
      </c>
      <c r="BK927" s="9">
        <f t="shared" si="129"/>
        <v>19.8</v>
      </c>
      <c r="BL927" s="9">
        <f t="shared" si="130"/>
        <v>0</v>
      </c>
      <c r="BM927" s="9">
        <f t="shared" si="131"/>
        <v>6.09</v>
      </c>
      <c r="BN927" s="9">
        <f t="shared" si="132"/>
        <v>991.13</v>
      </c>
      <c r="BO927" s="9">
        <f t="shared" si="133"/>
        <v>15.1</v>
      </c>
      <c r="BP927" s="9">
        <f t="shared" si="134"/>
        <v>60.95</v>
      </c>
    </row>
    <row r="928" spans="1:68">
      <c r="A928" s="6">
        <v>44726</v>
      </c>
      <c r="B928" s="7">
        <v>3106</v>
      </c>
      <c r="C928" s="8">
        <v>2137.84</v>
      </c>
      <c r="D928" s="8"/>
      <c r="E928" s="8"/>
      <c r="F928" s="8"/>
      <c r="G928" s="8"/>
      <c r="H928" s="8"/>
      <c r="I928" s="8"/>
      <c r="J928" s="8"/>
      <c r="K928" s="8"/>
      <c r="L928" s="8"/>
      <c r="M928" s="8">
        <v>5.75</v>
      </c>
      <c r="N928" s="8"/>
      <c r="O928" s="8"/>
      <c r="P928" s="8"/>
      <c r="Q928" s="11"/>
      <c r="R928" s="11"/>
      <c r="S928" s="8">
        <v>6.44</v>
      </c>
      <c r="T928" s="8">
        <v>27.14</v>
      </c>
      <c r="U928" s="8"/>
      <c r="V928" s="8"/>
      <c r="W928" s="8"/>
      <c r="X928" s="8"/>
      <c r="Y928" s="8"/>
      <c r="Z928" s="8"/>
      <c r="AA928" s="8"/>
      <c r="AB928" s="8"/>
      <c r="AC928" s="8">
        <v>5.35</v>
      </c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11"/>
      <c r="AQ928" s="8"/>
      <c r="AR928" s="8"/>
      <c r="AS928" s="8"/>
      <c r="AT928" s="8">
        <v>1223.3699999999999</v>
      </c>
      <c r="AU928" s="8"/>
      <c r="AV928" s="8"/>
      <c r="AW928" s="8"/>
      <c r="AX928" s="8">
        <v>2.68</v>
      </c>
      <c r="AY928" s="8"/>
      <c r="AZ928" s="8"/>
      <c r="BA928" s="8"/>
      <c r="BB928" s="8"/>
      <c r="BC928" s="8"/>
      <c r="BD928" s="8"/>
      <c r="BE928" s="8"/>
      <c r="BF928" s="8"/>
      <c r="BG928" s="8">
        <v>92.26</v>
      </c>
      <c r="BH928" s="9">
        <f t="shared" si="126"/>
        <v>2137.84</v>
      </c>
      <c r="BI928" s="9">
        <f t="shared" si="127"/>
        <v>5.75</v>
      </c>
      <c r="BJ928" s="9">
        <f t="shared" si="128"/>
        <v>6.44</v>
      </c>
      <c r="BK928" s="9">
        <f t="shared" si="129"/>
        <v>27.14</v>
      </c>
      <c r="BL928" s="9">
        <f t="shared" si="130"/>
        <v>0</v>
      </c>
      <c r="BM928" s="9">
        <f t="shared" si="131"/>
        <v>5.35</v>
      </c>
      <c r="BN928" s="9">
        <f t="shared" si="132"/>
        <v>1223.3699999999999</v>
      </c>
      <c r="BO928" s="9">
        <f t="shared" si="133"/>
        <v>2.68</v>
      </c>
      <c r="BP928" s="9">
        <f t="shared" si="134"/>
        <v>0</v>
      </c>
    </row>
    <row r="929" spans="1:68">
      <c r="A929" s="6">
        <v>44726</v>
      </c>
      <c r="B929" s="7">
        <v>3015</v>
      </c>
      <c r="C929" s="8">
        <v>585.01</v>
      </c>
      <c r="D929" s="8">
        <v>146.37</v>
      </c>
      <c r="E929" s="8"/>
      <c r="F929" s="8"/>
      <c r="G929" s="8"/>
      <c r="H929" s="8"/>
      <c r="I929" s="8"/>
      <c r="J929" s="8"/>
      <c r="K929" s="8"/>
      <c r="L929" s="8"/>
      <c r="M929" s="8"/>
      <c r="N929" s="8">
        <v>1.1000000000000001</v>
      </c>
      <c r="O929" s="8"/>
      <c r="P929" s="8"/>
      <c r="Q929" s="11"/>
      <c r="R929" s="11"/>
      <c r="S929" s="8">
        <v>2.42</v>
      </c>
      <c r="T929" s="8">
        <v>7.34</v>
      </c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11"/>
      <c r="AQ929" s="8"/>
      <c r="AR929" s="8"/>
      <c r="AS929" s="8"/>
      <c r="AT929" s="8">
        <v>365.14</v>
      </c>
      <c r="AU929" s="8"/>
      <c r="AV929" s="8"/>
      <c r="AW929" s="8">
        <v>8.14</v>
      </c>
      <c r="AX929" s="8"/>
      <c r="AY929" s="8"/>
      <c r="AZ929" s="8"/>
      <c r="BA929" s="8"/>
      <c r="BB929" s="8"/>
      <c r="BC929" s="8"/>
      <c r="BD929" s="8"/>
      <c r="BE929" s="8"/>
      <c r="BF929" s="8"/>
      <c r="BG929" s="8">
        <v>26.71</v>
      </c>
      <c r="BH929" s="9">
        <f t="shared" si="126"/>
        <v>731.38</v>
      </c>
      <c r="BI929" s="9">
        <f t="shared" si="127"/>
        <v>1.1000000000000001</v>
      </c>
      <c r="BJ929" s="9">
        <f t="shared" si="128"/>
        <v>2.42</v>
      </c>
      <c r="BK929" s="9">
        <f t="shared" si="129"/>
        <v>7.34</v>
      </c>
      <c r="BL929" s="9">
        <f t="shared" si="130"/>
        <v>0</v>
      </c>
      <c r="BM929" s="9">
        <f t="shared" si="131"/>
        <v>0</v>
      </c>
      <c r="BN929" s="9">
        <f t="shared" si="132"/>
        <v>365.14</v>
      </c>
      <c r="BO929" s="9">
        <f t="shared" si="133"/>
        <v>8.14</v>
      </c>
      <c r="BP929" s="9">
        <f t="shared" si="134"/>
        <v>0</v>
      </c>
    </row>
    <row r="930" spans="1:68">
      <c r="A930" s="6">
        <v>44726</v>
      </c>
      <c r="B930" s="7">
        <v>3010</v>
      </c>
      <c r="C930" s="8">
        <v>656.01</v>
      </c>
      <c r="D930" s="8">
        <v>436.83</v>
      </c>
      <c r="E930" s="8"/>
      <c r="F930" s="8"/>
      <c r="G930" s="8"/>
      <c r="H930" s="8"/>
      <c r="I930" s="8"/>
      <c r="J930" s="8"/>
      <c r="K930" s="8"/>
      <c r="L930" s="8"/>
      <c r="M930" s="8"/>
      <c r="N930" s="8">
        <v>2.19</v>
      </c>
      <c r="O930" s="8"/>
      <c r="P930" s="8"/>
      <c r="Q930" s="11"/>
      <c r="R930" s="11"/>
      <c r="S930" s="8">
        <v>2.95</v>
      </c>
      <c r="T930" s="8">
        <v>10.91</v>
      </c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11"/>
      <c r="AQ930" s="8"/>
      <c r="AR930" s="8"/>
      <c r="AS930" s="8"/>
      <c r="AT930" s="8">
        <v>366.29</v>
      </c>
      <c r="AU930" s="8"/>
      <c r="AV930" s="8"/>
      <c r="AW930" s="8">
        <v>12.12</v>
      </c>
      <c r="AX930" s="8"/>
      <c r="AY930" s="8"/>
      <c r="AZ930" s="8"/>
      <c r="BA930" s="8"/>
      <c r="BB930" s="8"/>
      <c r="BC930" s="8"/>
      <c r="BD930" s="8"/>
      <c r="BE930" s="8"/>
      <c r="BF930" s="8"/>
      <c r="BG930" s="8">
        <v>24.13</v>
      </c>
      <c r="BH930" s="9">
        <f t="shared" si="126"/>
        <v>1092.8399999999999</v>
      </c>
      <c r="BI930" s="9">
        <f t="shared" si="127"/>
        <v>2.19</v>
      </c>
      <c r="BJ930" s="9">
        <f t="shared" si="128"/>
        <v>2.95</v>
      </c>
      <c r="BK930" s="9">
        <f t="shared" si="129"/>
        <v>10.91</v>
      </c>
      <c r="BL930" s="9">
        <f t="shared" si="130"/>
        <v>0</v>
      </c>
      <c r="BM930" s="9">
        <f t="shared" si="131"/>
        <v>0</v>
      </c>
      <c r="BN930" s="9">
        <f t="shared" si="132"/>
        <v>366.29</v>
      </c>
      <c r="BO930" s="9">
        <f t="shared" si="133"/>
        <v>12.12</v>
      </c>
      <c r="BP930" s="9">
        <f t="shared" si="134"/>
        <v>0</v>
      </c>
    </row>
    <row r="931" spans="1:68">
      <c r="A931" s="6">
        <v>44726</v>
      </c>
      <c r="B931" s="7">
        <v>3028</v>
      </c>
      <c r="C931" s="8"/>
      <c r="D931" s="8">
        <v>428.2</v>
      </c>
      <c r="E931" s="8"/>
      <c r="F931" s="8">
        <v>393.75</v>
      </c>
      <c r="G931" s="8"/>
      <c r="H931" s="8"/>
      <c r="I931" s="8">
        <v>890.32</v>
      </c>
      <c r="J931" s="8"/>
      <c r="K931" s="8"/>
      <c r="L931" s="8"/>
      <c r="M931" s="8"/>
      <c r="N931" s="8">
        <v>12.85</v>
      </c>
      <c r="O931" s="8"/>
      <c r="P931" s="8"/>
      <c r="Q931" s="11"/>
      <c r="R931" s="11"/>
      <c r="S931" s="8">
        <v>2.4</v>
      </c>
      <c r="T931" s="8"/>
      <c r="U931" s="8"/>
      <c r="V931" s="8"/>
      <c r="W931" s="8">
        <v>13.018000000000001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>
        <v>17.11</v>
      </c>
      <c r="AN931" s="8">
        <v>11.978999999999999</v>
      </c>
      <c r="AO931" s="8"/>
      <c r="AP931" s="11"/>
      <c r="AQ931" s="8"/>
      <c r="AR931" s="8"/>
      <c r="AS931" s="8">
        <v>56.814</v>
      </c>
      <c r="AT931" s="8">
        <v>571.35</v>
      </c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>
        <v>39.020000000000003</v>
      </c>
      <c r="BH931" s="9">
        <f t="shared" si="126"/>
        <v>1712.27</v>
      </c>
      <c r="BI931" s="9">
        <f t="shared" si="127"/>
        <v>12.85</v>
      </c>
      <c r="BJ931" s="9">
        <f t="shared" si="128"/>
        <v>2.4</v>
      </c>
      <c r="BK931" s="9">
        <f t="shared" si="129"/>
        <v>13.018000000000001</v>
      </c>
      <c r="BL931" s="9">
        <f t="shared" si="130"/>
        <v>0</v>
      </c>
      <c r="BM931" s="9">
        <f t="shared" si="131"/>
        <v>85.902999999999992</v>
      </c>
      <c r="BN931" s="9">
        <f t="shared" si="132"/>
        <v>571.35</v>
      </c>
      <c r="BO931" s="9">
        <f t="shared" si="133"/>
        <v>0</v>
      </c>
      <c r="BP931" s="9">
        <f t="shared" si="134"/>
        <v>0</v>
      </c>
    </row>
    <row r="932" spans="1:68">
      <c r="A932" s="6">
        <v>44726</v>
      </c>
      <c r="B932" s="7">
        <v>3022</v>
      </c>
      <c r="C932" s="8"/>
      <c r="D932" s="8">
        <v>1058.31</v>
      </c>
      <c r="E932" s="8"/>
      <c r="F932" s="8"/>
      <c r="G932" s="8"/>
      <c r="H932" s="8"/>
      <c r="I932" s="8">
        <v>863.79</v>
      </c>
      <c r="J932" s="8"/>
      <c r="K932" s="8"/>
      <c r="L932" s="8"/>
      <c r="M932" s="8"/>
      <c r="N932" s="8">
        <v>9.6300000000000008</v>
      </c>
      <c r="O932" s="8"/>
      <c r="P932" s="8"/>
      <c r="Q932" s="11"/>
      <c r="R932" s="11"/>
      <c r="S932" s="8">
        <v>3.46</v>
      </c>
      <c r="T932" s="8"/>
      <c r="U932" s="8"/>
      <c r="V932" s="8"/>
      <c r="W932" s="8">
        <v>19.635999999999999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>
        <v>24.99</v>
      </c>
      <c r="AN932" s="8"/>
      <c r="AO932" s="8"/>
      <c r="AP932" s="11"/>
      <c r="AQ932" s="8"/>
      <c r="AR932" s="8"/>
      <c r="AS932" s="8">
        <v>67.468999999999994</v>
      </c>
      <c r="AT932" s="8">
        <v>899.11</v>
      </c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>
        <v>69.12</v>
      </c>
      <c r="BH932" s="9">
        <f t="shared" si="126"/>
        <v>1922.1</v>
      </c>
      <c r="BI932" s="9">
        <f t="shared" si="127"/>
        <v>9.6300000000000008</v>
      </c>
      <c r="BJ932" s="9">
        <f t="shared" si="128"/>
        <v>3.46</v>
      </c>
      <c r="BK932" s="9">
        <f t="shared" si="129"/>
        <v>19.635999999999999</v>
      </c>
      <c r="BL932" s="9">
        <f t="shared" si="130"/>
        <v>0</v>
      </c>
      <c r="BM932" s="9">
        <f t="shared" si="131"/>
        <v>92.458999999999989</v>
      </c>
      <c r="BN932" s="9">
        <f t="shared" si="132"/>
        <v>899.11</v>
      </c>
      <c r="BO932" s="9">
        <f t="shared" si="133"/>
        <v>0</v>
      </c>
      <c r="BP932" s="9">
        <f t="shared" si="134"/>
        <v>0</v>
      </c>
    </row>
    <row r="933" spans="1:68">
      <c r="A933" s="6">
        <v>44726</v>
      </c>
      <c r="B933" s="7">
        <v>3029</v>
      </c>
      <c r="C933" s="8"/>
      <c r="D933" s="8">
        <f>672.85+28.97</f>
        <v>701.82</v>
      </c>
      <c r="E933" s="8"/>
      <c r="F933" s="8">
        <f>475.2+20.43</f>
        <v>495.63</v>
      </c>
      <c r="G933" s="8"/>
      <c r="H933" s="8"/>
      <c r="I933" s="8">
        <f>2810.06+121.55</f>
        <v>2931.61</v>
      </c>
      <c r="J933" s="8"/>
      <c r="K933" s="8"/>
      <c r="L933" s="8"/>
      <c r="M933" s="8"/>
      <c r="N933" s="8">
        <f>30.51+1.33</f>
        <v>31.840000000000003</v>
      </c>
      <c r="O933" s="8"/>
      <c r="P933" s="8"/>
      <c r="Q933" s="11"/>
      <c r="R933" s="11"/>
      <c r="S933" s="8">
        <f>2.3+0.1</f>
        <v>2.4</v>
      </c>
      <c r="T933" s="8"/>
      <c r="U933" s="8"/>
      <c r="V933" s="8"/>
      <c r="W933" s="8">
        <v>41.707000000000001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>
        <f>13.83+0.6</f>
        <v>14.43</v>
      </c>
      <c r="AN933" s="8">
        <v>21.114999999999998</v>
      </c>
      <c r="AO933" s="8"/>
      <c r="AP933" s="11"/>
      <c r="AQ933" s="8"/>
      <c r="AR933" s="8">
        <v>149.01900000000001</v>
      </c>
      <c r="AS933" s="8"/>
      <c r="AT933" s="8">
        <f>1502.75+65.08</f>
        <v>1567.83</v>
      </c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>
        <f>105.12+4.54</f>
        <v>109.66000000000001</v>
      </c>
      <c r="BH933" s="9">
        <f t="shared" si="126"/>
        <v>4129.0600000000004</v>
      </c>
      <c r="BI933" s="9">
        <f t="shared" si="127"/>
        <v>31.840000000000003</v>
      </c>
      <c r="BJ933" s="9">
        <f t="shared" si="128"/>
        <v>2.4</v>
      </c>
      <c r="BK933" s="9">
        <f t="shared" si="129"/>
        <v>41.707000000000001</v>
      </c>
      <c r="BL933" s="9">
        <f t="shared" si="130"/>
        <v>0</v>
      </c>
      <c r="BM933" s="9">
        <f t="shared" si="131"/>
        <v>184.56400000000002</v>
      </c>
      <c r="BN933" s="9">
        <f t="shared" si="132"/>
        <v>1567.83</v>
      </c>
      <c r="BO933" s="9">
        <f t="shared" si="133"/>
        <v>0</v>
      </c>
      <c r="BP933" s="9">
        <f t="shared" si="134"/>
        <v>0</v>
      </c>
    </row>
    <row r="934" spans="1:68">
      <c r="A934" s="6">
        <v>44726</v>
      </c>
      <c r="B934" s="7">
        <v>3081</v>
      </c>
      <c r="C934" s="8"/>
      <c r="D934" s="8">
        <v>300.32</v>
      </c>
      <c r="E934" s="8"/>
      <c r="F934" s="8">
        <v>338.49</v>
      </c>
      <c r="G934" s="8"/>
      <c r="H934" s="8"/>
      <c r="I934" s="8">
        <v>1234.3800000000001</v>
      </c>
      <c r="J934" s="8"/>
      <c r="K934" s="8"/>
      <c r="L934" s="8"/>
      <c r="M934" s="8"/>
      <c r="N934" s="8">
        <v>13.74</v>
      </c>
      <c r="O934" s="8"/>
      <c r="P934" s="8">
        <v>7.3079999999999998</v>
      </c>
      <c r="Q934" s="11"/>
      <c r="R934" s="11"/>
      <c r="S934" s="8">
        <v>1.31</v>
      </c>
      <c r="T934" s="8">
        <v>18.809999999999999</v>
      </c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11"/>
      <c r="AQ934" s="8">
        <v>18.349</v>
      </c>
      <c r="AR934" s="8">
        <v>65.846999999999994</v>
      </c>
      <c r="AS934" s="8"/>
      <c r="AT934" s="8">
        <v>588.20000000000005</v>
      </c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>
        <v>39.22</v>
      </c>
      <c r="BH934" s="9">
        <f t="shared" si="126"/>
        <v>1873.19</v>
      </c>
      <c r="BI934" s="9">
        <f t="shared" si="127"/>
        <v>21.048000000000002</v>
      </c>
      <c r="BJ934" s="9">
        <f t="shared" si="128"/>
        <v>1.31</v>
      </c>
      <c r="BK934" s="9">
        <f t="shared" si="129"/>
        <v>18.809999999999999</v>
      </c>
      <c r="BL934" s="9">
        <f t="shared" si="130"/>
        <v>0</v>
      </c>
      <c r="BM934" s="9">
        <f t="shared" si="131"/>
        <v>84.195999999999998</v>
      </c>
      <c r="BN934" s="9">
        <f t="shared" si="132"/>
        <v>588.20000000000005</v>
      </c>
      <c r="BO934" s="9">
        <f t="shared" si="133"/>
        <v>0</v>
      </c>
      <c r="BP934" s="9">
        <f t="shared" si="134"/>
        <v>0</v>
      </c>
    </row>
    <row r="935" spans="1:68">
      <c r="A935" s="6">
        <v>44726</v>
      </c>
      <c r="B935" s="7">
        <v>3141</v>
      </c>
      <c r="C935" s="8">
        <v>2441.6799999999998</v>
      </c>
      <c r="D935" s="8">
        <v>431.34</v>
      </c>
      <c r="E935" s="8"/>
      <c r="F935" s="8"/>
      <c r="G935" s="8"/>
      <c r="H935" s="8"/>
      <c r="I935" s="8"/>
      <c r="J935" s="8"/>
      <c r="K935" s="8"/>
      <c r="L935" s="8"/>
      <c r="M935" s="8">
        <v>7.54</v>
      </c>
      <c r="N935" s="8"/>
      <c r="O935" s="8"/>
      <c r="P935" s="8"/>
      <c r="Q935" s="11"/>
      <c r="R935" s="11"/>
      <c r="S935" s="8">
        <v>13.53</v>
      </c>
      <c r="T935" s="8">
        <v>21.6</v>
      </c>
      <c r="U935" s="8">
        <v>21.59</v>
      </c>
      <c r="V935" s="8"/>
      <c r="W935" s="8"/>
      <c r="X935" s="8"/>
      <c r="Y935" s="8"/>
      <c r="Z935" s="8"/>
      <c r="AA935" s="8"/>
      <c r="AB935" s="8"/>
      <c r="AC935" s="8">
        <v>11.51</v>
      </c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11"/>
      <c r="AQ935" s="8"/>
      <c r="AR935" s="8"/>
      <c r="AS935" s="8"/>
      <c r="AT935" s="8">
        <v>1906.39</v>
      </c>
      <c r="AU935" s="8"/>
      <c r="AV935" s="8"/>
      <c r="AW935" s="8"/>
      <c r="AX935" s="8"/>
      <c r="AY935" s="8"/>
      <c r="AZ935" s="8"/>
      <c r="BA935" s="8">
        <v>65.930000000000007</v>
      </c>
      <c r="BB935" s="8"/>
      <c r="BC935" s="8"/>
      <c r="BD935" s="8"/>
      <c r="BE935" s="8"/>
      <c r="BF935" s="8">
        <v>201.27</v>
      </c>
      <c r="BG935" s="8">
        <v>149.44999999999999</v>
      </c>
      <c r="BH935" s="9">
        <f t="shared" si="126"/>
        <v>2873.02</v>
      </c>
      <c r="BI935" s="9">
        <f t="shared" si="127"/>
        <v>7.54</v>
      </c>
      <c r="BJ935" s="9">
        <f t="shared" si="128"/>
        <v>13.53</v>
      </c>
      <c r="BK935" s="9">
        <f t="shared" si="129"/>
        <v>43.19</v>
      </c>
      <c r="BL935" s="9">
        <f t="shared" si="130"/>
        <v>0</v>
      </c>
      <c r="BM935" s="9">
        <f t="shared" si="131"/>
        <v>11.51</v>
      </c>
      <c r="BN935" s="9">
        <f t="shared" si="132"/>
        <v>1906.39</v>
      </c>
      <c r="BO935" s="9">
        <f t="shared" si="133"/>
        <v>65.930000000000007</v>
      </c>
      <c r="BP935" s="9">
        <f t="shared" si="134"/>
        <v>201.27</v>
      </c>
    </row>
    <row r="936" spans="1:68">
      <c r="A936" s="6">
        <v>44726</v>
      </c>
      <c r="B936" s="7">
        <v>3134</v>
      </c>
      <c r="C936" s="8">
        <v>1078.23</v>
      </c>
      <c r="D936" s="8">
        <v>150.56</v>
      </c>
      <c r="E936" s="8"/>
      <c r="F936" s="8"/>
      <c r="G936" s="8"/>
      <c r="H936" s="8">
        <v>509.4</v>
      </c>
      <c r="I936" s="8"/>
      <c r="J936" s="8"/>
      <c r="K936" s="8"/>
      <c r="L936" s="8"/>
      <c r="M936" s="8">
        <v>3.38</v>
      </c>
      <c r="N936" s="8"/>
      <c r="O936" s="8"/>
      <c r="P936" s="8"/>
      <c r="Q936" s="11"/>
      <c r="R936" s="11"/>
      <c r="S936" s="8">
        <v>6.95</v>
      </c>
      <c r="T936" s="8">
        <v>10.6</v>
      </c>
      <c r="U936" s="8">
        <v>9.07</v>
      </c>
      <c r="V936" s="8"/>
      <c r="W936" s="8"/>
      <c r="X936" s="8"/>
      <c r="Y936" s="8"/>
      <c r="Z936" s="8"/>
      <c r="AA936" s="8"/>
      <c r="AB936" s="8"/>
      <c r="AC936" s="8">
        <v>6.04</v>
      </c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11"/>
      <c r="AQ936" s="8"/>
      <c r="AR936" s="8"/>
      <c r="AS936" s="8"/>
      <c r="AT936" s="8">
        <v>1067.6199999999999</v>
      </c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>
        <v>68.05</v>
      </c>
      <c r="BG936" s="8">
        <v>80.05</v>
      </c>
      <c r="BH936" s="9">
        <f t="shared" si="126"/>
        <v>1738.19</v>
      </c>
      <c r="BI936" s="9">
        <f t="shared" si="127"/>
        <v>3.38</v>
      </c>
      <c r="BJ936" s="9">
        <f t="shared" si="128"/>
        <v>6.95</v>
      </c>
      <c r="BK936" s="9">
        <f t="shared" si="129"/>
        <v>19.670000000000002</v>
      </c>
      <c r="BL936" s="9">
        <f t="shared" si="130"/>
        <v>0</v>
      </c>
      <c r="BM936" s="9">
        <f t="shared" si="131"/>
        <v>6.04</v>
      </c>
      <c r="BN936" s="9">
        <f t="shared" si="132"/>
        <v>1067.6199999999999</v>
      </c>
      <c r="BO936" s="9">
        <f t="shared" si="133"/>
        <v>0</v>
      </c>
      <c r="BP936" s="9">
        <f t="shared" si="134"/>
        <v>68.05</v>
      </c>
    </row>
    <row r="937" spans="1:68">
      <c r="A937" s="6">
        <v>44726</v>
      </c>
      <c r="B937" s="7">
        <v>3135</v>
      </c>
      <c r="C937" s="8">
        <v>1048.79</v>
      </c>
      <c r="D937" s="8">
        <v>146.72999999999999</v>
      </c>
      <c r="E937" s="8"/>
      <c r="F937" s="8"/>
      <c r="G937" s="8"/>
      <c r="H937" s="8">
        <v>495.17</v>
      </c>
      <c r="I937" s="8"/>
      <c r="J937" s="8"/>
      <c r="K937" s="8"/>
      <c r="L937" s="8"/>
      <c r="M937" s="8">
        <v>3.57</v>
      </c>
      <c r="N937" s="8"/>
      <c r="O937" s="8"/>
      <c r="P937" s="8"/>
      <c r="Q937" s="11"/>
      <c r="R937" s="11"/>
      <c r="S937" s="8">
        <v>6.77</v>
      </c>
      <c r="T937" s="8">
        <v>10.29</v>
      </c>
      <c r="U937" s="8">
        <v>8.7899999999999991</v>
      </c>
      <c r="V937" s="8"/>
      <c r="W937" s="8"/>
      <c r="X937" s="8"/>
      <c r="Y937" s="8"/>
      <c r="Z937" s="8"/>
      <c r="AA937" s="8"/>
      <c r="AB937" s="8"/>
      <c r="AC937" s="8">
        <v>5.88</v>
      </c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11"/>
      <c r="AQ937" s="8"/>
      <c r="AR937" s="8"/>
      <c r="AS937" s="8"/>
      <c r="AT937" s="8">
        <v>1036.69</v>
      </c>
      <c r="AU937" s="8"/>
      <c r="AV937" s="8"/>
      <c r="AW937" s="8"/>
      <c r="AX937" s="8"/>
      <c r="AY937" s="8">
        <v>14.794</v>
      </c>
      <c r="AZ937" s="8"/>
      <c r="BA937" s="8">
        <v>33.53</v>
      </c>
      <c r="BB937" s="8"/>
      <c r="BC937" s="8"/>
      <c r="BD937" s="8"/>
      <c r="BE937" s="8"/>
      <c r="BF937" s="8">
        <v>66.319999999999993</v>
      </c>
      <c r="BG937" s="8">
        <v>78.239999999999995</v>
      </c>
      <c r="BH937" s="9">
        <f t="shared" si="126"/>
        <v>1690.69</v>
      </c>
      <c r="BI937" s="9">
        <f t="shared" si="127"/>
        <v>3.57</v>
      </c>
      <c r="BJ937" s="9">
        <f t="shared" si="128"/>
        <v>6.77</v>
      </c>
      <c r="BK937" s="9">
        <f t="shared" si="129"/>
        <v>19.079999999999998</v>
      </c>
      <c r="BL937" s="9">
        <f t="shared" si="130"/>
        <v>0</v>
      </c>
      <c r="BM937" s="9">
        <f t="shared" si="131"/>
        <v>5.88</v>
      </c>
      <c r="BN937" s="9">
        <f t="shared" si="132"/>
        <v>1036.69</v>
      </c>
      <c r="BO937" s="9">
        <f t="shared" si="133"/>
        <v>48.323999999999998</v>
      </c>
      <c r="BP937" s="9">
        <f t="shared" si="134"/>
        <v>66.319999999999993</v>
      </c>
    </row>
    <row r="938" spans="1:68">
      <c r="A938" s="6">
        <v>44726</v>
      </c>
      <c r="B938" s="7">
        <v>3602</v>
      </c>
      <c r="C938" s="8">
        <v>564.54999999999995</v>
      </c>
      <c r="D938" s="8"/>
      <c r="E938" s="8"/>
      <c r="F938" s="8"/>
      <c r="G938" s="8">
        <v>847.96</v>
      </c>
      <c r="H938" s="8"/>
      <c r="I938" s="8"/>
      <c r="J938" s="8"/>
      <c r="K938" s="8"/>
      <c r="L938" s="8"/>
      <c r="M938" s="8">
        <v>1.37</v>
      </c>
      <c r="N938" s="8"/>
      <c r="O938" s="8"/>
      <c r="P938" s="8"/>
      <c r="Q938" s="11"/>
      <c r="R938" s="11"/>
      <c r="S938" s="8">
        <v>7.71</v>
      </c>
      <c r="T938" s="8"/>
      <c r="U938" s="8">
        <v>4.54</v>
      </c>
      <c r="V938" s="8">
        <v>13.672000000000001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11"/>
      <c r="AQ938" s="8"/>
      <c r="AR938" s="8"/>
      <c r="AS938" s="8"/>
      <c r="AT938" s="8">
        <v>591.19000000000005</v>
      </c>
      <c r="AU938" s="8"/>
      <c r="AV938" s="8"/>
      <c r="AW938" s="8">
        <v>36.65</v>
      </c>
      <c r="AX938" s="8"/>
      <c r="AY938" s="8"/>
      <c r="AZ938" s="8"/>
      <c r="BA938" s="8"/>
      <c r="BB938" s="8"/>
      <c r="BC938" s="8"/>
      <c r="BD938" s="8"/>
      <c r="BE938" s="8"/>
      <c r="BF938" s="8">
        <v>45.4</v>
      </c>
      <c r="BG938" s="8">
        <v>44.39</v>
      </c>
      <c r="BH938" s="9">
        <f t="shared" si="126"/>
        <v>1412.51</v>
      </c>
      <c r="BI938" s="9">
        <f t="shared" si="127"/>
        <v>1.37</v>
      </c>
      <c r="BJ938" s="9">
        <f t="shared" si="128"/>
        <v>7.71</v>
      </c>
      <c r="BK938" s="9">
        <f t="shared" si="129"/>
        <v>18.212</v>
      </c>
      <c r="BL938" s="9">
        <f t="shared" si="130"/>
        <v>0</v>
      </c>
      <c r="BM938" s="9">
        <f t="shared" si="131"/>
        <v>0</v>
      </c>
      <c r="BN938" s="9">
        <f t="shared" si="132"/>
        <v>591.19000000000005</v>
      </c>
      <c r="BO938" s="9">
        <f t="shared" si="133"/>
        <v>36.65</v>
      </c>
      <c r="BP938" s="9">
        <f t="shared" si="134"/>
        <v>45.4</v>
      </c>
    </row>
    <row r="939" spans="1:68">
      <c r="A939" s="6">
        <v>44727</v>
      </c>
      <c r="B939" s="7">
        <v>3602</v>
      </c>
      <c r="C939" s="8">
        <v>566.30999999999995</v>
      </c>
      <c r="D939" s="8"/>
      <c r="E939" s="8"/>
      <c r="F939" s="8"/>
      <c r="G939" s="8">
        <v>848.58</v>
      </c>
      <c r="H939" s="8"/>
      <c r="I939" s="8"/>
      <c r="J939" s="8"/>
      <c r="K939" s="8"/>
      <c r="L939" s="8"/>
      <c r="M939" s="8">
        <v>1.35</v>
      </c>
      <c r="N939" s="8"/>
      <c r="O939" s="8"/>
      <c r="P939" s="8"/>
      <c r="Q939" s="11"/>
      <c r="R939" s="11"/>
      <c r="S939" s="8">
        <v>7.67</v>
      </c>
      <c r="T939" s="8"/>
      <c r="U939" s="8">
        <v>4.54</v>
      </c>
      <c r="V939" s="8">
        <v>13.656000000000001</v>
      </c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11"/>
      <c r="AQ939" s="8"/>
      <c r="AR939" s="8"/>
      <c r="AS939" s="8"/>
      <c r="AT939" s="8">
        <v>592.45000000000005</v>
      </c>
      <c r="AU939" s="8"/>
      <c r="AV939" s="8"/>
      <c r="AW939" s="8">
        <v>36.659999999999997</v>
      </c>
      <c r="AX939" s="8"/>
      <c r="AY939" s="8"/>
      <c r="AZ939" s="8"/>
      <c r="BA939" s="8"/>
      <c r="BB939" s="8"/>
      <c r="BC939" s="8"/>
      <c r="BD939" s="8"/>
      <c r="BE939" s="8"/>
      <c r="BF939" s="8">
        <v>45.42</v>
      </c>
      <c r="BG939" s="8">
        <v>44.05</v>
      </c>
      <c r="BH939" s="9">
        <f t="shared" si="126"/>
        <v>1414.8899999999999</v>
      </c>
      <c r="BI939" s="9">
        <f t="shared" si="127"/>
        <v>1.35</v>
      </c>
      <c r="BJ939" s="9">
        <f t="shared" si="128"/>
        <v>7.67</v>
      </c>
      <c r="BK939" s="9">
        <f t="shared" si="129"/>
        <v>18.196000000000002</v>
      </c>
      <c r="BL939" s="9">
        <f t="shared" si="130"/>
        <v>0</v>
      </c>
      <c r="BM939" s="9">
        <f t="shared" si="131"/>
        <v>0</v>
      </c>
      <c r="BN939" s="9">
        <f t="shared" si="132"/>
        <v>592.45000000000005</v>
      </c>
      <c r="BO939" s="9">
        <f t="shared" si="133"/>
        <v>36.659999999999997</v>
      </c>
      <c r="BP939" s="9">
        <f t="shared" si="134"/>
        <v>45.42</v>
      </c>
    </row>
    <row r="940" spans="1:68">
      <c r="A940" s="6">
        <v>44727</v>
      </c>
      <c r="B940" s="7">
        <v>3203</v>
      </c>
      <c r="C940" s="8">
        <v>1653.61</v>
      </c>
      <c r="D940" s="8"/>
      <c r="E940" s="8">
        <v>709.84</v>
      </c>
      <c r="F940" s="8"/>
      <c r="G940" s="8"/>
      <c r="H940" s="8"/>
      <c r="I940" s="8"/>
      <c r="J940" s="8"/>
      <c r="K940" s="8"/>
      <c r="L940" s="8"/>
      <c r="M940" s="8"/>
      <c r="N940" s="8"/>
      <c r="O940" s="8">
        <v>7.11</v>
      </c>
      <c r="P940" s="8"/>
      <c r="Q940" s="11"/>
      <c r="R940" s="11"/>
      <c r="S940" s="8">
        <v>9.25</v>
      </c>
      <c r="T940" s="8"/>
      <c r="U940" s="8">
        <v>29.4</v>
      </c>
      <c r="V940" s="8"/>
      <c r="W940" s="8"/>
      <c r="X940" s="8"/>
      <c r="Y940" s="8"/>
      <c r="Z940" s="8">
        <v>373.02</v>
      </c>
      <c r="AA940" s="8">
        <v>290.40499999999997</v>
      </c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11"/>
      <c r="AQ940" s="8"/>
      <c r="AR940" s="8"/>
      <c r="AS940" s="8"/>
      <c r="AT940" s="8">
        <v>889.63</v>
      </c>
      <c r="AU940" s="8">
        <v>442.48</v>
      </c>
      <c r="AV940" s="8"/>
      <c r="AW940" s="8"/>
      <c r="AX940" s="8"/>
      <c r="AY940" s="8"/>
      <c r="AZ940" s="8"/>
      <c r="BA940" s="8"/>
      <c r="BB940" s="8"/>
      <c r="BC940" s="8">
        <v>6.16</v>
      </c>
      <c r="BD940" s="8"/>
      <c r="BE940" s="8"/>
      <c r="BF940" s="8"/>
      <c r="BG940" s="8">
        <v>86.32</v>
      </c>
      <c r="BH940" s="9">
        <f t="shared" si="126"/>
        <v>2363.4499999999998</v>
      </c>
      <c r="BI940" s="9">
        <f t="shared" si="127"/>
        <v>7.11</v>
      </c>
      <c r="BJ940" s="9">
        <f t="shared" si="128"/>
        <v>9.25</v>
      </c>
      <c r="BK940" s="9">
        <f t="shared" si="129"/>
        <v>29.4</v>
      </c>
      <c r="BL940" s="9">
        <f t="shared" si="130"/>
        <v>663.42499999999995</v>
      </c>
      <c r="BM940" s="9">
        <f t="shared" si="131"/>
        <v>0</v>
      </c>
      <c r="BN940" s="9">
        <f t="shared" si="132"/>
        <v>1332.1100000000001</v>
      </c>
      <c r="BO940" s="9">
        <f t="shared" si="133"/>
        <v>6.16</v>
      </c>
      <c r="BP940" s="9">
        <f t="shared" si="134"/>
        <v>0</v>
      </c>
    </row>
    <row r="941" spans="1:68">
      <c r="A941" s="6">
        <v>44727</v>
      </c>
      <c r="B941" s="7">
        <v>3205</v>
      </c>
      <c r="C941" s="8">
        <v>662.36</v>
      </c>
      <c r="D941" s="8">
        <v>369.28</v>
      </c>
      <c r="E941" s="8">
        <v>442.74</v>
      </c>
      <c r="F941" s="8"/>
      <c r="G941" s="8"/>
      <c r="H941" s="8"/>
      <c r="I941" s="8"/>
      <c r="J941" s="8"/>
      <c r="K941" s="8"/>
      <c r="L941" s="8"/>
      <c r="M941" s="8"/>
      <c r="N941" s="8"/>
      <c r="O941" s="8">
        <v>5.92</v>
      </c>
      <c r="P941" s="8"/>
      <c r="Q941" s="11"/>
      <c r="R941" s="11"/>
      <c r="S941" s="8">
        <v>5.47</v>
      </c>
      <c r="T941" s="8"/>
      <c r="U941" s="8">
        <v>17.75</v>
      </c>
      <c r="V941" s="8"/>
      <c r="W941" s="8"/>
      <c r="X941" s="8"/>
      <c r="Y941" s="8"/>
      <c r="Z941" s="8">
        <v>147.9</v>
      </c>
      <c r="AA941" s="8"/>
      <c r="AB941" s="8">
        <v>15.06</v>
      </c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11"/>
      <c r="AQ941" s="8">
        <v>7.508</v>
      </c>
      <c r="AR941" s="8"/>
      <c r="AS941" s="8"/>
      <c r="AT941" s="8">
        <v>385.61</v>
      </c>
      <c r="AU941" s="8">
        <v>192.75</v>
      </c>
      <c r="AV941" s="8"/>
      <c r="AW941" s="8">
        <v>6.4</v>
      </c>
      <c r="AX941" s="8"/>
      <c r="AY941" s="8"/>
      <c r="AZ941" s="8"/>
      <c r="BA941" s="8"/>
      <c r="BB941" s="8"/>
      <c r="BC941" s="8"/>
      <c r="BD941" s="8"/>
      <c r="BE941" s="8"/>
      <c r="BF941" s="8"/>
      <c r="BG941" s="8">
        <v>34.86</v>
      </c>
      <c r="BH941" s="9">
        <f t="shared" si="126"/>
        <v>1474.3799999999999</v>
      </c>
      <c r="BI941" s="9">
        <f t="shared" si="127"/>
        <v>5.92</v>
      </c>
      <c r="BJ941" s="9">
        <f t="shared" si="128"/>
        <v>5.47</v>
      </c>
      <c r="BK941" s="9">
        <f t="shared" si="129"/>
        <v>17.75</v>
      </c>
      <c r="BL941" s="9">
        <f t="shared" si="130"/>
        <v>147.9</v>
      </c>
      <c r="BM941" s="9">
        <f t="shared" si="131"/>
        <v>22.568000000000001</v>
      </c>
      <c r="BN941" s="9">
        <f t="shared" si="132"/>
        <v>578.36</v>
      </c>
      <c r="BO941" s="9">
        <f t="shared" si="133"/>
        <v>6.4</v>
      </c>
      <c r="BP941" s="9">
        <f t="shared" si="134"/>
        <v>0</v>
      </c>
    </row>
    <row r="942" spans="1:68">
      <c r="A942" s="6">
        <v>44727</v>
      </c>
      <c r="B942" s="7">
        <v>3020</v>
      </c>
      <c r="C942" s="8"/>
      <c r="D942" s="8">
        <v>170.73</v>
      </c>
      <c r="E942" s="8"/>
      <c r="F942" s="8"/>
      <c r="G942" s="8"/>
      <c r="H942" s="8"/>
      <c r="I942" s="8">
        <v>962.56</v>
      </c>
      <c r="J942" s="8"/>
      <c r="K942" s="8"/>
      <c r="L942" s="8"/>
      <c r="M942" s="8"/>
      <c r="N942" s="8">
        <v>6.82</v>
      </c>
      <c r="O942" s="8"/>
      <c r="P942" s="8"/>
      <c r="Q942" s="11"/>
      <c r="R942" s="11"/>
      <c r="S942" s="8">
        <v>2.0499999999999998</v>
      </c>
      <c r="T942" s="8"/>
      <c r="U942" s="8"/>
      <c r="V942" s="8"/>
      <c r="W942" s="8">
        <v>11.452999999999999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>
        <v>11.35</v>
      </c>
      <c r="AN942" s="8"/>
      <c r="AO942" s="8"/>
      <c r="AP942" s="11"/>
      <c r="AQ942" s="8"/>
      <c r="AR942" s="8"/>
      <c r="AS942" s="8">
        <v>28.992000000000001</v>
      </c>
      <c r="AT942" s="8">
        <v>556.72</v>
      </c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>
        <v>40.83</v>
      </c>
      <c r="BH942" s="9">
        <f t="shared" si="126"/>
        <v>1133.29</v>
      </c>
      <c r="BI942" s="9">
        <f t="shared" si="127"/>
        <v>6.82</v>
      </c>
      <c r="BJ942" s="9">
        <f t="shared" si="128"/>
        <v>2.0499999999999998</v>
      </c>
      <c r="BK942" s="9">
        <f t="shared" si="129"/>
        <v>11.452999999999999</v>
      </c>
      <c r="BL942" s="9">
        <f t="shared" si="130"/>
        <v>0</v>
      </c>
      <c r="BM942" s="9">
        <f t="shared" si="131"/>
        <v>40.341999999999999</v>
      </c>
      <c r="BN942" s="9">
        <f t="shared" si="132"/>
        <v>556.72</v>
      </c>
      <c r="BO942" s="9">
        <f t="shared" si="133"/>
        <v>0</v>
      </c>
      <c r="BP942" s="9">
        <f t="shared" si="134"/>
        <v>0</v>
      </c>
    </row>
    <row r="943" spans="1:68">
      <c r="A943" s="6">
        <v>44727</v>
      </c>
      <c r="B943" s="7">
        <v>3023</v>
      </c>
      <c r="C943" s="8"/>
      <c r="D943" s="8">
        <v>857.52</v>
      </c>
      <c r="E943" s="8"/>
      <c r="F943" s="8"/>
      <c r="G943" s="8"/>
      <c r="H943" s="8"/>
      <c r="I943" s="8">
        <v>466.42</v>
      </c>
      <c r="J943" s="8"/>
      <c r="K943" s="8"/>
      <c r="L943" s="8"/>
      <c r="M943" s="8"/>
      <c r="N943" s="8">
        <v>7.42</v>
      </c>
      <c r="O943" s="8"/>
      <c r="P943" s="8"/>
      <c r="Q943" s="11"/>
      <c r="R943" s="11"/>
      <c r="S943" s="8">
        <v>2.11</v>
      </c>
      <c r="T943" s="8"/>
      <c r="U943" s="8"/>
      <c r="V943" s="8"/>
      <c r="W943" s="8">
        <v>12.015000000000001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>
        <v>13.24</v>
      </c>
      <c r="AN943" s="8">
        <v>9.4030000000000005</v>
      </c>
      <c r="AO943" s="8"/>
      <c r="AP943" s="11"/>
      <c r="AQ943" s="8"/>
      <c r="AR943" s="8"/>
      <c r="AS943" s="8">
        <v>43.75</v>
      </c>
      <c r="AT943" s="8">
        <v>543.25</v>
      </c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>
        <v>41.05</v>
      </c>
      <c r="BH943" s="9">
        <f t="shared" si="126"/>
        <v>1323.94</v>
      </c>
      <c r="BI943" s="9">
        <f t="shared" si="127"/>
        <v>7.42</v>
      </c>
      <c r="BJ943" s="9">
        <f t="shared" si="128"/>
        <v>2.11</v>
      </c>
      <c r="BK943" s="9">
        <f t="shared" si="129"/>
        <v>12.015000000000001</v>
      </c>
      <c r="BL943" s="9">
        <f t="shared" si="130"/>
        <v>0</v>
      </c>
      <c r="BM943" s="9">
        <f t="shared" si="131"/>
        <v>66.393000000000001</v>
      </c>
      <c r="BN943" s="9">
        <f t="shared" si="132"/>
        <v>543.25</v>
      </c>
      <c r="BO943" s="9">
        <f t="shared" si="133"/>
        <v>0</v>
      </c>
      <c r="BP943" s="9">
        <f t="shared" si="134"/>
        <v>0</v>
      </c>
    </row>
    <row r="944" spans="1:68">
      <c r="A944" s="6">
        <v>44727</v>
      </c>
      <c r="B944" s="7">
        <v>3083</v>
      </c>
      <c r="C944" s="8"/>
      <c r="D944" s="8">
        <v>1077.8699999999999</v>
      </c>
      <c r="E944" s="8"/>
      <c r="F944" s="8"/>
      <c r="G944" s="8"/>
      <c r="H944" s="8"/>
      <c r="I944" s="8">
        <v>2508.29</v>
      </c>
      <c r="J944" s="8"/>
      <c r="K944" s="8"/>
      <c r="L944" s="8"/>
      <c r="M944" s="8"/>
      <c r="N944" s="8">
        <v>24.74</v>
      </c>
      <c r="O944" s="8"/>
      <c r="P944" s="8"/>
      <c r="Q944" s="11"/>
      <c r="R944" s="11"/>
      <c r="S944" s="8">
        <v>2.5</v>
      </c>
      <c r="T944" s="8">
        <v>28.69</v>
      </c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>
        <v>14.32</v>
      </c>
      <c r="AN944" s="8">
        <v>50.828000000000003</v>
      </c>
      <c r="AO944" s="8"/>
      <c r="AP944" s="11"/>
      <c r="AQ944" s="8"/>
      <c r="AR944" s="8">
        <v>90.602999999999994</v>
      </c>
      <c r="AS944" s="8"/>
      <c r="AT944" s="8">
        <v>1626.66</v>
      </c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>
        <v>127.78</v>
      </c>
      <c r="BH944" s="9">
        <f t="shared" si="126"/>
        <v>3586.16</v>
      </c>
      <c r="BI944" s="9">
        <f t="shared" si="127"/>
        <v>24.74</v>
      </c>
      <c r="BJ944" s="9">
        <f t="shared" si="128"/>
        <v>2.5</v>
      </c>
      <c r="BK944" s="9">
        <f t="shared" si="129"/>
        <v>28.69</v>
      </c>
      <c r="BL944" s="9">
        <f t="shared" si="130"/>
        <v>0</v>
      </c>
      <c r="BM944" s="9">
        <f t="shared" si="131"/>
        <v>155.75099999999998</v>
      </c>
      <c r="BN944" s="9">
        <f t="shared" si="132"/>
        <v>1626.66</v>
      </c>
      <c r="BO944" s="9">
        <f t="shared" si="133"/>
        <v>0</v>
      </c>
      <c r="BP944" s="9">
        <f t="shared" si="134"/>
        <v>0</v>
      </c>
    </row>
    <row r="945" spans="1:68">
      <c r="A945" s="6">
        <v>44727</v>
      </c>
      <c r="B945" s="7">
        <v>3134</v>
      </c>
      <c r="C945" s="8">
        <v>1052.6099999999999</v>
      </c>
      <c r="D945" s="8">
        <v>147.85</v>
      </c>
      <c r="E945" s="8"/>
      <c r="F945" s="8"/>
      <c r="G945" s="8"/>
      <c r="H945" s="8">
        <v>496.55</v>
      </c>
      <c r="I945" s="8"/>
      <c r="J945" s="8"/>
      <c r="K945" s="8"/>
      <c r="L945" s="8"/>
      <c r="M945" s="8">
        <v>3.2</v>
      </c>
      <c r="N945" s="8"/>
      <c r="O945" s="8"/>
      <c r="P945" s="8"/>
      <c r="Q945" s="11"/>
      <c r="R945" s="11"/>
      <c r="S945" s="8">
        <v>6.82</v>
      </c>
      <c r="T945" s="8">
        <v>10.38</v>
      </c>
      <c r="U945" s="8">
        <v>8.9</v>
      </c>
      <c r="V945" s="8"/>
      <c r="W945" s="8"/>
      <c r="X945" s="8"/>
      <c r="Y945" s="8"/>
      <c r="Z945" s="8"/>
      <c r="AA945" s="8"/>
      <c r="AB945" s="8"/>
      <c r="AC945" s="8">
        <v>5.93</v>
      </c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11"/>
      <c r="AQ945" s="8"/>
      <c r="AR945" s="8"/>
      <c r="AS945" s="8"/>
      <c r="AT945" s="8">
        <v>1046.81</v>
      </c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>
        <v>66.709999999999994</v>
      </c>
      <c r="BG945" s="8">
        <v>78.45</v>
      </c>
      <c r="BH945" s="9">
        <f t="shared" si="126"/>
        <v>1697.0099999999998</v>
      </c>
      <c r="BI945" s="9">
        <f t="shared" si="127"/>
        <v>3.2</v>
      </c>
      <c r="BJ945" s="9">
        <f t="shared" si="128"/>
        <v>6.82</v>
      </c>
      <c r="BK945" s="9">
        <f t="shared" si="129"/>
        <v>19.28</v>
      </c>
      <c r="BL945" s="9">
        <f t="shared" si="130"/>
        <v>0</v>
      </c>
      <c r="BM945" s="9">
        <f t="shared" si="131"/>
        <v>5.93</v>
      </c>
      <c r="BN945" s="9">
        <f t="shared" si="132"/>
        <v>1046.81</v>
      </c>
      <c r="BO945" s="9">
        <f t="shared" si="133"/>
        <v>0</v>
      </c>
      <c r="BP945" s="9">
        <f t="shared" si="134"/>
        <v>66.709999999999994</v>
      </c>
    </row>
    <row r="946" spans="1:68">
      <c r="A946" s="6">
        <v>44727</v>
      </c>
      <c r="B946" s="7">
        <v>3104</v>
      </c>
      <c r="C946" s="8">
        <v>2960.07</v>
      </c>
      <c r="D946" s="8"/>
      <c r="E946" s="8"/>
      <c r="F946" s="8"/>
      <c r="G946" s="8"/>
      <c r="H946" s="8">
        <v>759.83</v>
      </c>
      <c r="I946" s="8"/>
      <c r="J946" s="8"/>
      <c r="K946" s="8"/>
      <c r="L946" s="8"/>
      <c r="M946" s="8">
        <v>8.11</v>
      </c>
      <c r="N946" s="8"/>
      <c r="O946" s="8"/>
      <c r="P946" s="8"/>
      <c r="Q946" s="11"/>
      <c r="R946" s="11"/>
      <c r="S946" s="8">
        <v>15.56</v>
      </c>
      <c r="T946" s="8">
        <v>27.08</v>
      </c>
      <c r="U946" s="8">
        <v>11.84</v>
      </c>
      <c r="V946" s="8"/>
      <c r="W946" s="8"/>
      <c r="X946" s="8"/>
      <c r="Y946" s="8"/>
      <c r="Z946" s="8"/>
      <c r="AA946" s="8"/>
      <c r="AB946" s="8"/>
      <c r="AC946" s="8">
        <v>13.53</v>
      </c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11"/>
      <c r="AQ946" s="8"/>
      <c r="AR946" s="8"/>
      <c r="AS946" s="8"/>
      <c r="AT946" s="8">
        <v>2160.08</v>
      </c>
      <c r="AU946" s="8"/>
      <c r="AV946" s="8"/>
      <c r="AW946" s="8"/>
      <c r="AX946" s="8"/>
      <c r="AY946" s="8"/>
      <c r="AZ946" s="8"/>
      <c r="BA946" s="8">
        <v>77.06</v>
      </c>
      <c r="BB946" s="8"/>
      <c r="BC946" s="8"/>
      <c r="BD946" s="8"/>
      <c r="BE946" s="8"/>
      <c r="BF946" s="8">
        <v>67.959999999999994</v>
      </c>
      <c r="BG946" s="8">
        <v>167.21</v>
      </c>
      <c r="BH946" s="9">
        <f t="shared" si="126"/>
        <v>3719.9</v>
      </c>
      <c r="BI946" s="9">
        <f t="shared" si="127"/>
        <v>8.11</v>
      </c>
      <c r="BJ946" s="9">
        <f t="shared" si="128"/>
        <v>15.56</v>
      </c>
      <c r="BK946" s="9">
        <f t="shared" si="129"/>
        <v>38.92</v>
      </c>
      <c r="BL946" s="9">
        <f t="shared" si="130"/>
        <v>0</v>
      </c>
      <c r="BM946" s="9">
        <f t="shared" si="131"/>
        <v>13.53</v>
      </c>
      <c r="BN946" s="9">
        <f t="shared" si="132"/>
        <v>2160.08</v>
      </c>
      <c r="BO946" s="9">
        <f t="shared" si="133"/>
        <v>77.06</v>
      </c>
      <c r="BP946" s="9">
        <f t="shared" si="134"/>
        <v>67.959999999999994</v>
      </c>
    </row>
    <row r="947" spans="1:68">
      <c r="A947" s="6">
        <v>44727</v>
      </c>
      <c r="B947" s="7">
        <v>3141</v>
      </c>
      <c r="C947" s="8">
        <v>2428.73</v>
      </c>
      <c r="D947" s="8">
        <v>428.53</v>
      </c>
      <c r="E947" s="8"/>
      <c r="F947" s="8"/>
      <c r="G947" s="8"/>
      <c r="H947" s="8"/>
      <c r="I947" s="8"/>
      <c r="J947" s="8"/>
      <c r="K947" s="8"/>
      <c r="L947" s="8"/>
      <c r="M947" s="8">
        <v>7.09</v>
      </c>
      <c r="N947" s="8"/>
      <c r="O947" s="8"/>
      <c r="P947" s="8"/>
      <c r="Q947" s="11"/>
      <c r="R947" s="11"/>
      <c r="S947" s="8">
        <v>13.45</v>
      </c>
      <c r="T947" s="8">
        <v>21.46</v>
      </c>
      <c r="U947" s="8">
        <v>21.46</v>
      </c>
      <c r="V947" s="8"/>
      <c r="W947" s="8"/>
      <c r="X947" s="8"/>
      <c r="Y947" s="8"/>
      <c r="Z947" s="8"/>
      <c r="AA947" s="8"/>
      <c r="AB947" s="8"/>
      <c r="AC947" s="8">
        <v>11.45</v>
      </c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11"/>
      <c r="AQ947" s="8"/>
      <c r="AR947" s="8"/>
      <c r="AS947" s="8"/>
      <c r="AT947" s="8">
        <v>1885.86</v>
      </c>
      <c r="AU947" s="8"/>
      <c r="AV947" s="8"/>
      <c r="AW947" s="8"/>
      <c r="AX947" s="8"/>
      <c r="AY947" s="8"/>
      <c r="AZ947" s="8"/>
      <c r="BA947" s="8">
        <v>65.48</v>
      </c>
      <c r="BB947" s="8"/>
      <c r="BC947" s="8"/>
      <c r="BD947" s="8"/>
      <c r="BE947" s="8"/>
      <c r="BF947" s="8">
        <v>200.06</v>
      </c>
      <c r="BG947" s="8">
        <v>148.97</v>
      </c>
      <c r="BH947" s="9">
        <f t="shared" si="126"/>
        <v>2857.26</v>
      </c>
      <c r="BI947" s="9">
        <f t="shared" si="127"/>
        <v>7.09</v>
      </c>
      <c r="BJ947" s="9">
        <f t="shared" si="128"/>
        <v>13.45</v>
      </c>
      <c r="BK947" s="9">
        <f t="shared" si="129"/>
        <v>42.92</v>
      </c>
      <c r="BL947" s="9">
        <f t="shared" si="130"/>
        <v>0</v>
      </c>
      <c r="BM947" s="9">
        <f t="shared" si="131"/>
        <v>11.45</v>
      </c>
      <c r="BN947" s="9">
        <f t="shared" si="132"/>
        <v>1885.86</v>
      </c>
      <c r="BO947" s="9">
        <f t="shared" si="133"/>
        <v>65.48</v>
      </c>
      <c r="BP947" s="9">
        <f t="shared" si="134"/>
        <v>200.06</v>
      </c>
    </row>
    <row r="948" spans="1:68">
      <c r="A948" s="6">
        <v>44728</v>
      </c>
      <c r="B948" s="7">
        <v>3704</v>
      </c>
      <c r="C948" s="8">
        <v>636.97</v>
      </c>
      <c r="D948" s="8">
        <v>986.82</v>
      </c>
      <c r="E948" s="8"/>
      <c r="F948" s="8"/>
      <c r="G948" s="8"/>
      <c r="H948" s="8"/>
      <c r="I948" s="8"/>
      <c r="J948" s="8"/>
      <c r="K948" s="8"/>
      <c r="L948" s="8"/>
      <c r="M948" s="8">
        <v>4.9400000000000004</v>
      </c>
      <c r="N948" s="8"/>
      <c r="O948" s="8"/>
      <c r="P948" s="8"/>
      <c r="Q948" s="11"/>
      <c r="R948" s="11"/>
      <c r="S948" s="8">
        <v>5.76</v>
      </c>
      <c r="T948" s="8"/>
      <c r="U948" s="8">
        <v>12.35</v>
      </c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>
        <v>19.619</v>
      </c>
      <c r="AM948" s="8"/>
      <c r="AN948" s="8"/>
      <c r="AO948" s="8"/>
      <c r="AP948" s="11"/>
      <c r="AQ948" s="8"/>
      <c r="AR948" s="8"/>
      <c r="AS948" s="8"/>
      <c r="AT948" s="8">
        <v>283.32</v>
      </c>
      <c r="AU948" s="8">
        <v>141.91</v>
      </c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>
        <v>26.16</v>
      </c>
      <c r="BH948" s="9">
        <f t="shared" si="126"/>
        <v>1623.79</v>
      </c>
      <c r="BI948" s="9">
        <f t="shared" si="127"/>
        <v>4.9400000000000004</v>
      </c>
      <c r="BJ948" s="9">
        <f t="shared" si="128"/>
        <v>5.76</v>
      </c>
      <c r="BK948" s="9">
        <f t="shared" si="129"/>
        <v>12.35</v>
      </c>
      <c r="BL948" s="9">
        <f t="shared" si="130"/>
        <v>0</v>
      </c>
      <c r="BM948" s="9">
        <f t="shared" si="131"/>
        <v>19.619</v>
      </c>
      <c r="BN948" s="9">
        <f t="shared" si="132"/>
        <v>425.23</v>
      </c>
      <c r="BO948" s="9">
        <f t="shared" si="133"/>
        <v>0</v>
      </c>
      <c r="BP948" s="9">
        <f t="shared" si="134"/>
        <v>0</v>
      </c>
    </row>
    <row r="949" spans="1:68">
      <c r="A949" s="6">
        <v>44728</v>
      </c>
      <c r="B949" s="7">
        <v>3702</v>
      </c>
      <c r="C949" s="8">
        <v>841.97</v>
      </c>
      <c r="D949" s="8">
        <v>562.6</v>
      </c>
      <c r="E949" s="8"/>
      <c r="F949" s="8"/>
      <c r="G949" s="8"/>
      <c r="H949" s="8"/>
      <c r="I949" s="8"/>
      <c r="J949" s="8"/>
      <c r="K949" s="8"/>
      <c r="L949" s="8"/>
      <c r="M949" s="8">
        <v>2.83</v>
      </c>
      <c r="N949" s="8"/>
      <c r="O949" s="8"/>
      <c r="P949" s="8"/>
      <c r="Q949" s="11"/>
      <c r="R949" s="11"/>
      <c r="S949" s="8">
        <v>6.59</v>
      </c>
      <c r="T949" s="8"/>
      <c r="U949" s="8">
        <v>11.26</v>
      </c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11"/>
      <c r="AQ949" s="8"/>
      <c r="AR949" s="8"/>
      <c r="AS949" s="8"/>
      <c r="AT949" s="8">
        <v>342.17</v>
      </c>
      <c r="AU949" s="8">
        <v>171.35</v>
      </c>
      <c r="AV949" s="8"/>
      <c r="AW949" s="8">
        <v>3.09</v>
      </c>
      <c r="AX949" s="8"/>
      <c r="AY949" s="8"/>
      <c r="AZ949" s="8"/>
      <c r="BA949" s="8"/>
      <c r="BB949" s="8"/>
      <c r="BC949" s="8"/>
      <c r="BD949" s="8"/>
      <c r="BE949" s="8"/>
      <c r="BF949" s="8"/>
      <c r="BG949" s="8">
        <v>35.950000000000003</v>
      </c>
      <c r="BH949" s="9">
        <f t="shared" si="126"/>
        <v>1404.5700000000002</v>
      </c>
      <c r="BI949" s="9">
        <f t="shared" si="127"/>
        <v>2.83</v>
      </c>
      <c r="BJ949" s="9">
        <f t="shared" si="128"/>
        <v>6.59</v>
      </c>
      <c r="BK949" s="9">
        <f t="shared" si="129"/>
        <v>11.26</v>
      </c>
      <c r="BL949" s="9">
        <f t="shared" si="130"/>
        <v>0</v>
      </c>
      <c r="BM949" s="9">
        <f t="shared" si="131"/>
        <v>0</v>
      </c>
      <c r="BN949" s="9">
        <f t="shared" si="132"/>
        <v>513.52</v>
      </c>
      <c r="BO949" s="9">
        <f t="shared" si="133"/>
        <v>3.09</v>
      </c>
      <c r="BP949" s="9">
        <f t="shared" si="134"/>
        <v>0</v>
      </c>
    </row>
    <row r="950" spans="1:68">
      <c r="A950" s="6">
        <v>44728</v>
      </c>
      <c r="B950" s="7">
        <v>3602</v>
      </c>
      <c r="C950" s="8">
        <v>567.28</v>
      </c>
      <c r="D950" s="8"/>
      <c r="E950" s="8"/>
      <c r="F950" s="8"/>
      <c r="G950" s="8">
        <v>849.72</v>
      </c>
      <c r="H950" s="8"/>
      <c r="I950" s="8"/>
      <c r="J950" s="8"/>
      <c r="K950" s="8"/>
      <c r="L950" s="8"/>
      <c r="M950" s="8">
        <v>1.34</v>
      </c>
      <c r="N950" s="8"/>
      <c r="O950" s="8"/>
      <c r="P950" s="8"/>
      <c r="Q950" s="11"/>
      <c r="R950" s="11"/>
      <c r="S950" s="8">
        <v>7.52</v>
      </c>
      <c r="T950" s="8"/>
      <c r="U950" s="8">
        <v>4.54</v>
      </c>
      <c r="V950" s="8">
        <v>13.819000000000001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11"/>
      <c r="AQ950" s="8"/>
      <c r="AR950" s="8"/>
      <c r="AS950" s="8"/>
      <c r="AT950" s="8">
        <v>591.88</v>
      </c>
      <c r="AU950" s="8"/>
      <c r="AV950" s="8"/>
      <c r="AW950" s="8">
        <v>36.67</v>
      </c>
      <c r="AX950" s="8"/>
      <c r="AY950" s="8"/>
      <c r="AZ950" s="8"/>
      <c r="BA950" s="8"/>
      <c r="BB950" s="8"/>
      <c r="BC950" s="8"/>
      <c r="BD950" s="8"/>
      <c r="BE950" s="8"/>
      <c r="BF950" s="8">
        <v>45.44</v>
      </c>
      <c r="BG950" s="8">
        <v>43.98</v>
      </c>
      <c r="BH950" s="9">
        <f t="shared" si="126"/>
        <v>1417</v>
      </c>
      <c r="BI950" s="9">
        <f t="shared" si="127"/>
        <v>1.34</v>
      </c>
      <c r="BJ950" s="9">
        <f t="shared" si="128"/>
        <v>7.52</v>
      </c>
      <c r="BK950" s="9">
        <f t="shared" si="129"/>
        <v>18.359000000000002</v>
      </c>
      <c r="BL950" s="9">
        <f t="shared" si="130"/>
        <v>0</v>
      </c>
      <c r="BM950" s="9">
        <f t="shared" si="131"/>
        <v>0</v>
      </c>
      <c r="BN950" s="9">
        <f t="shared" si="132"/>
        <v>591.88</v>
      </c>
      <c r="BO950" s="9">
        <f t="shared" si="133"/>
        <v>36.67</v>
      </c>
      <c r="BP950" s="9">
        <f t="shared" si="134"/>
        <v>45.44</v>
      </c>
    </row>
    <row r="951" spans="1:68">
      <c r="A951" s="6">
        <v>44728</v>
      </c>
      <c r="B951" s="7">
        <v>3304</v>
      </c>
      <c r="C951" s="8"/>
      <c r="D951" s="8">
        <v>903.06</v>
      </c>
      <c r="E951" s="8"/>
      <c r="F951" s="8"/>
      <c r="G951" s="8"/>
      <c r="H951" s="8"/>
      <c r="I951" s="8"/>
      <c r="J951" s="8"/>
      <c r="K951" s="8"/>
      <c r="L951" s="8"/>
      <c r="M951" s="8">
        <v>1.1100000000000001</v>
      </c>
      <c r="N951" s="8"/>
      <c r="O951" s="8"/>
      <c r="P951" s="8"/>
      <c r="Q951" s="11"/>
      <c r="R951" s="11"/>
      <c r="S951" s="8">
        <v>6.44</v>
      </c>
      <c r="T951" s="8">
        <v>8.18</v>
      </c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>
        <v>9.17</v>
      </c>
      <c r="AH951" s="8"/>
      <c r="AI951" s="8"/>
      <c r="AJ951" s="8"/>
      <c r="AK951" s="8"/>
      <c r="AL951" s="8"/>
      <c r="AM951" s="8"/>
      <c r="AN951" s="8"/>
      <c r="AO951" s="8"/>
      <c r="AP951" s="11"/>
      <c r="AQ951" s="8"/>
      <c r="AR951" s="8"/>
      <c r="AS951" s="8"/>
      <c r="AT951" s="8"/>
      <c r="AU951" s="8">
        <v>391.55</v>
      </c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>
        <v>26.15</v>
      </c>
      <c r="BH951" s="9">
        <f t="shared" si="126"/>
        <v>903.06</v>
      </c>
      <c r="BI951" s="9">
        <f t="shared" si="127"/>
        <v>1.1100000000000001</v>
      </c>
      <c r="BJ951" s="9">
        <f t="shared" si="128"/>
        <v>6.44</v>
      </c>
      <c r="BK951" s="9">
        <f t="shared" si="129"/>
        <v>8.18</v>
      </c>
      <c r="BL951" s="9">
        <f t="shared" si="130"/>
        <v>0</v>
      </c>
      <c r="BM951" s="9">
        <f t="shared" si="131"/>
        <v>9.17</v>
      </c>
      <c r="BN951" s="9">
        <f t="shared" si="132"/>
        <v>391.55</v>
      </c>
      <c r="BO951" s="9">
        <f t="shared" si="133"/>
        <v>0</v>
      </c>
      <c r="BP951" s="9">
        <f t="shared" si="134"/>
        <v>0</v>
      </c>
    </row>
    <row r="952" spans="1:68">
      <c r="A952" s="6">
        <v>44728</v>
      </c>
      <c r="B952" s="7">
        <v>3118</v>
      </c>
      <c r="C952" s="8">
        <v>660.89</v>
      </c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>
        <v>1.99</v>
      </c>
      <c r="O952" s="8"/>
      <c r="P952" s="8"/>
      <c r="Q952" s="11"/>
      <c r="R952" s="11"/>
      <c r="S952" s="8">
        <v>3.51</v>
      </c>
      <c r="T952" s="8">
        <v>3.98</v>
      </c>
      <c r="U952" s="8">
        <v>3.97</v>
      </c>
      <c r="V952" s="8"/>
      <c r="W952" s="8"/>
      <c r="X952" s="8"/>
      <c r="Y952" s="8"/>
      <c r="Z952" s="8"/>
      <c r="AA952" s="8"/>
      <c r="AB952" s="8"/>
      <c r="AC952" s="8">
        <v>2.65</v>
      </c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11"/>
      <c r="AQ952" s="8">
        <v>6.7469999999999999</v>
      </c>
      <c r="AR952" s="8"/>
      <c r="AS952" s="8"/>
      <c r="AT952" s="8">
        <v>429.33</v>
      </c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>
        <v>46.37</v>
      </c>
      <c r="BG952" s="8">
        <v>32.74</v>
      </c>
      <c r="BH952" s="9">
        <f t="shared" si="126"/>
        <v>660.89</v>
      </c>
      <c r="BI952" s="9">
        <f t="shared" si="127"/>
        <v>1.99</v>
      </c>
      <c r="BJ952" s="9">
        <f t="shared" si="128"/>
        <v>3.51</v>
      </c>
      <c r="BK952" s="9">
        <f t="shared" si="129"/>
        <v>7.95</v>
      </c>
      <c r="BL952" s="9">
        <f t="shared" si="130"/>
        <v>0</v>
      </c>
      <c r="BM952" s="9">
        <f t="shared" si="131"/>
        <v>9.3970000000000002</v>
      </c>
      <c r="BN952" s="9">
        <f t="shared" si="132"/>
        <v>429.33</v>
      </c>
      <c r="BO952" s="9">
        <f t="shared" si="133"/>
        <v>0</v>
      </c>
      <c r="BP952" s="9">
        <f t="shared" si="134"/>
        <v>46.37</v>
      </c>
    </row>
    <row r="953" spans="1:68">
      <c r="A953" s="6">
        <v>44728</v>
      </c>
      <c r="B953" s="7">
        <v>3139</v>
      </c>
      <c r="C953" s="8">
        <v>1581.18</v>
      </c>
      <c r="D953" s="8"/>
      <c r="E953" s="8"/>
      <c r="F953" s="8"/>
      <c r="G953" s="8"/>
      <c r="H953" s="8">
        <v>656.99</v>
      </c>
      <c r="I953" s="8"/>
      <c r="J953" s="8"/>
      <c r="K953" s="8"/>
      <c r="L953" s="8"/>
      <c r="M953" s="8">
        <v>3.67</v>
      </c>
      <c r="N953" s="8"/>
      <c r="O953" s="8"/>
      <c r="P953" s="8"/>
      <c r="Q953" s="11"/>
      <c r="R953" s="11"/>
      <c r="S953" s="8">
        <v>6.62</v>
      </c>
      <c r="T953" s="8">
        <v>23.34</v>
      </c>
      <c r="U953" s="8"/>
      <c r="V953" s="8"/>
      <c r="W953" s="8"/>
      <c r="X953" s="8"/>
      <c r="Y953" s="8"/>
      <c r="Z953" s="8"/>
      <c r="AA953" s="8"/>
      <c r="AB953" s="8"/>
      <c r="AC953" s="8">
        <v>7.79</v>
      </c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11"/>
      <c r="AQ953" s="8"/>
      <c r="AR953" s="8"/>
      <c r="AS953" s="8"/>
      <c r="AT953" s="8">
        <v>1153.95</v>
      </c>
      <c r="AU953" s="8"/>
      <c r="AV953" s="8">
        <v>38.979999999999997</v>
      </c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>
        <v>83.72</v>
      </c>
      <c r="BH953" s="9">
        <f t="shared" si="126"/>
        <v>2238.17</v>
      </c>
      <c r="BI953" s="9">
        <f t="shared" si="127"/>
        <v>3.67</v>
      </c>
      <c r="BJ953" s="9">
        <f t="shared" si="128"/>
        <v>6.62</v>
      </c>
      <c r="BK953" s="9">
        <f t="shared" si="129"/>
        <v>23.34</v>
      </c>
      <c r="BL953" s="9">
        <f t="shared" si="130"/>
        <v>0</v>
      </c>
      <c r="BM953" s="9">
        <f t="shared" si="131"/>
        <v>7.79</v>
      </c>
      <c r="BN953" s="9">
        <f t="shared" si="132"/>
        <v>1153.95</v>
      </c>
      <c r="BO953" s="9">
        <f t="shared" si="133"/>
        <v>38.979999999999997</v>
      </c>
      <c r="BP953" s="9">
        <f t="shared" si="134"/>
        <v>0</v>
      </c>
    </row>
    <row r="954" spans="1:68">
      <c r="A954" s="6">
        <v>44728</v>
      </c>
      <c r="B954" s="7">
        <v>3433</v>
      </c>
      <c r="C954" s="8">
        <v>1260.8599999999999</v>
      </c>
      <c r="D954" s="8"/>
      <c r="E954" s="8"/>
      <c r="F954" s="8"/>
      <c r="G954" s="8"/>
      <c r="H954" s="8"/>
      <c r="I954" s="8"/>
      <c r="J954" s="8"/>
      <c r="K954" s="8"/>
      <c r="L954" s="8"/>
      <c r="M954" s="8">
        <v>2.5499999999999998</v>
      </c>
      <c r="N954" s="8"/>
      <c r="O954" s="8"/>
      <c r="P954" s="8"/>
      <c r="Q954" s="11"/>
      <c r="R954" s="11"/>
      <c r="S954" s="8">
        <v>5.05</v>
      </c>
      <c r="T954" s="8"/>
      <c r="U954" s="8"/>
      <c r="V954" s="8"/>
      <c r="W954" s="8"/>
      <c r="X954" s="8">
        <v>12.724</v>
      </c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11"/>
      <c r="AQ954" s="8"/>
      <c r="AR954" s="8"/>
      <c r="AS954" s="8"/>
      <c r="AT954" s="8">
        <v>572.04</v>
      </c>
      <c r="AU954" s="8"/>
      <c r="AV954" s="8"/>
      <c r="AW954" s="8"/>
      <c r="AX954" s="8"/>
      <c r="AY954" s="8"/>
      <c r="AZ954" s="8"/>
      <c r="BA954" s="8">
        <v>5.67</v>
      </c>
      <c r="BB954" s="8"/>
      <c r="BC954" s="8"/>
      <c r="BD954" s="8"/>
      <c r="BE954" s="8"/>
      <c r="BF954" s="8">
        <v>63.06</v>
      </c>
      <c r="BG954" s="8">
        <v>42.15</v>
      </c>
      <c r="BH954" s="9">
        <f t="shared" si="126"/>
        <v>1260.8599999999999</v>
      </c>
      <c r="BI954" s="9">
        <f t="shared" si="127"/>
        <v>2.5499999999999998</v>
      </c>
      <c r="BJ954" s="9">
        <f t="shared" si="128"/>
        <v>5.05</v>
      </c>
      <c r="BK954" s="9">
        <f t="shared" si="129"/>
        <v>12.724</v>
      </c>
      <c r="BL954" s="9">
        <f t="shared" si="130"/>
        <v>0</v>
      </c>
      <c r="BM954" s="9">
        <f t="shared" si="131"/>
        <v>0</v>
      </c>
      <c r="BN954" s="9">
        <f t="shared" si="132"/>
        <v>572.04</v>
      </c>
      <c r="BO954" s="9">
        <f t="shared" si="133"/>
        <v>5.67</v>
      </c>
      <c r="BP954" s="9">
        <f t="shared" si="134"/>
        <v>63.06</v>
      </c>
    </row>
    <row r="955" spans="1:68">
      <c r="A955" s="6">
        <v>44728</v>
      </c>
      <c r="B955" s="7">
        <v>3106</v>
      </c>
      <c r="C955" s="8">
        <v>4166.03</v>
      </c>
      <c r="D955" s="8"/>
      <c r="E955" s="8"/>
      <c r="F955" s="8"/>
      <c r="G955" s="8"/>
      <c r="H955" s="8"/>
      <c r="I955" s="8"/>
      <c r="J955" s="8"/>
      <c r="K955" s="8"/>
      <c r="L955" s="8"/>
      <c r="M955" s="8">
        <v>11.1</v>
      </c>
      <c r="N955" s="8"/>
      <c r="O955" s="8"/>
      <c r="P955" s="8"/>
      <c r="Q955" s="11"/>
      <c r="R955" s="11"/>
      <c r="S955" s="8">
        <v>12.64</v>
      </c>
      <c r="T955" s="8">
        <v>52.92</v>
      </c>
      <c r="U955" s="8"/>
      <c r="V955" s="8"/>
      <c r="W955" s="8"/>
      <c r="X955" s="8"/>
      <c r="Y955" s="8"/>
      <c r="Z955" s="8"/>
      <c r="AA955" s="8"/>
      <c r="AB955" s="8"/>
      <c r="AC955" s="8">
        <v>10.42</v>
      </c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11"/>
      <c r="AQ955" s="8"/>
      <c r="AR955" s="8"/>
      <c r="AS955" s="8"/>
      <c r="AT955" s="8">
        <v>2380.35</v>
      </c>
      <c r="AU955" s="8"/>
      <c r="AV955" s="8"/>
      <c r="AW955" s="8"/>
      <c r="AX955" s="8">
        <v>5.21</v>
      </c>
      <c r="AY955" s="8"/>
      <c r="AZ955" s="8"/>
      <c r="BA955" s="8"/>
      <c r="BB955" s="8"/>
      <c r="BC955" s="8"/>
      <c r="BD955" s="8"/>
      <c r="BE955" s="8"/>
      <c r="BF955" s="8"/>
      <c r="BG955" s="8">
        <v>179.85</v>
      </c>
      <c r="BH955" s="9">
        <f t="shared" si="126"/>
        <v>4166.03</v>
      </c>
      <c r="BI955" s="9">
        <f t="shared" si="127"/>
        <v>11.1</v>
      </c>
      <c r="BJ955" s="9">
        <f t="shared" si="128"/>
        <v>12.64</v>
      </c>
      <c r="BK955" s="9">
        <f t="shared" si="129"/>
        <v>52.92</v>
      </c>
      <c r="BL955" s="9">
        <f t="shared" si="130"/>
        <v>0</v>
      </c>
      <c r="BM955" s="9">
        <f t="shared" si="131"/>
        <v>10.42</v>
      </c>
      <c r="BN955" s="9">
        <f t="shared" si="132"/>
        <v>2380.35</v>
      </c>
      <c r="BO955" s="9">
        <f t="shared" si="133"/>
        <v>5.21</v>
      </c>
      <c r="BP955" s="9">
        <f t="shared" si="134"/>
        <v>0</v>
      </c>
    </row>
    <row r="956" spans="1:68">
      <c r="A956" s="6">
        <v>44728</v>
      </c>
      <c r="B956" s="7">
        <v>3121</v>
      </c>
      <c r="C956" s="8">
        <v>1884.35</v>
      </c>
      <c r="D956" s="8"/>
      <c r="E956" s="8"/>
      <c r="F956" s="8"/>
      <c r="G956" s="8"/>
      <c r="H956" s="8"/>
      <c r="I956" s="8"/>
      <c r="J956" s="8"/>
      <c r="K956" s="8"/>
      <c r="L956" s="8"/>
      <c r="M956" s="8">
        <v>4.7</v>
      </c>
      <c r="N956" s="8"/>
      <c r="O956" s="8"/>
      <c r="P956" s="8"/>
      <c r="Q956" s="11"/>
      <c r="R956" s="11"/>
      <c r="S956" s="8">
        <v>6.6</v>
      </c>
      <c r="T956" s="8">
        <v>23.87</v>
      </c>
      <c r="U956" s="8"/>
      <c r="V956" s="8"/>
      <c r="W956" s="8"/>
      <c r="X956" s="8"/>
      <c r="Y956" s="8"/>
      <c r="Z956" s="8"/>
      <c r="AA956" s="8"/>
      <c r="AB956" s="8"/>
      <c r="AC956" s="8">
        <v>7.54</v>
      </c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11"/>
      <c r="AQ956" s="8">
        <v>19.201000000000001</v>
      </c>
      <c r="AR956" s="8"/>
      <c r="AS956" s="8"/>
      <c r="AT956" s="8">
        <v>996.43</v>
      </c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>
        <v>73.61</v>
      </c>
      <c r="BH956" s="9">
        <f t="shared" si="126"/>
        <v>1884.35</v>
      </c>
      <c r="BI956" s="9">
        <f t="shared" si="127"/>
        <v>4.7</v>
      </c>
      <c r="BJ956" s="9">
        <f t="shared" si="128"/>
        <v>6.6</v>
      </c>
      <c r="BK956" s="9">
        <f t="shared" si="129"/>
        <v>23.87</v>
      </c>
      <c r="BL956" s="9">
        <f t="shared" si="130"/>
        <v>0</v>
      </c>
      <c r="BM956" s="9">
        <f t="shared" si="131"/>
        <v>26.741</v>
      </c>
      <c r="BN956" s="9">
        <f t="shared" si="132"/>
        <v>996.43</v>
      </c>
      <c r="BO956" s="9">
        <f t="shared" si="133"/>
        <v>0</v>
      </c>
      <c r="BP956" s="9">
        <f t="shared" si="134"/>
        <v>0</v>
      </c>
    </row>
    <row r="957" spans="1:68">
      <c r="A957" s="6">
        <v>44728</v>
      </c>
      <c r="B957" s="7">
        <v>3104</v>
      </c>
      <c r="C957" s="8">
        <v>1541.94</v>
      </c>
      <c r="D957" s="8"/>
      <c r="E957" s="8"/>
      <c r="F957" s="8"/>
      <c r="G957" s="8"/>
      <c r="H957" s="8">
        <v>395.17</v>
      </c>
      <c r="I957" s="8"/>
      <c r="J957" s="8"/>
      <c r="K957" s="8"/>
      <c r="L957" s="8"/>
      <c r="M957" s="8">
        <v>4.3</v>
      </c>
      <c r="N957" s="8"/>
      <c r="O957" s="8"/>
      <c r="P957" s="8"/>
      <c r="Q957" s="11"/>
      <c r="R957" s="11"/>
      <c r="S957" s="8">
        <v>8.14</v>
      </c>
      <c r="T957" s="8">
        <v>14.15</v>
      </c>
      <c r="U957" s="8">
        <v>6.18</v>
      </c>
      <c r="V957" s="8"/>
      <c r="W957" s="8"/>
      <c r="X957" s="8"/>
      <c r="Y957" s="8"/>
      <c r="Z957" s="8"/>
      <c r="AA957" s="8"/>
      <c r="AB957" s="8"/>
      <c r="AC957" s="8">
        <v>7.06</v>
      </c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11"/>
      <c r="AQ957" s="8"/>
      <c r="AR957" s="8"/>
      <c r="AS957" s="8"/>
      <c r="AT957" s="8">
        <v>1118.48</v>
      </c>
      <c r="AU957" s="8"/>
      <c r="AV957" s="8"/>
      <c r="AW957" s="8"/>
      <c r="AX957" s="8"/>
      <c r="AY957" s="8"/>
      <c r="AZ957" s="8"/>
      <c r="BA957" s="8">
        <v>40.299999999999997</v>
      </c>
      <c r="BB957" s="8"/>
      <c r="BC957" s="8"/>
      <c r="BD957" s="8"/>
      <c r="BE957" s="8"/>
      <c r="BF957" s="8">
        <v>35.36</v>
      </c>
      <c r="BG957" s="8">
        <v>87.64</v>
      </c>
      <c r="BH957" s="9">
        <f t="shared" si="126"/>
        <v>1937.1100000000001</v>
      </c>
      <c r="BI957" s="9">
        <f t="shared" si="127"/>
        <v>4.3</v>
      </c>
      <c r="BJ957" s="9">
        <f t="shared" si="128"/>
        <v>8.14</v>
      </c>
      <c r="BK957" s="9">
        <f t="shared" si="129"/>
        <v>20.329999999999998</v>
      </c>
      <c r="BL957" s="9">
        <f t="shared" si="130"/>
        <v>0</v>
      </c>
      <c r="BM957" s="9">
        <f t="shared" si="131"/>
        <v>7.06</v>
      </c>
      <c r="BN957" s="9">
        <f t="shared" si="132"/>
        <v>1118.48</v>
      </c>
      <c r="BO957" s="9">
        <f t="shared" si="133"/>
        <v>40.299999999999997</v>
      </c>
      <c r="BP957" s="9">
        <f t="shared" si="134"/>
        <v>35.36</v>
      </c>
    </row>
    <row r="958" spans="1:68">
      <c r="A958" s="6">
        <v>44729</v>
      </c>
      <c r="B958" s="7">
        <v>3200</v>
      </c>
      <c r="C958" s="8">
        <f>576.05+1781.75+209.95</f>
        <v>2567.75</v>
      </c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>
        <f>0.52+4.49+1.45</f>
        <v>6.46</v>
      </c>
      <c r="P958" s="8"/>
      <c r="Q958" s="11"/>
      <c r="R958" s="11"/>
      <c r="S958" s="8">
        <f>2.26+6.99+0.82</f>
        <v>10.07</v>
      </c>
      <c r="T958" s="8"/>
      <c r="U958" s="8">
        <f>8.66+26.91+3.15</f>
        <v>38.72</v>
      </c>
      <c r="V958" s="8"/>
      <c r="W958" s="8"/>
      <c r="X958" s="8"/>
      <c r="Y958" s="8"/>
      <c r="Z958" s="8">
        <f>121.39+376.11+44.16</f>
        <v>541.66</v>
      </c>
      <c r="AA958" s="8"/>
      <c r="AB958" s="8"/>
      <c r="AC958" s="8"/>
      <c r="AD958" s="8"/>
      <c r="AE958" s="8"/>
      <c r="AF958" s="8">
        <f>28.78+89.69+10.51</f>
        <v>128.97999999999999</v>
      </c>
      <c r="AG958" s="8"/>
      <c r="AH958" s="8"/>
      <c r="AI958" s="8"/>
      <c r="AJ958" s="8"/>
      <c r="AK958" s="8"/>
      <c r="AL958" s="8"/>
      <c r="AM958" s="8"/>
      <c r="AN958" s="8"/>
      <c r="AO958" s="8"/>
      <c r="AP958" s="11"/>
      <c r="AQ958" s="8">
        <v>39.247</v>
      </c>
      <c r="AR958" s="8"/>
      <c r="AS958" s="8"/>
      <c r="AT958" s="8">
        <f>394.77+1223.46+143.58</f>
        <v>1761.81</v>
      </c>
      <c r="AU958" s="8"/>
      <c r="AV958" s="8"/>
      <c r="AW958" s="8">
        <f>1.66+5.26+0.61</f>
        <v>7.53</v>
      </c>
      <c r="AX958" s="8"/>
      <c r="AY958" s="8"/>
      <c r="AZ958" s="8"/>
      <c r="BA958" s="8"/>
      <c r="BB958" s="8"/>
      <c r="BC958" s="8"/>
      <c r="BD958" s="8"/>
      <c r="BE958" s="8"/>
      <c r="BF958" s="8">
        <f>27.71+85.97+10.1</f>
        <v>123.78</v>
      </c>
      <c r="BG958" s="8">
        <f>28.71+88.96+10.42</f>
        <v>128.08999999999997</v>
      </c>
      <c r="BH958" s="9">
        <f t="shared" si="126"/>
        <v>2567.75</v>
      </c>
      <c r="BI958" s="9">
        <f t="shared" si="127"/>
        <v>6.46</v>
      </c>
      <c r="BJ958" s="9">
        <f t="shared" si="128"/>
        <v>10.07</v>
      </c>
      <c r="BK958" s="9">
        <f t="shared" si="129"/>
        <v>38.72</v>
      </c>
      <c r="BL958" s="9">
        <f t="shared" si="130"/>
        <v>541.66</v>
      </c>
      <c r="BM958" s="9">
        <f t="shared" si="131"/>
        <v>168.22699999999998</v>
      </c>
      <c r="BN958" s="9">
        <f t="shared" si="132"/>
        <v>1761.81</v>
      </c>
      <c r="BO958" s="9">
        <f t="shared" si="133"/>
        <v>7.53</v>
      </c>
      <c r="BP958" s="9">
        <f t="shared" si="134"/>
        <v>123.78</v>
      </c>
    </row>
    <row r="959" spans="1:68">
      <c r="A959" s="6">
        <v>44729</v>
      </c>
      <c r="B959" s="7">
        <v>3203</v>
      </c>
      <c r="C959" s="8">
        <v>857.3</v>
      </c>
      <c r="D959" s="8"/>
      <c r="E959" s="8">
        <v>368.08</v>
      </c>
      <c r="F959" s="8"/>
      <c r="G959" s="8"/>
      <c r="H959" s="8"/>
      <c r="I959" s="8"/>
      <c r="J959" s="8"/>
      <c r="K959" s="8"/>
      <c r="L959" s="8"/>
      <c r="M959" s="8"/>
      <c r="N959" s="8"/>
      <c r="O959" s="8">
        <v>3.68</v>
      </c>
      <c r="P959" s="8"/>
      <c r="Q959" s="11"/>
      <c r="R959" s="11"/>
      <c r="S959" s="8">
        <v>4.79</v>
      </c>
      <c r="T959" s="8"/>
      <c r="U959" s="8">
        <v>15.24</v>
      </c>
      <c r="V959" s="8"/>
      <c r="W959" s="8"/>
      <c r="X959" s="8"/>
      <c r="Y959" s="8"/>
      <c r="Z959" s="8">
        <v>193.47</v>
      </c>
      <c r="AA959" s="8">
        <v>151.78200000000001</v>
      </c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11"/>
      <c r="AQ959" s="8"/>
      <c r="AR959" s="8"/>
      <c r="AS959" s="8"/>
      <c r="AT959" s="8">
        <v>458.93</v>
      </c>
      <c r="AU959" s="8">
        <v>229.92</v>
      </c>
      <c r="AV959" s="8"/>
      <c r="AW959" s="8"/>
      <c r="AX959" s="8"/>
      <c r="AY959" s="8"/>
      <c r="AZ959" s="8"/>
      <c r="BA959" s="8"/>
      <c r="BB959" s="8"/>
      <c r="BC959" s="8">
        <v>3.19</v>
      </c>
      <c r="BD959" s="8"/>
      <c r="BE959" s="8"/>
      <c r="BF959" s="8"/>
      <c r="BG959" s="8">
        <v>44.89</v>
      </c>
      <c r="BH959" s="9">
        <f t="shared" si="126"/>
        <v>1225.3799999999999</v>
      </c>
      <c r="BI959" s="9">
        <f t="shared" si="127"/>
        <v>3.68</v>
      </c>
      <c r="BJ959" s="9">
        <f t="shared" si="128"/>
        <v>4.79</v>
      </c>
      <c r="BK959" s="9">
        <f t="shared" si="129"/>
        <v>15.24</v>
      </c>
      <c r="BL959" s="9">
        <f t="shared" si="130"/>
        <v>345.25200000000001</v>
      </c>
      <c r="BM959" s="9">
        <f t="shared" si="131"/>
        <v>0</v>
      </c>
      <c r="BN959" s="9">
        <f t="shared" si="132"/>
        <v>688.85</v>
      </c>
      <c r="BO959" s="9">
        <f t="shared" si="133"/>
        <v>3.19</v>
      </c>
      <c r="BP959" s="9">
        <f t="shared" si="134"/>
        <v>0</v>
      </c>
    </row>
    <row r="960" spans="1:68">
      <c r="A960" s="6">
        <v>44729</v>
      </c>
      <c r="B960" s="7">
        <v>3029</v>
      </c>
      <c r="C960" s="8"/>
      <c r="D960" s="8">
        <v>662.98</v>
      </c>
      <c r="E960" s="8"/>
      <c r="F960" s="8">
        <v>467.08</v>
      </c>
      <c r="G960" s="8"/>
      <c r="H960" s="8"/>
      <c r="I960" s="8">
        <v>2766.35</v>
      </c>
      <c r="J960" s="8"/>
      <c r="K960" s="8"/>
      <c r="L960" s="8"/>
      <c r="M960" s="8"/>
      <c r="N960" s="8">
        <v>30.04</v>
      </c>
      <c r="O960" s="8"/>
      <c r="P960" s="8"/>
      <c r="Q960" s="11"/>
      <c r="R960" s="11"/>
      <c r="S960" s="8">
        <v>2.34</v>
      </c>
      <c r="T960" s="8"/>
      <c r="U960" s="8"/>
      <c r="V960" s="8"/>
      <c r="W960" s="8">
        <v>39.264000000000003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>
        <v>13.62</v>
      </c>
      <c r="AN960" s="8">
        <v>18.318000000000001</v>
      </c>
      <c r="AO960" s="8"/>
      <c r="AP960" s="11"/>
      <c r="AQ960" s="8"/>
      <c r="AR960" s="8">
        <v>118.443</v>
      </c>
      <c r="AS960" s="8"/>
      <c r="AT960" s="8">
        <v>1481.5</v>
      </c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>
        <v>103.5</v>
      </c>
      <c r="BH960" s="9">
        <f t="shared" si="126"/>
        <v>3896.41</v>
      </c>
      <c r="BI960" s="9">
        <f t="shared" si="127"/>
        <v>30.04</v>
      </c>
      <c r="BJ960" s="9">
        <f t="shared" si="128"/>
        <v>2.34</v>
      </c>
      <c r="BK960" s="9">
        <f t="shared" si="129"/>
        <v>39.264000000000003</v>
      </c>
      <c r="BL960" s="9">
        <f t="shared" si="130"/>
        <v>0</v>
      </c>
      <c r="BM960" s="9">
        <f t="shared" si="131"/>
        <v>150.381</v>
      </c>
      <c r="BN960" s="9">
        <f t="shared" si="132"/>
        <v>1481.5</v>
      </c>
      <c r="BO960" s="9">
        <f t="shared" si="133"/>
        <v>0</v>
      </c>
      <c r="BP960" s="9">
        <f t="shared" si="134"/>
        <v>0</v>
      </c>
    </row>
    <row r="961" spans="1:68">
      <c r="A961" s="6">
        <v>44729</v>
      </c>
      <c r="B961" s="7">
        <v>3141</v>
      </c>
      <c r="C961" s="8">
        <v>2416.25</v>
      </c>
      <c r="D961" s="8">
        <v>426.5</v>
      </c>
      <c r="E961" s="8"/>
      <c r="F961" s="8"/>
      <c r="G961" s="8"/>
      <c r="H961" s="8"/>
      <c r="I961" s="8"/>
      <c r="J961" s="8"/>
      <c r="K961" s="8"/>
      <c r="L961" s="8"/>
      <c r="M961" s="8">
        <v>6.58</v>
      </c>
      <c r="N961" s="8"/>
      <c r="O961" s="8"/>
      <c r="P961" s="8"/>
      <c r="Q961" s="11"/>
      <c r="R961" s="11"/>
      <c r="S961" s="8">
        <v>13.38</v>
      </c>
      <c r="T961" s="8">
        <v>21.34</v>
      </c>
      <c r="U961" s="8">
        <v>21.35</v>
      </c>
      <c r="V961" s="8"/>
      <c r="W961" s="8"/>
      <c r="X961" s="8"/>
      <c r="Y961" s="8"/>
      <c r="Z961" s="8"/>
      <c r="AA961" s="8"/>
      <c r="AB961" s="8"/>
      <c r="AC961" s="8">
        <v>11.38</v>
      </c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11"/>
      <c r="AQ961" s="8"/>
      <c r="AR961" s="8"/>
      <c r="AS961" s="8"/>
      <c r="AT961" s="8">
        <v>1876.48</v>
      </c>
      <c r="AU961" s="8"/>
      <c r="AV961" s="8"/>
      <c r="AW961" s="8"/>
      <c r="AX961" s="8"/>
      <c r="AY961" s="8"/>
      <c r="AZ961" s="8"/>
      <c r="BA961" s="8">
        <v>65.17</v>
      </c>
      <c r="BB961" s="8"/>
      <c r="BC961" s="8"/>
      <c r="BD961" s="8"/>
      <c r="BE961" s="8"/>
      <c r="BF961" s="8">
        <v>198.99</v>
      </c>
      <c r="BG961" s="8">
        <v>147.75</v>
      </c>
      <c r="BH961" s="9">
        <f t="shared" si="126"/>
        <v>2842.75</v>
      </c>
      <c r="BI961" s="9">
        <f t="shared" si="127"/>
        <v>6.58</v>
      </c>
      <c r="BJ961" s="9">
        <f t="shared" si="128"/>
        <v>13.38</v>
      </c>
      <c r="BK961" s="9">
        <f t="shared" si="129"/>
        <v>42.69</v>
      </c>
      <c r="BL961" s="9">
        <f t="shared" si="130"/>
        <v>0</v>
      </c>
      <c r="BM961" s="9">
        <f t="shared" si="131"/>
        <v>11.38</v>
      </c>
      <c r="BN961" s="9">
        <f t="shared" si="132"/>
        <v>1876.48</v>
      </c>
      <c r="BO961" s="9">
        <f t="shared" si="133"/>
        <v>65.17</v>
      </c>
      <c r="BP961" s="9">
        <f t="shared" si="134"/>
        <v>198.99</v>
      </c>
    </row>
    <row r="962" spans="1:68">
      <c r="A962" s="6">
        <v>44729</v>
      </c>
      <c r="B962" s="7">
        <v>3108</v>
      </c>
      <c r="C962" s="8">
        <v>2288.41</v>
      </c>
      <c r="D962" s="8"/>
      <c r="E962" s="8"/>
      <c r="F962" s="8"/>
      <c r="G962" s="8"/>
      <c r="H962" s="8"/>
      <c r="I962" s="8"/>
      <c r="J962" s="8"/>
      <c r="K962" s="8"/>
      <c r="L962" s="8"/>
      <c r="M962" s="8">
        <v>4.92</v>
      </c>
      <c r="N962" s="8"/>
      <c r="O962" s="8"/>
      <c r="P962" s="8"/>
      <c r="Q962" s="11"/>
      <c r="R962" s="11"/>
      <c r="S962" s="8">
        <v>7.8</v>
      </c>
      <c r="T962" s="8">
        <v>29.12</v>
      </c>
      <c r="U962" s="8"/>
      <c r="V962" s="8"/>
      <c r="W962" s="8"/>
      <c r="X962" s="8"/>
      <c r="Y962" s="8"/>
      <c r="Z962" s="8"/>
      <c r="AA962" s="8"/>
      <c r="AB962" s="8"/>
      <c r="AC962" s="8">
        <v>9.16</v>
      </c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11"/>
      <c r="AQ962" s="8"/>
      <c r="AR962" s="8"/>
      <c r="AS962" s="8"/>
      <c r="AT962" s="8">
        <v>1245.49</v>
      </c>
      <c r="AU962" s="8"/>
      <c r="AV962" s="8"/>
      <c r="AW962" s="8"/>
      <c r="AX962" s="8"/>
      <c r="AY962" s="8"/>
      <c r="AZ962" s="8"/>
      <c r="BA962" s="8">
        <v>85.05</v>
      </c>
      <c r="BB962" s="8"/>
      <c r="BC962" s="8"/>
      <c r="BD962" s="8"/>
      <c r="BE962" s="8"/>
      <c r="BF962" s="8"/>
      <c r="BG962" s="8">
        <v>92.7</v>
      </c>
      <c r="BH962" s="9">
        <f t="shared" si="126"/>
        <v>2288.41</v>
      </c>
      <c r="BI962" s="9">
        <f t="shared" si="127"/>
        <v>4.92</v>
      </c>
      <c r="BJ962" s="9">
        <f t="shared" si="128"/>
        <v>7.8</v>
      </c>
      <c r="BK962" s="9">
        <f t="shared" si="129"/>
        <v>29.12</v>
      </c>
      <c r="BL962" s="9">
        <f t="shared" si="130"/>
        <v>0</v>
      </c>
      <c r="BM962" s="9">
        <f t="shared" si="131"/>
        <v>9.16</v>
      </c>
      <c r="BN962" s="9">
        <f t="shared" si="132"/>
        <v>1245.49</v>
      </c>
      <c r="BO962" s="9">
        <f t="shared" si="133"/>
        <v>85.05</v>
      </c>
      <c r="BP962" s="9">
        <f t="shared" si="134"/>
        <v>0</v>
      </c>
    </row>
    <row r="963" spans="1:68">
      <c r="A963" s="6">
        <v>44729</v>
      </c>
      <c r="B963" s="7">
        <v>3405</v>
      </c>
      <c r="C963" s="8">
        <v>1511.96</v>
      </c>
      <c r="D963" s="8">
        <v>378.02</v>
      </c>
      <c r="E963" s="8"/>
      <c r="F963" s="8"/>
      <c r="G963" s="8"/>
      <c r="H963" s="8"/>
      <c r="I963" s="8"/>
      <c r="J963" s="8"/>
      <c r="K963" s="8"/>
      <c r="L963" s="8"/>
      <c r="M963" s="8">
        <v>5.1100000000000003</v>
      </c>
      <c r="N963" s="8"/>
      <c r="O963" s="8"/>
      <c r="P963" s="8"/>
      <c r="Q963" s="11"/>
      <c r="R963" s="11"/>
      <c r="S963" s="8">
        <v>4.34</v>
      </c>
      <c r="T963" s="8"/>
      <c r="U963" s="8"/>
      <c r="V963" s="8"/>
      <c r="W963" s="8"/>
      <c r="X963" s="8">
        <v>23.222000000000001</v>
      </c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11"/>
      <c r="AQ963" s="8"/>
      <c r="AR963" s="8"/>
      <c r="AS963" s="8"/>
      <c r="AT963" s="8">
        <v>950</v>
      </c>
      <c r="AU963" s="8"/>
      <c r="AV963" s="8"/>
      <c r="AW963" s="8"/>
      <c r="AX963" s="8"/>
      <c r="AY963" s="8"/>
      <c r="AZ963" s="8"/>
      <c r="BA963" s="8">
        <v>8.51</v>
      </c>
      <c r="BB963" s="8"/>
      <c r="BC963" s="8"/>
      <c r="BD963" s="8"/>
      <c r="BE963" s="8"/>
      <c r="BF963" s="8"/>
      <c r="BG963" s="8">
        <v>64.59</v>
      </c>
      <c r="BH963" s="9">
        <f t="shared" si="126"/>
        <v>1889.98</v>
      </c>
      <c r="BI963" s="9">
        <f t="shared" si="127"/>
        <v>5.1100000000000003</v>
      </c>
      <c r="BJ963" s="9">
        <f t="shared" si="128"/>
        <v>4.34</v>
      </c>
      <c r="BK963" s="9">
        <f t="shared" si="129"/>
        <v>23.222000000000001</v>
      </c>
      <c r="BL963" s="9">
        <f t="shared" si="130"/>
        <v>0</v>
      </c>
      <c r="BM963" s="9">
        <f t="shared" si="131"/>
        <v>0</v>
      </c>
      <c r="BN963" s="9">
        <f t="shared" si="132"/>
        <v>950</v>
      </c>
      <c r="BO963" s="9">
        <f t="shared" si="133"/>
        <v>8.51</v>
      </c>
      <c r="BP963" s="9">
        <f t="shared" si="134"/>
        <v>0</v>
      </c>
    </row>
    <row r="964" spans="1:68">
      <c r="A964" s="6">
        <v>44729</v>
      </c>
      <c r="B964" s="7">
        <v>3408</v>
      </c>
      <c r="C964" s="8">
        <v>694.64</v>
      </c>
      <c r="D964" s="8"/>
      <c r="E964" s="8"/>
      <c r="F964" s="8"/>
      <c r="G964" s="8"/>
      <c r="H964" s="8"/>
      <c r="I964" s="8"/>
      <c r="J964" s="8"/>
      <c r="K964" s="8"/>
      <c r="L964" s="8"/>
      <c r="M964" s="8">
        <v>1.68</v>
      </c>
      <c r="N964" s="8"/>
      <c r="O964" s="8"/>
      <c r="P964" s="8"/>
      <c r="Q964" s="11"/>
      <c r="R964" s="11"/>
      <c r="S964" s="8">
        <v>1.74</v>
      </c>
      <c r="T964" s="8">
        <v>6.95</v>
      </c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11"/>
      <c r="AQ964" s="8"/>
      <c r="AR964" s="8"/>
      <c r="AS964" s="8"/>
      <c r="AT964" s="8">
        <v>355.09</v>
      </c>
      <c r="AU964" s="8"/>
      <c r="AV964" s="8"/>
      <c r="AW964" s="8"/>
      <c r="AX964" s="8"/>
      <c r="AY964" s="8"/>
      <c r="AZ964" s="8"/>
      <c r="BA964" s="8">
        <v>3.12</v>
      </c>
      <c r="BB964" s="8"/>
      <c r="BC964" s="8"/>
      <c r="BD964" s="8"/>
      <c r="BE964" s="8"/>
      <c r="BF964" s="8"/>
      <c r="BG964" s="8">
        <v>24.27</v>
      </c>
      <c r="BH964" s="9">
        <f t="shared" ref="BH964:BH1027" si="135">SUM(C964:L964)</f>
        <v>694.64</v>
      </c>
      <c r="BI964" s="9">
        <f t="shared" ref="BI964:BI1027" si="136">SUM(M964:R964)</f>
        <v>1.68</v>
      </c>
      <c r="BJ964" s="9">
        <f t="shared" ref="BJ964:BJ1027" si="137">SUM(S964)</f>
        <v>1.74</v>
      </c>
      <c r="BK964" s="9">
        <f t="shared" ref="BK964:BK1027" si="138">SUM(T964:Y964)</f>
        <v>6.95</v>
      </c>
      <c r="BL964" s="9">
        <f t="shared" ref="BL964:BL1027" si="139">SUM(Z964:AA964)</f>
        <v>0</v>
      </c>
      <c r="BM964" s="9">
        <f t="shared" ref="BM964:BM1027" si="140">SUM(AB964:AS964)</f>
        <v>0</v>
      </c>
      <c r="BN964" s="9">
        <f t="shared" ref="BN964:BN1027" si="141">SUM(AT964:AU964)</f>
        <v>355.09</v>
      </c>
      <c r="BO964" s="9">
        <f t="shared" ref="BO964:BO1027" si="142">SUM(AV964:BE964)</f>
        <v>3.12</v>
      </c>
      <c r="BP964" s="9">
        <f t="shared" ref="BP964:BP1027" si="143">SUM(BF964)</f>
        <v>0</v>
      </c>
    </row>
    <row r="965" spans="1:68">
      <c r="A965" s="6">
        <v>44729</v>
      </c>
      <c r="B965" s="7">
        <v>3205</v>
      </c>
      <c r="C965" s="8">
        <v>675.27</v>
      </c>
      <c r="D965" s="8">
        <v>375.55</v>
      </c>
      <c r="E965" s="8">
        <v>450.3</v>
      </c>
      <c r="F965" s="8"/>
      <c r="G965" s="8"/>
      <c r="H965" s="8"/>
      <c r="I965" s="8"/>
      <c r="J965" s="8"/>
      <c r="K965" s="8"/>
      <c r="L965" s="8"/>
      <c r="M965" s="8"/>
      <c r="N965" s="8"/>
      <c r="O965" s="8">
        <v>6</v>
      </c>
      <c r="P965" s="8"/>
      <c r="Q965" s="11"/>
      <c r="R965" s="11"/>
      <c r="S965" s="8">
        <v>5.56</v>
      </c>
      <c r="T965" s="8"/>
      <c r="U965" s="8">
        <v>18.03</v>
      </c>
      <c r="V965" s="8"/>
      <c r="W965" s="8"/>
      <c r="X965" s="8"/>
      <c r="Y965" s="8"/>
      <c r="Z965" s="8">
        <v>150.31</v>
      </c>
      <c r="AA965" s="8"/>
      <c r="AB965" s="8">
        <v>15.33</v>
      </c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11"/>
      <c r="AQ965" s="8">
        <v>7.6349999999999998</v>
      </c>
      <c r="AR965" s="8"/>
      <c r="AS965" s="8"/>
      <c r="AT965" s="8">
        <v>391.86</v>
      </c>
      <c r="AU965" s="8">
        <v>195.83</v>
      </c>
      <c r="AV965" s="8"/>
      <c r="AW965" s="8">
        <v>6.46</v>
      </c>
      <c r="AX965" s="8"/>
      <c r="AY965" s="8"/>
      <c r="AZ965" s="8"/>
      <c r="BA965" s="8"/>
      <c r="BB965" s="8"/>
      <c r="BC965" s="8"/>
      <c r="BD965" s="8"/>
      <c r="BE965" s="8"/>
      <c r="BF965" s="8"/>
      <c r="BG965" s="8">
        <v>35.270000000000003</v>
      </c>
      <c r="BH965" s="9">
        <f t="shared" si="135"/>
        <v>1501.12</v>
      </c>
      <c r="BI965" s="9">
        <f t="shared" si="136"/>
        <v>6</v>
      </c>
      <c r="BJ965" s="9">
        <f t="shared" si="137"/>
        <v>5.56</v>
      </c>
      <c r="BK965" s="9">
        <f t="shared" si="138"/>
        <v>18.03</v>
      </c>
      <c r="BL965" s="9">
        <f t="shared" si="139"/>
        <v>150.31</v>
      </c>
      <c r="BM965" s="9">
        <f t="shared" si="140"/>
        <v>22.965</v>
      </c>
      <c r="BN965" s="9">
        <f t="shared" si="141"/>
        <v>587.69000000000005</v>
      </c>
      <c r="BO965" s="9">
        <f t="shared" si="142"/>
        <v>6.46</v>
      </c>
      <c r="BP965" s="9">
        <f t="shared" si="143"/>
        <v>0</v>
      </c>
    </row>
    <row r="966" spans="1:68">
      <c r="A966" s="6">
        <v>44729</v>
      </c>
      <c r="B966" s="7">
        <v>3122</v>
      </c>
      <c r="C966" s="8">
        <v>328.9</v>
      </c>
      <c r="D966" s="8"/>
      <c r="E966" s="8"/>
      <c r="F966" s="8"/>
      <c r="G966" s="8"/>
      <c r="H966" s="8"/>
      <c r="I966" s="8"/>
      <c r="J966" s="8"/>
      <c r="K966" s="8"/>
      <c r="L966" s="8"/>
      <c r="M966" s="8">
        <v>0.59</v>
      </c>
      <c r="N966" s="8">
        <v>0.59</v>
      </c>
      <c r="O966" s="8"/>
      <c r="P966" s="8"/>
      <c r="Q966" s="11"/>
      <c r="R966" s="11"/>
      <c r="S966" s="8">
        <v>1.32</v>
      </c>
      <c r="T966" s="8">
        <v>2.2999999999999998</v>
      </c>
      <c r="U966" s="8">
        <v>0.98</v>
      </c>
      <c r="V966" s="8"/>
      <c r="W966" s="8"/>
      <c r="X966" s="8"/>
      <c r="Y966" s="8"/>
      <c r="Z966" s="8"/>
      <c r="AA966" s="8"/>
      <c r="AB966" s="8"/>
      <c r="AC966" s="8">
        <v>1.32</v>
      </c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11"/>
      <c r="AQ966" s="8"/>
      <c r="AR966" s="8"/>
      <c r="AS966" s="8"/>
      <c r="AT966" s="8">
        <v>145.05000000000001</v>
      </c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>
        <v>10.69</v>
      </c>
      <c r="BH966" s="9">
        <f t="shared" si="135"/>
        <v>328.9</v>
      </c>
      <c r="BI966" s="9">
        <f t="shared" si="136"/>
        <v>1.18</v>
      </c>
      <c r="BJ966" s="9">
        <f t="shared" si="137"/>
        <v>1.32</v>
      </c>
      <c r="BK966" s="9">
        <f t="shared" si="138"/>
        <v>3.28</v>
      </c>
      <c r="BL966" s="9">
        <f t="shared" si="139"/>
        <v>0</v>
      </c>
      <c r="BM966" s="9">
        <f t="shared" si="140"/>
        <v>1.32</v>
      </c>
      <c r="BN966" s="9">
        <f t="shared" si="141"/>
        <v>145.05000000000001</v>
      </c>
      <c r="BO966" s="9">
        <f t="shared" si="142"/>
        <v>0</v>
      </c>
      <c r="BP966" s="9">
        <f t="shared" si="143"/>
        <v>0</v>
      </c>
    </row>
    <row r="967" spans="1:68">
      <c r="A967" s="6">
        <v>44729</v>
      </c>
      <c r="B967" s="7">
        <v>3310</v>
      </c>
      <c r="C967" s="8"/>
      <c r="D967" s="8">
        <v>845.95</v>
      </c>
      <c r="E967" s="8"/>
      <c r="F967" s="8"/>
      <c r="G967" s="8"/>
      <c r="H967" s="8"/>
      <c r="I967" s="8"/>
      <c r="J967" s="8"/>
      <c r="K967" s="8"/>
      <c r="L967" s="8"/>
      <c r="M967" s="8">
        <v>1</v>
      </c>
      <c r="N967" s="8"/>
      <c r="O967" s="8"/>
      <c r="P967" s="8"/>
      <c r="Q967" s="11"/>
      <c r="R967" s="11"/>
      <c r="S967" s="8">
        <v>6.02</v>
      </c>
      <c r="T967" s="8">
        <v>7.65</v>
      </c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>
        <v>8.5399999999999991</v>
      </c>
      <c r="AH967" s="8"/>
      <c r="AI967" s="8"/>
      <c r="AJ967" s="8"/>
      <c r="AK967" s="8"/>
      <c r="AL967" s="8"/>
      <c r="AM967" s="8"/>
      <c r="AN967" s="8"/>
      <c r="AO967" s="8"/>
      <c r="AP967" s="11"/>
      <c r="AQ967" s="8"/>
      <c r="AR967" s="8"/>
      <c r="AS967" s="8"/>
      <c r="AT967" s="8"/>
      <c r="AU967" s="8">
        <v>366.05</v>
      </c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>
        <v>24.51</v>
      </c>
      <c r="BH967" s="9">
        <f t="shared" si="135"/>
        <v>845.95</v>
      </c>
      <c r="BI967" s="9">
        <f t="shared" si="136"/>
        <v>1</v>
      </c>
      <c r="BJ967" s="9">
        <f t="shared" si="137"/>
        <v>6.02</v>
      </c>
      <c r="BK967" s="9">
        <f t="shared" si="138"/>
        <v>7.65</v>
      </c>
      <c r="BL967" s="9">
        <f t="shared" si="139"/>
        <v>0</v>
      </c>
      <c r="BM967" s="9">
        <f t="shared" si="140"/>
        <v>8.5399999999999991</v>
      </c>
      <c r="BN967" s="9">
        <f t="shared" si="141"/>
        <v>366.05</v>
      </c>
      <c r="BO967" s="9">
        <f t="shared" si="142"/>
        <v>0</v>
      </c>
      <c r="BP967" s="9">
        <f t="shared" si="143"/>
        <v>0</v>
      </c>
    </row>
    <row r="968" spans="1:68">
      <c r="A968" s="6">
        <v>44732</v>
      </c>
      <c r="B968" s="7">
        <v>3307</v>
      </c>
      <c r="C968" s="8"/>
      <c r="D968" s="8">
        <v>1894.41</v>
      </c>
      <c r="E968" s="8"/>
      <c r="F968" s="8"/>
      <c r="G968" s="8"/>
      <c r="H968" s="8"/>
      <c r="I968" s="8"/>
      <c r="J968" s="8"/>
      <c r="K968" s="8"/>
      <c r="L968" s="8"/>
      <c r="M968" s="8">
        <v>2.48</v>
      </c>
      <c r="N968" s="8"/>
      <c r="O968" s="8"/>
      <c r="P968" s="8"/>
      <c r="Q968" s="11"/>
      <c r="R968" s="11"/>
      <c r="S968" s="8">
        <v>13.83</v>
      </c>
      <c r="T968" s="8">
        <v>18.96</v>
      </c>
      <c r="U968" s="8"/>
      <c r="V968" s="8"/>
      <c r="W968" s="8"/>
      <c r="X968" s="8"/>
      <c r="Y968" s="8"/>
      <c r="Z968" s="8"/>
      <c r="AA968" s="8"/>
      <c r="AB968" s="8"/>
      <c r="AC968" s="8">
        <v>11.37</v>
      </c>
      <c r="AD968" s="8"/>
      <c r="AE968" s="8"/>
      <c r="AF968" s="8"/>
      <c r="AG968" s="8">
        <v>18.989999999999998</v>
      </c>
      <c r="AH968" s="8"/>
      <c r="AI968" s="8"/>
      <c r="AJ968" s="8"/>
      <c r="AK968" s="8"/>
      <c r="AL968" s="8"/>
      <c r="AM968" s="8"/>
      <c r="AN968" s="8"/>
      <c r="AO968" s="8"/>
      <c r="AP968" s="11"/>
      <c r="AQ968" s="8"/>
      <c r="AR968" s="8"/>
      <c r="AS968" s="8"/>
      <c r="AT968" s="8"/>
      <c r="AU968" s="8">
        <v>949.88</v>
      </c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>
        <v>68.17</v>
      </c>
      <c r="BH968" s="9">
        <f t="shared" si="135"/>
        <v>1894.41</v>
      </c>
      <c r="BI968" s="9">
        <f t="shared" si="136"/>
        <v>2.48</v>
      </c>
      <c r="BJ968" s="9">
        <f t="shared" si="137"/>
        <v>13.83</v>
      </c>
      <c r="BK968" s="9">
        <f t="shared" si="138"/>
        <v>18.96</v>
      </c>
      <c r="BL968" s="9">
        <f t="shared" si="139"/>
        <v>0</v>
      </c>
      <c r="BM968" s="9">
        <f t="shared" si="140"/>
        <v>30.36</v>
      </c>
      <c r="BN968" s="9">
        <f t="shared" si="141"/>
        <v>949.88</v>
      </c>
      <c r="BO968" s="9">
        <f t="shared" si="142"/>
        <v>0</v>
      </c>
      <c r="BP968" s="9">
        <f t="shared" si="143"/>
        <v>0</v>
      </c>
    </row>
    <row r="969" spans="1:68">
      <c r="A969" s="6">
        <v>44732</v>
      </c>
      <c r="B969" s="7">
        <v>3023</v>
      </c>
      <c r="C969" s="8"/>
      <c r="D969" s="8">
        <v>889.59</v>
      </c>
      <c r="E969" s="8"/>
      <c r="F969" s="8"/>
      <c r="G969" s="8"/>
      <c r="H969" s="8"/>
      <c r="I969" s="8">
        <v>479.3</v>
      </c>
      <c r="J969" s="8"/>
      <c r="K969" s="8"/>
      <c r="L969" s="8"/>
      <c r="M969" s="8"/>
      <c r="N969" s="8">
        <v>7.62</v>
      </c>
      <c r="O969" s="8"/>
      <c r="P969" s="8"/>
      <c r="Q969" s="11"/>
      <c r="R969" s="11"/>
      <c r="S969" s="8">
        <v>2.19</v>
      </c>
      <c r="T969" s="8"/>
      <c r="U969" s="8"/>
      <c r="V969" s="8"/>
      <c r="W969" s="8">
        <v>12.202999999999999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>
        <v>13.64</v>
      </c>
      <c r="AN969" s="8">
        <v>9.5860000000000003</v>
      </c>
      <c r="AO969" s="8"/>
      <c r="AP969" s="11"/>
      <c r="AQ969" s="8"/>
      <c r="AR969" s="8"/>
      <c r="AS969" s="8">
        <v>44.478999999999999</v>
      </c>
      <c r="AT969" s="8">
        <v>555.9</v>
      </c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>
        <v>42.19</v>
      </c>
      <c r="BH969" s="9">
        <f t="shared" si="135"/>
        <v>1368.89</v>
      </c>
      <c r="BI969" s="9">
        <f t="shared" si="136"/>
        <v>7.62</v>
      </c>
      <c r="BJ969" s="9">
        <f t="shared" si="137"/>
        <v>2.19</v>
      </c>
      <c r="BK969" s="9">
        <f t="shared" si="138"/>
        <v>12.202999999999999</v>
      </c>
      <c r="BL969" s="9">
        <f t="shared" si="139"/>
        <v>0</v>
      </c>
      <c r="BM969" s="9">
        <f t="shared" si="140"/>
        <v>67.704999999999998</v>
      </c>
      <c r="BN969" s="9">
        <f t="shared" si="141"/>
        <v>555.9</v>
      </c>
      <c r="BO969" s="9">
        <f t="shared" si="142"/>
        <v>0</v>
      </c>
      <c r="BP969" s="9">
        <f t="shared" si="143"/>
        <v>0</v>
      </c>
    </row>
    <row r="970" spans="1:68">
      <c r="A970" s="6">
        <v>44732</v>
      </c>
      <c r="B970" s="7">
        <v>3028</v>
      </c>
      <c r="C970" s="8"/>
      <c r="D970" s="8">
        <v>411.19</v>
      </c>
      <c r="E970" s="8"/>
      <c r="F970" s="8">
        <v>374.86</v>
      </c>
      <c r="G970" s="8"/>
      <c r="H970" s="8"/>
      <c r="I970" s="8">
        <v>844.47</v>
      </c>
      <c r="J970" s="8"/>
      <c r="K970" s="8"/>
      <c r="L970" s="8"/>
      <c r="M970" s="8"/>
      <c r="N970" s="8">
        <v>12.22</v>
      </c>
      <c r="O970" s="8"/>
      <c r="P970" s="8"/>
      <c r="Q970" s="11"/>
      <c r="R970" s="11"/>
      <c r="S970" s="8">
        <v>2.2799999999999998</v>
      </c>
      <c r="T970" s="8"/>
      <c r="U970" s="8"/>
      <c r="V970" s="8"/>
      <c r="W970" s="8">
        <v>12.413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>
        <v>16.3</v>
      </c>
      <c r="AN970" s="8">
        <v>11.38</v>
      </c>
      <c r="AO970" s="8"/>
      <c r="AP970" s="11"/>
      <c r="AQ970" s="8"/>
      <c r="AR970" s="8"/>
      <c r="AS970" s="8">
        <v>53.98</v>
      </c>
      <c r="AT970" s="8">
        <v>542.66</v>
      </c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>
        <v>37.19</v>
      </c>
      <c r="BH970" s="9">
        <f t="shared" si="135"/>
        <v>1630.52</v>
      </c>
      <c r="BI970" s="9">
        <f t="shared" si="136"/>
        <v>12.22</v>
      </c>
      <c r="BJ970" s="9">
        <f t="shared" si="137"/>
        <v>2.2799999999999998</v>
      </c>
      <c r="BK970" s="9">
        <f t="shared" si="138"/>
        <v>12.413</v>
      </c>
      <c r="BL970" s="9">
        <f t="shared" si="139"/>
        <v>0</v>
      </c>
      <c r="BM970" s="9">
        <f t="shared" si="140"/>
        <v>81.66</v>
      </c>
      <c r="BN970" s="9">
        <f t="shared" si="141"/>
        <v>542.66</v>
      </c>
      <c r="BO970" s="9">
        <f t="shared" si="142"/>
        <v>0</v>
      </c>
      <c r="BP970" s="9">
        <f t="shared" si="143"/>
        <v>0</v>
      </c>
    </row>
    <row r="971" spans="1:68">
      <c r="A971" s="6">
        <v>44732</v>
      </c>
      <c r="B971" s="7">
        <v>3016</v>
      </c>
      <c r="C971" s="8"/>
      <c r="D971" s="8">
        <v>2338.58</v>
      </c>
      <c r="E971" s="8"/>
      <c r="F971" s="8"/>
      <c r="G971" s="8"/>
      <c r="H971" s="8"/>
      <c r="I971" s="8">
        <v>2159.86</v>
      </c>
      <c r="J971" s="8"/>
      <c r="K971" s="8"/>
      <c r="L971" s="8"/>
      <c r="M971" s="8"/>
      <c r="N971" s="8">
        <v>26.96</v>
      </c>
      <c r="O971" s="8"/>
      <c r="P971" s="8"/>
      <c r="Q971" s="11"/>
      <c r="R971" s="11"/>
      <c r="S971" s="8">
        <v>3.16</v>
      </c>
      <c r="T971" s="8">
        <v>45.13</v>
      </c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>
        <v>17.920000000000002</v>
      </c>
      <c r="AN971" s="8">
        <v>53.837000000000003</v>
      </c>
      <c r="AO971" s="8"/>
      <c r="AP971" s="11"/>
      <c r="AQ971" s="8"/>
      <c r="AR971" s="8">
        <v>112.75</v>
      </c>
      <c r="AS971" s="8"/>
      <c r="AT971" s="8">
        <v>1670.68</v>
      </c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>
        <v>122.39</v>
      </c>
      <c r="BH971" s="9">
        <f t="shared" si="135"/>
        <v>4498.4400000000005</v>
      </c>
      <c r="BI971" s="9">
        <f t="shared" si="136"/>
        <v>26.96</v>
      </c>
      <c r="BJ971" s="9">
        <f t="shared" si="137"/>
        <v>3.16</v>
      </c>
      <c r="BK971" s="9">
        <f t="shared" si="138"/>
        <v>45.13</v>
      </c>
      <c r="BL971" s="9">
        <f t="shared" si="139"/>
        <v>0</v>
      </c>
      <c r="BM971" s="9">
        <f t="shared" si="140"/>
        <v>184.50700000000001</v>
      </c>
      <c r="BN971" s="9">
        <f t="shared" si="141"/>
        <v>1670.68</v>
      </c>
      <c r="BO971" s="9">
        <f t="shared" si="142"/>
        <v>0</v>
      </c>
      <c r="BP971" s="9">
        <f t="shared" si="143"/>
        <v>0</v>
      </c>
    </row>
    <row r="972" spans="1:68">
      <c r="A972" s="6">
        <v>44732</v>
      </c>
      <c r="B972" s="7">
        <v>3083</v>
      </c>
      <c r="C972" s="8"/>
      <c r="D972" s="8">
        <v>1084.73</v>
      </c>
      <c r="E972" s="8"/>
      <c r="F972" s="8"/>
      <c r="G972" s="8"/>
      <c r="H972" s="8"/>
      <c r="I972" s="8">
        <v>2530.14</v>
      </c>
      <c r="J972" s="8"/>
      <c r="K972" s="8"/>
      <c r="L972" s="8"/>
      <c r="M972" s="8"/>
      <c r="N972" s="8">
        <v>24.99</v>
      </c>
      <c r="O972" s="8"/>
      <c r="P972" s="8"/>
      <c r="Q972" s="11"/>
      <c r="R972" s="11"/>
      <c r="S972" s="8">
        <v>2.52</v>
      </c>
      <c r="T972" s="8">
        <v>28.93</v>
      </c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>
        <v>14.48</v>
      </c>
      <c r="AN972" s="8">
        <v>51.149000000000001</v>
      </c>
      <c r="AO972" s="8"/>
      <c r="AP972" s="11"/>
      <c r="AQ972" s="8"/>
      <c r="AR972" s="8">
        <v>90.221000000000004</v>
      </c>
      <c r="AS972" s="8"/>
      <c r="AT972" s="8">
        <v>1642.94</v>
      </c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>
        <v>128.84</v>
      </c>
      <c r="BH972" s="9">
        <f t="shared" si="135"/>
        <v>3614.87</v>
      </c>
      <c r="BI972" s="9">
        <f t="shared" si="136"/>
        <v>24.99</v>
      </c>
      <c r="BJ972" s="9">
        <f t="shared" si="137"/>
        <v>2.52</v>
      </c>
      <c r="BK972" s="9">
        <f t="shared" si="138"/>
        <v>28.93</v>
      </c>
      <c r="BL972" s="9">
        <f t="shared" si="139"/>
        <v>0</v>
      </c>
      <c r="BM972" s="9">
        <f t="shared" si="140"/>
        <v>155.85000000000002</v>
      </c>
      <c r="BN972" s="9">
        <f t="shared" si="141"/>
        <v>1642.94</v>
      </c>
      <c r="BO972" s="9">
        <f t="shared" si="142"/>
        <v>0</v>
      </c>
      <c r="BP972" s="9">
        <f t="shared" si="143"/>
        <v>0</v>
      </c>
    </row>
    <row r="973" spans="1:68">
      <c r="A973" s="6">
        <v>44732</v>
      </c>
      <c r="B973" s="7">
        <v>3106</v>
      </c>
      <c r="C973" s="8">
        <v>4134.1099999999997</v>
      </c>
      <c r="D973" s="8"/>
      <c r="E973" s="8"/>
      <c r="F973" s="8"/>
      <c r="G973" s="8"/>
      <c r="H973" s="8"/>
      <c r="I973" s="8"/>
      <c r="J973" s="8"/>
      <c r="K973" s="8"/>
      <c r="L973" s="8"/>
      <c r="M973" s="8">
        <v>10.38</v>
      </c>
      <c r="N973" s="8"/>
      <c r="O973" s="8"/>
      <c r="P973" s="8"/>
      <c r="Q973" s="11"/>
      <c r="R973" s="11"/>
      <c r="S973" s="8">
        <v>12.45</v>
      </c>
      <c r="T973" s="8">
        <v>52.49</v>
      </c>
      <c r="U973" s="8"/>
      <c r="V973" s="8"/>
      <c r="W973" s="8"/>
      <c r="X973" s="8"/>
      <c r="Y973" s="8"/>
      <c r="Z973" s="8"/>
      <c r="AA973" s="8"/>
      <c r="AB973" s="8"/>
      <c r="AC973" s="8">
        <v>10.34</v>
      </c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11"/>
      <c r="AQ973" s="8"/>
      <c r="AR973" s="8"/>
      <c r="AS973" s="8"/>
      <c r="AT973" s="8">
        <v>2366.7199999999998</v>
      </c>
      <c r="AU973" s="8"/>
      <c r="AV973" s="8"/>
      <c r="AW973" s="8"/>
      <c r="AX973" s="8">
        <v>5.18</v>
      </c>
      <c r="AY973" s="8"/>
      <c r="AZ973" s="8"/>
      <c r="BA973" s="8"/>
      <c r="BB973" s="8"/>
      <c r="BC973" s="8"/>
      <c r="BD973" s="8"/>
      <c r="BE973" s="8"/>
      <c r="BF973" s="8"/>
      <c r="BG973" s="8">
        <v>177.76</v>
      </c>
      <c r="BH973" s="9">
        <f t="shared" si="135"/>
        <v>4134.1099999999997</v>
      </c>
      <c r="BI973" s="9">
        <f t="shared" si="136"/>
        <v>10.38</v>
      </c>
      <c r="BJ973" s="9">
        <f t="shared" si="137"/>
        <v>12.45</v>
      </c>
      <c r="BK973" s="9">
        <f t="shared" si="138"/>
        <v>52.49</v>
      </c>
      <c r="BL973" s="9">
        <f t="shared" si="139"/>
        <v>0</v>
      </c>
      <c r="BM973" s="9">
        <f t="shared" si="140"/>
        <v>10.34</v>
      </c>
      <c r="BN973" s="9">
        <f t="shared" si="141"/>
        <v>2366.7199999999998</v>
      </c>
      <c r="BO973" s="9">
        <f t="shared" si="142"/>
        <v>5.18</v>
      </c>
      <c r="BP973" s="9">
        <f t="shared" si="143"/>
        <v>0</v>
      </c>
    </row>
    <row r="974" spans="1:68">
      <c r="A974" s="6">
        <v>44732</v>
      </c>
      <c r="B974" s="7">
        <v>3141</v>
      </c>
      <c r="C974" s="8">
        <v>3581.87</v>
      </c>
      <c r="D974" s="8">
        <v>630.73</v>
      </c>
      <c r="E974" s="8"/>
      <c r="F974" s="8"/>
      <c r="G974" s="8"/>
      <c r="H974" s="8"/>
      <c r="I974" s="8"/>
      <c r="J974" s="8"/>
      <c r="K974" s="8"/>
      <c r="L974" s="8"/>
      <c r="M974" s="8">
        <v>9.7899999999999991</v>
      </c>
      <c r="N974" s="8"/>
      <c r="O974" s="8"/>
      <c r="P974" s="8"/>
      <c r="Q974" s="11"/>
      <c r="R974" s="11"/>
      <c r="S974" s="8">
        <v>19.89</v>
      </c>
      <c r="T974" s="8">
        <v>31.74</v>
      </c>
      <c r="U974" s="8">
        <v>31.74</v>
      </c>
      <c r="V974" s="8"/>
      <c r="W974" s="8"/>
      <c r="X974" s="8"/>
      <c r="Y974" s="8"/>
      <c r="Z974" s="8"/>
      <c r="AA974" s="8"/>
      <c r="AB974" s="8"/>
      <c r="AC974" s="8">
        <v>16.920000000000002</v>
      </c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11"/>
      <c r="AQ974" s="8"/>
      <c r="AR974" s="8"/>
      <c r="AS974" s="8"/>
      <c r="AT974" s="8">
        <v>2794.25</v>
      </c>
      <c r="AU974" s="8"/>
      <c r="AV974" s="8"/>
      <c r="AW974" s="8"/>
      <c r="AX974" s="8"/>
      <c r="AY974" s="8"/>
      <c r="AZ974" s="8"/>
      <c r="BA974" s="8">
        <v>96.9</v>
      </c>
      <c r="BB974" s="8"/>
      <c r="BC974" s="8"/>
      <c r="BD974" s="8"/>
      <c r="BE974" s="8"/>
      <c r="BF974" s="8">
        <v>295.91000000000003</v>
      </c>
      <c r="BG974" s="8">
        <v>220.15</v>
      </c>
      <c r="BH974" s="9">
        <f t="shared" si="135"/>
        <v>4212.6000000000004</v>
      </c>
      <c r="BI974" s="9">
        <f t="shared" si="136"/>
        <v>9.7899999999999991</v>
      </c>
      <c r="BJ974" s="9">
        <f t="shared" si="137"/>
        <v>19.89</v>
      </c>
      <c r="BK974" s="9">
        <f t="shared" si="138"/>
        <v>63.48</v>
      </c>
      <c r="BL974" s="9">
        <f t="shared" si="139"/>
        <v>0</v>
      </c>
      <c r="BM974" s="9">
        <f t="shared" si="140"/>
        <v>16.920000000000002</v>
      </c>
      <c r="BN974" s="9">
        <f t="shared" si="141"/>
        <v>2794.25</v>
      </c>
      <c r="BO974" s="9">
        <f t="shared" si="142"/>
        <v>96.9</v>
      </c>
      <c r="BP974" s="9">
        <f t="shared" si="143"/>
        <v>295.91000000000003</v>
      </c>
    </row>
    <row r="975" spans="1:68">
      <c r="A975" s="6">
        <v>44733</v>
      </c>
      <c r="B975" s="7">
        <v>3030</v>
      </c>
      <c r="C975" s="8"/>
      <c r="D975" s="8">
        <v>829.36</v>
      </c>
      <c r="E975" s="8"/>
      <c r="F975" s="8"/>
      <c r="G975" s="8"/>
      <c r="H975" s="8"/>
      <c r="I975" s="8">
        <v>338.33</v>
      </c>
      <c r="J975" s="8"/>
      <c r="K975" s="8"/>
      <c r="L975" s="8"/>
      <c r="M975" s="8"/>
      <c r="N975" s="8">
        <v>8.07</v>
      </c>
      <c r="O975" s="8"/>
      <c r="P975" s="8"/>
      <c r="Q975" s="11"/>
      <c r="R975" s="11"/>
      <c r="S975" s="8">
        <v>0.82</v>
      </c>
      <c r="T975" s="8"/>
      <c r="U975" s="8"/>
      <c r="V975" s="8"/>
      <c r="W975" s="8">
        <v>9.4469999999999992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>
        <v>4.67</v>
      </c>
      <c r="AN975" s="8">
        <v>16.463000000000001</v>
      </c>
      <c r="AO975" s="8"/>
      <c r="AP975" s="11"/>
      <c r="AQ975" s="8"/>
      <c r="AR975" s="8">
        <v>38.384</v>
      </c>
      <c r="AS975" s="8"/>
      <c r="AT975" s="8">
        <v>408.7</v>
      </c>
      <c r="AU975" s="8">
        <v>102.12</v>
      </c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>
        <v>40.61</v>
      </c>
      <c r="BH975" s="9">
        <f t="shared" si="135"/>
        <v>1167.69</v>
      </c>
      <c r="BI975" s="9">
        <f t="shared" si="136"/>
        <v>8.07</v>
      </c>
      <c r="BJ975" s="9">
        <f t="shared" si="137"/>
        <v>0.82</v>
      </c>
      <c r="BK975" s="9">
        <f t="shared" si="138"/>
        <v>9.4469999999999992</v>
      </c>
      <c r="BL975" s="9">
        <f t="shared" si="139"/>
        <v>0</v>
      </c>
      <c r="BM975" s="9">
        <f t="shared" si="140"/>
        <v>59.517000000000003</v>
      </c>
      <c r="BN975" s="9">
        <f t="shared" si="141"/>
        <v>510.82</v>
      </c>
      <c r="BO975" s="9">
        <f t="shared" si="142"/>
        <v>0</v>
      </c>
      <c r="BP975" s="9">
        <f t="shared" si="143"/>
        <v>0</v>
      </c>
    </row>
    <row r="976" spans="1:68">
      <c r="A976" s="6">
        <v>44733</v>
      </c>
      <c r="B976" s="7">
        <v>3079</v>
      </c>
      <c r="C976" s="8"/>
      <c r="D976" s="8"/>
      <c r="E976" s="8"/>
      <c r="F976" s="8">
        <v>330.65</v>
      </c>
      <c r="G976" s="8"/>
      <c r="H976" s="8"/>
      <c r="I976" s="8">
        <v>2676.58</v>
      </c>
      <c r="J976" s="8"/>
      <c r="K976" s="8"/>
      <c r="L976" s="8"/>
      <c r="M976" s="8"/>
      <c r="N976" s="8">
        <v>22.56</v>
      </c>
      <c r="O976" s="8"/>
      <c r="P976" s="8"/>
      <c r="Q976" s="11"/>
      <c r="R976" s="11"/>
      <c r="S976" s="8">
        <v>1.19</v>
      </c>
      <c r="T976" s="8">
        <v>30.1</v>
      </c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>
        <v>12.03</v>
      </c>
      <c r="AN976" s="8">
        <v>30.109000000000002</v>
      </c>
      <c r="AO976" s="8"/>
      <c r="AP976" s="11"/>
      <c r="AQ976" s="8"/>
      <c r="AR976" s="8">
        <v>75.652000000000001</v>
      </c>
      <c r="AS976" s="8"/>
      <c r="AT976" s="8">
        <v>1146.03</v>
      </c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>
        <v>82.71</v>
      </c>
      <c r="BH976" s="9">
        <f t="shared" si="135"/>
        <v>3007.23</v>
      </c>
      <c r="BI976" s="9">
        <f t="shared" si="136"/>
        <v>22.56</v>
      </c>
      <c r="BJ976" s="9">
        <f t="shared" si="137"/>
        <v>1.19</v>
      </c>
      <c r="BK976" s="9">
        <f t="shared" si="138"/>
        <v>30.1</v>
      </c>
      <c r="BL976" s="9">
        <f t="shared" si="139"/>
        <v>0</v>
      </c>
      <c r="BM976" s="9">
        <f t="shared" si="140"/>
        <v>117.791</v>
      </c>
      <c r="BN976" s="9">
        <f t="shared" si="141"/>
        <v>1146.03</v>
      </c>
      <c r="BO976" s="9">
        <f t="shared" si="142"/>
        <v>0</v>
      </c>
      <c r="BP976" s="9">
        <f t="shared" si="143"/>
        <v>0</v>
      </c>
    </row>
    <row r="977" spans="1:68">
      <c r="A977" s="6">
        <v>44733</v>
      </c>
      <c r="B977" s="7">
        <v>3080</v>
      </c>
      <c r="C977" s="8"/>
      <c r="D977" s="8"/>
      <c r="E977" s="8"/>
      <c r="F977" s="8">
        <v>755.33</v>
      </c>
      <c r="G977" s="8"/>
      <c r="H977" s="8"/>
      <c r="I977" s="8">
        <v>1138.68</v>
      </c>
      <c r="J977" s="8"/>
      <c r="K977" s="8"/>
      <c r="L977" s="8"/>
      <c r="M977" s="8"/>
      <c r="N977" s="8">
        <v>13.4</v>
      </c>
      <c r="O977" s="8"/>
      <c r="P977" s="8">
        <v>7.7670000000000003</v>
      </c>
      <c r="Q977" s="11"/>
      <c r="R977" s="11"/>
      <c r="S977" s="8">
        <v>1.1299999999999999</v>
      </c>
      <c r="T977" s="8">
        <v>19.059999999999999</v>
      </c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>
        <v>28.838999999999999</v>
      </c>
      <c r="AJ977" s="8"/>
      <c r="AK977" s="8"/>
      <c r="AL977" s="8"/>
      <c r="AM977" s="8"/>
      <c r="AN977" s="8"/>
      <c r="AO977" s="8"/>
      <c r="AP977" s="11"/>
      <c r="AQ977" s="8">
        <v>18.518999999999998</v>
      </c>
      <c r="AR977" s="8">
        <v>66.966999999999999</v>
      </c>
      <c r="AS977" s="8"/>
      <c r="AT977" s="8">
        <v>670.8</v>
      </c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>
        <v>36.340000000000003</v>
      </c>
      <c r="BH977" s="9">
        <f t="shared" si="135"/>
        <v>1894.0100000000002</v>
      </c>
      <c r="BI977" s="9">
        <f t="shared" si="136"/>
        <v>21.167000000000002</v>
      </c>
      <c r="BJ977" s="9">
        <f t="shared" si="137"/>
        <v>1.1299999999999999</v>
      </c>
      <c r="BK977" s="9">
        <f t="shared" si="138"/>
        <v>19.059999999999999</v>
      </c>
      <c r="BL977" s="9">
        <f t="shared" si="139"/>
        <v>0</v>
      </c>
      <c r="BM977" s="9">
        <f t="shared" si="140"/>
        <v>114.32499999999999</v>
      </c>
      <c r="BN977" s="9">
        <f t="shared" si="141"/>
        <v>670.8</v>
      </c>
      <c r="BO977" s="9">
        <f t="shared" si="142"/>
        <v>0</v>
      </c>
      <c r="BP977" s="9">
        <f t="shared" si="143"/>
        <v>0</v>
      </c>
    </row>
    <row r="978" spans="1:68">
      <c r="A978" s="6">
        <v>44733</v>
      </c>
      <c r="B978" s="7">
        <v>3402</v>
      </c>
      <c r="C978" s="8">
        <v>441.5</v>
      </c>
      <c r="D978" s="8">
        <v>296.12</v>
      </c>
      <c r="E978" s="8"/>
      <c r="F978" s="8"/>
      <c r="G978" s="8"/>
      <c r="H978" s="8"/>
      <c r="I978" s="8"/>
      <c r="J978" s="8"/>
      <c r="K978" s="8"/>
      <c r="L978" s="8"/>
      <c r="M978" s="8">
        <v>1.74</v>
      </c>
      <c r="N978" s="8"/>
      <c r="O978" s="8"/>
      <c r="P978" s="8"/>
      <c r="Q978" s="11"/>
      <c r="R978" s="11"/>
      <c r="S978" s="8">
        <v>1.7</v>
      </c>
      <c r="T978" s="8">
        <v>7.43</v>
      </c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11"/>
      <c r="AQ978" s="8"/>
      <c r="AR978" s="8"/>
      <c r="AS978" s="8"/>
      <c r="AT978" s="8">
        <v>350.7</v>
      </c>
      <c r="AU978" s="8"/>
      <c r="AV978" s="8"/>
      <c r="AW978" s="8"/>
      <c r="AX978" s="8"/>
      <c r="AY978" s="8"/>
      <c r="AZ978" s="8"/>
      <c r="BA978" s="8">
        <v>3.33</v>
      </c>
      <c r="BB978" s="8"/>
      <c r="BC978" s="8"/>
      <c r="BD978" s="8"/>
      <c r="BE978" s="8"/>
      <c r="BF978" s="8"/>
      <c r="BG978" s="8">
        <v>24.49</v>
      </c>
      <c r="BH978" s="9">
        <f t="shared" si="135"/>
        <v>737.62</v>
      </c>
      <c r="BI978" s="9">
        <f t="shared" si="136"/>
        <v>1.74</v>
      </c>
      <c r="BJ978" s="9">
        <f t="shared" si="137"/>
        <v>1.7</v>
      </c>
      <c r="BK978" s="9">
        <f t="shared" si="138"/>
        <v>7.43</v>
      </c>
      <c r="BL978" s="9">
        <f t="shared" si="139"/>
        <v>0</v>
      </c>
      <c r="BM978" s="9">
        <f t="shared" si="140"/>
        <v>0</v>
      </c>
      <c r="BN978" s="9">
        <f t="shared" si="141"/>
        <v>350.7</v>
      </c>
      <c r="BO978" s="9">
        <f t="shared" si="142"/>
        <v>3.33</v>
      </c>
      <c r="BP978" s="9">
        <f t="shared" si="143"/>
        <v>0</v>
      </c>
    </row>
    <row r="979" spans="1:68">
      <c r="A979" s="6">
        <v>44733</v>
      </c>
      <c r="B979" s="7">
        <v>3409</v>
      </c>
      <c r="C979" s="8">
        <v>730.96</v>
      </c>
      <c r="D979" s="8"/>
      <c r="E979" s="8"/>
      <c r="F979" s="8"/>
      <c r="G979" s="8"/>
      <c r="H979" s="8"/>
      <c r="I979" s="8"/>
      <c r="J979" s="8"/>
      <c r="K979" s="8"/>
      <c r="L979" s="8"/>
      <c r="M979" s="8">
        <v>1.79</v>
      </c>
      <c r="N979" s="8"/>
      <c r="O979" s="8"/>
      <c r="P979" s="8"/>
      <c r="Q979" s="11"/>
      <c r="R979" s="11"/>
      <c r="S979" s="8">
        <v>1.83</v>
      </c>
      <c r="T979" s="8">
        <v>7.33</v>
      </c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11"/>
      <c r="AQ979" s="8"/>
      <c r="AR979" s="8"/>
      <c r="AS979" s="8"/>
      <c r="AT979" s="8">
        <v>374.61</v>
      </c>
      <c r="AU979" s="8"/>
      <c r="AV979" s="8">
        <v>21.98</v>
      </c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>
        <v>25.63</v>
      </c>
      <c r="BH979" s="9">
        <f t="shared" si="135"/>
        <v>730.96</v>
      </c>
      <c r="BI979" s="9">
        <f t="shared" si="136"/>
        <v>1.79</v>
      </c>
      <c r="BJ979" s="9">
        <f t="shared" si="137"/>
        <v>1.83</v>
      </c>
      <c r="BK979" s="9">
        <f t="shared" si="138"/>
        <v>7.33</v>
      </c>
      <c r="BL979" s="9">
        <f t="shared" si="139"/>
        <v>0</v>
      </c>
      <c r="BM979" s="9">
        <f t="shared" si="140"/>
        <v>0</v>
      </c>
      <c r="BN979" s="9">
        <f t="shared" si="141"/>
        <v>374.61</v>
      </c>
      <c r="BO979" s="9">
        <f t="shared" si="142"/>
        <v>21.98</v>
      </c>
      <c r="BP979" s="9">
        <f t="shared" si="143"/>
        <v>0</v>
      </c>
    </row>
    <row r="980" spans="1:68">
      <c r="A980" s="6">
        <v>44733</v>
      </c>
      <c r="B980" s="7">
        <v>3200</v>
      </c>
      <c r="C980" s="8">
        <v>2255.39</v>
      </c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>
        <v>5.66</v>
      </c>
      <c r="P980" s="8"/>
      <c r="Q980" s="11"/>
      <c r="R980" s="11"/>
      <c r="S980" s="8">
        <v>8.82</v>
      </c>
      <c r="T980" s="8"/>
      <c r="U980" s="8">
        <v>33.97</v>
      </c>
      <c r="V980" s="8"/>
      <c r="W980" s="8"/>
      <c r="X980" s="8"/>
      <c r="Y980" s="8"/>
      <c r="Z980" s="8">
        <v>475.06</v>
      </c>
      <c r="AA980" s="8"/>
      <c r="AB980" s="8"/>
      <c r="AC980" s="8"/>
      <c r="AD980" s="8"/>
      <c r="AE980" s="8"/>
      <c r="AF980" s="8">
        <v>112.85</v>
      </c>
      <c r="AG980" s="8"/>
      <c r="AH980" s="8"/>
      <c r="AI980" s="8"/>
      <c r="AJ980" s="8"/>
      <c r="AK980" s="8"/>
      <c r="AL980" s="8"/>
      <c r="AM980" s="8"/>
      <c r="AN980" s="8"/>
      <c r="AO980" s="8"/>
      <c r="AP980" s="11"/>
      <c r="AQ980" s="8">
        <v>34.064999999999998</v>
      </c>
      <c r="AR980" s="8"/>
      <c r="AS980" s="8"/>
      <c r="AT980" s="8">
        <v>1548.18</v>
      </c>
      <c r="AU980" s="8"/>
      <c r="AV980" s="8"/>
      <c r="AW980" s="8">
        <v>6.54</v>
      </c>
      <c r="AX980" s="8"/>
      <c r="AY980" s="8"/>
      <c r="AZ980" s="8"/>
      <c r="BA980" s="8"/>
      <c r="BB980" s="8"/>
      <c r="BC980" s="8"/>
      <c r="BD980" s="8"/>
      <c r="BE980" s="8"/>
      <c r="BF980" s="8">
        <v>108.85</v>
      </c>
      <c r="BG980" s="8">
        <v>111.49</v>
      </c>
      <c r="BH980" s="9">
        <f t="shared" si="135"/>
        <v>2255.39</v>
      </c>
      <c r="BI980" s="9">
        <f t="shared" si="136"/>
        <v>5.66</v>
      </c>
      <c r="BJ980" s="9">
        <f t="shared" si="137"/>
        <v>8.82</v>
      </c>
      <c r="BK980" s="9">
        <f t="shared" si="138"/>
        <v>33.97</v>
      </c>
      <c r="BL980" s="9">
        <f t="shared" si="139"/>
        <v>475.06</v>
      </c>
      <c r="BM980" s="9">
        <f t="shared" si="140"/>
        <v>146.91499999999999</v>
      </c>
      <c r="BN980" s="9">
        <f t="shared" si="141"/>
        <v>1548.18</v>
      </c>
      <c r="BO980" s="9">
        <f t="shared" si="142"/>
        <v>6.54</v>
      </c>
      <c r="BP980" s="9">
        <f t="shared" si="143"/>
        <v>108.85</v>
      </c>
    </row>
    <row r="981" spans="1:68">
      <c r="A981" s="6">
        <v>44733</v>
      </c>
      <c r="B981" s="7">
        <v>3705</v>
      </c>
      <c r="C981" s="8"/>
      <c r="D981" s="8">
        <v>741.45</v>
      </c>
      <c r="E981" s="8"/>
      <c r="F981" s="8"/>
      <c r="G981" s="8"/>
      <c r="H981" s="8"/>
      <c r="I981" s="8">
        <v>162.49</v>
      </c>
      <c r="J981" s="8"/>
      <c r="K981" s="8"/>
      <c r="L981" s="8"/>
      <c r="M981" s="8">
        <v>2.72</v>
      </c>
      <c r="N981" s="8"/>
      <c r="O981" s="8"/>
      <c r="P981" s="8"/>
      <c r="Q981" s="11"/>
      <c r="R981" s="11"/>
      <c r="S981" s="8">
        <v>3.16</v>
      </c>
      <c r="T981" s="8"/>
      <c r="U981" s="8">
        <v>6.33</v>
      </c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11"/>
      <c r="AQ981" s="8"/>
      <c r="AR981" s="8"/>
      <c r="AS981" s="8"/>
      <c r="AT981" s="8">
        <v>53.87</v>
      </c>
      <c r="AU981" s="8">
        <v>107.5</v>
      </c>
      <c r="AV981" s="8"/>
      <c r="AW981" s="8"/>
      <c r="AX981" s="8"/>
      <c r="AY981" s="8"/>
      <c r="AZ981" s="8"/>
      <c r="BA981" s="8"/>
      <c r="BB981" s="8"/>
      <c r="BC981" s="8"/>
      <c r="BD981" s="8">
        <v>1.81</v>
      </c>
      <c r="BE981" s="8"/>
      <c r="BF981" s="8"/>
      <c r="BG981" s="8">
        <v>8.8800000000000008</v>
      </c>
      <c r="BH981" s="9">
        <f t="shared" si="135"/>
        <v>903.94</v>
      </c>
      <c r="BI981" s="9">
        <f t="shared" si="136"/>
        <v>2.72</v>
      </c>
      <c r="BJ981" s="9">
        <f t="shared" si="137"/>
        <v>3.16</v>
      </c>
      <c r="BK981" s="9">
        <f t="shared" si="138"/>
        <v>6.33</v>
      </c>
      <c r="BL981" s="9">
        <f t="shared" si="139"/>
        <v>0</v>
      </c>
      <c r="BM981" s="9">
        <f t="shared" si="140"/>
        <v>0</v>
      </c>
      <c r="BN981" s="9">
        <f t="shared" si="141"/>
        <v>161.37</v>
      </c>
      <c r="BO981" s="9">
        <f t="shared" si="142"/>
        <v>1.81</v>
      </c>
      <c r="BP981" s="9">
        <f t="shared" si="143"/>
        <v>0</v>
      </c>
    </row>
    <row r="982" spans="1:68">
      <c r="A982" s="6">
        <v>44733</v>
      </c>
      <c r="B982" s="7">
        <v>8224</v>
      </c>
      <c r="C982" s="8">
        <v>92.77</v>
      </c>
      <c r="D982" s="8">
        <v>139.57</v>
      </c>
      <c r="E982" s="8"/>
      <c r="F982" s="8"/>
      <c r="G982" s="8"/>
      <c r="H982" s="8"/>
      <c r="I982" s="8"/>
      <c r="J982" s="8"/>
      <c r="K982" s="8"/>
      <c r="L982" s="8"/>
      <c r="M982" s="8"/>
      <c r="N982" s="8">
        <v>0.42</v>
      </c>
      <c r="O982" s="8"/>
      <c r="P982" s="8"/>
      <c r="Q982" s="11"/>
      <c r="R982" s="11"/>
      <c r="S982" s="8">
        <v>0.88</v>
      </c>
      <c r="T982" s="8"/>
      <c r="U982" s="8"/>
      <c r="V982" s="8"/>
      <c r="W982" s="8"/>
      <c r="X982" s="8">
        <v>2.7959999999999998</v>
      </c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11"/>
      <c r="AQ982" s="8"/>
      <c r="AR982" s="8"/>
      <c r="AS982" s="8"/>
      <c r="AT982" s="8">
        <v>94.13</v>
      </c>
      <c r="AU982" s="8"/>
      <c r="AV982" s="8"/>
      <c r="AW982" s="8">
        <v>4.53</v>
      </c>
      <c r="AX982" s="8"/>
      <c r="AY982" s="8"/>
      <c r="AZ982" s="8"/>
      <c r="BA982" s="8"/>
      <c r="BB982" s="8"/>
      <c r="BC982" s="8"/>
      <c r="BD982" s="8"/>
      <c r="BE982" s="8"/>
      <c r="BF982" s="8"/>
      <c r="BG982" s="8">
        <v>7.19</v>
      </c>
      <c r="BH982" s="9">
        <f t="shared" si="135"/>
        <v>232.33999999999997</v>
      </c>
      <c r="BI982" s="9">
        <f t="shared" si="136"/>
        <v>0.42</v>
      </c>
      <c r="BJ982" s="9">
        <f t="shared" si="137"/>
        <v>0.88</v>
      </c>
      <c r="BK982" s="9">
        <f t="shared" si="138"/>
        <v>2.7959999999999998</v>
      </c>
      <c r="BL982" s="9">
        <f t="shared" si="139"/>
        <v>0</v>
      </c>
      <c r="BM982" s="9">
        <f t="shared" si="140"/>
        <v>0</v>
      </c>
      <c r="BN982" s="9">
        <f t="shared" si="141"/>
        <v>94.13</v>
      </c>
      <c r="BO982" s="9">
        <f t="shared" si="142"/>
        <v>4.53</v>
      </c>
      <c r="BP982" s="9">
        <f t="shared" si="143"/>
        <v>0</v>
      </c>
    </row>
    <row r="983" spans="1:68">
      <c r="A983" s="6">
        <v>44733</v>
      </c>
      <c r="B983" s="7">
        <v>3602</v>
      </c>
      <c r="C983" s="8">
        <v>1154.48</v>
      </c>
      <c r="D983" s="8"/>
      <c r="E983" s="8"/>
      <c r="F983" s="8"/>
      <c r="G983" s="8">
        <v>1728.35</v>
      </c>
      <c r="H983" s="8"/>
      <c r="I983" s="8"/>
      <c r="J983" s="8"/>
      <c r="K983" s="8"/>
      <c r="L983" s="8"/>
      <c r="M983" s="8">
        <v>2.8</v>
      </c>
      <c r="N983" s="8"/>
      <c r="O983" s="8"/>
      <c r="P983" s="8"/>
      <c r="Q983" s="11"/>
      <c r="R983" s="11"/>
      <c r="S983" s="8">
        <v>15.24</v>
      </c>
      <c r="T983" s="8"/>
      <c r="U983" s="8">
        <v>9.23</v>
      </c>
      <c r="V983" s="8">
        <v>28.033000000000001</v>
      </c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11"/>
      <c r="AQ983" s="8"/>
      <c r="AR983" s="8"/>
      <c r="AS983" s="8"/>
      <c r="AT983" s="8">
        <v>1202.3499999999999</v>
      </c>
      <c r="AU983" s="8"/>
      <c r="AV983" s="8"/>
      <c r="AW983" s="8">
        <v>74.61</v>
      </c>
      <c r="AX983" s="8"/>
      <c r="AY983" s="8"/>
      <c r="AZ983" s="8"/>
      <c r="BA983" s="8"/>
      <c r="BB983" s="8"/>
      <c r="BC983" s="8"/>
      <c r="BD983" s="8"/>
      <c r="BE983" s="8"/>
      <c r="BF983" s="8">
        <v>92.51</v>
      </c>
      <c r="BG983" s="8">
        <v>90.45</v>
      </c>
      <c r="BH983" s="9">
        <f t="shared" si="135"/>
        <v>2882.83</v>
      </c>
      <c r="BI983" s="9">
        <f t="shared" si="136"/>
        <v>2.8</v>
      </c>
      <c r="BJ983" s="9">
        <f t="shared" si="137"/>
        <v>15.24</v>
      </c>
      <c r="BK983" s="9">
        <f t="shared" si="138"/>
        <v>37.263000000000005</v>
      </c>
      <c r="BL983" s="9">
        <f t="shared" si="139"/>
        <v>0</v>
      </c>
      <c r="BM983" s="9">
        <f t="shared" si="140"/>
        <v>0</v>
      </c>
      <c r="BN983" s="9">
        <f t="shared" si="141"/>
        <v>1202.3499999999999</v>
      </c>
      <c r="BO983" s="9">
        <f t="shared" si="142"/>
        <v>74.61</v>
      </c>
      <c r="BP983" s="9">
        <f t="shared" si="143"/>
        <v>92.51</v>
      </c>
    </row>
    <row r="984" spans="1:68">
      <c r="A984" s="6">
        <v>44733</v>
      </c>
      <c r="B984" s="7">
        <v>3139</v>
      </c>
      <c r="C984" s="8">
        <v>2351.63</v>
      </c>
      <c r="D984" s="8"/>
      <c r="E984" s="8"/>
      <c r="F984" s="8"/>
      <c r="G984" s="8"/>
      <c r="H984" s="8">
        <v>976.03</v>
      </c>
      <c r="I984" s="8"/>
      <c r="J984" s="8"/>
      <c r="K984" s="8"/>
      <c r="L984" s="8"/>
      <c r="M984" s="8">
        <v>5.53</v>
      </c>
      <c r="N984" s="8"/>
      <c r="O984" s="8"/>
      <c r="P984" s="8"/>
      <c r="Q984" s="11"/>
      <c r="R984" s="11"/>
      <c r="S984" s="8">
        <v>9.84</v>
      </c>
      <c r="T984" s="8">
        <v>34.729999999999997</v>
      </c>
      <c r="U984" s="8"/>
      <c r="V984" s="8"/>
      <c r="W984" s="8"/>
      <c r="X984" s="8"/>
      <c r="Y984" s="8"/>
      <c r="Z984" s="8"/>
      <c r="AA984" s="8"/>
      <c r="AB984" s="8"/>
      <c r="AC984" s="8">
        <v>11.58</v>
      </c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11"/>
      <c r="AQ984" s="8"/>
      <c r="AR984" s="8"/>
      <c r="AS984" s="8"/>
      <c r="AT984" s="8">
        <v>1715.24</v>
      </c>
      <c r="AU984" s="8"/>
      <c r="AV984" s="8">
        <v>57.94</v>
      </c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>
        <v>124.49</v>
      </c>
      <c r="BH984" s="9">
        <f t="shared" si="135"/>
        <v>3327.66</v>
      </c>
      <c r="BI984" s="9">
        <f t="shared" si="136"/>
        <v>5.53</v>
      </c>
      <c r="BJ984" s="9">
        <f t="shared" si="137"/>
        <v>9.84</v>
      </c>
      <c r="BK984" s="9">
        <f t="shared" si="138"/>
        <v>34.729999999999997</v>
      </c>
      <c r="BL984" s="9">
        <f t="shared" si="139"/>
        <v>0</v>
      </c>
      <c r="BM984" s="9">
        <f t="shared" si="140"/>
        <v>11.58</v>
      </c>
      <c r="BN984" s="9">
        <f t="shared" si="141"/>
        <v>1715.24</v>
      </c>
      <c r="BO984" s="9">
        <f t="shared" si="142"/>
        <v>57.94</v>
      </c>
      <c r="BP984" s="9">
        <f t="shared" si="143"/>
        <v>0</v>
      </c>
    </row>
    <row r="985" spans="1:68">
      <c r="A985" s="6">
        <v>44734</v>
      </c>
      <c r="B985" s="7">
        <v>3408</v>
      </c>
      <c r="C985" s="8">
        <v>727.01</v>
      </c>
      <c r="D985" s="8"/>
      <c r="E985" s="8"/>
      <c r="F985" s="8"/>
      <c r="G985" s="8"/>
      <c r="H985" s="8"/>
      <c r="I985" s="8"/>
      <c r="J985" s="8"/>
      <c r="K985" s="8"/>
      <c r="L985" s="8"/>
      <c r="M985" s="8">
        <v>1.8</v>
      </c>
      <c r="N985" s="8"/>
      <c r="O985" s="8"/>
      <c r="P985" s="8"/>
      <c r="Q985" s="11"/>
      <c r="R985" s="11"/>
      <c r="S985" s="8">
        <v>1.86</v>
      </c>
      <c r="T985" s="8">
        <v>7.44</v>
      </c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11"/>
      <c r="AQ985" s="8"/>
      <c r="AR985" s="8"/>
      <c r="AS985" s="8"/>
      <c r="AT985" s="8">
        <v>379.1</v>
      </c>
      <c r="AU985" s="8"/>
      <c r="AV985" s="8"/>
      <c r="AW985" s="8"/>
      <c r="AX985" s="8"/>
      <c r="AY985" s="8"/>
      <c r="AZ985" s="8"/>
      <c r="BA985" s="8">
        <v>3.27</v>
      </c>
      <c r="BB985" s="8"/>
      <c r="BC985" s="8"/>
      <c r="BD985" s="8"/>
      <c r="BE985" s="8"/>
      <c r="BF985" s="8"/>
      <c r="BG985" s="8">
        <v>26.23</v>
      </c>
      <c r="BH985" s="9">
        <f t="shared" si="135"/>
        <v>727.01</v>
      </c>
      <c r="BI985" s="9">
        <f t="shared" si="136"/>
        <v>1.8</v>
      </c>
      <c r="BJ985" s="9">
        <f t="shared" si="137"/>
        <v>1.86</v>
      </c>
      <c r="BK985" s="9">
        <f t="shared" si="138"/>
        <v>7.44</v>
      </c>
      <c r="BL985" s="9">
        <f t="shared" si="139"/>
        <v>0</v>
      </c>
      <c r="BM985" s="9">
        <f t="shared" si="140"/>
        <v>0</v>
      </c>
      <c r="BN985" s="9">
        <f t="shared" si="141"/>
        <v>379.1</v>
      </c>
      <c r="BO985" s="9">
        <f t="shared" si="142"/>
        <v>3.27</v>
      </c>
      <c r="BP985" s="9">
        <f t="shared" si="143"/>
        <v>0</v>
      </c>
    </row>
    <row r="986" spans="1:68">
      <c r="A986" s="6">
        <v>44734</v>
      </c>
      <c r="B986" s="7">
        <v>3402</v>
      </c>
      <c r="C986" s="8">
        <v>432.52</v>
      </c>
      <c r="D986" s="8">
        <v>286.86</v>
      </c>
      <c r="E986" s="8"/>
      <c r="F986" s="8"/>
      <c r="G986" s="8"/>
      <c r="H986" s="8"/>
      <c r="I986" s="8"/>
      <c r="J986" s="8"/>
      <c r="K986" s="8"/>
      <c r="L986" s="8"/>
      <c r="M986" s="8">
        <v>1.59</v>
      </c>
      <c r="N986" s="8"/>
      <c r="O986" s="8"/>
      <c r="P986" s="8"/>
      <c r="Q986" s="11"/>
      <c r="R986" s="11"/>
      <c r="S986" s="8">
        <v>1.66</v>
      </c>
      <c r="T986" s="8">
        <v>7.2</v>
      </c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11"/>
      <c r="AQ986" s="8"/>
      <c r="AR986" s="8"/>
      <c r="AS986" s="8"/>
      <c r="AT986" s="8">
        <v>339.01</v>
      </c>
      <c r="AU986" s="8"/>
      <c r="AV986" s="8"/>
      <c r="AW986" s="8"/>
      <c r="AX986" s="8"/>
      <c r="AY986" s="8"/>
      <c r="AZ986" s="8"/>
      <c r="BA986" s="8">
        <v>3.24</v>
      </c>
      <c r="BB986" s="8"/>
      <c r="BC986" s="8"/>
      <c r="BD986" s="8"/>
      <c r="BE986" s="8"/>
      <c r="BF986" s="8"/>
      <c r="BG986" s="8">
        <v>23.74</v>
      </c>
      <c r="BH986" s="9">
        <f t="shared" si="135"/>
        <v>719.38</v>
      </c>
      <c r="BI986" s="9">
        <f t="shared" si="136"/>
        <v>1.59</v>
      </c>
      <c r="BJ986" s="9">
        <f t="shared" si="137"/>
        <v>1.66</v>
      </c>
      <c r="BK986" s="9">
        <f t="shared" si="138"/>
        <v>7.2</v>
      </c>
      <c r="BL986" s="9">
        <f t="shared" si="139"/>
        <v>0</v>
      </c>
      <c r="BM986" s="9">
        <f t="shared" si="140"/>
        <v>0</v>
      </c>
      <c r="BN986" s="9">
        <f t="shared" si="141"/>
        <v>339.01</v>
      </c>
      <c r="BO986" s="9">
        <f t="shared" si="142"/>
        <v>3.24</v>
      </c>
      <c r="BP986" s="9">
        <f t="shared" si="143"/>
        <v>0</v>
      </c>
    </row>
    <row r="987" spans="1:68">
      <c r="A987" s="6">
        <v>44734</v>
      </c>
      <c r="B987" s="7">
        <v>3405</v>
      </c>
      <c r="C987" s="8">
        <v>567.88</v>
      </c>
      <c r="D987" s="8">
        <v>146.51</v>
      </c>
      <c r="E987" s="8"/>
      <c r="F987" s="8"/>
      <c r="G987" s="8"/>
      <c r="H987" s="8"/>
      <c r="I987" s="8"/>
      <c r="J987" s="8"/>
      <c r="K987" s="8"/>
      <c r="L987" s="8"/>
      <c r="M987" s="8">
        <v>1.67</v>
      </c>
      <c r="N987" s="8"/>
      <c r="O987" s="8"/>
      <c r="P987" s="8"/>
      <c r="Q987" s="11"/>
      <c r="R987" s="11"/>
      <c r="S987" s="8">
        <v>1.66</v>
      </c>
      <c r="T987" s="8"/>
      <c r="U987" s="8"/>
      <c r="V987" s="8"/>
      <c r="W987" s="8"/>
      <c r="X987" s="8">
        <v>8.6199999999999992</v>
      </c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11"/>
      <c r="AQ987" s="8"/>
      <c r="AR987" s="8"/>
      <c r="AS987" s="8"/>
      <c r="AT987" s="8">
        <v>362.9</v>
      </c>
      <c r="AU987" s="8"/>
      <c r="AV987" s="8"/>
      <c r="AW987" s="8"/>
      <c r="AX987" s="8"/>
      <c r="AY987" s="8"/>
      <c r="AZ987" s="8"/>
      <c r="BA987" s="8">
        <v>3.23</v>
      </c>
      <c r="BB987" s="8"/>
      <c r="BC987" s="8"/>
      <c r="BD987" s="8"/>
      <c r="BE987" s="8"/>
      <c r="BF987" s="8"/>
      <c r="BG987" s="8">
        <v>24.27</v>
      </c>
      <c r="BH987" s="9">
        <f t="shared" si="135"/>
        <v>714.39</v>
      </c>
      <c r="BI987" s="9">
        <f t="shared" si="136"/>
        <v>1.67</v>
      </c>
      <c r="BJ987" s="9">
        <f t="shared" si="137"/>
        <v>1.66</v>
      </c>
      <c r="BK987" s="9">
        <f t="shared" si="138"/>
        <v>8.6199999999999992</v>
      </c>
      <c r="BL987" s="9">
        <f t="shared" si="139"/>
        <v>0</v>
      </c>
      <c r="BM987" s="9">
        <f t="shared" si="140"/>
        <v>0</v>
      </c>
      <c r="BN987" s="9">
        <f t="shared" si="141"/>
        <v>362.9</v>
      </c>
      <c r="BO987" s="9">
        <f t="shared" si="142"/>
        <v>3.23</v>
      </c>
      <c r="BP987" s="9">
        <f t="shared" si="143"/>
        <v>0</v>
      </c>
    </row>
    <row r="988" spans="1:68">
      <c r="A988" s="6">
        <v>44734</v>
      </c>
      <c r="B988" s="7">
        <v>3406</v>
      </c>
      <c r="C988" s="8">
        <v>592.52</v>
      </c>
      <c r="D988" s="8">
        <v>147.54</v>
      </c>
      <c r="E988" s="8"/>
      <c r="F988" s="8"/>
      <c r="G988" s="8"/>
      <c r="H988" s="8"/>
      <c r="I988" s="8"/>
      <c r="J988" s="8"/>
      <c r="K988" s="8"/>
      <c r="L988" s="8"/>
      <c r="M988" s="8">
        <v>1.62</v>
      </c>
      <c r="N988" s="8"/>
      <c r="O988" s="8"/>
      <c r="P988" s="8"/>
      <c r="Q988" s="11"/>
      <c r="R988" s="11"/>
      <c r="S988" s="8">
        <v>1.7</v>
      </c>
      <c r="T988" s="8"/>
      <c r="U988" s="8"/>
      <c r="V988" s="8"/>
      <c r="W988" s="8"/>
      <c r="X988" s="8">
        <v>8.8350000000000009</v>
      </c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11"/>
      <c r="AQ988" s="8"/>
      <c r="AR988" s="8"/>
      <c r="AS988" s="8"/>
      <c r="AT988" s="8">
        <v>372.18</v>
      </c>
      <c r="AU988" s="8"/>
      <c r="AV988" s="8">
        <v>22.18</v>
      </c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>
        <v>25.3</v>
      </c>
      <c r="BH988" s="9">
        <f t="shared" si="135"/>
        <v>740.06</v>
      </c>
      <c r="BI988" s="9">
        <f t="shared" si="136"/>
        <v>1.62</v>
      </c>
      <c r="BJ988" s="9">
        <f t="shared" si="137"/>
        <v>1.7</v>
      </c>
      <c r="BK988" s="9">
        <f t="shared" si="138"/>
        <v>8.8350000000000009</v>
      </c>
      <c r="BL988" s="9">
        <f t="shared" si="139"/>
        <v>0</v>
      </c>
      <c r="BM988" s="9">
        <f t="shared" si="140"/>
        <v>0</v>
      </c>
      <c r="BN988" s="9">
        <f t="shared" si="141"/>
        <v>372.18</v>
      </c>
      <c r="BO988" s="9">
        <f t="shared" si="142"/>
        <v>22.18</v>
      </c>
      <c r="BP988" s="9">
        <f t="shared" si="143"/>
        <v>0</v>
      </c>
    </row>
    <row r="989" spans="1:68">
      <c r="A989" s="6">
        <v>44734</v>
      </c>
      <c r="B989" s="7">
        <v>3028</v>
      </c>
      <c r="C989" s="8"/>
      <c r="D989" s="8">
        <v>793.76</v>
      </c>
      <c r="E989" s="8"/>
      <c r="F989" s="8">
        <v>730.37</v>
      </c>
      <c r="G989" s="8"/>
      <c r="H989" s="8"/>
      <c r="I989" s="8">
        <v>1649.58</v>
      </c>
      <c r="J989" s="8"/>
      <c r="K989" s="8"/>
      <c r="L989" s="8"/>
      <c r="M989" s="8"/>
      <c r="N989" s="8">
        <v>23.81</v>
      </c>
      <c r="O989" s="8"/>
      <c r="P989" s="8"/>
      <c r="Q989" s="11"/>
      <c r="R989" s="11"/>
      <c r="S989" s="8">
        <v>4.4400000000000004</v>
      </c>
      <c r="T989" s="8"/>
      <c r="U989" s="8"/>
      <c r="V989" s="8"/>
      <c r="W989" s="8">
        <v>23.940999999999999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>
        <v>31.71</v>
      </c>
      <c r="AN989" s="8">
        <v>22.460999999999999</v>
      </c>
      <c r="AO989" s="8"/>
      <c r="AP989" s="11"/>
      <c r="AQ989" s="8"/>
      <c r="AR989" s="8"/>
      <c r="AS989" s="8">
        <v>105.771</v>
      </c>
      <c r="AT989" s="8">
        <v>1059.01</v>
      </c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>
        <v>72.22</v>
      </c>
      <c r="BH989" s="9">
        <f t="shared" si="135"/>
        <v>3173.71</v>
      </c>
      <c r="BI989" s="9">
        <f t="shared" si="136"/>
        <v>23.81</v>
      </c>
      <c r="BJ989" s="9">
        <f t="shared" si="137"/>
        <v>4.4400000000000004</v>
      </c>
      <c r="BK989" s="9">
        <f t="shared" si="138"/>
        <v>23.940999999999999</v>
      </c>
      <c r="BL989" s="9">
        <f t="shared" si="139"/>
        <v>0</v>
      </c>
      <c r="BM989" s="9">
        <f t="shared" si="140"/>
        <v>159.94200000000001</v>
      </c>
      <c r="BN989" s="9">
        <f t="shared" si="141"/>
        <v>1059.01</v>
      </c>
      <c r="BO989" s="9">
        <f t="shared" si="142"/>
        <v>0</v>
      </c>
      <c r="BP989" s="9">
        <f t="shared" si="143"/>
        <v>0</v>
      </c>
    </row>
    <row r="990" spans="1:68">
      <c r="A990" s="6">
        <v>44734</v>
      </c>
      <c r="B990" s="7">
        <v>3016</v>
      </c>
      <c r="C990" s="8"/>
      <c r="D990" s="8">
        <v>2320.98</v>
      </c>
      <c r="E990" s="8"/>
      <c r="F990" s="8"/>
      <c r="G990" s="8"/>
      <c r="H990" s="8"/>
      <c r="I990" s="8">
        <v>2142.71</v>
      </c>
      <c r="J990" s="8"/>
      <c r="K990" s="8"/>
      <c r="L990" s="8"/>
      <c r="M990" s="8"/>
      <c r="N990" s="8">
        <v>26.79</v>
      </c>
      <c r="O990" s="8"/>
      <c r="P990" s="8"/>
      <c r="Q990" s="11"/>
      <c r="R990" s="11"/>
      <c r="S990" s="8">
        <v>3.11</v>
      </c>
      <c r="T990" s="8">
        <v>44.6</v>
      </c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>
        <v>17.8</v>
      </c>
      <c r="AN990" s="8">
        <v>53.695</v>
      </c>
      <c r="AO990" s="8"/>
      <c r="AP990" s="11"/>
      <c r="AQ990" s="8"/>
      <c r="AR990" s="8">
        <v>111.358</v>
      </c>
      <c r="AS990" s="8"/>
      <c r="AT990" s="8">
        <v>1657.3</v>
      </c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>
        <v>121.62</v>
      </c>
      <c r="BH990" s="9">
        <f t="shared" si="135"/>
        <v>4463.6900000000005</v>
      </c>
      <c r="BI990" s="9">
        <f t="shared" si="136"/>
        <v>26.79</v>
      </c>
      <c r="BJ990" s="9">
        <f t="shared" si="137"/>
        <v>3.11</v>
      </c>
      <c r="BK990" s="9">
        <f t="shared" si="138"/>
        <v>44.6</v>
      </c>
      <c r="BL990" s="9">
        <f t="shared" si="139"/>
        <v>0</v>
      </c>
      <c r="BM990" s="9">
        <f t="shared" si="140"/>
        <v>182.85300000000001</v>
      </c>
      <c r="BN990" s="9">
        <f t="shared" si="141"/>
        <v>1657.3</v>
      </c>
      <c r="BO990" s="9">
        <f t="shared" si="142"/>
        <v>0</v>
      </c>
      <c r="BP990" s="9">
        <f t="shared" si="143"/>
        <v>0</v>
      </c>
    </row>
    <row r="991" spans="1:68">
      <c r="A991" s="6">
        <v>44734</v>
      </c>
      <c r="B991" s="7">
        <v>3083</v>
      </c>
      <c r="C991" s="8"/>
      <c r="D991" s="8">
        <v>1075.5</v>
      </c>
      <c r="E991" s="8"/>
      <c r="F991" s="8"/>
      <c r="G991" s="8"/>
      <c r="H991" s="8"/>
      <c r="I991" s="8">
        <v>2506.09</v>
      </c>
      <c r="J991" s="8"/>
      <c r="K991" s="8"/>
      <c r="L991" s="8"/>
      <c r="M991" s="8"/>
      <c r="N991" s="8">
        <v>24.71</v>
      </c>
      <c r="O991" s="8"/>
      <c r="P991" s="8"/>
      <c r="Q991" s="11"/>
      <c r="R991" s="11"/>
      <c r="S991" s="8">
        <v>2.5</v>
      </c>
      <c r="T991" s="8">
        <v>28.64</v>
      </c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>
        <v>14.29</v>
      </c>
      <c r="AN991" s="8">
        <v>50.970999999999997</v>
      </c>
      <c r="AO991" s="8"/>
      <c r="AP991" s="11"/>
      <c r="AQ991" s="8"/>
      <c r="AR991" s="8">
        <v>90.617999999999995</v>
      </c>
      <c r="AS991" s="8"/>
      <c r="AT991" s="8">
        <v>1625.04</v>
      </c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>
        <v>127.96</v>
      </c>
      <c r="BH991" s="9">
        <f t="shared" si="135"/>
        <v>3581.59</v>
      </c>
      <c r="BI991" s="9">
        <f t="shared" si="136"/>
        <v>24.71</v>
      </c>
      <c r="BJ991" s="9">
        <f t="shared" si="137"/>
        <v>2.5</v>
      </c>
      <c r="BK991" s="9">
        <f t="shared" si="138"/>
        <v>28.64</v>
      </c>
      <c r="BL991" s="9">
        <f t="shared" si="139"/>
        <v>0</v>
      </c>
      <c r="BM991" s="9">
        <f t="shared" si="140"/>
        <v>155.87899999999999</v>
      </c>
      <c r="BN991" s="9">
        <f t="shared" si="141"/>
        <v>1625.04</v>
      </c>
      <c r="BO991" s="9">
        <f t="shared" si="142"/>
        <v>0</v>
      </c>
      <c r="BP991" s="9">
        <f t="shared" si="143"/>
        <v>0</v>
      </c>
    </row>
    <row r="992" spans="1:68">
      <c r="A992" s="6">
        <v>44734</v>
      </c>
      <c r="B992" s="7">
        <v>3134</v>
      </c>
      <c r="C992" s="8">
        <v>1079.45</v>
      </c>
      <c r="D992" s="8">
        <v>151.72</v>
      </c>
      <c r="E992" s="8"/>
      <c r="F992" s="8"/>
      <c r="G992" s="8"/>
      <c r="H992" s="8">
        <v>509.26</v>
      </c>
      <c r="I992" s="8"/>
      <c r="J992" s="8"/>
      <c r="K992" s="8"/>
      <c r="L992" s="8"/>
      <c r="M992" s="8">
        <v>3.34</v>
      </c>
      <c r="N992" s="8"/>
      <c r="O992" s="8"/>
      <c r="P992" s="8"/>
      <c r="Q992" s="11"/>
      <c r="R992" s="11"/>
      <c r="S992" s="8">
        <v>7.01</v>
      </c>
      <c r="T992" s="8">
        <v>10.67</v>
      </c>
      <c r="U992" s="8">
        <v>9.1199999999999992</v>
      </c>
      <c r="V992" s="8"/>
      <c r="W992" s="8"/>
      <c r="X992" s="8"/>
      <c r="Y992" s="8"/>
      <c r="Z992" s="8"/>
      <c r="AA992" s="8"/>
      <c r="AB992" s="8"/>
      <c r="AC992" s="8">
        <v>6.1</v>
      </c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11"/>
      <c r="AQ992" s="8"/>
      <c r="AR992" s="8"/>
      <c r="AS992" s="8"/>
      <c r="AT992" s="8">
        <v>1073.6600000000001</v>
      </c>
      <c r="AU992" s="8"/>
      <c r="AV992" s="8"/>
      <c r="AW992" s="8"/>
      <c r="AX992" s="8"/>
      <c r="AY992" s="8">
        <v>15.510999999999999</v>
      </c>
      <c r="AZ992" s="8"/>
      <c r="BA992" s="8"/>
      <c r="BB992" s="8"/>
      <c r="BC992" s="8"/>
      <c r="BD992" s="8"/>
      <c r="BE992" s="8"/>
      <c r="BF992" s="8">
        <v>68.45</v>
      </c>
      <c r="BG992" s="8">
        <v>80.540000000000006</v>
      </c>
      <c r="BH992" s="9">
        <f t="shared" si="135"/>
        <v>1740.43</v>
      </c>
      <c r="BI992" s="9">
        <f t="shared" si="136"/>
        <v>3.34</v>
      </c>
      <c r="BJ992" s="9">
        <f t="shared" si="137"/>
        <v>7.01</v>
      </c>
      <c r="BK992" s="9">
        <f t="shared" si="138"/>
        <v>19.79</v>
      </c>
      <c r="BL992" s="9">
        <f t="shared" si="139"/>
        <v>0</v>
      </c>
      <c r="BM992" s="9">
        <f t="shared" si="140"/>
        <v>6.1</v>
      </c>
      <c r="BN992" s="9">
        <f t="shared" si="141"/>
        <v>1073.6600000000001</v>
      </c>
      <c r="BO992" s="9">
        <f t="shared" si="142"/>
        <v>15.510999999999999</v>
      </c>
      <c r="BP992" s="9">
        <f t="shared" si="143"/>
        <v>68.45</v>
      </c>
    </row>
    <row r="993" spans="1:68">
      <c r="A993" s="6">
        <v>44734</v>
      </c>
      <c r="B993" s="7">
        <v>3113</v>
      </c>
      <c r="C993" s="8">
        <v>1529.85</v>
      </c>
      <c r="D993" s="8"/>
      <c r="E993" s="8"/>
      <c r="F993" s="8"/>
      <c r="G993" s="8"/>
      <c r="H993" s="8"/>
      <c r="I993" s="8"/>
      <c r="J993" s="8"/>
      <c r="K993" s="8"/>
      <c r="L993" s="8"/>
      <c r="M993" s="8">
        <v>1.54</v>
      </c>
      <c r="N993" s="8">
        <v>1.53</v>
      </c>
      <c r="O993" s="8"/>
      <c r="P993" s="8"/>
      <c r="Q993" s="11"/>
      <c r="R993" s="11"/>
      <c r="S993" s="8">
        <v>4.6100000000000003</v>
      </c>
      <c r="T993" s="8">
        <v>15.3</v>
      </c>
      <c r="U993" s="8"/>
      <c r="V993" s="8"/>
      <c r="W993" s="8"/>
      <c r="X993" s="8"/>
      <c r="Y993" s="8"/>
      <c r="Z993" s="8"/>
      <c r="AA993" s="8"/>
      <c r="AB993" s="8"/>
      <c r="AC993" s="8">
        <v>6.11</v>
      </c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11"/>
      <c r="AQ993" s="8"/>
      <c r="AR993" s="8"/>
      <c r="AS993" s="8"/>
      <c r="AT993" s="8">
        <v>640.91</v>
      </c>
      <c r="AU993" s="8"/>
      <c r="AV993" s="8">
        <v>52.09</v>
      </c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>
        <v>45.98</v>
      </c>
      <c r="BH993" s="9">
        <f t="shared" si="135"/>
        <v>1529.85</v>
      </c>
      <c r="BI993" s="9">
        <f t="shared" si="136"/>
        <v>3.0700000000000003</v>
      </c>
      <c r="BJ993" s="9">
        <f t="shared" si="137"/>
        <v>4.6100000000000003</v>
      </c>
      <c r="BK993" s="9">
        <f t="shared" si="138"/>
        <v>15.3</v>
      </c>
      <c r="BL993" s="9">
        <f t="shared" si="139"/>
        <v>0</v>
      </c>
      <c r="BM993" s="9">
        <f t="shared" si="140"/>
        <v>6.11</v>
      </c>
      <c r="BN993" s="9">
        <f t="shared" si="141"/>
        <v>640.91</v>
      </c>
      <c r="BO993" s="9">
        <f t="shared" si="142"/>
        <v>52.09</v>
      </c>
      <c r="BP993" s="9">
        <f t="shared" si="143"/>
        <v>0</v>
      </c>
    </row>
    <row r="994" spans="1:68">
      <c r="A994" s="6">
        <v>44734</v>
      </c>
      <c r="B994" s="7">
        <v>3106</v>
      </c>
      <c r="C994" s="8">
        <v>4150.58</v>
      </c>
      <c r="D994" s="8"/>
      <c r="E994" s="8"/>
      <c r="F994" s="8"/>
      <c r="G994" s="8"/>
      <c r="H994" s="8"/>
      <c r="I994" s="8"/>
      <c r="J994" s="8"/>
      <c r="K994" s="8"/>
      <c r="L994" s="8"/>
      <c r="M994" s="8">
        <v>11.19</v>
      </c>
      <c r="N994" s="8"/>
      <c r="O994" s="8"/>
      <c r="P994" s="8"/>
      <c r="Q994" s="11"/>
      <c r="R994" s="11"/>
      <c r="S994" s="8">
        <v>12.49</v>
      </c>
      <c r="T994" s="8">
        <v>52.7</v>
      </c>
      <c r="U994" s="8"/>
      <c r="V994" s="8"/>
      <c r="W994" s="8"/>
      <c r="X994" s="8"/>
      <c r="Y994" s="8"/>
      <c r="Z994" s="8"/>
      <c r="AA994" s="8"/>
      <c r="AB994" s="8"/>
      <c r="AC994" s="8">
        <v>10.39</v>
      </c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11"/>
      <c r="AQ994" s="8"/>
      <c r="AR994" s="8"/>
      <c r="AS994" s="8"/>
      <c r="AT994" s="8">
        <v>2373.42</v>
      </c>
      <c r="AU994" s="8"/>
      <c r="AV994" s="8"/>
      <c r="AW994" s="8"/>
      <c r="AX994" s="8">
        <v>5.2</v>
      </c>
      <c r="AY994" s="8"/>
      <c r="AZ994" s="8"/>
      <c r="BA994" s="8"/>
      <c r="BB994" s="8"/>
      <c r="BC994" s="8"/>
      <c r="BD994" s="8"/>
      <c r="BE994" s="8"/>
      <c r="BF994" s="8"/>
      <c r="BG994" s="8">
        <v>178.62</v>
      </c>
      <c r="BH994" s="9">
        <f t="shared" si="135"/>
        <v>4150.58</v>
      </c>
      <c r="BI994" s="9">
        <f t="shared" si="136"/>
        <v>11.19</v>
      </c>
      <c r="BJ994" s="9">
        <f t="shared" si="137"/>
        <v>12.49</v>
      </c>
      <c r="BK994" s="9">
        <f t="shared" si="138"/>
        <v>52.7</v>
      </c>
      <c r="BL994" s="9">
        <f t="shared" si="139"/>
        <v>0</v>
      </c>
      <c r="BM994" s="9">
        <f t="shared" si="140"/>
        <v>10.39</v>
      </c>
      <c r="BN994" s="9">
        <f t="shared" si="141"/>
        <v>2373.42</v>
      </c>
      <c r="BO994" s="9">
        <f t="shared" si="142"/>
        <v>5.2</v>
      </c>
      <c r="BP994" s="9">
        <f t="shared" si="143"/>
        <v>0</v>
      </c>
    </row>
    <row r="995" spans="1:68">
      <c r="A995" s="6">
        <v>44735</v>
      </c>
      <c r="B995" s="7">
        <v>3304</v>
      </c>
      <c r="C995" s="8"/>
      <c r="D995" s="8">
        <v>1676.72</v>
      </c>
      <c r="E995" s="8"/>
      <c r="F995" s="8"/>
      <c r="G995" s="8"/>
      <c r="H995" s="8"/>
      <c r="I995" s="8"/>
      <c r="J995" s="8"/>
      <c r="K995" s="8"/>
      <c r="L995" s="8"/>
      <c r="M995" s="8">
        <v>2.0299999999999998</v>
      </c>
      <c r="N995" s="8"/>
      <c r="O995" s="8"/>
      <c r="P995" s="8"/>
      <c r="Q995" s="11"/>
      <c r="R995" s="11"/>
      <c r="S995" s="8">
        <v>11.91</v>
      </c>
      <c r="T995" s="8">
        <v>15.1</v>
      </c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>
        <v>16.82</v>
      </c>
      <c r="AH995" s="8"/>
      <c r="AI995" s="8"/>
      <c r="AJ995" s="8"/>
      <c r="AK995" s="8"/>
      <c r="AL995" s="8"/>
      <c r="AM995" s="8"/>
      <c r="AN995" s="8"/>
      <c r="AO995" s="8"/>
      <c r="AP995" s="11"/>
      <c r="AQ995" s="8"/>
      <c r="AR995" s="8"/>
      <c r="AS995" s="8"/>
      <c r="AT995" s="8"/>
      <c r="AU995" s="8">
        <v>724.47</v>
      </c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>
        <v>48.39</v>
      </c>
      <c r="BH995" s="9">
        <f t="shared" si="135"/>
        <v>1676.72</v>
      </c>
      <c r="BI995" s="9">
        <f t="shared" si="136"/>
        <v>2.0299999999999998</v>
      </c>
      <c r="BJ995" s="9">
        <f t="shared" si="137"/>
        <v>11.91</v>
      </c>
      <c r="BK995" s="9">
        <f t="shared" si="138"/>
        <v>15.1</v>
      </c>
      <c r="BL995" s="9">
        <f t="shared" si="139"/>
        <v>0</v>
      </c>
      <c r="BM995" s="9">
        <f t="shared" si="140"/>
        <v>16.82</v>
      </c>
      <c r="BN995" s="9">
        <f t="shared" si="141"/>
        <v>724.47</v>
      </c>
      <c r="BO995" s="9">
        <f t="shared" si="142"/>
        <v>0</v>
      </c>
      <c r="BP995" s="9">
        <f t="shared" si="143"/>
        <v>0</v>
      </c>
    </row>
    <row r="996" spans="1:68">
      <c r="A996" s="6">
        <v>44735</v>
      </c>
      <c r="B996" s="7">
        <v>3118</v>
      </c>
      <c r="C996" s="8">
        <v>634.03</v>
      </c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>
        <v>1.9</v>
      </c>
      <c r="O996" s="8"/>
      <c r="P996" s="8"/>
      <c r="Q996" s="11"/>
      <c r="R996" s="11"/>
      <c r="S996" s="8">
        <v>3.37</v>
      </c>
      <c r="T996" s="8">
        <v>3.81</v>
      </c>
      <c r="U996" s="8">
        <v>3.82</v>
      </c>
      <c r="V996" s="8"/>
      <c r="W996" s="8"/>
      <c r="X996" s="8"/>
      <c r="Y996" s="8"/>
      <c r="Z996" s="8"/>
      <c r="AA996" s="8"/>
      <c r="AB996" s="8"/>
      <c r="AC996" s="8">
        <v>2.54</v>
      </c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11"/>
      <c r="AQ996" s="8">
        <v>6.4939999999999998</v>
      </c>
      <c r="AR996" s="8"/>
      <c r="AS996" s="8"/>
      <c r="AT996" s="8">
        <v>413.26</v>
      </c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>
        <v>44.39</v>
      </c>
      <c r="BG996" s="8">
        <v>31.6</v>
      </c>
      <c r="BH996" s="9">
        <f t="shared" si="135"/>
        <v>634.03</v>
      </c>
      <c r="BI996" s="9">
        <f t="shared" si="136"/>
        <v>1.9</v>
      </c>
      <c r="BJ996" s="9">
        <f t="shared" si="137"/>
        <v>3.37</v>
      </c>
      <c r="BK996" s="9">
        <f t="shared" si="138"/>
        <v>7.63</v>
      </c>
      <c r="BL996" s="9">
        <f t="shared" si="139"/>
        <v>0</v>
      </c>
      <c r="BM996" s="9">
        <f t="shared" si="140"/>
        <v>9.0339999999999989</v>
      </c>
      <c r="BN996" s="9">
        <f t="shared" si="141"/>
        <v>413.26</v>
      </c>
      <c r="BO996" s="9">
        <f t="shared" si="142"/>
        <v>0</v>
      </c>
      <c r="BP996" s="9">
        <f t="shared" si="143"/>
        <v>44.39</v>
      </c>
    </row>
    <row r="997" spans="1:68">
      <c r="A997" s="6">
        <v>44735</v>
      </c>
      <c r="B997" s="7">
        <v>3204</v>
      </c>
      <c r="C997" s="8"/>
      <c r="D997" s="8">
        <v>1789.54</v>
      </c>
      <c r="E997" s="8">
        <v>759.79</v>
      </c>
      <c r="F997" s="8"/>
      <c r="G997" s="8"/>
      <c r="H997" s="8"/>
      <c r="I997" s="8"/>
      <c r="J997" s="8"/>
      <c r="K997" s="8"/>
      <c r="L997" s="8"/>
      <c r="M997" s="8"/>
      <c r="N997" s="8"/>
      <c r="O997" s="8">
        <v>12.78</v>
      </c>
      <c r="P997" s="8"/>
      <c r="Q997" s="11"/>
      <c r="R997" s="11"/>
      <c r="S997" s="8">
        <v>8.7200000000000006</v>
      </c>
      <c r="T997" s="8">
        <v>15.47</v>
      </c>
      <c r="U997" s="8">
        <v>12.89</v>
      </c>
      <c r="V997" s="8"/>
      <c r="W997" s="8"/>
      <c r="X997" s="8"/>
      <c r="Y997" s="8"/>
      <c r="Z997" s="8">
        <v>385.35</v>
      </c>
      <c r="AA997" s="8"/>
      <c r="AB997" s="8">
        <v>13.05</v>
      </c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11"/>
      <c r="AQ997" s="8"/>
      <c r="AR997" s="8"/>
      <c r="AS997" s="8"/>
      <c r="AT997" s="8">
        <v>1126.9100000000001</v>
      </c>
      <c r="AU997" s="8"/>
      <c r="AV997" s="8"/>
      <c r="AW997" s="8">
        <v>8.25</v>
      </c>
      <c r="AX997" s="8"/>
      <c r="AY997" s="8"/>
      <c r="AZ997" s="8"/>
      <c r="BA997" s="8"/>
      <c r="BB997" s="8"/>
      <c r="BC997" s="8"/>
      <c r="BD997" s="8"/>
      <c r="BE997" s="8"/>
      <c r="BF997" s="8"/>
      <c r="BG997" s="8">
        <v>83.47</v>
      </c>
      <c r="BH997" s="9">
        <f t="shared" si="135"/>
        <v>2549.33</v>
      </c>
      <c r="BI997" s="9">
        <f t="shared" si="136"/>
        <v>12.78</v>
      </c>
      <c r="BJ997" s="9">
        <f t="shared" si="137"/>
        <v>8.7200000000000006</v>
      </c>
      <c r="BK997" s="9">
        <f t="shared" si="138"/>
        <v>28.36</v>
      </c>
      <c r="BL997" s="9">
        <f t="shared" si="139"/>
        <v>385.35</v>
      </c>
      <c r="BM997" s="9">
        <f t="shared" si="140"/>
        <v>13.05</v>
      </c>
      <c r="BN997" s="9">
        <f t="shared" si="141"/>
        <v>1126.9100000000001</v>
      </c>
      <c r="BO997" s="9">
        <f t="shared" si="142"/>
        <v>8.25</v>
      </c>
      <c r="BP997" s="9">
        <f t="shared" si="143"/>
        <v>0</v>
      </c>
    </row>
    <row r="998" spans="1:68">
      <c r="A998" s="6">
        <v>44735</v>
      </c>
      <c r="B998" s="7">
        <v>3502</v>
      </c>
      <c r="C998" s="8">
        <v>310.95</v>
      </c>
      <c r="D998" s="8">
        <v>207.83</v>
      </c>
      <c r="E998" s="8"/>
      <c r="F998" s="8"/>
      <c r="G998" s="8"/>
      <c r="H998" s="8"/>
      <c r="I998" s="8"/>
      <c r="J998" s="8"/>
      <c r="K998" s="8"/>
      <c r="L998" s="8"/>
      <c r="M998" s="8">
        <v>0.77</v>
      </c>
      <c r="N998" s="8">
        <v>0.77</v>
      </c>
      <c r="O998" s="8"/>
      <c r="P998" s="8"/>
      <c r="Q998" s="11"/>
      <c r="R998" s="11"/>
      <c r="S998" s="8">
        <v>2.08</v>
      </c>
      <c r="T998" s="8"/>
      <c r="U998" s="8">
        <v>5.19</v>
      </c>
      <c r="V998" s="8"/>
      <c r="W998" s="8"/>
      <c r="X998" s="8"/>
      <c r="Y998" s="8"/>
      <c r="Z998" s="8">
        <v>104.05</v>
      </c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11"/>
      <c r="AQ998" s="8"/>
      <c r="AR998" s="8"/>
      <c r="AS998" s="8"/>
      <c r="AT998" s="8">
        <v>214.17</v>
      </c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>
        <v>16.82</v>
      </c>
      <c r="BH998" s="9">
        <f t="shared" si="135"/>
        <v>518.78</v>
      </c>
      <c r="BI998" s="9">
        <f t="shared" si="136"/>
        <v>1.54</v>
      </c>
      <c r="BJ998" s="9">
        <f t="shared" si="137"/>
        <v>2.08</v>
      </c>
      <c r="BK998" s="9">
        <f t="shared" si="138"/>
        <v>5.19</v>
      </c>
      <c r="BL998" s="9">
        <f t="shared" si="139"/>
        <v>104.05</v>
      </c>
      <c r="BM998" s="9">
        <f t="shared" si="140"/>
        <v>0</v>
      </c>
      <c r="BN998" s="9">
        <f t="shared" si="141"/>
        <v>214.17</v>
      </c>
      <c r="BO998" s="9">
        <f t="shared" si="142"/>
        <v>0</v>
      </c>
      <c r="BP998" s="9">
        <f t="shared" si="143"/>
        <v>0</v>
      </c>
    </row>
    <row r="999" spans="1:68">
      <c r="A999" s="6">
        <v>44735</v>
      </c>
      <c r="B999" s="7">
        <v>3134</v>
      </c>
      <c r="C999" s="8">
        <v>1048.6500000000001</v>
      </c>
      <c r="D999" s="8">
        <v>146.69999999999999</v>
      </c>
      <c r="E999" s="8"/>
      <c r="F999" s="8"/>
      <c r="G999" s="8"/>
      <c r="H999" s="8">
        <v>495.77</v>
      </c>
      <c r="I999" s="8"/>
      <c r="J999" s="8"/>
      <c r="K999" s="8"/>
      <c r="L999" s="8"/>
      <c r="M999" s="8">
        <v>3.1</v>
      </c>
      <c r="N999" s="8"/>
      <c r="O999" s="8"/>
      <c r="P999" s="8"/>
      <c r="Q999" s="11"/>
      <c r="R999" s="11"/>
      <c r="S999" s="8">
        <v>6.77</v>
      </c>
      <c r="T999" s="8">
        <v>10.28</v>
      </c>
      <c r="U999" s="8">
        <v>8.82</v>
      </c>
      <c r="V999" s="8"/>
      <c r="W999" s="8"/>
      <c r="X999" s="8"/>
      <c r="Y999" s="8"/>
      <c r="Z999" s="8"/>
      <c r="AA999" s="8"/>
      <c r="AB999" s="8"/>
      <c r="AC999" s="8">
        <v>5.88</v>
      </c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11"/>
      <c r="AQ999" s="8"/>
      <c r="AR999" s="8"/>
      <c r="AS999" s="8"/>
      <c r="AT999" s="8">
        <v>1037.9100000000001</v>
      </c>
      <c r="AU999" s="8"/>
      <c r="AV999" s="8"/>
      <c r="AW999" s="8"/>
      <c r="AX999" s="8"/>
      <c r="AY999" s="8">
        <v>14.815</v>
      </c>
      <c r="AZ999" s="8"/>
      <c r="BA999" s="8"/>
      <c r="BB999" s="8"/>
      <c r="BC999" s="8"/>
      <c r="BD999" s="8"/>
      <c r="BE999" s="8"/>
      <c r="BF999" s="8">
        <v>66.08</v>
      </c>
      <c r="BG999" s="8">
        <v>77.819999999999993</v>
      </c>
      <c r="BH999" s="9">
        <f t="shared" si="135"/>
        <v>1691.1200000000001</v>
      </c>
      <c r="BI999" s="9">
        <f t="shared" si="136"/>
        <v>3.1</v>
      </c>
      <c r="BJ999" s="9">
        <f t="shared" si="137"/>
        <v>6.77</v>
      </c>
      <c r="BK999" s="9">
        <f t="shared" si="138"/>
        <v>19.100000000000001</v>
      </c>
      <c r="BL999" s="9">
        <f t="shared" si="139"/>
        <v>0</v>
      </c>
      <c r="BM999" s="9">
        <f t="shared" si="140"/>
        <v>5.88</v>
      </c>
      <c r="BN999" s="9">
        <f t="shared" si="141"/>
        <v>1037.9100000000001</v>
      </c>
      <c r="BO999" s="9">
        <f t="shared" si="142"/>
        <v>14.815</v>
      </c>
      <c r="BP999" s="9">
        <f t="shared" si="143"/>
        <v>66.08</v>
      </c>
    </row>
    <row r="1000" spans="1:68">
      <c r="A1000" s="6">
        <v>44735</v>
      </c>
      <c r="B1000" s="7">
        <v>3141</v>
      </c>
      <c r="C1000" s="8">
        <v>2416.64</v>
      </c>
      <c r="D1000" s="8">
        <v>425.93</v>
      </c>
      <c r="E1000" s="8"/>
      <c r="F1000" s="8"/>
      <c r="G1000" s="8"/>
      <c r="H1000" s="8"/>
      <c r="I1000" s="8"/>
      <c r="J1000" s="8"/>
      <c r="K1000" s="8"/>
      <c r="L1000" s="8"/>
      <c r="M1000" s="8">
        <v>6.74</v>
      </c>
      <c r="N1000" s="8"/>
      <c r="O1000" s="8"/>
      <c r="P1000" s="8"/>
      <c r="Q1000" s="11"/>
      <c r="R1000" s="11"/>
      <c r="S1000" s="8">
        <v>13.43</v>
      </c>
      <c r="T1000" s="8">
        <v>21.41</v>
      </c>
      <c r="U1000" s="8">
        <v>21.43</v>
      </c>
      <c r="V1000" s="8"/>
      <c r="W1000" s="8"/>
      <c r="X1000" s="8"/>
      <c r="Y1000" s="8"/>
      <c r="Z1000" s="8"/>
      <c r="AA1000" s="8"/>
      <c r="AB1000" s="8"/>
      <c r="AC1000" s="8">
        <v>11.43</v>
      </c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11"/>
      <c r="AQ1000" s="8"/>
      <c r="AR1000" s="8"/>
      <c r="AS1000" s="8"/>
      <c r="AT1000" s="8">
        <v>1901.7</v>
      </c>
      <c r="AU1000" s="8"/>
      <c r="AV1000" s="8"/>
      <c r="AW1000" s="8"/>
      <c r="AX1000" s="8"/>
      <c r="AY1000" s="8"/>
      <c r="AZ1000" s="8"/>
      <c r="BA1000" s="8">
        <v>65.37</v>
      </c>
      <c r="BB1000" s="8"/>
      <c r="BC1000" s="8"/>
      <c r="BD1000" s="8"/>
      <c r="BE1000" s="8"/>
      <c r="BF1000" s="8">
        <v>199.65</v>
      </c>
      <c r="BG1000" s="8">
        <v>148.22</v>
      </c>
      <c r="BH1000" s="9">
        <f t="shared" si="135"/>
        <v>2842.5699999999997</v>
      </c>
      <c r="BI1000" s="9">
        <f t="shared" si="136"/>
        <v>6.74</v>
      </c>
      <c r="BJ1000" s="9">
        <f t="shared" si="137"/>
        <v>13.43</v>
      </c>
      <c r="BK1000" s="9">
        <f t="shared" si="138"/>
        <v>42.84</v>
      </c>
      <c r="BL1000" s="9">
        <f t="shared" si="139"/>
        <v>0</v>
      </c>
      <c r="BM1000" s="9">
        <f t="shared" si="140"/>
        <v>11.43</v>
      </c>
      <c r="BN1000" s="9">
        <f t="shared" si="141"/>
        <v>1901.7</v>
      </c>
      <c r="BO1000" s="9">
        <f t="shared" si="142"/>
        <v>65.37</v>
      </c>
      <c r="BP1000" s="9">
        <f t="shared" si="143"/>
        <v>199.65</v>
      </c>
    </row>
    <row r="1001" spans="1:68">
      <c r="A1001" s="6">
        <v>44735</v>
      </c>
      <c r="B1001" s="7">
        <v>3121</v>
      </c>
      <c r="C1001" s="8">
        <v>1872.72</v>
      </c>
      <c r="D1001" s="8"/>
      <c r="E1001" s="8"/>
      <c r="F1001" s="8"/>
      <c r="G1001" s="8"/>
      <c r="H1001" s="8"/>
      <c r="I1001" s="8"/>
      <c r="J1001" s="8"/>
      <c r="K1001" s="8"/>
      <c r="L1001" s="8"/>
      <c r="M1001" s="8">
        <v>4.66</v>
      </c>
      <c r="N1001" s="8"/>
      <c r="O1001" s="8"/>
      <c r="P1001" s="8"/>
      <c r="Q1001" s="11"/>
      <c r="R1001" s="11"/>
      <c r="S1001" s="8">
        <v>6.55</v>
      </c>
      <c r="T1001" s="8">
        <v>23.58</v>
      </c>
      <c r="U1001" s="8"/>
      <c r="V1001" s="8"/>
      <c r="W1001" s="8"/>
      <c r="X1001" s="8"/>
      <c r="Y1001" s="8"/>
      <c r="Z1001" s="8"/>
      <c r="AA1001" s="8"/>
      <c r="AB1001" s="8"/>
      <c r="AC1001" s="8">
        <v>7.49</v>
      </c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11"/>
      <c r="AQ1001" s="8">
        <v>19.125</v>
      </c>
      <c r="AR1001" s="8"/>
      <c r="AS1001" s="8"/>
      <c r="AT1001" s="8">
        <v>989.9</v>
      </c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>
        <v>73.41</v>
      </c>
      <c r="BH1001" s="9">
        <f t="shared" si="135"/>
        <v>1872.72</v>
      </c>
      <c r="BI1001" s="9">
        <f t="shared" si="136"/>
        <v>4.66</v>
      </c>
      <c r="BJ1001" s="9">
        <f t="shared" si="137"/>
        <v>6.55</v>
      </c>
      <c r="BK1001" s="9">
        <f t="shared" si="138"/>
        <v>23.58</v>
      </c>
      <c r="BL1001" s="9">
        <f t="shared" si="139"/>
        <v>0</v>
      </c>
      <c r="BM1001" s="9">
        <f t="shared" si="140"/>
        <v>26.615000000000002</v>
      </c>
      <c r="BN1001" s="9">
        <f t="shared" si="141"/>
        <v>989.9</v>
      </c>
      <c r="BO1001" s="9">
        <f t="shared" si="142"/>
        <v>0</v>
      </c>
      <c r="BP1001" s="9">
        <f t="shared" si="143"/>
        <v>0</v>
      </c>
    </row>
    <row r="1002" spans="1:68">
      <c r="A1002" s="6">
        <v>44735</v>
      </c>
      <c r="B1002" s="7">
        <v>3106</v>
      </c>
      <c r="C1002" s="8">
        <v>4129.67</v>
      </c>
      <c r="D1002" s="8"/>
      <c r="E1002" s="8"/>
      <c r="F1002" s="8"/>
      <c r="G1002" s="8"/>
      <c r="H1002" s="8"/>
      <c r="I1002" s="8"/>
      <c r="J1002" s="8"/>
      <c r="K1002" s="8"/>
      <c r="L1002" s="8"/>
      <c r="M1002" s="8">
        <v>11.13</v>
      </c>
      <c r="N1002" s="8"/>
      <c r="O1002" s="8"/>
      <c r="P1002" s="8"/>
      <c r="Q1002" s="11"/>
      <c r="R1002" s="11"/>
      <c r="S1002" s="8">
        <v>12.43</v>
      </c>
      <c r="T1002" s="8">
        <v>52.43</v>
      </c>
      <c r="U1002" s="8"/>
      <c r="V1002" s="8"/>
      <c r="W1002" s="8"/>
      <c r="X1002" s="8"/>
      <c r="Y1002" s="8"/>
      <c r="Z1002" s="8"/>
      <c r="AA1002" s="8"/>
      <c r="AB1002" s="8"/>
      <c r="AC1002" s="8">
        <v>9.7100000000000009</v>
      </c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11"/>
      <c r="AQ1002" s="8"/>
      <c r="AR1002" s="8"/>
      <c r="AS1002" s="8"/>
      <c r="AT1002" s="8">
        <v>2361.89</v>
      </c>
      <c r="AU1002" s="8"/>
      <c r="AV1002" s="8"/>
      <c r="AW1002" s="8"/>
      <c r="AX1002" s="8">
        <v>5.17</v>
      </c>
      <c r="AY1002" s="8"/>
      <c r="AZ1002" s="8"/>
      <c r="BA1002" s="8"/>
      <c r="BB1002" s="8"/>
      <c r="BC1002" s="8"/>
      <c r="BD1002" s="8"/>
      <c r="BE1002" s="8"/>
      <c r="BF1002" s="8"/>
      <c r="BG1002" s="8">
        <v>177.56</v>
      </c>
      <c r="BH1002" s="9">
        <f t="shared" si="135"/>
        <v>4129.67</v>
      </c>
      <c r="BI1002" s="9">
        <f t="shared" si="136"/>
        <v>11.13</v>
      </c>
      <c r="BJ1002" s="9">
        <f t="shared" si="137"/>
        <v>12.43</v>
      </c>
      <c r="BK1002" s="9">
        <f t="shared" si="138"/>
        <v>52.43</v>
      </c>
      <c r="BL1002" s="9">
        <f t="shared" si="139"/>
        <v>0</v>
      </c>
      <c r="BM1002" s="9">
        <f t="shared" si="140"/>
        <v>9.7100000000000009</v>
      </c>
      <c r="BN1002" s="9">
        <f t="shared" si="141"/>
        <v>2361.89</v>
      </c>
      <c r="BO1002" s="9">
        <f t="shared" si="142"/>
        <v>5.17</v>
      </c>
      <c r="BP1002" s="9">
        <f t="shared" si="143"/>
        <v>0</v>
      </c>
    </row>
    <row r="1003" spans="1:68">
      <c r="A1003" s="6">
        <v>44736</v>
      </c>
      <c r="B1003" s="7">
        <v>3402</v>
      </c>
      <c r="C1003" s="8">
        <v>562.89</v>
      </c>
      <c r="D1003" s="8">
        <v>377.25</v>
      </c>
      <c r="E1003" s="8"/>
      <c r="F1003" s="8"/>
      <c r="G1003" s="8"/>
      <c r="H1003" s="8"/>
      <c r="I1003" s="8"/>
      <c r="J1003" s="8"/>
      <c r="K1003" s="8"/>
      <c r="L1003" s="8"/>
      <c r="M1003" s="8">
        <v>1.89</v>
      </c>
      <c r="N1003" s="8"/>
      <c r="O1003" s="8"/>
      <c r="P1003" s="8"/>
      <c r="Q1003" s="11"/>
      <c r="R1003" s="11"/>
      <c r="S1003" s="8">
        <v>2.17</v>
      </c>
      <c r="T1003" s="8">
        <v>9.44</v>
      </c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11"/>
      <c r="AQ1003" s="8"/>
      <c r="AR1003" s="8"/>
      <c r="AS1003" s="8"/>
      <c r="AT1003" s="8">
        <v>445.22</v>
      </c>
      <c r="AU1003" s="8"/>
      <c r="AV1003" s="8"/>
      <c r="AW1003" s="8"/>
      <c r="AX1003" s="8"/>
      <c r="AY1003" s="8"/>
      <c r="AZ1003" s="8"/>
      <c r="BA1003" s="8">
        <v>4.22</v>
      </c>
      <c r="BB1003" s="8"/>
      <c r="BC1003" s="8"/>
      <c r="BD1003" s="8"/>
      <c r="BE1003" s="8"/>
      <c r="BF1003" s="8"/>
      <c r="BG1003" s="8">
        <v>31.14</v>
      </c>
      <c r="BH1003" s="9">
        <f t="shared" si="135"/>
        <v>940.14</v>
      </c>
      <c r="BI1003" s="9">
        <f t="shared" si="136"/>
        <v>1.89</v>
      </c>
      <c r="BJ1003" s="9">
        <f t="shared" si="137"/>
        <v>2.17</v>
      </c>
      <c r="BK1003" s="9">
        <f t="shared" si="138"/>
        <v>9.44</v>
      </c>
      <c r="BL1003" s="9">
        <f t="shared" si="139"/>
        <v>0</v>
      </c>
      <c r="BM1003" s="9">
        <f t="shared" si="140"/>
        <v>0</v>
      </c>
      <c r="BN1003" s="9">
        <f t="shared" si="141"/>
        <v>445.22</v>
      </c>
      <c r="BO1003" s="9">
        <f t="shared" si="142"/>
        <v>4.22</v>
      </c>
      <c r="BP1003" s="9">
        <f t="shared" si="143"/>
        <v>0</v>
      </c>
    </row>
    <row r="1004" spans="1:68">
      <c r="A1004" s="6">
        <v>44736</v>
      </c>
      <c r="B1004" s="7">
        <v>3433</v>
      </c>
      <c r="C1004" s="8">
        <v>1760.34</v>
      </c>
      <c r="D1004" s="8"/>
      <c r="E1004" s="8"/>
      <c r="F1004" s="8"/>
      <c r="G1004" s="8"/>
      <c r="H1004" s="8"/>
      <c r="I1004" s="8"/>
      <c r="J1004" s="8"/>
      <c r="K1004" s="8"/>
      <c r="L1004" s="8"/>
      <c r="M1004" s="8">
        <v>3.51</v>
      </c>
      <c r="N1004" s="8"/>
      <c r="O1004" s="8"/>
      <c r="P1004" s="8"/>
      <c r="Q1004" s="11"/>
      <c r="R1004" s="11"/>
      <c r="S1004" s="8">
        <v>7.04</v>
      </c>
      <c r="T1004" s="8"/>
      <c r="U1004" s="8"/>
      <c r="V1004" s="8"/>
      <c r="W1004" s="8"/>
      <c r="X1004" s="8">
        <v>17.744</v>
      </c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11"/>
      <c r="AQ1004" s="8"/>
      <c r="AR1004" s="8"/>
      <c r="AS1004" s="8"/>
      <c r="AT1004" s="8">
        <v>798.42</v>
      </c>
      <c r="AU1004" s="8"/>
      <c r="AV1004" s="8"/>
      <c r="AW1004" s="8"/>
      <c r="AX1004" s="8"/>
      <c r="AY1004" s="8"/>
      <c r="AZ1004" s="8"/>
      <c r="BA1004" s="8">
        <v>7.89</v>
      </c>
      <c r="BB1004" s="8"/>
      <c r="BC1004" s="8"/>
      <c r="BD1004" s="8"/>
      <c r="BE1004" s="8"/>
      <c r="BF1004" s="8">
        <v>88.38</v>
      </c>
      <c r="BG1004" s="8">
        <v>59.71</v>
      </c>
      <c r="BH1004" s="9">
        <f t="shared" si="135"/>
        <v>1760.34</v>
      </c>
      <c r="BI1004" s="9">
        <f t="shared" si="136"/>
        <v>3.51</v>
      </c>
      <c r="BJ1004" s="9">
        <f t="shared" si="137"/>
        <v>7.04</v>
      </c>
      <c r="BK1004" s="9">
        <f t="shared" si="138"/>
        <v>17.744</v>
      </c>
      <c r="BL1004" s="9">
        <f t="shared" si="139"/>
        <v>0</v>
      </c>
      <c r="BM1004" s="9">
        <f t="shared" si="140"/>
        <v>0</v>
      </c>
      <c r="BN1004" s="9">
        <f t="shared" si="141"/>
        <v>798.42</v>
      </c>
      <c r="BO1004" s="9">
        <f t="shared" si="142"/>
        <v>7.89</v>
      </c>
      <c r="BP1004" s="9">
        <f t="shared" si="143"/>
        <v>88.38</v>
      </c>
    </row>
    <row r="1005" spans="1:68">
      <c r="A1005" s="6">
        <v>44736</v>
      </c>
      <c r="B1005" s="7">
        <v>3204</v>
      </c>
      <c r="C1005" s="8"/>
      <c r="D1005" s="8">
        <v>965.83</v>
      </c>
      <c r="E1005" s="8">
        <v>412.73</v>
      </c>
      <c r="F1005" s="8"/>
      <c r="G1005" s="8"/>
      <c r="H1005" s="8"/>
      <c r="I1005" s="8"/>
      <c r="J1005" s="8"/>
      <c r="K1005" s="8"/>
      <c r="L1005" s="8"/>
      <c r="M1005" s="8"/>
      <c r="N1005" s="8"/>
      <c r="O1005" s="8">
        <v>6.9</v>
      </c>
      <c r="P1005" s="8"/>
      <c r="Q1005" s="11"/>
      <c r="R1005" s="11"/>
      <c r="S1005" s="8">
        <v>4.6900000000000004</v>
      </c>
      <c r="T1005" s="8">
        <v>8.2899999999999991</v>
      </c>
      <c r="U1005" s="8">
        <v>6.9</v>
      </c>
      <c r="V1005" s="8"/>
      <c r="W1005" s="8"/>
      <c r="X1005" s="8"/>
      <c r="Y1005" s="8"/>
      <c r="Z1005" s="8">
        <v>207.14</v>
      </c>
      <c r="AA1005" s="8"/>
      <c r="AB1005" s="8">
        <v>7.0659999999999998</v>
      </c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11"/>
      <c r="AQ1005" s="8"/>
      <c r="AR1005" s="8"/>
      <c r="AS1005" s="8"/>
      <c r="AT1005" s="8">
        <v>607.16999999999996</v>
      </c>
      <c r="AU1005" s="8"/>
      <c r="AV1005" s="8"/>
      <c r="AW1005" s="8">
        <v>4.42</v>
      </c>
      <c r="AX1005" s="8"/>
      <c r="AY1005" s="8"/>
      <c r="AZ1005" s="8"/>
      <c r="BA1005" s="8"/>
      <c r="BB1005" s="8"/>
      <c r="BC1005" s="8"/>
      <c r="BD1005" s="8"/>
      <c r="BE1005" s="8"/>
      <c r="BF1005" s="8"/>
      <c r="BG1005" s="8">
        <v>44.91</v>
      </c>
      <c r="BH1005" s="9">
        <f t="shared" si="135"/>
        <v>1378.56</v>
      </c>
      <c r="BI1005" s="9">
        <f t="shared" si="136"/>
        <v>6.9</v>
      </c>
      <c r="BJ1005" s="9">
        <f t="shared" si="137"/>
        <v>4.6900000000000004</v>
      </c>
      <c r="BK1005" s="9">
        <f t="shared" si="138"/>
        <v>15.19</v>
      </c>
      <c r="BL1005" s="9">
        <f t="shared" si="139"/>
        <v>207.14</v>
      </c>
      <c r="BM1005" s="9">
        <f t="shared" si="140"/>
        <v>7.0659999999999998</v>
      </c>
      <c r="BN1005" s="9">
        <f t="shared" si="141"/>
        <v>607.16999999999996</v>
      </c>
      <c r="BO1005" s="9">
        <f t="shared" si="142"/>
        <v>4.42</v>
      </c>
      <c r="BP1005" s="9">
        <f t="shared" si="143"/>
        <v>0</v>
      </c>
    </row>
    <row r="1006" spans="1:68">
      <c r="A1006" s="6">
        <v>44736</v>
      </c>
      <c r="B1006" s="7">
        <v>3005</v>
      </c>
      <c r="C1006" s="8">
        <v>791.32</v>
      </c>
      <c r="D1006" s="8">
        <v>526.57000000000005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>
        <v>1.31</v>
      </c>
      <c r="O1006" s="8"/>
      <c r="P1006" s="8"/>
      <c r="Q1006" s="11"/>
      <c r="R1006" s="11"/>
      <c r="S1006" s="8">
        <v>4.62</v>
      </c>
      <c r="T1006" s="8">
        <v>14.53</v>
      </c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11"/>
      <c r="AQ1006" s="8"/>
      <c r="AR1006" s="8"/>
      <c r="AS1006" s="8"/>
      <c r="AT1006" s="8">
        <v>646.58000000000004</v>
      </c>
      <c r="AU1006" s="8"/>
      <c r="AV1006" s="8"/>
      <c r="AW1006" s="8">
        <v>14.66</v>
      </c>
      <c r="AX1006" s="8"/>
      <c r="AY1006" s="8"/>
      <c r="AZ1006" s="8"/>
      <c r="BA1006" s="8"/>
      <c r="BB1006" s="8"/>
      <c r="BC1006" s="8"/>
      <c r="BD1006" s="8"/>
      <c r="BE1006" s="8"/>
      <c r="BF1006" s="8"/>
      <c r="BG1006" s="8">
        <v>48.15</v>
      </c>
      <c r="BH1006" s="9">
        <f t="shared" si="135"/>
        <v>1317.89</v>
      </c>
      <c r="BI1006" s="9">
        <f t="shared" si="136"/>
        <v>1.31</v>
      </c>
      <c r="BJ1006" s="9">
        <f t="shared" si="137"/>
        <v>4.62</v>
      </c>
      <c r="BK1006" s="9">
        <f t="shared" si="138"/>
        <v>14.53</v>
      </c>
      <c r="BL1006" s="9">
        <f t="shared" si="139"/>
        <v>0</v>
      </c>
      <c r="BM1006" s="9">
        <f t="shared" si="140"/>
        <v>0</v>
      </c>
      <c r="BN1006" s="9">
        <f t="shared" si="141"/>
        <v>646.58000000000004</v>
      </c>
      <c r="BO1006" s="9">
        <f t="shared" si="142"/>
        <v>14.66</v>
      </c>
      <c r="BP1006" s="9">
        <f t="shared" si="143"/>
        <v>0</v>
      </c>
    </row>
    <row r="1007" spans="1:68">
      <c r="A1007" s="6">
        <v>44736</v>
      </c>
      <c r="B1007" s="7">
        <v>3020</v>
      </c>
      <c r="C1007" s="8"/>
      <c r="D1007" s="8">
        <v>169.93</v>
      </c>
      <c r="E1007" s="8"/>
      <c r="F1007" s="8"/>
      <c r="G1007" s="8"/>
      <c r="H1007" s="8"/>
      <c r="I1007" s="8">
        <v>957.85</v>
      </c>
      <c r="J1007" s="8"/>
      <c r="K1007" s="8"/>
      <c r="L1007" s="8"/>
      <c r="M1007" s="8"/>
      <c r="N1007" s="8">
        <v>6.77</v>
      </c>
      <c r="O1007" s="8"/>
      <c r="P1007" s="8"/>
      <c r="Q1007" s="11"/>
      <c r="R1007" s="11"/>
      <c r="S1007" s="8">
        <v>2.0299999999999998</v>
      </c>
      <c r="T1007" s="8"/>
      <c r="U1007" s="8"/>
      <c r="V1007" s="8"/>
      <c r="W1007" s="8">
        <v>11.285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>
        <v>11.25</v>
      </c>
      <c r="AN1007" s="8"/>
      <c r="AO1007" s="8"/>
      <c r="AP1007" s="11"/>
      <c r="AQ1007" s="8"/>
      <c r="AR1007" s="8"/>
      <c r="AS1007" s="8">
        <v>28.552</v>
      </c>
      <c r="AT1007" s="8">
        <v>555.47</v>
      </c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>
        <v>40.64</v>
      </c>
      <c r="BH1007" s="9">
        <f t="shared" si="135"/>
        <v>1127.78</v>
      </c>
      <c r="BI1007" s="9">
        <f t="shared" si="136"/>
        <v>6.77</v>
      </c>
      <c r="BJ1007" s="9">
        <f t="shared" si="137"/>
        <v>2.0299999999999998</v>
      </c>
      <c r="BK1007" s="9">
        <f t="shared" si="138"/>
        <v>11.285</v>
      </c>
      <c r="BL1007" s="9">
        <f t="shared" si="139"/>
        <v>0</v>
      </c>
      <c r="BM1007" s="9">
        <f t="shared" si="140"/>
        <v>39.802</v>
      </c>
      <c r="BN1007" s="9">
        <f t="shared" si="141"/>
        <v>555.47</v>
      </c>
      <c r="BO1007" s="9">
        <f t="shared" si="142"/>
        <v>0</v>
      </c>
      <c r="BP1007" s="9">
        <f t="shared" si="143"/>
        <v>0</v>
      </c>
    </row>
    <row r="1008" spans="1:68">
      <c r="A1008" s="6">
        <v>44736</v>
      </c>
      <c r="B1008" s="7">
        <v>3023</v>
      </c>
      <c r="C1008" s="8"/>
      <c r="D1008" s="8">
        <v>854.84</v>
      </c>
      <c r="E1008" s="8"/>
      <c r="F1008" s="8"/>
      <c r="G1008" s="8"/>
      <c r="H1008" s="8"/>
      <c r="I1008" s="8">
        <v>464.91</v>
      </c>
      <c r="J1008" s="8"/>
      <c r="K1008" s="8"/>
      <c r="L1008" s="8"/>
      <c r="M1008" s="8"/>
      <c r="N1008" s="8">
        <v>7.39</v>
      </c>
      <c r="O1008" s="8"/>
      <c r="P1008" s="8"/>
      <c r="Q1008" s="11"/>
      <c r="R1008" s="11"/>
      <c r="S1008" s="8">
        <v>2.11</v>
      </c>
      <c r="T1008" s="8"/>
      <c r="U1008" s="8"/>
      <c r="V1008" s="8"/>
      <c r="W1008" s="8">
        <v>11.975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>
        <v>13.16</v>
      </c>
      <c r="AN1008" s="8">
        <v>9.3000000000000007</v>
      </c>
      <c r="AO1008" s="8"/>
      <c r="AP1008" s="11"/>
      <c r="AQ1008" s="8"/>
      <c r="AR1008" s="8"/>
      <c r="AS1008" s="8">
        <v>43.478999999999999</v>
      </c>
      <c r="AT1008" s="8">
        <v>541.51</v>
      </c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>
        <v>40.92</v>
      </c>
      <c r="BH1008" s="9">
        <f t="shared" si="135"/>
        <v>1319.75</v>
      </c>
      <c r="BI1008" s="9">
        <f t="shared" si="136"/>
        <v>7.39</v>
      </c>
      <c r="BJ1008" s="9">
        <f t="shared" si="137"/>
        <v>2.11</v>
      </c>
      <c r="BK1008" s="9">
        <f t="shared" si="138"/>
        <v>11.975</v>
      </c>
      <c r="BL1008" s="9">
        <f t="shared" si="139"/>
        <v>0</v>
      </c>
      <c r="BM1008" s="9">
        <f t="shared" si="140"/>
        <v>65.938999999999993</v>
      </c>
      <c r="BN1008" s="9">
        <f t="shared" si="141"/>
        <v>541.51</v>
      </c>
      <c r="BO1008" s="9">
        <f t="shared" si="142"/>
        <v>0</v>
      </c>
      <c r="BP1008" s="9">
        <f t="shared" si="143"/>
        <v>0</v>
      </c>
    </row>
    <row r="1009" spans="1:68">
      <c r="A1009" s="6">
        <v>44736</v>
      </c>
      <c r="B1009" s="7">
        <v>3029</v>
      </c>
      <c r="C1009" s="8"/>
      <c r="D1009" s="8">
        <v>673.4</v>
      </c>
      <c r="E1009" s="8"/>
      <c r="F1009" s="8">
        <v>475.1</v>
      </c>
      <c r="G1009" s="8"/>
      <c r="H1009" s="8"/>
      <c r="I1009" s="8">
        <v>2809.34</v>
      </c>
      <c r="J1009" s="8"/>
      <c r="K1009" s="8"/>
      <c r="L1009" s="8"/>
      <c r="M1009" s="8"/>
      <c r="N1009" s="8">
        <v>30.48</v>
      </c>
      <c r="O1009" s="8"/>
      <c r="P1009" s="8"/>
      <c r="Q1009" s="11"/>
      <c r="R1009" s="11"/>
      <c r="S1009" s="8">
        <v>2.37</v>
      </c>
      <c r="T1009" s="8"/>
      <c r="U1009" s="8"/>
      <c r="V1009" s="8"/>
      <c r="W1009" s="8">
        <v>40.527999999999999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>
        <v>13.82</v>
      </c>
      <c r="AN1009" s="8">
        <v>19.841000000000001</v>
      </c>
      <c r="AO1009" s="8"/>
      <c r="AP1009" s="11"/>
      <c r="AQ1009" s="8"/>
      <c r="AR1009" s="8">
        <v>120.369</v>
      </c>
      <c r="AS1009" s="8"/>
      <c r="AT1009" s="8">
        <v>1502.65</v>
      </c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>
        <v>104.8</v>
      </c>
      <c r="BH1009" s="9">
        <f t="shared" si="135"/>
        <v>3957.84</v>
      </c>
      <c r="BI1009" s="9">
        <f t="shared" si="136"/>
        <v>30.48</v>
      </c>
      <c r="BJ1009" s="9">
        <f t="shared" si="137"/>
        <v>2.37</v>
      </c>
      <c r="BK1009" s="9">
        <f t="shared" si="138"/>
        <v>40.527999999999999</v>
      </c>
      <c r="BL1009" s="9">
        <f t="shared" si="139"/>
        <v>0</v>
      </c>
      <c r="BM1009" s="9">
        <f t="shared" si="140"/>
        <v>154.03</v>
      </c>
      <c r="BN1009" s="9">
        <f t="shared" si="141"/>
        <v>1502.65</v>
      </c>
      <c r="BO1009" s="9">
        <f t="shared" si="142"/>
        <v>0</v>
      </c>
      <c r="BP1009" s="9">
        <f t="shared" si="143"/>
        <v>0</v>
      </c>
    </row>
    <row r="1010" spans="1:68">
      <c r="A1010" s="6">
        <v>44736</v>
      </c>
      <c r="B1010" s="7">
        <v>3106</v>
      </c>
      <c r="C1010" s="8">
        <v>4105.29</v>
      </c>
      <c r="D1010" s="8"/>
      <c r="E1010" s="8"/>
      <c r="F1010" s="8"/>
      <c r="G1010" s="8"/>
      <c r="H1010" s="8"/>
      <c r="I1010" s="8"/>
      <c r="J1010" s="8"/>
      <c r="K1010" s="8"/>
      <c r="L1010" s="8"/>
      <c r="M1010" s="8">
        <v>11.11</v>
      </c>
      <c r="N1010" s="8"/>
      <c r="O1010" s="8"/>
      <c r="P1010" s="8"/>
      <c r="Q1010" s="11"/>
      <c r="R1010" s="11"/>
      <c r="S1010" s="8">
        <v>12.36</v>
      </c>
      <c r="T1010" s="8">
        <v>52.14</v>
      </c>
      <c r="U1010" s="8"/>
      <c r="V1010" s="8"/>
      <c r="W1010" s="8"/>
      <c r="X1010" s="8"/>
      <c r="Y1010" s="8"/>
      <c r="Z1010" s="8"/>
      <c r="AA1010" s="8"/>
      <c r="AB1010" s="8"/>
      <c r="AC1010" s="8">
        <v>10.27</v>
      </c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11"/>
      <c r="AQ1010" s="8"/>
      <c r="AR1010" s="8"/>
      <c r="AS1010" s="8"/>
      <c r="AT1010" s="8">
        <v>2350.5300000000002</v>
      </c>
      <c r="AU1010" s="8"/>
      <c r="AV1010" s="8"/>
      <c r="AW1010" s="8"/>
      <c r="AX1010" s="8">
        <v>5.14</v>
      </c>
      <c r="AY1010" s="8"/>
      <c r="AZ1010" s="8"/>
      <c r="BA1010" s="8"/>
      <c r="BB1010" s="8"/>
      <c r="BC1010" s="8"/>
      <c r="BD1010" s="8"/>
      <c r="BE1010" s="8"/>
      <c r="BF1010" s="8"/>
      <c r="BG1010" s="8">
        <v>177.2</v>
      </c>
      <c r="BH1010" s="9">
        <f t="shared" si="135"/>
        <v>4105.29</v>
      </c>
      <c r="BI1010" s="9">
        <f t="shared" si="136"/>
        <v>11.11</v>
      </c>
      <c r="BJ1010" s="9">
        <f t="shared" si="137"/>
        <v>12.36</v>
      </c>
      <c r="BK1010" s="9">
        <f t="shared" si="138"/>
        <v>52.14</v>
      </c>
      <c r="BL1010" s="9">
        <f t="shared" si="139"/>
        <v>0</v>
      </c>
      <c r="BM1010" s="9">
        <f t="shared" si="140"/>
        <v>10.27</v>
      </c>
      <c r="BN1010" s="9">
        <f t="shared" si="141"/>
        <v>2350.5300000000002</v>
      </c>
      <c r="BO1010" s="9">
        <f t="shared" si="142"/>
        <v>5.14</v>
      </c>
      <c r="BP1010" s="9">
        <f t="shared" si="143"/>
        <v>0</v>
      </c>
    </row>
    <row r="1011" spans="1:68">
      <c r="A1011" s="6">
        <v>44736</v>
      </c>
      <c r="B1011" s="7">
        <v>3134</v>
      </c>
      <c r="C1011" s="8">
        <v>1063.77</v>
      </c>
      <c r="D1011" s="8">
        <v>149.07</v>
      </c>
      <c r="E1011" s="8"/>
      <c r="F1011" s="8"/>
      <c r="G1011" s="8"/>
      <c r="H1011" s="8">
        <v>503.74</v>
      </c>
      <c r="I1011" s="8"/>
      <c r="J1011" s="8"/>
      <c r="K1011" s="8"/>
      <c r="L1011" s="8"/>
      <c r="M1011" s="8">
        <v>3.18</v>
      </c>
      <c r="N1011" s="8"/>
      <c r="O1011" s="8"/>
      <c r="P1011" s="8"/>
      <c r="Q1011" s="11"/>
      <c r="R1011" s="11"/>
      <c r="S1011" s="8">
        <v>6.88</v>
      </c>
      <c r="T1011" s="8">
        <v>10.48</v>
      </c>
      <c r="U1011" s="8">
        <v>8.98</v>
      </c>
      <c r="V1011" s="8"/>
      <c r="W1011" s="8"/>
      <c r="X1011" s="8"/>
      <c r="Y1011" s="8"/>
      <c r="Z1011" s="8"/>
      <c r="AA1011" s="8"/>
      <c r="AB1011" s="8"/>
      <c r="AC1011" s="8">
        <v>5.98</v>
      </c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11"/>
      <c r="AQ1011" s="8"/>
      <c r="AR1011" s="8"/>
      <c r="AS1011" s="8"/>
      <c r="AT1011" s="8">
        <v>1054.71</v>
      </c>
      <c r="AU1011" s="8"/>
      <c r="AV1011" s="8"/>
      <c r="AW1011" s="8"/>
      <c r="AX1011" s="8"/>
      <c r="AY1011" s="8">
        <v>15.324999999999999</v>
      </c>
      <c r="AZ1011" s="8"/>
      <c r="BA1011" s="8"/>
      <c r="BB1011" s="8"/>
      <c r="BC1011" s="8"/>
      <c r="BD1011" s="8"/>
      <c r="BE1011" s="8"/>
      <c r="BF1011" s="8">
        <v>67.290000000000006</v>
      </c>
      <c r="BG1011" s="8">
        <v>79.180000000000007</v>
      </c>
      <c r="BH1011" s="9">
        <f t="shared" si="135"/>
        <v>1716.58</v>
      </c>
      <c r="BI1011" s="9">
        <f t="shared" si="136"/>
        <v>3.18</v>
      </c>
      <c r="BJ1011" s="9">
        <f t="shared" si="137"/>
        <v>6.88</v>
      </c>
      <c r="BK1011" s="9">
        <f t="shared" si="138"/>
        <v>19.46</v>
      </c>
      <c r="BL1011" s="9">
        <f t="shared" si="139"/>
        <v>0</v>
      </c>
      <c r="BM1011" s="9">
        <f t="shared" si="140"/>
        <v>5.98</v>
      </c>
      <c r="BN1011" s="9">
        <f t="shared" si="141"/>
        <v>1054.71</v>
      </c>
      <c r="BO1011" s="9">
        <f t="shared" si="142"/>
        <v>15.324999999999999</v>
      </c>
      <c r="BP1011" s="9">
        <f t="shared" si="143"/>
        <v>67.290000000000006</v>
      </c>
    </row>
    <row r="1012" spans="1:68">
      <c r="A1012" s="6">
        <v>44736</v>
      </c>
      <c r="B1012" s="7">
        <v>3141</v>
      </c>
      <c r="C1012" s="8">
        <v>2456.8000000000002</v>
      </c>
      <c r="D1012" s="8">
        <v>433.71</v>
      </c>
      <c r="E1012" s="8"/>
      <c r="F1012" s="8"/>
      <c r="G1012" s="8"/>
      <c r="H1012" s="8"/>
      <c r="I1012" s="8"/>
      <c r="J1012" s="8"/>
      <c r="K1012" s="8"/>
      <c r="L1012" s="8"/>
      <c r="M1012" s="8">
        <v>6.58</v>
      </c>
      <c r="N1012" s="8"/>
      <c r="O1012" s="8"/>
      <c r="P1012" s="8"/>
      <c r="Q1012" s="11"/>
      <c r="R1012" s="11"/>
      <c r="S1012" s="8">
        <v>13.6</v>
      </c>
      <c r="T1012" s="8">
        <v>21.7</v>
      </c>
      <c r="U1012" s="8">
        <v>21.71</v>
      </c>
      <c r="V1012" s="8"/>
      <c r="W1012" s="8"/>
      <c r="X1012" s="8"/>
      <c r="Y1012" s="8"/>
      <c r="Z1012" s="8"/>
      <c r="AA1012" s="8"/>
      <c r="AB1012" s="8"/>
      <c r="AC1012" s="8">
        <v>11.57</v>
      </c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11"/>
      <c r="AQ1012" s="8"/>
      <c r="AR1012" s="8"/>
      <c r="AS1012" s="8"/>
      <c r="AT1012" s="8">
        <v>1924.6</v>
      </c>
      <c r="AU1012" s="8"/>
      <c r="AV1012" s="8"/>
      <c r="AW1012" s="8"/>
      <c r="AX1012" s="8"/>
      <c r="AY1012" s="8"/>
      <c r="AZ1012" s="8"/>
      <c r="BA1012" s="8">
        <v>66.23</v>
      </c>
      <c r="BB1012" s="8"/>
      <c r="BC1012" s="8"/>
      <c r="BD1012" s="8"/>
      <c r="BE1012" s="8"/>
      <c r="BF1012" s="8">
        <v>202.44</v>
      </c>
      <c r="BG1012" s="8">
        <v>150.68</v>
      </c>
      <c r="BH1012" s="9">
        <f t="shared" si="135"/>
        <v>2890.51</v>
      </c>
      <c r="BI1012" s="9">
        <f t="shared" si="136"/>
        <v>6.58</v>
      </c>
      <c r="BJ1012" s="9">
        <f t="shared" si="137"/>
        <v>13.6</v>
      </c>
      <c r="BK1012" s="9">
        <f t="shared" si="138"/>
        <v>43.41</v>
      </c>
      <c r="BL1012" s="9">
        <f t="shared" si="139"/>
        <v>0</v>
      </c>
      <c r="BM1012" s="9">
        <f t="shared" si="140"/>
        <v>11.57</v>
      </c>
      <c r="BN1012" s="9">
        <f t="shared" si="141"/>
        <v>1924.6</v>
      </c>
      <c r="BO1012" s="9">
        <f t="shared" si="142"/>
        <v>66.23</v>
      </c>
      <c r="BP1012" s="9">
        <f t="shared" si="143"/>
        <v>202.44</v>
      </c>
    </row>
    <row r="1013" spans="1:68">
      <c r="A1013" s="6">
        <v>44736</v>
      </c>
      <c r="B1013" s="7">
        <v>3122</v>
      </c>
      <c r="C1013" s="8">
        <v>502.43</v>
      </c>
      <c r="D1013" s="8"/>
      <c r="E1013" s="8"/>
      <c r="F1013" s="8"/>
      <c r="G1013" s="8"/>
      <c r="H1013" s="8"/>
      <c r="I1013" s="8"/>
      <c r="J1013" s="8"/>
      <c r="K1013" s="8"/>
      <c r="L1013" s="8"/>
      <c r="M1013" s="8">
        <v>0.9</v>
      </c>
      <c r="N1013" s="8">
        <v>0.9</v>
      </c>
      <c r="O1013" s="8"/>
      <c r="P1013" s="8"/>
      <c r="Q1013" s="11"/>
      <c r="R1013" s="11"/>
      <c r="S1013" s="8">
        <v>2.0099999999999998</v>
      </c>
      <c r="T1013" s="8">
        <v>3.52</v>
      </c>
      <c r="U1013" s="8">
        <v>1.51</v>
      </c>
      <c r="V1013" s="8"/>
      <c r="W1013" s="8"/>
      <c r="X1013" s="8"/>
      <c r="Y1013" s="8"/>
      <c r="Z1013" s="8"/>
      <c r="AA1013" s="8"/>
      <c r="AB1013" s="8"/>
      <c r="AC1013" s="8">
        <v>2.0099999999999998</v>
      </c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11"/>
      <c r="AQ1013" s="8"/>
      <c r="AR1013" s="8"/>
      <c r="AS1013" s="8"/>
      <c r="AT1013" s="8">
        <v>222.89</v>
      </c>
      <c r="AU1013" s="8"/>
      <c r="AV1013" s="8">
        <v>17.09</v>
      </c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>
        <v>16.34</v>
      </c>
      <c r="BH1013" s="9">
        <f t="shared" si="135"/>
        <v>502.43</v>
      </c>
      <c r="BI1013" s="9">
        <f t="shared" si="136"/>
        <v>1.8</v>
      </c>
      <c r="BJ1013" s="9">
        <f t="shared" si="137"/>
        <v>2.0099999999999998</v>
      </c>
      <c r="BK1013" s="9">
        <f t="shared" si="138"/>
        <v>5.03</v>
      </c>
      <c r="BL1013" s="9">
        <f t="shared" si="139"/>
        <v>0</v>
      </c>
      <c r="BM1013" s="9">
        <f t="shared" si="140"/>
        <v>2.0099999999999998</v>
      </c>
      <c r="BN1013" s="9">
        <f t="shared" si="141"/>
        <v>222.89</v>
      </c>
      <c r="BO1013" s="9">
        <f t="shared" si="142"/>
        <v>17.09</v>
      </c>
      <c r="BP1013" s="9">
        <f t="shared" si="143"/>
        <v>0</v>
      </c>
    </row>
    <row r="1014" spans="1:68">
      <c r="A1014" s="6">
        <v>44739</v>
      </c>
      <c r="B1014" s="7">
        <v>3079</v>
      </c>
      <c r="C1014" s="8"/>
      <c r="D1014" s="8"/>
      <c r="E1014" s="8"/>
      <c r="F1014" s="8">
        <v>333.19</v>
      </c>
      <c r="G1014" s="8"/>
      <c r="H1014" s="8"/>
      <c r="I1014" s="8">
        <v>2689.95</v>
      </c>
      <c r="J1014" s="8"/>
      <c r="K1014" s="8"/>
      <c r="L1014" s="8"/>
      <c r="M1014" s="8"/>
      <c r="N1014" s="8">
        <v>22.71</v>
      </c>
      <c r="O1014" s="8"/>
      <c r="P1014" s="8"/>
      <c r="Q1014" s="11"/>
      <c r="R1014" s="11"/>
      <c r="S1014" s="8">
        <v>1.24</v>
      </c>
      <c r="T1014" s="8">
        <v>30.26</v>
      </c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>
        <v>12.11</v>
      </c>
      <c r="AN1014" s="8">
        <v>30.276</v>
      </c>
      <c r="AO1014" s="8"/>
      <c r="AP1014" s="11"/>
      <c r="AQ1014" s="8"/>
      <c r="AR1014" s="8">
        <v>76.822000000000003</v>
      </c>
      <c r="AS1014" s="8"/>
      <c r="AT1014" s="8">
        <v>1153.73</v>
      </c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>
        <v>83.23</v>
      </c>
      <c r="BH1014" s="9">
        <f t="shared" si="135"/>
        <v>3023.14</v>
      </c>
      <c r="BI1014" s="9">
        <f t="shared" si="136"/>
        <v>22.71</v>
      </c>
      <c r="BJ1014" s="9">
        <f t="shared" si="137"/>
        <v>1.24</v>
      </c>
      <c r="BK1014" s="9">
        <f t="shared" si="138"/>
        <v>30.26</v>
      </c>
      <c r="BL1014" s="9">
        <f t="shared" si="139"/>
        <v>0</v>
      </c>
      <c r="BM1014" s="9">
        <f t="shared" si="140"/>
        <v>119.208</v>
      </c>
      <c r="BN1014" s="9">
        <f t="shared" si="141"/>
        <v>1153.73</v>
      </c>
      <c r="BO1014" s="9">
        <f t="shared" si="142"/>
        <v>0</v>
      </c>
      <c r="BP1014" s="9">
        <f t="shared" si="143"/>
        <v>0</v>
      </c>
    </row>
    <row r="1015" spans="1:68">
      <c r="A1015" s="6">
        <v>44739</v>
      </c>
      <c r="B1015" s="7">
        <v>3406</v>
      </c>
      <c r="C1015" s="8">
        <v>618.73</v>
      </c>
      <c r="D1015" s="8">
        <v>154.38</v>
      </c>
      <c r="E1015" s="8"/>
      <c r="F1015" s="8"/>
      <c r="G1015" s="8"/>
      <c r="H1015" s="8"/>
      <c r="I1015" s="8"/>
      <c r="J1015" s="8"/>
      <c r="K1015" s="8"/>
      <c r="L1015" s="8"/>
      <c r="M1015" s="8">
        <v>1.65</v>
      </c>
      <c r="N1015" s="8"/>
      <c r="O1015" s="8"/>
      <c r="P1015" s="8"/>
      <c r="Q1015" s="11"/>
      <c r="R1015" s="11"/>
      <c r="S1015" s="8">
        <v>1.78</v>
      </c>
      <c r="T1015" s="8"/>
      <c r="U1015" s="8"/>
      <c r="V1015" s="8"/>
      <c r="W1015" s="8"/>
      <c r="X1015" s="8">
        <v>9.2449999999999992</v>
      </c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11"/>
      <c r="AQ1015" s="8"/>
      <c r="AR1015" s="8"/>
      <c r="AS1015" s="8"/>
      <c r="AT1015" s="8">
        <v>390.37</v>
      </c>
      <c r="AU1015" s="8"/>
      <c r="AV1015" s="8">
        <v>23.24</v>
      </c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>
        <v>26.53</v>
      </c>
      <c r="BH1015" s="9">
        <f t="shared" si="135"/>
        <v>773.11</v>
      </c>
      <c r="BI1015" s="9">
        <f t="shared" si="136"/>
        <v>1.65</v>
      </c>
      <c r="BJ1015" s="9">
        <f t="shared" si="137"/>
        <v>1.78</v>
      </c>
      <c r="BK1015" s="9">
        <f t="shared" si="138"/>
        <v>9.2449999999999992</v>
      </c>
      <c r="BL1015" s="9">
        <f t="shared" si="139"/>
        <v>0</v>
      </c>
      <c r="BM1015" s="9">
        <f t="shared" si="140"/>
        <v>0</v>
      </c>
      <c r="BN1015" s="9">
        <f t="shared" si="141"/>
        <v>390.37</v>
      </c>
      <c r="BO1015" s="9">
        <f t="shared" si="142"/>
        <v>23.24</v>
      </c>
      <c r="BP1015" s="9">
        <f t="shared" si="143"/>
        <v>0</v>
      </c>
    </row>
    <row r="1016" spans="1:68">
      <c r="A1016" s="6">
        <v>44739</v>
      </c>
      <c r="B1016" s="7">
        <v>3083</v>
      </c>
      <c r="C1016" s="8"/>
      <c r="D1016" s="8">
        <v>1421.99</v>
      </c>
      <c r="E1016" s="8"/>
      <c r="F1016" s="8"/>
      <c r="G1016" s="8"/>
      <c r="H1016" s="8"/>
      <c r="I1016" s="8">
        <v>3327.34</v>
      </c>
      <c r="J1016" s="8"/>
      <c r="K1016" s="8"/>
      <c r="L1016" s="8"/>
      <c r="M1016" s="8"/>
      <c r="N1016" s="8">
        <v>32.81</v>
      </c>
      <c r="O1016" s="8"/>
      <c r="P1016" s="8"/>
      <c r="Q1016" s="11"/>
      <c r="R1016" s="11"/>
      <c r="S1016" s="8">
        <v>3.31</v>
      </c>
      <c r="T1016" s="8">
        <v>38.01</v>
      </c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>
        <v>18.95</v>
      </c>
      <c r="AN1016" s="8">
        <v>65.224999999999994</v>
      </c>
      <c r="AO1016" s="8"/>
      <c r="AP1016" s="11"/>
      <c r="AQ1016" s="8"/>
      <c r="AR1016" s="8">
        <v>121.47499999999999</v>
      </c>
      <c r="AS1016" s="8"/>
      <c r="AT1016" s="8">
        <v>2158.06</v>
      </c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>
        <v>169.3</v>
      </c>
      <c r="BH1016" s="9">
        <f t="shared" si="135"/>
        <v>4749.33</v>
      </c>
      <c r="BI1016" s="9">
        <f t="shared" si="136"/>
        <v>32.81</v>
      </c>
      <c r="BJ1016" s="9">
        <f t="shared" si="137"/>
        <v>3.31</v>
      </c>
      <c r="BK1016" s="9">
        <f t="shared" si="138"/>
        <v>38.01</v>
      </c>
      <c r="BL1016" s="9">
        <f t="shared" si="139"/>
        <v>0</v>
      </c>
      <c r="BM1016" s="9">
        <f t="shared" si="140"/>
        <v>205.64999999999998</v>
      </c>
      <c r="BN1016" s="9">
        <f t="shared" si="141"/>
        <v>2158.06</v>
      </c>
      <c r="BO1016" s="9">
        <f t="shared" si="142"/>
        <v>0</v>
      </c>
      <c r="BP1016" s="9">
        <f t="shared" si="143"/>
        <v>0</v>
      </c>
    </row>
    <row r="1017" spans="1:68">
      <c r="A1017" s="6">
        <v>44739</v>
      </c>
      <c r="B1017" s="7">
        <v>3022</v>
      </c>
      <c r="C1017" s="8"/>
      <c r="D1017" s="8">
        <v>1051.1199999999999</v>
      </c>
      <c r="E1017" s="8"/>
      <c r="F1017" s="8"/>
      <c r="G1017" s="8"/>
      <c r="H1017" s="8"/>
      <c r="I1017" s="8">
        <v>855.47</v>
      </c>
      <c r="J1017" s="8"/>
      <c r="K1017" s="8"/>
      <c r="L1017" s="8"/>
      <c r="M1017" s="8"/>
      <c r="N1017" s="8">
        <v>9.58</v>
      </c>
      <c r="O1017" s="8"/>
      <c r="P1017" s="8"/>
      <c r="Q1017" s="11"/>
      <c r="R1017" s="11"/>
      <c r="S1017" s="8">
        <v>3.45</v>
      </c>
      <c r="T1017" s="8"/>
      <c r="U1017" s="8"/>
      <c r="V1017" s="8"/>
      <c r="W1017" s="8">
        <v>19.056999999999999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>
        <v>24.75</v>
      </c>
      <c r="AN1017" s="8"/>
      <c r="AO1017" s="8"/>
      <c r="AP1017" s="11"/>
      <c r="AQ1017" s="8"/>
      <c r="AR1017" s="8"/>
      <c r="AS1017" s="8">
        <v>67.049000000000007</v>
      </c>
      <c r="AT1017" s="8">
        <v>894.82</v>
      </c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>
        <v>68.95</v>
      </c>
      <c r="BH1017" s="9">
        <f t="shared" si="135"/>
        <v>1906.59</v>
      </c>
      <c r="BI1017" s="9">
        <f t="shared" si="136"/>
        <v>9.58</v>
      </c>
      <c r="BJ1017" s="9">
        <f t="shared" si="137"/>
        <v>3.45</v>
      </c>
      <c r="BK1017" s="9">
        <f t="shared" si="138"/>
        <v>19.056999999999999</v>
      </c>
      <c r="BL1017" s="9">
        <f t="shared" si="139"/>
        <v>0</v>
      </c>
      <c r="BM1017" s="9">
        <f t="shared" si="140"/>
        <v>91.799000000000007</v>
      </c>
      <c r="BN1017" s="9">
        <f t="shared" si="141"/>
        <v>894.82</v>
      </c>
      <c r="BO1017" s="9">
        <f t="shared" si="142"/>
        <v>0</v>
      </c>
      <c r="BP1017" s="9">
        <f t="shared" si="143"/>
        <v>0</v>
      </c>
    </row>
    <row r="1018" spans="1:68">
      <c r="A1018" s="6">
        <v>44739</v>
      </c>
      <c r="B1018" s="7">
        <v>3200</v>
      </c>
      <c r="C1018" s="8">
        <v>2262.34</v>
      </c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>
        <v>5.68</v>
      </c>
      <c r="P1018" s="8"/>
      <c r="Q1018" s="11"/>
      <c r="R1018" s="11"/>
      <c r="S1018" s="8">
        <v>8.85</v>
      </c>
      <c r="T1018" s="8"/>
      <c r="U1018" s="8">
        <v>34.090000000000003</v>
      </c>
      <c r="V1018" s="8"/>
      <c r="W1018" s="8"/>
      <c r="X1018" s="8"/>
      <c r="Y1018" s="8"/>
      <c r="Z1018" s="8">
        <v>476.65</v>
      </c>
      <c r="AA1018" s="8"/>
      <c r="AB1018" s="8"/>
      <c r="AC1018" s="8"/>
      <c r="AD1018" s="8"/>
      <c r="AE1018" s="8"/>
      <c r="AF1018" s="8">
        <v>112.66</v>
      </c>
      <c r="AG1018" s="8"/>
      <c r="AH1018" s="8"/>
      <c r="AI1018" s="8"/>
      <c r="AJ1018" s="8"/>
      <c r="AK1018" s="8"/>
      <c r="AL1018" s="8"/>
      <c r="AM1018" s="8"/>
      <c r="AN1018" s="8"/>
      <c r="AO1018" s="8"/>
      <c r="AP1018" s="11"/>
      <c r="AQ1018" s="8">
        <v>34.564</v>
      </c>
      <c r="AR1018" s="8"/>
      <c r="AS1018" s="8"/>
      <c r="AT1018" s="8">
        <v>1552.07</v>
      </c>
      <c r="AU1018" s="8"/>
      <c r="AV1018" s="8"/>
      <c r="AW1018" s="8">
        <v>6.69</v>
      </c>
      <c r="AX1018" s="8"/>
      <c r="AY1018" s="8"/>
      <c r="AZ1018" s="8"/>
      <c r="BA1018" s="8"/>
      <c r="BB1018" s="8"/>
      <c r="BC1018" s="8"/>
      <c r="BD1018" s="8"/>
      <c r="BE1018" s="8"/>
      <c r="BF1018" s="8">
        <v>108.93</v>
      </c>
      <c r="BG1018" s="8">
        <v>112.2</v>
      </c>
      <c r="BH1018" s="9">
        <f t="shared" si="135"/>
        <v>2262.34</v>
      </c>
      <c r="BI1018" s="9">
        <f t="shared" si="136"/>
        <v>5.68</v>
      </c>
      <c r="BJ1018" s="9">
        <f t="shared" si="137"/>
        <v>8.85</v>
      </c>
      <c r="BK1018" s="9">
        <f t="shared" si="138"/>
        <v>34.090000000000003</v>
      </c>
      <c r="BL1018" s="9">
        <f t="shared" si="139"/>
        <v>476.65</v>
      </c>
      <c r="BM1018" s="9">
        <f t="shared" si="140"/>
        <v>147.22399999999999</v>
      </c>
      <c r="BN1018" s="9">
        <f t="shared" si="141"/>
        <v>1552.07</v>
      </c>
      <c r="BO1018" s="9">
        <f t="shared" si="142"/>
        <v>6.69</v>
      </c>
      <c r="BP1018" s="9">
        <f t="shared" si="143"/>
        <v>108.93</v>
      </c>
    </row>
    <row r="1019" spans="1:68">
      <c r="A1019" s="6">
        <v>44740</v>
      </c>
      <c r="B1019" s="7">
        <v>3139</v>
      </c>
      <c r="C1019" s="8">
        <v>961.23</v>
      </c>
      <c r="D1019" s="8"/>
      <c r="E1019" s="8"/>
      <c r="F1019" s="8"/>
      <c r="G1019" s="8"/>
      <c r="H1019" s="8">
        <v>398.07</v>
      </c>
      <c r="I1019" s="8"/>
      <c r="J1019" s="8"/>
      <c r="K1019" s="8"/>
      <c r="L1019" s="8"/>
      <c r="M1019" s="8">
        <v>2.25</v>
      </c>
      <c r="N1019" s="8"/>
      <c r="O1019" s="8"/>
      <c r="P1019" s="8"/>
      <c r="Q1019" s="11"/>
      <c r="R1019" s="11"/>
      <c r="S1019" s="8">
        <v>4.04</v>
      </c>
      <c r="T1019" s="8">
        <v>14.27</v>
      </c>
      <c r="U1019" s="8"/>
      <c r="V1019" s="8"/>
      <c r="W1019" s="8"/>
      <c r="X1019" s="8"/>
      <c r="Y1019" s="8"/>
      <c r="Z1019" s="8"/>
      <c r="AA1019" s="8"/>
      <c r="AB1019" s="8"/>
      <c r="AC1019" s="8">
        <v>4.75</v>
      </c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11"/>
      <c r="AQ1019" s="8"/>
      <c r="AR1019" s="8"/>
      <c r="AS1019" s="8"/>
      <c r="AT1019" s="8">
        <v>701.26</v>
      </c>
      <c r="AU1019" s="8"/>
      <c r="AV1019" s="8">
        <v>23.76</v>
      </c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>
        <v>51.02</v>
      </c>
      <c r="BH1019" s="9">
        <f t="shared" si="135"/>
        <v>1359.3</v>
      </c>
      <c r="BI1019" s="9">
        <f t="shared" si="136"/>
        <v>2.25</v>
      </c>
      <c r="BJ1019" s="9">
        <f t="shared" si="137"/>
        <v>4.04</v>
      </c>
      <c r="BK1019" s="9">
        <f t="shared" si="138"/>
        <v>14.27</v>
      </c>
      <c r="BL1019" s="9">
        <f t="shared" si="139"/>
        <v>0</v>
      </c>
      <c r="BM1019" s="9">
        <f t="shared" si="140"/>
        <v>4.75</v>
      </c>
      <c r="BN1019" s="9">
        <f t="shared" si="141"/>
        <v>701.26</v>
      </c>
      <c r="BO1019" s="9">
        <f t="shared" si="142"/>
        <v>23.76</v>
      </c>
      <c r="BP1019" s="9">
        <f t="shared" si="143"/>
        <v>0</v>
      </c>
    </row>
    <row r="1020" spans="1:68">
      <c r="A1020" s="6">
        <v>44740</v>
      </c>
      <c r="B1020" s="7">
        <v>3023</v>
      </c>
      <c r="C1020" s="8"/>
      <c r="D1020" s="8">
        <v>878.21</v>
      </c>
      <c r="E1020" s="8"/>
      <c r="F1020" s="8"/>
      <c r="G1020" s="8"/>
      <c r="H1020" s="8"/>
      <c r="I1020" s="8">
        <v>474.35</v>
      </c>
      <c r="J1020" s="8"/>
      <c r="K1020" s="8"/>
      <c r="L1020" s="8"/>
      <c r="M1020" s="8"/>
      <c r="N1020" s="8">
        <v>7.53</v>
      </c>
      <c r="O1020" s="8"/>
      <c r="P1020" s="8"/>
      <c r="Q1020" s="11"/>
      <c r="R1020" s="11"/>
      <c r="S1020" s="8">
        <v>2.15</v>
      </c>
      <c r="T1020" s="8"/>
      <c r="U1020" s="8"/>
      <c r="V1020" s="8"/>
      <c r="W1020" s="8">
        <v>12.077999999999999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>
        <v>13.5</v>
      </c>
      <c r="AN1020" s="8">
        <v>9.2509999999999994</v>
      </c>
      <c r="AO1020" s="8"/>
      <c r="AP1020" s="11"/>
      <c r="AQ1020" s="8"/>
      <c r="AR1020" s="8"/>
      <c r="AS1020" s="8">
        <v>43.957999999999998</v>
      </c>
      <c r="AT1020" s="8">
        <v>552.69000000000005</v>
      </c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>
        <v>41.69</v>
      </c>
      <c r="BH1020" s="9">
        <f t="shared" si="135"/>
        <v>1352.56</v>
      </c>
      <c r="BI1020" s="9">
        <f t="shared" si="136"/>
        <v>7.53</v>
      </c>
      <c r="BJ1020" s="9">
        <f t="shared" si="137"/>
        <v>2.15</v>
      </c>
      <c r="BK1020" s="9">
        <f t="shared" si="138"/>
        <v>12.077999999999999</v>
      </c>
      <c r="BL1020" s="9">
        <f t="shared" si="139"/>
        <v>0</v>
      </c>
      <c r="BM1020" s="9">
        <f t="shared" si="140"/>
        <v>66.709000000000003</v>
      </c>
      <c r="BN1020" s="9">
        <f t="shared" si="141"/>
        <v>552.69000000000005</v>
      </c>
      <c r="BO1020" s="9">
        <f t="shared" si="142"/>
        <v>0</v>
      </c>
      <c r="BP1020" s="9">
        <f t="shared" si="143"/>
        <v>0</v>
      </c>
    </row>
    <row r="1021" spans="1:68">
      <c r="A1021" s="6">
        <v>44740</v>
      </c>
      <c r="B1021" s="7">
        <v>3010</v>
      </c>
      <c r="C1021" s="8">
        <v>671.71</v>
      </c>
      <c r="D1021" s="8">
        <v>447.62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>
        <v>2.2400000000000002</v>
      </c>
      <c r="O1021" s="8"/>
      <c r="P1021" s="8"/>
      <c r="Q1021" s="11"/>
      <c r="R1021" s="11"/>
      <c r="S1021" s="8">
        <v>3.02</v>
      </c>
      <c r="T1021" s="8">
        <v>11.18</v>
      </c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11"/>
      <c r="AQ1021" s="8"/>
      <c r="AR1021" s="8"/>
      <c r="AS1021" s="8"/>
      <c r="AT1021" s="8">
        <v>374.33</v>
      </c>
      <c r="AU1021" s="8"/>
      <c r="AV1021" s="8"/>
      <c r="AW1021" s="8">
        <v>12.41</v>
      </c>
      <c r="AX1021" s="8"/>
      <c r="AY1021" s="8"/>
      <c r="AZ1021" s="8"/>
      <c r="BA1021" s="8"/>
      <c r="BB1021" s="8"/>
      <c r="BC1021" s="8"/>
      <c r="BD1021" s="8"/>
      <c r="BE1021" s="8"/>
      <c r="BF1021" s="8"/>
      <c r="BG1021" s="8">
        <v>24.64</v>
      </c>
      <c r="BH1021" s="9">
        <f t="shared" si="135"/>
        <v>1119.33</v>
      </c>
      <c r="BI1021" s="9">
        <f t="shared" si="136"/>
        <v>2.2400000000000002</v>
      </c>
      <c r="BJ1021" s="9">
        <f t="shared" si="137"/>
        <v>3.02</v>
      </c>
      <c r="BK1021" s="9">
        <f t="shared" si="138"/>
        <v>11.18</v>
      </c>
      <c r="BL1021" s="9">
        <f t="shared" si="139"/>
        <v>0</v>
      </c>
      <c r="BM1021" s="9">
        <f t="shared" si="140"/>
        <v>0</v>
      </c>
      <c r="BN1021" s="9">
        <f t="shared" si="141"/>
        <v>374.33</v>
      </c>
      <c r="BO1021" s="9">
        <f t="shared" si="142"/>
        <v>12.41</v>
      </c>
      <c r="BP1021" s="9">
        <f t="shared" si="143"/>
        <v>0</v>
      </c>
    </row>
    <row r="1022" spans="1:68">
      <c r="A1022" s="6">
        <v>44740</v>
      </c>
      <c r="B1022" s="7">
        <v>3025</v>
      </c>
      <c r="C1022" s="8"/>
      <c r="D1022" s="8">
        <v>216.4</v>
      </c>
      <c r="E1022" s="8"/>
      <c r="F1022" s="8"/>
      <c r="G1022" s="8"/>
      <c r="H1022" s="8"/>
      <c r="I1022" s="8">
        <v>1214.43</v>
      </c>
      <c r="J1022" s="8"/>
      <c r="K1022" s="8"/>
      <c r="L1022" s="8"/>
      <c r="M1022" s="8"/>
      <c r="N1022" s="8">
        <v>7.77</v>
      </c>
      <c r="O1022" s="8"/>
      <c r="P1022" s="8"/>
      <c r="Q1022" s="11"/>
      <c r="R1022" s="11"/>
      <c r="S1022" s="8">
        <v>2.29</v>
      </c>
      <c r="T1022" s="8"/>
      <c r="U1022" s="8"/>
      <c r="V1022" s="8"/>
      <c r="W1022" s="8">
        <v>13.125999999999999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>
        <v>14.32</v>
      </c>
      <c r="AN1022" s="8">
        <v>10.188000000000001</v>
      </c>
      <c r="AO1022" s="8"/>
      <c r="AP1022" s="11"/>
      <c r="AQ1022" s="8"/>
      <c r="AR1022" s="8"/>
      <c r="AS1022" s="8">
        <v>47.46</v>
      </c>
      <c r="AT1022" s="8">
        <v>497.48</v>
      </c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>
        <v>32.85</v>
      </c>
      <c r="BH1022" s="9">
        <f t="shared" si="135"/>
        <v>1430.8300000000002</v>
      </c>
      <c r="BI1022" s="9">
        <f t="shared" si="136"/>
        <v>7.77</v>
      </c>
      <c r="BJ1022" s="9">
        <f t="shared" si="137"/>
        <v>2.29</v>
      </c>
      <c r="BK1022" s="9">
        <f t="shared" si="138"/>
        <v>13.125999999999999</v>
      </c>
      <c r="BL1022" s="9">
        <f t="shared" si="139"/>
        <v>0</v>
      </c>
      <c r="BM1022" s="9">
        <f t="shared" si="140"/>
        <v>71.968000000000004</v>
      </c>
      <c r="BN1022" s="9">
        <f t="shared" si="141"/>
        <v>497.48</v>
      </c>
      <c r="BO1022" s="9">
        <f t="shared" si="142"/>
        <v>0</v>
      </c>
      <c r="BP1022" s="9">
        <f t="shared" si="143"/>
        <v>0</v>
      </c>
    </row>
    <row r="1023" spans="1:68">
      <c r="A1023" s="6">
        <v>44740</v>
      </c>
      <c r="B1023" s="7">
        <v>3028</v>
      </c>
      <c r="C1023" s="8"/>
      <c r="D1023" s="8">
        <v>418.23</v>
      </c>
      <c r="E1023" s="8"/>
      <c r="F1023" s="8">
        <v>382.31</v>
      </c>
      <c r="G1023" s="8"/>
      <c r="H1023" s="8"/>
      <c r="I1023" s="8">
        <v>860.25</v>
      </c>
      <c r="J1023" s="8"/>
      <c r="K1023" s="8"/>
      <c r="L1023" s="8"/>
      <c r="M1023" s="8"/>
      <c r="N1023" s="8">
        <v>12.47</v>
      </c>
      <c r="O1023" s="8"/>
      <c r="P1023" s="8"/>
      <c r="Q1023" s="11"/>
      <c r="R1023" s="11"/>
      <c r="S1023" s="8">
        <v>2.3199999999999998</v>
      </c>
      <c r="T1023" s="8"/>
      <c r="U1023" s="8"/>
      <c r="V1023" s="8"/>
      <c r="W1023" s="8">
        <v>12.587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>
        <v>16.64</v>
      </c>
      <c r="AN1023" s="8">
        <v>11.788</v>
      </c>
      <c r="AO1023" s="8"/>
      <c r="AP1023" s="11"/>
      <c r="AQ1023" s="8"/>
      <c r="AR1023" s="8"/>
      <c r="AS1023" s="8">
        <v>54.667000000000002</v>
      </c>
      <c r="AT1023" s="8">
        <v>556.58000000000004</v>
      </c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>
        <v>38.01</v>
      </c>
      <c r="BH1023" s="9">
        <f t="shared" si="135"/>
        <v>1660.79</v>
      </c>
      <c r="BI1023" s="9">
        <f t="shared" si="136"/>
        <v>12.47</v>
      </c>
      <c r="BJ1023" s="9">
        <f t="shared" si="137"/>
        <v>2.3199999999999998</v>
      </c>
      <c r="BK1023" s="9">
        <f t="shared" si="138"/>
        <v>12.587</v>
      </c>
      <c r="BL1023" s="9">
        <f t="shared" si="139"/>
        <v>0</v>
      </c>
      <c r="BM1023" s="9">
        <f t="shared" si="140"/>
        <v>83.094999999999999</v>
      </c>
      <c r="BN1023" s="9">
        <f t="shared" si="141"/>
        <v>556.58000000000004</v>
      </c>
      <c r="BO1023" s="9">
        <f t="shared" si="142"/>
        <v>0</v>
      </c>
      <c r="BP1023" s="9">
        <f t="shared" si="143"/>
        <v>0</v>
      </c>
    </row>
    <row r="1024" spans="1:68">
      <c r="A1024" s="6">
        <v>44740</v>
      </c>
      <c r="B1024" s="7">
        <v>3081</v>
      </c>
      <c r="C1024" s="8"/>
      <c r="D1024" s="8">
        <v>294.61</v>
      </c>
      <c r="E1024" s="8"/>
      <c r="F1024" s="8">
        <v>329.71</v>
      </c>
      <c r="G1024" s="8"/>
      <c r="H1024" s="8"/>
      <c r="I1024" s="8">
        <v>1214.74</v>
      </c>
      <c r="J1024" s="8"/>
      <c r="K1024" s="8"/>
      <c r="L1024" s="8"/>
      <c r="M1024" s="8"/>
      <c r="N1024" s="8">
        <v>13.66</v>
      </c>
      <c r="O1024" s="8"/>
      <c r="P1024" s="8">
        <v>7.5549999999999997</v>
      </c>
      <c r="Q1024" s="11"/>
      <c r="R1024" s="11"/>
      <c r="S1024" s="8">
        <v>1.3</v>
      </c>
      <c r="T1024" s="8">
        <v>18.690000000000001</v>
      </c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11"/>
      <c r="AQ1024" s="8">
        <v>18.327999999999999</v>
      </c>
      <c r="AR1024" s="8">
        <v>65.539000000000001</v>
      </c>
      <c r="AS1024" s="8"/>
      <c r="AT1024" s="8">
        <v>583.87</v>
      </c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>
        <v>39.090000000000003</v>
      </c>
      <c r="BH1024" s="9">
        <f t="shared" si="135"/>
        <v>1839.06</v>
      </c>
      <c r="BI1024" s="9">
        <f t="shared" si="136"/>
        <v>21.215</v>
      </c>
      <c r="BJ1024" s="9">
        <f t="shared" si="137"/>
        <v>1.3</v>
      </c>
      <c r="BK1024" s="9">
        <f t="shared" si="138"/>
        <v>18.690000000000001</v>
      </c>
      <c r="BL1024" s="9">
        <f t="shared" si="139"/>
        <v>0</v>
      </c>
      <c r="BM1024" s="9">
        <f t="shared" si="140"/>
        <v>83.867000000000004</v>
      </c>
      <c r="BN1024" s="9">
        <f t="shared" si="141"/>
        <v>583.87</v>
      </c>
      <c r="BO1024" s="9">
        <f t="shared" si="142"/>
        <v>0</v>
      </c>
      <c r="BP1024" s="9">
        <f t="shared" si="143"/>
        <v>0</v>
      </c>
    </row>
    <row r="1025" spans="1:68">
      <c r="A1025" s="6">
        <v>44740</v>
      </c>
      <c r="B1025" s="7">
        <v>3141</v>
      </c>
      <c r="C1025" s="8">
        <v>3626.57</v>
      </c>
      <c r="D1025" s="8">
        <v>640.19000000000005</v>
      </c>
      <c r="E1025" s="8"/>
      <c r="F1025" s="8"/>
      <c r="G1025" s="8"/>
      <c r="H1025" s="8"/>
      <c r="I1025" s="8"/>
      <c r="J1025" s="8"/>
      <c r="K1025" s="8"/>
      <c r="L1025" s="8"/>
      <c r="M1025" s="8">
        <v>11.48</v>
      </c>
      <c r="N1025" s="8"/>
      <c r="O1025" s="8"/>
      <c r="P1025" s="8"/>
      <c r="Q1025" s="11"/>
      <c r="R1025" s="11"/>
      <c r="S1025" s="8">
        <v>20.079999999999998</v>
      </c>
      <c r="T1025" s="8">
        <v>32.049999999999997</v>
      </c>
      <c r="U1025" s="8">
        <v>32.04</v>
      </c>
      <c r="V1025" s="8"/>
      <c r="W1025" s="8"/>
      <c r="X1025" s="8"/>
      <c r="Y1025" s="8"/>
      <c r="Z1025" s="8"/>
      <c r="AA1025" s="8"/>
      <c r="AB1025" s="8"/>
      <c r="AC1025" s="8">
        <v>17.079999999999998</v>
      </c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11"/>
      <c r="AQ1025" s="8"/>
      <c r="AR1025" s="8"/>
      <c r="AS1025" s="8"/>
      <c r="AT1025" s="8">
        <v>2810.18</v>
      </c>
      <c r="AU1025" s="8"/>
      <c r="AV1025" s="8"/>
      <c r="AW1025" s="8"/>
      <c r="AX1025" s="8"/>
      <c r="AY1025" s="8"/>
      <c r="AZ1025" s="8"/>
      <c r="BA1025" s="8">
        <v>97.74</v>
      </c>
      <c r="BB1025" s="8"/>
      <c r="BC1025" s="8"/>
      <c r="BD1025" s="8"/>
      <c r="BE1025" s="8"/>
      <c r="BF1025" s="8">
        <v>298.88</v>
      </c>
      <c r="BG1025" s="8">
        <v>222.17</v>
      </c>
      <c r="BH1025" s="9">
        <f t="shared" si="135"/>
        <v>4266.76</v>
      </c>
      <c r="BI1025" s="9">
        <f t="shared" si="136"/>
        <v>11.48</v>
      </c>
      <c r="BJ1025" s="9">
        <f t="shared" si="137"/>
        <v>20.079999999999998</v>
      </c>
      <c r="BK1025" s="9">
        <f t="shared" si="138"/>
        <v>64.09</v>
      </c>
      <c r="BL1025" s="9">
        <f t="shared" si="139"/>
        <v>0</v>
      </c>
      <c r="BM1025" s="9">
        <f t="shared" si="140"/>
        <v>17.079999999999998</v>
      </c>
      <c r="BN1025" s="9">
        <f t="shared" si="141"/>
        <v>2810.18</v>
      </c>
      <c r="BO1025" s="9">
        <f t="shared" si="142"/>
        <v>97.74</v>
      </c>
      <c r="BP1025" s="9">
        <f t="shared" si="143"/>
        <v>298.88</v>
      </c>
    </row>
    <row r="1026" spans="1:68">
      <c r="A1026" s="6">
        <v>44740</v>
      </c>
      <c r="B1026" s="7">
        <v>3029</v>
      </c>
      <c r="C1026" s="8"/>
      <c r="D1026" s="8">
        <f>98.68+721.64+139.72</f>
        <v>960.04</v>
      </c>
      <c r="E1026" s="8"/>
      <c r="F1026" s="8">
        <f>98.3+507.38+69.31</f>
        <v>674.99</v>
      </c>
      <c r="G1026" s="8"/>
      <c r="H1026" s="8"/>
      <c r="I1026" s="8">
        <f>582.05+3005.12+411.92</f>
        <v>3999.09</v>
      </c>
      <c r="J1026" s="8"/>
      <c r="K1026" s="8"/>
      <c r="L1026" s="8"/>
      <c r="M1026" s="8"/>
      <c r="N1026" s="8">
        <f>6.31+32.62+4.48</f>
        <v>43.41</v>
      </c>
      <c r="O1026" s="8"/>
      <c r="P1026" s="8"/>
      <c r="Q1026" s="11"/>
      <c r="R1026" s="11"/>
      <c r="S1026" s="8">
        <f>0.49+2.53+0.35</f>
        <v>3.3699999999999997</v>
      </c>
      <c r="T1026" s="8"/>
      <c r="U1026" s="8"/>
      <c r="V1026" s="8"/>
      <c r="W1026" s="8">
        <v>57.594000000000001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>
        <f>2.83+14.73+2.01</f>
        <v>19.57</v>
      </c>
      <c r="AN1026" s="8">
        <v>28.215</v>
      </c>
      <c r="AO1026" s="8"/>
      <c r="AP1026" s="11"/>
      <c r="AQ1026" s="8"/>
      <c r="AR1026" s="8">
        <v>172.07</v>
      </c>
      <c r="AS1026" s="8"/>
      <c r="AT1026" s="8">
        <f>310.66+1606.64+220.64</f>
        <v>2137.94</v>
      </c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>
        <f>21.65+111.97+15.72</f>
        <v>149.34</v>
      </c>
      <c r="BH1026" s="9">
        <f t="shared" si="135"/>
        <v>5634.12</v>
      </c>
      <c r="BI1026" s="9">
        <f t="shared" si="136"/>
        <v>43.41</v>
      </c>
      <c r="BJ1026" s="9">
        <f t="shared" si="137"/>
        <v>3.3699999999999997</v>
      </c>
      <c r="BK1026" s="9">
        <f t="shared" si="138"/>
        <v>57.594000000000001</v>
      </c>
      <c r="BL1026" s="9">
        <f t="shared" si="139"/>
        <v>0</v>
      </c>
      <c r="BM1026" s="9">
        <f t="shared" si="140"/>
        <v>219.85499999999999</v>
      </c>
      <c r="BN1026" s="9">
        <f t="shared" si="141"/>
        <v>2137.94</v>
      </c>
      <c r="BO1026" s="9">
        <f t="shared" si="142"/>
        <v>0</v>
      </c>
      <c r="BP1026" s="9">
        <f t="shared" si="143"/>
        <v>0</v>
      </c>
    </row>
    <row r="1027" spans="1:68">
      <c r="A1027" s="6">
        <v>44741</v>
      </c>
      <c r="B1027" s="7">
        <v>3101</v>
      </c>
      <c r="C1027" s="8">
        <v>663.57</v>
      </c>
      <c r="D1027" s="8"/>
      <c r="E1027" s="8"/>
      <c r="F1027" s="8"/>
      <c r="G1027" s="8"/>
      <c r="H1027" s="8"/>
      <c r="I1027" s="8"/>
      <c r="J1027" s="8"/>
      <c r="K1027" s="8"/>
      <c r="L1027" s="8"/>
      <c r="M1027" s="8">
        <v>1.33</v>
      </c>
      <c r="N1027" s="8"/>
      <c r="O1027" s="8"/>
      <c r="P1027" s="8"/>
      <c r="Q1027" s="11"/>
      <c r="R1027" s="11"/>
      <c r="S1027" s="8">
        <v>3.87</v>
      </c>
      <c r="T1027" s="8"/>
      <c r="U1027" s="8">
        <v>10.67</v>
      </c>
      <c r="V1027" s="8"/>
      <c r="W1027" s="8"/>
      <c r="X1027" s="8"/>
      <c r="Y1027" s="8"/>
      <c r="Z1027" s="8"/>
      <c r="AA1027" s="8"/>
      <c r="AB1027" s="8"/>
      <c r="AC1027" s="8">
        <v>2.66</v>
      </c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11"/>
      <c r="AQ1027" s="8"/>
      <c r="AR1027" s="8"/>
      <c r="AS1027" s="8"/>
      <c r="AT1027" s="8">
        <v>448</v>
      </c>
      <c r="AU1027" s="8"/>
      <c r="AV1027" s="8"/>
      <c r="AW1027" s="8">
        <v>14.2</v>
      </c>
      <c r="AX1027" s="8"/>
      <c r="AY1027" s="8"/>
      <c r="AZ1027" s="8"/>
      <c r="BA1027" s="8"/>
      <c r="BB1027" s="8"/>
      <c r="BC1027" s="8"/>
      <c r="BD1027" s="8"/>
      <c r="BE1027" s="8"/>
      <c r="BF1027" s="8">
        <v>86.55</v>
      </c>
      <c r="BG1027" s="8">
        <v>34.28</v>
      </c>
      <c r="BH1027" s="9">
        <f t="shared" si="135"/>
        <v>663.57</v>
      </c>
      <c r="BI1027" s="9">
        <f t="shared" si="136"/>
        <v>1.33</v>
      </c>
      <c r="BJ1027" s="9">
        <f t="shared" si="137"/>
        <v>3.87</v>
      </c>
      <c r="BK1027" s="9">
        <f t="shared" si="138"/>
        <v>10.67</v>
      </c>
      <c r="BL1027" s="9">
        <f t="shared" si="139"/>
        <v>0</v>
      </c>
      <c r="BM1027" s="9">
        <f t="shared" si="140"/>
        <v>2.66</v>
      </c>
      <c r="BN1027" s="9">
        <f t="shared" si="141"/>
        <v>448</v>
      </c>
      <c r="BO1027" s="9">
        <f t="shared" si="142"/>
        <v>14.2</v>
      </c>
      <c r="BP1027" s="9">
        <f t="shared" si="143"/>
        <v>86.55</v>
      </c>
    </row>
    <row r="1028" spans="1:68">
      <c r="A1028" s="6">
        <v>44741</v>
      </c>
      <c r="B1028" s="7">
        <v>8214</v>
      </c>
      <c r="C1028" s="8">
        <v>416.68</v>
      </c>
      <c r="D1028" s="8"/>
      <c r="E1028" s="8"/>
      <c r="F1028" s="8"/>
      <c r="G1028" s="8">
        <v>625.03</v>
      </c>
      <c r="H1028" s="8"/>
      <c r="I1028" s="8"/>
      <c r="J1028" s="8"/>
      <c r="K1028" s="8"/>
      <c r="L1028" s="8"/>
      <c r="M1028" s="8">
        <v>0.56999999999999995</v>
      </c>
      <c r="N1028" s="8"/>
      <c r="O1028" s="8"/>
      <c r="P1028" s="8"/>
      <c r="Q1028" s="11"/>
      <c r="R1028" s="11"/>
      <c r="S1028" s="8">
        <v>5.5</v>
      </c>
      <c r="T1028" s="8"/>
      <c r="U1028" s="8">
        <v>3.34</v>
      </c>
      <c r="V1028" s="8">
        <v>10.199999999999999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11"/>
      <c r="AQ1028" s="8"/>
      <c r="AR1028" s="8"/>
      <c r="AS1028" s="8"/>
      <c r="AT1028" s="8">
        <v>418.94</v>
      </c>
      <c r="AU1028" s="8"/>
      <c r="AV1028" s="8"/>
      <c r="AW1028" s="8">
        <v>26.86</v>
      </c>
      <c r="AX1028" s="8"/>
      <c r="AY1028" s="8"/>
      <c r="AZ1028" s="8"/>
      <c r="BA1028" s="8"/>
      <c r="BB1028" s="8"/>
      <c r="BC1028" s="8"/>
      <c r="BD1028" s="8"/>
      <c r="BE1028" s="8"/>
      <c r="BF1028" s="8">
        <v>33.32</v>
      </c>
      <c r="BG1028" s="8">
        <v>31.19</v>
      </c>
      <c r="BH1028" s="9">
        <f t="shared" ref="BH1028:BH1091" si="144">SUM(C1028:L1028)</f>
        <v>1041.71</v>
      </c>
      <c r="BI1028" s="9">
        <f t="shared" ref="BI1028:BI1091" si="145">SUM(M1028:R1028)</f>
        <v>0.56999999999999995</v>
      </c>
      <c r="BJ1028" s="9">
        <f t="shared" ref="BJ1028:BJ1091" si="146">SUM(S1028)</f>
        <v>5.5</v>
      </c>
      <c r="BK1028" s="9">
        <f t="shared" ref="BK1028:BK1091" si="147">SUM(T1028:Y1028)</f>
        <v>13.54</v>
      </c>
      <c r="BL1028" s="9">
        <f t="shared" ref="BL1028:BL1091" si="148">SUM(Z1028:AA1028)</f>
        <v>0</v>
      </c>
      <c r="BM1028" s="9">
        <f t="shared" ref="BM1028:BM1091" si="149">SUM(AB1028:AS1028)</f>
        <v>0</v>
      </c>
      <c r="BN1028" s="9">
        <f t="shared" ref="BN1028:BN1091" si="150">SUM(AT1028:AU1028)</f>
        <v>418.94</v>
      </c>
      <c r="BO1028" s="9">
        <f t="shared" ref="BO1028:BO1091" si="151">SUM(AV1028:BE1028)</f>
        <v>26.86</v>
      </c>
      <c r="BP1028" s="9">
        <f t="shared" ref="BP1028:BP1091" si="152">SUM(BF1028)</f>
        <v>33.32</v>
      </c>
    </row>
    <row r="1029" spans="1:68">
      <c r="A1029" s="6">
        <v>44741</v>
      </c>
      <c r="B1029" s="7">
        <v>3601</v>
      </c>
      <c r="C1029" s="8">
        <v>328.8</v>
      </c>
      <c r="D1029" s="8"/>
      <c r="E1029" s="8"/>
      <c r="F1029" s="8"/>
      <c r="G1029" s="8">
        <v>492.95</v>
      </c>
      <c r="H1029" s="8"/>
      <c r="I1029" s="8"/>
      <c r="J1029" s="8"/>
      <c r="K1029" s="8"/>
      <c r="L1029" s="8"/>
      <c r="M1029" s="8">
        <v>0.49</v>
      </c>
      <c r="N1029" s="8"/>
      <c r="O1029" s="8"/>
      <c r="P1029" s="8"/>
      <c r="Q1029" s="11"/>
      <c r="R1029" s="11"/>
      <c r="S1029" s="8">
        <v>4.1399999999999997</v>
      </c>
      <c r="T1029" s="8"/>
      <c r="U1029" s="8">
        <v>4.95</v>
      </c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11"/>
      <c r="AQ1029" s="8"/>
      <c r="AR1029" s="8"/>
      <c r="AS1029" s="8"/>
      <c r="AT1029" s="8">
        <v>401.12</v>
      </c>
      <c r="AU1029" s="8"/>
      <c r="AV1029" s="8"/>
      <c r="AW1029" s="8">
        <v>24.943000000000001</v>
      </c>
      <c r="AX1029" s="8"/>
      <c r="AY1029" s="8"/>
      <c r="AZ1029" s="8"/>
      <c r="BA1029" s="8"/>
      <c r="BB1029" s="8"/>
      <c r="BC1029" s="8"/>
      <c r="BD1029" s="8"/>
      <c r="BE1029" s="8"/>
      <c r="BF1029" s="8">
        <v>45.75</v>
      </c>
      <c r="BG1029" s="8">
        <v>30.48</v>
      </c>
      <c r="BH1029" s="9">
        <f t="shared" si="144"/>
        <v>821.75</v>
      </c>
      <c r="BI1029" s="9">
        <f t="shared" si="145"/>
        <v>0.49</v>
      </c>
      <c r="BJ1029" s="9">
        <f t="shared" si="146"/>
        <v>4.1399999999999997</v>
      </c>
      <c r="BK1029" s="9">
        <f t="shared" si="147"/>
        <v>4.95</v>
      </c>
      <c r="BL1029" s="9">
        <f t="shared" si="148"/>
        <v>0</v>
      </c>
      <c r="BM1029" s="9">
        <f t="shared" si="149"/>
        <v>0</v>
      </c>
      <c r="BN1029" s="9">
        <f t="shared" si="150"/>
        <v>401.12</v>
      </c>
      <c r="BO1029" s="9">
        <f t="shared" si="151"/>
        <v>24.943000000000001</v>
      </c>
      <c r="BP1029" s="9">
        <f t="shared" si="152"/>
        <v>45.75</v>
      </c>
    </row>
    <row r="1030" spans="1:68">
      <c r="A1030" s="6">
        <v>44741</v>
      </c>
      <c r="B1030" s="7">
        <v>3016</v>
      </c>
      <c r="C1030" s="8"/>
      <c r="D1030" s="8">
        <v>3088.28</v>
      </c>
      <c r="E1030" s="8"/>
      <c r="F1030" s="8"/>
      <c r="G1030" s="8"/>
      <c r="H1030" s="8"/>
      <c r="I1030" s="8">
        <v>2848.68</v>
      </c>
      <c r="J1030" s="8"/>
      <c r="K1030" s="8"/>
      <c r="L1030" s="8"/>
      <c r="M1030" s="8"/>
      <c r="N1030" s="8">
        <v>35.65</v>
      </c>
      <c r="O1030" s="8"/>
      <c r="P1030" s="8"/>
      <c r="Q1030" s="11"/>
      <c r="R1030" s="11"/>
      <c r="S1030" s="8">
        <v>4.1500000000000004</v>
      </c>
      <c r="T1030" s="8">
        <v>59.42</v>
      </c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>
        <v>23.63</v>
      </c>
      <c r="AN1030" s="8">
        <v>71.69</v>
      </c>
      <c r="AO1030" s="8"/>
      <c r="AP1030" s="11"/>
      <c r="AQ1030" s="8"/>
      <c r="AR1030" s="8">
        <v>148.72399999999999</v>
      </c>
      <c r="AS1030" s="8"/>
      <c r="AT1030" s="8">
        <v>2208.3200000000002</v>
      </c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>
        <v>161.22999999999999</v>
      </c>
      <c r="BH1030" s="9">
        <f t="shared" si="144"/>
        <v>5936.96</v>
      </c>
      <c r="BI1030" s="9">
        <f t="shared" si="145"/>
        <v>35.65</v>
      </c>
      <c r="BJ1030" s="9">
        <f t="shared" si="146"/>
        <v>4.1500000000000004</v>
      </c>
      <c r="BK1030" s="9">
        <f t="shared" si="147"/>
        <v>59.42</v>
      </c>
      <c r="BL1030" s="9">
        <f t="shared" si="148"/>
        <v>0</v>
      </c>
      <c r="BM1030" s="9">
        <f t="shared" si="149"/>
        <v>244.04399999999998</v>
      </c>
      <c r="BN1030" s="9">
        <f t="shared" si="150"/>
        <v>2208.3200000000002</v>
      </c>
      <c r="BO1030" s="9">
        <f t="shared" si="151"/>
        <v>0</v>
      </c>
      <c r="BP1030" s="9">
        <f t="shared" si="152"/>
        <v>0</v>
      </c>
    </row>
    <row r="1031" spans="1:68">
      <c r="A1031" s="6">
        <v>44741</v>
      </c>
      <c r="B1031" s="7">
        <v>3141</v>
      </c>
      <c r="C1031" s="8">
        <v>2426.46</v>
      </c>
      <c r="D1031" s="8">
        <v>428.3</v>
      </c>
      <c r="E1031" s="8"/>
      <c r="F1031" s="8"/>
      <c r="G1031" s="8"/>
      <c r="H1031" s="8"/>
      <c r="I1031" s="8"/>
      <c r="J1031" s="8"/>
      <c r="K1031" s="8"/>
      <c r="L1031" s="8"/>
      <c r="M1031" s="8">
        <v>7.71</v>
      </c>
      <c r="N1031" s="8"/>
      <c r="O1031" s="8"/>
      <c r="P1031" s="8"/>
      <c r="Q1031" s="11"/>
      <c r="R1031" s="11"/>
      <c r="S1031" s="8">
        <v>13.43</v>
      </c>
      <c r="T1031" s="8">
        <v>21.44</v>
      </c>
      <c r="U1031" s="8">
        <v>21.43</v>
      </c>
      <c r="V1031" s="8"/>
      <c r="W1031" s="8"/>
      <c r="X1031" s="8"/>
      <c r="Y1031" s="8"/>
      <c r="Z1031" s="8"/>
      <c r="AA1031" s="8"/>
      <c r="AB1031" s="8"/>
      <c r="AC1031" s="8">
        <v>11.43</v>
      </c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11"/>
      <c r="AQ1031" s="8"/>
      <c r="AR1031" s="8"/>
      <c r="AS1031" s="8"/>
      <c r="AT1031" s="8">
        <v>1904.02</v>
      </c>
      <c r="AU1031" s="8"/>
      <c r="AV1031" s="8"/>
      <c r="AW1031" s="8"/>
      <c r="AX1031" s="8"/>
      <c r="AY1031" s="8"/>
      <c r="AZ1031" s="8"/>
      <c r="BA1031" s="8">
        <v>65.45</v>
      </c>
      <c r="BB1031" s="8"/>
      <c r="BC1031" s="8"/>
      <c r="BD1031" s="8"/>
      <c r="BE1031" s="8"/>
      <c r="BF1031" s="8">
        <v>200.03</v>
      </c>
      <c r="BG1031" s="8">
        <v>148.77000000000001</v>
      </c>
      <c r="BH1031" s="9">
        <f t="shared" si="144"/>
        <v>2854.76</v>
      </c>
      <c r="BI1031" s="9">
        <f t="shared" si="145"/>
        <v>7.71</v>
      </c>
      <c r="BJ1031" s="9">
        <f t="shared" si="146"/>
        <v>13.43</v>
      </c>
      <c r="BK1031" s="9">
        <f t="shared" si="147"/>
        <v>42.870000000000005</v>
      </c>
      <c r="BL1031" s="9">
        <f t="shared" si="148"/>
        <v>0</v>
      </c>
      <c r="BM1031" s="9">
        <f t="shared" si="149"/>
        <v>11.43</v>
      </c>
      <c r="BN1031" s="9">
        <f t="shared" si="150"/>
        <v>1904.02</v>
      </c>
      <c r="BO1031" s="9">
        <f t="shared" si="151"/>
        <v>65.45</v>
      </c>
      <c r="BP1031" s="9">
        <f t="shared" si="152"/>
        <v>200.03</v>
      </c>
    </row>
    <row r="1032" spans="1:68">
      <c r="A1032" s="6">
        <v>44741</v>
      </c>
      <c r="B1032" s="7">
        <v>3106</v>
      </c>
      <c r="C1032" s="8">
        <v>4076.84</v>
      </c>
      <c r="D1032" s="8"/>
      <c r="E1032" s="8"/>
      <c r="F1032" s="8"/>
      <c r="G1032" s="8"/>
      <c r="H1032" s="8"/>
      <c r="I1032" s="8"/>
      <c r="J1032" s="8"/>
      <c r="K1032" s="8"/>
      <c r="L1032" s="8"/>
      <c r="M1032" s="8">
        <v>10.98</v>
      </c>
      <c r="N1032" s="8"/>
      <c r="O1032" s="8"/>
      <c r="P1032" s="8"/>
      <c r="Q1032" s="11"/>
      <c r="R1032" s="11"/>
      <c r="S1032" s="8">
        <v>12.27</v>
      </c>
      <c r="T1032" s="8">
        <v>51.78</v>
      </c>
      <c r="U1032" s="8"/>
      <c r="V1032" s="8"/>
      <c r="W1032" s="8"/>
      <c r="X1032" s="8"/>
      <c r="Y1032" s="8"/>
      <c r="Z1032" s="8"/>
      <c r="AA1032" s="8"/>
      <c r="AB1032" s="8"/>
      <c r="AC1032" s="8">
        <v>10.199999999999999</v>
      </c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11"/>
      <c r="AQ1032" s="8"/>
      <c r="AR1032" s="8"/>
      <c r="AS1032" s="8"/>
      <c r="AT1032" s="8">
        <v>2338.25</v>
      </c>
      <c r="AU1032" s="8"/>
      <c r="AV1032" s="8"/>
      <c r="AW1032" s="8"/>
      <c r="AX1032" s="8">
        <v>5.0999999999999996</v>
      </c>
      <c r="AY1032" s="8"/>
      <c r="AZ1032" s="8"/>
      <c r="BA1032" s="8"/>
      <c r="BB1032" s="8"/>
      <c r="BC1032" s="8"/>
      <c r="BD1032" s="8"/>
      <c r="BE1032" s="8"/>
      <c r="BF1032" s="8"/>
      <c r="BG1032" s="8">
        <v>175.61</v>
      </c>
      <c r="BH1032" s="9">
        <f t="shared" si="144"/>
        <v>4076.84</v>
      </c>
      <c r="BI1032" s="9">
        <f t="shared" si="145"/>
        <v>10.98</v>
      </c>
      <c r="BJ1032" s="9">
        <f t="shared" si="146"/>
        <v>12.27</v>
      </c>
      <c r="BK1032" s="9">
        <f t="shared" si="147"/>
        <v>51.78</v>
      </c>
      <c r="BL1032" s="9">
        <f t="shared" si="148"/>
        <v>0</v>
      </c>
      <c r="BM1032" s="9">
        <f t="shared" si="149"/>
        <v>10.199999999999999</v>
      </c>
      <c r="BN1032" s="9">
        <f t="shared" si="150"/>
        <v>2338.25</v>
      </c>
      <c r="BO1032" s="9">
        <f t="shared" si="151"/>
        <v>5.0999999999999996</v>
      </c>
      <c r="BP1032" s="9">
        <f t="shared" si="152"/>
        <v>0</v>
      </c>
    </row>
    <row r="1033" spans="1:68">
      <c r="A1033" s="6">
        <v>44741</v>
      </c>
      <c r="B1033" s="7">
        <v>3135</v>
      </c>
      <c r="C1033" s="8">
        <v>1044.2</v>
      </c>
      <c r="D1033" s="8">
        <v>146.44</v>
      </c>
      <c r="E1033" s="8"/>
      <c r="F1033" s="8"/>
      <c r="G1033" s="8"/>
      <c r="H1033" s="8">
        <v>493.69</v>
      </c>
      <c r="I1033" s="8"/>
      <c r="J1033" s="8"/>
      <c r="K1033" s="8"/>
      <c r="L1033" s="8"/>
      <c r="M1033" s="8">
        <v>3.37</v>
      </c>
      <c r="N1033" s="8"/>
      <c r="O1033" s="8"/>
      <c r="P1033" s="8"/>
      <c r="Q1033" s="11"/>
      <c r="R1033" s="11"/>
      <c r="S1033" s="8">
        <v>6.73</v>
      </c>
      <c r="T1033" s="8">
        <v>10.24</v>
      </c>
      <c r="U1033" s="8">
        <v>8.75</v>
      </c>
      <c r="V1033" s="8"/>
      <c r="W1033" s="8"/>
      <c r="X1033" s="8"/>
      <c r="Y1033" s="8"/>
      <c r="Z1033" s="8"/>
      <c r="AA1033" s="8"/>
      <c r="AB1033" s="8"/>
      <c r="AC1033" s="8">
        <v>5.85</v>
      </c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11"/>
      <c r="AQ1033" s="8"/>
      <c r="AR1033" s="8"/>
      <c r="AS1033" s="8"/>
      <c r="AT1033" s="8">
        <v>1032.3800000000001</v>
      </c>
      <c r="AU1033" s="8"/>
      <c r="AV1033" s="8"/>
      <c r="AW1033" s="8"/>
      <c r="AX1033" s="8"/>
      <c r="AY1033" s="8"/>
      <c r="AZ1033" s="8"/>
      <c r="BA1033" s="8">
        <v>33.35</v>
      </c>
      <c r="BB1033" s="8"/>
      <c r="BC1033" s="8"/>
      <c r="BD1033" s="8"/>
      <c r="BE1033" s="8"/>
      <c r="BF1033" s="8">
        <v>65.87</v>
      </c>
      <c r="BG1033" s="8">
        <v>77.510000000000005</v>
      </c>
      <c r="BH1033" s="9">
        <f t="shared" si="144"/>
        <v>1684.3300000000002</v>
      </c>
      <c r="BI1033" s="9">
        <f t="shared" si="145"/>
        <v>3.37</v>
      </c>
      <c r="BJ1033" s="9">
        <f t="shared" si="146"/>
        <v>6.73</v>
      </c>
      <c r="BK1033" s="9">
        <f t="shared" si="147"/>
        <v>18.990000000000002</v>
      </c>
      <c r="BL1033" s="9">
        <f t="shared" si="148"/>
        <v>0</v>
      </c>
      <c r="BM1033" s="9">
        <f t="shared" si="149"/>
        <v>5.85</v>
      </c>
      <c r="BN1033" s="9">
        <f t="shared" si="150"/>
        <v>1032.3800000000001</v>
      </c>
      <c r="BO1033" s="9">
        <f t="shared" si="151"/>
        <v>33.35</v>
      </c>
      <c r="BP1033" s="9">
        <f t="shared" si="152"/>
        <v>65.87</v>
      </c>
    </row>
    <row r="1034" spans="1:68">
      <c r="A1034" s="6">
        <v>44742</v>
      </c>
      <c r="B1034" s="7">
        <v>3079</v>
      </c>
      <c r="C1034" s="8"/>
      <c r="D1034" s="8"/>
      <c r="E1034" s="8"/>
      <c r="F1034" s="8">
        <v>337.45</v>
      </c>
      <c r="G1034" s="8"/>
      <c r="H1034" s="8"/>
      <c r="I1034" s="8">
        <v>2728.83</v>
      </c>
      <c r="J1034" s="8"/>
      <c r="K1034" s="8"/>
      <c r="L1034" s="8"/>
      <c r="M1034" s="8"/>
      <c r="N1034" s="8">
        <v>23.01</v>
      </c>
      <c r="O1034" s="8"/>
      <c r="P1034" s="8"/>
      <c r="Q1034" s="11"/>
      <c r="R1034" s="11"/>
      <c r="S1034" s="8">
        <v>1.21</v>
      </c>
      <c r="T1034" s="8">
        <v>30.71</v>
      </c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>
        <v>12.27</v>
      </c>
      <c r="AN1034" s="8">
        <v>30.651</v>
      </c>
      <c r="AO1034" s="8"/>
      <c r="AP1034" s="11"/>
      <c r="AQ1034" s="8"/>
      <c r="AR1034" s="8">
        <v>78.917000000000002</v>
      </c>
      <c r="AS1034" s="8"/>
      <c r="AT1034" s="8">
        <v>1169.27</v>
      </c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>
        <v>84.31</v>
      </c>
      <c r="BH1034" s="9">
        <f t="shared" si="144"/>
        <v>3066.2799999999997</v>
      </c>
      <c r="BI1034" s="9">
        <f t="shared" si="145"/>
        <v>23.01</v>
      </c>
      <c r="BJ1034" s="9">
        <f t="shared" si="146"/>
        <v>1.21</v>
      </c>
      <c r="BK1034" s="9">
        <f t="shared" si="147"/>
        <v>30.71</v>
      </c>
      <c r="BL1034" s="9">
        <f t="shared" si="148"/>
        <v>0</v>
      </c>
      <c r="BM1034" s="9">
        <f t="shared" si="149"/>
        <v>121.83799999999999</v>
      </c>
      <c r="BN1034" s="9">
        <f t="shared" si="150"/>
        <v>1169.27</v>
      </c>
      <c r="BO1034" s="9">
        <f t="shared" si="151"/>
        <v>0</v>
      </c>
      <c r="BP1034" s="9">
        <f t="shared" si="152"/>
        <v>0</v>
      </c>
    </row>
    <row r="1035" spans="1:68">
      <c r="A1035" s="6">
        <v>44742</v>
      </c>
      <c r="B1035" s="7">
        <v>3083</v>
      </c>
      <c r="C1035" s="8"/>
      <c r="D1035" s="8">
        <v>1401.51</v>
      </c>
      <c r="E1035" s="8"/>
      <c r="F1035" s="8"/>
      <c r="G1035" s="8"/>
      <c r="H1035" s="8"/>
      <c r="I1035" s="8">
        <v>3273.28</v>
      </c>
      <c r="J1035" s="8"/>
      <c r="K1035" s="8"/>
      <c r="L1035" s="8"/>
      <c r="M1035" s="8"/>
      <c r="N1035" s="8">
        <v>32.25</v>
      </c>
      <c r="O1035" s="8"/>
      <c r="P1035" s="8"/>
      <c r="Q1035" s="11"/>
      <c r="R1035" s="11"/>
      <c r="S1035" s="8">
        <v>3.26</v>
      </c>
      <c r="T1035" s="8">
        <v>37.36</v>
      </c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>
        <v>18.7</v>
      </c>
      <c r="AN1035" s="8">
        <v>66.838999999999999</v>
      </c>
      <c r="AO1035" s="8"/>
      <c r="AP1035" s="11"/>
      <c r="AQ1035" s="8"/>
      <c r="AR1035" s="8">
        <v>118.64100000000001</v>
      </c>
      <c r="AS1035" s="8"/>
      <c r="AT1035" s="8">
        <v>2125.63</v>
      </c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>
        <v>166.89</v>
      </c>
      <c r="BH1035" s="9">
        <f t="shared" si="144"/>
        <v>4674.79</v>
      </c>
      <c r="BI1035" s="9">
        <f t="shared" si="145"/>
        <v>32.25</v>
      </c>
      <c r="BJ1035" s="9">
        <f t="shared" si="146"/>
        <v>3.26</v>
      </c>
      <c r="BK1035" s="9">
        <f t="shared" si="147"/>
        <v>37.36</v>
      </c>
      <c r="BL1035" s="9">
        <f t="shared" si="148"/>
        <v>0</v>
      </c>
      <c r="BM1035" s="9">
        <f t="shared" si="149"/>
        <v>204.18</v>
      </c>
      <c r="BN1035" s="9">
        <f t="shared" si="150"/>
        <v>2125.63</v>
      </c>
      <c r="BO1035" s="9">
        <f t="shared" si="151"/>
        <v>0</v>
      </c>
      <c r="BP1035" s="9">
        <f t="shared" si="152"/>
        <v>0</v>
      </c>
    </row>
    <row r="1036" spans="1:68">
      <c r="A1036" s="6">
        <v>44742</v>
      </c>
      <c r="B1036" s="7">
        <v>3141</v>
      </c>
      <c r="C1036" s="8">
        <v>2442.29</v>
      </c>
      <c r="D1036" s="8">
        <v>431.04</v>
      </c>
      <c r="E1036" s="8"/>
      <c r="F1036" s="8"/>
      <c r="G1036" s="8"/>
      <c r="H1036" s="8"/>
      <c r="I1036" s="8"/>
      <c r="J1036" s="8"/>
      <c r="K1036" s="8"/>
      <c r="L1036" s="8"/>
      <c r="M1036" s="8">
        <v>7.27</v>
      </c>
      <c r="N1036" s="8"/>
      <c r="O1036" s="8"/>
      <c r="P1036" s="8"/>
      <c r="Q1036" s="11"/>
      <c r="R1036" s="11"/>
      <c r="S1036" s="8">
        <v>13.52</v>
      </c>
      <c r="T1036" s="8">
        <v>21.57</v>
      </c>
      <c r="U1036" s="8">
        <v>21.55</v>
      </c>
      <c r="V1036" s="8"/>
      <c r="W1036" s="8"/>
      <c r="X1036" s="8"/>
      <c r="Y1036" s="8"/>
      <c r="Z1036" s="8"/>
      <c r="AA1036" s="8"/>
      <c r="AB1036" s="8"/>
      <c r="AC1036" s="8">
        <v>11.49</v>
      </c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11"/>
      <c r="AQ1036" s="8"/>
      <c r="AR1036" s="8"/>
      <c r="AS1036" s="8"/>
      <c r="AT1036" s="8">
        <v>1894.44</v>
      </c>
      <c r="AU1036" s="8"/>
      <c r="AV1036" s="8"/>
      <c r="AW1036" s="8"/>
      <c r="AX1036" s="8"/>
      <c r="AY1036" s="8"/>
      <c r="AZ1036" s="8"/>
      <c r="BA1036" s="8">
        <v>65.819999999999993</v>
      </c>
      <c r="BB1036" s="8"/>
      <c r="BC1036" s="8"/>
      <c r="BD1036" s="8"/>
      <c r="BE1036" s="8"/>
      <c r="BF1036" s="8">
        <v>201.29</v>
      </c>
      <c r="BG1036" s="8">
        <v>149.63</v>
      </c>
      <c r="BH1036" s="9">
        <f t="shared" si="144"/>
        <v>2873.33</v>
      </c>
      <c r="BI1036" s="9">
        <f t="shared" si="145"/>
        <v>7.27</v>
      </c>
      <c r="BJ1036" s="9">
        <f t="shared" si="146"/>
        <v>13.52</v>
      </c>
      <c r="BK1036" s="9">
        <f t="shared" si="147"/>
        <v>43.120000000000005</v>
      </c>
      <c r="BL1036" s="9">
        <f t="shared" si="148"/>
        <v>0</v>
      </c>
      <c r="BM1036" s="9">
        <f t="shared" si="149"/>
        <v>11.49</v>
      </c>
      <c r="BN1036" s="9">
        <f t="shared" si="150"/>
        <v>1894.44</v>
      </c>
      <c r="BO1036" s="9">
        <f t="shared" si="151"/>
        <v>65.819999999999993</v>
      </c>
      <c r="BP1036" s="9">
        <f t="shared" si="152"/>
        <v>201.29</v>
      </c>
    </row>
    <row r="1037" spans="1:68">
      <c r="A1037" s="6">
        <v>44742</v>
      </c>
      <c r="B1037" s="7">
        <v>3125</v>
      </c>
      <c r="C1037" s="8">
        <v>673.54</v>
      </c>
      <c r="D1037" s="8"/>
      <c r="E1037" s="8"/>
      <c r="F1037" s="8"/>
      <c r="G1037" s="8"/>
      <c r="H1037" s="8"/>
      <c r="I1037" s="8"/>
      <c r="J1037" s="8"/>
      <c r="K1037" s="8"/>
      <c r="L1037" s="8"/>
      <c r="M1037" s="8">
        <v>1.68</v>
      </c>
      <c r="N1037" s="8"/>
      <c r="O1037" s="8"/>
      <c r="P1037" s="8"/>
      <c r="Q1037" s="11"/>
      <c r="R1037" s="11"/>
      <c r="S1037" s="8">
        <v>2.02</v>
      </c>
      <c r="T1037" s="8">
        <v>8.5500000000000007</v>
      </c>
      <c r="U1037" s="8"/>
      <c r="V1037" s="8"/>
      <c r="W1037" s="8"/>
      <c r="X1037" s="8"/>
      <c r="Y1037" s="8"/>
      <c r="Z1037" s="8"/>
      <c r="AA1037" s="8"/>
      <c r="AB1037" s="8"/>
      <c r="AC1037" s="8">
        <v>2.7</v>
      </c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11"/>
      <c r="AQ1037" s="8"/>
      <c r="AR1037" s="8"/>
      <c r="AS1037" s="8"/>
      <c r="AT1037" s="8">
        <v>386.14</v>
      </c>
      <c r="AU1037" s="8"/>
      <c r="AV1037" s="8">
        <v>10.15</v>
      </c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>
        <v>29.01</v>
      </c>
      <c r="BH1037" s="9">
        <f t="shared" si="144"/>
        <v>673.54</v>
      </c>
      <c r="BI1037" s="9">
        <f t="shared" si="145"/>
        <v>1.68</v>
      </c>
      <c r="BJ1037" s="9">
        <f t="shared" si="146"/>
        <v>2.02</v>
      </c>
      <c r="BK1037" s="9">
        <f t="shared" si="147"/>
        <v>8.5500000000000007</v>
      </c>
      <c r="BL1037" s="9">
        <f t="shared" si="148"/>
        <v>0</v>
      </c>
      <c r="BM1037" s="9">
        <f t="shared" si="149"/>
        <v>2.7</v>
      </c>
      <c r="BN1037" s="9">
        <f t="shared" si="150"/>
        <v>386.14</v>
      </c>
      <c r="BO1037" s="9">
        <f t="shared" si="151"/>
        <v>10.15</v>
      </c>
      <c r="BP1037" s="9">
        <f t="shared" si="152"/>
        <v>0</v>
      </c>
    </row>
    <row r="1038" spans="1:68">
      <c r="A1038" s="6">
        <v>44742</v>
      </c>
      <c r="B1038" s="7">
        <v>3601</v>
      </c>
      <c r="C1038" s="8">
        <v>304.05</v>
      </c>
      <c r="D1038" s="8"/>
      <c r="E1038" s="8"/>
      <c r="F1038" s="8"/>
      <c r="G1038" s="8">
        <v>455.28</v>
      </c>
      <c r="H1038" s="8"/>
      <c r="I1038" s="8"/>
      <c r="J1038" s="8"/>
      <c r="K1038" s="8"/>
      <c r="L1038" s="8"/>
      <c r="M1038" s="8">
        <v>0.9</v>
      </c>
      <c r="N1038" s="8"/>
      <c r="O1038" s="8"/>
      <c r="P1038" s="8"/>
      <c r="Q1038" s="11"/>
      <c r="R1038" s="11"/>
      <c r="S1038" s="8">
        <v>3.83</v>
      </c>
      <c r="T1038" s="8"/>
      <c r="U1038" s="8">
        <v>4.5599999999999996</v>
      </c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11"/>
      <c r="AQ1038" s="8"/>
      <c r="AR1038" s="8"/>
      <c r="AS1038" s="8"/>
      <c r="AT1038" s="8">
        <v>372.14</v>
      </c>
      <c r="AU1038" s="8"/>
      <c r="AV1038" s="8"/>
      <c r="AW1038" s="8">
        <v>23.09</v>
      </c>
      <c r="AX1038" s="8"/>
      <c r="AY1038" s="8"/>
      <c r="AZ1038" s="8"/>
      <c r="BA1038" s="8"/>
      <c r="BB1038" s="8"/>
      <c r="BC1038" s="8"/>
      <c r="BD1038" s="8"/>
      <c r="BE1038" s="8"/>
      <c r="BF1038" s="8">
        <v>42.55</v>
      </c>
      <c r="BG1038" s="8">
        <v>28.18</v>
      </c>
      <c r="BH1038" s="9">
        <f t="shared" si="144"/>
        <v>759.32999999999993</v>
      </c>
      <c r="BI1038" s="9">
        <f t="shared" si="145"/>
        <v>0.9</v>
      </c>
      <c r="BJ1038" s="9">
        <f t="shared" si="146"/>
        <v>3.83</v>
      </c>
      <c r="BK1038" s="9">
        <f t="shared" si="147"/>
        <v>4.5599999999999996</v>
      </c>
      <c r="BL1038" s="9">
        <f t="shared" si="148"/>
        <v>0</v>
      </c>
      <c r="BM1038" s="9">
        <f t="shared" si="149"/>
        <v>0</v>
      </c>
      <c r="BN1038" s="9">
        <f t="shared" si="150"/>
        <v>372.14</v>
      </c>
      <c r="BO1038" s="9">
        <f t="shared" si="151"/>
        <v>23.09</v>
      </c>
      <c r="BP1038" s="9">
        <f t="shared" si="152"/>
        <v>42.55</v>
      </c>
    </row>
    <row r="1039" spans="1:68">
      <c r="A1039" s="6">
        <v>44742</v>
      </c>
      <c r="B1039" s="7">
        <v>3402</v>
      </c>
      <c r="C1039" s="8">
        <v>436.21</v>
      </c>
      <c r="D1039" s="8">
        <v>290.26</v>
      </c>
      <c r="E1039" s="8"/>
      <c r="F1039" s="8"/>
      <c r="G1039" s="8"/>
      <c r="H1039" s="8"/>
      <c r="I1039" s="8"/>
      <c r="J1039" s="8"/>
      <c r="K1039" s="8"/>
      <c r="L1039" s="8"/>
      <c r="M1039" s="8">
        <v>1.84</v>
      </c>
      <c r="N1039" s="8"/>
      <c r="O1039" s="8"/>
      <c r="P1039" s="8"/>
      <c r="Q1039" s="11"/>
      <c r="R1039" s="11"/>
      <c r="S1039" s="8">
        <v>1.67</v>
      </c>
      <c r="T1039" s="8">
        <v>7.28</v>
      </c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11"/>
      <c r="AQ1039" s="8"/>
      <c r="AR1039" s="8"/>
      <c r="AS1039" s="8"/>
      <c r="AT1039" s="8">
        <v>343.69</v>
      </c>
      <c r="AU1039" s="8"/>
      <c r="AV1039" s="8"/>
      <c r="AW1039" s="8"/>
      <c r="AX1039" s="8"/>
      <c r="AY1039" s="8"/>
      <c r="AZ1039" s="8"/>
      <c r="BA1039" s="8">
        <v>3.25</v>
      </c>
      <c r="BB1039" s="8"/>
      <c r="BC1039" s="8"/>
      <c r="BD1039" s="8"/>
      <c r="BE1039" s="8"/>
      <c r="BF1039" s="8"/>
      <c r="BG1039" s="8">
        <v>24.04</v>
      </c>
      <c r="BH1039" s="9">
        <f t="shared" si="144"/>
        <v>726.47</v>
      </c>
      <c r="BI1039" s="9">
        <f t="shared" si="145"/>
        <v>1.84</v>
      </c>
      <c r="BJ1039" s="9">
        <f t="shared" si="146"/>
        <v>1.67</v>
      </c>
      <c r="BK1039" s="9">
        <f t="shared" si="147"/>
        <v>7.28</v>
      </c>
      <c r="BL1039" s="9">
        <f t="shared" si="148"/>
        <v>0</v>
      </c>
      <c r="BM1039" s="9">
        <f t="shared" si="149"/>
        <v>0</v>
      </c>
      <c r="BN1039" s="9">
        <f t="shared" si="150"/>
        <v>343.69</v>
      </c>
      <c r="BO1039" s="9">
        <f t="shared" si="151"/>
        <v>3.25</v>
      </c>
      <c r="BP1039" s="9">
        <f t="shared" si="152"/>
        <v>0</v>
      </c>
    </row>
    <row r="1040" spans="1:68">
      <c r="A1040" s="6">
        <v>44742</v>
      </c>
      <c r="B1040" s="7">
        <v>3405</v>
      </c>
      <c r="C1040" s="8">
        <v>563.97</v>
      </c>
      <c r="D1040" s="8">
        <v>143.32</v>
      </c>
      <c r="E1040" s="8"/>
      <c r="F1040" s="8"/>
      <c r="G1040" s="8"/>
      <c r="H1040" s="8"/>
      <c r="I1040" s="8"/>
      <c r="J1040" s="8"/>
      <c r="K1040" s="8"/>
      <c r="L1040" s="8"/>
      <c r="M1040" s="8">
        <v>1.64</v>
      </c>
      <c r="N1040" s="8"/>
      <c r="O1040" s="8"/>
      <c r="P1040" s="8"/>
      <c r="Q1040" s="11"/>
      <c r="R1040" s="11"/>
      <c r="S1040" s="8">
        <v>1.62</v>
      </c>
      <c r="T1040" s="8"/>
      <c r="U1040" s="8"/>
      <c r="V1040" s="8"/>
      <c r="W1040" s="8"/>
      <c r="X1040" s="8">
        <v>8.5820000000000007</v>
      </c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11"/>
      <c r="AQ1040" s="8"/>
      <c r="AR1040" s="8"/>
      <c r="AS1040" s="8"/>
      <c r="AT1040" s="8">
        <v>354.78</v>
      </c>
      <c r="AU1040" s="8"/>
      <c r="AV1040" s="8"/>
      <c r="AW1040" s="8"/>
      <c r="AX1040" s="8"/>
      <c r="AY1040" s="8"/>
      <c r="AZ1040" s="8"/>
      <c r="BA1040" s="8">
        <v>3.18</v>
      </c>
      <c r="BB1040" s="8"/>
      <c r="BC1040" s="8"/>
      <c r="BD1040" s="8"/>
      <c r="BE1040" s="8"/>
      <c r="BF1040" s="8"/>
      <c r="BG1040" s="8">
        <v>24.15</v>
      </c>
      <c r="BH1040" s="9">
        <f t="shared" si="144"/>
        <v>707.29</v>
      </c>
      <c r="BI1040" s="9">
        <f t="shared" si="145"/>
        <v>1.64</v>
      </c>
      <c r="BJ1040" s="9">
        <f t="shared" si="146"/>
        <v>1.62</v>
      </c>
      <c r="BK1040" s="9">
        <f t="shared" si="147"/>
        <v>8.5820000000000007</v>
      </c>
      <c r="BL1040" s="9">
        <f t="shared" si="148"/>
        <v>0</v>
      </c>
      <c r="BM1040" s="9">
        <f t="shared" si="149"/>
        <v>0</v>
      </c>
      <c r="BN1040" s="9">
        <f t="shared" si="150"/>
        <v>354.78</v>
      </c>
      <c r="BO1040" s="9">
        <f t="shared" si="151"/>
        <v>3.18</v>
      </c>
      <c r="BP1040" s="9">
        <f t="shared" si="152"/>
        <v>0</v>
      </c>
    </row>
    <row r="1041" spans="1:68">
      <c r="A1041" s="6">
        <v>44742</v>
      </c>
      <c r="B1041" s="7">
        <v>3501</v>
      </c>
      <c r="C1041" s="8">
        <v>290.25</v>
      </c>
      <c r="D1041" s="8">
        <v>193.4</v>
      </c>
      <c r="E1041" s="8"/>
      <c r="F1041" s="8"/>
      <c r="G1041" s="8"/>
      <c r="H1041" s="8"/>
      <c r="I1041" s="8"/>
      <c r="J1041" s="8"/>
      <c r="K1041" s="8"/>
      <c r="L1041" s="8"/>
      <c r="M1041" s="8">
        <v>0.81</v>
      </c>
      <c r="N1041" s="8"/>
      <c r="O1041" s="8"/>
      <c r="P1041" s="8"/>
      <c r="Q1041" s="11"/>
      <c r="R1041" s="11"/>
      <c r="S1041" s="8">
        <v>2.27</v>
      </c>
      <c r="T1041" s="8"/>
      <c r="U1041" s="8">
        <v>3.39</v>
      </c>
      <c r="V1041" s="8"/>
      <c r="W1041" s="8"/>
      <c r="X1041" s="8"/>
      <c r="Y1041" s="8"/>
      <c r="Z1041" s="8">
        <v>104.15</v>
      </c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11"/>
      <c r="AQ1041" s="8"/>
      <c r="AR1041" s="8"/>
      <c r="AS1041" s="8"/>
      <c r="AT1041" s="8">
        <v>267.36</v>
      </c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>
        <v>9.68</v>
      </c>
      <c r="BG1041" s="8">
        <v>20.27</v>
      </c>
      <c r="BH1041" s="9">
        <f t="shared" si="144"/>
        <v>483.65</v>
      </c>
      <c r="BI1041" s="9">
        <f t="shared" si="145"/>
        <v>0.81</v>
      </c>
      <c r="BJ1041" s="9">
        <f t="shared" si="146"/>
        <v>2.27</v>
      </c>
      <c r="BK1041" s="9">
        <f t="shared" si="147"/>
        <v>3.39</v>
      </c>
      <c r="BL1041" s="9">
        <f t="shared" si="148"/>
        <v>104.15</v>
      </c>
      <c r="BM1041" s="9">
        <f t="shared" si="149"/>
        <v>0</v>
      </c>
      <c r="BN1041" s="9">
        <f t="shared" si="150"/>
        <v>267.36</v>
      </c>
      <c r="BO1041" s="9">
        <f t="shared" si="151"/>
        <v>0</v>
      </c>
      <c r="BP1041" s="9">
        <f t="shared" si="152"/>
        <v>9.68</v>
      </c>
    </row>
    <row r="1042" spans="1:68">
      <c r="A1042" s="6">
        <v>44743</v>
      </c>
      <c r="B1042" s="7">
        <v>3028</v>
      </c>
      <c r="C1042" s="8"/>
      <c r="D1042" s="8">
        <v>405.79</v>
      </c>
      <c r="E1042" s="8"/>
      <c r="F1042" s="8">
        <v>371.28</v>
      </c>
      <c r="G1042" s="8"/>
      <c r="H1042" s="8"/>
      <c r="I1042" s="8">
        <v>836.99</v>
      </c>
      <c r="J1042" s="8"/>
      <c r="K1042" s="8"/>
      <c r="L1042" s="8"/>
      <c r="M1042" s="8"/>
      <c r="N1042" s="8">
        <v>12.09</v>
      </c>
      <c r="O1042" s="8"/>
      <c r="P1042" s="8"/>
      <c r="Q1042" s="11"/>
      <c r="R1042" s="11"/>
      <c r="S1042" s="8">
        <v>2.2599999999999998</v>
      </c>
      <c r="T1042" s="8"/>
      <c r="U1042" s="8"/>
      <c r="V1042" s="8"/>
      <c r="W1042" s="8">
        <v>12.244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>
        <v>16.11</v>
      </c>
      <c r="AN1042" s="8">
        <v>11.362</v>
      </c>
      <c r="AO1042" s="8"/>
      <c r="AP1042" s="11"/>
      <c r="AQ1042" s="8"/>
      <c r="AR1042" s="8"/>
      <c r="AS1042" s="8">
        <v>53.341000000000001</v>
      </c>
      <c r="AT1042" s="8">
        <v>538.19000000000005</v>
      </c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>
        <v>36.729999999999997</v>
      </c>
      <c r="BH1042" s="9">
        <f t="shared" si="144"/>
        <v>1614.06</v>
      </c>
      <c r="BI1042" s="9">
        <f t="shared" si="145"/>
        <v>12.09</v>
      </c>
      <c r="BJ1042" s="9">
        <f t="shared" si="146"/>
        <v>2.2599999999999998</v>
      </c>
      <c r="BK1042" s="9">
        <f t="shared" si="147"/>
        <v>12.244</v>
      </c>
      <c r="BL1042" s="9">
        <f t="shared" si="148"/>
        <v>0</v>
      </c>
      <c r="BM1042" s="9">
        <f t="shared" si="149"/>
        <v>80.813000000000002</v>
      </c>
      <c r="BN1042" s="9">
        <f t="shared" si="150"/>
        <v>538.19000000000005</v>
      </c>
      <c r="BO1042" s="9">
        <f t="shared" si="151"/>
        <v>0</v>
      </c>
      <c r="BP1042" s="9">
        <f t="shared" si="152"/>
        <v>0</v>
      </c>
    </row>
    <row r="1043" spans="1:68">
      <c r="A1043" s="6">
        <v>44743</v>
      </c>
      <c r="B1043" s="7">
        <v>3029</v>
      </c>
      <c r="C1043" s="8"/>
      <c r="D1043" s="8">
        <v>671.19</v>
      </c>
      <c r="E1043" s="8"/>
      <c r="F1043" s="8">
        <v>474.52</v>
      </c>
      <c r="G1043" s="8"/>
      <c r="H1043" s="8"/>
      <c r="I1043" s="8">
        <v>2804.93</v>
      </c>
      <c r="J1043" s="8"/>
      <c r="K1043" s="8"/>
      <c r="L1043" s="8"/>
      <c r="M1043" s="8"/>
      <c r="N1043" s="8">
        <v>30.45</v>
      </c>
      <c r="O1043" s="8"/>
      <c r="P1043" s="8"/>
      <c r="Q1043" s="11"/>
      <c r="R1043" s="11"/>
      <c r="S1043" s="8">
        <v>2.37</v>
      </c>
      <c r="T1043" s="8"/>
      <c r="U1043" s="8"/>
      <c r="V1043" s="8"/>
      <c r="W1043" s="8">
        <v>39.893000000000001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>
        <v>13.73</v>
      </c>
      <c r="AN1043" s="8">
        <v>20.157</v>
      </c>
      <c r="AO1043" s="8"/>
      <c r="AP1043" s="11"/>
      <c r="AQ1043" s="8"/>
      <c r="AR1043" s="8">
        <v>120.498</v>
      </c>
      <c r="AS1043" s="8"/>
      <c r="AT1043" s="8">
        <v>1500.84</v>
      </c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>
        <v>104.72</v>
      </c>
      <c r="BH1043" s="9">
        <f t="shared" si="144"/>
        <v>3950.64</v>
      </c>
      <c r="BI1043" s="9">
        <f t="shared" si="145"/>
        <v>30.45</v>
      </c>
      <c r="BJ1043" s="9">
        <f t="shared" si="146"/>
        <v>2.37</v>
      </c>
      <c r="BK1043" s="9">
        <f t="shared" si="147"/>
        <v>39.893000000000001</v>
      </c>
      <c r="BL1043" s="9">
        <f t="shared" si="148"/>
        <v>0</v>
      </c>
      <c r="BM1043" s="9">
        <f t="shared" si="149"/>
        <v>154.38499999999999</v>
      </c>
      <c r="BN1043" s="9">
        <f t="shared" si="150"/>
        <v>1500.84</v>
      </c>
      <c r="BO1043" s="9">
        <f t="shared" si="151"/>
        <v>0</v>
      </c>
      <c r="BP1043" s="9">
        <f t="shared" si="152"/>
        <v>0</v>
      </c>
    </row>
    <row r="1044" spans="1:68">
      <c r="A1044" s="6">
        <v>44743</v>
      </c>
      <c r="B1044" s="7">
        <v>3404</v>
      </c>
      <c r="C1044" s="8">
        <v>979.45</v>
      </c>
      <c r="D1044" s="8">
        <v>244.83</v>
      </c>
      <c r="E1044" s="8"/>
      <c r="F1044" s="8"/>
      <c r="G1044" s="8"/>
      <c r="H1044" s="8"/>
      <c r="I1044" s="8"/>
      <c r="J1044" s="8"/>
      <c r="K1044" s="8"/>
      <c r="L1044" s="8"/>
      <c r="M1044" s="8">
        <v>2.62</v>
      </c>
      <c r="N1044" s="8"/>
      <c r="O1044" s="8"/>
      <c r="P1044" s="8"/>
      <c r="Q1044" s="11"/>
      <c r="R1044" s="11"/>
      <c r="S1044" s="8">
        <v>2.82</v>
      </c>
      <c r="T1044" s="8"/>
      <c r="U1044" s="8"/>
      <c r="V1044" s="8"/>
      <c r="W1044" s="8"/>
      <c r="X1044" s="8">
        <v>14.797000000000001</v>
      </c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11"/>
      <c r="AQ1044" s="8"/>
      <c r="AR1044" s="8"/>
      <c r="AS1044" s="8"/>
      <c r="AT1044" s="8">
        <v>618.29</v>
      </c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>
        <v>41.91</v>
      </c>
      <c r="BH1044" s="9">
        <f t="shared" si="144"/>
        <v>1224.28</v>
      </c>
      <c r="BI1044" s="9">
        <f t="shared" si="145"/>
        <v>2.62</v>
      </c>
      <c r="BJ1044" s="9">
        <f t="shared" si="146"/>
        <v>2.82</v>
      </c>
      <c r="BK1044" s="9">
        <f t="shared" si="147"/>
        <v>14.797000000000001</v>
      </c>
      <c r="BL1044" s="9">
        <f t="shared" si="148"/>
        <v>0</v>
      </c>
      <c r="BM1044" s="9">
        <f t="shared" si="149"/>
        <v>0</v>
      </c>
      <c r="BN1044" s="9">
        <f t="shared" si="150"/>
        <v>618.29</v>
      </c>
      <c r="BO1044" s="9">
        <f t="shared" si="151"/>
        <v>0</v>
      </c>
      <c r="BP1044" s="9">
        <f t="shared" si="152"/>
        <v>0</v>
      </c>
    </row>
    <row r="1045" spans="1:68">
      <c r="A1045" s="6">
        <v>44743</v>
      </c>
      <c r="B1045" s="7">
        <v>3129</v>
      </c>
      <c r="C1045" s="8">
        <v>2782.11</v>
      </c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11"/>
      <c r="R1045" s="11">
        <v>13.86</v>
      </c>
      <c r="S1045" s="8">
        <v>12.682</v>
      </c>
      <c r="T1045" s="8"/>
      <c r="U1045" s="8"/>
      <c r="V1045" s="8"/>
      <c r="W1045" s="8"/>
      <c r="X1045" s="8">
        <v>25.035</v>
      </c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11"/>
      <c r="AQ1045" s="8"/>
      <c r="AR1045" s="8"/>
      <c r="AS1045" s="8"/>
      <c r="AT1045" s="8">
        <v>383.27</v>
      </c>
      <c r="AU1045" s="8">
        <v>765.96</v>
      </c>
      <c r="AV1045" s="8"/>
      <c r="AW1045" s="8"/>
      <c r="AX1045" s="8"/>
      <c r="AY1045" s="8"/>
      <c r="AZ1045" s="8"/>
      <c r="BA1045" s="8"/>
      <c r="BB1045" s="8"/>
      <c r="BC1045" s="8"/>
      <c r="BD1045" s="8">
        <v>6.97</v>
      </c>
      <c r="BE1045" s="8">
        <v>25.187000000000001</v>
      </c>
      <c r="BF1045" s="8"/>
      <c r="BG1045" s="8">
        <v>83.51</v>
      </c>
      <c r="BH1045" s="9">
        <f t="shared" si="144"/>
        <v>2782.11</v>
      </c>
      <c r="BI1045" s="9">
        <f t="shared" si="145"/>
        <v>13.86</v>
      </c>
      <c r="BJ1045" s="9">
        <f t="shared" si="146"/>
        <v>12.682</v>
      </c>
      <c r="BK1045" s="9">
        <f t="shared" si="147"/>
        <v>25.035</v>
      </c>
      <c r="BL1045" s="9">
        <f t="shared" si="148"/>
        <v>0</v>
      </c>
      <c r="BM1045" s="9">
        <f t="shared" si="149"/>
        <v>0</v>
      </c>
      <c r="BN1045" s="9">
        <f t="shared" si="150"/>
        <v>1149.23</v>
      </c>
      <c r="BO1045" s="9">
        <f t="shared" si="151"/>
        <v>32.157000000000004</v>
      </c>
      <c r="BP1045" s="9">
        <f t="shared" si="152"/>
        <v>0</v>
      </c>
    </row>
    <row r="1046" spans="1:68">
      <c r="A1046" s="6">
        <v>44743</v>
      </c>
      <c r="B1046" s="7">
        <v>3141</v>
      </c>
      <c r="C1046" s="8">
        <v>160.29</v>
      </c>
      <c r="D1046" s="8">
        <v>28.34</v>
      </c>
      <c r="E1046" s="8"/>
      <c r="F1046" s="8"/>
      <c r="G1046" s="8"/>
      <c r="H1046" s="8"/>
      <c r="I1046" s="8"/>
      <c r="J1046" s="8"/>
      <c r="K1046" s="8"/>
      <c r="L1046" s="8"/>
      <c r="M1046" s="8">
        <v>0.51</v>
      </c>
      <c r="N1046" s="8"/>
      <c r="O1046" s="8"/>
      <c r="P1046" s="8"/>
      <c r="Q1046" s="11"/>
      <c r="R1046" s="11"/>
      <c r="S1046" s="8">
        <v>0.89</v>
      </c>
      <c r="T1046" s="8">
        <v>1.42</v>
      </c>
      <c r="U1046" s="8">
        <v>1.42</v>
      </c>
      <c r="V1046" s="8"/>
      <c r="W1046" s="8"/>
      <c r="X1046" s="8"/>
      <c r="Y1046" s="8"/>
      <c r="Z1046" s="8"/>
      <c r="AA1046" s="8"/>
      <c r="AB1046" s="8"/>
      <c r="AC1046" s="8">
        <v>0.76</v>
      </c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11"/>
      <c r="AQ1046" s="8"/>
      <c r="AR1046" s="8"/>
      <c r="AS1046" s="8"/>
      <c r="AT1046" s="8">
        <v>125.38</v>
      </c>
      <c r="AU1046" s="8"/>
      <c r="AV1046" s="8"/>
      <c r="AW1046" s="8"/>
      <c r="AX1046" s="8"/>
      <c r="AY1046" s="8"/>
      <c r="AZ1046" s="8"/>
      <c r="BA1046" s="8">
        <v>4.34</v>
      </c>
      <c r="BB1046" s="8"/>
      <c r="BC1046" s="8"/>
      <c r="BD1046" s="8"/>
      <c r="BE1046" s="8"/>
      <c r="BF1046" s="8">
        <v>13.25</v>
      </c>
      <c r="BG1046" s="8">
        <v>9.8699999999999992</v>
      </c>
      <c r="BH1046" s="9">
        <f t="shared" si="144"/>
        <v>188.63</v>
      </c>
      <c r="BI1046" s="9">
        <f t="shared" si="145"/>
        <v>0.51</v>
      </c>
      <c r="BJ1046" s="9">
        <f t="shared" si="146"/>
        <v>0.89</v>
      </c>
      <c r="BK1046" s="9">
        <f t="shared" si="147"/>
        <v>2.84</v>
      </c>
      <c r="BL1046" s="9">
        <f t="shared" si="148"/>
        <v>0</v>
      </c>
      <c r="BM1046" s="9">
        <f t="shared" si="149"/>
        <v>0.76</v>
      </c>
      <c r="BN1046" s="9">
        <f t="shared" si="150"/>
        <v>125.38</v>
      </c>
      <c r="BO1046" s="9">
        <f t="shared" si="151"/>
        <v>4.34</v>
      </c>
      <c r="BP1046" s="9">
        <f t="shared" si="152"/>
        <v>13.25</v>
      </c>
    </row>
    <row r="1047" spans="1:68">
      <c r="A1047" s="6">
        <v>44743</v>
      </c>
      <c r="B1047" s="7">
        <v>3112</v>
      </c>
      <c r="C1047" s="8">
        <v>3174.55</v>
      </c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>
        <v>5.72</v>
      </c>
      <c r="O1047" s="8"/>
      <c r="P1047" s="8"/>
      <c r="Q1047" s="11"/>
      <c r="R1047" s="11"/>
      <c r="S1047" s="8">
        <v>9.52</v>
      </c>
      <c r="T1047" s="8">
        <v>31.74</v>
      </c>
      <c r="U1047" s="8"/>
      <c r="V1047" s="8"/>
      <c r="W1047" s="8"/>
      <c r="X1047" s="8"/>
      <c r="Y1047" s="8"/>
      <c r="Z1047" s="8"/>
      <c r="AA1047" s="8"/>
      <c r="AB1047" s="8"/>
      <c r="AC1047" s="8">
        <v>12.69</v>
      </c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11"/>
      <c r="AQ1047" s="8"/>
      <c r="AR1047" s="8"/>
      <c r="AS1047" s="8"/>
      <c r="AT1047" s="8">
        <v>1330.9</v>
      </c>
      <c r="AU1047" s="8"/>
      <c r="AV1047" s="8"/>
      <c r="AW1047" s="8"/>
      <c r="AX1047" s="8"/>
      <c r="AY1047" s="8"/>
      <c r="AZ1047" s="8"/>
      <c r="BA1047" s="8">
        <v>41.87</v>
      </c>
      <c r="BB1047" s="8"/>
      <c r="BC1047" s="8"/>
      <c r="BD1047" s="8"/>
      <c r="BE1047" s="8"/>
      <c r="BF1047" s="8"/>
      <c r="BG1047" s="8">
        <v>94.97</v>
      </c>
      <c r="BH1047" s="9">
        <f t="shared" si="144"/>
        <v>3174.55</v>
      </c>
      <c r="BI1047" s="9">
        <f t="shared" si="145"/>
        <v>5.72</v>
      </c>
      <c r="BJ1047" s="9">
        <f t="shared" si="146"/>
        <v>9.52</v>
      </c>
      <c r="BK1047" s="9">
        <f t="shared" si="147"/>
        <v>31.74</v>
      </c>
      <c r="BL1047" s="9">
        <f t="shared" si="148"/>
        <v>0</v>
      </c>
      <c r="BM1047" s="9">
        <f t="shared" si="149"/>
        <v>12.69</v>
      </c>
      <c r="BN1047" s="9">
        <f t="shared" si="150"/>
        <v>1330.9</v>
      </c>
      <c r="BO1047" s="9">
        <f t="shared" si="151"/>
        <v>41.87</v>
      </c>
      <c r="BP1047" s="9">
        <f t="shared" si="152"/>
        <v>0</v>
      </c>
    </row>
    <row r="1048" spans="1:68">
      <c r="A1048" s="6">
        <v>44743</v>
      </c>
      <c r="B1048" s="7">
        <v>3106</v>
      </c>
      <c r="C1048" s="8">
        <v>4125.54</v>
      </c>
      <c r="D1048" s="8"/>
      <c r="E1048" s="8"/>
      <c r="F1048" s="8"/>
      <c r="G1048" s="8"/>
      <c r="H1048" s="8"/>
      <c r="I1048" s="8"/>
      <c r="J1048" s="8"/>
      <c r="K1048" s="8"/>
      <c r="L1048" s="8"/>
      <c r="M1048" s="8">
        <v>11.13</v>
      </c>
      <c r="N1048" s="8"/>
      <c r="O1048" s="8"/>
      <c r="P1048" s="8"/>
      <c r="Q1048" s="11"/>
      <c r="R1048" s="11"/>
      <c r="S1048" s="8">
        <v>12.37</v>
      </c>
      <c r="T1048" s="8">
        <v>52.32</v>
      </c>
      <c r="U1048" s="8"/>
      <c r="V1048" s="8"/>
      <c r="W1048" s="8"/>
      <c r="X1048" s="8"/>
      <c r="Y1048" s="8"/>
      <c r="Z1048" s="8"/>
      <c r="AA1048" s="8"/>
      <c r="AB1048" s="8"/>
      <c r="AC1048" s="8">
        <v>10.31</v>
      </c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11"/>
      <c r="AQ1048" s="8"/>
      <c r="AR1048" s="8"/>
      <c r="AS1048" s="8"/>
      <c r="AT1048" s="8">
        <v>2361.12</v>
      </c>
      <c r="AU1048" s="8"/>
      <c r="AV1048" s="8"/>
      <c r="AW1048" s="8"/>
      <c r="AX1048" s="8">
        <v>5.16</v>
      </c>
      <c r="AY1048" s="8"/>
      <c r="AZ1048" s="8"/>
      <c r="BA1048" s="8"/>
      <c r="BB1048" s="8"/>
      <c r="BC1048" s="8"/>
      <c r="BD1048" s="8"/>
      <c r="BE1048" s="8"/>
      <c r="BF1048" s="8"/>
      <c r="BG1048" s="8">
        <v>177.1</v>
      </c>
      <c r="BH1048" s="9">
        <f t="shared" si="144"/>
        <v>4125.54</v>
      </c>
      <c r="BI1048" s="9">
        <f t="shared" si="145"/>
        <v>11.13</v>
      </c>
      <c r="BJ1048" s="9">
        <f t="shared" si="146"/>
        <v>12.37</v>
      </c>
      <c r="BK1048" s="9">
        <f t="shared" si="147"/>
        <v>52.32</v>
      </c>
      <c r="BL1048" s="9">
        <f t="shared" si="148"/>
        <v>0</v>
      </c>
      <c r="BM1048" s="9">
        <f t="shared" si="149"/>
        <v>10.31</v>
      </c>
      <c r="BN1048" s="9">
        <f t="shared" si="150"/>
        <v>2361.12</v>
      </c>
      <c r="BO1048" s="9">
        <f t="shared" si="151"/>
        <v>5.16</v>
      </c>
      <c r="BP1048" s="9">
        <f t="shared" si="152"/>
        <v>0</v>
      </c>
    </row>
    <row r="1049" spans="1:68">
      <c r="A1049" s="6">
        <v>44743</v>
      </c>
      <c r="B1049" s="7">
        <v>3136</v>
      </c>
      <c r="C1049" s="8">
        <v>1235.79</v>
      </c>
      <c r="D1049" s="8"/>
      <c r="E1049" s="8"/>
      <c r="F1049" s="8"/>
      <c r="G1049" s="8"/>
      <c r="H1049" s="8">
        <v>512.88</v>
      </c>
      <c r="I1049" s="8"/>
      <c r="J1049" s="8"/>
      <c r="K1049" s="8"/>
      <c r="L1049" s="8"/>
      <c r="M1049" s="8">
        <v>2.04</v>
      </c>
      <c r="N1049" s="8"/>
      <c r="O1049" s="8"/>
      <c r="P1049" s="8"/>
      <c r="Q1049" s="11"/>
      <c r="R1049" s="11"/>
      <c r="S1049" s="8">
        <v>7.46</v>
      </c>
      <c r="T1049" s="8">
        <v>10.65</v>
      </c>
      <c r="U1049" s="8">
        <v>9.1300000000000008</v>
      </c>
      <c r="V1049" s="8"/>
      <c r="W1049" s="8"/>
      <c r="X1049" s="8"/>
      <c r="Y1049" s="8"/>
      <c r="Z1049" s="8"/>
      <c r="AA1049" s="8"/>
      <c r="AB1049" s="8"/>
      <c r="AC1049" s="8">
        <v>6.08</v>
      </c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11"/>
      <c r="AQ1049" s="8"/>
      <c r="AR1049" s="8"/>
      <c r="AS1049" s="8"/>
      <c r="AT1049" s="8">
        <v>987.58</v>
      </c>
      <c r="AU1049" s="8"/>
      <c r="AV1049" s="8"/>
      <c r="AW1049" s="8"/>
      <c r="AX1049" s="8"/>
      <c r="AY1049" s="8"/>
      <c r="AZ1049" s="8"/>
      <c r="BA1049" s="8">
        <v>15.03</v>
      </c>
      <c r="BB1049" s="8"/>
      <c r="BC1049" s="8"/>
      <c r="BD1049" s="8"/>
      <c r="BE1049" s="8"/>
      <c r="BF1049" s="8">
        <v>60.83</v>
      </c>
      <c r="BG1049" s="8">
        <v>74.63</v>
      </c>
      <c r="BH1049" s="9">
        <f t="shared" si="144"/>
        <v>1748.67</v>
      </c>
      <c r="BI1049" s="9">
        <f t="shared" si="145"/>
        <v>2.04</v>
      </c>
      <c r="BJ1049" s="9">
        <f t="shared" si="146"/>
        <v>7.46</v>
      </c>
      <c r="BK1049" s="9">
        <f t="shared" si="147"/>
        <v>19.78</v>
      </c>
      <c r="BL1049" s="9">
        <f t="shared" si="148"/>
        <v>0</v>
      </c>
      <c r="BM1049" s="9">
        <f t="shared" si="149"/>
        <v>6.08</v>
      </c>
      <c r="BN1049" s="9">
        <f t="shared" si="150"/>
        <v>987.58</v>
      </c>
      <c r="BO1049" s="9">
        <f t="shared" si="151"/>
        <v>15.03</v>
      </c>
      <c r="BP1049" s="9">
        <f t="shared" si="152"/>
        <v>60.83</v>
      </c>
    </row>
    <row r="1050" spans="1:68">
      <c r="A1050" s="6">
        <v>44743</v>
      </c>
      <c r="B1050" s="7">
        <v>3134</v>
      </c>
      <c r="C1050" s="8">
        <v>1019.99</v>
      </c>
      <c r="D1050" s="8">
        <v>143.84</v>
      </c>
      <c r="E1050" s="8"/>
      <c r="F1050" s="8"/>
      <c r="G1050" s="8"/>
      <c r="H1050" s="8">
        <v>482.53</v>
      </c>
      <c r="I1050" s="8"/>
      <c r="J1050" s="8"/>
      <c r="K1050" s="8"/>
      <c r="L1050" s="8"/>
      <c r="M1050" s="8">
        <v>3.06</v>
      </c>
      <c r="N1050" s="8"/>
      <c r="O1050" s="8"/>
      <c r="P1050" s="8"/>
      <c r="Q1050" s="11"/>
      <c r="R1050" s="11"/>
      <c r="S1050" s="8">
        <v>6.59</v>
      </c>
      <c r="T1050" s="8">
        <v>10.029999999999999</v>
      </c>
      <c r="U1050" s="8">
        <v>8.6</v>
      </c>
      <c r="V1050" s="8"/>
      <c r="W1050" s="8"/>
      <c r="X1050" s="8"/>
      <c r="Y1050" s="8"/>
      <c r="Z1050" s="8"/>
      <c r="AA1050" s="8"/>
      <c r="AB1050" s="8"/>
      <c r="AC1050" s="8">
        <v>5.72</v>
      </c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11"/>
      <c r="AQ1050" s="8"/>
      <c r="AR1050" s="8"/>
      <c r="AS1050" s="8"/>
      <c r="AT1050" s="8">
        <v>1009.13</v>
      </c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>
        <v>64.42</v>
      </c>
      <c r="BG1050" s="8">
        <v>75.92</v>
      </c>
      <c r="BH1050" s="9">
        <f t="shared" si="144"/>
        <v>1646.36</v>
      </c>
      <c r="BI1050" s="9">
        <f t="shared" si="145"/>
        <v>3.06</v>
      </c>
      <c r="BJ1050" s="9">
        <f t="shared" si="146"/>
        <v>6.59</v>
      </c>
      <c r="BK1050" s="9">
        <f t="shared" si="147"/>
        <v>18.63</v>
      </c>
      <c r="BL1050" s="9">
        <f t="shared" si="148"/>
        <v>0</v>
      </c>
      <c r="BM1050" s="9">
        <f t="shared" si="149"/>
        <v>5.72</v>
      </c>
      <c r="BN1050" s="9">
        <f t="shared" si="150"/>
        <v>1009.13</v>
      </c>
      <c r="BO1050" s="9">
        <f t="shared" si="151"/>
        <v>0</v>
      </c>
      <c r="BP1050" s="9">
        <f t="shared" si="152"/>
        <v>64.42</v>
      </c>
    </row>
    <row r="1051" spans="1:68">
      <c r="A1051" s="6">
        <v>44743</v>
      </c>
      <c r="B1051" s="7">
        <v>3135</v>
      </c>
      <c r="C1051" s="8">
        <v>90.2</v>
      </c>
      <c r="D1051" s="8">
        <v>12.46</v>
      </c>
      <c r="E1051" s="8"/>
      <c r="F1051" s="8"/>
      <c r="G1051" s="8"/>
      <c r="H1051" s="8">
        <v>42.19</v>
      </c>
      <c r="I1051" s="8"/>
      <c r="J1051" s="8"/>
      <c r="K1051" s="8"/>
      <c r="L1051" s="8"/>
      <c r="M1051" s="8">
        <v>0.28000000000000003</v>
      </c>
      <c r="N1051" s="8"/>
      <c r="O1051" s="8"/>
      <c r="P1051" s="8"/>
      <c r="Q1051" s="11"/>
      <c r="R1051" s="11"/>
      <c r="S1051" s="8">
        <v>0.57999999999999996</v>
      </c>
      <c r="T1051" s="8">
        <v>0.89</v>
      </c>
      <c r="U1051" s="8">
        <v>0.77</v>
      </c>
      <c r="V1051" s="8"/>
      <c r="W1051" s="8"/>
      <c r="X1051" s="8"/>
      <c r="Y1051" s="8"/>
      <c r="Z1051" s="8"/>
      <c r="AA1051" s="8"/>
      <c r="AB1051" s="8"/>
      <c r="AC1051" s="8">
        <v>0.5</v>
      </c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11"/>
      <c r="AQ1051" s="8"/>
      <c r="AR1051" s="8"/>
      <c r="AS1051" s="8"/>
      <c r="AT1051" s="8">
        <v>88.56</v>
      </c>
      <c r="AU1051" s="8"/>
      <c r="AV1051" s="8"/>
      <c r="AW1051" s="8"/>
      <c r="AX1051" s="8"/>
      <c r="AY1051" s="8"/>
      <c r="AZ1051" s="8"/>
      <c r="BA1051" s="8">
        <v>2.87</v>
      </c>
      <c r="BB1051" s="8"/>
      <c r="BC1051" s="8"/>
      <c r="BD1051" s="8"/>
      <c r="BE1051" s="8"/>
      <c r="BF1051" s="8">
        <v>5.69</v>
      </c>
      <c r="BG1051" s="8">
        <v>6.67</v>
      </c>
      <c r="BH1051" s="9">
        <f t="shared" si="144"/>
        <v>144.85</v>
      </c>
      <c r="BI1051" s="9">
        <f t="shared" si="145"/>
        <v>0.28000000000000003</v>
      </c>
      <c r="BJ1051" s="9">
        <f t="shared" si="146"/>
        <v>0.57999999999999996</v>
      </c>
      <c r="BK1051" s="9">
        <f t="shared" si="147"/>
        <v>1.6600000000000001</v>
      </c>
      <c r="BL1051" s="9">
        <f t="shared" si="148"/>
        <v>0</v>
      </c>
      <c r="BM1051" s="9">
        <f t="shared" si="149"/>
        <v>0.5</v>
      </c>
      <c r="BN1051" s="9">
        <f t="shared" si="150"/>
        <v>88.56</v>
      </c>
      <c r="BO1051" s="9">
        <f t="shared" si="151"/>
        <v>2.87</v>
      </c>
      <c r="BP1051" s="9">
        <f t="shared" si="152"/>
        <v>5.69</v>
      </c>
    </row>
    <row r="1052" spans="1:68">
      <c r="A1052" s="6">
        <v>44743</v>
      </c>
      <c r="B1052" s="7">
        <v>3701</v>
      </c>
      <c r="C1052" s="8">
        <v>365.03</v>
      </c>
      <c r="D1052" s="8"/>
      <c r="E1052" s="8"/>
      <c r="F1052" s="8"/>
      <c r="G1052" s="8"/>
      <c r="H1052" s="8"/>
      <c r="I1052" s="8"/>
      <c r="J1052" s="8">
        <v>606.63199999999995</v>
      </c>
      <c r="K1052" s="8"/>
      <c r="L1052" s="8"/>
      <c r="M1052" s="8"/>
      <c r="N1052" s="8">
        <v>2.2799999999999998</v>
      </c>
      <c r="O1052" s="8"/>
      <c r="P1052" s="8"/>
      <c r="Q1052" s="11"/>
      <c r="R1052" s="11"/>
      <c r="S1052" s="8">
        <v>2.67</v>
      </c>
      <c r="T1052" s="8"/>
      <c r="U1052" s="8">
        <v>5.93</v>
      </c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>
        <v>19.78</v>
      </c>
      <c r="AH1052" s="8"/>
      <c r="AI1052" s="8"/>
      <c r="AJ1052" s="8">
        <v>29.565000000000001</v>
      </c>
      <c r="AK1052" s="8"/>
      <c r="AL1052" s="8"/>
      <c r="AM1052" s="8"/>
      <c r="AN1052" s="8"/>
      <c r="AO1052" s="8"/>
      <c r="AP1052" s="11"/>
      <c r="AQ1052" s="8"/>
      <c r="AR1052" s="8"/>
      <c r="AS1052" s="8"/>
      <c r="AT1052" s="8"/>
      <c r="AU1052" s="8">
        <v>348.96</v>
      </c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>
        <v>23.78</v>
      </c>
      <c r="BH1052" s="9">
        <f t="shared" si="144"/>
        <v>971.66199999999992</v>
      </c>
      <c r="BI1052" s="9">
        <f t="shared" si="145"/>
        <v>2.2799999999999998</v>
      </c>
      <c r="BJ1052" s="9">
        <f t="shared" si="146"/>
        <v>2.67</v>
      </c>
      <c r="BK1052" s="9">
        <f t="shared" si="147"/>
        <v>5.93</v>
      </c>
      <c r="BL1052" s="9">
        <f t="shared" si="148"/>
        <v>0</v>
      </c>
      <c r="BM1052" s="9">
        <f t="shared" si="149"/>
        <v>49.344999999999999</v>
      </c>
      <c r="BN1052" s="9">
        <f t="shared" si="150"/>
        <v>348.96</v>
      </c>
      <c r="BO1052" s="9">
        <f t="shared" si="151"/>
        <v>0</v>
      </c>
      <c r="BP1052" s="9">
        <f t="shared" si="152"/>
        <v>0</v>
      </c>
    </row>
    <row r="1053" spans="1:68">
      <c r="A1053" s="6">
        <v>44743</v>
      </c>
      <c r="B1053" s="7">
        <v>3703</v>
      </c>
      <c r="C1053" s="8">
        <v>839.82</v>
      </c>
      <c r="D1053" s="8">
        <v>559.30999999999995</v>
      </c>
      <c r="E1053" s="8"/>
      <c r="F1053" s="8"/>
      <c r="G1053" s="8"/>
      <c r="H1053" s="8"/>
      <c r="I1053" s="8"/>
      <c r="J1053" s="8"/>
      <c r="K1053" s="8"/>
      <c r="L1053" s="8"/>
      <c r="M1053" s="8">
        <v>2.8</v>
      </c>
      <c r="N1053" s="8"/>
      <c r="O1053" s="8"/>
      <c r="P1053" s="8"/>
      <c r="Q1053" s="11"/>
      <c r="R1053" s="11"/>
      <c r="S1053" s="8">
        <v>6.86</v>
      </c>
      <c r="T1053" s="8"/>
      <c r="U1053" s="8">
        <v>11.2</v>
      </c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>
        <v>14.259</v>
      </c>
      <c r="AM1053" s="8"/>
      <c r="AN1053" s="8"/>
      <c r="AO1053" s="8"/>
      <c r="AP1053" s="11"/>
      <c r="AQ1053" s="8"/>
      <c r="AR1053" s="8"/>
      <c r="AS1053" s="8"/>
      <c r="AT1053" s="8">
        <v>340.15</v>
      </c>
      <c r="AU1053" s="8">
        <v>170.37</v>
      </c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>
        <v>35.69</v>
      </c>
      <c r="BH1053" s="9">
        <f t="shared" si="144"/>
        <v>1399.13</v>
      </c>
      <c r="BI1053" s="9">
        <f t="shared" si="145"/>
        <v>2.8</v>
      </c>
      <c r="BJ1053" s="9">
        <f t="shared" si="146"/>
        <v>6.86</v>
      </c>
      <c r="BK1053" s="9">
        <f t="shared" si="147"/>
        <v>11.2</v>
      </c>
      <c r="BL1053" s="9">
        <f t="shared" si="148"/>
        <v>0</v>
      </c>
      <c r="BM1053" s="9">
        <f t="shared" si="149"/>
        <v>14.259</v>
      </c>
      <c r="BN1053" s="9">
        <f t="shared" si="150"/>
        <v>510.52</v>
      </c>
      <c r="BO1053" s="9">
        <f t="shared" si="151"/>
        <v>0</v>
      </c>
      <c r="BP1053" s="9">
        <f t="shared" si="152"/>
        <v>0</v>
      </c>
    </row>
    <row r="1054" spans="1:68">
      <c r="A1054" s="6">
        <v>44743</v>
      </c>
      <c r="B1054" s="7">
        <v>3117</v>
      </c>
      <c r="C1054" s="8">
        <v>753.39</v>
      </c>
      <c r="D1054" s="8"/>
      <c r="E1054" s="8"/>
      <c r="F1054" s="8"/>
      <c r="G1054" s="8"/>
      <c r="H1054" s="8"/>
      <c r="I1054" s="8"/>
      <c r="J1054" s="8"/>
      <c r="K1054" s="8"/>
      <c r="L1054" s="8"/>
      <c r="M1054" s="8">
        <v>1.72</v>
      </c>
      <c r="N1054" s="8"/>
      <c r="O1054" s="8"/>
      <c r="P1054" s="8"/>
      <c r="Q1054" s="11"/>
      <c r="R1054" s="11"/>
      <c r="S1054" s="8">
        <v>2.65</v>
      </c>
      <c r="T1054" s="8">
        <v>7.55</v>
      </c>
      <c r="U1054" s="8"/>
      <c r="V1054" s="8"/>
      <c r="W1054" s="8"/>
      <c r="X1054" s="8"/>
      <c r="Y1054" s="8"/>
      <c r="Z1054" s="8"/>
      <c r="AA1054" s="8"/>
      <c r="AB1054" s="8"/>
      <c r="AC1054" s="8">
        <v>3.02</v>
      </c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11"/>
      <c r="AQ1054" s="8"/>
      <c r="AR1054" s="8"/>
      <c r="AS1054" s="8"/>
      <c r="AT1054" s="8">
        <v>476.38</v>
      </c>
      <c r="AU1054" s="8"/>
      <c r="AV1054" s="8">
        <v>18.89</v>
      </c>
      <c r="AW1054" s="8"/>
      <c r="AX1054" s="8"/>
      <c r="AY1054" s="8"/>
      <c r="AZ1054" s="8"/>
      <c r="BA1054" s="8"/>
      <c r="BB1054" s="8"/>
      <c r="BC1054" s="8"/>
      <c r="BD1054" s="8"/>
      <c r="BE1054" s="8"/>
      <c r="BF1054" s="8">
        <v>30.23</v>
      </c>
      <c r="BG1054" s="8">
        <v>36.21</v>
      </c>
      <c r="BH1054" s="9">
        <f t="shared" si="144"/>
        <v>753.39</v>
      </c>
      <c r="BI1054" s="9">
        <f t="shared" si="145"/>
        <v>1.72</v>
      </c>
      <c r="BJ1054" s="9">
        <f t="shared" si="146"/>
        <v>2.65</v>
      </c>
      <c r="BK1054" s="9">
        <f t="shared" si="147"/>
        <v>7.55</v>
      </c>
      <c r="BL1054" s="9">
        <f t="shared" si="148"/>
        <v>0</v>
      </c>
      <c r="BM1054" s="9">
        <f t="shared" si="149"/>
        <v>3.02</v>
      </c>
      <c r="BN1054" s="9">
        <f t="shared" si="150"/>
        <v>476.38</v>
      </c>
      <c r="BO1054" s="9">
        <f t="shared" si="151"/>
        <v>18.89</v>
      </c>
      <c r="BP1054" s="9">
        <f t="shared" si="152"/>
        <v>30.23</v>
      </c>
    </row>
    <row r="1055" spans="1:68">
      <c r="A1055" s="6">
        <v>44743</v>
      </c>
      <c r="B1055" s="7">
        <v>3023</v>
      </c>
      <c r="C1055" s="8"/>
      <c r="D1055" s="8">
        <v>883.54</v>
      </c>
      <c r="E1055" s="8"/>
      <c r="F1055" s="8"/>
      <c r="G1055" s="8"/>
      <c r="H1055" s="8"/>
      <c r="I1055" s="8">
        <v>476.02</v>
      </c>
      <c r="J1055" s="8"/>
      <c r="K1055" s="8"/>
      <c r="L1055" s="8"/>
      <c r="M1055" s="8"/>
      <c r="N1055" s="8">
        <v>7.6</v>
      </c>
      <c r="O1055" s="8"/>
      <c r="P1055" s="8"/>
      <c r="Q1055" s="11"/>
      <c r="R1055" s="11"/>
      <c r="S1055" s="8">
        <v>2.17</v>
      </c>
      <c r="T1055" s="8"/>
      <c r="U1055" s="8"/>
      <c r="V1055" s="8"/>
      <c r="W1055" s="8">
        <v>12.36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>
        <v>13.58</v>
      </c>
      <c r="AN1055" s="8">
        <v>9.6210000000000004</v>
      </c>
      <c r="AO1055" s="8"/>
      <c r="AP1055" s="11"/>
      <c r="AQ1055" s="8"/>
      <c r="AR1055" s="8"/>
      <c r="AS1055" s="8">
        <v>44.197000000000003</v>
      </c>
      <c r="AT1055" s="8">
        <v>554.91999999999996</v>
      </c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>
        <v>42.07</v>
      </c>
      <c r="BH1055" s="9">
        <f t="shared" si="144"/>
        <v>1359.56</v>
      </c>
      <c r="BI1055" s="9">
        <f t="shared" si="145"/>
        <v>7.6</v>
      </c>
      <c r="BJ1055" s="9">
        <f t="shared" si="146"/>
        <v>2.17</v>
      </c>
      <c r="BK1055" s="9">
        <f t="shared" si="147"/>
        <v>12.36</v>
      </c>
      <c r="BL1055" s="9">
        <f t="shared" si="148"/>
        <v>0</v>
      </c>
      <c r="BM1055" s="9">
        <f t="shared" si="149"/>
        <v>67.397999999999996</v>
      </c>
      <c r="BN1055" s="9">
        <f t="shared" si="150"/>
        <v>554.91999999999996</v>
      </c>
      <c r="BO1055" s="9">
        <f t="shared" si="151"/>
        <v>0</v>
      </c>
      <c r="BP1055" s="9">
        <f t="shared" si="152"/>
        <v>0</v>
      </c>
    </row>
    <row r="1056" spans="1:68">
      <c r="A1056" s="6">
        <v>44746</v>
      </c>
      <c r="B1056" s="7">
        <v>8151</v>
      </c>
      <c r="C1056" s="8"/>
      <c r="D1056" s="8"/>
      <c r="E1056" s="8"/>
      <c r="F1056" s="8">
        <f>66.47+117.21</f>
        <v>183.68</v>
      </c>
      <c r="G1056" s="8"/>
      <c r="H1056" s="8"/>
      <c r="I1056" s="8"/>
      <c r="J1056" s="8"/>
      <c r="K1056" s="8">
        <v>341.64</v>
      </c>
      <c r="L1056" s="8"/>
      <c r="M1056" s="8"/>
      <c r="N1056" s="8">
        <f>1.22+2.15</f>
        <v>3.37</v>
      </c>
      <c r="O1056" s="8"/>
      <c r="P1056" s="8"/>
      <c r="Q1056" s="11"/>
      <c r="R1056" s="11"/>
      <c r="S1056" s="8"/>
      <c r="T1056" s="8"/>
      <c r="U1056" s="8"/>
      <c r="V1056" s="8"/>
      <c r="W1056" s="8">
        <v>4.7300000000000004</v>
      </c>
      <c r="X1056" s="8"/>
      <c r="Y1056" s="8">
        <f>192*4.38</f>
        <v>840.96</v>
      </c>
      <c r="Z1056" s="8"/>
      <c r="AA1056" s="8"/>
      <c r="AB1056" s="8"/>
      <c r="AC1056" s="8"/>
      <c r="AD1056" s="8"/>
      <c r="AE1056" s="8"/>
      <c r="AF1056" s="8"/>
      <c r="AG1056" s="8"/>
      <c r="AH1056" s="8">
        <v>6.3070000000000004</v>
      </c>
      <c r="AI1056" s="8"/>
      <c r="AJ1056" s="8"/>
      <c r="AK1056" s="8"/>
      <c r="AL1056" s="8"/>
      <c r="AM1056" s="8"/>
      <c r="AN1056" s="8"/>
      <c r="AO1056" s="8"/>
      <c r="AP1056" s="11"/>
      <c r="AQ1056" s="8"/>
      <c r="AR1056" s="8"/>
      <c r="AS1056" s="8"/>
      <c r="AT1056" s="8">
        <f>26.17+46.92</f>
        <v>73.09</v>
      </c>
      <c r="AU1056" s="8">
        <f>70.6+124.94</f>
        <v>195.54</v>
      </c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>
        <f>4.48+7.92</f>
        <v>12.4</v>
      </c>
      <c r="BH1056" s="9">
        <f t="shared" si="144"/>
        <v>525.31999999999994</v>
      </c>
      <c r="BI1056" s="9">
        <f t="shared" si="145"/>
        <v>3.37</v>
      </c>
      <c r="BJ1056" s="9">
        <f t="shared" si="146"/>
        <v>0</v>
      </c>
      <c r="BK1056" s="9">
        <f t="shared" si="147"/>
        <v>845.69</v>
      </c>
      <c r="BL1056" s="9">
        <f t="shared" si="148"/>
        <v>0</v>
      </c>
      <c r="BM1056" s="9">
        <f t="shared" si="149"/>
        <v>6.3070000000000004</v>
      </c>
      <c r="BN1056" s="9">
        <f t="shared" si="150"/>
        <v>268.63</v>
      </c>
      <c r="BO1056" s="9">
        <f t="shared" si="151"/>
        <v>0</v>
      </c>
      <c r="BP1056" s="9">
        <f t="shared" si="152"/>
        <v>0</v>
      </c>
    </row>
    <row r="1057" spans="1:68">
      <c r="A1057" s="6">
        <v>44746</v>
      </c>
      <c r="B1057" s="7">
        <v>8258</v>
      </c>
      <c r="C1057" s="8">
        <v>1283.24</v>
      </c>
      <c r="D1057" s="8"/>
      <c r="E1057" s="8"/>
      <c r="F1057" s="8"/>
      <c r="G1057" s="8"/>
      <c r="H1057" s="8"/>
      <c r="I1057" s="8"/>
      <c r="J1057" s="8"/>
      <c r="K1057" s="8"/>
      <c r="L1057" s="8"/>
      <c r="M1057" s="8">
        <v>3.21</v>
      </c>
      <c r="N1057" s="8"/>
      <c r="O1057" s="8"/>
      <c r="P1057" s="8"/>
      <c r="Q1057" s="11"/>
      <c r="R1057" s="11"/>
      <c r="S1057" s="8">
        <v>4.1100000000000003</v>
      </c>
      <c r="T1057" s="8">
        <v>16.239999999999998</v>
      </c>
      <c r="U1057" s="8"/>
      <c r="V1057" s="8"/>
      <c r="W1057" s="8"/>
      <c r="X1057" s="8"/>
      <c r="Y1057" s="8"/>
      <c r="Z1057" s="8"/>
      <c r="AA1057" s="8"/>
      <c r="AB1057" s="8"/>
      <c r="AC1057" s="8">
        <v>3.21</v>
      </c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11"/>
      <c r="AQ1057" s="8">
        <v>6.4130000000000003</v>
      </c>
      <c r="AR1057" s="8"/>
      <c r="AS1057" s="8"/>
      <c r="AT1057" s="8">
        <v>739.35</v>
      </c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>
        <v>55.35</v>
      </c>
      <c r="BH1057" s="9">
        <f t="shared" si="144"/>
        <v>1283.24</v>
      </c>
      <c r="BI1057" s="9">
        <f t="shared" si="145"/>
        <v>3.21</v>
      </c>
      <c r="BJ1057" s="9">
        <f t="shared" si="146"/>
        <v>4.1100000000000003</v>
      </c>
      <c r="BK1057" s="9">
        <f t="shared" si="147"/>
        <v>16.239999999999998</v>
      </c>
      <c r="BL1057" s="9">
        <f t="shared" si="148"/>
        <v>0</v>
      </c>
      <c r="BM1057" s="9">
        <f t="shared" si="149"/>
        <v>9.6230000000000011</v>
      </c>
      <c r="BN1057" s="9">
        <f t="shared" si="150"/>
        <v>739.35</v>
      </c>
      <c r="BO1057" s="9">
        <f t="shared" si="151"/>
        <v>0</v>
      </c>
      <c r="BP1057" s="9">
        <f t="shared" si="152"/>
        <v>0</v>
      </c>
    </row>
    <row r="1058" spans="1:68">
      <c r="A1058" s="6">
        <v>44746</v>
      </c>
      <c r="B1058" s="7">
        <v>3083</v>
      </c>
      <c r="C1058" s="8"/>
      <c r="D1058" s="8">
        <v>1406.36</v>
      </c>
      <c r="E1058" s="8"/>
      <c r="F1058" s="8"/>
      <c r="G1058" s="8"/>
      <c r="H1058" s="8"/>
      <c r="I1058" s="8">
        <v>3271.23</v>
      </c>
      <c r="J1058" s="8"/>
      <c r="K1058" s="8"/>
      <c r="L1058" s="8"/>
      <c r="M1058" s="8"/>
      <c r="N1058" s="8">
        <v>21.4</v>
      </c>
      <c r="O1058" s="8"/>
      <c r="P1058" s="8"/>
      <c r="Q1058" s="11"/>
      <c r="R1058" s="11"/>
      <c r="S1058" s="8">
        <v>3.28</v>
      </c>
      <c r="T1058" s="8">
        <v>37.619999999999997</v>
      </c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>
        <v>65.468999999999994</v>
      </c>
      <c r="AO1058" s="8"/>
      <c r="AP1058" s="11"/>
      <c r="AQ1058" s="8"/>
      <c r="AR1058" s="8">
        <v>117.69799999999999</v>
      </c>
      <c r="AS1058" s="8"/>
      <c r="AT1058" s="8">
        <v>2131.36</v>
      </c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>
        <v>167.62</v>
      </c>
      <c r="BH1058" s="9">
        <f t="shared" si="144"/>
        <v>4677.59</v>
      </c>
      <c r="BI1058" s="9">
        <f t="shared" si="145"/>
        <v>21.4</v>
      </c>
      <c r="BJ1058" s="9">
        <f t="shared" si="146"/>
        <v>3.28</v>
      </c>
      <c r="BK1058" s="9">
        <f t="shared" si="147"/>
        <v>37.619999999999997</v>
      </c>
      <c r="BL1058" s="9">
        <f t="shared" si="148"/>
        <v>0</v>
      </c>
      <c r="BM1058" s="9">
        <f t="shared" si="149"/>
        <v>183.16699999999997</v>
      </c>
      <c r="BN1058" s="9">
        <f t="shared" si="150"/>
        <v>2131.36</v>
      </c>
      <c r="BO1058" s="9">
        <f t="shared" si="151"/>
        <v>0</v>
      </c>
      <c r="BP1058" s="9">
        <f t="shared" si="152"/>
        <v>0</v>
      </c>
    </row>
    <row r="1059" spans="1:68">
      <c r="A1059" s="6">
        <v>44746</v>
      </c>
      <c r="B1059" s="7">
        <v>3200</v>
      </c>
      <c r="C1059" s="8">
        <v>2242.9</v>
      </c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>
        <v>5.63</v>
      </c>
      <c r="P1059" s="8"/>
      <c r="Q1059" s="11"/>
      <c r="R1059" s="11"/>
      <c r="S1059" s="8">
        <v>8.77</v>
      </c>
      <c r="T1059" s="8"/>
      <c r="U1059" s="8">
        <v>33.86</v>
      </c>
      <c r="V1059" s="8"/>
      <c r="W1059" s="8"/>
      <c r="X1059" s="8"/>
      <c r="Y1059" s="8"/>
      <c r="Z1059" s="8">
        <v>472.89</v>
      </c>
      <c r="AA1059" s="8"/>
      <c r="AB1059" s="8"/>
      <c r="AC1059" s="8"/>
      <c r="AD1059" s="8"/>
      <c r="AE1059" s="8"/>
      <c r="AF1059" s="8">
        <v>111.55</v>
      </c>
      <c r="AG1059" s="8"/>
      <c r="AH1059" s="8"/>
      <c r="AI1059" s="8"/>
      <c r="AJ1059" s="8"/>
      <c r="AK1059" s="8"/>
      <c r="AL1059" s="8"/>
      <c r="AM1059" s="8"/>
      <c r="AN1059" s="8"/>
      <c r="AO1059" s="8"/>
      <c r="AP1059" s="11"/>
      <c r="AQ1059" s="8">
        <v>33.78</v>
      </c>
      <c r="AR1059" s="8"/>
      <c r="AS1059" s="8"/>
      <c r="AT1059" s="8">
        <v>1537.74</v>
      </c>
      <c r="AU1059" s="8"/>
      <c r="AV1059" s="8"/>
      <c r="AW1059" s="8">
        <v>6.4</v>
      </c>
      <c r="AX1059" s="8"/>
      <c r="AY1059" s="8"/>
      <c r="AZ1059" s="8"/>
      <c r="BA1059" s="8"/>
      <c r="BB1059" s="8"/>
      <c r="BC1059" s="8"/>
      <c r="BD1059" s="8"/>
      <c r="BE1059" s="8"/>
      <c r="BF1059" s="8">
        <v>108.29</v>
      </c>
      <c r="BG1059" s="8">
        <v>111.91</v>
      </c>
      <c r="BH1059" s="9">
        <f t="shared" si="144"/>
        <v>2242.9</v>
      </c>
      <c r="BI1059" s="9">
        <f t="shared" si="145"/>
        <v>5.63</v>
      </c>
      <c r="BJ1059" s="9">
        <f t="shared" si="146"/>
        <v>8.77</v>
      </c>
      <c r="BK1059" s="9">
        <f t="shared" si="147"/>
        <v>33.86</v>
      </c>
      <c r="BL1059" s="9">
        <f t="shared" si="148"/>
        <v>472.89</v>
      </c>
      <c r="BM1059" s="9">
        <f t="shared" si="149"/>
        <v>145.32999999999998</v>
      </c>
      <c r="BN1059" s="9">
        <f t="shared" si="150"/>
        <v>1537.74</v>
      </c>
      <c r="BO1059" s="9">
        <f t="shared" si="151"/>
        <v>6.4</v>
      </c>
      <c r="BP1059" s="9">
        <f t="shared" si="152"/>
        <v>108.29</v>
      </c>
    </row>
    <row r="1060" spans="1:68">
      <c r="A1060" s="6">
        <v>44746</v>
      </c>
      <c r="B1060" s="7">
        <v>3409</v>
      </c>
      <c r="C1060" s="8">
        <v>746.76</v>
      </c>
      <c r="D1060" s="8"/>
      <c r="E1060" s="8"/>
      <c r="F1060" s="8"/>
      <c r="G1060" s="8"/>
      <c r="H1060" s="8"/>
      <c r="I1060" s="8"/>
      <c r="J1060" s="8"/>
      <c r="K1060" s="8"/>
      <c r="L1060" s="8"/>
      <c r="M1060" s="8">
        <v>1.78</v>
      </c>
      <c r="N1060" s="8"/>
      <c r="O1060" s="8"/>
      <c r="P1060" s="8"/>
      <c r="Q1060" s="11"/>
      <c r="R1060" s="11"/>
      <c r="S1060" s="8">
        <v>1.88</v>
      </c>
      <c r="T1060" s="8">
        <v>7.49</v>
      </c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11"/>
      <c r="AQ1060" s="8"/>
      <c r="AR1060" s="8"/>
      <c r="AS1060" s="8"/>
      <c r="AT1060" s="8">
        <v>382.96</v>
      </c>
      <c r="AU1060" s="8"/>
      <c r="AV1060" s="8">
        <v>22.43</v>
      </c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>
        <v>26.1</v>
      </c>
      <c r="BH1060" s="9">
        <f t="shared" si="144"/>
        <v>746.76</v>
      </c>
      <c r="BI1060" s="9">
        <f t="shared" si="145"/>
        <v>1.78</v>
      </c>
      <c r="BJ1060" s="9">
        <f t="shared" si="146"/>
        <v>1.88</v>
      </c>
      <c r="BK1060" s="9">
        <f t="shared" si="147"/>
        <v>7.49</v>
      </c>
      <c r="BL1060" s="9">
        <f t="shared" si="148"/>
        <v>0</v>
      </c>
      <c r="BM1060" s="9">
        <f t="shared" si="149"/>
        <v>0</v>
      </c>
      <c r="BN1060" s="9">
        <f t="shared" si="150"/>
        <v>382.96</v>
      </c>
      <c r="BO1060" s="9">
        <f t="shared" si="151"/>
        <v>22.43</v>
      </c>
      <c r="BP1060" s="9">
        <f t="shared" si="152"/>
        <v>0</v>
      </c>
    </row>
    <row r="1061" spans="1:68">
      <c r="A1061" s="6">
        <v>44746</v>
      </c>
      <c r="B1061" s="7">
        <v>3403</v>
      </c>
      <c r="C1061" s="8">
        <v>374.01</v>
      </c>
      <c r="D1061" s="8">
        <v>372.97</v>
      </c>
      <c r="E1061" s="8"/>
      <c r="F1061" s="8"/>
      <c r="G1061" s="8"/>
      <c r="H1061" s="8"/>
      <c r="I1061" s="8"/>
      <c r="J1061" s="8"/>
      <c r="K1061" s="8"/>
      <c r="L1061" s="8"/>
      <c r="M1061" s="8">
        <v>1.79</v>
      </c>
      <c r="N1061" s="8"/>
      <c r="O1061" s="8"/>
      <c r="P1061" s="8"/>
      <c r="Q1061" s="11"/>
      <c r="R1061" s="11"/>
      <c r="S1061" s="8">
        <v>1.72</v>
      </c>
      <c r="T1061" s="8"/>
      <c r="U1061" s="8"/>
      <c r="V1061" s="8"/>
      <c r="W1061" s="8"/>
      <c r="X1061" s="8">
        <v>7.5369999999999999</v>
      </c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11"/>
      <c r="AQ1061" s="8"/>
      <c r="AR1061" s="8"/>
      <c r="AS1061" s="8"/>
      <c r="AT1061" s="8">
        <v>344.96</v>
      </c>
      <c r="AU1061" s="8"/>
      <c r="AV1061" s="8">
        <v>22.43</v>
      </c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>
        <v>24.67</v>
      </c>
      <c r="BH1061" s="9">
        <f t="shared" si="144"/>
        <v>746.98</v>
      </c>
      <c r="BI1061" s="9">
        <f t="shared" si="145"/>
        <v>1.79</v>
      </c>
      <c r="BJ1061" s="9">
        <f t="shared" si="146"/>
        <v>1.72</v>
      </c>
      <c r="BK1061" s="9">
        <f t="shared" si="147"/>
        <v>7.5369999999999999</v>
      </c>
      <c r="BL1061" s="9">
        <f t="shared" si="148"/>
        <v>0</v>
      </c>
      <c r="BM1061" s="9">
        <f t="shared" si="149"/>
        <v>0</v>
      </c>
      <c r="BN1061" s="9">
        <f t="shared" si="150"/>
        <v>344.96</v>
      </c>
      <c r="BO1061" s="9">
        <f t="shared" si="151"/>
        <v>22.43</v>
      </c>
      <c r="BP1061" s="9">
        <f t="shared" si="152"/>
        <v>0</v>
      </c>
    </row>
    <row r="1062" spans="1:68">
      <c r="A1062" s="6">
        <v>44746</v>
      </c>
      <c r="B1062" s="7">
        <v>3127</v>
      </c>
      <c r="C1062" s="8">
        <v>1105.1300000000001</v>
      </c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>
        <v>3.28</v>
      </c>
      <c r="O1062" s="8"/>
      <c r="P1062" s="8"/>
      <c r="Q1062" s="11"/>
      <c r="R1062" s="11"/>
      <c r="S1062" s="8">
        <v>5.43</v>
      </c>
      <c r="T1062" s="8">
        <v>5.43</v>
      </c>
      <c r="U1062" s="8"/>
      <c r="V1062" s="8"/>
      <c r="W1062" s="8"/>
      <c r="X1062" s="8"/>
      <c r="Y1062" s="8"/>
      <c r="Z1062" s="8">
        <v>166.02</v>
      </c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11"/>
      <c r="AQ1062" s="8"/>
      <c r="AR1062" s="8"/>
      <c r="AS1062" s="8"/>
      <c r="AT1062" s="8">
        <v>542.91999999999996</v>
      </c>
      <c r="AU1062" s="8"/>
      <c r="AV1062" s="8">
        <v>22.16</v>
      </c>
      <c r="AW1062" s="8"/>
      <c r="AX1062" s="8"/>
      <c r="AY1062" s="8"/>
      <c r="AZ1062" s="8"/>
      <c r="BA1062" s="8"/>
      <c r="BB1062" s="8"/>
      <c r="BC1062" s="8"/>
      <c r="BD1062" s="8"/>
      <c r="BE1062" s="8"/>
      <c r="BF1062" s="8">
        <v>55.23</v>
      </c>
      <c r="BG1062" s="8">
        <v>38.75</v>
      </c>
      <c r="BH1062" s="9">
        <f t="shared" si="144"/>
        <v>1105.1300000000001</v>
      </c>
      <c r="BI1062" s="9">
        <f t="shared" si="145"/>
        <v>3.28</v>
      </c>
      <c r="BJ1062" s="9">
        <f t="shared" si="146"/>
        <v>5.43</v>
      </c>
      <c r="BK1062" s="9">
        <f t="shared" si="147"/>
        <v>5.43</v>
      </c>
      <c r="BL1062" s="9">
        <f t="shared" si="148"/>
        <v>166.02</v>
      </c>
      <c r="BM1062" s="9">
        <f t="shared" si="149"/>
        <v>0</v>
      </c>
      <c r="BN1062" s="9">
        <f t="shared" si="150"/>
        <v>542.91999999999996</v>
      </c>
      <c r="BO1062" s="9">
        <f t="shared" si="151"/>
        <v>22.16</v>
      </c>
      <c r="BP1062" s="9">
        <f t="shared" si="152"/>
        <v>55.23</v>
      </c>
    </row>
    <row r="1063" spans="1:68">
      <c r="A1063" s="6">
        <v>44746</v>
      </c>
      <c r="B1063" s="7">
        <v>3102</v>
      </c>
      <c r="C1063" s="8">
        <v>501.13</v>
      </c>
      <c r="D1063" s="8"/>
      <c r="E1063" s="8"/>
      <c r="F1063" s="8"/>
      <c r="G1063" s="8"/>
      <c r="H1063" s="8"/>
      <c r="I1063" s="8"/>
      <c r="J1063" s="8"/>
      <c r="K1063" s="8"/>
      <c r="L1063" s="8"/>
      <c r="M1063" s="8">
        <v>1.24</v>
      </c>
      <c r="N1063" s="8"/>
      <c r="O1063" s="8"/>
      <c r="P1063" s="8"/>
      <c r="Q1063" s="11"/>
      <c r="R1063" s="11"/>
      <c r="S1063" s="8">
        <v>2.2599999999999998</v>
      </c>
      <c r="T1063" s="8">
        <v>3.02</v>
      </c>
      <c r="U1063" s="8">
        <v>3.01</v>
      </c>
      <c r="V1063" s="8"/>
      <c r="W1063" s="8"/>
      <c r="X1063" s="8"/>
      <c r="Y1063" s="8"/>
      <c r="Z1063" s="8"/>
      <c r="AA1063" s="8"/>
      <c r="AB1063" s="8"/>
      <c r="AC1063" s="8">
        <v>2.0099999999999998</v>
      </c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11"/>
      <c r="AQ1063" s="8"/>
      <c r="AR1063" s="8"/>
      <c r="AS1063" s="8"/>
      <c r="AT1063" s="8">
        <v>335.05</v>
      </c>
      <c r="AU1063" s="8"/>
      <c r="AV1063" s="8"/>
      <c r="AW1063" s="8"/>
      <c r="AX1063" s="8"/>
      <c r="AY1063" s="8"/>
      <c r="AZ1063" s="8"/>
      <c r="BA1063" s="8">
        <v>11.45</v>
      </c>
      <c r="BB1063" s="8"/>
      <c r="BC1063" s="8"/>
      <c r="BD1063" s="8"/>
      <c r="BE1063" s="8"/>
      <c r="BF1063" s="8">
        <v>35.11</v>
      </c>
      <c r="BG1063" s="8">
        <v>24.82</v>
      </c>
      <c r="BH1063" s="9">
        <f t="shared" si="144"/>
        <v>501.13</v>
      </c>
      <c r="BI1063" s="9">
        <f t="shared" si="145"/>
        <v>1.24</v>
      </c>
      <c r="BJ1063" s="9">
        <f t="shared" si="146"/>
        <v>2.2599999999999998</v>
      </c>
      <c r="BK1063" s="9">
        <f t="shared" si="147"/>
        <v>6.0299999999999994</v>
      </c>
      <c r="BL1063" s="9">
        <f t="shared" si="148"/>
        <v>0</v>
      </c>
      <c r="BM1063" s="9">
        <f t="shared" si="149"/>
        <v>2.0099999999999998</v>
      </c>
      <c r="BN1063" s="9">
        <f t="shared" si="150"/>
        <v>335.05</v>
      </c>
      <c r="BO1063" s="9">
        <f t="shared" si="151"/>
        <v>11.45</v>
      </c>
      <c r="BP1063" s="9">
        <f t="shared" si="152"/>
        <v>35.11</v>
      </c>
    </row>
    <row r="1064" spans="1:68">
      <c r="A1064" s="6">
        <v>44746</v>
      </c>
      <c r="B1064" s="7">
        <v>3139</v>
      </c>
      <c r="C1064" s="8">
        <v>1566.46</v>
      </c>
      <c r="D1064" s="8"/>
      <c r="E1064" s="8"/>
      <c r="F1064" s="8"/>
      <c r="G1064" s="8"/>
      <c r="H1064" s="8">
        <v>648.46</v>
      </c>
      <c r="I1064" s="8"/>
      <c r="J1064" s="8"/>
      <c r="K1064" s="8"/>
      <c r="L1064" s="8"/>
      <c r="M1064" s="8">
        <v>3.61</v>
      </c>
      <c r="N1064" s="8"/>
      <c r="O1064" s="8"/>
      <c r="P1064" s="8"/>
      <c r="Q1064" s="11"/>
      <c r="R1064" s="11"/>
      <c r="S1064" s="8">
        <v>6.57</v>
      </c>
      <c r="T1064" s="8">
        <v>23.25</v>
      </c>
      <c r="U1064" s="8"/>
      <c r="V1064" s="8"/>
      <c r="W1064" s="8"/>
      <c r="X1064" s="8"/>
      <c r="Y1064" s="8"/>
      <c r="Z1064" s="8"/>
      <c r="AA1064" s="8"/>
      <c r="AB1064" s="8"/>
      <c r="AC1064" s="8">
        <v>7.75</v>
      </c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11"/>
      <c r="AQ1064" s="8"/>
      <c r="AR1064" s="8"/>
      <c r="AS1064" s="8"/>
      <c r="AT1064" s="8">
        <v>1144.75</v>
      </c>
      <c r="AU1064" s="8"/>
      <c r="AV1064" s="8">
        <v>38.729999999999997</v>
      </c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>
        <v>83.22</v>
      </c>
      <c r="BH1064" s="9">
        <f t="shared" si="144"/>
        <v>2214.92</v>
      </c>
      <c r="BI1064" s="9">
        <f t="shared" si="145"/>
        <v>3.61</v>
      </c>
      <c r="BJ1064" s="9">
        <f t="shared" si="146"/>
        <v>6.57</v>
      </c>
      <c r="BK1064" s="9">
        <f t="shared" si="147"/>
        <v>23.25</v>
      </c>
      <c r="BL1064" s="9">
        <f t="shared" si="148"/>
        <v>0</v>
      </c>
      <c r="BM1064" s="9">
        <f t="shared" si="149"/>
        <v>7.75</v>
      </c>
      <c r="BN1064" s="9">
        <f t="shared" si="150"/>
        <v>1144.75</v>
      </c>
      <c r="BO1064" s="9">
        <f t="shared" si="151"/>
        <v>38.729999999999997</v>
      </c>
      <c r="BP1064" s="9">
        <f t="shared" si="152"/>
        <v>0</v>
      </c>
    </row>
    <row r="1065" spans="1:68">
      <c r="A1065" s="6">
        <v>44746</v>
      </c>
      <c r="B1065" s="7">
        <v>3118</v>
      </c>
      <c r="C1065" s="8">
        <v>630.28</v>
      </c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>
        <v>1.88</v>
      </c>
      <c r="O1065" s="8"/>
      <c r="P1065" s="8"/>
      <c r="Q1065" s="11"/>
      <c r="R1065" s="11"/>
      <c r="S1065" s="8">
        <v>3.35</v>
      </c>
      <c r="T1065" s="8">
        <v>3.79</v>
      </c>
      <c r="U1065" s="8">
        <v>3.79</v>
      </c>
      <c r="V1065" s="8"/>
      <c r="W1065" s="8"/>
      <c r="X1065" s="8"/>
      <c r="Y1065" s="8"/>
      <c r="Z1065" s="8"/>
      <c r="AA1065" s="8"/>
      <c r="AB1065" s="8"/>
      <c r="AC1065" s="8">
        <v>2.5299999999999998</v>
      </c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11"/>
      <c r="AQ1065" s="8">
        <v>6.3949999999999996</v>
      </c>
      <c r="AR1065" s="8"/>
      <c r="AS1065" s="8"/>
      <c r="AT1065" s="8">
        <v>408.86</v>
      </c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>
        <v>45.47</v>
      </c>
      <c r="BG1065" s="8">
        <v>31.41</v>
      </c>
      <c r="BH1065" s="9">
        <f t="shared" si="144"/>
        <v>630.28</v>
      </c>
      <c r="BI1065" s="9">
        <f t="shared" si="145"/>
        <v>1.88</v>
      </c>
      <c r="BJ1065" s="9">
        <f t="shared" si="146"/>
        <v>3.35</v>
      </c>
      <c r="BK1065" s="9">
        <f t="shared" si="147"/>
        <v>7.58</v>
      </c>
      <c r="BL1065" s="9">
        <f t="shared" si="148"/>
        <v>0</v>
      </c>
      <c r="BM1065" s="9">
        <f t="shared" si="149"/>
        <v>8.9249999999999989</v>
      </c>
      <c r="BN1065" s="9">
        <f t="shared" si="150"/>
        <v>408.86</v>
      </c>
      <c r="BO1065" s="9">
        <f t="shared" si="151"/>
        <v>0</v>
      </c>
      <c r="BP1065" s="9">
        <f t="shared" si="152"/>
        <v>45.47</v>
      </c>
    </row>
    <row r="1066" spans="1:68">
      <c r="A1066" s="6">
        <v>44747</v>
      </c>
      <c r="B1066" s="7">
        <v>3016</v>
      </c>
      <c r="C1066" s="8"/>
      <c r="D1066" s="8">
        <f>821.85+108.75+1382.89</f>
        <v>2313.4900000000002</v>
      </c>
      <c r="E1066" s="8"/>
      <c r="F1066" s="8"/>
      <c r="G1066" s="8"/>
      <c r="H1066" s="8"/>
      <c r="I1066" s="8">
        <f>759.22+100.08+1272.5</f>
        <v>2131.8000000000002</v>
      </c>
      <c r="J1066" s="8"/>
      <c r="K1066" s="8"/>
      <c r="L1066" s="8"/>
      <c r="M1066" s="8"/>
      <c r="N1066" s="8">
        <f>15.94+1.26+9.51</f>
        <v>26.71</v>
      </c>
      <c r="O1066" s="8"/>
      <c r="P1066" s="8"/>
      <c r="Q1066" s="11"/>
      <c r="R1066" s="11"/>
      <c r="S1066" s="8">
        <f>1.11+0.15+1.86</f>
        <v>3.12</v>
      </c>
      <c r="T1066" s="8">
        <f>15.85+2.1+26.58</f>
        <v>44.53</v>
      </c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>
        <f>6.28+0.82+10.55</f>
        <v>17.650000000000002</v>
      </c>
      <c r="AN1066" s="8">
        <v>53.707999999999998</v>
      </c>
      <c r="AO1066" s="8"/>
      <c r="AP1066" s="11"/>
      <c r="AQ1066" s="8"/>
      <c r="AR1066" s="8">
        <v>111.64100000000001</v>
      </c>
      <c r="AS1066" s="8"/>
      <c r="AT1066" s="8">
        <f>588.28+77.67+988.33</f>
        <v>1654.28</v>
      </c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>
        <f>43.05+5.68+72.17</f>
        <v>120.9</v>
      </c>
      <c r="BH1066" s="9">
        <f t="shared" si="144"/>
        <v>4445.2900000000009</v>
      </c>
      <c r="BI1066" s="9">
        <f t="shared" si="145"/>
        <v>26.71</v>
      </c>
      <c r="BJ1066" s="9">
        <f t="shared" si="146"/>
        <v>3.12</v>
      </c>
      <c r="BK1066" s="9">
        <f t="shared" si="147"/>
        <v>44.53</v>
      </c>
      <c r="BL1066" s="9">
        <f t="shared" si="148"/>
        <v>0</v>
      </c>
      <c r="BM1066" s="9">
        <f t="shared" si="149"/>
        <v>182.99900000000002</v>
      </c>
      <c r="BN1066" s="9">
        <f t="shared" si="150"/>
        <v>1654.28</v>
      </c>
      <c r="BO1066" s="9">
        <f t="shared" si="151"/>
        <v>0</v>
      </c>
      <c r="BP1066" s="9">
        <f t="shared" si="152"/>
        <v>0</v>
      </c>
    </row>
    <row r="1067" spans="1:68">
      <c r="A1067" s="6">
        <v>44747</v>
      </c>
      <c r="B1067" s="7">
        <v>3307</v>
      </c>
      <c r="C1067" s="8"/>
      <c r="D1067" s="8">
        <v>1894.34</v>
      </c>
      <c r="E1067" s="8"/>
      <c r="F1067" s="8"/>
      <c r="G1067" s="8"/>
      <c r="H1067" s="8"/>
      <c r="I1067" s="8"/>
      <c r="J1067" s="8"/>
      <c r="K1067" s="8"/>
      <c r="L1067" s="8"/>
      <c r="M1067" s="8">
        <v>2.4900000000000002</v>
      </c>
      <c r="N1067" s="8"/>
      <c r="O1067" s="8"/>
      <c r="P1067" s="8">
        <v>9.827</v>
      </c>
      <c r="Q1067" s="11"/>
      <c r="R1067" s="11"/>
      <c r="S1067" s="8">
        <v>13.84</v>
      </c>
      <c r="T1067" s="8">
        <v>19.03</v>
      </c>
      <c r="U1067" s="8"/>
      <c r="V1067" s="8"/>
      <c r="W1067" s="8"/>
      <c r="X1067" s="8"/>
      <c r="Y1067" s="8"/>
      <c r="Z1067" s="8"/>
      <c r="AA1067" s="8"/>
      <c r="AB1067" s="8"/>
      <c r="AC1067" s="8">
        <v>11.38</v>
      </c>
      <c r="AD1067" s="8"/>
      <c r="AE1067" s="8"/>
      <c r="AF1067" s="8"/>
      <c r="AG1067" s="8">
        <v>19.04</v>
      </c>
      <c r="AH1067" s="8"/>
      <c r="AI1067" s="8"/>
      <c r="AJ1067" s="8"/>
      <c r="AK1067" s="8"/>
      <c r="AL1067" s="8"/>
      <c r="AM1067" s="8"/>
      <c r="AN1067" s="8"/>
      <c r="AO1067" s="8"/>
      <c r="AP1067" s="11"/>
      <c r="AQ1067" s="8">
        <v>24.648</v>
      </c>
      <c r="AR1067" s="8">
        <v>85.762</v>
      </c>
      <c r="AS1067" s="8"/>
      <c r="AT1067" s="8"/>
      <c r="AU1067" s="8">
        <v>950.5</v>
      </c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>
        <v>68.14</v>
      </c>
      <c r="BH1067" s="9">
        <f t="shared" si="144"/>
        <v>1894.34</v>
      </c>
      <c r="BI1067" s="9">
        <f t="shared" si="145"/>
        <v>12.317</v>
      </c>
      <c r="BJ1067" s="9">
        <f t="shared" si="146"/>
        <v>13.84</v>
      </c>
      <c r="BK1067" s="9">
        <f t="shared" si="147"/>
        <v>19.03</v>
      </c>
      <c r="BL1067" s="9">
        <f t="shared" si="148"/>
        <v>0</v>
      </c>
      <c r="BM1067" s="9">
        <f t="shared" si="149"/>
        <v>140.82999999999998</v>
      </c>
      <c r="BN1067" s="9">
        <f t="shared" si="150"/>
        <v>950.5</v>
      </c>
      <c r="BO1067" s="9">
        <f t="shared" si="151"/>
        <v>0</v>
      </c>
      <c r="BP1067" s="9">
        <f t="shared" si="152"/>
        <v>0</v>
      </c>
    </row>
    <row r="1068" spans="1:68">
      <c r="A1068" s="6">
        <v>44747</v>
      </c>
      <c r="B1068" s="7">
        <v>3081</v>
      </c>
      <c r="C1068" s="8"/>
      <c r="D1068" s="8">
        <v>283.95999999999998</v>
      </c>
      <c r="E1068" s="8"/>
      <c r="F1068" s="8">
        <v>320.05</v>
      </c>
      <c r="G1068" s="8"/>
      <c r="H1068" s="8"/>
      <c r="I1068" s="8">
        <v>1168.04</v>
      </c>
      <c r="J1068" s="8"/>
      <c r="K1068" s="8"/>
      <c r="L1068" s="8"/>
      <c r="M1068" s="8"/>
      <c r="N1068" s="8">
        <v>13</v>
      </c>
      <c r="O1068" s="8"/>
      <c r="P1068" s="8"/>
      <c r="Q1068" s="11"/>
      <c r="R1068" s="11"/>
      <c r="S1068" s="8">
        <v>1.25</v>
      </c>
      <c r="T1068" s="8">
        <v>17.78</v>
      </c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11"/>
      <c r="AQ1068" s="8"/>
      <c r="AR1068" s="8"/>
      <c r="AS1068" s="8"/>
      <c r="AT1068" s="8">
        <v>557.41</v>
      </c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>
        <v>36.74</v>
      </c>
      <c r="BH1068" s="9">
        <f t="shared" si="144"/>
        <v>1772.05</v>
      </c>
      <c r="BI1068" s="9">
        <f t="shared" si="145"/>
        <v>13</v>
      </c>
      <c r="BJ1068" s="9">
        <f t="shared" si="146"/>
        <v>1.25</v>
      </c>
      <c r="BK1068" s="9">
        <f t="shared" si="147"/>
        <v>17.78</v>
      </c>
      <c r="BL1068" s="9">
        <f t="shared" si="148"/>
        <v>0</v>
      </c>
      <c r="BM1068" s="9">
        <f t="shared" si="149"/>
        <v>0</v>
      </c>
      <c r="BN1068" s="9">
        <f t="shared" si="150"/>
        <v>557.41</v>
      </c>
      <c r="BO1068" s="9">
        <f t="shared" si="151"/>
        <v>0</v>
      </c>
      <c r="BP1068" s="9">
        <f t="shared" si="152"/>
        <v>0</v>
      </c>
    </row>
    <row r="1069" spans="1:68">
      <c r="A1069" s="6">
        <v>44747</v>
      </c>
      <c r="B1069" s="7">
        <v>3029</v>
      </c>
      <c r="C1069" s="8"/>
      <c r="D1069" s="8">
        <v>455.44</v>
      </c>
      <c r="E1069" s="8"/>
      <c r="F1069" s="8">
        <v>321.5</v>
      </c>
      <c r="G1069" s="8"/>
      <c r="H1069" s="8"/>
      <c r="I1069" s="8">
        <v>1899.87</v>
      </c>
      <c r="J1069" s="8"/>
      <c r="K1069" s="8"/>
      <c r="L1069" s="8"/>
      <c r="M1069" s="8"/>
      <c r="N1069" s="8">
        <v>20.67</v>
      </c>
      <c r="O1069" s="8"/>
      <c r="P1069" s="8"/>
      <c r="Q1069" s="11"/>
      <c r="R1069" s="11"/>
      <c r="S1069" s="8">
        <v>1.6</v>
      </c>
      <c r="T1069" s="8"/>
      <c r="U1069" s="8"/>
      <c r="V1069" s="8"/>
      <c r="W1069" s="8">
        <v>27.346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>
        <v>9.33</v>
      </c>
      <c r="AN1069" s="8">
        <v>13.458</v>
      </c>
      <c r="AO1069" s="8"/>
      <c r="AP1069" s="11"/>
      <c r="AQ1069" s="8"/>
      <c r="AR1069" s="8">
        <v>81.430999999999997</v>
      </c>
      <c r="AS1069" s="8"/>
      <c r="AT1069" s="8">
        <v>1017.37</v>
      </c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>
        <v>71.010000000000005</v>
      </c>
      <c r="BH1069" s="9">
        <f t="shared" si="144"/>
        <v>2676.81</v>
      </c>
      <c r="BI1069" s="9">
        <f t="shared" si="145"/>
        <v>20.67</v>
      </c>
      <c r="BJ1069" s="9">
        <f t="shared" si="146"/>
        <v>1.6</v>
      </c>
      <c r="BK1069" s="9">
        <f t="shared" si="147"/>
        <v>27.346</v>
      </c>
      <c r="BL1069" s="9">
        <f t="shared" si="148"/>
        <v>0</v>
      </c>
      <c r="BM1069" s="9">
        <f t="shared" si="149"/>
        <v>104.21899999999999</v>
      </c>
      <c r="BN1069" s="9">
        <f t="shared" si="150"/>
        <v>1017.37</v>
      </c>
      <c r="BO1069" s="9">
        <f t="shared" si="151"/>
        <v>0</v>
      </c>
      <c r="BP1069" s="9">
        <f t="shared" si="152"/>
        <v>0</v>
      </c>
    </row>
    <row r="1070" spans="1:68">
      <c r="A1070" s="6">
        <v>44747</v>
      </c>
      <c r="B1070" s="7">
        <v>3022</v>
      </c>
      <c r="C1070" s="8"/>
      <c r="D1070" s="8">
        <v>573.42999999999995</v>
      </c>
      <c r="E1070" s="8"/>
      <c r="F1070" s="8"/>
      <c r="G1070" s="8"/>
      <c r="H1070" s="8"/>
      <c r="I1070" s="8">
        <v>461.2</v>
      </c>
      <c r="J1070" s="8"/>
      <c r="K1070" s="8"/>
      <c r="L1070" s="8"/>
      <c r="M1070" s="8"/>
      <c r="N1070" s="8">
        <v>5.2</v>
      </c>
      <c r="O1070" s="8"/>
      <c r="P1070" s="8"/>
      <c r="Q1070" s="11"/>
      <c r="R1070" s="11"/>
      <c r="S1070" s="8">
        <v>1.87</v>
      </c>
      <c r="T1070" s="8"/>
      <c r="U1070" s="8"/>
      <c r="V1070" s="8"/>
      <c r="W1070" s="8">
        <v>10.593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>
        <v>13.43</v>
      </c>
      <c r="AN1070" s="8"/>
      <c r="AO1070" s="8"/>
      <c r="AP1070" s="11"/>
      <c r="AQ1070" s="8"/>
      <c r="AR1070" s="8"/>
      <c r="AS1070" s="8">
        <v>36.93</v>
      </c>
      <c r="AT1070" s="8">
        <v>485.6</v>
      </c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>
        <v>37.380000000000003</v>
      </c>
      <c r="BH1070" s="9">
        <f t="shared" si="144"/>
        <v>1034.6299999999999</v>
      </c>
      <c r="BI1070" s="9">
        <f t="shared" si="145"/>
        <v>5.2</v>
      </c>
      <c r="BJ1070" s="9">
        <f t="shared" si="146"/>
        <v>1.87</v>
      </c>
      <c r="BK1070" s="9">
        <f t="shared" si="147"/>
        <v>10.593</v>
      </c>
      <c r="BL1070" s="9">
        <f t="shared" si="148"/>
        <v>0</v>
      </c>
      <c r="BM1070" s="9">
        <f t="shared" si="149"/>
        <v>50.36</v>
      </c>
      <c r="BN1070" s="9">
        <f t="shared" si="150"/>
        <v>485.6</v>
      </c>
      <c r="BO1070" s="9">
        <f t="shared" si="151"/>
        <v>0</v>
      </c>
      <c r="BP1070" s="9">
        <f t="shared" si="152"/>
        <v>0</v>
      </c>
    </row>
    <row r="1071" spans="1:68">
      <c r="A1071" s="6">
        <v>44747</v>
      </c>
      <c r="B1071" s="7">
        <v>3020</v>
      </c>
      <c r="C1071" s="8"/>
      <c r="D1071" s="8">
        <v>163.19999999999999</v>
      </c>
      <c r="E1071" s="8"/>
      <c r="F1071" s="8"/>
      <c r="G1071" s="8"/>
      <c r="H1071" s="8"/>
      <c r="I1071" s="8">
        <v>910.32</v>
      </c>
      <c r="J1071" s="8"/>
      <c r="K1071" s="8"/>
      <c r="L1071" s="8"/>
      <c r="M1071" s="8"/>
      <c r="N1071" s="8">
        <v>6.47</v>
      </c>
      <c r="O1071" s="8"/>
      <c r="P1071" s="8"/>
      <c r="Q1071" s="11"/>
      <c r="R1071" s="11"/>
      <c r="S1071" s="8">
        <v>1.94</v>
      </c>
      <c r="T1071" s="8"/>
      <c r="U1071" s="8"/>
      <c r="V1071" s="8"/>
      <c r="W1071" s="8">
        <v>10.919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>
        <v>10.72</v>
      </c>
      <c r="AN1071" s="8"/>
      <c r="AO1071" s="8"/>
      <c r="AP1071" s="11"/>
      <c r="AQ1071" s="8"/>
      <c r="AR1071" s="8"/>
      <c r="AS1071" s="8">
        <v>27.218</v>
      </c>
      <c r="AT1071" s="8">
        <v>531.14</v>
      </c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>
        <v>38.75</v>
      </c>
      <c r="BH1071" s="9">
        <f t="shared" si="144"/>
        <v>1073.52</v>
      </c>
      <c r="BI1071" s="9">
        <f t="shared" si="145"/>
        <v>6.47</v>
      </c>
      <c r="BJ1071" s="9">
        <f t="shared" si="146"/>
        <v>1.94</v>
      </c>
      <c r="BK1071" s="9">
        <f t="shared" si="147"/>
        <v>10.919</v>
      </c>
      <c r="BL1071" s="9">
        <f t="shared" si="148"/>
        <v>0</v>
      </c>
      <c r="BM1071" s="9">
        <f t="shared" si="149"/>
        <v>37.938000000000002</v>
      </c>
      <c r="BN1071" s="9">
        <f t="shared" si="150"/>
        <v>531.14</v>
      </c>
      <c r="BO1071" s="9">
        <f t="shared" si="151"/>
        <v>0</v>
      </c>
      <c r="BP1071" s="9">
        <f t="shared" si="152"/>
        <v>0</v>
      </c>
    </row>
    <row r="1072" spans="1:68">
      <c r="A1072" s="6">
        <v>44747</v>
      </c>
      <c r="B1072" s="7">
        <v>3604</v>
      </c>
      <c r="C1072" s="8">
        <v>619.76</v>
      </c>
      <c r="D1072" s="8"/>
      <c r="E1072" s="8"/>
      <c r="F1072" s="8"/>
      <c r="G1072" s="8">
        <v>930.54</v>
      </c>
      <c r="H1072" s="8"/>
      <c r="I1072" s="8"/>
      <c r="J1072" s="8"/>
      <c r="K1072" s="8"/>
      <c r="L1072" s="8"/>
      <c r="M1072" s="8">
        <v>0.88</v>
      </c>
      <c r="N1072" s="8"/>
      <c r="O1072" s="8"/>
      <c r="P1072" s="8"/>
      <c r="Q1072" s="11"/>
      <c r="R1072" s="11"/>
      <c r="S1072" s="8">
        <v>8.24</v>
      </c>
      <c r="T1072" s="8"/>
      <c r="U1072" s="8">
        <v>5.0199999999999996</v>
      </c>
      <c r="V1072" s="8">
        <v>15.1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11"/>
      <c r="AQ1072" s="8"/>
      <c r="AR1072" s="8"/>
      <c r="AS1072" s="8"/>
      <c r="AT1072" s="8">
        <v>627.52</v>
      </c>
      <c r="AU1072" s="8"/>
      <c r="AV1072" s="8"/>
      <c r="AW1072" s="8">
        <v>40.31</v>
      </c>
      <c r="AX1072" s="8"/>
      <c r="AY1072" s="8"/>
      <c r="AZ1072" s="8"/>
      <c r="BA1072" s="8"/>
      <c r="BB1072" s="8"/>
      <c r="BC1072" s="8"/>
      <c r="BD1072" s="8"/>
      <c r="BE1072" s="8"/>
      <c r="BF1072" s="8">
        <v>49.94</v>
      </c>
      <c r="BG1072" s="8">
        <v>46.78</v>
      </c>
      <c r="BH1072" s="9">
        <f t="shared" si="144"/>
        <v>1550.3</v>
      </c>
      <c r="BI1072" s="9">
        <f t="shared" si="145"/>
        <v>0.88</v>
      </c>
      <c r="BJ1072" s="9">
        <f t="shared" si="146"/>
        <v>8.24</v>
      </c>
      <c r="BK1072" s="9">
        <f t="shared" si="147"/>
        <v>20.119999999999997</v>
      </c>
      <c r="BL1072" s="9">
        <f t="shared" si="148"/>
        <v>0</v>
      </c>
      <c r="BM1072" s="9">
        <f t="shared" si="149"/>
        <v>0</v>
      </c>
      <c r="BN1072" s="9">
        <f t="shared" si="150"/>
        <v>627.52</v>
      </c>
      <c r="BO1072" s="9">
        <f t="shared" si="151"/>
        <v>40.31</v>
      </c>
      <c r="BP1072" s="9">
        <f t="shared" si="152"/>
        <v>49.94</v>
      </c>
    </row>
    <row r="1073" spans="1:68">
      <c r="A1073" s="6">
        <v>44747</v>
      </c>
      <c r="B1073" s="7">
        <v>3106</v>
      </c>
      <c r="C1073" s="8">
        <v>6121.75</v>
      </c>
      <c r="D1073" s="8"/>
      <c r="E1073" s="8"/>
      <c r="F1073" s="8"/>
      <c r="G1073" s="8"/>
      <c r="H1073" s="8"/>
      <c r="I1073" s="8"/>
      <c r="J1073" s="8"/>
      <c r="K1073" s="8"/>
      <c r="L1073" s="8"/>
      <c r="M1073" s="8">
        <v>16.510000000000002</v>
      </c>
      <c r="N1073" s="8"/>
      <c r="O1073" s="8"/>
      <c r="P1073" s="8"/>
      <c r="Q1073" s="11"/>
      <c r="R1073" s="11"/>
      <c r="S1073" s="8">
        <v>18.43</v>
      </c>
      <c r="T1073" s="8">
        <v>77.73</v>
      </c>
      <c r="U1073" s="8"/>
      <c r="V1073" s="8"/>
      <c r="W1073" s="8"/>
      <c r="X1073" s="8"/>
      <c r="Y1073" s="8"/>
      <c r="Z1073" s="8"/>
      <c r="AA1073" s="8"/>
      <c r="AB1073" s="8"/>
      <c r="AC1073" s="8">
        <v>15.32</v>
      </c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11"/>
      <c r="AQ1073" s="8"/>
      <c r="AR1073" s="8"/>
      <c r="AS1073" s="8"/>
      <c r="AT1073" s="8">
        <v>3507.17</v>
      </c>
      <c r="AU1073" s="8"/>
      <c r="AV1073" s="8"/>
      <c r="AW1073" s="8"/>
      <c r="AX1073" s="8">
        <v>7.67</v>
      </c>
      <c r="AY1073" s="8"/>
      <c r="AZ1073" s="8"/>
      <c r="BA1073" s="8"/>
      <c r="BB1073" s="8"/>
      <c r="BC1073" s="8"/>
      <c r="BD1073" s="8"/>
      <c r="BE1073" s="8"/>
      <c r="BF1073" s="8"/>
      <c r="BG1073" s="8">
        <v>263.24</v>
      </c>
      <c r="BH1073" s="9">
        <f t="shared" si="144"/>
        <v>6121.75</v>
      </c>
      <c r="BI1073" s="9">
        <f t="shared" si="145"/>
        <v>16.510000000000002</v>
      </c>
      <c r="BJ1073" s="9">
        <f t="shared" si="146"/>
        <v>18.43</v>
      </c>
      <c r="BK1073" s="9">
        <f t="shared" si="147"/>
        <v>77.73</v>
      </c>
      <c r="BL1073" s="9">
        <f t="shared" si="148"/>
        <v>0</v>
      </c>
      <c r="BM1073" s="9">
        <f t="shared" si="149"/>
        <v>15.32</v>
      </c>
      <c r="BN1073" s="9">
        <f t="shared" si="150"/>
        <v>3507.17</v>
      </c>
      <c r="BO1073" s="9">
        <f t="shared" si="151"/>
        <v>7.67</v>
      </c>
      <c r="BP1073" s="9">
        <f t="shared" si="152"/>
        <v>0</v>
      </c>
    </row>
    <row r="1074" spans="1:68">
      <c r="A1074" s="6">
        <v>44747</v>
      </c>
      <c r="B1074" s="7">
        <v>3134</v>
      </c>
      <c r="C1074" s="8">
        <v>1045.49</v>
      </c>
      <c r="D1074" s="8">
        <v>146.75</v>
      </c>
      <c r="E1074" s="8"/>
      <c r="F1074" s="8"/>
      <c r="G1074" s="8"/>
      <c r="H1074" s="8">
        <v>493.96</v>
      </c>
      <c r="I1074" s="8"/>
      <c r="J1074" s="8"/>
      <c r="K1074" s="8"/>
      <c r="L1074" s="8"/>
      <c r="M1074" s="8">
        <v>3.26</v>
      </c>
      <c r="N1074" s="8"/>
      <c r="O1074" s="8"/>
      <c r="P1074" s="8"/>
      <c r="Q1074" s="11"/>
      <c r="R1074" s="11"/>
      <c r="S1074" s="8">
        <v>6.77</v>
      </c>
      <c r="T1074" s="8">
        <v>10.26</v>
      </c>
      <c r="U1074" s="8">
        <v>8.77</v>
      </c>
      <c r="V1074" s="8"/>
      <c r="W1074" s="8"/>
      <c r="X1074" s="8"/>
      <c r="Y1074" s="8"/>
      <c r="Z1074" s="8"/>
      <c r="AA1074" s="8"/>
      <c r="AB1074" s="8"/>
      <c r="AC1074" s="8">
        <v>5.89</v>
      </c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11"/>
      <c r="AQ1074" s="8"/>
      <c r="AR1074" s="8"/>
      <c r="AS1074" s="8"/>
      <c r="AT1074" s="8">
        <v>1035.8800000000001</v>
      </c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>
        <v>65.94</v>
      </c>
      <c r="BG1074" s="8">
        <v>77.84</v>
      </c>
      <c r="BH1074" s="9">
        <f t="shared" si="144"/>
        <v>1686.2</v>
      </c>
      <c r="BI1074" s="9">
        <f t="shared" si="145"/>
        <v>3.26</v>
      </c>
      <c r="BJ1074" s="9">
        <f t="shared" si="146"/>
        <v>6.77</v>
      </c>
      <c r="BK1074" s="9">
        <f t="shared" si="147"/>
        <v>19.03</v>
      </c>
      <c r="BL1074" s="9">
        <f t="shared" si="148"/>
        <v>0</v>
      </c>
      <c r="BM1074" s="9">
        <f t="shared" si="149"/>
        <v>5.89</v>
      </c>
      <c r="BN1074" s="9">
        <f t="shared" si="150"/>
        <v>1035.8800000000001</v>
      </c>
      <c r="BO1074" s="9">
        <f t="shared" si="151"/>
        <v>0</v>
      </c>
      <c r="BP1074" s="9">
        <f t="shared" si="152"/>
        <v>65.94</v>
      </c>
    </row>
    <row r="1075" spans="1:68">
      <c r="A1075" s="6">
        <v>44747</v>
      </c>
      <c r="B1075" s="7">
        <v>3141</v>
      </c>
      <c r="C1075" s="8">
        <v>1254.03</v>
      </c>
      <c r="D1075" s="8">
        <v>219.65</v>
      </c>
      <c r="E1075" s="8"/>
      <c r="F1075" s="8"/>
      <c r="G1075" s="8"/>
      <c r="H1075" s="8"/>
      <c r="I1075" s="8"/>
      <c r="J1075" s="8"/>
      <c r="K1075" s="8"/>
      <c r="L1075" s="8"/>
      <c r="M1075" s="8">
        <v>4.03</v>
      </c>
      <c r="N1075" s="8"/>
      <c r="O1075" s="8"/>
      <c r="P1075" s="8"/>
      <c r="Q1075" s="11"/>
      <c r="R1075" s="11"/>
      <c r="S1075" s="8">
        <v>7</v>
      </c>
      <c r="T1075" s="8">
        <v>11.15</v>
      </c>
      <c r="U1075" s="8">
        <v>11.18</v>
      </c>
      <c r="V1075" s="8"/>
      <c r="W1075" s="8"/>
      <c r="X1075" s="8"/>
      <c r="Y1075" s="8"/>
      <c r="Z1075" s="8"/>
      <c r="AA1075" s="8"/>
      <c r="AB1075" s="8"/>
      <c r="AC1075" s="8">
        <v>5.96</v>
      </c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11"/>
      <c r="AQ1075" s="8"/>
      <c r="AR1075" s="8"/>
      <c r="AS1075" s="8"/>
      <c r="AT1075" s="8">
        <v>983.06</v>
      </c>
      <c r="AU1075" s="8"/>
      <c r="AV1075" s="8"/>
      <c r="AW1075" s="8"/>
      <c r="AX1075" s="8"/>
      <c r="AY1075" s="8"/>
      <c r="AZ1075" s="8"/>
      <c r="BA1075" s="8">
        <v>34.130000000000003</v>
      </c>
      <c r="BB1075" s="8"/>
      <c r="BC1075" s="8"/>
      <c r="BD1075" s="8"/>
      <c r="BE1075" s="8"/>
      <c r="BF1075" s="8">
        <v>103.81</v>
      </c>
      <c r="BG1075" s="8">
        <v>77.69</v>
      </c>
      <c r="BH1075" s="9">
        <f t="shared" si="144"/>
        <v>1473.68</v>
      </c>
      <c r="BI1075" s="9">
        <f t="shared" si="145"/>
        <v>4.03</v>
      </c>
      <c r="BJ1075" s="9">
        <f t="shared" si="146"/>
        <v>7</v>
      </c>
      <c r="BK1075" s="9">
        <f t="shared" si="147"/>
        <v>22.33</v>
      </c>
      <c r="BL1075" s="9">
        <f t="shared" si="148"/>
        <v>0</v>
      </c>
      <c r="BM1075" s="9">
        <f t="shared" si="149"/>
        <v>5.96</v>
      </c>
      <c r="BN1075" s="9">
        <f t="shared" si="150"/>
        <v>983.06</v>
      </c>
      <c r="BO1075" s="9">
        <f t="shared" si="151"/>
        <v>34.130000000000003</v>
      </c>
      <c r="BP1075" s="9">
        <f t="shared" si="152"/>
        <v>103.81</v>
      </c>
    </row>
    <row r="1076" spans="1:68">
      <c r="A1076" s="6">
        <v>44748</v>
      </c>
      <c r="B1076" s="7">
        <v>3200</v>
      </c>
      <c r="C1076" s="8">
        <v>2204.4</v>
      </c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>
        <v>5.53</v>
      </c>
      <c r="P1076" s="8"/>
      <c r="Q1076" s="11"/>
      <c r="R1076" s="11"/>
      <c r="S1076" s="8">
        <v>8.66</v>
      </c>
      <c r="T1076" s="8"/>
      <c r="U1076" s="8">
        <v>33.26</v>
      </c>
      <c r="V1076" s="8"/>
      <c r="W1076" s="8"/>
      <c r="X1076" s="8"/>
      <c r="Y1076" s="8"/>
      <c r="Z1076" s="8">
        <v>465.95</v>
      </c>
      <c r="AA1076" s="8"/>
      <c r="AB1076" s="8"/>
      <c r="AC1076" s="8"/>
      <c r="AD1076" s="8"/>
      <c r="AE1076" s="8"/>
      <c r="AF1076" s="8">
        <v>109.9</v>
      </c>
      <c r="AG1076" s="8"/>
      <c r="AH1076" s="8"/>
      <c r="AI1076" s="8"/>
      <c r="AJ1076" s="8"/>
      <c r="AK1076" s="8"/>
      <c r="AL1076" s="8"/>
      <c r="AM1076" s="8"/>
      <c r="AN1076" s="8"/>
      <c r="AO1076" s="8"/>
      <c r="AP1076" s="11"/>
      <c r="AQ1076" s="8">
        <v>33.912999999999997</v>
      </c>
      <c r="AR1076" s="8"/>
      <c r="AS1076" s="8"/>
      <c r="AT1076" s="8">
        <v>1514.19</v>
      </c>
      <c r="AU1076" s="8"/>
      <c r="AV1076" s="8"/>
      <c r="AW1076" s="8">
        <v>6.44</v>
      </c>
      <c r="AX1076" s="8"/>
      <c r="AY1076" s="8"/>
      <c r="AZ1076" s="8"/>
      <c r="BA1076" s="8"/>
      <c r="BB1076" s="8"/>
      <c r="BC1076" s="8"/>
      <c r="BD1076" s="8"/>
      <c r="BE1076" s="8"/>
      <c r="BF1076" s="8">
        <v>106.38</v>
      </c>
      <c r="BG1076" s="8">
        <v>109.51</v>
      </c>
      <c r="BH1076" s="9">
        <f t="shared" si="144"/>
        <v>2204.4</v>
      </c>
      <c r="BI1076" s="9">
        <f t="shared" si="145"/>
        <v>5.53</v>
      </c>
      <c r="BJ1076" s="9">
        <f t="shared" si="146"/>
        <v>8.66</v>
      </c>
      <c r="BK1076" s="9">
        <f t="shared" si="147"/>
        <v>33.26</v>
      </c>
      <c r="BL1076" s="9">
        <f t="shared" si="148"/>
        <v>465.95</v>
      </c>
      <c r="BM1076" s="9">
        <f t="shared" si="149"/>
        <v>143.81299999999999</v>
      </c>
      <c r="BN1076" s="9">
        <f t="shared" si="150"/>
        <v>1514.19</v>
      </c>
      <c r="BO1076" s="9">
        <f t="shared" si="151"/>
        <v>6.44</v>
      </c>
      <c r="BP1076" s="9">
        <f t="shared" si="152"/>
        <v>106.38</v>
      </c>
    </row>
    <row r="1077" spans="1:68">
      <c r="A1077" s="6">
        <v>44748</v>
      </c>
      <c r="B1077" s="7">
        <v>3007</v>
      </c>
      <c r="C1077" s="8">
        <v>808.56</v>
      </c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>
        <v>0.82</v>
      </c>
      <c r="O1077" s="8"/>
      <c r="P1077" s="8"/>
      <c r="Q1077" s="11"/>
      <c r="R1077" s="11"/>
      <c r="S1077" s="8">
        <v>3</v>
      </c>
      <c r="T1077" s="8">
        <v>8.1199999999999992</v>
      </c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11"/>
      <c r="AQ1077" s="8"/>
      <c r="AR1077" s="8"/>
      <c r="AS1077" s="8"/>
      <c r="AT1077" s="8">
        <v>405.83</v>
      </c>
      <c r="AU1077" s="8"/>
      <c r="AV1077" s="8"/>
      <c r="AW1077" s="8">
        <v>9.0299999999999994</v>
      </c>
      <c r="AX1077" s="8"/>
      <c r="AY1077" s="8"/>
      <c r="AZ1077" s="8"/>
      <c r="BA1077" s="8"/>
      <c r="BB1077" s="8"/>
      <c r="BC1077" s="8"/>
      <c r="BD1077" s="8"/>
      <c r="BE1077" s="8"/>
      <c r="BF1077" s="8"/>
      <c r="BG1077" s="8">
        <v>29.95</v>
      </c>
      <c r="BH1077" s="9">
        <f t="shared" si="144"/>
        <v>808.56</v>
      </c>
      <c r="BI1077" s="9">
        <f t="shared" si="145"/>
        <v>0.82</v>
      </c>
      <c r="BJ1077" s="9">
        <f t="shared" si="146"/>
        <v>3</v>
      </c>
      <c r="BK1077" s="9">
        <f t="shared" si="147"/>
        <v>8.1199999999999992</v>
      </c>
      <c r="BL1077" s="9">
        <f t="shared" si="148"/>
        <v>0</v>
      </c>
      <c r="BM1077" s="9">
        <f t="shared" si="149"/>
        <v>0</v>
      </c>
      <c r="BN1077" s="9">
        <f t="shared" si="150"/>
        <v>405.83</v>
      </c>
      <c r="BO1077" s="9">
        <f t="shared" si="151"/>
        <v>9.0299999999999994</v>
      </c>
      <c r="BP1077" s="9">
        <f t="shared" si="152"/>
        <v>0</v>
      </c>
    </row>
    <row r="1078" spans="1:68">
      <c r="A1078" s="6">
        <v>44748</v>
      </c>
      <c r="B1078" s="7">
        <v>3408</v>
      </c>
      <c r="C1078" s="8">
        <v>1998.67</v>
      </c>
      <c r="D1078" s="8"/>
      <c r="E1078" s="8"/>
      <c r="F1078" s="8"/>
      <c r="G1078" s="8"/>
      <c r="H1078" s="8"/>
      <c r="I1078" s="8"/>
      <c r="J1078" s="8"/>
      <c r="K1078" s="8"/>
      <c r="L1078" s="8"/>
      <c r="M1078" s="8">
        <v>4.8099999999999996</v>
      </c>
      <c r="N1078" s="8"/>
      <c r="O1078" s="8"/>
      <c r="P1078" s="8"/>
      <c r="Q1078" s="11"/>
      <c r="R1078" s="11"/>
      <c r="S1078" s="8">
        <v>5.0199999999999996</v>
      </c>
      <c r="T1078" s="8">
        <v>20.04</v>
      </c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11"/>
      <c r="AQ1078" s="8"/>
      <c r="AR1078" s="8"/>
      <c r="AS1078" s="8"/>
      <c r="AT1078" s="8">
        <v>1024.1400000000001</v>
      </c>
      <c r="AU1078" s="8"/>
      <c r="AV1078" s="8"/>
      <c r="AW1078" s="8"/>
      <c r="AX1078" s="8"/>
      <c r="AY1078" s="8"/>
      <c r="AZ1078" s="8"/>
      <c r="BA1078" s="8">
        <v>9.0299999999999994</v>
      </c>
      <c r="BB1078" s="8"/>
      <c r="BC1078" s="8"/>
      <c r="BD1078" s="8"/>
      <c r="BE1078" s="8"/>
      <c r="BF1078" s="8"/>
      <c r="BG1078" s="8">
        <v>70.430000000000007</v>
      </c>
      <c r="BH1078" s="9">
        <f t="shared" si="144"/>
        <v>1998.67</v>
      </c>
      <c r="BI1078" s="9">
        <f t="shared" si="145"/>
        <v>4.8099999999999996</v>
      </c>
      <c r="BJ1078" s="9">
        <f t="shared" si="146"/>
        <v>5.0199999999999996</v>
      </c>
      <c r="BK1078" s="9">
        <f t="shared" si="147"/>
        <v>20.04</v>
      </c>
      <c r="BL1078" s="9">
        <f t="shared" si="148"/>
        <v>0</v>
      </c>
      <c r="BM1078" s="9">
        <f t="shared" si="149"/>
        <v>0</v>
      </c>
      <c r="BN1078" s="9">
        <f t="shared" si="150"/>
        <v>1024.1400000000001</v>
      </c>
      <c r="BO1078" s="9">
        <f t="shared" si="151"/>
        <v>9.0299999999999994</v>
      </c>
      <c r="BP1078" s="9">
        <f t="shared" si="152"/>
        <v>0</v>
      </c>
    </row>
    <row r="1079" spans="1:68">
      <c r="A1079" s="6">
        <v>44748</v>
      </c>
      <c r="B1079" s="7">
        <v>3405</v>
      </c>
      <c r="C1079" s="8">
        <f>1377.93+406.91</f>
        <v>1784.8400000000001</v>
      </c>
      <c r="D1079" s="8">
        <f>345.89+101.56</f>
        <v>447.45</v>
      </c>
      <c r="E1079" s="8"/>
      <c r="F1079" s="8"/>
      <c r="G1079" s="8"/>
      <c r="H1079" s="8"/>
      <c r="I1079" s="8"/>
      <c r="J1079" s="8"/>
      <c r="K1079" s="8"/>
      <c r="L1079" s="8"/>
      <c r="M1079" s="8">
        <f>3.99+1.08</f>
        <v>5.07</v>
      </c>
      <c r="N1079" s="8"/>
      <c r="O1079" s="8"/>
      <c r="P1079" s="8"/>
      <c r="Q1079" s="11"/>
      <c r="R1079" s="11"/>
      <c r="S1079" s="8">
        <f>3.99+1.17</f>
        <v>5.16</v>
      </c>
      <c r="T1079" s="8"/>
      <c r="U1079" s="8"/>
      <c r="V1079" s="8"/>
      <c r="W1079" s="8"/>
      <c r="X1079" s="8">
        <f>20.692+6.06</f>
        <v>26.751999999999999</v>
      </c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11"/>
      <c r="AQ1079" s="8"/>
      <c r="AR1079" s="8"/>
      <c r="AS1079" s="8"/>
      <c r="AT1079" s="8">
        <f>873.59+256.4</f>
        <v>1129.99</v>
      </c>
      <c r="AU1079" s="8"/>
      <c r="AV1079" s="8"/>
      <c r="AW1079" s="8"/>
      <c r="AX1079" s="8"/>
      <c r="AY1079" s="8"/>
      <c r="AZ1079" s="8"/>
      <c r="BA1079" s="8">
        <f>7.86+2.3</f>
        <v>10.16</v>
      </c>
      <c r="BB1079" s="8"/>
      <c r="BC1079" s="8"/>
      <c r="BD1079" s="8"/>
      <c r="BE1079" s="8"/>
      <c r="BF1079" s="8"/>
      <c r="BG1079" s="8">
        <f>59.35+17.22</f>
        <v>76.569999999999993</v>
      </c>
      <c r="BH1079" s="9">
        <f t="shared" si="144"/>
        <v>2232.29</v>
      </c>
      <c r="BI1079" s="9">
        <f t="shared" si="145"/>
        <v>5.07</v>
      </c>
      <c r="BJ1079" s="9">
        <f t="shared" si="146"/>
        <v>5.16</v>
      </c>
      <c r="BK1079" s="9">
        <f t="shared" si="147"/>
        <v>26.751999999999999</v>
      </c>
      <c r="BL1079" s="9">
        <f t="shared" si="148"/>
        <v>0</v>
      </c>
      <c r="BM1079" s="9">
        <f t="shared" si="149"/>
        <v>0</v>
      </c>
      <c r="BN1079" s="9">
        <f t="shared" si="150"/>
        <v>1129.99</v>
      </c>
      <c r="BO1079" s="9">
        <f t="shared" si="151"/>
        <v>10.16</v>
      </c>
      <c r="BP1079" s="9">
        <f t="shared" si="152"/>
        <v>0</v>
      </c>
    </row>
    <row r="1080" spans="1:68">
      <c r="A1080" s="6">
        <v>44748</v>
      </c>
      <c r="B1080" s="7">
        <v>3126</v>
      </c>
      <c r="C1080" s="8">
        <v>1026.43</v>
      </c>
      <c r="D1080" s="8">
        <v>440.86</v>
      </c>
      <c r="E1080" s="8"/>
      <c r="F1080" s="8"/>
      <c r="G1080" s="8"/>
      <c r="H1080" s="8"/>
      <c r="I1080" s="8"/>
      <c r="J1080" s="8"/>
      <c r="K1080" s="8"/>
      <c r="L1080" s="8"/>
      <c r="M1080" s="8"/>
      <c r="N1080" s="8">
        <v>2.4700000000000002</v>
      </c>
      <c r="O1080" s="8"/>
      <c r="P1080" s="8"/>
      <c r="Q1080" s="11"/>
      <c r="R1080" s="11"/>
      <c r="S1080" s="8">
        <v>4.41</v>
      </c>
      <c r="T1080" s="8">
        <v>10.5</v>
      </c>
      <c r="U1080" s="8">
        <v>4.3899999999999997</v>
      </c>
      <c r="V1080" s="8"/>
      <c r="W1080" s="8"/>
      <c r="X1080" s="8"/>
      <c r="Y1080" s="8"/>
      <c r="Z1080" s="8"/>
      <c r="AA1080" s="8"/>
      <c r="AB1080" s="8"/>
      <c r="AC1080" s="8">
        <v>3.68</v>
      </c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11"/>
      <c r="AQ1080" s="8"/>
      <c r="AR1080" s="8"/>
      <c r="AS1080" s="8"/>
      <c r="AT1080" s="8">
        <v>643.35</v>
      </c>
      <c r="AU1080" s="8"/>
      <c r="AV1080" s="8"/>
      <c r="AW1080" s="8"/>
      <c r="AX1080" s="8"/>
      <c r="AY1080" s="8"/>
      <c r="AZ1080" s="8"/>
      <c r="BA1080" s="8">
        <v>11.27</v>
      </c>
      <c r="BB1080" s="8"/>
      <c r="BC1080" s="8"/>
      <c r="BD1080" s="8"/>
      <c r="BE1080" s="8"/>
      <c r="BF1080" s="8"/>
      <c r="BG1080" s="8">
        <v>45.65</v>
      </c>
      <c r="BH1080" s="9">
        <f t="shared" si="144"/>
        <v>1467.29</v>
      </c>
      <c r="BI1080" s="9">
        <f t="shared" si="145"/>
        <v>2.4700000000000002</v>
      </c>
      <c r="BJ1080" s="9">
        <f t="shared" si="146"/>
        <v>4.41</v>
      </c>
      <c r="BK1080" s="9">
        <f t="shared" si="147"/>
        <v>14.89</v>
      </c>
      <c r="BL1080" s="9">
        <f t="shared" si="148"/>
        <v>0</v>
      </c>
      <c r="BM1080" s="9">
        <f t="shared" si="149"/>
        <v>3.68</v>
      </c>
      <c r="BN1080" s="9">
        <f t="shared" si="150"/>
        <v>643.35</v>
      </c>
      <c r="BO1080" s="9">
        <f t="shared" si="151"/>
        <v>11.27</v>
      </c>
      <c r="BP1080" s="9">
        <f t="shared" si="152"/>
        <v>0</v>
      </c>
    </row>
    <row r="1081" spans="1:68">
      <c r="A1081" s="6">
        <v>44748</v>
      </c>
      <c r="B1081" s="7">
        <v>3121</v>
      </c>
      <c r="C1081" s="8">
        <v>2759.4</v>
      </c>
      <c r="D1081" s="8"/>
      <c r="E1081" s="8"/>
      <c r="F1081" s="8"/>
      <c r="G1081" s="8"/>
      <c r="H1081" s="8"/>
      <c r="I1081" s="8"/>
      <c r="J1081" s="8"/>
      <c r="K1081" s="8"/>
      <c r="L1081" s="8"/>
      <c r="M1081" s="8">
        <v>6.88</v>
      </c>
      <c r="N1081" s="8"/>
      <c r="O1081" s="8"/>
      <c r="P1081" s="8"/>
      <c r="Q1081" s="11"/>
      <c r="R1081" s="11"/>
      <c r="S1081" s="8">
        <v>9.67</v>
      </c>
      <c r="T1081" s="8">
        <v>34.840000000000003</v>
      </c>
      <c r="U1081" s="8"/>
      <c r="V1081" s="8"/>
      <c r="W1081" s="8"/>
      <c r="X1081" s="8"/>
      <c r="Y1081" s="8"/>
      <c r="Z1081" s="8"/>
      <c r="AA1081" s="8"/>
      <c r="AB1081" s="8"/>
      <c r="AC1081" s="8">
        <v>11.03</v>
      </c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11"/>
      <c r="AQ1081" s="8">
        <v>27.353000000000002</v>
      </c>
      <c r="AR1081" s="8"/>
      <c r="AS1081" s="8"/>
      <c r="AT1081" s="8">
        <v>1457.39</v>
      </c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>
        <v>108.22</v>
      </c>
      <c r="BH1081" s="9">
        <f t="shared" si="144"/>
        <v>2759.4</v>
      </c>
      <c r="BI1081" s="9">
        <f t="shared" si="145"/>
        <v>6.88</v>
      </c>
      <c r="BJ1081" s="9">
        <f t="shared" si="146"/>
        <v>9.67</v>
      </c>
      <c r="BK1081" s="9">
        <f t="shared" si="147"/>
        <v>34.840000000000003</v>
      </c>
      <c r="BL1081" s="9">
        <f t="shared" si="148"/>
        <v>0</v>
      </c>
      <c r="BM1081" s="9">
        <f t="shared" si="149"/>
        <v>38.383000000000003</v>
      </c>
      <c r="BN1081" s="9">
        <f t="shared" si="150"/>
        <v>1457.39</v>
      </c>
      <c r="BO1081" s="9">
        <f t="shared" si="151"/>
        <v>0</v>
      </c>
      <c r="BP1081" s="9">
        <f t="shared" si="152"/>
        <v>0</v>
      </c>
    </row>
    <row r="1082" spans="1:68">
      <c r="A1082" s="6">
        <v>44748</v>
      </c>
      <c r="B1082" s="7">
        <v>3106</v>
      </c>
      <c r="C1082" s="8">
        <v>4160.83</v>
      </c>
      <c r="D1082" s="8"/>
      <c r="E1082" s="8"/>
      <c r="F1082" s="8"/>
      <c r="G1082" s="8"/>
      <c r="H1082" s="8"/>
      <c r="I1082" s="8"/>
      <c r="J1082" s="8"/>
      <c r="K1082" s="8"/>
      <c r="L1082" s="8"/>
      <c r="M1082" s="8">
        <v>11.22</v>
      </c>
      <c r="N1082" s="8"/>
      <c r="O1082" s="8"/>
      <c r="P1082" s="8"/>
      <c r="Q1082" s="11"/>
      <c r="R1082" s="11"/>
      <c r="S1082" s="8">
        <v>12.52</v>
      </c>
      <c r="T1082" s="8">
        <v>52.97</v>
      </c>
      <c r="U1082" s="8"/>
      <c r="V1082" s="8"/>
      <c r="W1082" s="8"/>
      <c r="X1082" s="8"/>
      <c r="Y1082" s="8"/>
      <c r="Z1082" s="8"/>
      <c r="AA1082" s="8"/>
      <c r="AB1082" s="8"/>
      <c r="AC1082" s="8">
        <v>10.41</v>
      </c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11"/>
      <c r="AQ1082" s="8"/>
      <c r="AR1082" s="8"/>
      <c r="AS1082" s="8"/>
      <c r="AT1082" s="8">
        <v>2380.0700000000002</v>
      </c>
      <c r="AU1082" s="8"/>
      <c r="AV1082" s="8"/>
      <c r="AW1082" s="8"/>
      <c r="AX1082" s="8">
        <v>5.2</v>
      </c>
      <c r="AY1082" s="8"/>
      <c r="AZ1082" s="8"/>
      <c r="BA1082" s="8"/>
      <c r="BB1082" s="8"/>
      <c r="BC1082" s="8"/>
      <c r="BD1082" s="8"/>
      <c r="BE1082" s="8"/>
      <c r="BF1082" s="8"/>
      <c r="BG1082" s="8">
        <v>179.08</v>
      </c>
      <c r="BH1082" s="9">
        <f t="shared" si="144"/>
        <v>4160.83</v>
      </c>
      <c r="BI1082" s="9">
        <f t="shared" si="145"/>
        <v>11.22</v>
      </c>
      <c r="BJ1082" s="9">
        <f t="shared" si="146"/>
        <v>12.52</v>
      </c>
      <c r="BK1082" s="9">
        <f t="shared" si="147"/>
        <v>52.97</v>
      </c>
      <c r="BL1082" s="9">
        <f t="shared" si="148"/>
        <v>0</v>
      </c>
      <c r="BM1082" s="9">
        <f t="shared" si="149"/>
        <v>10.41</v>
      </c>
      <c r="BN1082" s="9">
        <f t="shared" si="150"/>
        <v>2380.0700000000002</v>
      </c>
      <c r="BO1082" s="9">
        <f t="shared" si="151"/>
        <v>5.2</v>
      </c>
      <c r="BP1082" s="9">
        <f t="shared" si="152"/>
        <v>0</v>
      </c>
    </row>
    <row r="1083" spans="1:68">
      <c r="A1083" s="6">
        <v>44748</v>
      </c>
      <c r="B1083" s="7">
        <v>3110</v>
      </c>
      <c r="C1083" s="8">
        <v>1315.14</v>
      </c>
      <c r="D1083" s="8"/>
      <c r="E1083" s="8"/>
      <c r="F1083" s="8"/>
      <c r="G1083" s="8"/>
      <c r="H1083" s="8"/>
      <c r="I1083" s="8"/>
      <c r="J1083" s="8"/>
      <c r="K1083" s="8"/>
      <c r="L1083" s="8"/>
      <c r="M1083" s="8">
        <v>2.09</v>
      </c>
      <c r="N1083" s="8"/>
      <c r="O1083" s="8"/>
      <c r="P1083" s="8"/>
      <c r="Q1083" s="11"/>
      <c r="R1083" s="11"/>
      <c r="S1083" s="8">
        <v>4.4800000000000004</v>
      </c>
      <c r="T1083" s="8">
        <v>13.37</v>
      </c>
      <c r="U1083" s="8"/>
      <c r="V1083" s="8"/>
      <c r="W1083" s="8"/>
      <c r="X1083" s="8"/>
      <c r="Y1083" s="8"/>
      <c r="Z1083" s="8"/>
      <c r="AA1083" s="8"/>
      <c r="AB1083" s="8"/>
      <c r="AC1083" s="8">
        <v>5.27</v>
      </c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11"/>
      <c r="AQ1083" s="8"/>
      <c r="AR1083" s="8"/>
      <c r="AS1083" s="8"/>
      <c r="AT1083" s="8">
        <v>688.64</v>
      </c>
      <c r="AU1083" s="8"/>
      <c r="AV1083" s="8">
        <v>22.42</v>
      </c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>
        <v>50.91</v>
      </c>
      <c r="BH1083" s="9">
        <f t="shared" si="144"/>
        <v>1315.14</v>
      </c>
      <c r="BI1083" s="9">
        <f t="shared" si="145"/>
        <v>2.09</v>
      </c>
      <c r="BJ1083" s="9">
        <f t="shared" si="146"/>
        <v>4.4800000000000004</v>
      </c>
      <c r="BK1083" s="9">
        <f t="shared" si="147"/>
        <v>13.37</v>
      </c>
      <c r="BL1083" s="9">
        <f t="shared" si="148"/>
        <v>0</v>
      </c>
      <c r="BM1083" s="9">
        <f t="shared" si="149"/>
        <v>5.27</v>
      </c>
      <c r="BN1083" s="9">
        <f t="shared" si="150"/>
        <v>688.64</v>
      </c>
      <c r="BO1083" s="9">
        <f t="shared" si="151"/>
        <v>22.42</v>
      </c>
      <c r="BP1083" s="9">
        <f t="shared" si="152"/>
        <v>0</v>
      </c>
    </row>
    <row r="1084" spans="1:68">
      <c r="A1084" s="6">
        <v>44748</v>
      </c>
      <c r="B1084" s="7">
        <v>3134</v>
      </c>
      <c r="C1084" s="8">
        <v>1032.28</v>
      </c>
      <c r="D1084" s="8">
        <v>145.03</v>
      </c>
      <c r="E1084" s="8"/>
      <c r="F1084" s="8"/>
      <c r="G1084" s="8"/>
      <c r="H1084" s="8">
        <v>486.71</v>
      </c>
      <c r="I1084" s="8"/>
      <c r="J1084" s="8"/>
      <c r="K1084" s="8"/>
      <c r="L1084" s="8"/>
      <c r="M1084" s="8">
        <v>3.17</v>
      </c>
      <c r="N1084" s="8"/>
      <c r="O1084" s="8"/>
      <c r="P1084" s="8"/>
      <c r="Q1084" s="11"/>
      <c r="R1084" s="11"/>
      <c r="S1084" s="8">
        <v>6.66</v>
      </c>
      <c r="T1084" s="8">
        <v>10.119999999999999</v>
      </c>
      <c r="U1084" s="8">
        <v>8.65</v>
      </c>
      <c r="V1084" s="8"/>
      <c r="W1084" s="8"/>
      <c r="X1084" s="8"/>
      <c r="Y1084" s="8"/>
      <c r="Z1084" s="8"/>
      <c r="AA1084" s="8"/>
      <c r="AB1084" s="8"/>
      <c r="AC1084" s="8">
        <v>5.79</v>
      </c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11"/>
      <c r="AQ1084" s="8"/>
      <c r="AR1084" s="8"/>
      <c r="AS1084" s="8"/>
      <c r="AT1084" s="8">
        <v>1020.19</v>
      </c>
      <c r="AU1084" s="8"/>
      <c r="AV1084" s="8"/>
      <c r="AW1084" s="8"/>
      <c r="AX1084" s="8"/>
      <c r="AY1084" s="8">
        <v>14.614000000000001</v>
      </c>
      <c r="AZ1084" s="8"/>
      <c r="BA1084" s="8"/>
      <c r="BB1084" s="8"/>
      <c r="BC1084" s="8"/>
      <c r="BD1084" s="8"/>
      <c r="BE1084" s="8"/>
      <c r="BF1084" s="8">
        <v>65.08</v>
      </c>
      <c r="BG1084" s="8">
        <v>76.7</v>
      </c>
      <c r="BH1084" s="9">
        <f t="shared" si="144"/>
        <v>1664.02</v>
      </c>
      <c r="BI1084" s="9">
        <f t="shared" si="145"/>
        <v>3.17</v>
      </c>
      <c r="BJ1084" s="9">
        <f t="shared" si="146"/>
        <v>6.66</v>
      </c>
      <c r="BK1084" s="9">
        <f t="shared" si="147"/>
        <v>18.77</v>
      </c>
      <c r="BL1084" s="9">
        <f t="shared" si="148"/>
        <v>0</v>
      </c>
      <c r="BM1084" s="9">
        <f t="shared" si="149"/>
        <v>5.79</v>
      </c>
      <c r="BN1084" s="9">
        <f t="shared" si="150"/>
        <v>1020.19</v>
      </c>
      <c r="BO1084" s="9">
        <f t="shared" si="151"/>
        <v>14.614000000000001</v>
      </c>
      <c r="BP1084" s="9">
        <f t="shared" si="152"/>
        <v>65.08</v>
      </c>
    </row>
    <row r="1085" spans="1:68">
      <c r="A1085" s="6">
        <v>44748</v>
      </c>
      <c r="B1085" s="7">
        <v>3141</v>
      </c>
      <c r="C1085" s="8">
        <v>2427.65</v>
      </c>
      <c r="D1085" s="8">
        <v>428.74</v>
      </c>
      <c r="E1085" s="8"/>
      <c r="F1085" s="8"/>
      <c r="G1085" s="8"/>
      <c r="H1085" s="8"/>
      <c r="I1085" s="8"/>
      <c r="J1085" s="8"/>
      <c r="K1085" s="8"/>
      <c r="L1085" s="8"/>
      <c r="M1085" s="8">
        <v>7.28</v>
      </c>
      <c r="N1085" s="8"/>
      <c r="O1085" s="8"/>
      <c r="P1085" s="8"/>
      <c r="Q1085" s="11"/>
      <c r="R1085" s="11"/>
      <c r="S1085" s="8">
        <v>13.47</v>
      </c>
      <c r="T1085" s="8">
        <v>21.48</v>
      </c>
      <c r="U1085" s="8">
        <v>21.47</v>
      </c>
      <c r="V1085" s="8"/>
      <c r="W1085" s="8"/>
      <c r="X1085" s="8"/>
      <c r="Y1085" s="8"/>
      <c r="Z1085" s="8"/>
      <c r="AA1085" s="8"/>
      <c r="AB1085" s="8"/>
      <c r="AC1085" s="8">
        <v>11.46</v>
      </c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11"/>
      <c r="AQ1085" s="8"/>
      <c r="AR1085" s="8"/>
      <c r="AS1085" s="8"/>
      <c r="AT1085" s="8">
        <v>1886.56</v>
      </c>
      <c r="AU1085" s="8"/>
      <c r="AV1085" s="8"/>
      <c r="AW1085" s="8"/>
      <c r="AX1085" s="8"/>
      <c r="AY1085" s="8"/>
      <c r="AZ1085" s="8"/>
      <c r="BA1085" s="8">
        <v>65.53</v>
      </c>
      <c r="BB1085" s="8"/>
      <c r="BC1085" s="8"/>
      <c r="BD1085" s="8"/>
      <c r="BE1085" s="8"/>
      <c r="BF1085" s="8">
        <v>200.14</v>
      </c>
      <c r="BG1085" s="8">
        <v>148.43</v>
      </c>
      <c r="BH1085" s="9">
        <f t="shared" si="144"/>
        <v>2856.3900000000003</v>
      </c>
      <c r="BI1085" s="9">
        <f t="shared" si="145"/>
        <v>7.28</v>
      </c>
      <c r="BJ1085" s="9">
        <f t="shared" si="146"/>
        <v>13.47</v>
      </c>
      <c r="BK1085" s="9">
        <f t="shared" si="147"/>
        <v>42.95</v>
      </c>
      <c r="BL1085" s="9">
        <f t="shared" si="148"/>
        <v>0</v>
      </c>
      <c r="BM1085" s="9">
        <f t="shared" si="149"/>
        <v>11.46</v>
      </c>
      <c r="BN1085" s="9">
        <f t="shared" si="150"/>
        <v>1886.56</v>
      </c>
      <c r="BO1085" s="9">
        <f t="shared" si="151"/>
        <v>65.53</v>
      </c>
      <c r="BP1085" s="9">
        <f t="shared" si="152"/>
        <v>200.14</v>
      </c>
    </row>
    <row r="1086" spans="1:68">
      <c r="A1086" s="6">
        <v>44748</v>
      </c>
      <c r="B1086" s="7">
        <v>3023</v>
      </c>
      <c r="C1086" s="8"/>
      <c r="D1086" s="8">
        <v>1641.68</v>
      </c>
      <c r="E1086" s="8"/>
      <c r="F1086" s="8"/>
      <c r="G1086" s="8"/>
      <c r="H1086" s="8"/>
      <c r="I1086" s="8">
        <v>885.55</v>
      </c>
      <c r="J1086" s="8"/>
      <c r="K1086" s="8"/>
      <c r="L1086" s="8"/>
      <c r="M1086" s="8"/>
      <c r="N1086" s="8">
        <v>14.1</v>
      </c>
      <c r="O1086" s="8"/>
      <c r="P1086" s="8"/>
      <c r="Q1086" s="11"/>
      <c r="R1086" s="11"/>
      <c r="S1086" s="8">
        <v>4.05</v>
      </c>
      <c r="T1086" s="8"/>
      <c r="U1086" s="8"/>
      <c r="V1086" s="8"/>
      <c r="W1086" s="8">
        <v>23.084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>
        <v>25.03</v>
      </c>
      <c r="AN1086" s="8">
        <v>17.838000000000001</v>
      </c>
      <c r="AO1086" s="8"/>
      <c r="AP1086" s="11"/>
      <c r="AQ1086" s="8"/>
      <c r="AR1086" s="8"/>
      <c r="AS1086" s="8">
        <v>83.218999999999994</v>
      </c>
      <c r="AT1086" s="8">
        <v>1026.6099999999999</v>
      </c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>
        <v>78.09</v>
      </c>
      <c r="BH1086" s="9">
        <f t="shared" si="144"/>
        <v>2527.23</v>
      </c>
      <c r="BI1086" s="9">
        <f t="shared" si="145"/>
        <v>14.1</v>
      </c>
      <c r="BJ1086" s="9">
        <f t="shared" si="146"/>
        <v>4.05</v>
      </c>
      <c r="BK1086" s="9">
        <f t="shared" si="147"/>
        <v>23.084</v>
      </c>
      <c r="BL1086" s="9">
        <f t="shared" si="148"/>
        <v>0</v>
      </c>
      <c r="BM1086" s="9">
        <f t="shared" si="149"/>
        <v>126.08699999999999</v>
      </c>
      <c r="BN1086" s="9">
        <f t="shared" si="150"/>
        <v>1026.6099999999999</v>
      </c>
      <c r="BO1086" s="9">
        <f t="shared" si="151"/>
        <v>0</v>
      </c>
      <c r="BP1086" s="9">
        <f t="shared" si="152"/>
        <v>0</v>
      </c>
    </row>
    <row r="1087" spans="1:68">
      <c r="A1087" s="6">
        <v>44749</v>
      </c>
      <c r="B1087" s="7">
        <v>3705</v>
      </c>
      <c r="C1087" s="8"/>
      <c r="D1087" s="8">
        <v>1372.13</v>
      </c>
      <c r="E1087" s="8"/>
      <c r="F1087" s="8"/>
      <c r="G1087" s="8"/>
      <c r="H1087" s="8"/>
      <c r="I1087" s="8">
        <v>301.19</v>
      </c>
      <c r="J1087" s="8"/>
      <c r="K1087" s="8"/>
      <c r="L1087" s="8"/>
      <c r="M1087" s="8">
        <v>5.0199999999999996</v>
      </c>
      <c r="N1087" s="8"/>
      <c r="O1087" s="8"/>
      <c r="P1087" s="8"/>
      <c r="Q1087" s="11"/>
      <c r="R1087" s="11"/>
      <c r="S1087" s="8">
        <v>5.84</v>
      </c>
      <c r="T1087" s="8"/>
      <c r="U1087" s="8">
        <v>11.71</v>
      </c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11"/>
      <c r="AQ1087" s="8"/>
      <c r="AR1087" s="8"/>
      <c r="AS1087" s="8"/>
      <c r="AT1087" s="8">
        <v>100.17</v>
      </c>
      <c r="AU1087" s="8">
        <v>198.92</v>
      </c>
      <c r="AV1087" s="8">
        <v>3.34</v>
      </c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>
        <v>16.41</v>
      </c>
      <c r="BH1087" s="9">
        <f t="shared" si="144"/>
        <v>1673.3200000000002</v>
      </c>
      <c r="BI1087" s="9">
        <f t="shared" si="145"/>
        <v>5.0199999999999996</v>
      </c>
      <c r="BJ1087" s="9">
        <f t="shared" si="146"/>
        <v>5.84</v>
      </c>
      <c r="BK1087" s="9">
        <f t="shared" si="147"/>
        <v>11.71</v>
      </c>
      <c r="BL1087" s="9">
        <f t="shared" si="148"/>
        <v>0</v>
      </c>
      <c r="BM1087" s="9">
        <f t="shared" si="149"/>
        <v>0</v>
      </c>
      <c r="BN1087" s="9">
        <f t="shared" si="150"/>
        <v>299.08999999999997</v>
      </c>
      <c r="BO1087" s="9">
        <f t="shared" si="151"/>
        <v>3.34</v>
      </c>
      <c r="BP1087" s="9">
        <f t="shared" si="152"/>
        <v>0</v>
      </c>
    </row>
    <row r="1088" spans="1:68">
      <c r="A1088" s="6">
        <v>44749</v>
      </c>
      <c r="B1088" s="7">
        <v>3601</v>
      </c>
      <c r="C1088" s="8">
        <v>333.95</v>
      </c>
      <c r="D1088" s="8"/>
      <c r="E1088" s="8"/>
      <c r="F1088" s="8"/>
      <c r="G1088" s="8">
        <v>500.37</v>
      </c>
      <c r="H1088" s="8"/>
      <c r="I1088" s="8"/>
      <c r="J1088" s="8"/>
      <c r="K1088" s="8"/>
      <c r="L1088" s="8"/>
      <c r="M1088" s="8">
        <v>1</v>
      </c>
      <c r="N1088" s="8"/>
      <c r="O1088" s="8"/>
      <c r="P1088" s="8"/>
      <c r="Q1088" s="11"/>
      <c r="R1088" s="11"/>
      <c r="S1088" s="8">
        <v>4.21</v>
      </c>
      <c r="T1088" s="8"/>
      <c r="U1088" s="8">
        <v>5.01</v>
      </c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11"/>
      <c r="AQ1088" s="8"/>
      <c r="AR1088" s="8"/>
      <c r="AS1088" s="8"/>
      <c r="AT1088" s="8">
        <v>408.65</v>
      </c>
      <c r="AU1088" s="8"/>
      <c r="AV1088" s="8"/>
      <c r="AW1088" s="8">
        <v>25.36</v>
      </c>
      <c r="AX1088" s="8"/>
      <c r="AY1088" s="8"/>
      <c r="AZ1088" s="8"/>
      <c r="BA1088" s="8"/>
      <c r="BB1088" s="8"/>
      <c r="BC1088" s="8"/>
      <c r="BD1088" s="8"/>
      <c r="BE1088" s="8"/>
      <c r="BF1088" s="8">
        <v>46.74</v>
      </c>
      <c r="BG1088" s="8">
        <v>31.01</v>
      </c>
      <c r="BH1088" s="9">
        <f t="shared" si="144"/>
        <v>834.31999999999994</v>
      </c>
      <c r="BI1088" s="9">
        <f t="shared" si="145"/>
        <v>1</v>
      </c>
      <c r="BJ1088" s="9">
        <f t="shared" si="146"/>
        <v>4.21</v>
      </c>
      <c r="BK1088" s="9">
        <f t="shared" si="147"/>
        <v>5.01</v>
      </c>
      <c r="BL1088" s="9">
        <f t="shared" si="148"/>
        <v>0</v>
      </c>
      <c r="BM1088" s="9">
        <f t="shared" si="149"/>
        <v>0</v>
      </c>
      <c r="BN1088" s="9">
        <f t="shared" si="150"/>
        <v>408.65</v>
      </c>
      <c r="BO1088" s="9">
        <f t="shared" si="151"/>
        <v>25.36</v>
      </c>
      <c r="BP1088" s="9">
        <f t="shared" si="152"/>
        <v>46.74</v>
      </c>
    </row>
    <row r="1089" spans="1:68">
      <c r="A1089" s="6">
        <v>44749</v>
      </c>
      <c r="B1089" s="7">
        <v>3100</v>
      </c>
      <c r="C1089" s="8">
        <v>644.12</v>
      </c>
      <c r="D1089" s="8"/>
      <c r="E1089" s="8"/>
      <c r="F1089" s="8"/>
      <c r="G1089" s="8"/>
      <c r="H1089" s="8"/>
      <c r="I1089" s="8"/>
      <c r="J1089" s="8"/>
      <c r="K1089" s="8"/>
      <c r="L1089" s="8"/>
      <c r="M1089" s="8">
        <v>1.06</v>
      </c>
      <c r="N1089" s="8"/>
      <c r="O1089" s="8"/>
      <c r="P1089" s="8"/>
      <c r="Q1089" s="11"/>
      <c r="R1089" s="11"/>
      <c r="S1089" s="8">
        <v>3.67</v>
      </c>
      <c r="T1089" s="8"/>
      <c r="U1089" s="8">
        <v>10.32</v>
      </c>
      <c r="V1089" s="8"/>
      <c r="W1089" s="8"/>
      <c r="X1089" s="8"/>
      <c r="Y1089" s="8"/>
      <c r="Z1089" s="8"/>
      <c r="AA1089" s="8"/>
      <c r="AB1089" s="8"/>
      <c r="AC1089" s="8">
        <v>2.58</v>
      </c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11"/>
      <c r="AQ1089" s="8"/>
      <c r="AR1089" s="8"/>
      <c r="AS1089" s="8"/>
      <c r="AT1089" s="8">
        <v>433.22</v>
      </c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>
        <v>83.77</v>
      </c>
      <c r="BG1089" s="8">
        <v>33.17</v>
      </c>
      <c r="BH1089" s="9">
        <f t="shared" si="144"/>
        <v>644.12</v>
      </c>
      <c r="BI1089" s="9">
        <f t="shared" si="145"/>
        <v>1.06</v>
      </c>
      <c r="BJ1089" s="9">
        <f t="shared" si="146"/>
        <v>3.67</v>
      </c>
      <c r="BK1089" s="9">
        <f t="shared" si="147"/>
        <v>10.32</v>
      </c>
      <c r="BL1089" s="9">
        <f t="shared" si="148"/>
        <v>0</v>
      </c>
      <c r="BM1089" s="9">
        <f t="shared" si="149"/>
        <v>2.58</v>
      </c>
      <c r="BN1089" s="9">
        <f t="shared" si="150"/>
        <v>433.22</v>
      </c>
      <c r="BO1089" s="9">
        <f t="shared" si="151"/>
        <v>0</v>
      </c>
      <c r="BP1089" s="9">
        <f t="shared" si="152"/>
        <v>83.77</v>
      </c>
    </row>
    <row r="1090" spans="1:68">
      <c r="A1090" s="6">
        <v>44749</v>
      </c>
      <c r="B1090" s="7">
        <v>3302</v>
      </c>
      <c r="C1090" s="8"/>
      <c r="D1090" s="8">
        <v>857.01</v>
      </c>
      <c r="E1090" s="8"/>
      <c r="F1090" s="8"/>
      <c r="G1090" s="8"/>
      <c r="H1090" s="8"/>
      <c r="I1090" s="8"/>
      <c r="J1090" s="8"/>
      <c r="K1090" s="8"/>
      <c r="L1090" s="8"/>
      <c r="M1090" s="8">
        <v>1.27</v>
      </c>
      <c r="N1090" s="8"/>
      <c r="O1090" s="8"/>
      <c r="P1090" s="8"/>
      <c r="Q1090" s="11"/>
      <c r="R1090" s="11"/>
      <c r="S1090" s="8">
        <v>6.43</v>
      </c>
      <c r="T1090" s="8">
        <v>8.59</v>
      </c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>
        <v>8.6</v>
      </c>
      <c r="AH1090" s="8"/>
      <c r="AI1090" s="8"/>
      <c r="AJ1090" s="8"/>
      <c r="AK1090" s="8"/>
      <c r="AL1090" s="8"/>
      <c r="AM1090" s="8"/>
      <c r="AN1090" s="8"/>
      <c r="AO1090" s="8"/>
      <c r="AP1090" s="11"/>
      <c r="AQ1090" s="8"/>
      <c r="AR1090" s="8"/>
      <c r="AS1090" s="8"/>
      <c r="AT1090" s="8"/>
      <c r="AU1090" s="8">
        <v>429.33</v>
      </c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>
        <v>30.82</v>
      </c>
      <c r="BH1090" s="9">
        <f t="shared" si="144"/>
        <v>857.01</v>
      </c>
      <c r="BI1090" s="9">
        <f t="shared" si="145"/>
        <v>1.27</v>
      </c>
      <c r="BJ1090" s="9">
        <f t="shared" si="146"/>
        <v>6.43</v>
      </c>
      <c r="BK1090" s="9">
        <f t="shared" si="147"/>
        <v>8.59</v>
      </c>
      <c r="BL1090" s="9">
        <f t="shared" si="148"/>
        <v>0</v>
      </c>
      <c r="BM1090" s="9">
        <f t="shared" si="149"/>
        <v>8.6</v>
      </c>
      <c r="BN1090" s="9">
        <f t="shared" si="150"/>
        <v>429.33</v>
      </c>
      <c r="BO1090" s="9">
        <f t="shared" si="151"/>
        <v>0</v>
      </c>
      <c r="BP1090" s="9">
        <f t="shared" si="152"/>
        <v>0</v>
      </c>
    </row>
    <row r="1091" spans="1:68">
      <c r="A1091" s="6">
        <v>44749</v>
      </c>
      <c r="B1091" s="7">
        <v>3204</v>
      </c>
      <c r="C1091" s="8"/>
      <c r="D1091" s="8">
        <v>1769.3</v>
      </c>
      <c r="E1091" s="8">
        <v>754.54</v>
      </c>
      <c r="F1091" s="8"/>
      <c r="G1091" s="8"/>
      <c r="H1091" s="8"/>
      <c r="I1091" s="8"/>
      <c r="J1091" s="8"/>
      <c r="K1091" s="8"/>
      <c r="L1091" s="8"/>
      <c r="M1091" s="8"/>
      <c r="N1091" s="8"/>
      <c r="O1091" s="8">
        <v>12.65</v>
      </c>
      <c r="P1091" s="8"/>
      <c r="Q1091" s="11"/>
      <c r="R1091" s="11"/>
      <c r="S1091" s="8">
        <v>8.6</v>
      </c>
      <c r="T1091" s="8">
        <v>15.22</v>
      </c>
      <c r="U1091" s="8">
        <v>12.71</v>
      </c>
      <c r="V1091" s="8"/>
      <c r="W1091" s="8"/>
      <c r="X1091" s="8"/>
      <c r="Y1091" s="8"/>
      <c r="Z1091" s="8">
        <v>380.05</v>
      </c>
      <c r="AA1091" s="8"/>
      <c r="AB1091" s="8">
        <v>12.872</v>
      </c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11"/>
      <c r="AQ1091" s="8"/>
      <c r="AR1091" s="8"/>
      <c r="AS1091" s="8"/>
      <c r="AT1091" s="8">
        <v>1113.83</v>
      </c>
      <c r="AU1091" s="8"/>
      <c r="AV1091" s="8"/>
      <c r="AW1091" s="8">
        <v>8.18</v>
      </c>
      <c r="AX1091" s="8"/>
      <c r="AY1091" s="8"/>
      <c r="AZ1091" s="8"/>
      <c r="BA1091" s="8"/>
      <c r="BB1091" s="8"/>
      <c r="BC1091" s="8"/>
      <c r="BD1091" s="8"/>
      <c r="BE1091" s="8"/>
      <c r="BF1091" s="8"/>
      <c r="BG1091" s="8">
        <v>82.36</v>
      </c>
      <c r="BH1091" s="9">
        <f t="shared" si="144"/>
        <v>2523.84</v>
      </c>
      <c r="BI1091" s="9">
        <f t="shared" si="145"/>
        <v>12.65</v>
      </c>
      <c r="BJ1091" s="9">
        <f t="shared" si="146"/>
        <v>8.6</v>
      </c>
      <c r="BK1091" s="9">
        <f t="shared" si="147"/>
        <v>27.93</v>
      </c>
      <c r="BL1091" s="9">
        <f t="shared" si="148"/>
        <v>380.05</v>
      </c>
      <c r="BM1091" s="9">
        <f t="shared" si="149"/>
        <v>12.872</v>
      </c>
      <c r="BN1091" s="9">
        <f t="shared" si="150"/>
        <v>1113.83</v>
      </c>
      <c r="BO1091" s="9">
        <f t="shared" si="151"/>
        <v>8.18</v>
      </c>
      <c r="BP1091" s="9">
        <f t="shared" si="152"/>
        <v>0</v>
      </c>
    </row>
    <row r="1092" spans="1:68">
      <c r="A1092" s="6">
        <v>44749</v>
      </c>
      <c r="B1092" s="7">
        <v>3200</v>
      </c>
      <c r="C1092" s="8">
        <v>2232.5300000000002</v>
      </c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>
        <v>5.59</v>
      </c>
      <c r="P1092" s="8"/>
      <c r="Q1092" s="11"/>
      <c r="R1092" s="11"/>
      <c r="S1092" s="8">
        <v>8.7200000000000006</v>
      </c>
      <c r="T1092" s="8"/>
      <c r="U1092" s="8">
        <v>33.549999999999997</v>
      </c>
      <c r="V1092" s="8"/>
      <c r="W1092" s="8"/>
      <c r="X1092" s="8"/>
      <c r="Y1092" s="8"/>
      <c r="Z1092" s="8">
        <v>469.85</v>
      </c>
      <c r="AA1092" s="8"/>
      <c r="AB1092" s="8"/>
      <c r="AC1092" s="8"/>
      <c r="AD1092" s="8"/>
      <c r="AE1092" s="8"/>
      <c r="AF1092" s="8">
        <v>111.73</v>
      </c>
      <c r="AG1092" s="8"/>
      <c r="AH1092" s="8"/>
      <c r="AI1092" s="8"/>
      <c r="AJ1092" s="8"/>
      <c r="AK1092" s="8"/>
      <c r="AL1092" s="8"/>
      <c r="AM1092" s="8"/>
      <c r="AN1092" s="8"/>
      <c r="AO1092" s="8"/>
      <c r="AP1092" s="11"/>
      <c r="AQ1092" s="8">
        <v>34.091000000000001</v>
      </c>
      <c r="AR1092" s="8"/>
      <c r="AS1092" s="8"/>
      <c r="AT1092" s="8">
        <v>1531.35</v>
      </c>
      <c r="AU1092" s="8"/>
      <c r="AV1092" s="8"/>
      <c r="AW1092" s="8">
        <v>6.41</v>
      </c>
      <c r="AX1092" s="8"/>
      <c r="AY1092" s="8"/>
      <c r="AZ1092" s="8"/>
      <c r="BA1092" s="8"/>
      <c r="BB1092" s="8"/>
      <c r="BC1092" s="8"/>
      <c r="BD1092" s="8"/>
      <c r="BE1092" s="8"/>
      <c r="BF1092" s="8">
        <v>107.32</v>
      </c>
      <c r="BG1092" s="8">
        <v>111.03</v>
      </c>
      <c r="BH1092" s="9">
        <f t="shared" ref="BH1092:BH1155" si="153">SUM(C1092:L1092)</f>
        <v>2232.5300000000002</v>
      </c>
      <c r="BI1092" s="9">
        <f t="shared" ref="BI1092:BI1155" si="154">SUM(M1092:R1092)</f>
        <v>5.59</v>
      </c>
      <c r="BJ1092" s="9">
        <f t="shared" ref="BJ1092:BJ1155" si="155">SUM(S1092)</f>
        <v>8.7200000000000006</v>
      </c>
      <c r="BK1092" s="9">
        <f t="shared" ref="BK1092:BK1155" si="156">SUM(T1092:Y1092)</f>
        <v>33.549999999999997</v>
      </c>
      <c r="BL1092" s="9">
        <f t="shared" ref="BL1092:BL1155" si="157">SUM(Z1092:AA1092)</f>
        <v>469.85</v>
      </c>
      <c r="BM1092" s="9">
        <f t="shared" ref="BM1092:BM1155" si="158">SUM(AB1092:AS1092)</f>
        <v>145.821</v>
      </c>
      <c r="BN1092" s="9">
        <f t="shared" ref="BN1092:BN1155" si="159">SUM(AT1092:AU1092)</f>
        <v>1531.35</v>
      </c>
      <c r="BO1092" s="9">
        <f t="shared" ref="BO1092:BO1155" si="160">SUM(AV1092:BE1092)</f>
        <v>6.41</v>
      </c>
      <c r="BP1092" s="9">
        <f t="shared" ref="BP1092:BP1155" si="161">SUM(BF1092)</f>
        <v>107.32</v>
      </c>
    </row>
    <row r="1093" spans="1:68">
      <c r="A1093" s="6">
        <v>44749</v>
      </c>
      <c r="B1093" s="7">
        <v>3405</v>
      </c>
      <c r="C1093" s="8">
        <v>2178.6</v>
      </c>
      <c r="D1093" s="8">
        <v>545.91999999999996</v>
      </c>
      <c r="E1093" s="8"/>
      <c r="F1093" s="8"/>
      <c r="G1093" s="8"/>
      <c r="H1093" s="8"/>
      <c r="I1093" s="8"/>
      <c r="J1093" s="8"/>
      <c r="K1093" s="8"/>
      <c r="L1093" s="8"/>
      <c r="M1093" s="8">
        <v>6.18</v>
      </c>
      <c r="N1093" s="8"/>
      <c r="O1093" s="8"/>
      <c r="P1093" s="8"/>
      <c r="Q1093" s="11"/>
      <c r="R1093" s="11"/>
      <c r="S1093" s="8">
        <v>6.26</v>
      </c>
      <c r="T1093" s="8"/>
      <c r="U1093" s="8"/>
      <c r="V1093" s="8"/>
      <c r="W1093" s="8"/>
      <c r="X1093" s="8">
        <v>32.375999999999998</v>
      </c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11"/>
      <c r="AQ1093" s="8"/>
      <c r="AR1093" s="8"/>
      <c r="AS1093" s="8"/>
      <c r="AT1093" s="8">
        <v>1370.46</v>
      </c>
      <c r="AU1093" s="8"/>
      <c r="AV1093" s="8"/>
      <c r="AW1093" s="8"/>
      <c r="AX1093" s="8"/>
      <c r="AY1093" s="8"/>
      <c r="AZ1093" s="8"/>
      <c r="BA1093" s="8">
        <v>12.26</v>
      </c>
      <c r="BB1093" s="8"/>
      <c r="BC1093" s="8"/>
      <c r="BD1093" s="8"/>
      <c r="BE1093" s="8"/>
      <c r="BF1093" s="8"/>
      <c r="BG1093" s="8">
        <v>92.36</v>
      </c>
      <c r="BH1093" s="9">
        <f t="shared" si="153"/>
        <v>2724.52</v>
      </c>
      <c r="BI1093" s="9">
        <f t="shared" si="154"/>
        <v>6.18</v>
      </c>
      <c r="BJ1093" s="9">
        <f t="shared" si="155"/>
        <v>6.26</v>
      </c>
      <c r="BK1093" s="9">
        <f t="shared" si="156"/>
        <v>32.375999999999998</v>
      </c>
      <c r="BL1093" s="9">
        <f t="shared" si="157"/>
        <v>0</v>
      </c>
      <c r="BM1093" s="9">
        <f t="shared" si="158"/>
        <v>0</v>
      </c>
      <c r="BN1093" s="9">
        <f t="shared" si="159"/>
        <v>1370.46</v>
      </c>
      <c r="BO1093" s="9">
        <f t="shared" si="160"/>
        <v>12.26</v>
      </c>
      <c r="BP1093" s="9">
        <f t="shared" si="161"/>
        <v>0</v>
      </c>
    </row>
    <row r="1094" spans="1:68">
      <c r="A1094" s="6">
        <v>44749</v>
      </c>
      <c r="B1094" s="7">
        <v>3106</v>
      </c>
      <c r="C1094" s="8">
        <v>4166.8999999999996</v>
      </c>
      <c r="D1094" s="8"/>
      <c r="E1094" s="8"/>
      <c r="F1094" s="8"/>
      <c r="G1094" s="8"/>
      <c r="H1094" s="8"/>
      <c r="I1094" s="8"/>
      <c r="J1094" s="8"/>
      <c r="K1094" s="8"/>
      <c r="L1094" s="8"/>
      <c r="M1094" s="8">
        <v>10.41</v>
      </c>
      <c r="N1094" s="8"/>
      <c r="O1094" s="8"/>
      <c r="P1094" s="8"/>
      <c r="Q1094" s="11"/>
      <c r="R1094" s="11"/>
      <c r="S1094" s="8">
        <v>12.53</v>
      </c>
      <c r="T1094" s="8">
        <v>52.89</v>
      </c>
      <c r="U1094" s="8"/>
      <c r="V1094" s="8"/>
      <c r="W1094" s="8"/>
      <c r="X1094" s="8"/>
      <c r="Y1094" s="8"/>
      <c r="Z1094" s="8"/>
      <c r="AA1094" s="8"/>
      <c r="AB1094" s="8"/>
      <c r="AC1094" s="8">
        <v>10.42</v>
      </c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11"/>
      <c r="AQ1094" s="8"/>
      <c r="AR1094" s="8"/>
      <c r="AS1094" s="8"/>
      <c r="AT1094" s="8">
        <v>2381.7800000000002</v>
      </c>
      <c r="AU1094" s="8"/>
      <c r="AV1094" s="8"/>
      <c r="AW1094" s="8"/>
      <c r="AX1094" s="8">
        <v>5.21</v>
      </c>
      <c r="AY1094" s="8"/>
      <c r="AZ1094" s="8"/>
      <c r="BA1094" s="8"/>
      <c r="BB1094" s="8"/>
      <c r="BC1094" s="8"/>
      <c r="BD1094" s="8"/>
      <c r="BE1094" s="8"/>
      <c r="BF1094" s="8"/>
      <c r="BG1094" s="8">
        <v>179.74</v>
      </c>
      <c r="BH1094" s="9">
        <f t="shared" si="153"/>
        <v>4166.8999999999996</v>
      </c>
      <c r="BI1094" s="9">
        <f t="shared" si="154"/>
        <v>10.41</v>
      </c>
      <c r="BJ1094" s="9">
        <f t="shared" si="155"/>
        <v>12.53</v>
      </c>
      <c r="BK1094" s="9">
        <f t="shared" si="156"/>
        <v>52.89</v>
      </c>
      <c r="BL1094" s="9">
        <f t="shared" si="157"/>
        <v>0</v>
      </c>
      <c r="BM1094" s="9">
        <f t="shared" si="158"/>
        <v>10.42</v>
      </c>
      <c r="BN1094" s="9">
        <f t="shared" si="159"/>
        <v>2381.7800000000002</v>
      </c>
      <c r="BO1094" s="9">
        <f t="shared" si="160"/>
        <v>5.21</v>
      </c>
      <c r="BP1094" s="9">
        <f t="shared" si="161"/>
        <v>0</v>
      </c>
    </row>
    <row r="1095" spans="1:68">
      <c r="A1095" s="6">
        <v>44749</v>
      </c>
      <c r="B1095" s="7">
        <v>3108</v>
      </c>
      <c r="C1095" s="8">
        <v>2260.71</v>
      </c>
      <c r="D1095" s="8"/>
      <c r="E1095" s="8"/>
      <c r="F1095" s="8"/>
      <c r="G1095" s="8"/>
      <c r="H1095" s="8"/>
      <c r="I1095" s="8"/>
      <c r="J1095" s="8"/>
      <c r="K1095" s="8"/>
      <c r="L1095" s="8"/>
      <c r="M1095" s="8">
        <v>4.8099999999999996</v>
      </c>
      <c r="N1095" s="8"/>
      <c r="O1095" s="8"/>
      <c r="P1095" s="8"/>
      <c r="Q1095" s="11"/>
      <c r="R1095" s="11"/>
      <c r="S1095" s="8">
        <v>7.73</v>
      </c>
      <c r="T1095" s="8">
        <v>28.73</v>
      </c>
      <c r="U1095" s="8"/>
      <c r="V1095" s="8"/>
      <c r="W1095" s="8"/>
      <c r="X1095" s="8"/>
      <c r="Y1095" s="8"/>
      <c r="Z1095" s="8"/>
      <c r="AA1095" s="8"/>
      <c r="AB1095" s="8"/>
      <c r="AC1095" s="8">
        <v>9.06</v>
      </c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11"/>
      <c r="AQ1095" s="8"/>
      <c r="AR1095" s="8"/>
      <c r="AS1095" s="8"/>
      <c r="AT1095" s="8">
        <v>1233.94</v>
      </c>
      <c r="AU1095" s="8"/>
      <c r="AV1095" s="8"/>
      <c r="AW1095" s="8"/>
      <c r="AX1095" s="8"/>
      <c r="AY1095" s="8"/>
      <c r="AZ1095" s="8"/>
      <c r="BA1095" s="8">
        <v>84.21</v>
      </c>
      <c r="BB1095" s="8"/>
      <c r="BC1095" s="8"/>
      <c r="BD1095" s="8"/>
      <c r="BE1095" s="8"/>
      <c r="BF1095" s="8"/>
      <c r="BG1095" s="8">
        <v>91.72</v>
      </c>
      <c r="BH1095" s="9">
        <f t="shared" si="153"/>
        <v>2260.71</v>
      </c>
      <c r="BI1095" s="9">
        <f t="shared" si="154"/>
        <v>4.8099999999999996</v>
      </c>
      <c r="BJ1095" s="9">
        <f t="shared" si="155"/>
        <v>7.73</v>
      </c>
      <c r="BK1095" s="9">
        <f t="shared" si="156"/>
        <v>28.73</v>
      </c>
      <c r="BL1095" s="9">
        <f t="shared" si="157"/>
        <v>0</v>
      </c>
      <c r="BM1095" s="9">
        <f t="shared" si="158"/>
        <v>9.06</v>
      </c>
      <c r="BN1095" s="9">
        <f t="shared" si="159"/>
        <v>1233.94</v>
      </c>
      <c r="BO1095" s="9">
        <f t="shared" si="160"/>
        <v>84.21</v>
      </c>
      <c r="BP1095" s="9">
        <f t="shared" si="161"/>
        <v>0</v>
      </c>
    </row>
    <row r="1096" spans="1:68">
      <c r="A1096" s="6">
        <v>44749</v>
      </c>
      <c r="B1096" s="7">
        <v>3141</v>
      </c>
      <c r="C1096" s="8">
        <v>2456.5</v>
      </c>
      <c r="D1096" s="8">
        <v>433.52</v>
      </c>
      <c r="E1096" s="8"/>
      <c r="F1096" s="8"/>
      <c r="G1096" s="8"/>
      <c r="H1096" s="8"/>
      <c r="I1096" s="8"/>
      <c r="J1096" s="8"/>
      <c r="K1096" s="8"/>
      <c r="L1096" s="8"/>
      <c r="M1096" s="8">
        <v>7.59</v>
      </c>
      <c r="N1096" s="8"/>
      <c r="O1096" s="8"/>
      <c r="P1096" s="8"/>
      <c r="Q1096" s="11"/>
      <c r="R1096" s="11"/>
      <c r="S1096" s="8">
        <v>13.6</v>
      </c>
      <c r="T1096" s="8">
        <v>21.7</v>
      </c>
      <c r="U1096" s="8">
        <v>21.7</v>
      </c>
      <c r="V1096" s="8"/>
      <c r="W1096" s="8"/>
      <c r="X1096" s="8"/>
      <c r="Y1096" s="8"/>
      <c r="Z1096" s="8"/>
      <c r="AA1096" s="8"/>
      <c r="AB1096" s="8"/>
      <c r="AC1096" s="8">
        <v>11.57</v>
      </c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11"/>
      <c r="AQ1096" s="8"/>
      <c r="AR1096" s="8"/>
      <c r="AS1096" s="8"/>
      <c r="AT1096" s="8">
        <v>1910.15</v>
      </c>
      <c r="AU1096" s="8"/>
      <c r="AV1096" s="8"/>
      <c r="AW1096" s="8"/>
      <c r="AX1096" s="8"/>
      <c r="AY1096" s="8"/>
      <c r="AZ1096" s="8"/>
      <c r="BA1096" s="8">
        <v>66.2</v>
      </c>
      <c r="BB1096" s="8"/>
      <c r="BC1096" s="8"/>
      <c r="BD1096" s="8"/>
      <c r="BE1096" s="8"/>
      <c r="BF1096" s="8">
        <v>202.36</v>
      </c>
      <c r="BG1096" s="8">
        <v>150.22</v>
      </c>
      <c r="BH1096" s="9">
        <f t="shared" si="153"/>
        <v>2890.02</v>
      </c>
      <c r="BI1096" s="9">
        <f t="shared" si="154"/>
        <v>7.59</v>
      </c>
      <c r="BJ1096" s="9">
        <f t="shared" si="155"/>
        <v>13.6</v>
      </c>
      <c r="BK1096" s="9">
        <f t="shared" si="156"/>
        <v>43.4</v>
      </c>
      <c r="BL1096" s="9">
        <f t="shared" si="157"/>
        <v>0</v>
      </c>
      <c r="BM1096" s="9">
        <f t="shared" si="158"/>
        <v>11.57</v>
      </c>
      <c r="BN1096" s="9">
        <f t="shared" si="159"/>
        <v>1910.15</v>
      </c>
      <c r="BO1096" s="9">
        <f t="shared" si="160"/>
        <v>66.2</v>
      </c>
      <c r="BP1096" s="9">
        <f t="shared" si="161"/>
        <v>202.36</v>
      </c>
    </row>
    <row r="1097" spans="1:68">
      <c r="A1097" s="6">
        <v>44750</v>
      </c>
      <c r="B1097" s="7">
        <v>3081</v>
      </c>
      <c r="C1097" s="8"/>
      <c r="D1097" s="8">
        <v>303.68</v>
      </c>
      <c r="E1097" s="8"/>
      <c r="F1097" s="8">
        <v>340.91</v>
      </c>
      <c r="G1097" s="8"/>
      <c r="H1097" s="8"/>
      <c r="I1097" s="8">
        <v>1247.43</v>
      </c>
      <c r="J1097" s="8"/>
      <c r="K1097" s="8"/>
      <c r="L1097" s="8"/>
      <c r="M1097" s="8"/>
      <c r="N1097" s="8">
        <v>13.89</v>
      </c>
      <c r="O1097" s="8"/>
      <c r="P1097" s="8">
        <v>7.766</v>
      </c>
      <c r="Q1097" s="11"/>
      <c r="R1097" s="11"/>
      <c r="S1097" s="8">
        <v>1.32</v>
      </c>
      <c r="T1097" s="8">
        <v>19.02</v>
      </c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11"/>
      <c r="AQ1097" s="8">
        <v>18.733000000000001</v>
      </c>
      <c r="AR1097" s="8">
        <v>66.944999999999993</v>
      </c>
      <c r="AS1097" s="8"/>
      <c r="AT1097" s="8">
        <v>593.85</v>
      </c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>
        <v>39.25</v>
      </c>
      <c r="BH1097" s="9">
        <f t="shared" si="153"/>
        <v>1892.02</v>
      </c>
      <c r="BI1097" s="9">
        <f t="shared" si="154"/>
        <v>21.655999999999999</v>
      </c>
      <c r="BJ1097" s="9">
        <f t="shared" si="155"/>
        <v>1.32</v>
      </c>
      <c r="BK1097" s="9">
        <f t="shared" si="156"/>
        <v>19.02</v>
      </c>
      <c r="BL1097" s="9">
        <f t="shared" si="157"/>
        <v>0</v>
      </c>
      <c r="BM1097" s="9">
        <f t="shared" si="158"/>
        <v>85.677999999999997</v>
      </c>
      <c r="BN1097" s="9">
        <f t="shared" si="159"/>
        <v>593.85</v>
      </c>
      <c r="BO1097" s="9">
        <f t="shared" si="160"/>
        <v>0</v>
      </c>
      <c r="BP1097" s="9">
        <f t="shared" si="161"/>
        <v>0</v>
      </c>
    </row>
    <row r="1098" spans="1:68">
      <c r="A1098" s="6">
        <v>44750</v>
      </c>
      <c r="B1098" s="7">
        <v>3029</v>
      </c>
      <c r="C1098" s="8"/>
      <c r="D1098" s="8">
        <v>456.92</v>
      </c>
      <c r="E1098" s="8"/>
      <c r="F1098" s="8">
        <v>322.88</v>
      </c>
      <c r="G1098" s="8"/>
      <c r="H1098" s="8"/>
      <c r="I1098" s="8">
        <v>1907.78</v>
      </c>
      <c r="J1098" s="8"/>
      <c r="K1098" s="8"/>
      <c r="L1098" s="8"/>
      <c r="M1098" s="8"/>
      <c r="N1098" s="8">
        <v>20.71</v>
      </c>
      <c r="O1098" s="8"/>
      <c r="P1098" s="8"/>
      <c r="Q1098" s="11"/>
      <c r="R1098" s="11"/>
      <c r="S1098" s="8">
        <v>1.62</v>
      </c>
      <c r="T1098" s="8"/>
      <c r="U1098" s="8"/>
      <c r="V1098" s="8"/>
      <c r="W1098" s="8">
        <v>27.318999999999999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>
        <v>9.2899999999999991</v>
      </c>
      <c r="AN1098" s="8">
        <v>13.677</v>
      </c>
      <c r="AO1098" s="8"/>
      <c r="AP1098" s="11"/>
      <c r="AQ1098" s="8"/>
      <c r="AR1098" s="8">
        <v>81.150999999999996</v>
      </c>
      <c r="AS1098" s="8"/>
      <c r="AT1098" s="8">
        <v>1021.12</v>
      </c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>
        <v>71.099999999999994</v>
      </c>
      <c r="BH1098" s="9">
        <f t="shared" si="153"/>
        <v>2687.58</v>
      </c>
      <c r="BI1098" s="9">
        <f t="shared" si="154"/>
        <v>20.71</v>
      </c>
      <c r="BJ1098" s="9">
        <f t="shared" si="155"/>
        <v>1.62</v>
      </c>
      <c r="BK1098" s="9">
        <f t="shared" si="156"/>
        <v>27.318999999999999</v>
      </c>
      <c r="BL1098" s="9">
        <f t="shared" si="157"/>
        <v>0</v>
      </c>
      <c r="BM1098" s="9">
        <f t="shared" si="158"/>
        <v>104.11799999999999</v>
      </c>
      <c r="BN1098" s="9">
        <f t="shared" si="159"/>
        <v>1021.12</v>
      </c>
      <c r="BO1098" s="9">
        <f t="shared" si="160"/>
        <v>0</v>
      </c>
      <c r="BP1098" s="9">
        <f t="shared" si="161"/>
        <v>0</v>
      </c>
    </row>
    <row r="1099" spans="1:68">
      <c r="A1099" s="6">
        <v>44750</v>
      </c>
      <c r="B1099" s="7">
        <v>3083</v>
      </c>
      <c r="C1099" s="8"/>
      <c r="D1099" s="8">
        <v>718.23</v>
      </c>
      <c r="E1099" s="8"/>
      <c r="F1099" s="8"/>
      <c r="G1099" s="8"/>
      <c r="H1099" s="8"/>
      <c r="I1099" s="8">
        <v>1679.12</v>
      </c>
      <c r="J1099" s="8"/>
      <c r="K1099" s="8"/>
      <c r="L1099" s="8"/>
      <c r="M1099" s="8"/>
      <c r="N1099" s="8">
        <v>16.57</v>
      </c>
      <c r="O1099" s="8"/>
      <c r="P1099" s="8"/>
      <c r="Q1099" s="11"/>
      <c r="R1099" s="11"/>
      <c r="S1099" s="8">
        <v>1.68</v>
      </c>
      <c r="T1099" s="8">
        <v>19.239999999999998</v>
      </c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>
        <v>33.674999999999997</v>
      </c>
      <c r="AO1099" s="8"/>
      <c r="AP1099" s="11"/>
      <c r="AQ1099" s="8"/>
      <c r="AR1099" s="8">
        <v>60.095999999999997</v>
      </c>
      <c r="AS1099" s="8"/>
      <c r="AT1099" s="8">
        <v>1090.8399999999999</v>
      </c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>
        <v>85.72</v>
      </c>
      <c r="BH1099" s="9">
        <f t="shared" si="153"/>
        <v>2397.35</v>
      </c>
      <c r="BI1099" s="9">
        <f t="shared" si="154"/>
        <v>16.57</v>
      </c>
      <c r="BJ1099" s="9">
        <f t="shared" si="155"/>
        <v>1.68</v>
      </c>
      <c r="BK1099" s="9">
        <f t="shared" si="156"/>
        <v>19.239999999999998</v>
      </c>
      <c r="BL1099" s="9">
        <f t="shared" si="157"/>
        <v>0</v>
      </c>
      <c r="BM1099" s="9">
        <f t="shared" si="158"/>
        <v>93.770999999999987</v>
      </c>
      <c r="BN1099" s="9">
        <f t="shared" si="159"/>
        <v>1090.8399999999999</v>
      </c>
      <c r="BO1099" s="9">
        <f t="shared" si="160"/>
        <v>0</v>
      </c>
      <c r="BP1099" s="9">
        <f t="shared" si="161"/>
        <v>0</v>
      </c>
    </row>
    <row r="1100" spans="1:68">
      <c r="A1100" s="6">
        <v>44750</v>
      </c>
      <c r="B1100" s="7">
        <v>3079</v>
      </c>
      <c r="C1100" s="8"/>
      <c r="D1100" s="8"/>
      <c r="E1100" s="8"/>
      <c r="F1100" s="8">
        <v>334.59</v>
      </c>
      <c r="G1100" s="8"/>
      <c r="H1100" s="8"/>
      <c r="I1100" s="8">
        <v>2704.7</v>
      </c>
      <c r="J1100" s="8"/>
      <c r="K1100" s="8"/>
      <c r="L1100" s="8"/>
      <c r="M1100" s="8"/>
      <c r="N1100" s="8">
        <v>22.83</v>
      </c>
      <c r="O1100" s="8"/>
      <c r="P1100" s="8"/>
      <c r="Q1100" s="11"/>
      <c r="R1100" s="11"/>
      <c r="S1100" s="8">
        <v>1.21</v>
      </c>
      <c r="T1100" s="8">
        <v>30.39</v>
      </c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>
        <v>12.13</v>
      </c>
      <c r="AN1100" s="8">
        <v>31.254000000000001</v>
      </c>
      <c r="AO1100" s="8"/>
      <c r="AP1100" s="11"/>
      <c r="AQ1100" s="8"/>
      <c r="AR1100" s="8">
        <v>76.686999999999998</v>
      </c>
      <c r="AS1100" s="8"/>
      <c r="AT1100" s="8">
        <v>1158.94</v>
      </c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>
        <v>83.59</v>
      </c>
      <c r="BH1100" s="9">
        <f t="shared" si="153"/>
        <v>3039.29</v>
      </c>
      <c r="BI1100" s="9">
        <f t="shared" si="154"/>
        <v>22.83</v>
      </c>
      <c r="BJ1100" s="9">
        <f t="shared" si="155"/>
        <v>1.21</v>
      </c>
      <c r="BK1100" s="9">
        <f t="shared" si="156"/>
        <v>30.39</v>
      </c>
      <c r="BL1100" s="9">
        <f t="shared" si="157"/>
        <v>0</v>
      </c>
      <c r="BM1100" s="9">
        <f t="shared" si="158"/>
        <v>120.071</v>
      </c>
      <c r="BN1100" s="9">
        <f t="shared" si="159"/>
        <v>1158.94</v>
      </c>
      <c r="BO1100" s="9">
        <f t="shared" si="160"/>
        <v>0</v>
      </c>
      <c r="BP1100" s="9">
        <f t="shared" si="161"/>
        <v>0</v>
      </c>
    </row>
    <row r="1101" spans="1:68">
      <c r="A1101" s="6">
        <v>44750</v>
      </c>
      <c r="B1101" s="7">
        <v>3016</v>
      </c>
      <c r="C1101" s="8"/>
      <c r="D1101" s="8">
        <v>1569.19</v>
      </c>
      <c r="E1101" s="8"/>
      <c r="F1101" s="8"/>
      <c r="G1101" s="8"/>
      <c r="H1101" s="8"/>
      <c r="I1101" s="8">
        <v>1448.35</v>
      </c>
      <c r="J1101" s="8"/>
      <c r="K1101" s="8"/>
      <c r="L1101" s="8"/>
      <c r="M1101" s="8"/>
      <c r="N1101" s="8">
        <v>18.100000000000001</v>
      </c>
      <c r="O1101" s="8"/>
      <c r="P1101" s="8"/>
      <c r="Q1101" s="11"/>
      <c r="R1101" s="11"/>
      <c r="S1101" s="8">
        <v>2.1</v>
      </c>
      <c r="T1101" s="8">
        <v>30.12</v>
      </c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>
        <v>11.97</v>
      </c>
      <c r="AN1101" s="8">
        <v>36.435000000000002</v>
      </c>
      <c r="AO1101" s="8"/>
      <c r="AP1101" s="11"/>
      <c r="AQ1101" s="8"/>
      <c r="AR1101" s="8">
        <v>76.043000000000006</v>
      </c>
      <c r="AS1101" s="8"/>
      <c r="AT1101" s="8">
        <v>1119.3</v>
      </c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>
        <v>81.760000000000005</v>
      </c>
      <c r="BH1101" s="9">
        <f t="shared" si="153"/>
        <v>3017.54</v>
      </c>
      <c r="BI1101" s="9">
        <f t="shared" si="154"/>
        <v>18.100000000000001</v>
      </c>
      <c r="BJ1101" s="9">
        <f t="shared" si="155"/>
        <v>2.1</v>
      </c>
      <c r="BK1101" s="9">
        <f t="shared" si="156"/>
        <v>30.12</v>
      </c>
      <c r="BL1101" s="9">
        <f t="shared" si="157"/>
        <v>0</v>
      </c>
      <c r="BM1101" s="9">
        <f t="shared" si="158"/>
        <v>124.44800000000001</v>
      </c>
      <c r="BN1101" s="9">
        <f t="shared" si="159"/>
        <v>1119.3</v>
      </c>
      <c r="BO1101" s="9">
        <f t="shared" si="160"/>
        <v>0</v>
      </c>
      <c r="BP1101" s="9">
        <f t="shared" si="161"/>
        <v>0</v>
      </c>
    </row>
    <row r="1102" spans="1:68">
      <c r="A1102" s="6">
        <v>44750</v>
      </c>
      <c r="B1102" s="7">
        <v>3020</v>
      </c>
      <c r="C1102" s="8"/>
      <c r="D1102" s="8">
        <v>95.39</v>
      </c>
      <c r="E1102" s="8"/>
      <c r="F1102" s="8"/>
      <c r="G1102" s="8"/>
      <c r="H1102" s="8"/>
      <c r="I1102" s="8">
        <v>538.09</v>
      </c>
      <c r="J1102" s="8"/>
      <c r="K1102" s="8"/>
      <c r="L1102" s="8"/>
      <c r="M1102" s="8"/>
      <c r="N1102" s="8">
        <v>3.81</v>
      </c>
      <c r="O1102" s="8"/>
      <c r="P1102" s="8"/>
      <c r="Q1102" s="11"/>
      <c r="R1102" s="11"/>
      <c r="S1102" s="8">
        <v>1.1399999999999999</v>
      </c>
      <c r="T1102" s="8"/>
      <c r="U1102" s="8"/>
      <c r="V1102" s="8"/>
      <c r="W1102" s="8">
        <v>6.3570000000000002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>
        <v>6.36</v>
      </c>
      <c r="AN1102" s="8"/>
      <c r="AO1102" s="8"/>
      <c r="AP1102" s="11"/>
      <c r="AQ1102" s="8"/>
      <c r="AR1102" s="8"/>
      <c r="AS1102" s="8">
        <v>16.209</v>
      </c>
      <c r="AT1102" s="8" t="s">
        <v>74</v>
      </c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>
        <v>22.83</v>
      </c>
      <c r="BH1102" s="9">
        <f t="shared" si="153"/>
        <v>633.48</v>
      </c>
      <c r="BI1102" s="9">
        <f t="shared" si="154"/>
        <v>3.81</v>
      </c>
      <c r="BJ1102" s="9">
        <f t="shared" si="155"/>
        <v>1.1399999999999999</v>
      </c>
      <c r="BK1102" s="9">
        <f t="shared" si="156"/>
        <v>6.3570000000000002</v>
      </c>
      <c r="BL1102" s="9">
        <f t="shared" si="157"/>
        <v>0</v>
      </c>
      <c r="BM1102" s="9">
        <f t="shared" si="158"/>
        <v>22.568999999999999</v>
      </c>
      <c r="BN1102" s="9">
        <f t="shared" si="159"/>
        <v>0</v>
      </c>
      <c r="BO1102" s="9">
        <f t="shared" si="160"/>
        <v>0</v>
      </c>
      <c r="BP1102" s="9">
        <f t="shared" si="161"/>
        <v>0</v>
      </c>
    </row>
    <row r="1103" spans="1:68">
      <c r="A1103" s="6">
        <v>44750</v>
      </c>
      <c r="B1103" s="7">
        <v>3408</v>
      </c>
      <c r="C1103" s="8">
        <v>2054.16</v>
      </c>
      <c r="D1103" s="8"/>
      <c r="E1103" s="8"/>
      <c r="F1103" s="8"/>
      <c r="G1103" s="8"/>
      <c r="H1103" s="8"/>
      <c r="I1103" s="8"/>
      <c r="J1103" s="8"/>
      <c r="K1103" s="8"/>
      <c r="L1103" s="8"/>
      <c r="M1103" s="8">
        <v>4.8099999999999996</v>
      </c>
      <c r="N1103" s="8"/>
      <c r="O1103" s="8"/>
      <c r="P1103" s="8"/>
      <c r="Q1103" s="11"/>
      <c r="R1103" s="11"/>
      <c r="S1103" s="8">
        <v>5.15</v>
      </c>
      <c r="T1103" s="8">
        <v>20.62</v>
      </c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11"/>
      <c r="AQ1103" s="8"/>
      <c r="AR1103" s="8"/>
      <c r="AS1103" s="8"/>
      <c r="AT1103" s="8">
        <v>1055.28</v>
      </c>
      <c r="AU1103" s="8"/>
      <c r="AV1103" s="8"/>
      <c r="AW1103" s="8"/>
      <c r="AX1103" s="8"/>
      <c r="AY1103" s="8"/>
      <c r="AZ1103" s="8"/>
      <c r="BA1103" s="8">
        <v>9.1999999999999993</v>
      </c>
      <c r="BB1103" s="8"/>
      <c r="BC1103" s="8"/>
      <c r="BD1103" s="8"/>
      <c r="BE1103" s="8"/>
      <c r="BF1103" s="8"/>
      <c r="BG1103" s="8">
        <v>72.28</v>
      </c>
      <c r="BH1103" s="9">
        <f t="shared" si="153"/>
        <v>2054.16</v>
      </c>
      <c r="BI1103" s="9">
        <f t="shared" si="154"/>
        <v>4.8099999999999996</v>
      </c>
      <c r="BJ1103" s="9">
        <f t="shared" si="155"/>
        <v>5.15</v>
      </c>
      <c r="BK1103" s="9">
        <f t="shared" si="156"/>
        <v>20.62</v>
      </c>
      <c r="BL1103" s="9">
        <f t="shared" si="157"/>
        <v>0</v>
      </c>
      <c r="BM1103" s="9">
        <f t="shared" si="158"/>
        <v>0</v>
      </c>
      <c r="BN1103" s="9">
        <f t="shared" si="159"/>
        <v>1055.28</v>
      </c>
      <c r="BO1103" s="9">
        <f t="shared" si="160"/>
        <v>9.1999999999999993</v>
      </c>
      <c r="BP1103" s="9">
        <f t="shared" si="161"/>
        <v>0</v>
      </c>
    </row>
    <row r="1104" spans="1:68">
      <c r="A1104" s="6">
        <v>44750</v>
      </c>
      <c r="B1104" s="7">
        <v>3141</v>
      </c>
      <c r="C1104" s="8">
        <v>2444.7600000000002</v>
      </c>
      <c r="D1104" s="8">
        <v>431.7</v>
      </c>
      <c r="E1104" s="8"/>
      <c r="F1104" s="8"/>
      <c r="G1104" s="8"/>
      <c r="H1104" s="8"/>
      <c r="I1104" s="8"/>
      <c r="J1104" s="8"/>
      <c r="K1104" s="8"/>
      <c r="L1104" s="8"/>
      <c r="M1104" s="8">
        <v>6.11</v>
      </c>
      <c r="N1104" s="8"/>
      <c r="O1104" s="8"/>
      <c r="P1104" s="8"/>
      <c r="Q1104" s="11"/>
      <c r="R1104" s="11"/>
      <c r="S1104" s="8">
        <v>13.54</v>
      </c>
      <c r="T1104" s="8">
        <v>21.6</v>
      </c>
      <c r="U1104" s="8">
        <v>21.61</v>
      </c>
      <c r="V1104" s="8"/>
      <c r="W1104" s="8"/>
      <c r="X1104" s="8"/>
      <c r="Y1104" s="8"/>
      <c r="Z1104" s="8"/>
      <c r="AA1104" s="8"/>
      <c r="AB1104" s="8"/>
      <c r="AC1104" s="8">
        <v>11.53</v>
      </c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11"/>
      <c r="AQ1104" s="8"/>
      <c r="AR1104" s="8"/>
      <c r="AS1104" s="8"/>
      <c r="AT1104" s="8">
        <v>1905.86</v>
      </c>
      <c r="AU1104" s="8"/>
      <c r="AV1104" s="8"/>
      <c r="AW1104" s="8"/>
      <c r="AX1104" s="8"/>
      <c r="AY1104" s="8"/>
      <c r="AZ1104" s="8"/>
      <c r="BA1104" s="8">
        <v>65.900000000000006</v>
      </c>
      <c r="BB1104" s="8"/>
      <c r="BC1104" s="8"/>
      <c r="BD1104" s="8"/>
      <c r="BE1104" s="8"/>
      <c r="BF1104" s="8">
        <v>201.76</v>
      </c>
      <c r="BG1104" s="8">
        <v>149.29</v>
      </c>
      <c r="BH1104" s="9">
        <f t="shared" si="153"/>
        <v>2876.46</v>
      </c>
      <c r="BI1104" s="9">
        <f t="shared" si="154"/>
        <v>6.11</v>
      </c>
      <c r="BJ1104" s="9">
        <f t="shared" si="155"/>
        <v>13.54</v>
      </c>
      <c r="BK1104" s="9">
        <f t="shared" si="156"/>
        <v>43.21</v>
      </c>
      <c r="BL1104" s="9">
        <f t="shared" si="157"/>
        <v>0</v>
      </c>
      <c r="BM1104" s="9">
        <f t="shared" si="158"/>
        <v>11.53</v>
      </c>
      <c r="BN1104" s="9">
        <f t="shared" si="159"/>
        <v>1905.86</v>
      </c>
      <c r="BO1104" s="9">
        <f t="shared" si="160"/>
        <v>65.900000000000006</v>
      </c>
      <c r="BP1104" s="9">
        <f t="shared" si="161"/>
        <v>201.76</v>
      </c>
    </row>
    <row r="1105" spans="1:68">
      <c r="A1105" s="6">
        <v>44750</v>
      </c>
      <c r="B1105" s="7">
        <v>3134</v>
      </c>
      <c r="C1105" s="8">
        <v>1039.9000000000001</v>
      </c>
      <c r="D1105" s="8">
        <v>146.35</v>
      </c>
      <c r="E1105" s="8"/>
      <c r="F1105" s="8"/>
      <c r="G1105" s="8"/>
      <c r="H1105" s="8">
        <v>492.02</v>
      </c>
      <c r="I1105" s="8"/>
      <c r="J1105" s="8"/>
      <c r="K1105" s="8"/>
      <c r="L1105" s="8"/>
      <c r="M1105" s="8">
        <v>3.02</v>
      </c>
      <c r="N1105" s="8"/>
      <c r="O1105" s="8"/>
      <c r="P1105" s="8"/>
      <c r="Q1105" s="11"/>
      <c r="R1105" s="11"/>
      <c r="S1105" s="8">
        <v>6.71</v>
      </c>
      <c r="T1105" s="8">
        <v>10.23</v>
      </c>
      <c r="U1105" s="8">
        <v>8.77</v>
      </c>
      <c r="V1105" s="8"/>
      <c r="W1105" s="8"/>
      <c r="X1105" s="8"/>
      <c r="Y1105" s="8"/>
      <c r="Z1105" s="8"/>
      <c r="AA1105" s="8"/>
      <c r="AB1105" s="8"/>
      <c r="AC1105" s="8">
        <v>5.84</v>
      </c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11"/>
      <c r="AQ1105" s="8"/>
      <c r="AR1105" s="8"/>
      <c r="AS1105" s="8"/>
      <c r="AT1105" s="8">
        <v>1028.1400000000001</v>
      </c>
      <c r="AU1105" s="8"/>
      <c r="AV1105" s="8"/>
      <c r="AW1105" s="8"/>
      <c r="AX1105" s="8"/>
      <c r="AY1105" s="8">
        <v>14.987</v>
      </c>
      <c r="AZ1105" s="8"/>
      <c r="BA1105" s="8"/>
      <c r="BB1105" s="8"/>
      <c r="BC1105" s="8"/>
      <c r="BD1105" s="8"/>
      <c r="BE1105" s="8"/>
      <c r="BF1105" s="8">
        <v>65.69</v>
      </c>
      <c r="BG1105" s="8">
        <v>77.319999999999993</v>
      </c>
      <c r="BH1105" s="9">
        <f t="shared" si="153"/>
        <v>1678.27</v>
      </c>
      <c r="BI1105" s="9">
        <f t="shared" si="154"/>
        <v>3.02</v>
      </c>
      <c r="BJ1105" s="9">
        <f t="shared" si="155"/>
        <v>6.71</v>
      </c>
      <c r="BK1105" s="9">
        <f t="shared" si="156"/>
        <v>19</v>
      </c>
      <c r="BL1105" s="9">
        <f t="shared" si="157"/>
        <v>0</v>
      </c>
      <c r="BM1105" s="9">
        <f t="shared" si="158"/>
        <v>5.84</v>
      </c>
      <c r="BN1105" s="9">
        <f t="shared" si="159"/>
        <v>1028.1400000000001</v>
      </c>
      <c r="BO1105" s="9">
        <f t="shared" si="160"/>
        <v>14.987</v>
      </c>
      <c r="BP1105" s="9">
        <f t="shared" si="161"/>
        <v>65.69</v>
      </c>
    </row>
    <row r="1106" spans="1:68">
      <c r="A1106" s="6">
        <v>44753</v>
      </c>
      <c r="B1106" s="7">
        <v>3307</v>
      </c>
      <c r="C1106" s="8"/>
      <c r="D1106" s="8">
        <v>1911.02</v>
      </c>
      <c r="E1106" s="8"/>
      <c r="F1106" s="8"/>
      <c r="G1106" s="8"/>
      <c r="H1106" s="8"/>
      <c r="I1106" s="8"/>
      <c r="J1106" s="8"/>
      <c r="K1106" s="8"/>
      <c r="L1106" s="8"/>
      <c r="M1106" s="8">
        <v>2.5</v>
      </c>
      <c r="N1106" s="8"/>
      <c r="O1106" s="8"/>
      <c r="P1106" s="8"/>
      <c r="Q1106" s="11"/>
      <c r="R1106" s="11"/>
      <c r="S1106" s="8">
        <v>13.95</v>
      </c>
      <c r="T1106" s="8">
        <v>19.100000000000001</v>
      </c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>
        <v>19.14</v>
      </c>
      <c r="AH1106" s="8"/>
      <c r="AI1106" s="8"/>
      <c r="AJ1106" s="8"/>
      <c r="AK1106" s="8"/>
      <c r="AL1106" s="8"/>
      <c r="AM1106" s="8"/>
      <c r="AN1106" s="8"/>
      <c r="AO1106" s="8"/>
      <c r="AP1106" s="11"/>
      <c r="AQ1106" s="8"/>
      <c r="AR1106" s="8"/>
      <c r="AS1106" s="8"/>
      <c r="AT1106" s="8"/>
      <c r="AU1106" s="8">
        <v>957.27</v>
      </c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>
        <v>68.760000000000005</v>
      </c>
      <c r="BH1106" s="9">
        <f t="shared" si="153"/>
        <v>1911.02</v>
      </c>
      <c r="BI1106" s="9">
        <f t="shared" si="154"/>
        <v>2.5</v>
      </c>
      <c r="BJ1106" s="9">
        <f t="shared" si="155"/>
        <v>13.95</v>
      </c>
      <c r="BK1106" s="9">
        <f t="shared" si="156"/>
        <v>19.100000000000001</v>
      </c>
      <c r="BL1106" s="9">
        <f t="shared" si="157"/>
        <v>0</v>
      </c>
      <c r="BM1106" s="9">
        <f t="shared" si="158"/>
        <v>19.14</v>
      </c>
      <c r="BN1106" s="9">
        <f t="shared" si="159"/>
        <v>957.27</v>
      </c>
      <c r="BO1106" s="9">
        <f t="shared" si="160"/>
        <v>0</v>
      </c>
      <c r="BP1106" s="9">
        <f t="shared" si="161"/>
        <v>0</v>
      </c>
    </row>
    <row r="1107" spans="1:68">
      <c r="A1107" s="6">
        <v>44753</v>
      </c>
      <c r="B1107" s="7">
        <v>3081</v>
      </c>
      <c r="C1107" s="8"/>
      <c r="D1107" s="8">
        <v>296.60000000000002</v>
      </c>
      <c r="E1107" s="8"/>
      <c r="F1107" s="8">
        <v>334.1</v>
      </c>
      <c r="G1107" s="8"/>
      <c r="H1107" s="8"/>
      <c r="I1107" s="8">
        <v>1219.28</v>
      </c>
      <c r="J1107" s="8"/>
      <c r="K1107" s="8"/>
      <c r="L1107" s="8"/>
      <c r="M1107" s="8"/>
      <c r="N1107" s="8">
        <v>13.57</v>
      </c>
      <c r="O1107" s="8"/>
      <c r="P1107" s="8">
        <v>7.5590000000000002</v>
      </c>
      <c r="Q1107" s="11"/>
      <c r="R1107" s="11"/>
      <c r="S1107" s="8">
        <v>1.29</v>
      </c>
      <c r="T1107" s="8">
        <v>18.57</v>
      </c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11"/>
      <c r="AQ1107" s="8">
        <v>18.867999999999999</v>
      </c>
      <c r="AR1107" s="8">
        <v>65.051000000000002</v>
      </c>
      <c r="AS1107" s="8"/>
      <c r="AT1107" s="8">
        <v>580.51</v>
      </c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>
        <v>38.31</v>
      </c>
      <c r="BH1107" s="9">
        <f t="shared" si="153"/>
        <v>1849.98</v>
      </c>
      <c r="BI1107" s="9">
        <f t="shared" si="154"/>
        <v>21.129000000000001</v>
      </c>
      <c r="BJ1107" s="9">
        <f t="shared" si="155"/>
        <v>1.29</v>
      </c>
      <c r="BK1107" s="9">
        <f t="shared" si="156"/>
        <v>18.57</v>
      </c>
      <c r="BL1107" s="9">
        <f t="shared" si="157"/>
        <v>0</v>
      </c>
      <c r="BM1107" s="9">
        <f t="shared" si="158"/>
        <v>83.918999999999997</v>
      </c>
      <c r="BN1107" s="9">
        <f t="shared" si="159"/>
        <v>580.51</v>
      </c>
      <c r="BO1107" s="9">
        <f t="shared" si="160"/>
        <v>0</v>
      </c>
      <c r="BP1107" s="9">
        <f t="shared" si="161"/>
        <v>0</v>
      </c>
    </row>
    <row r="1108" spans="1:68">
      <c r="A1108" s="6">
        <v>44753</v>
      </c>
      <c r="B1108" s="7">
        <v>3017</v>
      </c>
      <c r="C1108" s="8"/>
      <c r="D1108" s="8">
        <v>491.8</v>
      </c>
      <c r="E1108" s="8"/>
      <c r="F1108" s="8"/>
      <c r="G1108" s="8"/>
      <c r="H1108" s="8"/>
      <c r="I1108" s="8">
        <v>678.89</v>
      </c>
      <c r="J1108" s="8"/>
      <c r="K1108" s="8"/>
      <c r="L1108" s="8"/>
      <c r="M1108" s="8"/>
      <c r="N1108" s="8">
        <v>8.19</v>
      </c>
      <c r="O1108" s="8"/>
      <c r="P1108" s="8"/>
      <c r="Q1108" s="11"/>
      <c r="R1108" s="11"/>
      <c r="S1108" s="8">
        <v>0.82</v>
      </c>
      <c r="T1108" s="8"/>
      <c r="U1108" s="8"/>
      <c r="V1108" s="8"/>
      <c r="W1108" s="8">
        <v>8.9309999999999992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>
        <v>4.6399999999999997</v>
      </c>
      <c r="AN1108" s="8">
        <v>11.768000000000001</v>
      </c>
      <c r="AO1108" s="8"/>
      <c r="AP1108" s="11"/>
      <c r="AQ1108" s="8"/>
      <c r="AR1108" s="8">
        <v>44.420999999999999</v>
      </c>
      <c r="AS1108" s="8"/>
      <c r="AT1108" s="8">
        <v>501.95</v>
      </c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>
        <v>36.36</v>
      </c>
      <c r="BH1108" s="9">
        <f t="shared" si="153"/>
        <v>1170.69</v>
      </c>
      <c r="BI1108" s="9">
        <f t="shared" si="154"/>
        <v>8.19</v>
      </c>
      <c r="BJ1108" s="9">
        <f t="shared" si="155"/>
        <v>0.82</v>
      </c>
      <c r="BK1108" s="9">
        <f t="shared" si="156"/>
        <v>8.9309999999999992</v>
      </c>
      <c r="BL1108" s="9">
        <f t="shared" si="157"/>
        <v>0</v>
      </c>
      <c r="BM1108" s="9">
        <f t="shared" si="158"/>
        <v>60.829000000000001</v>
      </c>
      <c r="BN1108" s="9">
        <f t="shared" si="159"/>
        <v>501.95</v>
      </c>
      <c r="BO1108" s="9">
        <f t="shared" si="160"/>
        <v>0</v>
      </c>
      <c r="BP1108" s="9">
        <f t="shared" si="161"/>
        <v>0</v>
      </c>
    </row>
    <row r="1109" spans="1:68">
      <c r="A1109" s="6">
        <v>44753</v>
      </c>
      <c r="B1109" s="7">
        <v>3029</v>
      </c>
      <c r="C1109" s="8"/>
      <c r="D1109" s="8">
        <v>674</v>
      </c>
      <c r="E1109" s="8"/>
      <c r="F1109" s="8">
        <v>475.22</v>
      </c>
      <c r="G1109" s="8"/>
      <c r="H1109" s="8"/>
      <c r="I1109" s="8">
        <v>2811.59</v>
      </c>
      <c r="J1109" s="8"/>
      <c r="K1109" s="8"/>
      <c r="L1109" s="8"/>
      <c r="M1109" s="8"/>
      <c r="N1109" s="8">
        <v>30.53</v>
      </c>
      <c r="O1109" s="8"/>
      <c r="P1109" s="8"/>
      <c r="Q1109" s="11"/>
      <c r="R1109" s="11"/>
      <c r="S1109" s="8">
        <v>2.37</v>
      </c>
      <c r="T1109" s="8"/>
      <c r="U1109" s="8"/>
      <c r="V1109" s="8"/>
      <c r="W1109" s="8">
        <v>41.759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>
        <v>13.86</v>
      </c>
      <c r="AN1109" s="8">
        <v>19.847999999999999</v>
      </c>
      <c r="AO1109" s="8"/>
      <c r="AP1109" s="11"/>
      <c r="AQ1109" s="8"/>
      <c r="AR1109" s="8">
        <v>119.30500000000001</v>
      </c>
      <c r="AS1109" s="8"/>
      <c r="AT1109" s="8">
        <v>1503.56</v>
      </c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>
        <v>104.82</v>
      </c>
      <c r="BH1109" s="9">
        <f t="shared" si="153"/>
        <v>3960.8100000000004</v>
      </c>
      <c r="BI1109" s="9">
        <f t="shared" si="154"/>
        <v>30.53</v>
      </c>
      <c r="BJ1109" s="9">
        <f t="shared" si="155"/>
        <v>2.37</v>
      </c>
      <c r="BK1109" s="9">
        <f t="shared" si="156"/>
        <v>41.759</v>
      </c>
      <c r="BL1109" s="9">
        <f t="shared" si="157"/>
        <v>0</v>
      </c>
      <c r="BM1109" s="9">
        <f t="shared" si="158"/>
        <v>153.01300000000001</v>
      </c>
      <c r="BN1109" s="9">
        <f t="shared" si="159"/>
        <v>1503.56</v>
      </c>
      <c r="BO1109" s="9">
        <f t="shared" si="160"/>
        <v>0</v>
      </c>
      <c r="BP1109" s="9">
        <f t="shared" si="161"/>
        <v>0</v>
      </c>
    </row>
    <row r="1110" spans="1:68">
      <c r="A1110" s="6">
        <v>44753</v>
      </c>
      <c r="B1110" s="7">
        <v>3028</v>
      </c>
      <c r="C1110" s="8"/>
      <c r="D1110" s="8">
        <v>416.13</v>
      </c>
      <c r="E1110" s="8"/>
      <c r="F1110" s="8">
        <v>383.35</v>
      </c>
      <c r="G1110" s="8"/>
      <c r="H1110" s="8"/>
      <c r="I1110" s="8">
        <v>865.95</v>
      </c>
      <c r="J1110" s="8"/>
      <c r="K1110" s="8"/>
      <c r="L1110" s="8"/>
      <c r="M1110" s="8"/>
      <c r="N1110" s="8">
        <v>12.53</v>
      </c>
      <c r="O1110" s="8"/>
      <c r="P1110" s="8"/>
      <c r="Q1110" s="11"/>
      <c r="R1110" s="11"/>
      <c r="S1110" s="8">
        <v>2.33</v>
      </c>
      <c r="T1110" s="8"/>
      <c r="U1110" s="8"/>
      <c r="V1110" s="8"/>
      <c r="W1110" s="8">
        <v>12.476000000000001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>
        <v>16.75</v>
      </c>
      <c r="AN1110" s="8">
        <v>12.007999999999999</v>
      </c>
      <c r="AO1110" s="8"/>
      <c r="AP1110" s="11"/>
      <c r="AQ1110" s="8"/>
      <c r="AR1110" s="8"/>
      <c r="AS1110" s="8">
        <v>55.158999999999999</v>
      </c>
      <c r="AT1110" s="8">
        <v>556.64</v>
      </c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>
        <v>38.130000000000003</v>
      </c>
      <c r="BH1110" s="9">
        <f t="shared" si="153"/>
        <v>1665.43</v>
      </c>
      <c r="BI1110" s="9">
        <f t="shared" si="154"/>
        <v>12.53</v>
      </c>
      <c r="BJ1110" s="9">
        <f t="shared" si="155"/>
        <v>2.33</v>
      </c>
      <c r="BK1110" s="9">
        <f t="shared" si="156"/>
        <v>12.476000000000001</v>
      </c>
      <c r="BL1110" s="9">
        <f t="shared" si="157"/>
        <v>0</v>
      </c>
      <c r="BM1110" s="9">
        <f t="shared" si="158"/>
        <v>83.917000000000002</v>
      </c>
      <c r="BN1110" s="9">
        <f t="shared" si="159"/>
        <v>556.64</v>
      </c>
      <c r="BO1110" s="9">
        <f t="shared" si="160"/>
        <v>0</v>
      </c>
      <c r="BP1110" s="9">
        <f t="shared" si="161"/>
        <v>0</v>
      </c>
    </row>
    <row r="1111" spans="1:68">
      <c r="A1111" s="6">
        <v>44753</v>
      </c>
      <c r="B1111" s="7">
        <v>3203</v>
      </c>
      <c r="C1111" s="8">
        <v>1653.04</v>
      </c>
      <c r="D1111" s="8"/>
      <c r="E1111" s="8">
        <v>710.11</v>
      </c>
      <c r="F1111" s="8"/>
      <c r="G1111" s="8"/>
      <c r="H1111" s="8"/>
      <c r="I1111" s="8"/>
      <c r="J1111" s="8"/>
      <c r="K1111" s="8"/>
      <c r="L1111" s="8"/>
      <c r="M1111" s="8"/>
      <c r="N1111" s="8"/>
      <c r="O1111" s="8">
        <v>7.11</v>
      </c>
      <c r="P1111" s="8"/>
      <c r="Q1111" s="11"/>
      <c r="R1111" s="11"/>
      <c r="S1111" s="8">
        <v>9.25</v>
      </c>
      <c r="T1111" s="8"/>
      <c r="U1111" s="8">
        <v>29.43</v>
      </c>
      <c r="V1111" s="8"/>
      <c r="W1111" s="8"/>
      <c r="X1111" s="8"/>
      <c r="Y1111" s="8"/>
      <c r="Z1111" s="8">
        <v>373.37</v>
      </c>
      <c r="AA1111" s="8">
        <v>290.59300000000002</v>
      </c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11"/>
      <c r="AQ1111" s="8"/>
      <c r="AR1111" s="8"/>
      <c r="AS1111" s="8"/>
      <c r="AT1111" s="8">
        <v>886.23</v>
      </c>
      <c r="AU1111" s="8">
        <v>442.84</v>
      </c>
      <c r="AV1111" s="8"/>
      <c r="AW1111" s="8"/>
      <c r="AX1111" s="8"/>
      <c r="AY1111" s="8"/>
      <c r="AZ1111" s="8"/>
      <c r="BA1111" s="8"/>
      <c r="BB1111" s="8"/>
      <c r="BC1111" s="8">
        <v>6.16</v>
      </c>
      <c r="BD1111" s="8"/>
      <c r="BE1111" s="8"/>
      <c r="BF1111" s="8"/>
      <c r="BG1111" s="8">
        <v>86.47</v>
      </c>
      <c r="BH1111" s="9">
        <f t="shared" si="153"/>
        <v>2363.15</v>
      </c>
      <c r="BI1111" s="9">
        <f t="shared" si="154"/>
        <v>7.11</v>
      </c>
      <c r="BJ1111" s="9">
        <f t="shared" si="155"/>
        <v>9.25</v>
      </c>
      <c r="BK1111" s="9">
        <f t="shared" si="156"/>
        <v>29.43</v>
      </c>
      <c r="BL1111" s="9">
        <f t="shared" si="157"/>
        <v>663.96299999999997</v>
      </c>
      <c r="BM1111" s="9">
        <f t="shared" si="158"/>
        <v>0</v>
      </c>
      <c r="BN1111" s="9">
        <f t="shared" si="159"/>
        <v>1329.07</v>
      </c>
      <c r="BO1111" s="9">
        <f t="shared" si="160"/>
        <v>6.16</v>
      </c>
      <c r="BP1111" s="9">
        <f t="shared" si="161"/>
        <v>0</v>
      </c>
    </row>
    <row r="1112" spans="1:68">
      <c r="A1112" s="6">
        <v>44753</v>
      </c>
      <c r="B1112" s="7">
        <v>3206</v>
      </c>
      <c r="C1112" s="8">
        <v>588.62</v>
      </c>
      <c r="D1112" s="8">
        <v>1063.82</v>
      </c>
      <c r="E1112" s="8">
        <v>709.98</v>
      </c>
      <c r="F1112" s="8"/>
      <c r="G1112" s="8"/>
      <c r="H1112" s="8"/>
      <c r="I1112" s="8"/>
      <c r="J1112" s="8"/>
      <c r="K1112" s="8"/>
      <c r="L1112" s="8"/>
      <c r="M1112" s="8"/>
      <c r="N1112" s="8"/>
      <c r="O1112" s="8">
        <v>4.7300000000000004</v>
      </c>
      <c r="P1112" s="8"/>
      <c r="Q1112" s="11"/>
      <c r="R1112" s="11"/>
      <c r="S1112" s="8">
        <v>11.84</v>
      </c>
      <c r="T1112" s="8"/>
      <c r="U1112" s="8">
        <v>8.3000000000000007</v>
      </c>
      <c r="V1112" s="8"/>
      <c r="W1112" s="8"/>
      <c r="X1112" s="8"/>
      <c r="Y1112" s="8"/>
      <c r="Z1112" s="8">
        <v>142.16999999999999</v>
      </c>
      <c r="AA1112" s="8"/>
      <c r="AB1112" s="8">
        <v>12.164999999999999</v>
      </c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11"/>
      <c r="AQ1112" s="8"/>
      <c r="AR1112" s="8"/>
      <c r="AS1112" s="8"/>
      <c r="AT1112" s="8">
        <v>141.59</v>
      </c>
      <c r="AU1112" s="8">
        <v>207.38</v>
      </c>
      <c r="AV1112" s="8"/>
      <c r="AW1112" s="8">
        <v>8.98</v>
      </c>
      <c r="AX1112" s="8"/>
      <c r="AY1112" s="8"/>
      <c r="AZ1112" s="8"/>
      <c r="BA1112" s="8"/>
      <c r="BB1112" s="8"/>
      <c r="BC1112" s="8"/>
      <c r="BD1112" s="8"/>
      <c r="BE1112" s="8"/>
      <c r="BF1112" s="8"/>
      <c r="BG1112" s="8">
        <v>41.18</v>
      </c>
      <c r="BH1112" s="9">
        <f t="shared" si="153"/>
        <v>2362.42</v>
      </c>
      <c r="BI1112" s="9">
        <f t="shared" si="154"/>
        <v>4.7300000000000004</v>
      </c>
      <c r="BJ1112" s="9">
        <f t="shared" si="155"/>
        <v>11.84</v>
      </c>
      <c r="BK1112" s="9">
        <f t="shared" si="156"/>
        <v>8.3000000000000007</v>
      </c>
      <c r="BL1112" s="9">
        <f t="shared" si="157"/>
        <v>142.16999999999999</v>
      </c>
      <c r="BM1112" s="9">
        <f t="shared" si="158"/>
        <v>12.164999999999999</v>
      </c>
      <c r="BN1112" s="9">
        <f t="shared" si="159"/>
        <v>348.97</v>
      </c>
      <c r="BO1112" s="9">
        <f t="shared" si="160"/>
        <v>8.98</v>
      </c>
      <c r="BP1112" s="9">
        <f t="shared" si="161"/>
        <v>0</v>
      </c>
    </row>
    <row r="1113" spans="1:68">
      <c r="A1113" s="6">
        <v>44753</v>
      </c>
      <c r="B1113" s="7">
        <v>3113</v>
      </c>
      <c r="C1113" s="8">
        <v>3050.1</v>
      </c>
      <c r="D1113" s="8"/>
      <c r="E1113" s="8"/>
      <c r="F1113" s="8"/>
      <c r="G1113" s="8"/>
      <c r="H1113" s="8"/>
      <c r="I1113" s="8"/>
      <c r="J1113" s="8"/>
      <c r="K1113" s="8"/>
      <c r="L1113" s="8"/>
      <c r="M1113" s="8">
        <v>3.04</v>
      </c>
      <c r="N1113" s="8">
        <v>305</v>
      </c>
      <c r="O1113" s="8"/>
      <c r="P1113" s="8"/>
      <c r="Q1113" s="11"/>
      <c r="R1113" s="11"/>
      <c r="S1113" s="8">
        <v>9.17</v>
      </c>
      <c r="T1113" s="8">
        <v>30.53</v>
      </c>
      <c r="U1113" s="8"/>
      <c r="V1113" s="8"/>
      <c r="W1113" s="8"/>
      <c r="X1113" s="8"/>
      <c r="Y1113" s="8"/>
      <c r="Z1113" s="8"/>
      <c r="AA1113" s="8"/>
      <c r="AB1113" s="8"/>
      <c r="AC1113" s="8">
        <v>12.2</v>
      </c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11"/>
      <c r="AQ1113" s="8"/>
      <c r="AR1113" s="8"/>
      <c r="AS1113" s="8"/>
      <c r="AT1113" s="8">
        <v>1274.81</v>
      </c>
      <c r="AU1113" s="8"/>
      <c r="AV1113" s="8">
        <v>103.75</v>
      </c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>
        <v>91.47</v>
      </c>
      <c r="BH1113" s="9">
        <f t="shared" si="153"/>
        <v>3050.1</v>
      </c>
      <c r="BI1113" s="9">
        <f t="shared" si="154"/>
        <v>308.04000000000002</v>
      </c>
      <c r="BJ1113" s="9">
        <f t="shared" si="155"/>
        <v>9.17</v>
      </c>
      <c r="BK1113" s="9">
        <f t="shared" si="156"/>
        <v>30.53</v>
      </c>
      <c r="BL1113" s="9">
        <f t="shared" si="157"/>
        <v>0</v>
      </c>
      <c r="BM1113" s="9">
        <f t="shared" si="158"/>
        <v>12.2</v>
      </c>
      <c r="BN1113" s="9">
        <f t="shared" si="159"/>
        <v>1274.81</v>
      </c>
      <c r="BO1113" s="9">
        <f t="shared" si="160"/>
        <v>103.75</v>
      </c>
      <c r="BP1113" s="9">
        <f t="shared" si="161"/>
        <v>0</v>
      </c>
    </row>
    <row r="1114" spans="1:68">
      <c r="A1114" s="6">
        <v>44754</v>
      </c>
      <c r="B1114" s="7">
        <v>8049</v>
      </c>
      <c r="C1114" s="8"/>
      <c r="D1114" s="8">
        <v>383.05</v>
      </c>
      <c r="E1114" s="8"/>
      <c r="F1114" s="8"/>
      <c r="G1114" s="8"/>
      <c r="H1114" s="8"/>
      <c r="I1114" s="8">
        <v>888.15</v>
      </c>
      <c r="J1114" s="8"/>
      <c r="K1114" s="8"/>
      <c r="L1114" s="8"/>
      <c r="M1114" s="8"/>
      <c r="N1114" s="8">
        <v>7.99</v>
      </c>
      <c r="O1114" s="8"/>
      <c r="P1114" s="8"/>
      <c r="Q1114" s="11"/>
      <c r="R1114" s="11"/>
      <c r="S1114" s="8">
        <v>0.89</v>
      </c>
      <c r="T1114" s="8"/>
      <c r="U1114" s="8"/>
      <c r="V1114" s="8"/>
      <c r="W1114" s="8">
        <v>10.208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>
        <v>5.05</v>
      </c>
      <c r="AN1114" s="8">
        <v>17.596</v>
      </c>
      <c r="AO1114" s="8"/>
      <c r="AP1114" s="11"/>
      <c r="AQ1114" s="8"/>
      <c r="AR1114" s="8">
        <v>31.742999999999999</v>
      </c>
      <c r="AS1114" s="8"/>
      <c r="AT1114" s="8">
        <v>596.29</v>
      </c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>
        <v>47.26</v>
      </c>
      <c r="BH1114" s="9">
        <f t="shared" si="153"/>
        <v>1271.2</v>
      </c>
      <c r="BI1114" s="9">
        <f t="shared" si="154"/>
        <v>7.99</v>
      </c>
      <c r="BJ1114" s="9">
        <f t="shared" si="155"/>
        <v>0.89</v>
      </c>
      <c r="BK1114" s="9">
        <f t="shared" si="156"/>
        <v>10.208</v>
      </c>
      <c r="BL1114" s="9">
        <f t="shared" si="157"/>
        <v>0</v>
      </c>
      <c r="BM1114" s="9">
        <f t="shared" si="158"/>
        <v>54.388999999999996</v>
      </c>
      <c r="BN1114" s="9">
        <f t="shared" si="159"/>
        <v>596.29</v>
      </c>
      <c r="BO1114" s="9">
        <f t="shared" si="160"/>
        <v>0</v>
      </c>
      <c r="BP1114" s="9">
        <f t="shared" si="161"/>
        <v>0</v>
      </c>
    </row>
    <row r="1115" spans="1:68">
      <c r="A1115" s="6">
        <v>44754</v>
      </c>
      <c r="B1115" s="7">
        <v>3083</v>
      </c>
      <c r="C1115" s="8"/>
      <c r="D1115" s="8">
        <v>389.65</v>
      </c>
      <c r="E1115" s="8"/>
      <c r="F1115" s="8"/>
      <c r="G1115" s="8"/>
      <c r="H1115" s="8"/>
      <c r="I1115" s="8">
        <v>908.56</v>
      </c>
      <c r="J1115" s="8"/>
      <c r="K1115" s="8"/>
      <c r="L1115" s="8"/>
      <c r="M1115" s="8"/>
      <c r="N1115" s="8">
        <v>8.98</v>
      </c>
      <c r="O1115" s="8"/>
      <c r="P1115" s="8"/>
      <c r="Q1115" s="11"/>
      <c r="R1115" s="11"/>
      <c r="S1115" s="8">
        <v>0.91</v>
      </c>
      <c r="T1115" s="8">
        <v>10.43</v>
      </c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>
        <v>5.17</v>
      </c>
      <c r="AN1115" s="8">
        <v>18.027000000000001</v>
      </c>
      <c r="AO1115" s="8"/>
      <c r="AP1115" s="11"/>
      <c r="AQ1115" s="8"/>
      <c r="AR1115" s="8">
        <v>32.520000000000003</v>
      </c>
      <c r="AS1115" s="8"/>
      <c r="AT1115" s="8">
        <v>591.73</v>
      </c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>
        <v>46.47</v>
      </c>
      <c r="BH1115" s="9">
        <f t="shared" si="153"/>
        <v>1298.21</v>
      </c>
      <c r="BI1115" s="9">
        <f t="shared" si="154"/>
        <v>8.98</v>
      </c>
      <c r="BJ1115" s="9">
        <f t="shared" si="155"/>
        <v>0.91</v>
      </c>
      <c r="BK1115" s="9">
        <f t="shared" si="156"/>
        <v>10.43</v>
      </c>
      <c r="BL1115" s="9">
        <f t="shared" si="157"/>
        <v>0</v>
      </c>
      <c r="BM1115" s="9">
        <f t="shared" si="158"/>
        <v>55.717000000000006</v>
      </c>
      <c r="BN1115" s="9">
        <f t="shared" si="159"/>
        <v>591.73</v>
      </c>
      <c r="BO1115" s="9">
        <f t="shared" si="160"/>
        <v>0</v>
      </c>
      <c r="BP1115" s="9">
        <f t="shared" si="161"/>
        <v>0</v>
      </c>
    </row>
    <row r="1116" spans="1:68">
      <c r="A1116" s="6">
        <v>44754</v>
      </c>
      <c r="B1116" s="7">
        <v>8026</v>
      </c>
      <c r="C1116" s="8"/>
      <c r="D1116" s="8">
        <f>599.12+331.9</f>
        <v>931.02</v>
      </c>
      <c r="E1116" s="8"/>
      <c r="F1116" s="8"/>
      <c r="G1116" s="8"/>
      <c r="H1116" s="8"/>
      <c r="I1116" s="8">
        <f>549.27+306.11</f>
        <v>855.38</v>
      </c>
      <c r="J1116" s="8"/>
      <c r="K1116" s="8"/>
      <c r="L1116" s="8"/>
      <c r="M1116" s="8"/>
      <c r="N1116" s="8">
        <f>6.91+3.83</f>
        <v>10.74</v>
      </c>
      <c r="O1116" s="8"/>
      <c r="P1116" s="8"/>
      <c r="Q1116" s="11"/>
      <c r="R1116" s="11"/>
      <c r="S1116" s="8">
        <f>0.8+0.45</f>
        <v>1.25</v>
      </c>
      <c r="T1116" s="8"/>
      <c r="U1116" s="8"/>
      <c r="V1116" s="8"/>
      <c r="W1116" s="8">
        <v>18.753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>
        <f>4.56+2.55</f>
        <v>7.1099999999999994</v>
      </c>
      <c r="AN1116" s="8">
        <v>21.535</v>
      </c>
      <c r="AO1116" s="8"/>
      <c r="AP1116" s="11"/>
      <c r="AQ1116" s="8"/>
      <c r="AR1116" s="8">
        <v>45.003</v>
      </c>
      <c r="AS1116" s="8"/>
      <c r="AT1116" s="8">
        <f>427.35+37.7</f>
        <v>465.05</v>
      </c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>
        <f>31.22+17.37</f>
        <v>48.59</v>
      </c>
      <c r="BH1116" s="9">
        <f t="shared" si="153"/>
        <v>1786.4</v>
      </c>
      <c r="BI1116" s="9">
        <f t="shared" si="154"/>
        <v>10.74</v>
      </c>
      <c r="BJ1116" s="9">
        <f t="shared" si="155"/>
        <v>1.25</v>
      </c>
      <c r="BK1116" s="9">
        <f t="shared" si="156"/>
        <v>18.753</v>
      </c>
      <c r="BL1116" s="9">
        <f t="shared" si="157"/>
        <v>0</v>
      </c>
      <c r="BM1116" s="9">
        <f t="shared" si="158"/>
        <v>73.647999999999996</v>
      </c>
      <c r="BN1116" s="9">
        <f t="shared" si="159"/>
        <v>465.05</v>
      </c>
      <c r="BO1116" s="9">
        <f t="shared" si="160"/>
        <v>0</v>
      </c>
      <c r="BP1116" s="9">
        <f t="shared" si="161"/>
        <v>0</v>
      </c>
    </row>
    <row r="1117" spans="1:68">
      <c r="A1117" s="6">
        <v>44754</v>
      </c>
      <c r="B1117" s="7">
        <v>3016</v>
      </c>
      <c r="C1117" s="8"/>
      <c r="D1117" s="8">
        <v>836.09</v>
      </c>
      <c r="E1117" s="8"/>
      <c r="F1117" s="8"/>
      <c r="G1117" s="8"/>
      <c r="H1117" s="8"/>
      <c r="I1117" s="8">
        <v>772.55</v>
      </c>
      <c r="J1117" s="8"/>
      <c r="K1117" s="8"/>
      <c r="L1117" s="8"/>
      <c r="M1117" s="8"/>
      <c r="N1117" s="8">
        <v>9.64</v>
      </c>
      <c r="O1117" s="8"/>
      <c r="P1117" s="8"/>
      <c r="Q1117" s="11"/>
      <c r="R1117" s="11"/>
      <c r="S1117" s="8">
        <v>1.1200000000000001</v>
      </c>
      <c r="T1117" s="8">
        <v>16.100000000000001</v>
      </c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>
        <v>6.44</v>
      </c>
      <c r="AN1117" s="8">
        <v>19.422000000000001</v>
      </c>
      <c r="AO1117" s="8"/>
      <c r="AP1117" s="11"/>
      <c r="AQ1117" s="8"/>
      <c r="AR1117" s="8">
        <v>40.588000000000001</v>
      </c>
      <c r="AS1117" s="8"/>
      <c r="AT1117" s="8">
        <v>599.11</v>
      </c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>
        <v>43.69</v>
      </c>
      <c r="BH1117" s="9">
        <f t="shared" si="153"/>
        <v>1608.6399999999999</v>
      </c>
      <c r="BI1117" s="9">
        <f t="shared" si="154"/>
        <v>9.64</v>
      </c>
      <c r="BJ1117" s="9">
        <f t="shared" si="155"/>
        <v>1.1200000000000001</v>
      </c>
      <c r="BK1117" s="9">
        <f t="shared" si="156"/>
        <v>16.100000000000001</v>
      </c>
      <c r="BL1117" s="9">
        <f t="shared" si="157"/>
        <v>0</v>
      </c>
      <c r="BM1117" s="9">
        <f t="shared" si="158"/>
        <v>66.45</v>
      </c>
      <c r="BN1117" s="9">
        <f t="shared" si="159"/>
        <v>599.11</v>
      </c>
      <c r="BO1117" s="9">
        <f t="shared" si="160"/>
        <v>0</v>
      </c>
      <c r="BP1117" s="9">
        <f t="shared" si="161"/>
        <v>0</v>
      </c>
    </row>
    <row r="1118" spans="1:68">
      <c r="A1118" s="6">
        <v>44754</v>
      </c>
      <c r="B1118" s="7">
        <v>8021</v>
      </c>
      <c r="C1118" s="8">
        <v>388.54</v>
      </c>
      <c r="D1118" s="8">
        <v>691.7</v>
      </c>
      <c r="E1118" s="8">
        <v>459.51</v>
      </c>
      <c r="F1118" s="8"/>
      <c r="G1118" s="8"/>
      <c r="H1118" s="8"/>
      <c r="I1118" s="8"/>
      <c r="J1118" s="8"/>
      <c r="K1118" s="8"/>
      <c r="L1118" s="8"/>
      <c r="M1118" s="8"/>
      <c r="N1118" s="8"/>
      <c r="O1118" s="8">
        <v>3.07</v>
      </c>
      <c r="P1118" s="8"/>
      <c r="Q1118" s="11"/>
      <c r="R1118" s="11"/>
      <c r="S1118" s="8">
        <v>7.66</v>
      </c>
      <c r="T1118" s="8"/>
      <c r="U1118" s="8">
        <v>10.76</v>
      </c>
      <c r="V1118" s="8"/>
      <c r="W1118" s="8"/>
      <c r="X1118" s="8"/>
      <c r="Y1118" s="8"/>
      <c r="Z1118" s="8">
        <v>176.31</v>
      </c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11"/>
      <c r="AQ1118" s="8"/>
      <c r="AR1118" s="8"/>
      <c r="AS1118" s="8"/>
      <c r="AT1118" s="8">
        <v>285.44</v>
      </c>
      <c r="AU1118" s="8">
        <v>143.47999999999999</v>
      </c>
      <c r="AV1118" s="8"/>
      <c r="AW1118" s="8">
        <v>5.82</v>
      </c>
      <c r="AX1118" s="8"/>
      <c r="AY1118" s="8"/>
      <c r="AZ1118" s="8"/>
      <c r="BA1118" s="8"/>
      <c r="BB1118" s="8"/>
      <c r="BC1118" s="8"/>
      <c r="BD1118" s="8"/>
      <c r="BE1118" s="8"/>
      <c r="BF1118" s="8"/>
      <c r="BG1118" s="8">
        <v>29.35</v>
      </c>
      <c r="BH1118" s="9">
        <f t="shared" si="153"/>
        <v>1539.75</v>
      </c>
      <c r="BI1118" s="9">
        <f t="shared" si="154"/>
        <v>3.07</v>
      </c>
      <c r="BJ1118" s="9">
        <f t="shared" si="155"/>
        <v>7.66</v>
      </c>
      <c r="BK1118" s="9">
        <f t="shared" si="156"/>
        <v>10.76</v>
      </c>
      <c r="BL1118" s="9">
        <f t="shared" si="157"/>
        <v>176.31</v>
      </c>
      <c r="BM1118" s="9">
        <f t="shared" si="158"/>
        <v>0</v>
      </c>
      <c r="BN1118" s="9">
        <f t="shared" si="159"/>
        <v>428.91999999999996</v>
      </c>
      <c r="BO1118" s="9">
        <f t="shared" si="160"/>
        <v>5.82</v>
      </c>
      <c r="BP1118" s="9">
        <f t="shared" si="161"/>
        <v>0</v>
      </c>
    </row>
    <row r="1119" spans="1:68">
      <c r="A1119" s="6">
        <v>44754</v>
      </c>
      <c r="B1119" s="7">
        <v>3203</v>
      </c>
      <c r="C1119" s="8">
        <v>863.14</v>
      </c>
      <c r="D1119" s="8"/>
      <c r="E1119" s="8">
        <v>373.06</v>
      </c>
      <c r="F1119" s="8"/>
      <c r="G1119" s="8"/>
      <c r="H1119" s="8"/>
      <c r="I1119" s="8"/>
      <c r="J1119" s="8"/>
      <c r="K1119" s="8"/>
      <c r="L1119" s="8"/>
      <c r="M1119" s="8"/>
      <c r="N1119" s="8"/>
      <c r="O1119" s="8">
        <v>3.73</v>
      </c>
      <c r="P1119" s="8"/>
      <c r="Q1119" s="11"/>
      <c r="R1119" s="11"/>
      <c r="S1119" s="8">
        <v>4.87</v>
      </c>
      <c r="T1119" s="8"/>
      <c r="U1119" s="8">
        <v>15.44</v>
      </c>
      <c r="V1119" s="8"/>
      <c r="W1119" s="8"/>
      <c r="X1119" s="8"/>
      <c r="Y1119" s="8"/>
      <c r="Z1119" s="8">
        <v>196.49</v>
      </c>
      <c r="AA1119" s="8">
        <v>152.88999999999999</v>
      </c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11"/>
      <c r="AQ1119" s="8"/>
      <c r="AR1119" s="8"/>
      <c r="AS1119" s="8"/>
      <c r="AT1119" s="8">
        <v>465.05</v>
      </c>
      <c r="AU1119" s="8">
        <v>133.12</v>
      </c>
      <c r="AV1119" s="8"/>
      <c r="AW1119" s="8"/>
      <c r="AX1119" s="8"/>
      <c r="AY1119" s="8"/>
      <c r="AZ1119" s="8"/>
      <c r="BA1119" s="8"/>
      <c r="BB1119" s="8"/>
      <c r="BC1119" s="8">
        <v>3.24</v>
      </c>
      <c r="BD1119" s="8"/>
      <c r="BE1119" s="8"/>
      <c r="BF1119" s="8"/>
      <c r="BG1119" s="8">
        <v>45.2</v>
      </c>
      <c r="BH1119" s="9">
        <f t="shared" si="153"/>
        <v>1236.2</v>
      </c>
      <c r="BI1119" s="9">
        <f t="shared" si="154"/>
        <v>3.73</v>
      </c>
      <c r="BJ1119" s="9">
        <f t="shared" si="155"/>
        <v>4.87</v>
      </c>
      <c r="BK1119" s="9">
        <f t="shared" si="156"/>
        <v>15.44</v>
      </c>
      <c r="BL1119" s="9">
        <f t="shared" si="157"/>
        <v>349.38</v>
      </c>
      <c r="BM1119" s="9">
        <f t="shared" si="158"/>
        <v>0</v>
      </c>
      <c r="BN1119" s="9">
        <f t="shared" si="159"/>
        <v>598.17000000000007</v>
      </c>
      <c r="BO1119" s="9">
        <f t="shared" si="160"/>
        <v>3.24</v>
      </c>
      <c r="BP1119" s="9">
        <f t="shared" si="161"/>
        <v>0</v>
      </c>
    </row>
    <row r="1120" spans="1:68">
      <c r="A1120" s="6">
        <v>44754</v>
      </c>
      <c r="B1120" s="7">
        <v>3029</v>
      </c>
      <c r="C1120" s="8"/>
      <c r="D1120" s="8">
        <v>460.39</v>
      </c>
      <c r="E1120" s="8"/>
      <c r="F1120" s="8">
        <v>324.81</v>
      </c>
      <c r="G1120" s="8"/>
      <c r="H1120" s="8"/>
      <c r="I1120" s="8">
        <v>1925.42</v>
      </c>
      <c r="J1120" s="8"/>
      <c r="K1120" s="8"/>
      <c r="L1120" s="8"/>
      <c r="M1120" s="8"/>
      <c r="N1120" s="8">
        <v>20.89</v>
      </c>
      <c r="O1120" s="8"/>
      <c r="P1120" s="8"/>
      <c r="Q1120" s="11"/>
      <c r="R1120" s="11"/>
      <c r="S1120" s="8">
        <v>1.64</v>
      </c>
      <c r="T1120" s="8"/>
      <c r="U1120" s="8"/>
      <c r="V1120" s="8"/>
      <c r="W1120" s="8">
        <v>27.701000000000001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>
        <v>9.43</v>
      </c>
      <c r="AN1120" s="8">
        <v>13.805</v>
      </c>
      <c r="AO1120" s="8"/>
      <c r="AP1120" s="11"/>
      <c r="AQ1120" s="8"/>
      <c r="AR1120" s="8">
        <v>81.694000000000003</v>
      </c>
      <c r="AS1120" s="8"/>
      <c r="AT1120" s="8">
        <v>1028.1400000000001</v>
      </c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>
        <v>72.209999999999994</v>
      </c>
      <c r="BH1120" s="9">
        <f t="shared" si="153"/>
        <v>2710.62</v>
      </c>
      <c r="BI1120" s="9">
        <f t="shared" si="154"/>
        <v>20.89</v>
      </c>
      <c r="BJ1120" s="9">
        <f t="shared" si="155"/>
        <v>1.64</v>
      </c>
      <c r="BK1120" s="9">
        <f t="shared" si="156"/>
        <v>27.701000000000001</v>
      </c>
      <c r="BL1120" s="9">
        <f t="shared" si="157"/>
        <v>0</v>
      </c>
      <c r="BM1120" s="9">
        <f t="shared" si="158"/>
        <v>104.929</v>
      </c>
      <c r="BN1120" s="9">
        <f t="shared" si="159"/>
        <v>1028.1400000000001</v>
      </c>
      <c r="BO1120" s="9">
        <f t="shared" si="160"/>
        <v>0</v>
      </c>
      <c r="BP1120" s="9">
        <f t="shared" si="161"/>
        <v>0</v>
      </c>
    </row>
    <row r="1121" spans="1:68">
      <c r="A1121" s="6">
        <v>44754</v>
      </c>
      <c r="B1121" s="7">
        <v>3106</v>
      </c>
      <c r="C1121" s="8">
        <f>317.81+6129.52</f>
        <v>6447.3300000000008</v>
      </c>
      <c r="D1121" s="8"/>
      <c r="E1121" s="8"/>
      <c r="F1121" s="8"/>
      <c r="G1121" s="8"/>
      <c r="H1121" s="8"/>
      <c r="I1121" s="8"/>
      <c r="J1121" s="8"/>
      <c r="K1121" s="8"/>
      <c r="L1121" s="8"/>
      <c r="M1121" s="8">
        <f>15.83+0.86</f>
        <v>16.690000000000001</v>
      </c>
      <c r="N1121" s="8"/>
      <c r="O1121" s="8"/>
      <c r="P1121" s="8"/>
      <c r="Q1121" s="11"/>
      <c r="R1121" s="11"/>
      <c r="S1121" s="8">
        <f>17.17+0.96</f>
        <v>18.130000000000003</v>
      </c>
      <c r="T1121" s="8"/>
      <c r="U1121" s="8">
        <f>61.38+3.18</f>
        <v>64.56</v>
      </c>
      <c r="V1121" s="8"/>
      <c r="W1121" s="8"/>
      <c r="X1121" s="8"/>
      <c r="Y1121" s="8"/>
      <c r="Z1121" s="8"/>
      <c r="AA1121" s="8"/>
      <c r="AB1121" s="8"/>
      <c r="AC1121" s="8">
        <f>15.33+0.8</f>
        <v>16.13</v>
      </c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11"/>
      <c r="AQ1121" s="8"/>
      <c r="AR1121" s="8"/>
      <c r="AS1121" s="8"/>
      <c r="AT1121" s="8">
        <f>181.63+3501.46</f>
        <v>3683.09</v>
      </c>
      <c r="AU1121" s="8"/>
      <c r="AV1121" s="8"/>
      <c r="AW1121" s="8"/>
      <c r="AX1121" s="8">
        <f>7.67+0.4</f>
        <v>8.07</v>
      </c>
      <c r="AY1121" s="8"/>
      <c r="AZ1121" s="8"/>
      <c r="BA1121" s="8"/>
      <c r="BB1121" s="8"/>
      <c r="BC1121" s="8"/>
      <c r="BD1121" s="8"/>
      <c r="BE1121" s="8"/>
      <c r="BF1121" s="8"/>
      <c r="BG1121" s="8">
        <f>13.7+263.12</f>
        <v>276.82</v>
      </c>
      <c r="BH1121" s="9">
        <f t="shared" si="153"/>
        <v>6447.3300000000008</v>
      </c>
      <c r="BI1121" s="9">
        <f t="shared" si="154"/>
        <v>16.690000000000001</v>
      </c>
      <c r="BJ1121" s="9">
        <f t="shared" si="155"/>
        <v>18.130000000000003</v>
      </c>
      <c r="BK1121" s="9">
        <f t="shared" si="156"/>
        <v>64.56</v>
      </c>
      <c r="BL1121" s="9">
        <f t="shared" si="157"/>
        <v>0</v>
      </c>
      <c r="BM1121" s="9">
        <f t="shared" si="158"/>
        <v>16.13</v>
      </c>
      <c r="BN1121" s="9">
        <f t="shared" si="159"/>
        <v>3683.09</v>
      </c>
      <c r="BO1121" s="9">
        <f t="shared" si="160"/>
        <v>8.07</v>
      </c>
      <c r="BP1121" s="9">
        <f t="shared" si="161"/>
        <v>0</v>
      </c>
    </row>
    <row r="1122" spans="1:68">
      <c r="A1122" s="6">
        <v>44754</v>
      </c>
      <c r="B1122" s="7">
        <v>3134</v>
      </c>
      <c r="C1122" s="8">
        <v>1057.1400000000001</v>
      </c>
      <c r="D1122" s="8">
        <v>148.6</v>
      </c>
      <c r="E1122" s="8"/>
      <c r="F1122" s="8"/>
      <c r="G1122" s="8"/>
      <c r="H1122" s="8">
        <v>498.86</v>
      </c>
      <c r="I1122" s="8"/>
      <c r="J1122" s="8"/>
      <c r="K1122" s="8"/>
      <c r="L1122" s="8"/>
      <c r="M1122" s="8">
        <v>3.09</v>
      </c>
      <c r="N1122" s="8"/>
      <c r="O1122" s="8"/>
      <c r="P1122" s="8"/>
      <c r="Q1122" s="11"/>
      <c r="R1122" s="11"/>
      <c r="S1122" s="8">
        <v>6.86</v>
      </c>
      <c r="T1122" s="8"/>
      <c r="U1122" s="8">
        <v>19.38</v>
      </c>
      <c r="V1122" s="8"/>
      <c r="W1122" s="8"/>
      <c r="X1122" s="8"/>
      <c r="Y1122" s="8"/>
      <c r="Z1122" s="8"/>
      <c r="AA1122" s="8"/>
      <c r="AB1122" s="8"/>
      <c r="AC1122" s="8">
        <v>5.97</v>
      </c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11"/>
      <c r="AQ1122" s="8"/>
      <c r="AR1122" s="8"/>
      <c r="AS1122" s="8"/>
      <c r="AT1122" s="8">
        <v>1051.22</v>
      </c>
      <c r="AU1122" s="8"/>
      <c r="AV1122" s="8"/>
      <c r="AW1122" s="8"/>
      <c r="AX1122" s="8"/>
      <c r="AY1122" s="8">
        <v>14.997999999999999</v>
      </c>
      <c r="AZ1122" s="8"/>
      <c r="BA1122" s="8"/>
      <c r="BB1122" s="8"/>
      <c r="BC1122" s="8"/>
      <c r="BD1122" s="8"/>
      <c r="BE1122" s="8"/>
      <c r="BF1122" s="8">
        <v>67.11</v>
      </c>
      <c r="BG1122" s="8">
        <v>79.06</v>
      </c>
      <c r="BH1122" s="9">
        <f t="shared" si="153"/>
        <v>1704.6</v>
      </c>
      <c r="BI1122" s="9">
        <f t="shared" si="154"/>
        <v>3.09</v>
      </c>
      <c r="BJ1122" s="9">
        <f t="shared" si="155"/>
        <v>6.86</v>
      </c>
      <c r="BK1122" s="9">
        <f t="shared" si="156"/>
        <v>19.38</v>
      </c>
      <c r="BL1122" s="9">
        <f t="shared" si="157"/>
        <v>0</v>
      </c>
      <c r="BM1122" s="9">
        <f t="shared" si="158"/>
        <v>5.97</v>
      </c>
      <c r="BN1122" s="9">
        <f t="shared" si="159"/>
        <v>1051.22</v>
      </c>
      <c r="BO1122" s="9">
        <f t="shared" si="160"/>
        <v>14.997999999999999</v>
      </c>
      <c r="BP1122" s="9">
        <f t="shared" si="161"/>
        <v>67.11</v>
      </c>
    </row>
    <row r="1123" spans="1:68">
      <c r="A1123" s="6">
        <v>44754</v>
      </c>
      <c r="B1123" s="7">
        <v>3135</v>
      </c>
      <c r="C1123" s="8">
        <v>1044.92</v>
      </c>
      <c r="D1123" s="8">
        <v>143.58000000000001</v>
      </c>
      <c r="E1123" s="8"/>
      <c r="F1123" s="8"/>
      <c r="G1123" s="8"/>
      <c r="H1123" s="8">
        <v>495.14</v>
      </c>
      <c r="I1123" s="8"/>
      <c r="J1123" s="8"/>
      <c r="K1123" s="8"/>
      <c r="L1123" s="8"/>
      <c r="M1123" s="8">
        <v>3.11</v>
      </c>
      <c r="N1123" s="8"/>
      <c r="O1123" s="8"/>
      <c r="P1123" s="8"/>
      <c r="Q1123" s="11"/>
      <c r="R1123" s="11"/>
      <c r="S1123" s="8">
        <v>6.74</v>
      </c>
      <c r="T1123" s="8"/>
      <c r="U1123" s="8">
        <v>19.09</v>
      </c>
      <c r="V1123" s="8"/>
      <c r="W1123" s="8"/>
      <c r="X1123" s="8"/>
      <c r="Y1123" s="8"/>
      <c r="Z1123" s="8"/>
      <c r="AA1123" s="8"/>
      <c r="AB1123" s="8"/>
      <c r="AC1123" s="8">
        <v>5.87</v>
      </c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11"/>
      <c r="AQ1123" s="8"/>
      <c r="AR1123" s="8"/>
      <c r="AS1123" s="8"/>
      <c r="AT1123" s="8">
        <v>1037.48</v>
      </c>
      <c r="AU1123" s="8"/>
      <c r="AV1123" s="8"/>
      <c r="AW1123" s="8"/>
      <c r="AX1123" s="8"/>
      <c r="AY1123" s="8"/>
      <c r="AZ1123" s="8"/>
      <c r="BA1123" s="8">
        <v>33.479999999999997</v>
      </c>
      <c r="BB1123" s="8"/>
      <c r="BC1123" s="8"/>
      <c r="BD1123" s="8"/>
      <c r="BE1123" s="8"/>
      <c r="BF1123" s="8">
        <v>66.150000000000006</v>
      </c>
      <c r="BG1123" s="8">
        <v>77.7</v>
      </c>
      <c r="BH1123" s="9">
        <f t="shared" si="153"/>
        <v>1683.6399999999999</v>
      </c>
      <c r="BI1123" s="9">
        <f t="shared" si="154"/>
        <v>3.11</v>
      </c>
      <c r="BJ1123" s="9">
        <f t="shared" si="155"/>
        <v>6.74</v>
      </c>
      <c r="BK1123" s="9">
        <f t="shared" si="156"/>
        <v>19.09</v>
      </c>
      <c r="BL1123" s="9">
        <f t="shared" si="157"/>
        <v>0</v>
      </c>
      <c r="BM1123" s="9">
        <f t="shared" si="158"/>
        <v>5.87</v>
      </c>
      <c r="BN1123" s="9">
        <f t="shared" si="159"/>
        <v>1037.48</v>
      </c>
      <c r="BO1123" s="9">
        <f t="shared" si="160"/>
        <v>33.479999999999997</v>
      </c>
      <c r="BP1123" s="9">
        <f t="shared" si="161"/>
        <v>66.150000000000006</v>
      </c>
    </row>
    <row r="1124" spans="1:68">
      <c r="A1124" s="6">
        <v>44754</v>
      </c>
      <c r="B1124" s="7">
        <v>3704</v>
      </c>
      <c r="C1124" s="8">
        <v>640.29999999999995</v>
      </c>
      <c r="D1124" s="8">
        <v>989.51</v>
      </c>
      <c r="E1124" s="8"/>
      <c r="F1124" s="8"/>
      <c r="G1124" s="8"/>
      <c r="H1124" s="8"/>
      <c r="I1124" s="8"/>
      <c r="J1124" s="8"/>
      <c r="K1124" s="8"/>
      <c r="L1124" s="8"/>
      <c r="M1124" s="8">
        <v>4.91</v>
      </c>
      <c r="N1124" s="8"/>
      <c r="O1124" s="8"/>
      <c r="P1124" s="8"/>
      <c r="Q1124" s="11"/>
      <c r="R1124" s="11"/>
      <c r="S1124" s="8">
        <v>5.77</v>
      </c>
      <c r="T1124" s="8"/>
      <c r="U1124" s="8">
        <v>12.38</v>
      </c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>
        <v>19.832000000000001</v>
      </c>
      <c r="AM1124" s="8"/>
      <c r="AN1124" s="8"/>
      <c r="AO1124" s="8"/>
      <c r="AP1124" s="11"/>
      <c r="AQ1124" s="8"/>
      <c r="AR1124" s="8"/>
      <c r="AS1124" s="8"/>
      <c r="AT1124" s="8">
        <v>285.08</v>
      </c>
      <c r="AU1124" s="8">
        <v>142.49</v>
      </c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>
        <v>26.12</v>
      </c>
      <c r="BH1124" s="9">
        <f t="shared" si="153"/>
        <v>1629.81</v>
      </c>
      <c r="BI1124" s="9">
        <f t="shared" si="154"/>
        <v>4.91</v>
      </c>
      <c r="BJ1124" s="9">
        <f t="shared" si="155"/>
        <v>5.77</v>
      </c>
      <c r="BK1124" s="9">
        <f t="shared" si="156"/>
        <v>12.38</v>
      </c>
      <c r="BL1124" s="9">
        <f t="shared" si="157"/>
        <v>0</v>
      </c>
      <c r="BM1124" s="9">
        <f t="shared" si="158"/>
        <v>19.832000000000001</v>
      </c>
      <c r="BN1124" s="9">
        <f t="shared" si="159"/>
        <v>427.57</v>
      </c>
      <c r="BO1124" s="9">
        <f t="shared" si="160"/>
        <v>0</v>
      </c>
      <c r="BP1124" s="9">
        <f t="shared" si="161"/>
        <v>0</v>
      </c>
    </row>
    <row r="1125" spans="1:68">
      <c r="A1125" s="6">
        <v>44754</v>
      </c>
      <c r="B1125" s="7">
        <v>3702</v>
      </c>
      <c r="C1125" s="8">
        <v>832.71</v>
      </c>
      <c r="D1125" s="8">
        <v>556.62</v>
      </c>
      <c r="E1125" s="8"/>
      <c r="F1125" s="8"/>
      <c r="G1125" s="8"/>
      <c r="H1125" s="8"/>
      <c r="I1125" s="8"/>
      <c r="J1125" s="8"/>
      <c r="K1125" s="8"/>
      <c r="L1125" s="8"/>
      <c r="M1125" s="8">
        <v>2.78</v>
      </c>
      <c r="N1125" s="8"/>
      <c r="O1125" s="8"/>
      <c r="P1125" s="8"/>
      <c r="Q1125" s="11"/>
      <c r="R1125" s="11"/>
      <c r="S1125" s="8">
        <v>6.52</v>
      </c>
      <c r="T1125" s="8"/>
      <c r="U1125" s="8">
        <v>11.14</v>
      </c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11"/>
      <c r="AQ1125" s="8"/>
      <c r="AR1125" s="8"/>
      <c r="AS1125" s="8"/>
      <c r="AT1125" s="8">
        <v>339.46</v>
      </c>
      <c r="AU1125" s="8">
        <v>169.63</v>
      </c>
      <c r="AV1125" s="8"/>
      <c r="AW1125" s="8">
        <v>3.06</v>
      </c>
      <c r="AX1125" s="8"/>
      <c r="AY1125" s="8"/>
      <c r="AZ1125" s="8"/>
      <c r="BA1125" s="8"/>
      <c r="BB1125" s="8"/>
      <c r="BC1125" s="8"/>
      <c r="BD1125" s="8"/>
      <c r="BE1125" s="8"/>
      <c r="BF1125" s="8"/>
      <c r="BG1125" s="8">
        <v>35.53</v>
      </c>
      <c r="BH1125" s="9">
        <f t="shared" si="153"/>
        <v>1389.33</v>
      </c>
      <c r="BI1125" s="9">
        <f t="shared" si="154"/>
        <v>2.78</v>
      </c>
      <c r="BJ1125" s="9">
        <f t="shared" si="155"/>
        <v>6.52</v>
      </c>
      <c r="BK1125" s="9">
        <f t="shared" si="156"/>
        <v>11.14</v>
      </c>
      <c r="BL1125" s="9">
        <f t="shared" si="157"/>
        <v>0</v>
      </c>
      <c r="BM1125" s="9">
        <f t="shared" si="158"/>
        <v>0</v>
      </c>
      <c r="BN1125" s="9">
        <f t="shared" si="159"/>
        <v>509.09</v>
      </c>
      <c r="BO1125" s="9">
        <f t="shared" si="160"/>
        <v>3.06</v>
      </c>
      <c r="BP1125" s="9">
        <f t="shared" si="161"/>
        <v>0</v>
      </c>
    </row>
    <row r="1126" spans="1:68">
      <c r="A1126" s="6">
        <v>44755</v>
      </c>
      <c r="B1126" s="7">
        <v>3080</v>
      </c>
      <c r="C1126" s="8"/>
      <c r="D1126" s="8"/>
      <c r="E1126" s="8"/>
      <c r="F1126" s="8">
        <v>751.06</v>
      </c>
      <c r="G1126" s="8"/>
      <c r="H1126" s="8"/>
      <c r="I1126" s="8">
        <v>1127.9000000000001</v>
      </c>
      <c r="J1126" s="8"/>
      <c r="K1126" s="8"/>
      <c r="L1126" s="8"/>
      <c r="M1126" s="8"/>
      <c r="N1126" s="8">
        <v>13.27</v>
      </c>
      <c r="O1126" s="8"/>
      <c r="P1126" s="8">
        <v>7.6980000000000004</v>
      </c>
      <c r="Q1126" s="11"/>
      <c r="R1126" s="11"/>
      <c r="S1126" s="8">
        <v>1.1399999999999999</v>
      </c>
      <c r="T1126" s="8"/>
      <c r="U1126" s="8"/>
      <c r="V1126" s="8"/>
      <c r="W1126" s="8">
        <v>18.977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>
        <v>28.448</v>
      </c>
      <c r="AJ1126" s="8"/>
      <c r="AK1126" s="8"/>
      <c r="AL1126" s="8"/>
      <c r="AM1126" s="8"/>
      <c r="AN1126" s="8"/>
      <c r="AO1126" s="8"/>
      <c r="AP1126" s="11"/>
      <c r="AQ1126" s="8">
        <v>19.38</v>
      </c>
      <c r="AR1126" s="8">
        <v>65.89</v>
      </c>
      <c r="AS1126" s="8"/>
      <c r="AT1126" s="8">
        <v>664.09</v>
      </c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>
        <v>35.99</v>
      </c>
      <c r="BH1126" s="9">
        <f t="shared" si="153"/>
        <v>1878.96</v>
      </c>
      <c r="BI1126" s="9">
        <f t="shared" si="154"/>
        <v>20.968</v>
      </c>
      <c r="BJ1126" s="9">
        <f t="shared" si="155"/>
        <v>1.1399999999999999</v>
      </c>
      <c r="BK1126" s="9">
        <f t="shared" si="156"/>
        <v>18.977</v>
      </c>
      <c r="BL1126" s="9">
        <f t="shared" si="157"/>
        <v>0</v>
      </c>
      <c r="BM1126" s="9">
        <f t="shared" si="158"/>
        <v>113.718</v>
      </c>
      <c r="BN1126" s="9">
        <f t="shared" si="159"/>
        <v>664.09</v>
      </c>
      <c r="BO1126" s="9">
        <f t="shared" si="160"/>
        <v>0</v>
      </c>
      <c r="BP1126" s="9">
        <f t="shared" si="161"/>
        <v>0</v>
      </c>
    </row>
    <row r="1127" spans="1:68">
      <c r="A1127" s="6">
        <v>44755</v>
      </c>
      <c r="B1127" s="7">
        <v>3205</v>
      </c>
      <c r="C1127" s="8">
        <v>662.76</v>
      </c>
      <c r="D1127" s="8">
        <v>369.14</v>
      </c>
      <c r="E1127" s="8">
        <v>443.45</v>
      </c>
      <c r="F1127" s="8"/>
      <c r="G1127" s="8"/>
      <c r="H1127" s="8"/>
      <c r="I1127" s="8"/>
      <c r="J1127" s="8"/>
      <c r="K1127" s="8"/>
      <c r="L1127" s="8"/>
      <c r="M1127" s="8"/>
      <c r="N1127" s="8"/>
      <c r="O1127" s="8">
        <v>5.92</v>
      </c>
      <c r="P1127" s="8"/>
      <c r="Q1127" s="11"/>
      <c r="R1127" s="11"/>
      <c r="S1127" s="8">
        <v>5.48</v>
      </c>
      <c r="T1127" s="8"/>
      <c r="U1127" s="8">
        <v>17.8</v>
      </c>
      <c r="V1127" s="8"/>
      <c r="W1127" s="8"/>
      <c r="X1127" s="8"/>
      <c r="Y1127" s="8"/>
      <c r="Z1127" s="8">
        <v>148.18</v>
      </c>
      <c r="AA1127" s="8"/>
      <c r="AB1127" s="8">
        <v>15.214</v>
      </c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11"/>
      <c r="AQ1127" s="8">
        <v>7.4290000000000003</v>
      </c>
      <c r="AR1127" s="8"/>
      <c r="AS1127" s="8"/>
      <c r="AT1127" s="8">
        <v>384.22</v>
      </c>
      <c r="AU1127" s="8">
        <v>192.68</v>
      </c>
      <c r="AV1127" s="8"/>
      <c r="AW1127" s="8">
        <v>6.39</v>
      </c>
      <c r="AX1127" s="8"/>
      <c r="AY1127" s="8"/>
      <c r="AZ1127" s="8"/>
      <c r="BA1127" s="8"/>
      <c r="BB1127" s="8"/>
      <c r="BC1127" s="8"/>
      <c r="BD1127" s="8"/>
      <c r="BE1127" s="8"/>
      <c r="BF1127" s="8"/>
      <c r="BG1127" s="8">
        <v>35.04</v>
      </c>
      <c r="BH1127" s="9">
        <f t="shared" si="153"/>
        <v>1475.3500000000001</v>
      </c>
      <c r="BI1127" s="9">
        <f t="shared" si="154"/>
        <v>5.92</v>
      </c>
      <c r="BJ1127" s="9">
        <f t="shared" si="155"/>
        <v>5.48</v>
      </c>
      <c r="BK1127" s="9">
        <f t="shared" si="156"/>
        <v>17.8</v>
      </c>
      <c r="BL1127" s="9">
        <f t="shared" si="157"/>
        <v>148.18</v>
      </c>
      <c r="BM1127" s="9">
        <f t="shared" si="158"/>
        <v>22.643000000000001</v>
      </c>
      <c r="BN1127" s="9">
        <f t="shared" si="159"/>
        <v>576.90000000000009</v>
      </c>
      <c r="BO1127" s="9">
        <f t="shared" si="160"/>
        <v>6.39</v>
      </c>
      <c r="BP1127" s="9">
        <f t="shared" si="161"/>
        <v>0</v>
      </c>
    </row>
    <row r="1128" spans="1:68">
      <c r="A1128" s="6">
        <v>44755</v>
      </c>
      <c r="B1128" s="7">
        <v>3020</v>
      </c>
      <c r="C1128" s="8"/>
      <c r="D1128" s="8">
        <v>167.31</v>
      </c>
      <c r="E1128" s="8"/>
      <c r="F1128" s="8"/>
      <c r="G1128" s="8"/>
      <c r="H1128" s="8"/>
      <c r="I1128" s="8">
        <v>929.13</v>
      </c>
      <c r="J1128" s="8"/>
      <c r="K1128" s="8"/>
      <c r="L1128" s="8"/>
      <c r="M1128" s="8"/>
      <c r="N1128" s="8">
        <v>6.58</v>
      </c>
      <c r="O1128" s="8"/>
      <c r="P1128" s="8"/>
      <c r="Q1128" s="11"/>
      <c r="R1128" s="11"/>
      <c r="S1128" s="8">
        <v>1.97</v>
      </c>
      <c r="T1128" s="8"/>
      <c r="U1128" s="8"/>
      <c r="V1128" s="8"/>
      <c r="W1128" s="8">
        <v>10.882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>
        <v>10.96</v>
      </c>
      <c r="AN1128" s="8"/>
      <c r="AO1128" s="8"/>
      <c r="AP1128" s="11"/>
      <c r="AQ1128" s="8"/>
      <c r="AR1128" s="8"/>
      <c r="AS1128" s="8">
        <v>27.536000000000001</v>
      </c>
      <c r="AT1128" s="8">
        <v>539.52</v>
      </c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>
        <v>39.479999999999997</v>
      </c>
      <c r="BH1128" s="9">
        <f t="shared" si="153"/>
        <v>1096.44</v>
      </c>
      <c r="BI1128" s="9">
        <f t="shared" si="154"/>
        <v>6.58</v>
      </c>
      <c r="BJ1128" s="9">
        <f t="shared" si="155"/>
        <v>1.97</v>
      </c>
      <c r="BK1128" s="9">
        <f t="shared" si="156"/>
        <v>10.882</v>
      </c>
      <c r="BL1128" s="9">
        <f t="shared" si="157"/>
        <v>0</v>
      </c>
      <c r="BM1128" s="9">
        <f t="shared" si="158"/>
        <v>38.496000000000002</v>
      </c>
      <c r="BN1128" s="9">
        <f t="shared" si="159"/>
        <v>539.52</v>
      </c>
      <c r="BO1128" s="9">
        <f t="shared" si="160"/>
        <v>0</v>
      </c>
      <c r="BP1128" s="9">
        <f t="shared" si="161"/>
        <v>0</v>
      </c>
    </row>
    <row r="1129" spans="1:68">
      <c r="A1129" s="6">
        <v>44755</v>
      </c>
      <c r="B1129" s="7">
        <v>3023</v>
      </c>
      <c r="C1129" s="8"/>
      <c r="D1129" s="8">
        <v>1660.09</v>
      </c>
      <c r="E1129" s="8"/>
      <c r="F1129" s="8"/>
      <c r="G1129" s="8"/>
      <c r="H1129" s="8"/>
      <c r="I1129" s="8">
        <v>875.15</v>
      </c>
      <c r="J1129" s="8"/>
      <c r="K1129" s="8"/>
      <c r="L1129" s="8"/>
      <c r="M1129" s="8"/>
      <c r="N1129" s="8">
        <v>14.27</v>
      </c>
      <c r="O1129" s="8"/>
      <c r="P1129" s="8"/>
      <c r="Q1129" s="11"/>
      <c r="R1129" s="11"/>
      <c r="S1129" s="8">
        <v>4.07</v>
      </c>
      <c r="T1129" s="8"/>
      <c r="U1129" s="8"/>
      <c r="V1129" s="8"/>
      <c r="W1129" s="8">
        <v>23.266999999999999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>
        <v>25.53</v>
      </c>
      <c r="AN1129" s="8">
        <v>17.934000000000001</v>
      </c>
      <c r="AO1129" s="8"/>
      <c r="AP1129" s="11"/>
      <c r="AQ1129" s="8"/>
      <c r="AR1129" s="8"/>
      <c r="AS1129" s="8">
        <v>83.881</v>
      </c>
      <c r="AT1129" s="8">
        <v>1046.3900000000001</v>
      </c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>
        <v>79.099999999999994</v>
      </c>
      <c r="BH1129" s="9">
        <f t="shared" si="153"/>
        <v>2535.2399999999998</v>
      </c>
      <c r="BI1129" s="9">
        <f t="shared" si="154"/>
        <v>14.27</v>
      </c>
      <c r="BJ1129" s="9">
        <f t="shared" si="155"/>
        <v>4.07</v>
      </c>
      <c r="BK1129" s="9">
        <f t="shared" si="156"/>
        <v>23.266999999999999</v>
      </c>
      <c r="BL1129" s="9">
        <f t="shared" si="157"/>
        <v>0</v>
      </c>
      <c r="BM1129" s="9">
        <f t="shared" si="158"/>
        <v>127.345</v>
      </c>
      <c r="BN1129" s="9">
        <f t="shared" si="159"/>
        <v>1046.3900000000001</v>
      </c>
      <c r="BO1129" s="9">
        <f t="shared" si="160"/>
        <v>0</v>
      </c>
      <c r="BP1129" s="9">
        <f t="shared" si="161"/>
        <v>0</v>
      </c>
    </row>
    <row r="1130" spans="1:68">
      <c r="A1130" s="6">
        <v>44755</v>
      </c>
      <c r="B1130" s="7">
        <v>3141</v>
      </c>
      <c r="C1130" s="8">
        <v>3592.72</v>
      </c>
      <c r="D1130" s="8">
        <v>633.99</v>
      </c>
      <c r="E1130" s="8"/>
      <c r="F1130" s="8"/>
      <c r="G1130" s="8"/>
      <c r="H1130" s="8"/>
      <c r="I1130" s="8"/>
      <c r="J1130" s="8"/>
      <c r="K1130" s="8"/>
      <c r="L1130" s="8"/>
      <c r="M1130" s="8">
        <v>9.5299999999999994</v>
      </c>
      <c r="N1130" s="8"/>
      <c r="O1130" s="8"/>
      <c r="P1130" s="8"/>
      <c r="Q1130" s="11"/>
      <c r="R1130" s="11"/>
      <c r="S1130" s="8">
        <v>19.86</v>
      </c>
      <c r="T1130" s="8"/>
      <c r="U1130" s="8">
        <v>63.46</v>
      </c>
      <c r="V1130" s="8"/>
      <c r="W1130" s="8"/>
      <c r="X1130" s="8"/>
      <c r="Y1130" s="8"/>
      <c r="Z1130" s="8"/>
      <c r="AA1130" s="8"/>
      <c r="AB1130" s="8"/>
      <c r="AC1130" s="8">
        <v>16.91</v>
      </c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11"/>
      <c r="AQ1130" s="8"/>
      <c r="AR1130" s="8"/>
      <c r="AS1130" s="8"/>
      <c r="AT1130" s="8">
        <v>2814.73</v>
      </c>
      <c r="AU1130" s="8"/>
      <c r="AV1130" s="8"/>
      <c r="AW1130" s="8"/>
      <c r="AX1130" s="8"/>
      <c r="AY1130" s="8"/>
      <c r="AZ1130" s="8"/>
      <c r="BA1130" s="8">
        <v>96.85</v>
      </c>
      <c r="BB1130" s="8"/>
      <c r="BC1130" s="8"/>
      <c r="BD1130" s="8"/>
      <c r="BE1130" s="8"/>
      <c r="BF1130" s="8">
        <v>296.01</v>
      </c>
      <c r="BG1130" s="8">
        <v>220.29</v>
      </c>
      <c r="BH1130" s="9">
        <f t="shared" si="153"/>
        <v>4226.71</v>
      </c>
      <c r="BI1130" s="9">
        <f t="shared" si="154"/>
        <v>9.5299999999999994</v>
      </c>
      <c r="BJ1130" s="9">
        <f t="shared" si="155"/>
        <v>19.86</v>
      </c>
      <c r="BK1130" s="9">
        <f t="shared" si="156"/>
        <v>63.46</v>
      </c>
      <c r="BL1130" s="9">
        <f t="shared" si="157"/>
        <v>0</v>
      </c>
      <c r="BM1130" s="9">
        <f t="shared" si="158"/>
        <v>16.91</v>
      </c>
      <c r="BN1130" s="9">
        <f t="shared" si="159"/>
        <v>2814.73</v>
      </c>
      <c r="BO1130" s="9">
        <f t="shared" si="160"/>
        <v>96.85</v>
      </c>
      <c r="BP1130" s="9">
        <f t="shared" si="161"/>
        <v>296.01</v>
      </c>
    </row>
    <row r="1131" spans="1:68">
      <c r="A1131" s="6">
        <v>44755</v>
      </c>
      <c r="B1131" s="7">
        <v>3121</v>
      </c>
      <c r="C1131" s="8">
        <v>1267.67</v>
      </c>
      <c r="D1131" s="8"/>
      <c r="E1131" s="8"/>
      <c r="F1131" s="8"/>
      <c r="G1131" s="8"/>
      <c r="H1131" s="8"/>
      <c r="I1131" s="8"/>
      <c r="J1131" s="8"/>
      <c r="K1131" s="8"/>
      <c r="L1131" s="8"/>
      <c r="M1131" s="8">
        <v>2.54</v>
      </c>
      <c r="N1131" s="8"/>
      <c r="O1131" s="8"/>
      <c r="P1131" s="8"/>
      <c r="Q1131" s="11"/>
      <c r="R1131" s="11"/>
      <c r="S1131" s="8">
        <v>4.3099999999999996</v>
      </c>
      <c r="T1131" s="8"/>
      <c r="U1131" s="8">
        <v>12.72</v>
      </c>
      <c r="V1131" s="8"/>
      <c r="W1131" s="8"/>
      <c r="X1131" s="8"/>
      <c r="Y1131" s="8"/>
      <c r="Z1131" s="8"/>
      <c r="AA1131" s="8"/>
      <c r="AB1131" s="8"/>
      <c r="AC1131" s="8">
        <v>5.08</v>
      </c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11"/>
      <c r="AQ1131" s="8">
        <v>10.512</v>
      </c>
      <c r="AR1131" s="8"/>
      <c r="AS1131" s="8"/>
      <c r="AT1131" s="8">
        <v>673.96</v>
      </c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>
        <v>49.67</v>
      </c>
      <c r="BH1131" s="9">
        <f t="shared" si="153"/>
        <v>1267.67</v>
      </c>
      <c r="BI1131" s="9">
        <f t="shared" si="154"/>
        <v>2.54</v>
      </c>
      <c r="BJ1131" s="9">
        <f t="shared" si="155"/>
        <v>4.3099999999999996</v>
      </c>
      <c r="BK1131" s="9">
        <f t="shared" si="156"/>
        <v>12.72</v>
      </c>
      <c r="BL1131" s="9">
        <f t="shared" si="157"/>
        <v>0</v>
      </c>
      <c r="BM1131" s="9">
        <f t="shared" si="158"/>
        <v>15.592000000000001</v>
      </c>
      <c r="BN1131" s="9">
        <f t="shared" si="159"/>
        <v>673.96</v>
      </c>
      <c r="BO1131" s="9">
        <f t="shared" si="160"/>
        <v>0</v>
      </c>
      <c r="BP1131" s="9">
        <f t="shared" si="161"/>
        <v>0</v>
      </c>
    </row>
    <row r="1132" spans="1:68">
      <c r="A1132" s="6">
        <v>44755</v>
      </c>
      <c r="B1132" s="7">
        <v>3200</v>
      </c>
      <c r="C1132" s="8">
        <v>2240.73</v>
      </c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>
        <v>5.62</v>
      </c>
      <c r="P1132" s="8"/>
      <c r="Q1132" s="11"/>
      <c r="R1132" s="11"/>
      <c r="S1132" s="8">
        <v>8.75</v>
      </c>
      <c r="T1132" s="8"/>
      <c r="U1132" s="8">
        <v>33.81</v>
      </c>
      <c r="V1132" s="8"/>
      <c r="W1132" s="8"/>
      <c r="X1132" s="8"/>
      <c r="Y1132" s="8"/>
      <c r="Z1132" s="8">
        <v>472.44</v>
      </c>
      <c r="AA1132" s="8"/>
      <c r="AB1132" s="8"/>
      <c r="AC1132" s="8"/>
      <c r="AD1132" s="8"/>
      <c r="AE1132" s="8"/>
      <c r="AF1132" s="8">
        <v>114.36</v>
      </c>
      <c r="AG1132" s="8"/>
      <c r="AH1132" s="8"/>
      <c r="AI1132" s="8"/>
      <c r="AJ1132" s="8"/>
      <c r="AK1132" s="8"/>
      <c r="AL1132" s="8"/>
      <c r="AM1132" s="8"/>
      <c r="AN1132" s="8"/>
      <c r="AO1132" s="8"/>
      <c r="AP1132" s="11"/>
      <c r="AQ1132" s="8">
        <v>33.988999999999997</v>
      </c>
      <c r="AR1132" s="8"/>
      <c r="AS1132" s="8"/>
      <c r="AT1132" s="8">
        <v>1537.56</v>
      </c>
      <c r="AU1132" s="8"/>
      <c r="AV1132" s="8"/>
      <c r="AW1132" s="8">
        <v>6.48</v>
      </c>
      <c r="AX1132" s="8"/>
      <c r="AY1132" s="8"/>
      <c r="AZ1132" s="8"/>
      <c r="BA1132" s="8"/>
      <c r="BB1132" s="8"/>
      <c r="BC1132" s="8"/>
      <c r="BD1132" s="8"/>
      <c r="BE1132" s="8"/>
      <c r="BF1132" s="8">
        <v>108.09</v>
      </c>
      <c r="BG1132" s="8">
        <v>111.71</v>
      </c>
      <c r="BH1132" s="9">
        <f t="shared" si="153"/>
        <v>2240.73</v>
      </c>
      <c r="BI1132" s="9">
        <f t="shared" si="154"/>
        <v>5.62</v>
      </c>
      <c r="BJ1132" s="9">
        <f t="shared" si="155"/>
        <v>8.75</v>
      </c>
      <c r="BK1132" s="9">
        <f t="shared" si="156"/>
        <v>33.81</v>
      </c>
      <c r="BL1132" s="9">
        <f t="shared" si="157"/>
        <v>472.44</v>
      </c>
      <c r="BM1132" s="9">
        <f t="shared" si="158"/>
        <v>148.34899999999999</v>
      </c>
      <c r="BN1132" s="9">
        <f t="shared" si="159"/>
        <v>1537.56</v>
      </c>
      <c r="BO1132" s="9">
        <f t="shared" si="160"/>
        <v>6.48</v>
      </c>
      <c r="BP1132" s="9">
        <f t="shared" si="161"/>
        <v>108.09</v>
      </c>
    </row>
    <row r="1133" spans="1:68">
      <c r="A1133" s="6">
        <v>44756</v>
      </c>
      <c r="B1133" s="7">
        <v>3204</v>
      </c>
      <c r="C1133" s="8"/>
      <c r="D1133" s="8">
        <v>1752.95</v>
      </c>
      <c r="E1133" s="8">
        <v>750.35</v>
      </c>
      <c r="F1133" s="8"/>
      <c r="G1133" s="8"/>
      <c r="H1133" s="8"/>
      <c r="I1133" s="8"/>
      <c r="J1133" s="8"/>
      <c r="K1133" s="8"/>
      <c r="L1133" s="8"/>
      <c r="M1133" s="8"/>
      <c r="N1133" s="8"/>
      <c r="O1133" s="8">
        <v>12.49</v>
      </c>
      <c r="P1133" s="8"/>
      <c r="Q1133" s="11"/>
      <c r="R1133" s="11"/>
      <c r="S1133" s="8">
        <v>8.5</v>
      </c>
      <c r="T1133" s="8"/>
      <c r="U1133" s="8">
        <v>27.51</v>
      </c>
      <c r="V1133" s="8"/>
      <c r="W1133" s="8"/>
      <c r="X1133" s="8"/>
      <c r="Y1133" s="8"/>
      <c r="Z1133" s="8">
        <v>375.54</v>
      </c>
      <c r="AA1133" s="8"/>
      <c r="AB1133" s="8">
        <v>12.741</v>
      </c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11"/>
      <c r="AQ1133" s="8"/>
      <c r="AR1133" s="8"/>
      <c r="AS1133" s="8"/>
      <c r="AT1133" s="8">
        <v>1102.28</v>
      </c>
      <c r="AU1133" s="8"/>
      <c r="AV1133" s="8"/>
      <c r="AW1133" s="8">
        <v>7.98</v>
      </c>
      <c r="AX1133" s="8"/>
      <c r="AY1133" s="8"/>
      <c r="AZ1133" s="8"/>
      <c r="BA1133" s="8"/>
      <c r="BB1133" s="8"/>
      <c r="BC1133" s="8"/>
      <c r="BD1133" s="8"/>
      <c r="BE1133" s="8"/>
      <c r="BF1133" s="8"/>
      <c r="BG1133" s="8">
        <v>81.36</v>
      </c>
      <c r="BH1133" s="9">
        <f t="shared" si="153"/>
        <v>2503.3000000000002</v>
      </c>
      <c r="BI1133" s="9">
        <f t="shared" si="154"/>
        <v>12.49</v>
      </c>
      <c r="BJ1133" s="9">
        <f t="shared" si="155"/>
        <v>8.5</v>
      </c>
      <c r="BK1133" s="9">
        <f t="shared" si="156"/>
        <v>27.51</v>
      </c>
      <c r="BL1133" s="9">
        <f t="shared" si="157"/>
        <v>375.54</v>
      </c>
      <c r="BM1133" s="9">
        <f t="shared" si="158"/>
        <v>12.741</v>
      </c>
      <c r="BN1133" s="9">
        <f t="shared" si="159"/>
        <v>1102.28</v>
      </c>
      <c r="BO1133" s="9">
        <f t="shared" si="160"/>
        <v>7.98</v>
      </c>
      <c r="BP1133" s="9">
        <f t="shared" si="161"/>
        <v>0</v>
      </c>
    </row>
    <row r="1134" spans="1:68">
      <c r="A1134" s="6">
        <v>44756</v>
      </c>
      <c r="B1134" s="7">
        <v>3200</v>
      </c>
      <c r="C1134" s="8">
        <v>2234.08</v>
      </c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>
        <v>5.59</v>
      </c>
      <c r="P1134" s="8"/>
      <c r="Q1134" s="11"/>
      <c r="R1134" s="11"/>
      <c r="S1134" s="8">
        <v>8.7100000000000009</v>
      </c>
      <c r="T1134" s="8"/>
      <c r="U1134" s="8">
        <v>33.549999999999997</v>
      </c>
      <c r="V1134" s="8"/>
      <c r="W1134" s="8"/>
      <c r="X1134" s="8"/>
      <c r="Y1134" s="8"/>
      <c r="Z1134" s="8">
        <v>469.55</v>
      </c>
      <c r="AA1134" s="8"/>
      <c r="AB1134" s="8"/>
      <c r="AC1134" s="8"/>
      <c r="AD1134" s="8"/>
      <c r="AE1134" s="8"/>
      <c r="AF1134" s="8">
        <v>111.26</v>
      </c>
      <c r="AG1134" s="8"/>
      <c r="AH1134" s="8"/>
      <c r="AI1134" s="8"/>
      <c r="AJ1134" s="8"/>
      <c r="AK1134" s="8"/>
      <c r="AL1134" s="8"/>
      <c r="AM1134" s="8"/>
      <c r="AN1134" s="8"/>
      <c r="AO1134" s="8"/>
      <c r="AP1134" s="11"/>
      <c r="AQ1134" s="8">
        <v>34.142000000000003</v>
      </c>
      <c r="AR1134" s="8"/>
      <c r="AS1134" s="8"/>
      <c r="AT1134" s="8">
        <v>1527.55</v>
      </c>
      <c r="AU1134" s="8"/>
      <c r="AV1134" s="8"/>
      <c r="AW1134" s="8">
        <v>6.41</v>
      </c>
      <c r="AX1134" s="8"/>
      <c r="AY1134" s="8"/>
      <c r="AZ1134" s="8"/>
      <c r="BA1134" s="8"/>
      <c r="BB1134" s="8"/>
      <c r="BC1134" s="8"/>
      <c r="BD1134" s="8"/>
      <c r="BE1134" s="8"/>
      <c r="BF1134" s="8">
        <v>107.29</v>
      </c>
      <c r="BG1134" s="8">
        <v>110.45</v>
      </c>
      <c r="BH1134" s="9">
        <f t="shared" si="153"/>
        <v>2234.08</v>
      </c>
      <c r="BI1134" s="9">
        <f t="shared" si="154"/>
        <v>5.59</v>
      </c>
      <c r="BJ1134" s="9">
        <f t="shared" si="155"/>
        <v>8.7100000000000009</v>
      </c>
      <c r="BK1134" s="9">
        <f t="shared" si="156"/>
        <v>33.549999999999997</v>
      </c>
      <c r="BL1134" s="9">
        <f t="shared" si="157"/>
        <v>469.55</v>
      </c>
      <c r="BM1134" s="9">
        <f t="shared" si="158"/>
        <v>145.40200000000002</v>
      </c>
      <c r="BN1134" s="9">
        <f t="shared" si="159"/>
        <v>1527.55</v>
      </c>
      <c r="BO1134" s="9">
        <f t="shared" si="160"/>
        <v>6.41</v>
      </c>
      <c r="BP1134" s="9">
        <f t="shared" si="161"/>
        <v>107.29</v>
      </c>
    </row>
    <row r="1135" spans="1:68">
      <c r="A1135" s="6">
        <v>44756</v>
      </c>
      <c r="B1135" s="7">
        <v>3307</v>
      </c>
      <c r="C1135" s="8"/>
      <c r="D1135" s="8">
        <v>1060.22</v>
      </c>
      <c r="E1135" s="8"/>
      <c r="F1135" s="8"/>
      <c r="G1135" s="8"/>
      <c r="H1135" s="8"/>
      <c r="I1135" s="8"/>
      <c r="J1135" s="8"/>
      <c r="K1135" s="8"/>
      <c r="L1135" s="8"/>
      <c r="M1135" s="8">
        <v>1.38</v>
      </c>
      <c r="N1135" s="8"/>
      <c r="O1135" s="8"/>
      <c r="P1135" s="8"/>
      <c r="Q1135" s="11"/>
      <c r="R1135" s="11"/>
      <c r="S1135" s="8">
        <v>7.74</v>
      </c>
      <c r="T1135" s="8"/>
      <c r="U1135" s="8">
        <v>10.61</v>
      </c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>
        <v>10.61</v>
      </c>
      <c r="AH1135" s="8"/>
      <c r="AI1135" s="8"/>
      <c r="AJ1135" s="8"/>
      <c r="AK1135" s="8"/>
      <c r="AL1135" s="8"/>
      <c r="AM1135" s="8"/>
      <c r="AN1135" s="8"/>
      <c r="AO1135" s="8"/>
      <c r="AP1135" s="11"/>
      <c r="AQ1135" s="8"/>
      <c r="AR1135" s="8"/>
      <c r="AS1135" s="8"/>
      <c r="AT1135" s="8"/>
      <c r="AU1135" s="8">
        <v>531.51</v>
      </c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>
        <v>38.11</v>
      </c>
      <c r="BH1135" s="9">
        <f t="shared" si="153"/>
        <v>1060.22</v>
      </c>
      <c r="BI1135" s="9">
        <f t="shared" si="154"/>
        <v>1.38</v>
      </c>
      <c r="BJ1135" s="9">
        <f t="shared" si="155"/>
        <v>7.74</v>
      </c>
      <c r="BK1135" s="9">
        <f t="shared" si="156"/>
        <v>10.61</v>
      </c>
      <c r="BL1135" s="9">
        <f t="shared" si="157"/>
        <v>0</v>
      </c>
      <c r="BM1135" s="9">
        <f t="shared" si="158"/>
        <v>10.61</v>
      </c>
      <c r="BN1135" s="9">
        <f t="shared" si="159"/>
        <v>531.51</v>
      </c>
      <c r="BO1135" s="9">
        <f t="shared" si="160"/>
        <v>0</v>
      </c>
      <c r="BP1135" s="9">
        <f t="shared" si="161"/>
        <v>0</v>
      </c>
    </row>
    <row r="1136" spans="1:68">
      <c r="A1136" s="6">
        <v>44756</v>
      </c>
      <c r="B1136" s="7">
        <v>3405</v>
      </c>
      <c r="C1136" s="8">
        <v>2153.7800000000002</v>
      </c>
      <c r="D1136" s="8">
        <v>538.41999999999996</v>
      </c>
      <c r="E1136" s="8"/>
      <c r="F1136" s="8"/>
      <c r="G1136" s="8"/>
      <c r="H1136" s="8"/>
      <c r="I1136" s="8"/>
      <c r="J1136" s="8"/>
      <c r="K1136" s="8"/>
      <c r="L1136" s="8"/>
      <c r="M1136" s="8">
        <v>5.75</v>
      </c>
      <c r="N1136" s="8"/>
      <c r="O1136" s="8"/>
      <c r="P1136" s="8"/>
      <c r="Q1136" s="11"/>
      <c r="R1136" s="11"/>
      <c r="S1136" s="8">
        <v>6.21</v>
      </c>
      <c r="T1136" s="8"/>
      <c r="U1136" s="8"/>
      <c r="V1136" s="8"/>
      <c r="W1136" s="8"/>
      <c r="X1136" s="8">
        <v>32.481000000000002</v>
      </c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11"/>
      <c r="AQ1136" s="8"/>
      <c r="AR1136" s="8"/>
      <c r="AS1136" s="8"/>
      <c r="AT1136" s="8">
        <v>1257.49</v>
      </c>
      <c r="AU1136" s="8"/>
      <c r="AV1136" s="8"/>
      <c r="AW1136" s="8"/>
      <c r="AX1136" s="8"/>
      <c r="AY1136" s="8"/>
      <c r="AZ1136" s="8"/>
      <c r="BA1136" s="8">
        <v>12.12</v>
      </c>
      <c r="BB1136" s="8"/>
      <c r="BC1136" s="8"/>
      <c r="BD1136" s="8"/>
      <c r="BE1136" s="8"/>
      <c r="BF1136" s="8"/>
      <c r="BG1136" s="8">
        <v>92.23</v>
      </c>
      <c r="BH1136" s="9">
        <f t="shared" si="153"/>
        <v>2692.2000000000003</v>
      </c>
      <c r="BI1136" s="9">
        <f t="shared" si="154"/>
        <v>5.75</v>
      </c>
      <c r="BJ1136" s="9">
        <f t="shared" si="155"/>
        <v>6.21</v>
      </c>
      <c r="BK1136" s="9">
        <f t="shared" si="156"/>
        <v>32.481000000000002</v>
      </c>
      <c r="BL1136" s="9">
        <f t="shared" si="157"/>
        <v>0</v>
      </c>
      <c r="BM1136" s="9">
        <f t="shared" si="158"/>
        <v>0</v>
      </c>
      <c r="BN1136" s="9">
        <f t="shared" si="159"/>
        <v>1257.49</v>
      </c>
      <c r="BO1136" s="9">
        <f t="shared" si="160"/>
        <v>12.12</v>
      </c>
      <c r="BP1136" s="9">
        <f t="shared" si="161"/>
        <v>0</v>
      </c>
    </row>
    <row r="1137" spans="1:68">
      <c r="A1137" s="6">
        <v>44756</v>
      </c>
      <c r="B1137" s="7">
        <v>3604</v>
      </c>
      <c r="C1137" s="8">
        <v>625.48</v>
      </c>
      <c r="D1137" s="8"/>
      <c r="E1137" s="8"/>
      <c r="F1137" s="8"/>
      <c r="G1137" s="8">
        <v>941.59</v>
      </c>
      <c r="H1137" s="8"/>
      <c r="I1137" s="8"/>
      <c r="J1137" s="8"/>
      <c r="K1137" s="8"/>
      <c r="L1137" s="8"/>
      <c r="M1137" s="8">
        <v>0.86</v>
      </c>
      <c r="N1137" s="8"/>
      <c r="O1137" s="8"/>
      <c r="P1137" s="8"/>
      <c r="Q1137" s="11"/>
      <c r="R1137" s="11"/>
      <c r="S1137" s="8">
        <v>8.35</v>
      </c>
      <c r="T1137" s="8"/>
      <c r="U1137" s="8">
        <v>5.0599999999999996</v>
      </c>
      <c r="V1137" s="8">
        <v>15.327</v>
      </c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11"/>
      <c r="AQ1137" s="8"/>
      <c r="AR1137" s="8"/>
      <c r="AS1137" s="8"/>
      <c r="AT1137" s="8">
        <v>638.48</v>
      </c>
      <c r="AU1137" s="8"/>
      <c r="AV1137" s="8"/>
      <c r="AW1137" s="8">
        <v>40.732999999999997</v>
      </c>
      <c r="AX1137" s="8"/>
      <c r="AY1137" s="8"/>
      <c r="AZ1137" s="8"/>
      <c r="BA1137" s="8"/>
      <c r="BB1137" s="8"/>
      <c r="BC1137" s="8"/>
      <c r="BD1137" s="8"/>
      <c r="BE1137" s="8"/>
      <c r="BF1137" s="8">
        <v>50.66</v>
      </c>
      <c r="BG1137" s="8">
        <v>47.34</v>
      </c>
      <c r="BH1137" s="9">
        <f t="shared" si="153"/>
        <v>1567.0700000000002</v>
      </c>
      <c r="BI1137" s="9">
        <f t="shared" si="154"/>
        <v>0.86</v>
      </c>
      <c r="BJ1137" s="9">
        <f t="shared" si="155"/>
        <v>8.35</v>
      </c>
      <c r="BK1137" s="9">
        <f t="shared" si="156"/>
        <v>20.387</v>
      </c>
      <c r="BL1137" s="9">
        <f t="shared" si="157"/>
        <v>0</v>
      </c>
      <c r="BM1137" s="9">
        <f t="shared" si="158"/>
        <v>0</v>
      </c>
      <c r="BN1137" s="9">
        <f t="shared" si="159"/>
        <v>638.48</v>
      </c>
      <c r="BO1137" s="9">
        <f t="shared" si="160"/>
        <v>40.732999999999997</v>
      </c>
      <c r="BP1137" s="9">
        <f t="shared" si="161"/>
        <v>50.66</v>
      </c>
    </row>
    <row r="1138" spans="1:68">
      <c r="A1138" s="6">
        <v>44756</v>
      </c>
      <c r="B1138" s="7">
        <v>3106</v>
      </c>
      <c r="C1138" s="8">
        <v>6198.69</v>
      </c>
      <c r="D1138" s="8"/>
      <c r="E1138" s="8"/>
      <c r="F1138" s="8"/>
      <c r="G1138" s="8"/>
      <c r="H1138" s="8"/>
      <c r="I1138" s="8"/>
      <c r="J1138" s="8"/>
      <c r="K1138" s="8"/>
      <c r="L1138" s="8"/>
      <c r="M1138" s="8">
        <v>15.1</v>
      </c>
      <c r="N1138" s="8"/>
      <c r="O1138" s="8"/>
      <c r="P1138" s="8"/>
      <c r="Q1138" s="11"/>
      <c r="R1138" s="11"/>
      <c r="S1138" s="8">
        <v>17.37</v>
      </c>
      <c r="T1138" s="8"/>
      <c r="U1138" s="8">
        <v>62.09</v>
      </c>
      <c r="V1138" s="8"/>
      <c r="W1138" s="8"/>
      <c r="X1138" s="8"/>
      <c r="Y1138" s="8"/>
      <c r="Z1138" s="8"/>
      <c r="AA1138" s="8"/>
      <c r="AB1138" s="8"/>
      <c r="AC1138" s="8">
        <v>15.51</v>
      </c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11"/>
      <c r="AQ1138" s="8"/>
      <c r="AR1138" s="8"/>
      <c r="AS1138" s="8"/>
      <c r="AT1138" s="8">
        <v>3546.73</v>
      </c>
      <c r="AU1138" s="8"/>
      <c r="AV1138" s="8"/>
      <c r="AW1138" s="8"/>
      <c r="AX1138" s="8">
        <v>7.76</v>
      </c>
      <c r="AY1138" s="8"/>
      <c r="AZ1138" s="8"/>
      <c r="BA1138" s="8"/>
      <c r="BB1138" s="8"/>
      <c r="BC1138" s="8"/>
      <c r="BD1138" s="8"/>
      <c r="BE1138" s="8"/>
      <c r="BF1138" s="8"/>
      <c r="BG1138" s="8">
        <v>266.60000000000002</v>
      </c>
      <c r="BH1138" s="9">
        <f t="shared" si="153"/>
        <v>6198.69</v>
      </c>
      <c r="BI1138" s="9">
        <f t="shared" si="154"/>
        <v>15.1</v>
      </c>
      <c r="BJ1138" s="9">
        <f t="shared" si="155"/>
        <v>17.37</v>
      </c>
      <c r="BK1138" s="9">
        <f t="shared" si="156"/>
        <v>62.09</v>
      </c>
      <c r="BL1138" s="9">
        <f t="shared" si="157"/>
        <v>0</v>
      </c>
      <c r="BM1138" s="9">
        <f t="shared" si="158"/>
        <v>15.51</v>
      </c>
      <c r="BN1138" s="9">
        <f t="shared" si="159"/>
        <v>3546.73</v>
      </c>
      <c r="BO1138" s="9">
        <f t="shared" si="160"/>
        <v>7.76</v>
      </c>
      <c r="BP1138" s="9">
        <f t="shared" si="161"/>
        <v>0</v>
      </c>
    </row>
    <row r="1139" spans="1:68">
      <c r="A1139" s="6">
        <v>44756</v>
      </c>
      <c r="B1139" s="7">
        <v>3141</v>
      </c>
      <c r="C1139" s="8">
        <v>2443.06</v>
      </c>
      <c r="D1139" s="8">
        <v>431.39</v>
      </c>
      <c r="E1139" s="8"/>
      <c r="F1139" s="8"/>
      <c r="G1139" s="8"/>
      <c r="H1139" s="8"/>
      <c r="I1139" s="8"/>
      <c r="J1139" s="8"/>
      <c r="K1139" s="8"/>
      <c r="L1139" s="8"/>
      <c r="M1139" s="8">
        <v>6.45</v>
      </c>
      <c r="N1139" s="8"/>
      <c r="O1139" s="8"/>
      <c r="P1139" s="8"/>
      <c r="Q1139" s="11"/>
      <c r="R1139" s="11"/>
      <c r="S1139" s="8">
        <v>13.25</v>
      </c>
      <c r="T1139" s="8"/>
      <c r="U1139" s="8">
        <v>43.16</v>
      </c>
      <c r="V1139" s="8"/>
      <c r="W1139" s="8"/>
      <c r="X1139" s="8"/>
      <c r="Y1139" s="8"/>
      <c r="Z1139" s="8"/>
      <c r="AA1139" s="8"/>
      <c r="AB1139" s="8"/>
      <c r="AC1139" s="8">
        <v>11.5</v>
      </c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11"/>
      <c r="AQ1139" s="8"/>
      <c r="AR1139" s="8"/>
      <c r="AS1139" s="8"/>
      <c r="AT1139" s="8">
        <v>1904.58</v>
      </c>
      <c r="AU1139" s="8"/>
      <c r="AV1139" s="8"/>
      <c r="AW1139" s="8"/>
      <c r="AX1139" s="8"/>
      <c r="AY1139" s="8"/>
      <c r="AZ1139" s="8"/>
      <c r="BA1139" s="8">
        <v>65.94</v>
      </c>
      <c r="BB1139" s="8"/>
      <c r="BC1139" s="8"/>
      <c r="BD1139" s="8"/>
      <c r="BE1139" s="8"/>
      <c r="BF1139" s="8">
        <v>201.26</v>
      </c>
      <c r="BG1139" s="8">
        <v>149.52000000000001</v>
      </c>
      <c r="BH1139" s="9">
        <f t="shared" si="153"/>
        <v>2874.45</v>
      </c>
      <c r="BI1139" s="9">
        <f t="shared" si="154"/>
        <v>6.45</v>
      </c>
      <c r="BJ1139" s="9">
        <f t="shared" si="155"/>
        <v>13.25</v>
      </c>
      <c r="BK1139" s="9">
        <f t="shared" si="156"/>
        <v>43.16</v>
      </c>
      <c r="BL1139" s="9">
        <f t="shared" si="157"/>
        <v>0</v>
      </c>
      <c r="BM1139" s="9">
        <f t="shared" si="158"/>
        <v>11.5</v>
      </c>
      <c r="BN1139" s="9">
        <f t="shared" si="159"/>
        <v>1904.58</v>
      </c>
      <c r="BO1139" s="9">
        <f t="shared" si="160"/>
        <v>65.94</v>
      </c>
      <c r="BP1139" s="9">
        <f t="shared" si="161"/>
        <v>201.26</v>
      </c>
    </row>
    <row r="1140" spans="1:68">
      <c r="A1140" s="6">
        <v>44756</v>
      </c>
      <c r="B1140" s="7">
        <v>3117</v>
      </c>
      <c r="C1140" s="8">
        <v>739.49</v>
      </c>
      <c r="D1140" s="8"/>
      <c r="E1140" s="8"/>
      <c r="F1140" s="8"/>
      <c r="G1140" s="8"/>
      <c r="H1140" s="8"/>
      <c r="I1140" s="8"/>
      <c r="J1140" s="8"/>
      <c r="K1140" s="8"/>
      <c r="L1140" s="8"/>
      <c r="M1140" s="8">
        <v>1.69</v>
      </c>
      <c r="N1140" s="8"/>
      <c r="O1140" s="8"/>
      <c r="P1140" s="8"/>
      <c r="Q1140" s="11"/>
      <c r="R1140" s="11"/>
      <c r="S1140" s="8">
        <v>2.59</v>
      </c>
      <c r="T1140" s="8"/>
      <c r="U1140" s="8">
        <v>7.4</v>
      </c>
      <c r="V1140" s="8"/>
      <c r="W1140" s="8"/>
      <c r="X1140" s="8"/>
      <c r="Y1140" s="8"/>
      <c r="Z1140" s="8"/>
      <c r="AA1140" s="8"/>
      <c r="AB1140" s="8"/>
      <c r="AC1140" s="8">
        <v>2.96</v>
      </c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11"/>
      <c r="AQ1140" s="8"/>
      <c r="AR1140" s="8"/>
      <c r="AS1140" s="8"/>
      <c r="AT1140" s="8">
        <v>466.99</v>
      </c>
      <c r="AU1140" s="8"/>
      <c r="AV1140" s="8">
        <v>18.46</v>
      </c>
      <c r="AW1140" s="8"/>
      <c r="AX1140" s="8"/>
      <c r="AY1140" s="8"/>
      <c r="AZ1140" s="8"/>
      <c r="BA1140" s="8"/>
      <c r="BB1140" s="8"/>
      <c r="BC1140" s="8"/>
      <c r="BD1140" s="8"/>
      <c r="BE1140" s="8"/>
      <c r="BF1140" s="8">
        <v>37.03</v>
      </c>
      <c r="BG1140" s="8">
        <v>35.590000000000003</v>
      </c>
      <c r="BH1140" s="9">
        <f t="shared" si="153"/>
        <v>739.49</v>
      </c>
      <c r="BI1140" s="9">
        <f t="shared" si="154"/>
        <v>1.69</v>
      </c>
      <c r="BJ1140" s="9">
        <f t="shared" si="155"/>
        <v>2.59</v>
      </c>
      <c r="BK1140" s="9">
        <f t="shared" si="156"/>
        <v>7.4</v>
      </c>
      <c r="BL1140" s="9">
        <f t="shared" si="157"/>
        <v>0</v>
      </c>
      <c r="BM1140" s="9">
        <f t="shared" si="158"/>
        <v>2.96</v>
      </c>
      <c r="BN1140" s="9">
        <f t="shared" si="159"/>
        <v>466.99</v>
      </c>
      <c r="BO1140" s="9">
        <f t="shared" si="160"/>
        <v>18.46</v>
      </c>
      <c r="BP1140" s="9">
        <f t="shared" si="161"/>
        <v>37.03</v>
      </c>
    </row>
    <row r="1141" spans="1:68">
      <c r="A1141" s="6">
        <v>44756</v>
      </c>
      <c r="B1141" s="7">
        <v>3703</v>
      </c>
      <c r="C1141" s="8">
        <v>818.44</v>
      </c>
      <c r="D1141" s="8">
        <v>546.33000000000004</v>
      </c>
      <c r="E1141" s="8"/>
      <c r="F1141" s="8"/>
      <c r="G1141" s="8"/>
      <c r="H1141" s="8"/>
      <c r="I1141" s="8"/>
      <c r="J1141" s="8"/>
      <c r="K1141" s="8"/>
      <c r="L1141" s="8"/>
      <c r="M1141" s="8">
        <v>2.73</v>
      </c>
      <c r="N1141" s="8"/>
      <c r="O1141" s="8"/>
      <c r="P1141" s="8"/>
      <c r="Q1141" s="11"/>
      <c r="R1141" s="11"/>
      <c r="S1141" s="8">
        <v>6.69</v>
      </c>
      <c r="T1141" s="8"/>
      <c r="U1141" s="8">
        <v>10.93</v>
      </c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>
        <v>13.983000000000001</v>
      </c>
      <c r="AM1141" s="8"/>
      <c r="AN1141" s="8"/>
      <c r="AO1141" s="8"/>
      <c r="AP1141" s="11"/>
      <c r="AQ1141" s="8"/>
      <c r="AR1141" s="8"/>
      <c r="AS1141" s="8"/>
      <c r="AT1141" s="8">
        <v>330.53</v>
      </c>
      <c r="AU1141" s="8">
        <v>166.15</v>
      </c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>
        <v>34.74</v>
      </c>
      <c r="BH1141" s="9">
        <f t="shared" si="153"/>
        <v>1364.77</v>
      </c>
      <c r="BI1141" s="9">
        <f t="shared" si="154"/>
        <v>2.73</v>
      </c>
      <c r="BJ1141" s="9">
        <f t="shared" si="155"/>
        <v>6.69</v>
      </c>
      <c r="BK1141" s="9">
        <f t="shared" si="156"/>
        <v>10.93</v>
      </c>
      <c r="BL1141" s="9">
        <f t="shared" si="157"/>
        <v>0</v>
      </c>
      <c r="BM1141" s="9">
        <f t="shared" si="158"/>
        <v>13.983000000000001</v>
      </c>
      <c r="BN1141" s="9">
        <f t="shared" si="159"/>
        <v>496.67999999999995</v>
      </c>
      <c r="BO1141" s="9">
        <f t="shared" si="160"/>
        <v>0</v>
      </c>
      <c r="BP1141" s="9">
        <f t="shared" si="161"/>
        <v>0</v>
      </c>
    </row>
    <row r="1142" spans="1:68">
      <c r="A1142" s="6">
        <v>44757</v>
      </c>
      <c r="B1142" s="7">
        <v>3141</v>
      </c>
      <c r="C1142" s="8">
        <v>2440.1999999999998</v>
      </c>
      <c r="D1142" s="8">
        <v>430.41</v>
      </c>
      <c r="E1142" s="8"/>
      <c r="F1142" s="8"/>
      <c r="G1142" s="8"/>
      <c r="H1142" s="8"/>
      <c r="I1142" s="8"/>
      <c r="J1142" s="8"/>
      <c r="K1142" s="8"/>
      <c r="L1142" s="8"/>
      <c r="M1142" s="8">
        <v>6.8</v>
      </c>
      <c r="N1142" s="8"/>
      <c r="O1142" s="8"/>
      <c r="P1142" s="8"/>
      <c r="Q1142" s="11"/>
      <c r="R1142" s="11"/>
      <c r="S1142" s="8">
        <v>13.19</v>
      </c>
      <c r="T1142" s="8"/>
      <c r="U1142" s="8">
        <v>43.07</v>
      </c>
      <c r="V1142" s="8"/>
      <c r="W1142" s="8"/>
      <c r="X1142" s="8"/>
      <c r="Y1142" s="8"/>
      <c r="Z1142" s="8"/>
      <c r="AA1142" s="8"/>
      <c r="AB1142" s="8"/>
      <c r="AC1142" s="8">
        <v>11.48</v>
      </c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11"/>
      <c r="AQ1142" s="8"/>
      <c r="AR1142" s="8"/>
      <c r="AS1142" s="8"/>
      <c r="AT1142" s="8">
        <v>1903.73</v>
      </c>
      <c r="AU1142" s="8"/>
      <c r="AV1142" s="8"/>
      <c r="AW1142" s="8"/>
      <c r="AX1142" s="8"/>
      <c r="AY1142" s="8"/>
      <c r="AZ1142" s="8"/>
      <c r="BA1142" s="8">
        <v>65.75</v>
      </c>
      <c r="BB1142" s="8"/>
      <c r="BC1142" s="8"/>
      <c r="BD1142" s="8"/>
      <c r="BE1142" s="8"/>
      <c r="BF1142" s="8">
        <v>200.93</v>
      </c>
      <c r="BG1142" s="8">
        <v>149.28</v>
      </c>
      <c r="BH1142" s="9">
        <f t="shared" si="153"/>
        <v>2870.6099999999997</v>
      </c>
      <c r="BI1142" s="9">
        <f t="shared" si="154"/>
        <v>6.8</v>
      </c>
      <c r="BJ1142" s="9">
        <f t="shared" si="155"/>
        <v>13.19</v>
      </c>
      <c r="BK1142" s="9">
        <f t="shared" si="156"/>
        <v>43.07</v>
      </c>
      <c r="BL1142" s="9">
        <f t="shared" si="157"/>
        <v>0</v>
      </c>
      <c r="BM1142" s="9">
        <f t="shared" si="158"/>
        <v>11.48</v>
      </c>
      <c r="BN1142" s="9">
        <f t="shared" si="159"/>
        <v>1903.73</v>
      </c>
      <c r="BO1142" s="9">
        <f t="shared" si="160"/>
        <v>65.75</v>
      </c>
      <c r="BP1142" s="9">
        <f t="shared" si="161"/>
        <v>200.93</v>
      </c>
    </row>
    <row r="1143" spans="1:68">
      <c r="A1143" s="6">
        <v>44757</v>
      </c>
      <c r="B1143" s="7">
        <v>3433</v>
      </c>
      <c r="C1143" s="8">
        <v>660.92</v>
      </c>
      <c r="D1143" s="8"/>
      <c r="E1143" s="8"/>
      <c r="F1143" s="8"/>
      <c r="G1143" s="8"/>
      <c r="H1143" s="8"/>
      <c r="I1143" s="8"/>
      <c r="J1143" s="8"/>
      <c r="K1143" s="8"/>
      <c r="L1143" s="8"/>
      <c r="M1143" s="8">
        <v>1.34</v>
      </c>
      <c r="N1143" s="8"/>
      <c r="O1143" s="8"/>
      <c r="P1143" s="8"/>
      <c r="Q1143" s="11"/>
      <c r="R1143" s="11"/>
      <c r="S1143" s="8">
        <v>2.64</v>
      </c>
      <c r="T1143" s="8"/>
      <c r="U1143" s="8"/>
      <c r="V1143" s="8"/>
      <c r="W1143" s="8"/>
      <c r="X1143" s="8">
        <v>6.68</v>
      </c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11"/>
      <c r="AQ1143" s="8"/>
      <c r="AR1143" s="8"/>
      <c r="AS1143" s="8"/>
      <c r="AT1143" s="8">
        <v>298.43</v>
      </c>
      <c r="AU1143" s="8"/>
      <c r="AV1143" s="8"/>
      <c r="AW1143" s="8"/>
      <c r="AX1143" s="8"/>
      <c r="AY1143" s="8"/>
      <c r="AZ1143" s="8"/>
      <c r="BA1143" s="8">
        <v>2.96</v>
      </c>
      <c r="BB1143" s="8"/>
      <c r="BC1143" s="8"/>
      <c r="BD1143" s="8"/>
      <c r="BE1143" s="8"/>
      <c r="BF1143" s="8">
        <v>33.01</v>
      </c>
      <c r="BG1143" s="8">
        <v>21.96</v>
      </c>
      <c r="BH1143" s="9">
        <f t="shared" si="153"/>
        <v>660.92</v>
      </c>
      <c r="BI1143" s="9">
        <f t="shared" si="154"/>
        <v>1.34</v>
      </c>
      <c r="BJ1143" s="9">
        <f t="shared" si="155"/>
        <v>2.64</v>
      </c>
      <c r="BK1143" s="9">
        <f t="shared" si="156"/>
        <v>6.68</v>
      </c>
      <c r="BL1143" s="9">
        <f t="shared" si="157"/>
        <v>0</v>
      </c>
      <c r="BM1143" s="9">
        <f t="shared" si="158"/>
        <v>0</v>
      </c>
      <c r="BN1143" s="9">
        <f t="shared" si="159"/>
        <v>298.43</v>
      </c>
      <c r="BO1143" s="9">
        <f t="shared" si="160"/>
        <v>2.96</v>
      </c>
      <c r="BP1143" s="9">
        <f t="shared" si="161"/>
        <v>33.01</v>
      </c>
    </row>
    <row r="1144" spans="1:68">
      <c r="A1144" s="6">
        <v>44757</v>
      </c>
      <c r="B1144" s="7">
        <v>3408</v>
      </c>
      <c r="C1144" s="8">
        <v>687.49</v>
      </c>
      <c r="D1144" s="8"/>
      <c r="E1144" s="8"/>
      <c r="F1144" s="8"/>
      <c r="G1144" s="8"/>
      <c r="H1144" s="8"/>
      <c r="I1144" s="8"/>
      <c r="J1144" s="8"/>
      <c r="K1144" s="8"/>
      <c r="L1144" s="8"/>
      <c r="M1144" s="8">
        <v>1.47</v>
      </c>
      <c r="N1144" s="8"/>
      <c r="O1144" s="8"/>
      <c r="P1144" s="8"/>
      <c r="Q1144" s="11"/>
      <c r="R1144" s="11"/>
      <c r="S1144" s="8">
        <v>1.72</v>
      </c>
      <c r="T1144" s="8"/>
      <c r="U1144" s="8"/>
      <c r="V1144" s="8"/>
      <c r="W1144" s="8"/>
      <c r="X1144" s="8">
        <v>6.9210000000000003</v>
      </c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11"/>
      <c r="AQ1144" s="8"/>
      <c r="AR1144" s="8"/>
      <c r="AS1144" s="8"/>
      <c r="AT1144" s="8">
        <v>352</v>
      </c>
      <c r="AU1144" s="8"/>
      <c r="AV1144" s="8"/>
      <c r="AW1144" s="8"/>
      <c r="AX1144" s="8"/>
      <c r="AY1144" s="8"/>
      <c r="AZ1144" s="8"/>
      <c r="BA1144" s="8">
        <v>3.1</v>
      </c>
      <c r="BB1144" s="8"/>
      <c r="BC1144" s="8"/>
      <c r="BD1144" s="8"/>
      <c r="BE1144" s="8"/>
      <c r="BF1144" s="8"/>
      <c r="BG1144" s="8">
        <v>24.08</v>
      </c>
      <c r="BH1144" s="9">
        <f t="shared" si="153"/>
        <v>687.49</v>
      </c>
      <c r="BI1144" s="9">
        <f t="shared" si="154"/>
        <v>1.47</v>
      </c>
      <c r="BJ1144" s="9">
        <f t="shared" si="155"/>
        <v>1.72</v>
      </c>
      <c r="BK1144" s="9">
        <f t="shared" si="156"/>
        <v>6.9210000000000003</v>
      </c>
      <c r="BL1144" s="9">
        <f t="shared" si="157"/>
        <v>0</v>
      </c>
      <c r="BM1144" s="9">
        <f t="shared" si="158"/>
        <v>0</v>
      </c>
      <c r="BN1144" s="9">
        <f t="shared" si="159"/>
        <v>352</v>
      </c>
      <c r="BO1144" s="9">
        <f t="shared" si="160"/>
        <v>3.1</v>
      </c>
      <c r="BP1144" s="9">
        <f t="shared" si="161"/>
        <v>0</v>
      </c>
    </row>
    <row r="1145" spans="1:68">
      <c r="A1145" s="6">
        <v>44757</v>
      </c>
      <c r="B1145" s="7">
        <v>3405</v>
      </c>
      <c r="C1145" s="8">
        <v>580.24</v>
      </c>
      <c r="D1145" s="8">
        <v>144.87</v>
      </c>
      <c r="E1145" s="8"/>
      <c r="F1145" s="8"/>
      <c r="G1145" s="8"/>
      <c r="H1145" s="8"/>
      <c r="I1145" s="8"/>
      <c r="J1145" s="8"/>
      <c r="K1145" s="8"/>
      <c r="L1145" s="8"/>
      <c r="M1145" s="8">
        <v>1.54</v>
      </c>
      <c r="N1145" s="8"/>
      <c r="O1145" s="8"/>
      <c r="P1145" s="8"/>
      <c r="Q1145" s="11"/>
      <c r="R1145" s="11"/>
      <c r="S1145" s="8">
        <v>1.67</v>
      </c>
      <c r="T1145" s="8"/>
      <c r="U1145" s="8"/>
      <c r="V1145" s="8"/>
      <c r="W1145" s="8"/>
      <c r="X1145" s="8">
        <v>8.8879999999999999</v>
      </c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11"/>
      <c r="AQ1145" s="8"/>
      <c r="AR1145" s="8"/>
      <c r="AS1145" s="8"/>
      <c r="AT1145" s="8">
        <v>364.52</v>
      </c>
      <c r="AU1145" s="8"/>
      <c r="AV1145" s="8"/>
      <c r="AW1145" s="8"/>
      <c r="AX1145" s="8"/>
      <c r="AY1145" s="8"/>
      <c r="AZ1145" s="8"/>
      <c r="BA1145" s="8">
        <v>3.27</v>
      </c>
      <c r="BB1145" s="8"/>
      <c r="BC1145" s="8"/>
      <c r="BD1145" s="8"/>
      <c r="BE1145" s="8"/>
      <c r="BF1145" s="8"/>
      <c r="BG1145" s="8">
        <v>24.72</v>
      </c>
      <c r="BH1145" s="9">
        <f t="shared" si="153"/>
        <v>725.11</v>
      </c>
      <c r="BI1145" s="9">
        <f t="shared" si="154"/>
        <v>1.54</v>
      </c>
      <c r="BJ1145" s="9">
        <f t="shared" si="155"/>
        <v>1.67</v>
      </c>
      <c r="BK1145" s="9">
        <f t="shared" si="156"/>
        <v>8.8879999999999999</v>
      </c>
      <c r="BL1145" s="9">
        <f t="shared" si="157"/>
        <v>0</v>
      </c>
      <c r="BM1145" s="9">
        <f t="shared" si="158"/>
        <v>0</v>
      </c>
      <c r="BN1145" s="9">
        <f t="shared" si="159"/>
        <v>364.52</v>
      </c>
      <c r="BO1145" s="9">
        <f t="shared" si="160"/>
        <v>3.27</v>
      </c>
      <c r="BP1145" s="9">
        <f t="shared" si="161"/>
        <v>0</v>
      </c>
    </row>
    <row r="1146" spans="1:68">
      <c r="A1146" s="6">
        <v>44757</v>
      </c>
      <c r="B1146" s="7">
        <v>3106</v>
      </c>
      <c r="C1146" s="8">
        <v>2125.7800000000002</v>
      </c>
      <c r="D1146" s="8"/>
      <c r="E1146" s="8"/>
      <c r="F1146" s="8"/>
      <c r="G1146" s="8"/>
      <c r="H1146" s="8"/>
      <c r="I1146" s="8"/>
      <c r="J1146" s="8"/>
      <c r="K1146" s="8"/>
      <c r="L1146" s="8"/>
      <c r="M1146" s="8">
        <v>5.32</v>
      </c>
      <c r="N1146" s="8"/>
      <c r="O1146" s="8"/>
      <c r="P1146" s="8"/>
      <c r="Q1146" s="11"/>
      <c r="R1146" s="11"/>
      <c r="S1146" s="8">
        <v>5.98</v>
      </c>
      <c r="T1146" s="8"/>
      <c r="U1146" s="8">
        <v>21.32</v>
      </c>
      <c r="V1146" s="8"/>
      <c r="W1146" s="8"/>
      <c r="X1146" s="8"/>
      <c r="Y1146" s="8"/>
      <c r="Z1146" s="8"/>
      <c r="AA1146" s="8"/>
      <c r="AB1146" s="8"/>
      <c r="AC1146" s="8">
        <v>5.33</v>
      </c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11"/>
      <c r="AQ1146" s="8"/>
      <c r="AR1146" s="8"/>
      <c r="AS1146" s="8"/>
      <c r="AT1146" s="8">
        <v>1217.28</v>
      </c>
      <c r="AU1146" s="8"/>
      <c r="AV1146" s="8"/>
      <c r="AW1146" s="8"/>
      <c r="AX1146" s="8">
        <v>2.67</v>
      </c>
      <c r="AY1146" s="8"/>
      <c r="AZ1146" s="8"/>
      <c r="BA1146" s="8"/>
      <c r="BB1146" s="8"/>
      <c r="BC1146" s="8"/>
      <c r="BD1146" s="8"/>
      <c r="BE1146" s="8"/>
      <c r="BF1146" s="8"/>
      <c r="BG1146" s="8">
        <v>91.76</v>
      </c>
      <c r="BH1146" s="9">
        <f t="shared" si="153"/>
        <v>2125.7800000000002</v>
      </c>
      <c r="BI1146" s="9">
        <f t="shared" si="154"/>
        <v>5.32</v>
      </c>
      <c r="BJ1146" s="9">
        <f t="shared" si="155"/>
        <v>5.98</v>
      </c>
      <c r="BK1146" s="9">
        <f t="shared" si="156"/>
        <v>21.32</v>
      </c>
      <c r="BL1146" s="9">
        <f t="shared" si="157"/>
        <v>0</v>
      </c>
      <c r="BM1146" s="9">
        <f t="shared" si="158"/>
        <v>5.33</v>
      </c>
      <c r="BN1146" s="9">
        <f t="shared" si="159"/>
        <v>1217.28</v>
      </c>
      <c r="BO1146" s="9">
        <f t="shared" si="160"/>
        <v>2.67</v>
      </c>
      <c r="BP1146" s="9">
        <f t="shared" si="161"/>
        <v>0</v>
      </c>
    </row>
    <row r="1147" spans="1:68">
      <c r="A1147" s="6">
        <v>44757</v>
      </c>
      <c r="B1147" s="7">
        <v>3134</v>
      </c>
      <c r="C1147" s="8">
        <v>1039.1600000000001</v>
      </c>
      <c r="D1147" s="8">
        <v>145.36000000000001</v>
      </c>
      <c r="E1147" s="8"/>
      <c r="F1147" s="8"/>
      <c r="G1147" s="8"/>
      <c r="H1147" s="8">
        <v>489.92</v>
      </c>
      <c r="I1147" s="8"/>
      <c r="J1147" s="8"/>
      <c r="K1147" s="8"/>
      <c r="L1147" s="8"/>
      <c r="M1147" s="8">
        <v>2.89</v>
      </c>
      <c r="N1147" s="8"/>
      <c r="O1147" s="8"/>
      <c r="P1147" s="8"/>
      <c r="Q1147" s="11"/>
      <c r="R1147" s="11"/>
      <c r="S1147" s="8">
        <v>6.71</v>
      </c>
      <c r="T1147" s="8"/>
      <c r="U1147" s="8">
        <v>18.91</v>
      </c>
      <c r="V1147" s="8"/>
      <c r="W1147" s="8"/>
      <c r="X1147" s="8"/>
      <c r="Y1147" s="8"/>
      <c r="Z1147" s="8"/>
      <c r="AA1147" s="8"/>
      <c r="AB1147" s="8"/>
      <c r="AC1147" s="8">
        <v>5.82</v>
      </c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11"/>
      <c r="AQ1147" s="8"/>
      <c r="AR1147" s="8"/>
      <c r="AS1147" s="8"/>
      <c r="AT1147" s="8">
        <v>1024.57</v>
      </c>
      <c r="AU1147" s="8"/>
      <c r="AV1147" s="8"/>
      <c r="AW1147" s="8"/>
      <c r="AX1147" s="8"/>
      <c r="AY1147" s="8">
        <v>14.861000000000001</v>
      </c>
      <c r="AZ1147" s="8"/>
      <c r="BA1147" s="8"/>
      <c r="BB1147" s="8"/>
      <c r="BC1147" s="8"/>
      <c r="BD1147" s="8"/>
      <c r="BE1147" s="8"/>
      <c r="BF1147" s="8">
        <v>65.540000000000006</v>
      </c>
      <c r="BG1147" s="8">
        <v>77.11</v>
      </c>
      <c r="BH1147" s="9">
        <f t="shared" si="153"/>
        <v>1674.44</v>
      </c>
      <c r="BI1147" s="9">
        <f t="shared" si="154"/>
        <v>2.89</v>
      </c>
      <c r="BJ1147" s="9">
        <f t="shared" si="155"/>
        <v>6.71</v>
      </c>
      <c r="BK1147" s="9">
        <f t="shared" si="156"/>
        <v>18.91</v>
      </c>
      <c r="BL1147" s="9">
        <f t="shared" si="157"/>
        <v>0</v>
      </c>
      <c r="BM1147" s="9">
        <f t="shared" si="158"/>
        <v>5.82</v>
      </c>
      <c r="BN1147" s="9">
        <f t="shared" si="159"/>
        <v>1024.57</v>
      </c>
      <c r="BO1147" s="9">
        <f t="shared" si="160"/>
        <v>14.861000000000001</v>
      </c>
      <c r="BP1147" s="9">
        <f t="shared" si="161"/>
        <v>65.540000000000006</v>
      </c>
    </row>
    <row r="1148" spans="1:68">
      <c r="A1148" s="6">
        <v>44757</v>
      </c>
      <c r="B1148" s="7">
        <v>3021</v>
      </c>
      <c r="C1148" s="8"/>
      <c r="D1148" s="8">
        <v>347.69</v>
      </c>
      <c r="E1148" s="8"/>
      <c r="F1148" s="8"/>
      <c r="G1148" s="8"/>
      <c r="H1148" s="8"/>
      <c r="I1148" s="8">
        <v>646.85</v>
      </c>
      <c r="J1148" s="8"/>
      <c r="K1148" s="8"/>
      <c r="L1148" s="8"/>
      <c r="M1148" s="8"/>
      <c r="N1148" s="8">
        <v>5.26</v>
      </c>
      <c r="O1148" s="8"/>
      <c r="P1148" s="8"/>
      <c r="Q1148" s="11"/>
      <c r="R1148" s="11"/>
      <c r="S1148" s="8">
        <v>1.79</v>
      </c>
      <c r="T1148" s="8"/>
      <c r="U1148" s="8"/>
      <c r="V1148" s="8"/>
      <c r="W1148" s="8">
        <v>10.02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>
        <v>9.9499999999999993</v>
      </c>
      <c r="AN1148" s="8"/>
      <c r="AO1148" s="8"/>
      <c r="AP1148" s="11"/>
      <c r="AQ1148" s="8"/>
      <c r="AR1148" s="8"/>
      <c r="AS1148" s="8">
        <v>24.96</v>
      </c>
      <c r="AT1148" s="8">
        <v>469.69</v>
      </c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>
        <v>35.75</v>
      </c>
      <c r="BH1148" s="9">
        <f t="shared" si="153"/>
        <v>994.54</v>
      </c>
      <c r="BI1148" s="9">
        <f t="shared" si="154"/>
        <v>5.26</v>
      </c>
      <c r="BJ1148" s="9">
        <f t="shared" si="155"/>
        <v>1.79</v>
      </c>
      <c r="BK1148" s="9">
        <f t="shared" si="156"/>
        <v>10.02</v>
      </c>
      <c r="BL1148" s="9">
        <f t="shared" si="157"/>
        <v>0</v>
      </c>
      <c r="BM1148" s="9">
        <f t="shared" si="158"/>
        <v>34.909999999999997</v>
      </c>
      <c r="BN1148" s="9">
        <f t="shared" si="159"/>
        <v>469.69</v>
      </c>
      <c r="BO1148" s="9">
        <f t="shared" si="160"/>
        <v>0</v>
      </c>
      <c r="BP1148" s="9">
        <f t="shared" si="161"/>
        <v>0</v>
      </c>
    </row>
    <row r="1149" spans="1:68">
      <c r="A1149" s="6">
        <v>44757</v>
      </c>
      <c r="B1149" s="7">
        <v>3020</v>
      </c>
      <c r="C1149" s="8"/>
      <c r="D1149" s="8">
        <v>97.16</v>
      </c>
      <c r="E1149" s="8"/>
      <c r="F1149" s="8"/>
      <c r="G1149" s="8"/>
      <c r="H1149" s="8"/>
      <c r="I1149" s="8">
        <v>550.78</v>
      </c>
      <c r="J1149" s="8"/>
      <c r="K1149" s="8"/>
      <c r="L1149" s="8"/>
      <c r="M1149" s="8"/>
      <c r="N1149" s="8">
        <v>3.87</v>
      </c>
      <c r="O1149" s="8"/>
      <c r="P1149" s="8"/>
      <c r="Q1149" s="11"/>
      <c r="R1149" s="11"/>
      <c r="S1149" s="8">
        <v>1.17</v>
      </c>
      <c r="T1149" s="8"/>
      <c r="U1149" s="8"/>
      <c r="V1149" s="8"/>
      <c r="W1149" s="8">
        <v>6.5949999999999998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>
        <v>6.46</v>
      </c>
      <c r="AN1149" s="8"/>
      <c r="AO1149" s="8"/>
      <c r="AP1149" s="11"/>
      <c r="AQ1149" s="8"/>
      <c r="AR1149" s="8"/>
      <c r="AS1149" s="8">
        <v>16.547999999999998</v>
      </c>
      <c r="AT1149" s="8">
        <v>318.19</v>
      </c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>
        <v>23.24</v>
      </c>
      <c r="BH1149" s="9">
        <f t="shared" si="153"/>
        <v>647.93999999999994</v>
      </c>
      <c r="BI1149" s="9">
        <f t="shared" si="154"/>
        <v>3.87</v>
      </c>
      <c r="BJ1149" s="9">
        <f t="shared" si="155"/>
        <v>1.17</v>
      </c>
      <c r="BK1149" s="9">
        <f t="shared" si="156"/>
        <v>6.5949999999999998</v>
      </c>
      <c r="BL1149" s="9">
        <f t="shared" si="157"/>
        <v>0</v>
      </c>
      <c r="BM1149" s="9">
        <f t="shared" si="158"/>
        <v>23.007999999999999</v>
      </c>
      <c r="BN1149" s="9">
        <f t="shared" si="159"/>
        <v>318.19</v>
      </c>
      <c r="BO1149" s="9">
        <f t="shared" si="160"/>
        <v>0</v>
      </c>
      <c r="BP1149" s="9">
        <f t="shared" si="161"/>
        <v>0</v>
      </c>
    </row>
    <row r="1150" spans="1:68">
      <c r="A1150" s="6">
        <v>44757</v>
      </c>
      <c r="B1150" s="7">
        <v>3028</v>
      </c>
      <c r="C1150" s="8"/>
      <c r="D1150" s="8">
        <v>410.06</v>
      </c>
      <c r="E1150" s="8"/>
      <c r="F1150" s="8">
        <v>378.2</v>
      </c>
      <c r="G1150" s="8"/>
      <c r="H1150" s="8"/>
      <c r="I1150" s="8">
        <v>854.83</v>
      </c>
      <c r="J1150" s="8"/>
      <c r="K1150" s="8"/>
      <c r="L1150" s="8"/>
      <c r="M1150" s="8"/>
      <c r="N1150" s="8">
        <v>12.31</v>
      </c>
      <c r="O1150" s="8"/>
      <c r="P1150" s="8"/>
      <c r="Q1150" s="11"/>
      <c r="R1150" s="11"/>
      <c r="S1150" s="8">
        <v>2.31</v>
      </c>
      <c r="T1150" s="8"/>
      <c r="U1150" s="8"/>
      <c r="V1150" s="8"/>
      <c r="W1150" s="8">
        <v>12.417999999999999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>
        <v>16.43</v>
      </c>
      <c r="AN1150" s="8">
        <v>11.419</v>
      </c>
      <c r="AO1150" s="8"/>
      <c r="AP1150" s="11"/>
      <c r="AQ1150" s="8"/>
      <c r="AR1150" s="8"/>
      <c r="AS1150" s="8">
        <v>54.411000000000001</v>
      </c>
      <c r="AT1150" s="8">
        <v>549.72</v>
      </c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>
        <v>37.06</v>
      </c>
      <c r="BH1150" s="9">
        <f t="shared" si="153"/>
        <v>1643.0900000000001</v>
      </c>
      <c r="BI1150" s="9">
        <f t="shared" si="154"/>
        <v>12.31</v>
      </c>
      <c r="BJ1150" s="9">
        <f t="shared" si="155"/>
        <v>2.31</v>
      </c>
      <c r="BK1150" s="9">
        <f t="shared" si="156"/>
        <v>12.417999999999999</v>
      </c>
      <c r="BL1150" s="9">
        <f t="shared" si="157"/>
        <v>0</v>
      </c>
      <c r="BM1150" s="9">
        <f t="shared" si="158"/>
        <v>82.26</v>
      </c>
      <c r="BN1150" s="9">
        <f t="shared" si="159"/>
        <v>549.72</v>
      </c>
      <c r="BO1150" s="9">
        <f t="shared" si="160"/>
        <v>0</v>
      </c>
      <c r="BP1150" s="9">
        <f t="shared" si="161"/>
        <v>0</v>
      </c>
    </row>
    <row r="1151" spans="1:68">
      <c r="A1151" s="6">
        <v>44757</v>
      </c>
      <c r="B1151" s="7">
        <v>3022</v>
      </c>
      <c r="C1151" s="8"/>
      <c r="D1151" s="8">
        <v>555.66999999999996</v>
      </c>
      <c r="E1151" s="8"/>
      <c r="F1151" s="8"/>
      <c r="G1151" s="8"/>
      <c r="H1151" s="8"/>
      <c r="I1151" s="8">
        <v>456.6</v>
      </c>
      <c r="J1151" s="8"/>
      <c r="K1151" s="8"/>
      <c r="L1151" s="8"/>
      <c r="M1151" s="8"/>
      <c r="N1151" s="8">
        <v>5.0599999999999996</v>
      </c>
      <c r="O1151" s="8"/>
      <c r="P1151" s="8"/>
      <c r="Q1151" s="11"/>
      <c r="R1151" s="11"/>
      <c r="S1151" s="8">
        <v>1.82</v>
      </c>
      <c r="T1151" s="8"/>
      <c r="U1151" s="8"/>
      <c r="V1151" s="8"/>
      <c r="W1151" s="8">
        <v>9.9359999999999999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>
        <v>13.17</v>
      </c>
      <c r="AN1151" s="8"/>
      <c r="AO1151" s="8"/>
      <c r="AP1151" s="11"/>
      <c r="AQ1151" s="8"/>
      <c r="AR1151" s="8"/>
      <c r="AS1151" s="8">
        <v>35.558</v>
      </c>
      <c r="AT1151" s="8">
        <v>473.08</v>
      </c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>
        <v>36.450000000000003</v>
      </c>
      <c r="BH1151" s="9">
        <f t="shared" si="153"/>
        <v>1012.27</v>
      </c>
      <c r="BI1151" s="9">
        <f t="shared" si="154"/>
        <v>5.0599999999999996</v>
      </c>
      <c r="BJ1151" s="9">
        <f t="shared" si="155"/>
        <v>1.82</v>
      </c>
      <c r="BK1151" s="9">
        <f t="shared" si="156"/>
        <v>9.9359999999999999</v>
      </c>
      <c r="BL1151" s="9">
        <f t="shared" si="157"/>
        <v>0</v>
      </c>
      <c r="BM1151" s="9">
        <f t="shared" si="158"/>
        <v>48.728000000000002</v>
      </c>
      <c r="BN1151" s="9">
        <f t="shared" si="159"/>
        <v>473.08</v>
      </c>
      <c r="BO1151" s="9">
        <f t="shared" si="160"/>
        <v>0</v>
      </c>
      <c r="BP1151" s="9">
        <f t="shared" si="161"/>
        <v>0</v>
      </c>
    </row>
    <row r="1152" spans="1:68">
      <c r="A1152" s="6">
        <v>44757</v>
      </c>
      <c r="B1152" s="7">
        <v>3083</v>
      </c>
      <c r="C1152" s="8"/>
      <c r="D1152" s="8">
        <v>1046.1500000000001</v>
      </c>
      <c r="E1152" s="8"/>
      <c r="F1152" s="8"/>
      <c r="G1152" s="8"/>
      <c r="H1152" s="8"/>
      <c r="I1152" s="8">
        <v>2437.88</v>
      </c>
      <c r="J1152" s="8"/>
      <c r="K1152" s="8"/>
      <c r="L1152" s="8"/>
      <c r="M1152" s="8"/>
      <c r="N1152" s="8">
        <v>24.01</v>
      </c>
      <c r="O1152" s="8"/>
      <c r="P1152" s="8"/>
      <c r="Q1152" s="11"/>
      <c r="R1152" s="11"/>
      <c r="S1152" s="8">
        <v>2.4300000000000002</v>
      </c>
      <c r="T1152" s="8">
        <v>27.85</v>
      </c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>
        <v>13.89</v>
      </c>
      <c r="AN1152" s="8">
        <v>48.865000000000002</v>
      </c>
      <c r="AO1152" s="8"/>
      <c r="AP1152" s="11"/>
      <c r="AQ1152" s="8"/>
      <c r="AR1152" s="8">
        <v>88.313000000000002</v>
      </c>
      <c r="AS1152" s="8"/>
      <c r="AT1152" s="8">
        <v>1584.18</v>
      </c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>
        <v>123.88</v>
      </c>
      <c r="BH1152" s="9">
        <f t="shared" si="153"/>
        <v>3484.03</v>
      </c>
      <c r="BI1152" s="9">
        <f t="shared" si="154"/>
        <v>24.01</v>
      </c>
      <c r="BJ1152" s="9">
        <f t="shared" si="155"/>
        <v>2.4300000000000002</v>
      </c>
      <c r="BK1152" s="9">
        <f t="shared" si="156"/>
        <v>27.85</v>
      </c>
      <c r="BL1152" s="9">
        <f t="shared" si="157"/>
        <v>0</v>
      </c>
      <c r="BM1152" s="9">
        <f t="shared" si="158"/>
        <v>151.06800000000001</v>
      </c>
      <c r="BN1152" s="9">
        <f t="shared" si="159"/>
        <v>1584.18</v>
      </c>
      <c r="BO1152" s="9">
        <f t="shared" si="160"/>
        <v>0</v>
      </c>
      <c r="BP1152" s="9">
        <f t="shared" si="161"/>
        <v>0</v>
      </c>
    </row>
    <row r="1153" spans="1:68">
      <c r="A1153" s="6">
        <v>44757</v>
      </c>
      <c r="B1153" s="7">
        <v>3029</v>
      </c>
      <c r="C1153" s="8"/>
      <c r="D1153" s="8">
        <v>667.56</v>
      </c>
      <c r="E1153" s="8"/>
      <c r="F1153" s="8">
        <v>469.24</v>
      </c>
      <c r="G1153" s="8"/>
      <c r="H1153" s="8"/>
      <c r="I1153" s="8">
        <v>2782.29</v>
      </c>
      <c r="J1153" s="8"/>
      <c r="K1153" s="8"/>
      <c r="L1153" s="8"/>
      <c r="M1153" s="8"/>
      <c r="N1153" s="8">
        <v>30.25</v>
      </c>
      <c r="O1153" s="8"/>
      <c r="P1153" s="8"/>
      <c r="Q1153" s="11"/>
      <c r="R1153" s="11"/>
      <c r="S1153" s="8">
        <v>2.36</v>
      </c>
      <c r="T1153" s="8"/>
      <c r="U1153" s="8"/>
      <c r="V1153" s="8"/>
      <c r="W1153" s="8">
        <v>39.85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>
        <v>13.69</v>
      </c>
      <c r="AN1153" s="8">
        <v>19.754000000000001</v>
      </c>
      <c r="AO1153" s="8"/>
      <c r="AP1153" s="11"/>
      <c r="AQ1153" s="8"/>
      <c r="AR1153" s="8">
        <v>118.65900000000001</v>
      </c>
      <c r="AS1153" s="8"/>
      <c r="AT1153" s="8">
        <v>1492.74</v>
      </c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>
        <v>103.91</v>
      </c>
      <c r="BH1153" s="9">
        <f t="shared" si="153"/>
        <v>3919.09</v>
      </c>
      <c r="BI1153" s="9">
        <f t="shared" si="154"/>
        <v>30.25</v>
      </c>
      <c r="BJ1153" s="9">
        <f t="shared" si="155"/>
        <v>2.36</v>
      </c>
      <c r="BK1153" s="9">
        <f t="shared" si="156"/>
        <v>39.85</v>
      </c>
      <c r="BL1153" s="9">
        <f t="shared" si="157"/>
        <v>0</v>
      </c>
      <c r="BM1153" s="9">
        <f t="shared" si="158"/>
        <v>152.10300000000001</v>
      </c>
      <c r="BN1153" s="9">
        <f t="shared" si="159"/>
        <v>1492.74</v>
      </c>
      <c r="BO1153" s="9">
        <f t="shared" si="160"/>
        <v>0</v>
      </c>
      <c r="BP1153" s="9">
        <f t="shared" si="161"/>
        <v>0</v>
      </c>
    </row>
    <row r="1154" spans="1:68">
      <c r="A1154" s="6">
        <v>44760</v>
      </c>
      <c r="B1154" s="7">
        <v>3141</v>
      </c>
      <c r="C1154" s="8">
        <v>2440.56</v>
      </c>
      <c r="D1154" s="8">
        <v>429.86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>
        <v>7.22</v>
      </c>
      <c r="R1154" s="11"/>
      <c r="S1154" s="8">
        <v>13.43</v>
      </c>
      <c r="T1154" s="8"/>
      <c r="U1154" s="8">
        <v>43.17</v>
      </c>
      <c r="V1154" s="8"/>
      <c r="W1154" s="8"/>
      <c r="X1154" s="8"/>
      <c r="Y1154" s="8"/>
      <c r="Z1154" s="8"/>
      <c r="AA1154" s="8"/>
      <c r="AB1154" s="8"/>
      <c r="AC1154" s="8">
        <v>11.51</v>
      </c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11"/>
      <c r="AQ1154" s="8"/>
      <c r="AR1154" s="8"/>
      <c r="AS1154" s="8"/>
      <c r="AT1154" s="8">
        <v>1914.1</v>
      </c>
      <c r="AU1154" s="8"/>
      <c r="AV1154" s="8"/>
      <c r="AW1154" s="8"/>
      <c r="AX1154" s="8"/>
      <c r="AY1154" s="8"/>
      <c r="AZ1154" s="8"/>
      <c r="BA1154" s="8">
        <v>65.88</v>
      </c>
      <c r="BB1154" s="8"/>
      <c r="BC1154" s="8"/>
      <c r="BD1154" s="8"/>
      <c r="BE1154" s="8"/>
      <c r="BF1154" s="8">
        <v>201.17</v>
      </c>
      <c r="BG1154" s="8">
        <v>149.62</v>
      </c>
      <c r="BH1154" s="9">
        <f t="shared" si="153"/>
        <v>2870.42</v>
      </c>
      <c r="BI1154" s="9">
        <f t="shared" si="154"/>
        <v>7.22</v>
      </c>
      <c r="BJ1154" s="9">
        <f t="shared" si="155"/>
        <v>13.43</v>
      </c>
      <c r="BK1154" s="9">
        <f t="shared" si="156"/>
        <v>43.17</v>
      </c>
      <c r="BL1154" s="9">
        <f t="shared" si="157"/>
        <v>0</v>
      </c>
      <c r="BM1154" s="9">
        <f t="shared" si="158"/>
        <v>11.51</v>
      </c>
      <c r="BN1154" s="9">
        <f t="shared" si="159"/>
        <v>1914.1</v>
      </c>
      <c r="BO1154" s="9">
        <f t="shared" si="160"/>
        <v>65.88</v>
      </c>
      <c r="BP1154" s="9">
        <f t="shared" si="161"/>
        <v>201.17</v>
      </c>
    </row>
    <row r="1155" spans="1:68">
      <c r="A1155" s="6">
        <v>44760</v>
      </c>
      <c r="B1155" s="7">
        <v>3101</v>
      </c>
      <c r="C1155" s="8">
        <v>640.98</v>
      </c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>
        <v>1.3</v>
      </c>
      <c r="R1155" s="11"/>
      <c r="S1155" s="8">
        <v>3.75</v>
      </c>
      <c r="T1155" s="8"/>
      <c r="U1155" s="8">
        <v>10.37</v>
      </c>
      <c r="V1155" s="8"/>
      <c r="W1155" s="8"/>
      <c r="X1155" s="8"/>
      <c r="Y1155" s="8"/>
      <c r="Z1155" s="8"/>
      <c r="AA1155" s="8"/>
      <c r="AB1155" s="8"/>
      <c r="AC1155" s="8">
        <v>2.59</v>
      </c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11"/>
      <c r="AQ1155" s="8"/>
      <c r="AR1155" s="8"/>
      <c r="AS1155" s="8"/>
      <c r="AT1155" s="8">
        <v>435.39</v>
      </c>
      <c r="AU1155" s="8"/>
      <c r="AV1155" s="8"/>
      <c r="AW1155" s="8">
        <v>13.78</v>
      </c>
      <c r="AX1155" s="8"/>
      <c r="AY1155" s="8"/>
      <c r="AZ1155" s="8"/>
      <c r="BA1155" s="8"/>
      <c r="BB1155" s="8"/>
      <c r="BC1155" s="8"/>
      <c r="BD1155" s="8"/>
      <c r="BE1155" s="8"/>
      <c r="BF1155" s="8">
        <v>84.09</v>
      </c>
      <c r="BG1155" s="8">
        <v>33.25</v>
      </c>
      <c r="BH1155" s="9">
        <f t="shared" si="153"/>
        <v>640.98</v>
      </c>
      <c r="BI1155" s="9">
        <f t="shared" si="154"/>
        <v>1.3</v>
      </c>
      <c r="BJ1155" s="9">
        <f t="shared" si="155"/>
        <v>3.75</v>
      </c>
      <c r="BK1155" s="9">
        <f t="shared" si="156"/>
        <v>10.37</v>
      </c>
      <c r="BL1155" s="9">
        <f t="shared" si="157"/>
        <v>0</v>
      </c>
      <c r="BM1155" s="9">
        <f t="shared" si="158"/>
        <v>2.59</v>
      </c>
      <c r="BN1155" s="9">
        <f t="shared" si="159"/>
        <v>435.39</v>
      </c>
      <c r="BO1155" s="9">
        <f t="shared" si="160"/>
        <v>13.78</v>
      </c>
      <c r="BP1155" s="9">
        <f t="shared" si="161"/>
        <v>84.09</v>
      </c>
    </row>
    <row r="1156" spans="1:68">
      <c r="A1156" s="6">
        <v>44760</v>
      </c>
      <c r="B1156" s="7">
        <v>3139</v>
      </c>
      <c r="C1156" s="8">
        <v>2311.7600000000002</v>
      </c>
      <c r="D1156" s="8"/>
      <c r="E1156" s="8"/>
      <c r="F1156" s="8"/>
      <c r="G1156" s="8"/>
      <c r="H1156" s="8">
        <v>957.26</v>
      </c>
      <c r="I1156" s="8"/>
      <c r="J1156" s="8"/>
      <c r="K1156" s="8"/>
      <c r="L1156" s="8"/>
      <c r="M1156" s="8"/>
      <c r="N1156" s="8"/>
      <c r="O1156" s="8"/>
      <c r="P1156" s="8"/>
      <c r="Q1156" s="8">
        <v>5.32</v>
      </c>
      <c r="R1156" s="11"/>
      <c r="S1156" s="8">
        <v>9.68</v>
      </c>
      <c r="T1156" s="8"/>
      <c r="U1156" s="8">
        <v>34.200000000000003</v>
      </c>
      <c r="V1156" s="8"/>
      <c r="W1156" s="8"/>
      <c r="X1156" s="8"/>
      <c r="Y1156" s="8"/>
      <c r="Z1156" s="8"/>
      <c r="AA1156" s="8"/>
      <c r="AB1156" s="8"/>
      <c r="AC1156" s="8">
        <v>11.36</v>
      </c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11"/>
      <c r="AQ1156" s="8"/>
      <c r="AR1156" s="8"/>
      <c r="AS1156" s="8"/>
      <c r="AT1156" s="8">
        <v>1685.46</v>
      </c>
      <c r="AU1156" s="8"/>
      <c r="AV1156" s="8">
        <v>56.9</v>
      </c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>
        <v>122.14</v>
      </c>
      <c r="BH1156" s="9">
        <f t="shared" ref="BH1156:BH1219" si="162">SUM(C1156:L1156)</f>
        <v>3269.0200000000004</v>
      </c>
      <c r="BI1156" s="9">
        <f t="shared" ref="BI1156:BI1219" si="163">SUM(M1156:R1156)</f>
        <v>5.32</v>
      </c>
      <c r="BJ1156" s="9">
        <f t="shared" ref="BJ1156:BJ1219" si="164">SUM(S1156)</f>
        <v>9.68</v>
      </c>
      <c r="BK1156" s="9">
        <f t="shared" ref="BK1156:BK1219" si="165">SUM(T1156:Y1156)</f>
        <v>34.200000000000003</v>
      </c>
      <c r="BL1156" s="9">
        <f t="shared" ref="BL1156:BL1219" si="166">SUM(Z1156:AA1156)</f>
        <v>0</v>
      </c>
      <c r="BM1156" s="9">
        <f t="shared" ref="BM1156:BM1219" si="167">SUM(AB1156:AS1156)</f>
        <v>11.36</v>
      </c>
      <c r="BN1156" s="9">
        <f t="shared" ref="BN1156:BN1219" si="168">SUM(AT1156:AU1156)</f>
        <v>1685.46</v>
      </c>
      <c r="BO1156" s="9">
        <f t="shared" ref="BO1156:BO1219" si="169">SUM(AV1156:BE1156)</f>
        <v>56.9</v>
      </c>
      <c r="BP1156" s="9">
        <f t="shared" ref="BP1156:BP1219" si="170">SUM(BF1156)</f>
        <v>0</v>
      </c>
    </row>
    <row r="1157" spans="1:68">
      <c r="A1157" s="6">
        <v>44760</v>
      </c>
      <c r="B1157" s="7">
        <v>3100</v>
      </c>
      <c r="C1157" s="8">
        <v>633.46</v>
      </c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>
        <v>1.1399999999999999</v>
      </c>
      <c r="R1157" s="11"/>
      <c r="S1157" s="8">
        <v>3.62</v>
      </c>
      <c r="T1157" s="8"/>
      <c r="U1157" s="8">
        <v>10.16</v>
      </c>
      <c r="V1157" s="8"/>
      <c r="W1157" s="8"/>
      <c r="X1157" s="8"/>
      <c r="Y1157" s="8"/>
      <c r="Z1157" s="8"/>
      <c r="AA1157" s="8"/>
      <c r="AB1157" s="8"/>
      <c r="AC1157" s="8">
        <v>2.5299999999999998</v>
      </c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11"/>
      <c r="AQ1157" s="8"/>
      <c r="AR1157" s="8"/>
      <c r="AS1157" s="8"/>
      <c r="AT1157" s="8">
        <v>426.69</v>
      </c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>
        <v>82.48</v>
      </c>
      <c r="BG1157" s="8">
        <v>32.619999999999997</v>
      </c>
      <c r="BH1157" s="9">
        <f t="shared" si="162"/>
        <v>633.46</v>
      </c>
      <c r="BI1157" s="9">
        <f t="shared" si="163"/>
        <v>1.1399999999999999</v>
      </c>
      <c r="BJ1157" s="9">
        <f t="shared" si="164"/>
        <v>3.62</v>
      </c>
      <c r="BK1157" s="9">
        <f t="shared" si="165"/>
        <v>10.16</v>
      </c>
      <c r="BL1157" s="9">
        <f t="shared" si="166"/>
        <v>0</v>
      </c>
      <c r="BM1157" s="9">
        <f t="shared" si="167"/>
        <v>2.5299999999999998</v>
      </c>
      <c r="BN1157" s="9">
        <f t="shared" si="168"/>
        <v>426.69</v>
      </c>
      <c r="BO1157" s="9">
        <f t="shared" si="169"/>
        <v>0</v>
      </c>
      <c r="BP1157" s="9">
        <f t="shared" si="170"/>
        <v>82.48</v>
      </c>
    </row>
    <row r="1158" spans="1:68">
      <c r="A1158" s="6">
        <v>44760</v>
      </c>
      <c r="B1158" s="7">
        <v>3200</v>
      </c>
      <c r="C1158" s="8">
        <v>2247.17</v>
      </c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>
        <v>5.67</v>
      </c>
      <c r="P1158" s="8"/>
      <c r="Q1158" s="8"/>
      <c r="R1158" s="11"/>
      <c r="S1158" s="8">
        <v>8.89</v>
      </c>
      <c r="T1158" s="8"/>
      <c r="U1158" s="8">
        <v>34.21</v>
      </c>
      <c r="V1158" s="8"/>
      <c r="W1158" s="8"/>
      <c r="X1158" s="8"/>
      <c r="Y1158" s="8"/>
      <c r="Z1158" s="8">
        <v>477.89</v>
      </c>
      <c r="AA1158" s="8"/>
      <c r="AB1158" s="8"/>
      <c r="AC1158" s="8"/>
      <c r="AD1158" s="8"/>
      <c r="AE1158" s="8"/>
      <c r="AF1158" s="8">
        <v>112.57</v>
      </c>
      <c r="AG1158" s="8"/>
      <c r="AH1158" s="8"/>
      <c r="AI1158" s="8"/>
      <c r="AJ1158" s="8"/>
      <c r="AK1158" s="8"/>
      <c r="AL1158" s="8"/>
      <c r="AM1158" s="8"/>
      <c r="AN1158" s="8"/>
      <c r="AO1158" s="8"/>
      <c r="AP1158" s="11"/>
      <c r="AQ1158" s="8">
        <v>34.39</v>
      </c>
      <c r="AR1158" s="8"/>
      <c r="AS1158" s="8"/>
      <c r="AT1158" s="8">
        <v>1554.8</v>
      </c>
      <c r="AU1158" s="8"/>
      <c r="AV1158" s="8"/>
      <c r="AW1158" s="8">
        <v>6.52</v>
      </c>
      <c r="AX1158" s="8"/>
      <c r="AY1158" s="8"/>
      <c r="AZ1158" s="8"/>
      <c r="BA1158" s="8"/>
      <c r="BB1158" s="8"/>
      <c r="BC1158" s="8"/>
      <c r="BD1158" s="8"/>
      <c r="BE1158" s="8"/>
      <c r="BF1158" s="8">
        <v>109.53</v>
      </c>
      <c r="BG1158" s="8">
        <v>112.94</v>
      </c>
      <c r="BH1158" s="9">
        <f t="shared" si="162"/>
        <v>2247.17</v>
      </c>
      <c r="BI1158" s="9">
        <f t="shared" si="163"/>
        <v>5.67</v>
      </c>
      <c r="BJ1158" s="9">
        <f t="shared" si="164"/>
        <v>8.89</v>
      </c>
      <c r="BK1158" s="9">
        <f t="shared" si="165"/>
        <v>34.21</v>
      </c>
      <c r="BL1158" s="9">
        <f t="shared" si="166"/>
        <v>477.89</v>
      </c>
      <c r="BM1158" s="9">
        <f t="shared" si="167"/>
        <v>146.95999999999998</v>
      </c>
      <c r="BN1158" s="9">
        <f t="shared" si="168"/>
        <v>1554.8</v>
      </c>
      <c r="BO1158" s="9">
        <f t="shared" si="169"/>
        <v>6.52</v>
      </c>
      <c r="BP1158" s="9">
        <f t="shared" si="170"/>
        <v>109.53</v>
      </c>
    </row>
    <row r="1159" spans="1:68">
      <c r="A1159" s="6">
        <v>44760</v>
      </c>
      <c r="B1159" s="7">
        <v>3106</v>
      </c>
      <c r="C1159" s="8">
        <v>2091.5700000000002</v>
      </c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>
        <v>5.25</v>
      </c>
      <c r="R1159" s="11"/>
      <c r="S1159" s="8">
        <v>6.13</v>
      </c>
      <c r="T1159" s="8"/>
      <c r="U1159" s="8">
        <v>26.83</v>
      </c>
      <c r="V1159" s="8"/>
      <c r="W1159" s="8"/>
      <c r="X1159" s="8"/>
      <c r="Y1159" s="8"/>
      <c r="Z1159" s="8"/>
      <c r="AA1159" s="8"/>
      <c r="AB1159" s="8"/>
      <c r="AC1159" s="8">
        <v>5.24</v>
      </c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11"/>
      <c r="AQ1159" s="8"/>
      <c r="AR1159" s="8"/>
      <c r="AS1159" s="8"/>
      <c r="AT1159" s="8">
        <v>1199.03</v>
      </c>
      <c r="AU1159" s="8"/>
      <c r="AV1159" s="8"/>
      <c r="AW1159" s="8"/>
      <c r="AX1159" s="8">
        <v>2.62</v>
      </c>
      <c r="AY1159" s="8"/>
      <c r="AZ1159" s="8"/>
      <c r="BA1159" s="8"/>
      <c r="BB1159" s="8"/>
      <c r="BC1159" s="8"/>
      <c r="BD1159" s="8"/>
      <c r="BE1159" s="8"/>
      <c r="BF1159" s="8"/>
      <c r="BG1159" s="8">
        <v>89.93</v>
      </c>
      <c r="BH1159" s="9">
        <f t="shared" si="162"/>
        <v>2091.5700000000002</v>
      </c>
      <c r="BI1159" s="9">
        <f t="shared" si="163"/>
        <v>5.25</v>
      </c>
      <c r="BJ1159" s="9">
        <f t="shared" si="164"/>
        <v>6.13</v>
      </c>
      <c r="BK1159" s="9">
        <f t="shared" si="165"/>
        <v>26.83</v>
      </c>
      <c r="BL1159" s="9">
        <f t="shared" si="166"/>
        <v>0</v>
      </c>
      <c r="BM1159" s="9">
        <f t="shared" si="167"/>
        <v>5.24</v>
      </c>
      <c r="BN1159" s="9">
        <f t="shared" si="168"/>
        <v>1199.03</v>
      </c>
      <c r="BO1159" s="9">
        <f t="shared" si="169"/>
        <v>2.62</v>
      </c>
      <c r="BP1159" s="9">
        <f t="shared" si="170"/>
        <v>0</v>
      </c>
    </row>
    <row r="1160" spans="1:68">
      <c r="A1160" s="6">
        <v>44761</v>
      </c>
      <c r="B1160" s="7">
        <v>8241</v>
      </c>
      <c r="C1160" s="8">
        <f>146.2+152.9</f>
        <v>299.10000000000002</v>
      </c>
      <c r="D1160" s="8"/>
      <c r="E1160" s="8"/>
      <c r="F1160" s="8"/>
      <c r="G1160" s="8">
        <f>219.45+229.54</f>
        <v>448.99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>
        <f>0.3+0.22</f>
        <v>0.52</v>
      </c>
      <c r="R1160" s="11"/>
      <c r="S1160" s="8">
        <f>1.99+2.02</f>
        <v>4.01</v>
      </c>
      <c r="T1160" s="8"/>
      <c r="U1160" s="8">
        <f>2.19+2.28</f>
        <v>4.47</v>
      </c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11"/>
      <c r="AQ1160" s="8"/>
      <c r="AR1160" s="8"/>
      <c r="AS1160" s="8"/>
      <c r="AT1160" s="8">
        <f>179.8+187.71</f>
        <v>367.51</v>
      </c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>
        <f>20.48+21.29</f>
        <v>41.769999999999996</v>
      </c>
      <c r="BG1160" s="8">
        <f>13.59+14.27</f>
        <v>27.86</v>
      </c>
      <c r="BH1160" s="9">
        <f t="shared" si="162"/>
        <v>748.09</v>
      </c>
      <c r="BI1160" s="9">
        <f t="shared" si="163"/>
        <v>0.52</v>
      </c>
      <c r="BJ1160" s="9">
        <f t="shared" si="164"/>
        <v>4.01</v>
      </c>
      <c r="BK1160" s="9">
        <f t="shared" si="165"/>
        <v>4.47</v>
      </c>
      <c r="BL1160" s="9">
        <f t="shared" si="166"/>
        <v>0</v>
      </c>
      <c r="BM1160" s="9">
        <f t="shared" si="167"/>
        <v>0</v>
      </c>
      <c r="BN1160" s="9">
        <f t="shared" si="168"/>
        <v>367.51</v>
      </c>
      <c r="BO1160" s="9">
        <f t="shared" si="169"/>
        <v>0</v>
      </c>
      <c r="BP1160" s="9">
        <f t="shared" si="170"/>
        <v>41.769999999999996</v>
      </c>
    </row>
    <row r="1161" spans="1:68">
      <c r="A1161" s="6">
        <v>44761</v>
      </c>
      <c r="B1161" s="7">
        <v>3106</v>
      </c>
      <c r="C1161" s="8">
        <v>4095</v>
      </c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>
        <v>10.27</v>
      </c>
      <c r="R1161" s="11"/>
      <c r="S1161" s="8">
        <v>11.9</v>
      </c>
      <c r="T1161" s="8"/>
      <c r="U1161" s="8">
        <v>52.11</v>
      </c>
      <c r="V1161" s="8"/>
      <c r="W1161" s="8"/>
      <c r="X1161" s="8"/>
      <c r="Y1161" s="8"/>
      <c r="Z1161" s="8"/>
      <c r="AA1161" s="8"/>
      <c r="AB1161" s="8"/>
      <c r="AC1161" s="8">
        <v>10.24</v>
      </c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11"/>
      <c r="AQ1161" s="8"/>
      <c r="AR1161" s="8"/>
      <c r="AS1161" s="8"/>
      <c r="AT1161" s="8">
        <v>2345.46</v>
      </c>
      <c r="AU1161" s="8"/>
      <c r="AV1161" s="8"/>
      <c r="AW1161" s="8"/>
      <c r="AX1161" s="8">
        <v>5.13</v>
      </c>
      <c r="AY1161" s="8"/>
      <c r="AZ1161" s="8"/>
      <c r="BA1161" s="8"/>
      <c r="BB1161" s="8"/>
      <c r="BC1161" s="8"/>
      <c r="BD1161" s="8"/>
      <c r="BE1161" s="8"/>
      <c r="BF1161" s="8"/>
      <c r="BG1161" s="8">
        <v>176.47</v>
      </c>
      <c r="BH1161" s="9">
        <f t="shared" si="162"/>
        <v>4095</v>
      </c>
      <c r="BI1161" s="9">
        <f t="shared" si="163"/>
        <v>10.27</v>
      </c>
      <c r="BJ1161" s="9">
        <f t="shared" si="164"/>
        <v>11.9</v>
      </c>
      <c r="BK1161" s="9">
        <f t="shared" si="165"/>
        <v>52.11</v>
      </c>
      <c r="BL1161" s="9">
        <f t="shared" si="166"/>
        <v>0</v>
      </c>
      <c r="BM1161" s="9">
        <f t="shared" si="167"/>
        <v>10.24</v>
      </c>
      <c r="BN1161" s="9">
        <f t="shared" si="168"/>
        <v>2345.46</v>
      </c>
      <c r="BO1161" s="9">
        <f t="shared" si="169"/>
        <v>5.13</v>
      </c>
      <c r="BP1161" s="9">
        <f t="shared" si="170"/>
        <v>0</v>
      </c>
    </row>
    <row r="1162" spans="1:68">
      <c r="A1162" s="6">
        <v>44761</v>
      </c>
      <c r="B1162" s="7">
        <v>3141</v>
      </c>
      <c r="C1162" s="8">
        <v>2433.0100000000002</v>
      </c>
      <c r="D1162" s="8">
        <v>429.36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>
        <v>6.93</v>
      </c>
      <c r="R1162" s="11"/>
      <c r="S1162" s="8">
        <v>13.47</v>
      </c>
      <c r="T1162" s="8"/>
      <c r="U1162" s="8">
        <v>42.96</v>
      </c>
      <c r="V1162" s="8"/>
      <c r="W1162" s="8"/>
      <c r="X1162" s="8"/>
      <c r="Y1162" s="8"/>
      <c r="Z1162" s="8"/>
      <c r="AA1162" s="8"/>
      <c r="AB1162" s="8"/>
      <c r="AC1162" s="8">
        <v>11.46</v>
      </c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11"/>
      <c r="AQ1162" s="8"/>
      <c r="AR1162" s="8"/>
      <c r="AS1162" s="8"/>
      <c r="AT1162" s="8">
        <v>1893.25</v>
      </c>
      <c r="AU1162" s="8"/>
      <c r="AV1162" s="8"/>
      <c r="AW1162" s="8"/>
      <c r="AX1162" s="8"/>
      <c r="AY1162" s="8"/>
      <c r="AZ1162" s="8"/>
      <c r="BA1162" s="8">
        <v>65.62</v>
      </c>
      <c r="BB1162" s="8"/>
      <c r="BC1162" s="8"/>
      <c r="BD1162" s="8"/>
      <c r="BE1162" s="8"/>
      <c r="BF1162" s="8">
        <v>200.43</v>
      </c>
      <c r="BG1162" s="8">
        <v>148.81</v>
      </c>
      <c r="BH1162" s="9">
        <f t="shared" si="162"/>
        <v>2862.3700000000003</v>
      </c>
      <c r="BI1162" s="9">
        <f t="shared" si="163"/>
        <v>6.93</v>
      </c>
      <c r="BJ1162" s="9">
        <f t="shared" si="164"/>
        <v>13.47</v>
      </c>
      <c r="BK1162" s="9">
        <f t="shared" si="165"/>
        <v>42.96</v>
      </c>
      <c r="BL1162" s="9">
        <f t="shared" si="166"/>
        <v>0</v>
      </c>
      <c r="BM1162" s="9">
        <f t="shared" si="167"/>
        <v>11.46</v>
      </c>
      <c r="BN1162" s="9">
        <f t="shared" si="168"/>
        <v>1893.25</v>
      </c>
      <c r="BO1162" s="9">
        <f t="shared" si="169"/>
        <v>65.62</v>
      </c>
      <c r="BP1162" s="9">
        <f t="shared" si="170"/>
        <v>200.43</v>
      </c>
    </row>
    <row r="1163" spans="1:68">
      <c r="A1163" s="6">
        <v>44761</v>
      </c>
      <c r="B1163" s="7">
        <v>3604</v>
      </c>
      <c r="C1163" s="8">
        <v>419.68</v>
      </c>
      <c r="D1163" s="8"/>
      <c r="E1163" s="8"/>
      <c r="F1163" s="8"/>
      <c r="G1163" s="8">
        <v>630.05999999999995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>
        <v>0.59</v>
      </c>
      <c r="R1163" s="11"/>
      <c r="S1163" s="8">
        <v>5.6</v>
      </c>
      <c r="T1163" s="8"/>
      <c r="U1163" s="8">
        <v>3.36</v>
      </c>
      <c r="V1163" s="8">
        <v>10.164</v>
      </c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11"/>
      <c r="AQ1163" s="8"/>
      <c r="AR1163" s="8"/>
      <c r="AS1163" s="8"/>
      <c r="AT1163" s="8">
        <v>424.2</v>
      </c>
      <c r="AU1163" s="8"/>
      <c r="AV1163" s="8"/>
      <c r="AW1163" s="8">
        <v>27.02</v>
      </c>
      <c r="AX1163" s="8"/>
      <c r="AY1163" s="8"/>
      <c r="AZ1163" s="8"/>
      <c r="BA1163" s="8"/>
      <c r="BB1163" s="8"/>
      <c r="BC1163" s="8"/>
      <c r="BD1163" s="8"/>
      <c r="BE1163" s="8"/>
      <c r="BF1163" s="8">
        <v>33.6</v>
      </c>
      <c r="BG1163" s="8">
        <v>31.46</v>
      </c>
      <c r="BH1163" s="9">
        <f t="shared" si="162"/>
        <v>1049.74</v>
      </c>
      <c r="BI1163" s="9">
        <f t="shared" si="163"/>
        <v>0.59</v>
      </c>
      <c r="BJ1163" s="9">
        <f t="shared" si="164"/>
        <v>5.6</v>
      </c>
      <c r="BK1163" s="9">
        <f t="shared" si="165"/>
        <v>13.523999999999999</v>
      </c>
      <c r="BL1163" s="9">
        <f t="shared" si="166"/>
        <v>0</v>
      </c>
      <c r="BM1163" s="9">
        <f t="shared" si="167"/>
        <v>0</v>
      </c>
      <c r="BN1163" s="9">
        <f t="shared" si="168"/>
        <v>424.2</v>
      </c>
      <c r="BO1163" s="9">
        <f t="shared" si="169"/>
        <v>27.02</v>
      </c>
      <c r="BP1163" s="9">
        <f t="shared" si="170"/>
        <v>33.6</v>
      </c>
    </row>
    <row r="1164" spans="1:68">
      <c r="A1164" s="6">
        <v>44761</v>
      </c>
      <c r="B1164" s="7">
        <v>3079</v>
      </c>
      <c r="C1164" s="8"/>
      <c r="D1164" s="8"/>
      <c r="E1164" s="8"/>
      <c r="F1164" s="8">
        <v>339.91</v>
      </c>
      <c r="G1164" s="8"/>
      <c r="H1164" s="8"/>
      <c r="I1164" s="8">
        <v>2755.61</v>
      </c>
      <c r="J1164" s="8"/>
      <c r="K1164" s="8"/>
      <c r="L1164" s="8"/>
      <c r="M1164" s="8"/>
      <c r="N1164" s="8">
        <v>21.39</v>
      </c>
      <c r="O1164" s="8"/>
      <c r="P1164" s="8"/>
      <c r="Q1164" s="8"/>
      <c r="R1164" s="11"/>
      <c r="S1164" s="8">
        <v>1.22</v>
      </c>
      <c r="T1164" s="8"/>
      <c r="U1164" s="8"/>
      <c r="V1164" s="8"/>
      <c r="W1164" s="8">
        <v>31.03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>
        <v>12.3</v>
      </c>
      <c r="AN1164" s="8">
        <v>31.847000000000001</v>
      </c>
      <c r="AO1164" s="8"/>
      <c r="AP1164" s="11"/>
      <c r="AQ1164" s="8"/>
      <c r="AR1164" s="8">
        <v>79.045000000000002</v>
      </c>
      <c r="AS1164" s="8"/>
      <c r="AT1164" s="8">
        <v>1193.9000000000001</v>
      </c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>
        <v>86.72</v>
      </c>
      <c r="BH1164" s="9">
        <f t="shared" si="162"/>
        <v>3095.52</v>
      </c>
      <c r="BI1164" s="9">
        <f t="shared" si="163"/>
        <v>21.39</v>
      </c>
      <c r="BJ1164" s="9">
        <f t="shared" si="164"/>
        <v>1.22</v>
      </c>
      <c r="BK1164" s="9">
        <f t="shared" si="165"/>
        <v>31.03</v>
      </c>
      <c r="BL1164" s="9">
        <f t="shared" si="166"/>
        <v>0</v>
      </c>
      <c r="BM1164" s="9">
        <f t="shared" si="167"/>
        <v>123.19200000000001</v>
      </c>
      <c r="BN1164" s="9">
        <f t="shared" si="168"/>
        <v>1193.9000000000001</v>
      </c>
      <c r="BO1164" s="9">
        <f t="shared" si="169"/>
        <v>0</v>
      </c>
      <c r="BP1164" s="9">
        <f t="shared" si="170"/>
        <v>0</v>
      </c>
    </row>
    <row r="1165" spans="1:68">
      <c r="A1165" s="6">
        <v>44761</v>
      </c>
      <c r="B1165" s="7">
        <v>3016</v>
      </c>
      <c r="C1165" s="8"/>
      <c r="D1165" s="8">
        <v>2334.2600000000002</v>
      </c>
      <c r="E1165" s="8"/>
      <c r="F1165" s="8"/>
      <c r="G1165" s="8"/>
      <c r="H1165" s="8"/>
      <c r="I1165" s="8">
        <v>2153.5</v>
      </c>
      <c r="J1165" s="8"/>
      <c r="K1165" s="8"/>
      <c r="L1165" s="8"/>
      <c r="M1165" s="8"/>
      <c r="N1165" s="8">
        <v>26.92</v>
      </c>
      <c r="O1165" s="8"/>
      <c r="P1165" s="8"/>
      <c r="Q1165" s="8"/>
      <c r="R1165" s="11"/>
      <c r="S1165" s="8">
        <v>3.14</v>
      </c>
      <c r="T1165" s="8"/>
      <c r="U1165" s="8"/>
      <c r="V1165" s="8"/>
      <c r="W1165" s="8">
        <v>44.88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>
        <v>17.95</v>
      </c>
      <c r="AN1165" s="8">
        <v>53.9</v>
      </c>
      <c r="AO1165" s="8"/>
      <c r="AP1165" s="11"/>
      <c r="AQ1165" s="8"/>
      <c r="AR1165" s="8">
        <v>114.34</v>
      </c>
      <c r="AS1165" s="8"/>
      <c r="AT1165" s="8">
        <v>1662.93</v>
      </c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>
        <v>121.64</v>
      </c>
      <c r="BH1165" s="9">
        <f t="shared" si="162"/>
        <v>4487.76</v>
      </c>
      <c r="BI1165" s="9">
        <f t="shared" si="163"/>
        <v>26.92</v>
      </c>
      <c r="BJ1165" s="9">
        <f t="shared" si="164"/>
        <v>3.14</v>
      </c>
      <c r="BK1165" s="9">
        <f t="shared" si="165"/>
        <v>44.88</v>
      </c>
      <c r="BL1165" s="9">
        <f t="shared" si="166"/>
        <v>0</v>
      </c>
      <c r="BM1165" s="9">
        <f t="shared" si="167"/>
        <v>186.19</v>
      </c>
      <c r="BN1165" s="9">
        <f t="shared" si="168"/>
        <v>1662.93</v>
      </c>
      <c r="BO1165" s="9">
        <f t="shared" si="169"/>
        <v>0</v>
      </c>
      <c r="BP1165" s="9">
        <f t="shared" si="170"/>
        <v>0</v>
      </c>
    </row>
    <row r="1166" spans="1:68">
      <c r="A1166" s="6">
        <v>44761</v>
      </c>
      <c r="B1166" s="7">
        <v>3200</v>
      </c>
      <c r="C1166" s="8">
        <v>2239.39</v>
      </c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>
        <v>5.61</v>
      </c>
      <c r="P1166" s="8"/>
      <c r="Q1166" s="8"/>
      <c r="R1166" s="11"/>
      <c r="S1166" s="8">
        <v>8.75</v>
      </c>
      <c r="T1166" s="8"/>
      <c r="U1166" s="8">
        <v>33.65</v>
      </c>
      <c r="V1166" s="8"/>
      <c r="W1166" s="8"/>
      <c r="X1166" s="8"/>
      <c r="Y1166" s="8"/>
      <c r="Z1166" s="8">
        <v>470.98</v>
      </c>
      <c r="AA1166" s="8"/>
      <c r="AB1166" s="8"/>
      <c r="AC1166" s="8"/>
      <c r="AD1166" s="8"/>
      <c r="AE1166" s="8"/>
      <c r="AF1166" s="8">
        <v>112.1</v>
      </c>
      <c r="AG1166" s="8"/>
      <c r="AH1166" s="8"/>
      <c r="AI1166" s="8"/>
      <c r="AJ1166" s="8"/>
      <c r="AK1166" s="8"/>
      <c r="AL1166" s="8"/>
      <c r="AM1166" s="8"/>
      <c r="AN1166" s="8"/>
      <c r="AO1166" s="8"/>
      <c r="AP1166" s="11"/>
      <c r="AQ1166" s="8"/>
      <c r="AR1166" s="8"/>
      <c r="AS1166" s="8"/>
      <c r="AT1166" s="8">
        <v>1535.12</v>
      </c>
      <c r="AU1166" s="8"/>
      <c r="AV1166" s="8"/>
      <c r="AW1166" s="8">
        <v>6.55</v>
      </c>
      <c r="AX1166" s="8"/>
      <c r="AY1166" s="8"/>
      <c r="AZ1166" s="8"/>
      <c r="BA1166" s="8"/>
      <c r="BB1166" s="8"/>
      <c r="BC1166" s="8"/>
      <c r="BD1166" s="8"/>
      <c r="BE1166" s="8"/>
      <c r="BF1166" s="8">
        <v>107.68</v>
      </c>
      <c r="BG1166" s="8">
        <v>111.22</v>
      </c>
      <c r="BH1166" s="9">
        <f t="shared" si="162"/>
        <v>2239.39</v>
      </c>
      <c r="BI1166" s="9">
        <f t="shared" si="163"/>
        <v>5.61</v>
      </c>
      <c r="BJ1166" s="9">
        <f t="shared" si="164"/>
        <v>8.75</v>
      </c>
      <c r="BK1166" s="9">
        <f t="shared" si="165"/>
        <v>33.65</v>
      </c>
      <c r="BL1166" s="9">
        <f t="shared" si="166"/>
        <v>470.98</v>
      </c>
      <c r="BM1166" s="9">
        <f t="shared" si="167"/>
        <v>112.1</v>
      </c>
      <c r="BN1166" s="9">
        <f t="shared" si="168"/>
        <v>1535.12</v>
      </c>
      <c r="BO1166" s="9">
        <f t="shared" si="169"/>
        <v>6.55</v>
      </c>
      <c r="BP1166" s="9">
        <f t="shared" si="170"/>
        <v>107.68</v>
      </c>
    </row>
    <row r="1167" spans="1:68">
      <c r="A1167" s="6">
        <v>44762</v>
      </c>
      <c r="B1167" s="7">
        <v>3601</v>
      </c>
      <c r="C1167" s="8">
        <v>300.95999999999998</v>
      </c>
      <c r="D1167" s="8"/>
      <c r="E1167" s="8"/>
      <c r="F1167" s="8"/>
      <c r="G1167" s="8">
        <v>451.5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>
        <v>0.9</v>
      </c>
      <c r="R1167" s="11"/>
      <c r="S1167" s="8">
        <v>3.7</v>
      </c>
      <c r="T1167" s="8"/>
      <c r="U1167" s="8">
        <v>4.53</v>
      </c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11"/>
      <c r="AQ1167" s="8"/>
      <c r="AR1167" s="8"/>
      <c r="AS1167" s="8"/>
      <c r="AT1167" s="8">
        <v>369.3</v>
      </c>
      <c r="AU1167" s="8"/>
      <c r="AV1167" s="8"/>
      <c r="AW1167" s="8">
        <v>22.93</v>
      </c>
      <c r="AX1167" s="8"/>
      <c r="AY1167" s="8"/>
      <c r="AZ1167" s="8"/>
      <c r="BA1167" s="8"/>
      <c r="BB1167" s="8"/>
      <c r="BC1167" s="8"/>
      <c r="BD1167" s="8"/>
      <c r="BE1167" s="8"/>
      <c r="BF1167" s="8">
        <v>42.23</v>
      </c>
      <c r="BG1167" s="8">
        <v>27.97</v>
      </c>
      <c r="BH1167" s="9">
        <f t="shared" si="162"/>
        <v>752.46</v>
      </c>
      <c r="BI1167" s="9">
        <f t="shared" si="163"/>
        <v>0.9</v>
      </c>
      <c r="BJ1167" s="9">
        <f t="shared" si="164"/>
        <v>3.7</v>
      </c>
      <c r="BK1167" s="9">
        <f t="shared" si="165"/>
        <v>4.53</v>
      </c>
      <c r="BL1167" s="9">
        <f t="shared" si="166"/>
        <v>0</v>
      </c>
      <c r="BM1167" s="9">
        <f t="shared" si="167"/>
        <v>0</v>
      </c>
      <c r="BN1167" s="9">
        <f t="shared" si="168"/>
        <v>369.3</v>
      </c>
      <c r="BO1167" s="9">
        <f t="shared" si="169"/>
        <v>22.93</v>
      </c>
      <c r="BP1167" s="9">
        <f t="shared" si="170"/>
        <v>42.23</v>
      </c>
    </row>
    <row r="1168" spans="1:68">
      <c r="A1168" s="6">
        <v>44762</v>
      </c>
      <c r="B1168" s="7">
        <v>3704</v>
      </c>
      <c r="C1168" s="8">
        <v>631.46</v>
      </c>
      <c r="D1168" s="8">
        <v>977.46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>
        <v>4.8499999999999996</v>
      </c>
      <c r="R1168" s="11"/>
      <c r="S1168" s="8">
        <v>5.69</v>
      </c>
      <c r="T1168" s="8"/>
      <c r="U1168" s="8">
        <v>12.23</v>
      </c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>
        <v>19.541</v>
      </c>
      <c r="AM1168" s="8"/>
      <c r="AN1168" s="8"/>
      <c r="AO1168" s="8"/>
      <c r="AP1168" s="11"/>
      <c r="AQ1168" s="8"/>
      <c r="AR1168" s="8"/>
      <c r="AS1168" s="8"/>
      <c r="AT1168" s="8">
        <v>284.44</v>
      </c>
      <c r="AU1168" s="8">
        <v>142.44</v>
      </c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>
        <v>26.09</v>
      </c>
      <c r="BH1168" s="9">
        <f t="shared" si="162"/>
        <v>1608.92</v>
      </c>
      <c r="BI1168" s="9">
        <f t="shared" si="163"/>
        <v>4.8499999999999996</v>
      </c>
      <c r="BJ1168" s="9">
        <f t="shared" si="164"/>
        <v>5.69</v>
      </c>
      <c r="BK1168" s="9">
        <f t="shared" si="165"/>
        <v>12.23</v>
      </c>
      <c r="BL1168" s="9">
        <f t="shared" si="166"/>
        <v>0</v>
      </c>
      <c r="BM1168" s="9">
        <f t="shared" si="167"/>
        <v>19.541</v>
      </c>
      <c r="BN1168" s="9">
        <f t="shared" si="168"/>
        <v>426.88</v>
      </c>
      <c r="BO1168" s="9">
        <f t="shared" si="169"/>
        <v>0</v>
      </c>
      <c r="BP1168" s="9">
        <f t="shared" si="170"/>
        <v>0</v>
      </c>
    </row>
    <row r="1169" spans="1:68">
      <c r="A1169" s="6">
        <v>44762</v>
      </c>
      <c r="B1169" s="7">
        <v>3205</v>
      </c>
      <c r="C1169" s="8">
        <v>673.04</v>
      </c>
      <c r="D1169" s="8">
        <v>373.64</v>
      </c>
      <c r="E1169" s="8">
        <v>449.35</v>
      </c>
      <c r="F1169" s="8"/>
      <c r="G1169" s="8"/>
      <c r="H1169" s="8"/>
      <c r="I1169" s="8"/>
      <c r="J1169" s="8"/>
      <c r="K1169" s="8"/>
      <c r="L1169" s="8"/>
      <c r="M1169" s="8"/>
      <c r="N1169" s="8"/>
      <c r="O1169" s="8">
        <v>5.99</v>
      </c>
      <c r="P1169" s="8"/>
      <c r="Q1169" s="8"/>
      <c r="R1169" s="11"/>
      <c r="S1169" s="8">
        <v>5.55</v>
      </c>
      <c r="T1169" s="8"/>
      <c r="U1169" s="8">
        <v>17.97</v>
      </c>
      <c r="V1169" s="8"/>
      <c r="W1169" s="8"/>
      <c r="X1169" s="8"/>
      <c r="Y1169" s="8"/>
      <c r="Z1169" s="8">
        <v>149.86000000000001</v>
      </c>
      <c r="AA1169" s="8"/>
      <c r="AB1169" s="8">
        <v>15.374000000000001</v>
      </c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11"/>
      <c r="AQ1169" s="8">
        <v>7.6639999999999997</v>
      </c>
      <c r="AR1169" s="8"/>
      <c r="AS1169" s="8"/>
      <c r="AT1169" s="8">
        <v>390.11</v>
      </c>
      <c r="AU1169" s="8">
        <v>195.1</v>
      </c>
      <c r="AV1169" s="8"/>
      <c r="AW1169" s="8">
        <v>6.44</v>
      </c>
      <c r="AX1169" s="8"/>
      <c r="AY1169" s="8"/>
      <c r="AZ1169" s="8"/>
      <c r="BA1169" s="8"/>
      <c r="BB1169" s="8"/>
      <c r="BC1169" s="8"/>
      <c r="BD1169" s="8"/>
      <c r="BE1169" s="8"/>
      <c r="BF1169" s="8"/>
      <c r="BG1169" s="8">
        <v>35.270000000000003</v>
      </c>
      <c r="BH1169" s="9">
        <f t="shared" si="162"/>
        <v>1496.0299999999997</v>
      </c>
      <c r="BI1169" s="9">
        <f t="shared" si="163"/>
        <v>5.99</v>
      </c>
      <c r="BJ1169" s="9">
        <f t="shared" si="164"/>
        <v>5.55</v>
      </c>
      <c r="BK1169" s="9">
        <f t="shared" si="165"/>
        <v>17.97</v>
      </c>
      <c r="BL1169" s="9">
        <f t="shared" si="166"/>
        <v>149.86000000000001</v>
      </c>
      <c r="BM1169" s="9">
        <f t="shared" si="167"/>
        <v>23.038</v>
      </c>
      <c r="BN1169" s="9">
        <f t="shared" si="168"/>
        <v>585.21</v>
      </c>
      <c r="BO1169" s="9">
        <f t="shared" si="169"/>
        <v>6.44</v>
      </c>
      <c r="BP1169" s="9">
        <f t="shared" si="170"/>
        <v>0</v>
      </c>
    </row>
    <row r="1170" spans="1:68">
      <c r="A1170" s="6">
        <v>44762</v>
      </c>
      <c r="B1170" s="7">
        <v>3020</v>
      </c>
      <c r="C1170" s="8"/>
      <c r="D1170" s="8">
        <v>170.39</v>
      </c>
      <c r="E1170" s="8"/>
      <c r="F1170" s="8"/>
      <c r="G1170" s="8"/>
      <c r="H1170" s="8"/>
      <c r="I1170" s="8">
        <v>963</v>
      </c>
      <c r="J1170" s="8"/>
      <c r="K1170" s="8"/>
      <c r="L1170" s="8"/>
      <c r="M1170" s="8"/>
      <c r="N1170" s="8">
        <v>6.8</v>
      </c>
      <c r="O1170" s="8"/>
      <c r="P1170" s="8"/>
      <c r="Q1170" s="11"/>
      <c r="R1170" s="11"/>
      <c r="S1170" s="8">
        <v>2.04</v>
      </c>
      <c r="T1170" s="8"/>
      <c r="U1170" s="8"/>
      <c r="V1170" s="8"/>
      <c r="W1170" s="8">
        <v>11.35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>
        <v>11.34</v>
      </c>
      <c r="AN1170" s="8"/>
      <c r="AO1170" s="8"/>
      <c r="AP1170" s="11"/>
      <c r="AQ1170" s="8"/>
      <c r="AR1170" s="8"/>
      <c r="AS1170" s="8">
        <v>28.562999999999999</v>
      </c>
      <c r="AT1170" s="8">
        <v>556.21</v>
      </c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>
        <v>40.75</v>
      </c>
      <c r="BH1170" s="9">
        <f t="shared" si="162"/>
        <v>1133.3899999999999</v>
      </c>
      <c r="BI1170" s="9">
        <f t="shared" si="163"/>
        <v>6.8</v>
      </c>
      <c r="BJ1170" s="9">
        <f t="shared" si="164"/>
        <v>2.04</v>
      </c>
      <c r="BK1170" s="9">
        <f t="shared" si="165"/>
        <v>11.35</v>
      </c>
      <c r="BL1170" s="9">
        <f t="shared" si="166"/>
        <v>0</v>
      </c>
      <c r="BM1170" s="9">
        <f t="shared" si="167"/>
        <v>39.902999999999999</v>
      </c>
      <c r="BN1170" s="9">
        <f t="shared" si="168"/>
        <v>556.21</v>
      </c>
      <c r="BO1170" s="9">
        <f t="shared" si="169"/>
        <v>0</v>
      </c>
      <c r="BP1170" s="9">
        <f t="shared" si="170"/>
        <v>0</v>
      </c>
    </row>
    <row r="1171" spans="1:68">
      <c r="A1171" s="6">
        <v>44762</v>
      </c>
      <c r="B1171" s="7">
        <v>3028</v>
      </c>
      <c r="C1171" s="8"/>
      <c r="D1171" s="8">
        <v>412.24</v>
      </c>
      <c r="E1171" s="8"/>
      <c r="F1171" s="8">
        <v>376.6</v>
      </c>
      <c r="G1171" s="8"/>
      <c r="H1171" s="8"/>
      <c r="I1171" s="8">
        <v>849.74</v>
      </c>
      <c r="J1171" s="8"/>
      <c r="K1171" s="8"/>
      <c r="L1171" s="8"/>
      <c r="M1171" s="8"/>
      <c r="N1171" s="8">
        <v>12.27</v>
      </c>
      <c r="O1171" s="8"/>
      <c r="P1171" s="8"/>
      <c r="Q1171" s="11"/>
      <c r="R1171" s="11"/>
      <c r="S1171" s="8">
        <v>2.29</v>
      </c>
      <c r="T1171" s="8"/>
      <c r="U1171" s="8"/>
      <c r="V1171" s="8"/>
      <c r="W1171" s="8">
        <v>12.27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>
        <v>16.36</v>
      </c>
      <c r="AN1171" s="8">
        <v>11.455</v>
      </c>
      <c r="AO1171" s="8"/>
      <c r="AP1171" s="11"/>
      <c r="AQ1171" s="8"/>
      <c r="AR1171" s="8"/>
      <c r="AS1171" s="8">
        <v>53.944000000000003</v>
      </c>
      <c r="AT1171" s="8">
        <v>546.16</v>
      </c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>
        <v>37.31</v>
      </c>
      <c r="BH1171" s="9">
        <f t="shared" si="162"/>
        <v>1638.58</v>
      </c>
      <c r="BI1171" s="9">
        <f t="shared" si="163"/>
        <v>12.27</v>
      </c>
      <c r="BJ1171" s="9">
        <f t="shared" si="164"/>
        <v>2.29</v>
      </c>
      <c r="BK1171" s="9">
        <f t="shared" si="165"/>
        <v>12.27</v>
      </c>
      <c r="BL1171" s="9">
        <f t="shared" si="166"/>
        <v>0</v>
      </c>
      <c r="BM1171" s="9">
        <f t="shared" si="167"/>
        <v>81.759</v>
      </c>
      <c r="BN1171" s="9">
        <f t="shared" si="168"/>
        <v>546.16</v>
      </c>
      <c r="BO1171" s="9">
        <f t="shared" si="169"/>
        <v>0</v>
      </c>
      <c r="BP1171" s="9">
        <f t="shared" si="170"/>
        <v>0</v>
      </c>
    </row>
    <row r="1172" spans="1:68">
      <c r="A1172" s="6">
        <v>44762</v>
      </c>
      <c r="B1172" s="7">
        <v>3023</v>
      </c>
      <c r="C1172" s="8"/>
      <c r="D1172" s="8">
        <v>865.59</v>
      </c>
      <c r="E1172" s="8"/>
      <c r="F1172" s="8"/>
      <c r="G1172" s="8"/>
      <c r="H1172" s="8"/>
      <c r="I1172" s="8">
        <v>465.68</v>
      </c>
      <c r="J1172" s="8"/>
      <c r="K1172" s="8"/>
      <c r="L1172" s="8"/>
      <c r="M1172" s="8"/>
      <c r="N1172" s="8">
        <v>7.43</v>
      </c>
      <c r="O1172" s="8"/>
      <c r="P1172" s="8"/>
      <c r="Q1172" s="11"/>
      <c r="R1172" s="11"/>
      <c r="S1172" s="8">
        <v>2.13</v>
      </c>
      <c r="T1172" s="8"/>
      <c r="U1172" s="8"/>
      <c r="V1172" s="8"/>
      <c r="W1172" s="8">
        <v>11.97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>
        <v>13.32</v>
      </c>
      <c r="AN1172" s="8">
        <v>9.4169999999999998</v>
      </c>
      <c r="AO1172" s="8"/>
      <c r="AP1172" s="11"/>
      <c r="AQ1172" s="8"/>
      <c r="AR1172" s="8"/>
      <c r="AS1172" s="8">
        <v>43.978999999999999</v>
      </c>
      <c r="AT1172" s="8">
        <v>545.46</v>
      </c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>
        <v>41.2</v>
      </c>
      <c r="BH1172" s="9">
        <f t="shared" si="162"/>
        <v>1331.27</v>
      </c>
      <c r="BI1172" s="9">
        <f t="shared" si="163"/>
        <v>7.43</v>
      </c>
      <c r="BJ1172" s="9">
        <f t="shared" si="164"/>
        <v>2.13</v>
      </c>
      <c r="BK1172" s="9">
        <f t="shared" si="165"/>
        <v>11.97</v>
      </c>
      <c r="BL1172" s="9">
        <f t="shared" si="166"/>
        <v>0</v>
      </c>
      <c r="BM1172" s="9">
        <f t="shared" si="167"/>
        <v>66.716000000000008</v>
      </c>
      <c r="BN1172" s="9">
        <f t="shared" si="168"/>
        <v>545.46</v>
      </c>
      <c r="BO1172" s="9">
        <f t="shared" si="169"/>
        <v>0</v>
      </c>
      <c r="BP1172" s="9">
        <f t="shared" si="170"/>
        <v>0</v>
      </c>
    </row>
    <row r="1173" spans="1:68">
      <c r="A1173" s="6">
        <v>44762</v>
      </c>
      <c r="B1173" s="7">
        <v>3022</v>
      </c>
      <c r="C1173" s="8"/>
      <c r="D1173" s="8">
        <v>553.79</v>
      </c>
      <c r="E1173" s="8"/>
      <c r="F1173" s="8"/>
      <c r="G1173" s="8"/>
      <c r="H1173" s="8"/>
      <c r="I1173" s="8">
        <v>454.93</v>
      </c>
      <c r="J1173" s="8"/>
      <c r="K1173" s="8"/>
      <c r="L1173" s="8"/>
      <c r="M1173" s="8"/>
      <c r="N1173" s="8">
        <v>5.04</v>
      </c>
      <c r="O1173" s="8"/>
      <c r="P1173" s="8"/>
      <c r="Q1173" s="8"/>
      <c r="R1173" s="11"/>
      <c r="S1173" s="8">
        <v>1.82</v>
      </c>
      <c r="T1173" s="8"/>
      <c r="U1173" s="8"/>
      <c r="V1173" s="8"/>
      <c r="W1173" s="8">
        <v>10.09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>
        <v>13.13</v>
      </c>
      <c r="AN1173" s="8"/>
      <c r="AO1173" s="8"/>
      <c r="AP1173" s="11"/>
      <c r="AQ1173" s="8"/>
      <c r="AR1173" s="8"/>
      <c r="AS1173" s="8">
        <v>35.453000000000003</v>
      </c>
      <c r="AT1173" s="8">
        <v>472.35</v>
      </c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>
        <v>36.299999999999997</v>
      </c>
      <c r="BH1173" s="9">
        <f t="shared" si="162"/>
        <v>1008.72</v>
      </c>
      <c r="BI1173" s="9">
        <f t="shared" si="163"/>
        <v>5.04</v>
      </c>
      <c r="BJ1173" s="9">
        <f t="shared" si="164"/>
        <v>1.82</v>
      </c>
      <c r="BK1173" s="9">
        <f t="shared" si="165"/>
        <v>10.09</v>
      </c>
      <c r="BL1173" s="9">
        <f t="shared" si="166"/>
        <v>0</v>
      </c>
      <c r="BM1173" s="9">
        <f t="shared" si="167"/>
        <v>48.583000000000006</v>
      </c>
      <c r="BN1173" s="9">
        <f t="shared" si="168"/>
        <v>472.35</v>
      </c>
      <c r="BO1173" s="9">
        <f t="shared" si="169"/>
        <v>0</v>
      </c>
      <c r="BP1173" s="9">
        <f t="shared" si="170"/>
        <v>0</v>
      </c>
    </row>
    <row r="1174" spans="1:68">
      <c r="A1174" s="6">
        <v>44762</v>
      </c>
      <c r="B1174" s="7">
        <v>3029</v>
      </c>
      <c r="C1174" s="8"/>
      <c r="D1174" s="8">
        <v>680.16</v>
      </c>
      <c r="E1174" s="8"/>
      <c r="F1174" s="8">
        <v>478.92</v>
      </c>
      <c r="G1174" s="8"/>
      <c r="H1174" s="8"/>
      <c r="I1174" s="8">
        <v>2833.5</v>
      </c>
      <c r="J1174" s="8"/>
      <c r="K1174" s="8"/>
      <c r="L1174" s="8"/>
      <c r="M1174" s="8"/>
      <c r="N1174" s="8">
        <v>30.77</v>
      </c>
      <c r="O1174" s="8"/>
      <c r="P1174" s="8"/>
      <c r="Q1174" s="8"/>
      <c r="R1174" s="11"/>
      <c r="S1174" s="8">
        <v>2.39</v>
      </c>
      <c r="T1174" s="8"/>
      <c r="U1174" s="8"/>
      <c r="V1174" s="8"/>
      <c r="W1174" s="8">
        <v>39.979999999999997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>
        <v>13.95</v>
      </c>
      <c r="AN1174" s="8">
        <v>19.864999999999998</v>
      </c>
      <c r="AO1174" s="8"/>
      <c r="AP1174" s="11"/>
      <c r="AQ1174" s="8"/>
      <c r="AR1174" s="8">
        <v>120.048</v>
      </c>
      <c r="AS1174" s="8"/>
      <c r="AT1174" s="8">
        <v>1514.89</v>
      </c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>
        <v>105.89</v>
      </c>
      <c r="BH1174" s="9">
        <f t="shared" si="162"/>
        <v>3992.58</v>
      </c>
      <c r="BI1174" s="9">
        <f t="shared" si="163"/>
        <v>30.77</v>
      </c>
      <c r="BJ1174" s="9">
        <f t="shared" si="164"/>
        <v>2.39</v>
      </c>
      <c r="BK1174" s="9">
        <f t="shared" si="165"/>
        <v>39.979999999999997</v>
      </c>
      <c r="BL1174" s="9">
        <f t="shared" si="166"/>
        <v>0</v>
      </c>
      <c r="BM1174" s="9">
        <f t="shared" si="167"/>
        <v>153.863</v>
      </c>
      <c r="BN1174" s="9">
        <f t="shared" si="168"/>
        <v>1514.89</v>
      </c>
      <c r="BO1174" s="9">
        <f t="shared" si="169"/>
        <v>0</v>
      </c>
      <c r="BP1174" s="9">
        <f t="shared" si="170"/>
        <v>0</v>
      </c>
    </row>
    <row r="1175" spans="1:68">
      <c r="A1175" s="6">
        <v>44762</v>
      </c>
      <c r="B1175" s="7">
        <v>3134</v>
      </c>
      <c r="C1175" s="8">
        <v>2045.25</v>
      </c>
      <c r="D1175" s="8">
        <v>287.81</v>
      </c>
      <c r="E1175" s="8"/>
      <c r="F1175" s="8"/>
      <c r="G1175" s="8"/>
      <c r="H1175" s="8">
        <v>968.45</v>
      </c>
      <c r="I1175" s="8"/>
      <c r="J1175" s="8"/>
      <c r="K1175" s="8"/>
      <c r="L1175" s="8"/>
      <c r="M1175" s="8"/>
      <c r="N1175" s="8"/>
      <c r="O1175" s="8"/>
      <c r="P1175" s="8"/>
      <c r="Q1175" s="8">
        <v>5.91</v>
      </c>
      <c r="R1175" s="11"/>
      <c r="S1175" s="8">
        <v>13.21</v>
      </c>
      <c r="T1175" s="8"/>
      <c r="U1175" s="8">
        <v>37.39</v>
      </c>
      <c r="V1175" s="8"/>
      <c r="W1175" s="8"/>
      <c r="X1175" s="8"/>
      <c r="Y1175" s="8"/>
      <c r="Z1175" s="8"/>
      <c r="AA1175" s="8"/>
      <c r="AB1175" s="8"/>
      <c r="AC1175" s="8">
        <v>11.48</v>
      </c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11"/>
      <c r="AQ1175" s="8"/>
      <c r="AR1175" s="8"/>
      <c r="AS1175" s="8"/>
      <c r="AT1175" s="8">
        <v>2044.1</v>
      </c>
      <c r="AU1175" s="8"/>
      <c r="AV1175" s="8"/>
      <c r="AW1175" s="8"/>
      <c r="AX1175" s="8"/>
      <c r="AY1175" s="8">
        <v>28.952999999999999</v>
      </c>
      <c r="AZ1175" s="8"/>
      <c r="BA1175" s="8"/>
      <c r="BB1175" s="8"/>
      <c r="BC1175" s="8"/>
      <c r="BD1175" s="8"/>
      <c r="BE1175" s="8"/>
      <c r="BF1175" s="8"/>
      <c r="BG1175" s="8">
        <v>152.37</v>
      </c>
      <c r="BH1175" s="9">
        <f t="shared" si="162"/>
        <v>3301.51</v>
      </c>
      <c r="BI1175" s="9">
        <f t="shared" si="163"/>
        <v>5.91</v>
      </c>
      <c r="BJ1175" s="9">
        <f t="shared" si="164"/>
        <v>13.21</v>
      </c>
      <c r="BK1175" s="9">
        <f t="shared" si="165"/>
        <v>37.39</v>
      </c>
      <c r="BL1175" s="9">
        <f t="shared" si="166"/>
        <v>0</v>
      </c>
      <c r="BM1175" s="9">
        <f t="shared" si="167"/>
        <v>11.48</v>
      </c>
      <c r="BN1175" s="9">
        <f t="shared" si="168"/>
        <v>2044.1</v>
      </c>
      <c r="BO1175" s="9">
        <f t="shared" si="169"/>
        <v>28.952999999999999</v>
      </c>
      <c r="BP1175" s="9">
        <f t="shared" si="170"/>
        <v>0</v>
      </c>
    </row>
    <row r="1176" spans="1:68">
      <c r="A1176" s="6">
        <v>44762</v>
      </c>
      <c r="B1176" s="7">
        <v>3106</v>
      </c>
      <c r="C1176" s="8">
        <v>4109.82</v>
      </c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>
        <v>10.28</v>
      </c>
      <c r="R1176" s="11"/>
      <c r="S1176" s="8">
        <v>11.95</v>
      </c>
      <c r="T1176" s="8"/>
      <c r="U1176" s="8">
        <v>52.38</v>
      </c>
      <c r="V1176" s="8"/>
      <c r="W1176" s="8"/>
      <c r="X1176" s="8"/>
      <c r="Y1176" s="8"/>
      <c r="Z1176" s="8"/>
      <c r="AA1176" s="8"/>
      <c r="AB1176" s="8"/>
      <c r="AC1176" s="8">
        <v>10.28</v>
      </c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11"/>
      <c r="AQ1176" s="8"/>
      <c r="AR1176" s="8"/>
      <c r="AS1176" s="8"/>
      <c r="AT1176" s="8">
        <v>2350.9299999999998</v>
      </c>
      <c r="AU1176" s="8"/>
      <c r="AV1176" s="8"/>
      <c r="AW1176" s="8"/>
      <c r="AX1176" s="8">
        <v>5.15</v>
      </c>
      <c r="AY1176" s="8"/>
      <c r="AZ1176" s="8"/>
      <c r="BA1176" s="8"/>
      <c r="BB1176" s="8"/>
      <c r="BC1176" s="8"/>
      <c r="BD1176" s="8"/>
      <c r="BE1176" s="8"/>
      <c r="BF1176" s="8"/>
      <c r="BG1176" s="8">
        <v>176.83</v>
      </c>
      <c r="BH1176" s="9">
        <f t="shared" si="162"/>
        <v>4109.82</v>
      </c>
      <c r="BI1176" s="9">
        <f t="shared" si="163"/>
        <v>10.28</v>
      </c>
      <c r="BJ1176" s="9">
        <f t="shared" si="164"/>
        <v>11.95</v>
      </c>
      <c r="BK1176" s="9">
        <f t="shared" si="165"/>
        <v>52.38</v>
      </c>
      <c r="BL1176" s="9">
        <f t="shared" si="166"/>
        <v>0</v>
      </c>
      <c r="BM1176" s="9">
        <f t="shared" si="167"/>
        <v>10.28</v>
      </c>
      <c r="BN1176" s="9">
        <f t="shared" si="168"/>
        <v>2350.9299999999998</v>
      </c>
      <c r="BO1176" s="9">
        <f t="shared" si="169"/>
        <v>5.15</v>
      </c>
      <c r="BP1176" s="9">
        <f t="shared" si="170"/>
        <v>0</v>
      </c>
    </row>
    <row r="1177" spans="1:68">
      <c r="A1177" s="6">
        <v>44762</v>
      </c>
      <c r="B1177" s="7">
        <v>3136</v>
      </c>
      <c r="C1177" s="8">
        <v>1225.69</v>
      </c>
      <c r="D1177" s="8"/>
      <c r="E1177" s="8"/>
      <c r="F1177" s="8"/>
      <c r="G1177" s="8"/>
      <c r="H1177" s="8">
        <v>509.22</v>
      </c>
      <c r="I1177" s="8"/>
      <c r="J1177" s="8"/>
      <c r="K1177" s="8"/>
      <c r="L1177" s="8"/>
      <c r="M1177" s="8"/>
      <c r="N1177" s="8"/>
      <c r="O1177" s="8"/>
      <c r="P1177" s="8"/>
      <c r="Q1177" s="8">
        <v>1.96</v>
      </c>
      <c r="R1177" s="11"/>
      <c r="S1177" s="8">
        <v>7.42</v>
      </c>
      <c r="T1177" s="8"/>
      <c r="U1177" s="8">
        <v>19.64</v>
      </c>
      <c r="V1177" s="8"/>
      <c r="W1177" s="8"/>
      <c r="X1177" s="8"/>
      <c r="Y1177" s="8"/>
      <c r="Z1177" s="8"/>
      <c r="AA1177" s="8"/>
      <c r="AB1177" s="8"/>
      <c r="AC1177" s="8">
        <v>6.03</v>
      </c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11"/>
      <c r="AQ1177" s="8"/>
      <c r="AR1177" s="8"/>
      <c r="AS1177" s="8"/>
      <c r="AT1177" s="8">
        <v>981.88</v>
      </c>
      <c r="AU1177" s="8"/>
      <c r="AV1177" s="8"/>
      <c r="AW1177" s="8"/>
      <c r="AX1177" s="8"/>
      <c r="AY1177" s="8"/>
      <c r="AZ1177" s="8"/>
      <c r="BA1177" s="8">
        <v>14.93</v>
      </c>
      <c r="BB1177" s="8"/>
      <c r="BC1177" s="8"/>
      <c r="BD1177" s="8"/>
      <c r="BE1177" s="8"/>
      <c r="BF1177" s="8">
        <v>60.41</v>
      </c>
      <c r="BG1177" s="8">
        <v>73.72</v>
      </c>
      <c r="BH1177" s="9">
        <f t="shared" si="162"/>
        <v>1734.91</v>
      </c>
      <c r="BI1177" s="9">
        <f t="shared" si="163"/>
        <v>1.96</v>
      </c>
      <c r="BJ1177" s="9">
        <f t="shared" si="164"/>
        <v>7.42</v>
      </c>
      <c r="BK1177" s="9">
        <f t="shared" si="165"/>
        <v>19.64</v>
      </c>
      <c r="BL1177" s="9">
        <f t="shared" si="166"/>
        <v>0</v>
      </c>
      <c r="BM1177" s="9">
        <f t="shared" si="167"/>
        <v>6.03</v>
      </c>
      <c r="BN1177" s="9">
        <f t="shared" si="168"/>
        <v>981.88</v>
      </c>
      <c r="BO1177" s="9">
        <f t="shared" si="169"/>
        <v>14.93</v>
      </c>
      <c r="BP1177" s="9">
        <f t="shared" si="170"/>
        <v>60.41</v>
      </c>
    </row>
    <row r="1178" spans="1:68">
      <c r="A1178" s="6">
        <v>44763</v>
      </c>
      <c r="B1178" s="7">
        <v>3201</v>
      </c>
      <c r="C1178" s="8">
        <v>1169.22</v>
      </c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>
        <v>2.93</v>
      </c>
      <c r="P1178" s="8"/>
      <c r="Q1178" s="8"/>
      <c r="R1178" s="11"/>
      <c r="S1178" s="8">
        <v>4.46</v>
      </c>
      <c r="T1178" s="8"/>
      <c r="U1178" s="8">
        <v>17.600000000000001</v>
      </c>
      <c r="V1178" s="8"/>
      <c r="W1178" s="8"/>
      <c r="X1178" s="8"/>
      <c r="Y1178" s="8"/>
      <c r="Z1178" s="8">
        <v>246.45</v>
      </c>
      <c r="AA1178" s="8"/>
      <c r="AB1178" s="8"/>
      <c r="AC1178" s="8"/>
      <c r="AD1178" s="8"/>
      <c r="AE1178" s="8"/>
      <c r="AF1178" s="8">
        <v>58.59</v>
      </c>
      <c r="AG1178" s="8"/>
      <c r="AH1178" s="8"/>
      <c r="AI1178" s="8"/>
      <c r="AJ1178" s="8"/>
      <c r="AK1178" s="8"/>
      <c r="AL1178" s="8"/>
      <c r="AM1178" s="8"/>
      <c r="AN1178" s="8"/>
      <c r="AO1178" s="8"/>
      <c r="AP1178" s="11"/>
      <c r="AQ1178" s="8">
        <v>17.966000000000001</v>
      </c>
      <c r="AR1178" s="8"/>
      <c r="AS1178" s="8"/>
      <c r="AT1178" s="8">
        <v>804.11</v>
      </c>
      <c r="AU1178" s="8"/>
      <c r="AV1178" s="8"/>
      <c r="AW1178" s="8"/>
      <c r="AX1178" s="8"/>
      <c r="AY1178" s="8"/>
      <c r="AZ1178" s="8"/>
      <c r="BA1178" s="8"/>
      <c r="BB1178" s="8"/>
      <c r="BC1178" s="8">
        <v>3.05</v>
      </c>
      <c r="BD1178" s="8"/>
      <c r="BE1178" s="8"/>
      <c r="BF1178" s="8">
        <v>56.3</v>
      </c>
      <c r="BG1178" s="8">
        <v>58.13</v>
      </c>
      <c r="BH1178" s="9">
        <f t="shared" si="162"/>
        <v>1169.22</v>
      </c>
      <c r="BI1178" s="9">
        <f t="shared" si="163"/>
        <v>2.93</v>
      </c>
      <c r="BJ1178" s="9">
        <f t="shared" si="164"/>
        <v>4.46</v>
      </c>
      <c r="BK1178" s="9">
        <f t="shared" si="165"/>
        <v>17.600000000000001</v>
      </c>
      <c r="BL1178" s="9">
        <f t="shared" si="166"/>
        <v>246.45</v>
      </c>
      <c r="BM1178" s="9">
        <f t="shared" si="167"/>
        <v>76.556000000000012</v>
      </c>
      <c r="BN1178" s="9">
        <f t="shared" si="168"/>
        <v>804.11</v>
      </c>
      <c r="BO1178" s="9">
        <f t="shared" si="169"/>
        <v>3.05</v>
      </c>
      <c r="BP1178" s="9">
        <f t="shared" si="170"/>
        <v>56.3</v>
      </c>
    </row>
    <row r="1179" spans="1:68">
      <c r="A1179" s="6">
        <v>44763</v>
      </c>
      <c r="B1179" s="7">
        <v>3604</v>
      </c>
      <c r="C1179" s="8">
        <v>612.47</v>
      </c>
      <c r="D1179" s="8"/>
      <c r="E1179" s="8"/>
      <c r="F1179" s="8"/>
      <c r="G1179" s="8">
        <v>919.27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>
        <v>0.82</v>
      </c>
      <c r="R1179" s="11"/>
      <c r="S1179" s="8">
        <v>8.02</v>
      </c>
      <c r="T1179" s="8"/>
      <c r="U1179" s="8">
        <v>4.91</v>
      </c>
      <c r="V1179" s="8">
        <v>15.055</v>
      </c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11"/>
      <c r="AQ1179" s="8"/>
      <c r="AR1179" s="8"/>
      <c r="AS1179" s="8"/>
      <c r="AT1179" s="8">
        <v>618.20000000000005</v>
      </c>
      <c r="AU1179" s="8"/>
      <c r="AV1179" s="8"/>
      <c r="AW1179" s="8">
        <v>39.768999999999998</v>
      </c>
      <c r="AX1179" s="8"/>
      <c r="AY1179" s="8"/>
      <c r="AZ1179" s="8"/>
      <c r="BA1179" s="8"/>
      <c r="BB1179" s="8"/>
      <c r="BC1179" s="8"/>
      <c r="BD1179" s="8"/>
      <c r="BE1179" s="8"/>
      <c r="BF1179" s="8">
        <v>49.02</v>
      </c>
      <c r="BG1179" s="8">
        <v>45.92</v>
      </c>
      <c r="BH1179" s="9">
        <f t="shared" si="162"/>
        <v>1531.74</v>
      </c>
      <c r="BI1179" s="9">
        <f t="shared" si="163"/>
        <v>0.82</v>
      </c>
      <c r="BJ1179" s="9">
        <f t="shared" si="164"/>
        <v>8.02</v>
      </c>
      <c r="BK1179" s="9">
        <f t="shared" si="165"/>
        <v>19.965</v>
      </c>
      <c r="BL1179" s="9">
        <f t="shared" si="166"/>
        <v>0</v>
      </c>
      <c r="BM1179" s="9">
        <f t="shared" si="167"/>
        <v>0</v>
      </c>
      <c r="BN1179" s="9">
        <f t="shared" si="168"/>
        <v>618.20000000000005</v>
      </c>
      <c r="BO1179" s="9">
        <f t="shared" si="169"/>
        <v>39.768999999999998</v>
      </c>
      <c r="BP1179" s="9">
        <f t="shared" si="170"/>
        <v>49.02</v>
      </c>
    </row>
    <row r="1180" spans="1:68">
      <c r="A1180" s="6">
        <v>44763</v>
      </c>
      <c r="B1180" s="7">
        <v>3405</v>
      </c>
      <c r="C1180" s="8">
        <v>1751.78</v>
      </c>
      <c r="D1180" s="8">
        <v>441.01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>
        <v>4.3899999999999997</v>
      </c>
      <c r="R1180" s="11"/>
      <c r="S1180" s="8">
        <v>5.03</v>
      </c>
      <c r="T1180" s="8"/>
      <c r="U1180" s="8"/>
      <c r="V1180" s="8"/>
      <c r="W1180" s="8"/>
      <c r="X1180" s="8">
        <v>26.212</v>
      </c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11"/>
      <c r="AQ1180" s="8"/>
      <c r="AR1180" s="8"/>
      <c r="AS1180" s="8"/>
      <c r="AT1180" s="8">
        <v>1074.8900000000001</v>
      </c>
      <c r="AU1180" s="8"/>
      <c r="AV1180" s="8"/>
      <c r="AW1180" s="8"/>
      <c r="AX1180" s="8"/>
      <c r="AY1180" s="8"/>
      <c r="AZ1180" s="8"/>
      <c r="BA1180" s="8">
        <v>9.84</v>
      </c>
      <c r="BB1180" s="8"/>
      <c r="BC1180" s="8"/>
      <c r="BD1180" s="8"/>
      <c r="BE1180" s="8"/>
      <c r="BF1180" s="8"/>
      <c r="BG1180" s="8">
        <v>72.290000000000006</v>
      </c>
      <c r="BH1180" s="9">
        <f t="shared" si="162"/>
        <v>2192.79</v>
      </c>
      <c r="BI1180" s="9">
        <f t="shared" si="163"/>
        <v>4.3899999999999997</v>
      </c>
      <c r="BJ1180" s="9">
        <f t="shared" si="164"/>
        <v>5.03</v>
      </c>
      <c r="BK1180" s="9">
        <f t="shared" si="165"/>
        <v>26.212</v>
      </c>
      <c r="BL1180" s="9">
        <f t="shared" si="166"/>
        <v>0</v>
      </c>
      <c r="BM1180" s="9">
        <f t="shared" si="167"/>
        <v>0</v>
      </c>
      <c r="BN1180" s="9">
        <f t="shared" si="168"/>
        <v>1074.8900000000001</v>
      </c>
      <c r="BO1180" s="9">
        <f t="shared" si="169"/>
        <v>9.84</v>
      </c>
      <c r="BP1180" s="9">
        <f t="shared" si="170"/>
        <v>0</v>
      </c>
    </row>
    <row r="1181" spans="1:68">
      <c r="A1181" s="6">
        <v>44763</v>
      </c>
      <c r="B1181" s="7">
        <v>3408</v>
      </c>
      <c r="C1181" s="8">
        <v>1378.85</v>
      </c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>
        <v>3.11</v>
      </c>
      <c r="R1181" s="11"/>
      <c r="S1181" s="8">
        <v>3.44</v>
      </c>
      <c r="T1181" s="8"/>
      <c r="U1181" s="8"/>
      <c r="V1181" s="8"/>
      <c r="W1181" s="8"/>
      <c r="X1181" s="8">
        <v>14.103</v>
      </c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11"/>
      <c r="AQ1181" s="8"/>
      <c r="AR1181" s="8"/>
      <c r="AS1181" s="8"/>
      <c r="AT1181" s="8">
        <v>705.15</v>
      </c>
      <c r="AU1181" s="8"/>
      <c r="AV1181" s="8"/>
      <c r="AW1181" s="8"/>
      <c r="AX1181" s="8"/>
      <c r="AY1181" s="8"/>
      <c r="AZ1181" s="8"/>
      <c r="BA1181" s="8">
        <v>6.21</v>
      </c>
      <c r="BB1181" s="8"/>
      <c r="BC1181" s="8"/>
      <c r="BD1181" s="8"/>
      <c r="BE1181" s="8"/>
      <c r="BF1181" s="8"/>
      <c r="BG1181" s="8">
        <v>48.36</v>
      </c>
      <c r="BH1181" s="9">
        <f t="shared" si="162"/>
        <v>1378.85</v>
      </c>
      <c r="BI1181" s="9">
        <f t="shared" si="163"/>
        <v>3.11</v>
      </c>
      <c r="BJ1181" s="9">
        <f t="shared" si="164"/>
        <v>3.44</v>
      </c>
      <c r="BK1181" s="9">
        <f t="shared" si="165"/>
        <v>14.103</v>
      </c>
      <c r="BL1181" s="9">
        <f t="shared" si="166"/>
        <v>0</v>
      </c>
      <c r="BM1181" s="9">
        <f t="shared" si="167"/>
        <v>0</v>
      </c>
      <c r="BN1181" s="9">
        <f t="shared" si="168"/>
        <v>705.15</v>
      </c>
      <c r="BO1181" s="9">
        <f t="shared" si="169"/>
        <v>6.21</v>
      </c>
      <c r="BP1181" s="9">
        <f t="shared" si="170"/>
        <v>0</v>
      </c>
    </row>
    <row r="1182" spans="1:68">
      <c r="A1182" s="6">
        <v>44763</v>
      </c>
      <c r="B1182" s="7">
        <v>3102</v>
      </c>
      <c r="C1182" s="8">
        <v>792.2</v>
      </c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>
        <v>1.98</v>
      </c>
      <c r="R1182" s="11"/>
      <c r="S1182" s="8">
        <v>3.58</v>
      </c>
      <c r="T1182" s="8"/>
      <c r="U1182" s="8">
        <v>9.5299999999999994</v>
      </c>
      <c r="V1182" s="8"/>
      <c r="W1182" s="8"/>
      <c r="X1182" s="8"/>
      <c r="Y1182" s="8"/>
      <c r="Z1182" s="8"/>
      <c r="AA1182" s="8"/>
      <c r="AB1182" s="8"/>
      <c r="AC1182" s="8">
        <v>3.18</v>
      </c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11"/>
      <c r="AQ1182" s="8"/>
      <c r="AR1182" s="8"/>
      <c r="AS1182" s="8"/>
      <c r="AT1182" s="8">
        <v>529.72</v>
      </c>
      <c r="AU1182" s="8"/>
      <c r="AV1182" s="8"/>
      <c r="AW1182" s="8"/>
      <c r="AX1182" s="8"/>
      <c r="AY1182" s="8"/>
      <c r="AZ1182" s="8"/>
      <c r="BA1182" s="8">
        <v>18.12</v>
      </c>
      <c r="BB1182" s="8"/>
      <c r="BC1182" s="8"/>
      <c r="BD1182" s="8"/>
      <c r="BE1182" s="8"/>
      <c r="BF1182" s="8">
        <v>55.55</v>
      </c>
      <c r="BG1182" s="8">
        <v>39.380000000000003</v>
      </c>
      <c r="BH1182" s="9">
        <f t="shared" si="162"/>
        <v>792.2</v>
      </c>
      <c r="BI1182" s="9">
        <f t="shared" si="163"/>
        <v>1.98</v>
      </c>
      <c r="BJ1182" s="9">
        <f t="shared" si="164"/>
        <v>3.58</v>
      </c>
      <c r="BK1182" s="9">
        <f t="shared" si="165"/>
        <v>9.5299999999999994</v>
      </c>
      <c r="BL1182" s="9">
        <f t="shared" si="166"/>
        <v>0</v>
      </c>
      <c r="BM1182" s="9">
        <f t="shared" si="167"/>
        <v>3.18</v>
      </c>
      <c r="BN1182" s="9">
        <f t="shared" si="168"/>
        <v>529.72</v>
      </c>
      <c r="BO1182" s="9">
        <f t="shared" si="169"/>
        <v>18.12</v>
      </c>
      <c r="BP1182" s="9">
        <f t="shared" si="170"/>
        <v>55.55</v>
      </c>
    </row>
    <row r="1183" spans="1:68">
      <c r="A1183" s="6">
        <v>44763</v>
      </c>
      <c r="B1183" s="7">
        <v>3134</v>
      </c>
      <c r="C1183" s="8">
        <v>1045.78</v>
      </c>
      <c r="D1183" s="8">
        <v>146.36000000000001</v>
      </c>
      <c r="E1183" s="8"/>
      <c r="F1183" s="8"/>
      <c r="G1183" s="8"/>
      <c r="H1183" s="8">
        <v>492.56</v>
      </c>
      <c r="I1183" s="8"/>
      <c r="J1183" s="8"/>
      <c r="K1183" s="8"/>
      <c r="L1183" s="8"/>
      <c r="M1183" s="8"/>
      <c r="N1183" s="8"/>
      <c r="O1183" s="8"/>
      <c r="P1183" s="8"/>
      <c r="Q1183" s="8">
        <v>2.89</v>
      </c>
      <c r="R1183" s="11"/>
      <c r="S1183" s="8">
        <v>6.75</v>
      </c>
      <c r="T1183" s="8"/>
      <c r="U1183" s="8">
        <v>19.02</v>
      </c>
      <c r="V1183" s="8"/>
      <c r="W1183" s="8"/>
      <c r="X1183" s="8"/>
      <c r="Y1183" s="8"/>
      <c r="Z1183" s="8"/>
      <c r="AA1183" s="8"/>
      <c r="AB1183" s="8"/>
      <c r="AC1183" s="8">
        <v>5.86</v>
      </c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11"/>
      <c r="AQ1183" s="8"/>
      <c r="AR1183" s="8"/>
      <c r="AS1183" s="8"/>
      <c r="AT1183" s="8">
        <v>1034.95</v>
      </c>
      <c r="AU1183" s="8"/>
      <c r="AV1183" s="8"/>
      <c r="AW1183" s="8"/>
      <c r="AX1183" s="8"/>
      <c r="AY1183" s="8">
        <v>14.888</v>
      </c>
      <c r="AZ1183" s="8"/>
      <c r="BA1183" s="8"/>
      <c r="BB1183" s="8"/>
      <c r="BC1183" s="8"/>
      <c r="BD1183" s="8"/>
      <c r="BE1183" s="8"/>
      <c r="BF1183" s="8">
        <v>65.97</v>
      </c>
      <c r="BG1183" s="8">
        <v>77.64</v>
      </c>
      <c r="BH1183" s="9">
        <f t="shared" si="162"/>
        <v>1684.6999999999998</v>
      </c>
      <c r="BI1183" s="9">
        <f t="shared" si="163"/>
        <v>2.89</v>
      </c>
      <c r="BJ1183" s="9">
        <f t="shared" si="164"/>
        <v>6.75</v>
      </c>
      <c r="BK1183" s="9">
        <f t="shared" si="165"/>
        <v>19.02</v>
      </c>
      <c r="BL1183" s="9">
        <f t="shared" si="166"/>
        <v>0</v>
      </c>
      <c r="BM1183" s="9">
        <f t="shared" si="167"/>
        <v>5.86</v>
      </c>
      <c r="BN1183" s="9">
        <f t="shared" si="168"/>
        <v>1034.95</v>
      </c>
      <c r="BO1183" s="9">
        <f t="shared" si="169"/>
        <v>14.888</v>
      </c>
      <c r="BP1183" s="9">
        <f t="shared" si="170"/>
        <v>65.97</v>
      </c>
    </row>
    <row r="1184" spans="1:68">
      <c r="A1184" s="6">
        <v>44763</v>
      </c>
      <c r="B1184" s="7">
        <v>3141</v>
      </c>
      <c r="C1184" s="8">
        <v>1278.8900000000001</v>
      </c>
      <c r="D1184" s="8">
        <v>225.12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>
        <v>3.73</v>
      </c>
      <c r="R1184" s="11"/>
      <c r="S1184" s="8">
        <v>7.07</v>
      </c>
      <c r="T1184" s="8"/>
      <c r="U1184" s="8">
        <v>22.56</v>
      </c>
      <c r="V1184" s="8"/>
      <c r="W1184" s="8"/>
      <c r="X1184" s="8"/>
      <c r="Y1184" s="8"/>
      <c r="Z1184" s="8"/>
      <c r="AA1184" s="8"/>
      <c r="AB1184" s="8"/>
      <c r="AC1184" s="8">
        <v>6.01</v>
      </c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11"/>
      <c r="AQ1184" s="8"/>
      <c r="AR1184" s="8"/>
      <c r="AS1184" s="8"/>
      <c r="AT1184" s="8">
        <v>1003.79</v>
      </c>
      <c r="AU1184" s="8"/>
      <c r="AV1184" s="8"/>
      <c r="AW1184" s="8"/>
      <c r="AX1184" s="8"/>
      <c r="AY1184" s="8"/>
      <c r="AZ1184" s="8"/>
      <c r="BA1184" s="8">
        <v>34.42</v>
      </c>
      <c r="BB1184" s="8"/>
      <c r="BC1184" s="8"/>
      <c r="BD1184" s="8"/>
      <c r="BE1184" s="8"/>
      <c r="BF1184" s="8">
        <v>105.13</v>
      </c>
      <c r="BG1184" s="8">
        <v>78.03</v>
      </c>
      <c r="BH1184" s="9">
        <f t="shared" si="162"/>
        <v>1504.0100000000002</v>
      </c>
      <c r="BI1184" s="9">
        <f t="shared" si="163"/>
        <v>3.73</v>
      </c>
      <c r="BJ1184" s="9">
        <f t="shared" si="164"/>
        <v>7.07</v>
      </c>
      <c r="BK1184" s="9">
        <f t="shared" si="165"/>
        <v>22.56</v>
      </c>
      <c r="BL1184" s="9">
        <f t="shared" si="166"/>
        <v>0</v>
      </c>
      <c r="BM1184" s="9">
        <f t="shared" si="167"/>
        <v>6.01</v>
      </c>
      <c r="BN1184" s="9">
        <f t="shared" si="168"/>
        <v>1003.79</v>
      </c>
      <c r="BO1184" s="9">
        <f t="shared" si="169"/>
        <v>34.42</v>
      </c>
      <c r="BP1184" s="9">
        <f t="shared" si="170"/>
        <v>105.13</v>
      </c>
    </row>
    <row r="1185" spans="1:68">
      <c r="A1185" s="6">
        <v>44763</v>
      </c>
      <c r="B1185" s="7">
        <v>3307</v>
      </c>
      <c r="C1185" s="8"/>
      <c r="D1185" s="8">
        <v>1889.42</v>
      </c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>
        <v>2.82</v>
      </c>
      <c r="R1185" s="11"/>
      <c r="S1185" s="8">
        <v>13.8</v>
      </c>
      <c r="T1185" s="8"/>
      <c r="U1185" s="8">
        <v>18.920000000000002</v>
      </c>
      <c r="V1185" s="8"/>
      <c r="W1185" s="8"/>
      <c r="X1185" s="8"/>
      <c r="Y1185" s="8"/>
      <c r="Z1185" s="8"/>
      <c r="AA1185" s="8"/>
      <c r="AB1185" s="8"/>
      <c r="AC1185" s="8">
        <v>11.34</v>
      </c>
      <c r="AD1185" s="8"/>
      <c r="AE1185" s="8"/>
      <c r="AF1185" s="8"/>
      <c r="AG1185" s="8">
        <v>18.91</v>
      </c>
      <c r="AH1185" s="8"/>
      <c r="AI1185" s="8"/>
      <c r="AJ1185" s="8"/>
      <c r="AK1185" s="8"/>
      <c r="AL1185" s="8"/>
      <c r="AM1185" s="8"/>
      <c r="AN1185" s="8"/>
      <c r="AO1185" s="8"/>
      <c r="AP1185" s="11"/>
      <c r="AQ1185" s="8"/>
      <c r="AR1185" s="8"/>
      <c r="AS1185" s="8"/>
      <c r="AT1185" s="8"/>
      <c r="AU1185" s="8">
        <v>947.39</v>
      </c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>
        <v>68.06</v>
      </c>
      <c r="BH1185" s="9">
        <f t="shared" si="162"/>
        <v>1889.42</v>
      </c>
      <c r="BI1185" s="9">
        <f t="shared" si="163"/>
        <v>2.82</v>
      </c>
      <c r="BJ1185" s="9">
        <f t="shared" si="164"/>
        <v>13.8</v>
      </c>
      <c r="BK1185" s="9">
        <f t="shared" si="165"/>
        <v>18.920000000000002</v>
      </c>
      <c r="BL1185" s="9">
        <f t="shared" si="166"/>
        <v>0</v>
      </c>
      <c r="BM1185" s="9">
        <f t="shared" si="167"/>
        <v>30.25</v>
      </c>
      <c r="BN1185" s="9">
        <f t="shared" si="168"/>
        <v>947.39</v>
      </c>
      <c r="BO1185" s="9">
        <f t="shared" si="169"/>
        <v>0</v>
      </c>
      <c r="BP1185" s="9">
        <f t="shared" si="170"/>
        <v>0</v>
      </c>
    </row>
    <row r="1186" spans="1:68">
      <c r="A1186" s="6">
        <v>44763</v>
      </c>
      <c r="B1186" s="7">
        <v>8257</v>
      </c>
      <c r="C1186" s="8"/>
      <c r="D1186" s="8">
        <v>887.02</v>
      </c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>
        <v>1.32</v>
      </c>
      <c r="R1186" s="11"/>
      <c r="S1186" s="8">
        <v>5.6</v>
      </c>
      <c r="T1186" s="8"/>
      <c r="U1186" s="8">
        <v>8.8800000000000008</v>
      </c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>
        <v>8.89</v>
      </c>
      <c r="AH1186" s="8"/>
      <c r="AI1186" s="8"/>
      <c r="AJ1186" s="8"/>
      <c r="AK1186" s="8"/>
      <c r="AL1186" s="8"/>
      <c r="AM1186" s="8"/>
      <c r="AN1186" s="8"/>
      <c r="AO1186" s="8"/>
      <c r="AP1186" s="11"/>
      <c r="AQ1186" s="8"/>
      <c r="AR1186" s="8"/>
      <c r="AS1186" s="8"/>
      <c r="AT1186" s="8"/>
      <c r="AU1186" s="8">
        <v>445.97</v>
      </c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>
        <v>31.91</v>
      </c>
      <c r="BH1186" s="9">
        <f t="shared" si="162"/>
        <v>887.02</v>
      </c>
      <c r="BI1186" s="9">
        <f t="shared" si="163"/>
        <v>1.32</v>
      </c>
      <c r="BJ1186" s="9">
        <f t="shared" si="164"/>
        <v>5.6</v>
      </c>
      <c r="BK1186" s="9">
        <f t="shared" si="165"/>
        <v>8.8800000000000008</v>
      </c>
      <c r="BL1186" s="9">
        <f t="shared" si="166"/>
        <v>0</v>
      </c>
      <c r="BM1186" s="9">
        <f t="shared" si="167"/>
        <v>8.89</v>
      </c>
      <c r="BN1186" s="9">
        <f t="shared" si="168"/>
        <v>445.97</v>
      </c>
      <c r="BO1186" s="9">
        <f t="shared" si="169"/>
        <v>0</v>
      </c>
      <c r="BP1186" s="9">
        <f t="shared" si="170"/>
        <v>0</v>
      </c>
    </row>
    <row r="1187" spans="1:68">
      <c r="A1187" s="6">
        <v>44763</v>
      </c>
      <c r="B1187" s="7">
        <v>3118</v>
      </c>
      <c r="C1187" s="8">
        <v>636.47</v>
      </c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>
        <v>1.89</v>
      </c>
      <c r="R1187" s="11"/>
      <c r="S1187" s="8">
        <v>3.38</v>
      </c>
      <c r="T1187" s="8"/>
      <c r="U1187" s="8">
        <v>7.66</v>
      </c>
      <c r="V1187" s="8"/>
      <c r="W1187" s="8"/>
      <c r="X1187" s="8"/>
      <c r="Y1187" s="8"/>
      <c r="Z1187" s="8"/>
      <c r="AA1187" s="8"/>
      <c r="AB1187" s="8"/>
      <c r="AC1187" s="8">
        <v>2.54</v>
      </c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11"/>
      <c r="AQ1187" s="8"/>
      <c r="AR1187" s="8"/>
      <c r="AS1187" s="8"/>
      <c r="AT1187" s="8">
        <v>411.9</v>
      </c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>
        <v>44.64</v>
      </c>
      <c r="BG1187" s="8">
        <v>31.59</v>
      </c>
      <c r="BH1187" s="9">
        <f t="shared" si="162"/>
        <v>636.47</v>
      </c>
      <c r="BI1187" s="9">
        <f t="shared" si="163"/>
        <v>1.89</v>
      </c>
      <c r="BJ1187" s="9">
        <f t="shared" si="164"/>
        <v>3.38</v>
      </c>
      <c r="BK1187" s="9">
        <f t="shared" si="165"/>
        <v>7.66</v>
      </c>
      <c r="BL1187" s="9">
        <f t="shared" si="166"/>
        <v>0</v>
      </c>
      <c r="BM1187" s="9">
        <f t="shared" si="167"/>
        <v>2.54</v>
      </c>
      <c r="BN1187" s="9">
        <f t="shared" si="168"/>
        <v>411.9</v>
      </c>
      <c r="BO1187" s="9">
        <f t="shared" si="169"/>
        <v>0</v>
      </c>
      <c r="BP1187" s="9">
        <f t="shared" si="170"/>
        <v>44.64</v>
      </c>
    </row>
    <row r="1188" spans="1:68">
      <c r="A1188" s="6">
        <v>44763</v>
      </c>
      <c r="B1188" s="7">
        <v>3106</v>
      </c>
      <c r="C1188" s="8">
        <v>6067.27</v>
      </c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>
        <v>15.23</v>
      </c>
      <c r="R1188" s="11"/>
      <c r="S1188" s="8">
        <v>17.559999999999999</v>
      </c>
      <c r="T1188" s="8"/>
      <c r="U1188" s="8">
        <v>77.3</v>
      </c>
      <c r="V1188" s="8"/>
      <c r="W1188" s="8"/>
      <c r="X1188" s="8"/>
      <c r="Y1188" s="8"/>
      <c r="Z1188" s="8"/>
      <c r="AA1188" s="8"/>
      <c r="AB1188" s="8"/>
      <c r="AC1188" s="8">
        <v>15.19</v>
      </c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11"/>
      <c r="AQ1188" s="8"/>
      <c r="AR1188" s="8"/>
      <c r="AS1188" s="8"/>
      <c r="AT1188" s="8">
        <v>3478.11</v>
      </c>
      <c r="AU1188" s="8"/>
      <c r="AV1188" s="8"/>
      <c r="AW1188" s="8"/>
      <c r="AX1188" s="8">
        <v>7.6</v>
      </c>
      <c r="AY1188" s="8"/>
      <c r="AZ1188" s="8"/>
      <c r="BA1188" s="8"/>
      <c r="BB1188" s="8"/>
      <c r="BC1188" s="8"/>
      <c r="BD1188" s="8"/>
      <c r="BE1188" s="8"/>
      <c r="BF1188" s="8"/>
      <c r="BG1188" s="8">
        <v>261.05</v>
      </c>
      <c r="BH1188" s="9">
        <f t="shared" si="162"/>
        <v>6067.27</v>
      </c>
      <c r="BI1188" s="9">
        <f t="shared" si="163"/>
        <v>15.23</v>
      </c>
      <c r="BJ1188" s="9">
        <f t="shared" si="164"/>
        <v>17.559999999999999</v>
      </c>
      <c r="BK1188" s="9">
        <f t="shared" si="165"/>
        <v>77.3</v>
      </c>
      <c r="BL1188" s="9">
        <f t="shared" si="166"/>
        <v>0</v>
      </c>
      <c r="BM1188" s="9">
        <f t="shared" si="167"/>
        <v>15.19</v>
      </c>
      <c r="BN1188" s="9">
        <f t="shared" si="168"/>
        <v>3478.11</v>
      </c>
      <c r="BO1188" s="9">
        <f t="shared" si="169"/>
        <v>7.6</v>
      </c>
      <c r="BP1188" s="9">
        <f t="shared" si="170"/>
        <v>0</v>
      </c>
    </row>
    <row r="1189" spans="1:68">
      <c r="A1189" s="6">
        <v>44764</v>
      </c>
      <c r="B1189" s="7">
        <v>3302</v>
      </c>
      <c r="C1189" s="8"/>
      <c r="D1189" s="8">
        <v>672.81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>
        <v>1.03</v>
      </c>
      <c r="R1189" s="11"/>
      <c r="S1189" s="8">
        <v>5.07</v>
      </c>
      <c r="T1189" s="8"/>
      <c r="U1189" s="8">
        <v>6.78</v>
      </c>
      <c r="V1189" s="8"/>
      <c r="W1189" s="8"/>
      <c r="X1189" s="8"/>
      <c r="Y1189" s="8"/>
      <c r="Z1189" s="8"/>
      <c r="AA1189" s="8"/>
      <c r="AB1189" s="8"/>
      <c r="AC1189" s="8">
        <v>4.05</v>
      </c>
      <c r="AD1189" s="8"/>
      <c r="AE1189" s="8"/>
      <c r="AF1189" s="8"/>
      <c r="AG1189" s="8">
        <v>6.82</v>
      </c>
      <c r="AH1189" s="8"/>
      <c r="AI1189" s="8"/>
      <c r="AJ1189" s="8"/>
      <c r="AK1189" s="8"/>
      <c r="AL1189" s="8"/>
      <c r="AM1189" s="8"/>
      <c r="AN1189" s="8"/>
      <c r="AO1189" s="8"/>
      <c r="AP1189" s="11"/>
      <c r="AQ1189" s="8"/>
      <c r="AR1189" s="8"/>
      <c r="AS1189" s="8"/>
      <c r="AT1189" s="8"/>
      <c r="AU1189" s="8">
        <v>339.09</v>
      </c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>
        <v>24.34</v>
      </c>
      <c r="BH1189" s="9">
        <f t="shared" si="162"/>
        <v>672.81</v>
      </c>
      <c r="BI1189" s="9">
        <f t="shared" si="163"/>
        <v>1.03</v>
      </c>
      <c r="BJ1189" s="9">
        <f t="shared" si="164"/>
        <v>5.07</v>
      </c>
      <c r="BK1189" s="9">
        <f t="shared" si="165"/>
        <v>6.78</v>
      </c>
      <c r="BL1189" s="9">
        <f t="shared" si="166"/>
        <v>0</v>
      </c>
      <c r="BM1189" s="9">
        <f t="shared" si="167"/>
        <v>10.870000000000001</v>
      </c>
      <c r="BN1189" s="9">
        <f t="shared" si="168"/>
        <v>339.09</v>
      </c>
      <c r="BO1189" s="9">
        <f t="shared" si="169"/>
        <v>0</v>
      </c>
      <c r="BP1189" s="9">
        <f t="shared" si="170"/>
        <v>0</v>
      </c>
    </row>
    <row r="1190" spans="1:68">
      <c r="A1190" s="6">
        <v>44764</v>
      </c>
      <c r="B1190" s="7">
        <v>3028</v>
      </c>
      <c r="C1190" s="8"/>
      <c r="D1190" s="8">
        <v>790.36</v>
      </c>
      <c r="E1190" s="8"/>
      <c r="F1190" s="8">
        <v>722.99</v>
      </c>
      <c r="G1190" s="8"/>
      <c r="H1190" s="8"/>
      <c r="I1190" s="8">
        <v>1631.08</v>
      </c>
      <c r="J1190" s="8"/>
      <c r="K1190" s="8"/>
      <c r="L1190" s="8"/>
      <c r="M1190" s="8"/>
      <c r="N1190" s="8">
        <v>23.54</v>
      </c>
      <c r="O1190" s="8"/>
      <c r="P1190" s="8"/>
      <c r="Q1190" s="8"/>
      <c r="R1190" s="11"/>
      <c r="S1190" s="8">
        <v>4.4000000000000004</v>
      </c>
      <c r="T1190" s="8"/>
      <c r="U1190" s="8"/>
      <c r="V1190" s="8"/>
      <c r="W1190" s="8">
        <v>23.57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>
        <v>21.934000000000001</v>
      </c>
      <c r="AO1190" s="8"/>
      <c r="AP1190" s="11"/>
      <c r="AQ1190" s="8"/>
      <c r="AR1190" s="8"/>
      <c r="AS1190" s="8">
        <v>103.854</v>
      </c>
      <c r="AT1190" s="8">
        <v>1048.03</v>
      </c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>
        <v>71.3</v>
      </c>
      <c r="BH1190" s="9">
        <f t="shared" si="162"/>
        <v>3144.43</v>
      </c>
      <c r="BI1190" s="9">
        <f t="shared" si="163"/>
        <v>23.54</v>
      </c>
      <c r="BJ1190" s="9">
        <f t="shared" si="164"/>
        <v>4.4000000000000004</v>
      </c>
      <c r="BK1190" s="9">
        <f t="shared" si="165"/>
        <v>23.57</v>
      </c>
      <c r="BL1190" s="9">
        <f t="shared" si="166"/>
        <v>0</v>
      </c>
      <c r="BM1190" s="9">
        <f t="shared" si="167"/>
        <v>125.788</v>
      </c>
      <c r="BN1190" s="9">
        <f t="shared" si="168"/>
        <v>1048.03</v>
      </c>
      <c r="BO1190" s="9">
        <f t="shared" si="169"/>
        <v>0</v>
      </c>
      <c r="BP1190" s="9">
        <f t="shared" si="170"/>
        <v>0</v>
      </c>
    </row>
    <row r="1191" spans="1:68">
      <c r="A1191" s="6">
        <v>44764</v>
      </c>
      <c r="B1191" s="7">
        <v>3022</v>
      </c>
      <c r="C1191" s="8"/>
      <c r="D1191" s="8">
        <v>558.80999999999995</v>
      </c>
      <c r="E1191" s="8"/>
      <c r="F1191" s="8"/>
      <c r="G1191" s="8"/>
      <c r="H1191" s="8"/>
      <c r="I1191" s="8">
        <v>457.34</v>
      </c>
      <c r="J1191" s="8"/>
      <c r="K1191" s="8"/>
      <c r="L1191" s="8"/>
      <c r="M1191" s="8"/>
      <c r="N1191" s="8">
        <v>5.09</v>
      </c>
      <c r="O1191" s="8"/>
      <c r="P1191" s="8"/>
      <c r="Q1191" s="8"/>
      <c r="R1191" s="11"/>
      <c r="S1191" s="8">
        <v>1.83</v>
      </c>
      <c r="T1191" s="8"/>
      <c r="U1191" s="8"/>
      <c r="V1191" s="8"/>
      <c r="W1191" s="8">
        <v>10.16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>
        <v>13.18</v>
      </c>
      <c r="AN1191" s="8"/>
      <c r="AO1191" s="8"/>
      <c r="AP1191" s="11"/>
      <c r="AQ1191" s="8"/>
      <c r="AR1191" s="8"/>
      <c r="AS1191" s="8">
        <v>35.581000000000003</v>
      </c>
      <c r="AT1191" s="8">
        <v>474.97</v>
      </c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>
        <v>36.56</v>
      </c>
      <c r="BH1191" s="9">
        <f t="shared" si="162"/>
        <v>1016.1499999999999</v>
      </c>
      <c r="BI1191" s="9">
        <f t="shared" si="163"/>
        <v>5.09</v>
      </c>
      <c r="BJ1191" s="9">
        <f t="shared" si="164"/>
        <v>1.83</v>
      </c>
      <c r="BK1191" s="9">
        <f t="shared" si="165"/>
        <v>10.16</v>
      </c>
      <c r="BL1191" s="9">
        <f t="shared" si="166"/>
        <v>0</v>
      </c>
      <c r="BM1191" s="9">
        <f t="shared" si="167"/>
        <v>48.761000000000003</v>
      </c>
      <c r="BN1191" s="9">
        <f t="shared" si="168"/>
        <v>474.97</v>
      </c>
      <c r="BO1191" s="9">
        <f t="shared" si="169"/>
        <v>0</v>
      </c>
      <c r="BP1191" s="9">
        <f t="shared" si="170"/>
        <v>0</v>
      </c>
    </row>
    <row r="1192" spans="1:68">
      <c r="A1192" s="6">
        <v>44764</v>
      </c>
      <c r="B1192" s="7">
        <v>3083</v>
      </c>
      <c r="C1192" s="8"/>
      <c r="D1192" s="8">
        <v>1073.6400000000001</v>
      </c>
      <c r="E1192" s="8"/>
      <c r="F1192" s="8"/>
      <c r="G1192" s="8"/>
      <c r="H1192" s="8"/>
      <c r="I1192" s="8">
        <v>2508.71</v>
      </c>
      <c r="J1192" s="8"/>
      <c r="K1192" s="8"/>
      <c r="L1192" s="8"/>
      <c r="M1192" s="8"/>
      <c r="N1192" s="8">
        <v>24.73</v>
      </c>
      <c r="O1192" s="8"/>
      <c r="P1192" s="8"/>
      <c r="Q1192" s="8"/>
      <c r="R1192" s="11"/>
      <c r="S1192" s="8">
        <v>2.5099999999999998</v>
      </c>
      <c r="T1192" s="8"/>
      <c r="U1192" s="8"/>
      <c r="V1192" s="8"/>
      <c r="W1192" s="8">
        <v>28.69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>
        <v>14.35</v>
      </c>
      <c r="AN1192" s="8">
        <v>50.073</v>
      </c>
      <c r="AO1192" s="8"/>
      <c r="AP1192" s="11"/>
      <c r="AQ1192" s="8"/>
      <c r="AR1192" s="8">
        <v>90.826999999999998</v>
      </c>
      <c r="AS1192" s="8"/>
      <c r="AT1192" s="8">
        <v>1628.27</v>
      </c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>
        <v>127.89</v>
      </c>
      <c r="BH1192" s="9">
        <f t="shared" si="162"/>
        <v>3582.3500000000004</v>
      </c>
      <c r="BI1192" s="9">
        <f t="shared" si="163"/>
        <v>24.73</v>
      </c>
      <c r="BJ1192" s="9">
        <f t="shared" si="164"/>
        <v>2.5099999999999998</v>
      </c>
      <c r="BK1192" s="9">
        <f t="shared" si="165"/>
        <v>28.69</v>
      </c>
      <c r="BL1192" s="9">
        <f t="shared" si="166"/>
        <v>0</v>
      </c>
      <c r="BM1192" s="9">
        <f t="shared" si="167"/>
        <v>155.25</v>
      </c>
      <c r="BN1192" s="9">
        <f t="shared" si="168"/>
        <v>1628.27</v>
      </c>
      <c r="BO1192" s="9">
        <f t="shared" si="169"/>
        <v>0</v>
      </c>
      <c r="BP1192" s="9">
        <f t="shared" si="170"/>
        <v>0</v>
      </c>
    </row>
    <row r="1193" spans="1:68">
      <c r="A1193" s="6">
        <v>44764</v>
      </c>
      <c r="B1193" s="7">
        <v>3020</v>
      </c>
      <c r="C1193" s="8"/>
      <c r="D1193" s="8">
        <v>170.51</v>
      </c>
      <c r="E1193" s="8"/>
      <c r="F1193" s="8"/>
      <c r="G1193" s="8"/>
      <c r="H1193" s="8"/>
      <c r="I1193" s="8">
        <v>966.44</v>
      </c>
      <c r="J1193" s="8"/>
      <c r="K1193" s="8"/>
      <c r="L1193" s="8"/>
      <c r="M1193" s="8"/>
      <c r="N1193" s="8">
        <v>6.8</v>
      </c>
      <c r="O1193" s="8"/>
      <c r="P1193" s="8"/>
      <c r="Q1193" s="8"/>
      <c r="R1193" s="11"/>
      <c r="S1193" s="8">
        <v>2.04</v>
      </c>
      <c r="T1193" s="8"/>
      <c r="U1193" s="8"/>
      <c r="V1193" s="8"/>
      <c r="W1193" s="8">
        <v>11.37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>
        <v>11.36</v>
      </c>
      <c r="AN1193" s="8"/>
      <c r="AO1193" s="8"/>
      <c r="AP1193" s="11"/>
      <c r="AQ1193" s="8"/>
      <c r="AR1193" s="8"/>
      <c r="AS1193" s="8">
        <v>28.491</v>
      </c>
      <c r="AT1193" s="8">
        <v>556.46</v>
      </c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>
        <v>40.79</v>
      </c>
      <c r="BH1193" s="9">
        <f t="shared" si="162"/>
        <v>1136.95</v>
      </c>
      <c r="BI1193" s="9">
        <f t="shared" si="163"/>
        <v>6.8</v>
      </c>
      <c r="BJ1193" s="9">
        <f t="shared" si="164"/>
        <v>2.04</v>
      </c>
      <c r="BK1193" s="9">
        <f t="shared" si="165"/>
        <v>11.37</v>
      </c>
      <c r="BL1193" s="9">
        <f t="shared" si="166"/>
        <v>0</v>
      </c>
      <c r="BM1193" s="9">
        <f t="shared" si="167"/>
        <v>39.850999999999999</v>
      </c>
      <c r="BN1193" s="9">
        <f t="shared" si="168"/>
        <v>556.46</v>
      </c>
      <c r="BO1193" s="9">
        <f t="shared" si="169"/>
        <v>0</v>
      </c>
      <c r="BP1193" s="9">
        <f t="shared" si="170"/>
        <v>0</v>
      </c>
    </row>
    <row r="1194" spans="1:68">
      <c r="A1194" s="6">
        <v>44764</v>
      </c>
      <c r="B1194" s="7">
        <v>3139</v>
      </c>
      <c r="C1194" s="8">
        <v>864.2</v>
      </c>
      <c r="D1194" s="8"/>
      <c r="E1194" s="8"/>
      <c r="F1194" s="8"/>
      <c r="G1194" s="8"/>
      <c r="H1194" s="8">
        <v>358.35</v>
      </c>
      <c r="I1194" s="8"/>
      <c r="J1194" s="8"/>
      <c r="K1194" s="8"/>
      <c r="L1194" s="8"/>
      <c r="M1194" s="8"/>
      <c r="N1194" s="8"/>
      <c r="O1194" s="8"/>
      <c r="P1194" s="8"/>
      <c r="Q1194" s="8">
        <v>2.04</v>
      </c>
      <c r="R1194" s="11"/>
      <c r="S1194" s="8">
        <v>3.63</v>
      </c>
      <c r="T1194" s="8"/>
      <c r="U1194" s="8">
        <v>12.78</v>
      </c>
      <c r="V1194" s="8"/>
      <c r="W1194" s="8"/>
      <c r="X1194" s="8"/>
      <c r="Y1194" s="8"/>
      <c r="Z1194" s="8"/>
      <c r="AA1194" s="8"/>
      <c r="AB1194" s="8"/>
      <c r="AC1194" s="8">
        <v>4.26</v>
      </c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11"/>
      <c r="AQ1194" s="8"/>
      <c r="AR1194" s="8"/>
      <c r="AS1194" s="8"/>
      <c r="AT1194" s="8">
        <v>632.63</v>
      </c>
      <c r="AU1194" s="8"/>
      <c r="AV1194" s="8">
        <v>21.26</v>
      </c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>
        <v>45.8</v>
      </c>
      <c r="BH1194" s="9">
        <f t="shared" si="162"/>
        <v>1222.5500000000002</v>
      </c>
      <c r="BI1194" s="9">
        <f t="shared" si="163"/>
        <v>2.04</v>
      </c>
      <c r="BJ1194" s="9">
        <f t="shared" si="164"/>
        <v>3.63</v>
      </c>
      <c r="BK1194" s="9">
        <f t="shared" si="165"/>
        <v>12.78</v>
      </c>
      <c r="BL1194" s="9">
        <f t="shared" si="166"/>
        <v>0</v>
      </c>
      <c r="BM1194" s="9">
        <f t="shared" si="167"/>
        <v>4.26</v>
      </c>
      <c r="BN1194" s="9">
        <f t="shared" si="168"/>
        <v>632.63</v>
      </c>
      <c r="BO1194" s="9">
        <f t="shared" si="169"/>
        <v>21.26</v>
      </c>
      <c r="BP1194" s="9">
        <f t="shared" si="170"/>
        <v>0</v>
      </c>
    </row>
    <row r="1195" spans="1:68">
      <c r="A1195" s="6">
        <v>44764</v>
      </c>
      <c r="B1195" s="7">
        <v>3023</v>
      </c>
      <c r="C1195" s="8"/>
      <c r="D1195" s="8">
        <v>1665.03</v>
      </c>
      <c r="E1195" s="8"/>
      <c r="F1195" s="8"/>
      <c r="G1195" s="8"/>
      <c r="H1195" s="8"/>
      <c r="I1195" s="8">
        <v>896.91</v>
      </c>
      <c r="J1195" s="8"/>
      <c r="K1195" s="8"/>
      <c r="L1195" s="8"/>
      <c r="M1195" s="8"/>
      <c r="N1195" s="8">
        <v>14.36</v>
      </c>
      <c r="O1195" s="8"/>
      <c r="P1195" s="8"/>
      <c r="Q1195" s="8"/>
      <c r="R1195" s="11"/>
      <c r="S1195" s="8">
        <v>4.12</v>
      </c>
      <c r="T1195" s="8"/>
      <c r="U1195" s="8"/>
      <c r="V1195" s="8"/>
      <c r="W1195" s="8">
        <v>23.08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>
        <v>25.64</v>
      </c>
      <c r="AN1195" s="8">
        <v>17.696999999999999</v>
      </c>
      <c r="AO1195" s="8"/>
      <c r="AP1195" s="11"/>
      <c r="AQ1195" s="8"/>
      <c r="AR1195" s="8"/>
      <c r="AS1195" s="8">
        <v>83.007000000000005</v>
      </c>
      <c r="AT1195" s="8">
        <v>1050.3699999999999</v>
      </c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>
        <v>79.430000000000007</v>
      </c>
      <c r="BH1195" s="9">
        <f t="shared" si="162"/>
        <v>2561.94</v>
      </c>
      <c r="BI1195" s="9">
        <f t="shared" si="163"/>
        <v>14.36</v>
      </c>
      <c r="BJ1195" s="9">
        <f t="shared" si="164"/>
        <v>4.12</v>
      </c>
      <c r="BK1195" s="9">
        <f t="shared" si="165"/>
        <v>23.08</v>
      </c>
      <c r="BL1195" s="9">
        <f t="shared" si="166"/>
        <v>0</v>
      </c>
      <c r="BM1195" s="9">
        <f t="shared" si="167"/>
        <v>126.34400000000001</v>
      </c>
      <c r="BN1195" s="9">
        <f t="shared" si="168"/>
        <v>1050.3699999999999</v>
      </c>
      <c r="BO1195" s="9">
        <f t="shared" si="169"/>
        <v>0</v>
      </c>
      <c r="BP1195" s="9">
        <f t="shared" si="170"/>
        <v>0</v>
      </c>
    </row>
    <row r="1196" spans="1:68">
      <c r="A1196" s="6">
        <v>44767</v>
      </c>
      <c r="B1196" s="7">
        <v>3433</v>
      </c>
      <c r="C1196" s="8">
        <v>668.97</v>
      </c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>
        <v>1.43</v>
      </c>
      <c r="R1196" s="11"/>
      <c r="S1196" s="8">
        <v>2.68</v>
      </c>
      <c r="T1196" s="8"/>
      <c r="U1196" s="8"/>
      <c r="V1196" s="8"/>
      <c r="W1196" s="8"/>
      <c r="X1196" s="8">
        <v>6.6580000000000004</v>
      </c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11"/>
      <c r="AQ1196" s="8"/>
      <c r="AR1196" s="8"/>
      <c r="AS1196" s="8"/>
      <c r="AT1196" s="8">
        <v>305.37</v>
      </c>
      <c r="AU1196" s="8"/>
      <c r="AV1196" s="8"/>
      <c r="AW1196" s="8"/>
      <c r="AX1196" s="8"/>
      <c r="AY1196" s="8"/>
      <c r="AZ1196" s="8"/>
      <c r="BA1196" s="8">
        <v>3.01</v>
      </c>
      <c r="BB1196" s="8"/>
      <c r="BC1196" s="8"/>
      <c r="BD1196" s="8"/>
      <c r="BE1196" s="8"/>
      <c r="BF1196" s="8">
        <v>33.51</v>
      </c>
      <c r="BG1196" s="8">
        <v>22.7</v>
      </c>
      <c r="BH1196" s="9">
        <f t="shared" si="162"/>
        <v>668.97</v>
      </c>
      <c r="BI1196" s="9">
        <f t="shared" si="163"/>
        <v>1.43</v>
      </c>
      <c r="BJ1196" s="9">
        <f t="shared" si="164"/>
        <v>2.68</v>
      </c>
      <c r="BK1196" s="9">
        <f t="shared" si="165"/>
        <v>6.6580000000000004</v>
      </c>
      <c r="BL1196" s="9">
        <f t="shared" si="166"/>
        <v>0</v>
      </c>
      <c r="BM1196" s="9">
        <f t="shared" si="167"/>
        <v>0</v>
      </c>
      <c r="BN1196" s="9">
        <f t="shared" si="168"/>
        <v>305.37</v>
      </c>
      <c r="BO1196" s="9">
        <f t="shared" si="169"/>
        <v>3.01</v>
      </c>
      <c r="BP1196" s="9">
        <f t="shared" si="170"/>
        <v>33.51</v>
      </c>
    </row>
    <row r="1197" spans="1:68">
      <c r="A1197" s="6">
        <v>44767</v>
      </c>
      <c r="B1197" s="7">
        <v>3200</v>
      </c>
      <c r="C1197" s="8">
        <v>2267.12</v>
      </c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>
        <v>5.68</v>
      </c>
      <c r="P1197" s="8"/>
      <c r="Q1197" s="8"/>
      <c r="R1197" s="11"/>
      <c r="S1197" s="8">
        <v>8.8699999999999992</v>
      </c>
      <c r="T1197" s="8"/>
      <c r="U1197" s="8">
        <v>34.090000000000003</v>
      </c>
      <c r="V1197" s="8"/>
      <c r="W1197" s="8"/>
      <c r="X1197" s="8"/>
      <c r="Y1197" s="8"/>
      <c r="Z1197" s="8">
        <v>477.61</v>
      </c>
      <c r="AA1197" s="8"/>
      <c r="AB1197" s="8"/>
      <c r="AC1197" s="8"/>
      <c r="AD1197" s="8"/>
      <c r="AE1197" s="8"/>
      <c r="AF1197" s="8">
        <v>113.61</v>
      </c>
      <c r="AG1197" s="8"/>
      <c r="AH1197" s="8"/>
      <c r="AI1197" s="8"/>
      <c r="AJ1197" s="8"/>
      <c r="AK1197" s="8"/>
      <c r="AL1197" s="8"/>
      <c r="AM1197" s="8"/>
      <c r="AN1197" s="8"/>
      <c r="AO1197" s="8"/>
      <c r="AP1197" s="11"/>
      <c r="AQ1197" s="8">
        <v>34.366999999999997</v>
      </c>
      <c r="AR1197" s="8"/>
      <c r="AS1197" s="8"/>
      <c r="AT1197" s="8">
        <v>1557.03</v>
      </c>
      <c r="AU1197" s="8"/>
      <c r="AV1197" s="8"/>
      <c r="AW1197" s="8">
        <v>6.57</v>
      </c>
      <c r="AX1197" s="8"/>
      <c r="AY1197" s="8"/>
      <c r="AZ1197" s="8"/>
      <c r="BA1197" s="8"/>
      <c r="BB1197" s="8"/>
      <c r="BC1197" s="8"/>
      <c r="BD1197" s="8"/>
      <c r="BE1197" s="8"/>
      <c r="BF1197" s="8">
        <v>109.14</v>
      </c>
      <c r="BG1197" s="8">
        <v>112.48</v>
      </c>
      <c r="BH1197" s="9">
        <f t="shared" si="162"/>
        <v>2267.12</v>
      </c>
      <c r="BI1197" s="9">
        <f t="shared" si="163"/>
        <v>5.68</v>
      </c>
      <c r="BJ1197" s="9">
        <f t="shared" si="164"/>
        <v>8.8699999999999992</v>
      </c>
      <c r="BK1197" s="9">
        <f t="shared" si="165"/>
        <v>34.090000000000003</v>
      </c>
      <c r="BL1197" s="9">
        <f t="shared" si="166"/>
        <v>477.61</v>
      </c>
      <c r="BM1197" s="9">
        <f t="shared" si="167"/>
        <v>147.977</v>
      </c>
      <c r="BN1197" s="9">
        <f t="shared" si="168"/>
        <v>1557.03</v>
      </c>
      <c r="BO1197" s="9">
        <f t="shared" si="169"/>
        <v>6.57</v>
      </c>
      <c r="BP1197" s="9">
        <f t="shared" si="170"/>
        <v>109.14</v>
      </c>
    </row>
    <row r="1198" spans="1:68">
      <c r="A1198" s="6">
        <v>44767</v>
      </c>
      <c r="B1198" s="7">
        <v>3029</v>
      </c>
      <c r="C1198" s="8"/>
      <c r="D1198" s="8">
        <v>676.3</v>
      </c>
      <c r="E1198" s="8"/>
      <c r="F1198" s="8">
        <v>477.67</v>
      </c>
      <c r="G1198" s="8"/>
      <c r="H1198" s="8"/>
      <c r="I1198" s="8">
        <v>2823.54</v>
      </c>
      <c r="J1198" s="8"/>
      <c r="K1198" s="8"/>
      <c r="L1198" s="8"/>
      <c r="M1198" s="8"/>
      <c r="N1198" s="8">
        <v>30.65</v>
      </c>
      <c r="O1198" s="8"/>
      <c r="P1198" s="8"/>
      <c r="Q1198" s="8"/>
      <c r="R1198" s="11"/>
      <c r="S1198" s="8">
        <v>2.38</v>
      </c>
      <c r="T1198" s="8"/>
      <c r="U1198" s="8"/>
      <c r="V1198" s="8"/>
      <c r="W1198" s="8">
        <v>39.81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>
        <v>13.92</v>
      </c>
      <c r="AN1198" s="8">
        <v>20.454000000000001</v>
      </c>
      <c r="AO1198" s="8"/>
      <c r="AP1198" s="11"/>
      <c r="AQ1198" s="8"/>
      <c r="AR1198" s="8">
        <v>121.905</v>
      </c>
      <c r="AS1198" s="8"/>
      <c r="AT1198" s="8">
        <v>1510.76</v>
      </c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>
        <v>105.3</v>
      </c>
      <c r="BH1198" s="9">
        <f t="shared" si="162"/>
        <v>3977.51</v>
      </c>
      <c r="BI1198" s="9">
        <f t="shared" si="163"/>
        <v>30.65</v>
      </c>
      <c r="BJ1198" s="9">
        <f t="shared" si="164"/>
        <v>2.38</v>
      </c>
      <c r="BK1198" s="9">
        <f t="shared" si="165"/>
        <v>39.81</v>
      </c>
      <c r="BL1198" s="9">
        <f t="shared" si="166"/>
        <v>0</v>
      </c>
      <c r="BM1198" s="9">
        <f t="shared" si="167"/>
        <v>156.279</v>
      </c>
      <c r="BN1198" s="9">
        <f t="shared" si="168"/>
        <v>1510.76</v>
      </c>
      <c r="BO1198" s="9">
        <f t="shared" si="169"/>
        <v>0</v>
      </c>
      <c r="BP1198" s="9">
        <f t="shared" si="170"/>
        <v>0</v>
      </c>
    </row>
    <row r="1199" spans="1:68">
      <c r="A1199" s="6">
        <v>44767</v>
      </c>
      <c r="B1199" s="7">
        <v>3141</v>
      </c>
      <c r="C1199" s="8">
        <v>3563.17</v>
      </c>
      <c r="D1199" s="8">
        <v>629.04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>
        <v>10.54</v>
      </c>
      <c r="R1199" s="11"/>
      <c r="S1199" s="8">
        <v>19.73</v>
      </c>
      <c r="T1199" s="8"/>
      <c r="U1199" s="8">
        <v>62.96</v>
      </c>
      <c r="V1199" s="8"/>
      <c r="W1199" s="8"/>
      <c r="X1199" s="8"/>
      <c r="Y1199" s="8"/>
      <c r="Z1199" s="8"/>
      <c r="AA1199" s="8"/>
      <c r="AB1199" s="8"/>
      <c r="AC1199" s="8">
        <v>16.78</v>
      </c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11"/>
      <c r="AQ1199" s="8"/>
      <c r="AR1199" s="8"/>
      <c r="AS1199" s="8"/>
      <c r="AT1199" s="8">
        <v>1787.22</v>
      </c>
      <c r="AU1199" s="8"/>
      <c r="AV1199" s="8"/>
      <c r="AW1199" s="8"/>
      <c r="AX1199" s="8"/>
      <c r="AY1199" s="8"/>
      <c r="AZ1199" s="8"/>
      <c r="BA1199" s="8">
        <v>96.09</v>
      </c>
      <c r="BB1199" s="8"/>
      <c r="BC1199" s="8"/>
      <c r="BD1199" s="8"/>
      <c r="BE1199" s="8"/>
      <c r="BF1199" s="8">
        <v>293.72000000000003</v>
      </c>
      <c r="BG1199" s="8">
        <v>218.64</v>
      </c>
      <c r="BH1199" s="9">
        <f t="shared" si="162"/>
        <v>4192.21</v>
      </c>
      <c r="BI1199" s="9">
        <f t="shared" si="163"/>
        <v>10.54</v>
      </c>
      <c r="BJ1199" s="9">
        <f t="shared" si="164"/>
        <v>19.73</v>
      </c>
      <c r="BK1199" s="9">
        <f t="shared" si="165"/>
        <v>62.96</v>
      </c>
      <c r="BL1199" s="9">
        <f t="shared" si="166"/>
        <v>0</v>
      </c>
      <c r="BM1199" s="9">
        <f t="shared" si="167"/>
        <v>16.78</v>
      </c>
      <c r="BN1199" s="9">
        <f t="shared" si="168"/>
        <v>1787.22</v>
      </c>
      <c r="BO1199" s="9">
        <f t="shared" si="169"/>
        <v>96.09</v>
      </c>
      <c r="BP1199" s="9">
        <f t="shared" si="170"/>
        <v>293.72000000000003</v>
      </c>
    </row>
    <row r="1200" spans="1:68">
      <c r="A1200" s="6">
        <v>44767</v>
      </c>
      <c r="B1200" s="7">
        <v>3121</v>
      </c>
      <c r="C1200" s="8">
        <v>1884.12</v>
      </c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>
        <v>4.71</v>
      </c>
      <c r="R1200" s="11"/>
      <c r="S1200" s="8">
        <v>6.41</v>
      </c>
      <c r="T1200" s="8"/>
      <c r="U1200" s="8">
        <v>18.86</v>
      </c>
      <c r="V1200" s="8"/>
      <c r="W1200" s="8"/>
      <c r="X1200" s="8"/>
      <c r="Y1200" s="8"/>
      <c r="Z1200" s="8"/>
      <c r="AA1200" s="8"/>
      <c r="AB1200" s="8"/>
      <c r="AC1200" s="8">
        <v>7.54</v>
      </c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11"/>
      <c r="AQ1200" s="8">
        <v>19.055</v>
      </c>
      <c r="AR1200" s="8"/>
      <c r="AS1200" s="8"/>
      <c r="AT1200" s="8">
        <v>1003.75</v>
      </c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>
        <v>73.260000000000005</v>
      </c>
      <c r="BH1200" s="9">
        <f t="shared" si="162"/>
        <v>1884.12</v>
      </c>
      <c r="BI1200" s="9">
        <f t="shared" si="163"/>
        <v>4.71</v>
      </c>
      <c r="BJ1200" s="9">
        <f t="shared" si="164"/>
        <v>6.41</v>
      </c>
      <c r="BK1200" s="9">
        <f t="shared" si="165"/>
        <v>18.86</v>
      </c>
      <c r="BL1200" s="9">
        <f t="shared" si="166"/>
        <v>0</v>
      </c>
      <c r="BM1200" s="9">
        <f t="shared" si="167"/>
        <v>26.594999999999999</v>
      </c>
      <c r="BN1200" s="9">
        <f t="shared" si="168"/>
        <v>1003.75</v>
      </c>
      <c r="BO1200" s="9">
        <f t="shared" si="169"/>
        <v>0</v>
      </c>
      <c r="BP1200" s="9">
        <f t="shared" si="170"/>
        <v>0</v>
      </c>
    </row>
    <row r="1201" spans="1:68">
      <c r="A1201" s="6">
        <v>44767</v>
      </c>
      <c r="B1201" s="7">
        <v>3108</v>
      </c>
      <c r="C1201" s="8">
        <v>2277.2399999999998</v>
      </c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>
        <v>5.1100000000000003</v>
      </c>
      <c r="R1201" s="11"/>
      <c r="S1201" s="8">
        <v>7.35</v>
      </c>
      <c r="T1201" s="8"/>
      <c r="U1201" s="8">
        <v>28.93</v>
      </c>
      <c r="V1201" s="8"/>
      <c r="W1201" s="8"/>
      <c r="X1201" s="8"/>
      <c r="Y1201" s="8"/>
      <c r="Z1201" s="8"/>
      <c r="AA1201" s="8"/>
      <c r="AB1201" s="8"/>
      <c r="AC1201" s="8">
        <v>9.11</v>
      </c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11"/>
      <c r="AQ1201" s="8"/>
      <c r="AR1201" s="8"/>
      <c r="AS1201" s="8"/>
      <c r="AT1201" s="8">
        <v>1242.93</v>
      </c>
      <c r="AU1201" s="8"/>
      <c r="AV1201" s="8"/>
      <c r="AW1201" s="8"/>
      <c r="AX1201" s="8"/>
      <c r="AY1201" s="8"/>
      <c r="AZ1201" s="8"/>
      <c r="BA1201" s="8">
        <v>84.75</v>
      </c>
      <c r="BB1201" s="8"/>
      <c r="BC1201" s="8"/>
      <c r="BD1201" s="8"/>
      <c r="BE1201" s="8"/>
      <c r="BF1201" s="8"/>
      <c r="BG1201" s="8">
        <v>92.41</v>
      </c>
      <c r="BH1201" s="9">
        <f t="shared" si="162"/>
        <v>2277.2399999999998</v>
      </c>
      <c r="BI1201" s="9">
        <f t="shared" si="163"/>
        <v>5.1100000000000003</v>
      </c>
      <c r="BJ1201" s="9">
        <f t="shared" si="164"/>
        <v>7.35</v>
      </c>
      <c r="BK1201" s="9">
        <f t="shared" si="165"/>
        <v>28.93</v>
      </c>
      <c r="BL1201" s="9">
        <f t="shared" si="166"/>
        <v>0</v>
      </c>
      <c r="BM1201" s="9">
        <f t="shared" si="167"/>
        <v>9.11</v>
      </c>
      <c r="BN1201" s="9">
        <f t="shared" si="168"/>
        <v>1242.93</v>
      </c>
      <c r="BO1201" s="9">
        <f t="shared" si="169"/>
        <v>84.75</v>
      </c>
      <c r="BP1201" s="9">
        <f t="shared" si="170"/>
        <v>0</v>
      </c>
    </row>
    <row r="1202" spans="1:68">
      <c r="A1202" s="6">
        <v>44767</v>
      </c>
      <c r="B1202" s="7">
        <v>3127</v>
      </c>
      <c r="C1202" s="8">
        <v>1069.1099999999999</v>
      </c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>
        <v>3.2</v>
      </c>
      <c r="R1202" s="11"/>
      <c r="S1202" s="8">
        <v>5.17</v>
      </c>
      <c r="T1202" s="8"/>
      <c r="U1202" s="8">
        <v>10.72</v>
      </c>
      <c r="V1202" s="8"/>
      <c r="W1202" s="8"/>
      <c r="X1202" s="8"/>
      <c r="Y1202" s="8"/>
      <c r="Z1202" s="8">
        <v>159.97</v>
      </c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11"/>
      <c r="AQ1202" s="8"/>
      <c r="AR1202" s="8"/>
      <c r="AS1202" s="8"/>
      <c r="AT1202" s="8">
        <v>525.63</v>
      </c>
      <c r="AU1202" s="8"/>
      <c r="AV1202" s="8">
        <v>21.44</v>
      </c>
      <c r="AW1202" s="8"/>
      <c r="AX1202" s="8"/>
      <c r="AY1202" s="8"/>
      <c r="AZ1202" s="8"/>
      <c r="BA1202" s="8"/>
      <c r="BB1202" s="8"/>
      <c r="BC1202" s="8"/>
      <c r="BD1202" s="8"/>
      <c r="BE1202" s="8"/>
      <c r="BF1202" s="8">
        <v>53.63</v>
      </c>
      <c r="BG1202" s="8">
        <v>37.51</v>
      </c>
      <c r="BH1202" s="9">
        <f t="shared" si="162"/>
        <v>1069.1099999999999</v>
      </c>
      <c r="BI1202" s="9">
        <f t="shared" si="163"/>
        <v>3.2</v>
      </c>
      <c r="BJ1202" s="9">
        <f t="shared" si="164"/>
        <v>5.17</v>
      </c>
      <c r="BK1202" s="9">
        <f t="shared" si="165"/>
        <v>10.72</v>
      </c>
      <c r="BL1202" s="9">
        <f t="shared" si="166"/>
        <v>159.97</v>
      </c>
      <c r="BM1202" s="9">
        <f t="shared" si="167"/>
        <v>0</v>
      </c>
      <c r="BN1202" s="9">
        <f t="shared" si="168"/>
        <v>525.63</v>
      </c>
      <c r="BO1202" s="9">
        <f t="shared" si="169"/>
        <v>21.44</v>
      </c>
      <c r="BP1202" s="9">
        <f t="shared" si="170"/>
        <v>53.63</v>
      </c>
    </row>
    <row r="1203" spans="1:68">
      <c r="A1203" s="6">
        <v>44767</v>
      </c>
      <c r="B1203" s="7">
        <v>3100</v>
      </c>
      <c r="C1203" s="8">
        <v>657.87</v>
      </c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>
        <v>1.34</v>
      </c>
      <c r="R1203" s="11"/>
      <c r="S1203" s="8">
        <v>3.75</v>
      </c>
      <c r="T1203" s="8"/>
      <c r="U1203" s="8">
        <v>10.55</v>
      </c>
      <c r="V1203" s="8"/>
      <c r="W1203" s="8"/>
      <c r="X1203" s="8"/>
      <c r="Y1203" s="8"/>
      <c r="Z1203" s="8"/>
      <c r="AA1203" s="8"/>
      <c r="AB1203" s="8"/>
      <c r="AC1203" s="8">
        <v>2.64</v>
      </c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11"/>
      <c r="AQ1203" s="8"/>
      <c r="AR1203" s="8"/>
      <c r="AS1203" s="8"/>
      <c r="AT1203" s="8">
        <v>442.82</v>
      </c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>
        <v>85.56</v>
      </c>
      <c r="BG1203" s="8">
        <v>33.869999999999997</v>
      </c>
      <c r="BH1203" s="9">
        <f t="shared" si="162"/>
        <v>657.87</v>
      </c>
      <c r="BI1203" s="9">
        <f t="shared" si="163"/>
        <v>1.34</v>
      </c>
      <c r="BJ1203" s="9">
        <f t="shared" si="164"/>
        <v>3.75</v>
      </c>
      <c r="BK1203" s="9">
        <f t="shared" si="165"/>
        <v>10.55</v>
      </c>
      <c r="BL1203" s="9">
        <f t="shared" si="166"/>
        <v>0</v>
      </c>
      <c r="BM1203" s="9">
        <f t="shared" si="167"/>
        <v>2.64</v>
      </c>
      <c r="BN1203" s="9">
        <f t="shared" si="168"/>
        <v>442.82</v>
      </c>
      <c r="BO1203" s="9">
        <f t="shared" si="169"/>
        <v>0</v>
      </c>
      <c r="BP1203" s="9">
        <f t="shared" si="170"/>
        <v>85.56</v>
      </c>
    </row>
    <row r="1204" spans="1:68">
      <c r="A1204" s="6">
        <v>44768</v>
      </c>
      <c r="B1204" s="7">
        <v>3602</v>
      </c>
      <c r="C1204" s="8">
        <f>442.7+175.27</f>
        <v>617.97</v>
      </c>
      <c r="D1204" s="8"/>
      <c r="E1204" s="8"/>
      <c r="F1204" s="8"/>
      <c r="G1204" s="8">
        <f>664.16+261.69</f>
        <v>925.84999999999991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>
        <f>0.45+1.12</f>
        <v>1.57</v>
      </c>
      <c r="R1204" s="11"/>
      <c r="S1204" s="8">
        <f>5.41+2.29</f>
        <v>7.7</v>
      </c>
      <c r="T1204" s="8"/>
      <c r="U1204" s="8">
        <f>3.55+1.41</f>
        <v>4.96</v>
      </c>
      <c r="V1204" s="8">
        <v>15.125999999999999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11"/>
      <c r="AQ1204" s="8"/>
      <c r="AR1204" s="8"/>
      <c r="AS1204" s="8"/>
      <c r="AT1204" s="8">
        <f>464.24+182.54</f>
        <v>646.78</v>
      </c>
      <c r="AU1204" s="8"/>
      <c r="AV1204" s="8"/>
      <c r="AW1204" s="8">
        <f>28.67+11.29</f>
        <v>39.96</v>
      </c>
      <c r="AX1204" s="8"/>
      <c r="AY1204" s="8"/>
      <c r="AZ1204" s="8"/>
      <c r="BA1204" s="8"/>
      <c r="BB1204" s="8"/>
      <c r="BC1204" s="8"/>
      <c r="BD1204" s="8"/>
      <c r="BE1204" s="8"/>
      <c r="BF1204" s="8">
        <f>35.51+14.02</f>
        <v>49.53</v>
      </c>
      <c r="BG1204" s="8">
        <f>34.51+13.73</f>
        <v>48.239999999999995</v>
      </c>
      <c r="BH1204" s="9">
        <f t="shared" si="162"/>
        <v>1543.82</v>
      </c>
      <c r="BI1204" s="9">
        <f t="shared" si="163"/>
        <v>1.57</v>
      </c>
      <c r="BJ1204" s="9">
        <f t="shared" si="164"/>
        <v>7.7</v>
      </c>
      <c r="BK1204" s="9">
        <f t="shared" si="165"/>
        <v>20.085999999999999</v>
      </c>
      <c r="BL1204" s="9">
        <f t="shared" si="166"/>
        <v>0</v>
      </c>
      <c r="BM1204" s="9">
        <f t="shared" si="167"/>
        <v>0</v>
      </c>
      <c r="BN1204" s="9">
        <f t="shared" si="168"/>
        <v>646.78</v>
      </c>
      <c r="BO1204" s="9">
        <f t="shared" si="169"/>
        <v>39.96</v>
      </c>
      <c r="BP1204" s="9">
        <f t="shared" si="170"/>
        <v>49.53</v>
      </c>
    </row>
    <row r="1205" spans="1:68">
      <c r="A1205" s="6">
        <v>44768</v>
      </c>
      <c r="B1205" s="7">
        <v>3139</v>
      </c>
      <c r="C1205" s="8">
        <v>1582.33</v>
      </c>
      <c r="D1205" s="8"/>
      <c r="E1205" s="8"/>
      <c r="F1205" s="8"/>
      <c r="G1205" s="8"/>
      <c r="H1205" s="8">
        <v>656.58</v>
      </c>
      <c r="I1205" s="8"/>
      <c r="J1205" s="8"/>
      <c r="K1205" s="8"/>
      <c r="L1205" s="8"/>
      <c r="M1205" s="8"/>
      <c r="N1205" s="8"/>
      <c r="O1205" s="8"/>
      <c r="P1205" s="8"/>
      <c r="Q1205" s="8">
        <v>3.73</v>
      </c>
      <c r="R1205" s="11"/>
      <c r="S1205" s="8">
        <v>6.84</v>
      </c>
      <c r="T1205" s="8"/>
      <c r="U1205" s="8">
        <v>23.37</v>
      </c>
      <c r="V1205" s="8"/>
      <c r="W1205" s="8"/>
      <c r="X1205" s="8"/>
      <c r="Y1205" s="8"/>
      <c r="Z1205" s="8"/>
      <c r="AA1205" s="8"/>
      <c r="AB1205" s="8"/>
      <c r="AC1205" s="8">
        <v>7.79</v>
      </c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11"/>
      <c r="AQ1205" s="8"/>
      <c r="AR1205" s="8"/>
      <c r="AS1205" s="8"/>
      <c r="AT1205" s="8">
        <v>1154.3</v>
      </c>
      <c r="AU1205" s="8"/>
      <c r="AV1205" s="8">
        <v>39</v>
      </c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>
        <v>83.77</v>
      </c>
      <c r="BH1205" s="9">
        <f t="shared" si="162"/>
        <v>2238.91</v>
      </c>
      <c r="BI1205" s="9">
        <f t="shared" si="163"/>
        <v>3.73</v>
      </c>
      <c r="BJ1205" s="9">
        <f t="shared" si="164"/>
        <v>6.84</v>
      </c>
      <c r="BK1205" s="9">
        <f t="shared" si="165"/>
        <v>23.37</v>
      </c>
      <c r="BL1205" s="9">
        <f t="shared" si="166"/>
        <v>0</v>
      </c>
      <c r="BM1205" s="9">
        <f t="shared" si="167"/>
        <v>7.79</v>
      </c>
      <c r="BN1205" s="9">
        <f t="shared" si="168"/>
        <v>1154.3</v>
      </c>
      <c r="BO1205" s="9">
        <f t="shared" si="169"/>
        <v>39</v>
      </c>
      <c r="BP1205" s="9">
        <f t="shared" si="170"/>
        <v>0</v>
      </c>
    </row>
    <row r="1206" spans="1:68">
      <c r="A1206" s="6">
        <v>44768</v>
      </c>
      <c r="B1206" s="7">
        <v>3705</v>
      </c>
      <c r="C1206" s="8"/>
      <c r="D1206" s="8">
        <v>1370.2</v>
      </c>
      <c r="E1206" s="8"/>
      <c r="F1206" s="8"/>
      <c r="G1206" s="8"/>
      <c r="H1206" s="8"/>
      <c r="I1206" s="8">
        <v>300.22000000000003</v>
      </c>
      <c r="J1206" s="8"/>
      <c r="K1206" s="8"/>
      <c r="L1206" s="8"/>
      <c r="M1206" s="8"/>
      <c r="N1206" s="8"/>
      <c r="O1206" s="8"/>
      <c r="P1206" s="8"/>
      <c r="Q1206" s="8">
        <v>5.03</v>
      </c>
      <c r="R1206" s="11"/>
      <c r="S1206" s="8">
        <v>5.84</v>
      </c>
      <c r="T1206" s="8"/>
      <c r="U1206" s="8">
        <v>11.69</v>
      </c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11"/>
      <c r="AQ1206" s="8"/>
      <c r="AR1206" s="8"/>
      <c r="AS1206" s="8"/>
      <c r="AT1206" s="8">
        <v>100.43</v>
      </c>
      <c r="AU1206" s="8">
        <v>202</v>
      </c>
      <c r="AV1206" s="8">
        <v>3.34</v>
      </c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>
        <v>16.399999999999999</v>
      </c>
      <c r="BH1206" s="9">
        <f t="shared" si="162"/>
        <v>1670.42</v>
      </c>
      <c r="BI1206" s="9">
        <f t="shared" si="163"/>
        <v>5.03</v>
      </c>
      <c r="BJ1206" s="9">
        <f t="shared" si="164"/>
        <v>5.84</v>
      </c>
      <c r="BK1206" s="9">
        <f t="shared" si="165"/>
        <v>11.69</v>
      </c>
      <c r="BL1206" s="9">
        <f t="shared" si="166"/>
        <v>0</v>
      </c>
      <c r="BM1206" s="9">
        <f t="shared" si="167"/>
        <v>0</v>
      </c>
      <c r="BN1206" s="9">
        <f t="shared" si="168"/>
        <v>302.43</v>
      </c>
      <c r="BO1206" s="9">
        <f t="shared" si="169"/>
        <v>3.34</v>
      </c>
      <c r="BP1206" s="9">
        <f t="shared" si="170"/>
        <v>0</v>
      </c>
    </row>
    <row r="1207" spans="1:68">
      <c r="A1207" s="6">
        <v>44768</v>
      </c>
      <c r="B1207" s="7">
        <v>3204</v>
      </c>
      <c r="C1207" s="8"/>
      <c r="D1207" s="8">
        <v>1780.92</v>
      </c>
      <c r="E1207" s="8">
        <v>762.25</v>
      </c>
      <c r="F1207" s="8"/>
      <c r="G1207" s="8"/>
      <c r="H1207" s="8"/>
      <c r="I1207" s="8"/>
      <c r="J1207" s="8"/>
      <c r="K1207" s="8"/>
      <c r="L1207" s="8"/>
      <c r="M1207" s="8"/>
      <c r="N1207" s="8"/>
      <c r="O1207" s="8">
        <v>12.73</v>
      </c>
      <c r="P1207" s="8"/>
      <c r="Q1207" s="8"/>
      <c r="R1207" s="11"/>
      <c r="S1207" s="8">
        <v>8.65</v>
      </c>
      <c r="T1207" s="8"/>
      <c r="U1207" s="8">
        <v>28.01</v>
      </c>
      <c r="V1207" s="8"/>
      <c r="W1207" s="8"/>
      <c r="X1207" s="8"/>
      <c r="Y1207" s="8"/>
      <c r="Z1207" s="8">
        <v>381.82</v>
      </c>
      <c r="AA1207" s="8"/>
      <c r="AB1207" s="8">
        <v>12.882</v>
      </c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11"/>
      <c r="AQ1207" s="8"/>
      <c r="AR1207" s="8"/>
      <c r="AS1207" s="8"/>
      <c r="AT1207" s="8">
        <v>1119.6600000000001</v>
      </c>
      <c r="AU1207" s="8"/>
      <c r="AV1207" s="8"/>
      <c r="AW1207" s="8">
        <v>8.17</v>
      </c>
      <c r="AX1207" s="8"/>
      <c r="AY1207" s="8"/>
      <c r="AZ1207" s="8"/>
      <c r="BA1207" s="8"/>
      <c r="BB1207" s="8"/>
      <c r="BC1207" s="8"/>
      <c r="BD1207" s="8"/>
      <c r="BE1207" s="8"/>
      <c r="BF1207" s="8"/>
      <c r="BG1207" s="8">
        <v>82.76</v>
      </c>
      <c r="BH1207" s="9">
        <f t="shared" si="162"/>
        <v>2543.17</v>
      </c>
      <c r="BI1207" s="9">
        <f t="shared" si="163"/>
        <v>12.73</v>
      </c>
      <c r="BJ1207" s="9">
        <f t="shared" si="164"/>
        <v>8.65</v>
      </c>
      <c r="BK1207" s="9">
        <f t="shared" si="165"/>
        <v>28.01</v>
      </c>
      <c r="BL1207" s="9">
        <f t="shared" si="166"/>
        <v>381.82</v>
      </c>
      <c r="BM1207" s="9">
        <f t="shared" si="167"/>
        <v>12.882</v>
      </c>
      <c r="BN1207" s="9">
        <f t="shared" si="168"/>
        <v>1119.6600000000001</v>
      </c>
      <c r="BO1207" s="9">
        <f t="shared" si="169"/>
        <v>8.17</v>
      </c>
      <c r="BP1207" s="9">
        <f t="shared" si="170"/>
        <v>0</v>
      </c>
    </row>
    <row r="1208" spans="1:68">
      <c r="A1208" s="6">
        <v>44768</v>
      </c>
      <c r="B1208" s="7">
        <v>3016</v>
      </c>
      <c r="C1208" s="8"/>
      <c r="D1208" s="8">
        <v>2372.5500000000002</v>
      </c>
      <c r="E1208" s="8"/>
      <c r="F1208" s="8"/>
      <c r="G1208" s="8"/>
      <c r="H1208" s="8"/>
      <c r="I1208" s="8">
        <v>2183.5</v>
      </c>
      <c r="J1208" s="8"/>
      <c r="K1208" s="8"/>
      <c r="L1208" s="8"/>
      <c r="M1208" s="8"/>
      <c r="N1208" s="8">
        <v>27.4</v>
      </c>
      <c r="O1208" s="8"/>
      <c r="P1208" s="8"/>
      <c r="Q1208" s="8"/>
      <c r="R1208" s="11"/>
      <c r="S1208" s="8">
        <v>3.18</v>
      </c>
      <c r="T1208" s="8"/>
      <c r="U1208" s="8"/>
      <c r="V1208" s="8"/>
      <c r="W1208" s="8">
        <v>45.68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>
        <v>18.18</v>
      </c>
      <c r="AN1208" s="8"/>
      <c r="AO1208" s="8"/>
      <c r="AP1208" s="11"/>
      <c r="AQ1208" s="8"/>
      <c r="AR1208" s="8"/>
      <c r="AS1208" s="8"/>
      <c r="AT1208" s="8">
        <v>1694.93</v>
      </c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>
        <v>123.87</v>
      </c>
      <c r="BH1208" s="9">
        <f t="shared" si="162"/>
        <v>4556.05</v>
      </c>
      <c r="BI1208" s="9">
        <f t="shared" si="163"/>
        <v>27.4</v>
      </c>
      <c r="BJ1208" s="9">
        <f t="shared" si="164"/>
        <v>3.18</v>
      </c>
      <c r="BK1208" s="9">
        <f t="shared" si="165"/>
        <v>45.68</v>
      </c>
      <c r="BL1208" s="9">
        <f t="shared" si="166"/>
        <v>0</v>
      </c>
      <c r="BM1208" s="9">
        <f t="shared" si="167"/>
        <v>18.18</v>
      </c>
      <c r="BN1208" s="9">
        <f t="shared" si="168"/>
        <v>1694.93</v>
      </c>
      <c r="BO1208" s="9">
        <f t="shared" si="169"/>
        <v>0</v>
      </c>
      <c r="BP1208" s="9">
        <f t="shared" si="170"/>
        <v>0</v>
      </c>
    </row>
    <row r="1209" spans="1:68">
      <c r="A1209" s="6">
        <v>44768</v>
      </c>
      <c r="B1209" s="7">
        <v>3104</v>
      </c>
      <c r="C1209" s="8">
        <v>1531.84</v>
      </c>
      <c r="D1209" s="8"/>
      <c r="E1209" s="8"/>
      <c r="F1209" s="8"/>
      <c r="G1209" s="8"/>
      <c r="H1209" s="8">
        <v>391.47</v>
      </c>
      <c r="I1209" s="8"/>
      <c r="J1209" s="8"/>
      <c r="K1209" s="8"/>
      <c r="L1209" s="8"/>
      <c r="M1209" s="8"/>
      <c r="N1209" s="8"/>
      <c r="O1209" s="8"/>
      <c r="P1209" s="8"/>
      <c r="Q1209" s="8">
        <v>4.32</v>
      </c>
      <c r="R1209" s="11"/>
      <c r="S1209" s="8">
        <v>8.07</v>
      </c>
      <c r="T1209" s="8"/>
      <c r="U1209" s="8">
        <v>20.170000000000002</v>
      </c>
      <c r="V1209" s="8"/>
      <c r="W1209" s="8"/>
      <c r="X1209" s="8"/>
      <c r="Y1209" s="8"/>
      <c r="Z1209" s="8"/>
      <c r="AA1209" s="8"/>
      <c r="AB1209" s="8"/>
      <c r="AC1209" s="8">
        <v>7.01</v>
      </c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11"/>
      <c r="AQ1209" s="8"/>
      <c r="AR1209" s="8"/>
      <c r="AS1209" s="8"/>
      <c r="AT1209" s="8">
        <v>1124.1600000000001</v>
      </c>
      <c r="AU1209" s="8"/>
      <c r="AV1209" s="8"/>
      <c r="AW1209" s="8"/>
      <c r="AX1209" s="8"/>
      <c r="AY1209" s="8"/>
      <c r="AZ1209" s="8"/>
      <c r="BA1209" s="8">
        <v>40.01</v>
      </c>
      <c r="BB1209" s="8"/>
      <c r="BC1209" s="8"/>
      <c r="BD1209" s="8"/>
      <c r="BE1209" s="8"/>
      <c r="BF1209" s="8">
        <v>35.08</v>
      </c>
      <c r="BG1209" s="8">
        <v>86.15</v>
      </c>
      <c r="BH1209" s="9">
        <f t="shared" si="162"/>
        <v>1923.31</v>
      </c>
      <c r="BI1209" s="9">
        <f t="shared" si="163"/>
        <v>4.32</v>
      </c>
      <c r="BJ1209" s="9">
        <f t="shared" si="164"/>
        <v>8.07</v>
      </c>
      <c r="BK1209" s="9">
        <f t="shared" si="165"/>
        <v>20.170000000000002</v>
      </c>
      <c r="BL1209" s="9">
        <f t="shared" si="166"/>
        <v>0</v>
      </c>
      <c r="BM1209" s="9">
        <f t="shared" si="167"/>
        <v>7.01</v>
      </c>
      <c r="BN1209" s="9">
        <f t="shared" si="168"/>
        <v>1124.1600000000001</v>
      </c>
      <c r="BO1209" s="9">
        <f t="shared" si="169"/>
        <v>40.01</v>
      </c>
      <c r="BP1209" s="9">
        <f t="shared" si="170"/>
        <v>35.08</v>
      </c>
    </row>
    <row r="1210" spans="1:68">
      <c r="A1210" s="6">
        <v>44768</v>
      </c>
      <c r="B1210" s="7">
        <v>3106</v>
      </c>
      <c r="C1210" s="8">
        <v>6071.32</v>
      </c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>
        <v>15.94</v>
      </c>
      <c r="R1210" s="11"/>
      <c r="S1210" s="8">
        <v>17.649999999999999</v>
      </c>
      <c r="T1210" s="8"/>
      <c r="U1210" s="8">
        <v>77.319999999999993</v>
      </c>
      <c r="V1210" s="8"/>
      <c r="W1210" s="8"/>
      <c r="X1210" s="8"/>
      <c r="Y1210" s="8"/>
      <c r="Z1210" s="8"/>
      <c r="AA1210" s="8"/>
      <c r="AB1210" s="8"/>
      <c r="AC1210" s="8">
        <v>15.19</v>
      </c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>
        <v>56.564999999999998</v>
      </c>
      <c r="AO1210" s="8"/>
      <c r="AP1210" s="11"/>
      <c r="AQ1210" s="8"/>
      <c r="AR1210" s="8">
        <v>118.40600000000001</v>
      </c>
      <c r="AS1210" s="8"/>
      <c r="AT1210" s="8">
        <v>3479.04</v>
      </c>
      <c r="AU1210" s="8"/>
      <c r="AV1210" s="8"/>
      <c r="AW1210" s="8"/>
      <c r="AX1210" s="8">
        <v>7.6</v>
      </c>
      <c r="AY1210" s="8"/>
      <c r="AZ1210" s="8"/>
      <c r="BA1210" s="8"/>
      <c r="BB1210" s="8"/>
      <c r="BC1210" s="8"/>
      <c r="BD1210" s="8"/>
      <c r="BE1210" s="8"/>
      <c r="BF1210" s="8"/>
      <c r="BG1210" s="8">
        <v>261.05</v>
      </c>
      <c r="BH1210" s="9">
        <f t="shared" si="162"/>
        <v>6071.32</v>
      </c>
      <c r="BI1210" s="9">
        <f t="shared" si="163"/>
        <v>15.94</v>
      </c>
      <c r="BJ1210" s="9">
        <f t="shared" si="164"/>
        <v>17.649999999999999</v>
      </c>
      <c r="BK1210" s="9">
        <f t="shared" si="165"/>
        <v>77.319999999999993</v>
      </c>
      <c r="BL1210" s="9">
        <f t="shared" si="166"/>
        <v>0</v>
      </c>
      <c r="BM1210" s="9">
        <f t="shared" si="167"/>
        <v>190.161</v>
      </c>
      <c r="BN1210" s="9">
        <f t="shared" si="168"/>
        <v>3479.04</v>
      </c>
      <c r="BO1210" s="9">
        <f t="shared" si="169"/>
        <v>7.6</v>
      </c>
      <c r="BP1210" s="9">
        <f t="shared" si="170"/>
        <v>0</v>
      </c>
    </row>
    <row r="1211" spans="1:68">
      <c r="A1211" s="6">
        <v>44769</v>
      </c>
      <c r="B1211" s="7">
        <v>3016</v>
      </c>
      <c r="C1211" s="8"/>
      <c r="D1211" s="8">
        <v>1605.88</v>
      </c>
      <c r="E1211" s="8"/>
      <c r="F1211" s="8"/>
      <c r="G1211" s="8"/>
      <c r="H1211" s="8"/>
      <c r="I1211" s="8">
        <v>1486.64</v>
      </c>
      <c r="J1211" s="8"/>
      <c r="K1211" s="8"/>
      <c r="L1211" s="8"/>
      <c r="M1211" s="8"/>
      <c r="N1211" s="8">
        <v>18.579999999999998</v>
      </c>
      <c r="O1211" s="8"/>
      <c r="P1211" s="8"/>
      <c r="Q1211" s="8"/>
      <c r="R1211" s="11"/>
      <c r="S1211" s="8">
        <v>2.17</v>
      </c>
      <c r="T1211" s="8"/>
      <c r="U1211" s="8"/>
      <c r="V1211" s="8"/>
      <c r="W1211" s="8">
        <v>30.98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>
        <v>12.4</v>
      </c>
      <c r="AN1211" s="8">
        <v>37.295999999999999</v>
      </c>
      <c r="AO1211" s="8"/>
      <c r="AP1211" s="11"/>
      <c r="AQ1211" s="8"/>
      <c r="AR1211" s="8">
        <v>77.543999999999997</v>
      </c>
      <c r="AS1211" s="8"/>
      <c r="AT1211" s="8">
        <v>1148.55</v>
      </c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>
        <v>84.03</v>
      </c>
      <c r="BH1211" s="9">
        <f t="shared" si="162"/>
        <v>3092.5200000000004</v>
      </c>
      <c r="BI1211" s="9">
        <f t="shared" si="163"/>
        <v>18.579999999999998</v>
      </c>
      <c r="BJ1211" s="9">
        <f t="shared" si="164"/>
        <v>2.17</v>
      </c>
      <c r="BK1211" s="9">
        <f t="shared" si="165"/>
        <v>30.98</v>
      </c>
      <c r="BL1211" s="9">
        <f t="shared" si="166"/>
        <v>0</v>
      </c>
      <c r="BM1211" s="9">
        <f t="shared" si="167"/>
        <v>127.24</v>
      </c>
      <c r="BN1211" s="9">
        <f t="shared" si="168"/>
        <v>1148.55</v>
      </c>
      <c r="BO1211" s="9">
        <f t="shared" si="169"/>
        <v>0</v>
      </c>
      <c r="BP1211" s="9">
        <f t="shared" si="170"/>
        <v>0</v>
      </c>
    </row>
    <row r="1212" spans="1:68">
      <c r="A1212" s="6">
        <v>44769</v>
      </c>
      <c r="B1212" s="7">
        <v>3083</v>
      </c>
      <c r="C1212" s="8"/>
      <c r="D1212" s="8">
        <v>740.89</v>
      </c>
      <c r="E1212" s="8"/>
      <c r="F1212" s="8"/>
      <c r="G1212" s="8"/>
      <c r="H1212" s="8"/>
      <c r="I1212" s="8">
        <v>1725.24</v>
      </c>
      <c r="J1212" s="8"/>
      <c r="K1212" s="8"/>
      <c r="L1212" s="8"/>
      <c r="M1212" s="8"/>
      <c r="N1212" s="8">
        <v>17.09</v>
      </c>
      <c r="O1212" s="8"/>
      <c r="P1212" s="8"/>
      <c r="Q1212" s="8"/>
      <c r="R1212" s="11"/>
      <c r="S1212" s="8">
        <v>1.73</v>
      </c>
      <c r="T1212" s="8"/>
      <c r="U1212" s="8"/>
      <c r="V1212" s="8"/>
      <c r="W1212" s="8">
        <v>19.850000000000001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>
        <v>9.9</v>
      </c>
      <c r="AN1212" s="8">
        <v>35.545000000000002</v>
      </c>
      <c r="AO1212" s="8"/>
      <c r="AP1212" s="11"/>
      <c r="AQ1212" s="8"/>
      <c r="AR1212" s="8">
        <v>62.695999999999998</v>
      </c>
      <c r="AS1212" s="8"/>
      <c r="AT1212" s="8">
        <v>1125.3900000000001</v>
      </c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>
        <v>88.13</v>
      </c>
      <c r="BH1212" s="9">
        <f t="shared" si="162"/>
        <v>2466.13</v>
      </c>
      <c r="BI1212" s="9">
        <f t="shared" si="163"/>
        <v>17.09</v>
      </c>
      <c r="BJ1212" s="9">
        <f t="shared" si="164"/>
        <v>1.73</v>
      </c>
      <c r="BK1212" s="9">
        <f t="shared" si="165"/>
        <v>19.850000000000001</v>
      </c>
      <c r="BL1212" s="9">
        <f t="shared" si="166"/>
        <v>0</v>
      </c>
      <c r="BM1212" s="9">
        <f t="shared" si="167"/>
        <v>108.14099999999999</v>
      </c>
      <c r="BN1212" s="9">
        <f t="shared" si="168"/>
        <v>1125.3900000000001</v>
      </c>
      <c r="BO1212" s="9">
        <f t="shared" si="169"/>
        <v>0</v>
      </c>
      <c r="BP1212" s="9">
        <f t="shared" si="170"/>
        <v>0</v>
      </c>
    </row>
    <row r="1213" spans="1:68">
      <c r="A1213" s="6">
        <v>44769</v>
      </c>
      <c r="B1213" s="7">
        <v>3141</v>
      </c>
      <c r="C1213" s="8">
        <v>1263.49</v>
      </c>
      <c r="D1213" s="8">
        <v>222.17</v>
      </c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>
        <v>4.03</v>
      </c>
      <c r="R1213" s="11"/>
      <c r="S1213" s="8">
        <v>7</v>
      </c>
      <c r="T1213" s="8"/>
      <c r="U1213" s="8">
        <v>22.32</v>
      </c>
      <c r="V1213" s="8"/>
      <c r="W1213" s="8"/>
      <c r="X1213" s="8"/>
      <c r="Y1213" s="8"/>
      <c r="Z1213" s="8"/>
      <c r="AA1213" s="8"/>
      <c r="AB1213" s="8"/>
      <c r="AC1213" s="8">
        <v>5.95</v>
      </c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11"/>
      <c r="AQ1213" s="8"/>
      <c r="AR1213" s="8"/>
      <c r="AS1213" s="8"/>
      <c r="AT1213" s="8">
        <v>986.23</v>
      </c>
      <c r="AU1213" s="8"/>
      <c r="AV1213" s="8"/>
      <c r="AW1213" s="8"/>
      <c r="AX1213" s="8"/>
      <c r="AY1213" s="8"/>
      <c r="AZ1213" s="8"/>
      <c r="BA1213" s="8">
        <v>34.090000000000003</v>
      </c>
      <c r="BB1213" s="8"/>
      <c r="BC1213" s="8"/>
      <c r="BD1213" s="8"/>
      <c r="BE1213" s="8"/>
      <c r="BF1213" s="8">
        <v>104.13</v>
      </c>
      <c r="BG1213" s="8">
        <v>77.55</v>
      </c>
      <c r="BH1213" s="9">
        <f t="shared" si="162"/>
        <v>1485.66</v>
      </c>
      <c r="BI1213" s="9">
        <f t="shared" si="163"/>
        <v>4.03</v>
      </c>
      <c r="BJ1213" s="9">
        <f t="shared" si="164"/>
        <v>7</v>
      </c>
      <c r="BK1213" s="9">
        <f t="shared" si="165"/>
        <v>22.32</v>
      </c>
      <c r="BL1213" s="9">
        <f t="shared" si="166"/>
        <v>0</v>
      </c>
      <c r="BM1213" s="9">
        <f t="shared" si="167"/>
        <v>5.95</v>
      </c>
      <c r="BN1213" s="9">
        <f t="shared" si="168"/>
        <v>986.23</v>
      </c>
      <c r="BO1213" s="9">
        <f t="shared" si="169"/>
        <v>34.090000000000003</v>
      </c>
      <c r="BP1213" s="9">
        <f t="shared" si="170"/>
        <v>104.13</v>
      </c>
    </row>
    <row r="1214" spans="1:68">
      <c r="A1214" s="6">
        <v>44769</v>
      </c>
      <c r="B1214" s="7">
        <v>3113</v>
      </c>
      <c r="C1214" s="8">
        <v>1534.69</v>
      </c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>
        <v>1.54</v>
      </c>
      <c r="O1214" s="8"/>
      <c r="P1214" s="8"/>
      <c r="Q1214" s="8">
        <v>1.54</v>
      </c>
      <c r="R1214" s="11"/>
      <c r="S1214" s="8">
        <v>4.6399999999999997</v>
      </c>
      <c r="T1214" s="8"/>
      <c r="U1214" s="8">
        <v>15.39</v>
      </c>
      <c r="V1214" s="8"/>
      <c r="W1214" s="8"/>
      <c r="X1214" s="8"/>
      <c r="Y1214" s="8"/>
      <c r="Z1214" s="8"/>
      <c r="AA1214" s="8"/>
      <c r="AB1214" s="8"/>
      <c r="AC1214" s="8">
        <v>6.15</v>
      </c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11"/>
      <c r="AQ1214" s="8"/>
      <c r="AR1214" s="8"/>
      <c r="AS1214" s="8"/>
      <c r="AT1214" s="8">
        <v>646.39</v>
      </c>
      <c r="AU1214" s="8"/>
      <c r="AV1214" s="8">
        <v>52.33</v>
      </c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>
        <v>46.17</v>
      </c>
      <c r="BH1214" s="9">
        <f t="shared" si="162"/>
        <v>1534.69</v>
      </c>
      <c r="BI1214" s="9">
        <f t="shared" si="163"/>
        <v>3.08</v>
      </c>
      <c r="BJ1214" s="9">
        <f t="shared" si="164"/>
        <v>4.6399999999999997</v>
      </c>
      <c r="BK1214" s="9">
        <f t="shared" si="165"/>
        <v>15.39</v>
      </c>
      <c r="BL1214" s="9">
        <f t="shared" si="166"/>
        <v>0</v>
      </c>
      <c r="BM1214" s="9">
        <f t="shared" si="167"/>
        <v>6.15</v>
      </c>
      <c r="BN1214" s="9">
        <f t="shared" si="168"/>
        <v>646.39</v>
      </c>
      <c r="BO1214" s="9">
        <f t="shared" si="169"/>
        <v>52.33</v>
      </c>
      <c r="BP1214" s="9">
        <f t="shared" si="170"/>
        <v>0</v>
      </c>
    </row>
    <row r="1215" spans="1:68">
      <c r="A1215" s="6">
        <v>44769</v>
      </c>
      <c r="B1215" s="7">
        <v>3134</v>
      </c>
      <c r="C1215" s="8">
        <v>2024.53</v>
      </c>
      <c r="D1215" s="8">
        <v>286.10000000000002</v>
      </c>
      <c r="E1215" s="8"/>
      <c r="F1215" s="8"/>
      <c r="G1215" s="8"/>
      <c r="H1215" s="8">
        <v>957.3</v>
      </c>
      <c r="I1215" s="8"/>
      <c r="J1215" s="8"/>
      <c r="K1215" s="8"/>
      <c r="L1215" s="8"/>
      <c r="M1215" s="8"/>
      <c r="N1215" s="8"/>
      <c r="O1215" s="8"/>
      <c r="P1215" s="8"/>
      <c r="Q1215" s="8">
        <v>6.24</v>
      </c>
      <c r="R1215" s="11"/>
      <c r="S1215" s="8">
        <v>13.06</v>
      </c>
      <c r="T1215" s="8"/>
      <c r="U1215" s="8">
        <v>36.9</v>
      </c>
      <c r="V1215" s="8"/>
      <c r="W1215" s="8"/>
      <c r="X1215" s="8"/>
      <c r="Y1215" s="8"/>
      <c r="Z1215" s="8"/>
      <c r="AA1215" s="8"/>
      <c r="AB1215" s="8"/>
      <c r="AC1215" s="8">
        <v>11.35</v>
      </c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11"/>
      <c r="AQ1215" s="8"/>
      <c r="AR1215" s="8"/>
      <c r="AS1215" s="8"/>
      <c r="AT1215" s="8">
        <v>2013.82</v>
      </c>
      <c r="AU1215" s="8"/>
      <c r="AV1215" s="8"/>
      <c r="AW1215" s="8"/>
      <c r="AX1215" s="8"/>
      <c r="AY1215" s="8">
        <v>29.02</v>
      </c>
      <c r="AZ1215" s="8"/>
      <c r="BA1215" s="8"/>
      <c r="BB1215" s="8"/>
      <c r="BC1215" s="8"/>
      <c r="BD1215" s="8"/>
      <c r="BE1215" s="8"/>
      <c r="BF1215" s="8">
        <v>127.77</v>
      </c>
      <c r="BG1215" s="8">
        <v>150.37</v>
      </c>
      <c r="BH1215" s="9">
        <f t="shared" si="162"/>
        <v>3267.9300000000003</v>
      </c>
      <c r="BI1215" s="9">
        <f t="shared" si="163"/>
        <v>6.24</v>
      </c>
      <c r="BJ1215" s="9">
        <f t="shared" si="164"/>
        <v>13.06</v>
      </c>
      <c r="BK1215" s="9">
        <f t="shared" si="165"/>
        <v>36.9</v>
      </c>
      <c r="BL1215" s="9">
        <f t="shared" si="166"/>
        <v>0</v>
      </c>
      <c r="BM1215" s="9">
        <f t="shared" si="167"/>
        <v>11.35</v>
      </c>
      <c r="BN1215" s="9">
        <f t="shared" si="168"/>
        <v>2013.82</v>
      </c>
      <c r="BO1215" s="9">
        <f t="shared" si="169"/>
        <v>29.02</v>
      </c>
      <c r="BP1215" s="9">
        <f t="shared" si="170"/>
        <v>127.77</v>
      </c>
    </row>
    <row r="1216" spans="1:68">
      <c r="A1216" s="6">
        <v>44769</v>
      </c>
      <c r="B1216" s="7">
        <v>3221</v>
      </c>
      <c r="C1216" s="8">
        <v>599.16999999999996</v>
      </c>
      <c r="D1216" s="8">
        <v>100.5</v>
      </c>
      <c r="E1216" s="8">
        <v>300.23</v>
      </c>
      <c r="F1216" s="8"/>
      <c r="G1216" s="8"/>
      <c r="H1216" s="8"/>
      <c r="I1216" s="8"/>
      <c r="J1216" s="8"/>
      <c r="K1216" s="8"/>
      <c r="L1216" s="8"/>
      <c r="M1216" s="8"/>
      <c r="N1216" s="8"/>
      <c r="O1216" s="8">
        <v>2</v>
      </c>
      <c r="P1216" s="8"/>
      <c r="Q1216" s="8"/>
      <c r="R1216" s="11"/>
      <c r="S1216" s="8">
        <v>4.51</v>
      </c>
      <c r="T1216" s="8"/>
      <c r="U1216" s="8">
        <v>15.04</v>
      </c>
      <c r="V1216" s="8"/>
      <c r="W1216" s="8"/>
      <c r="X1216" s="8"/>
      <c r="Y1216" s="8"/>
      <c r="Z1216" s="8"/>
      <c r="AA1216" s="8"/>
      <c r="AB1216" s="8">
        <v>5.0830000000000002</v>
      </c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11"/>
      <c r="AQ1216" s="8">
        <v>15.161</v>
      </c>
      <c r="AR1216" s="8"/>
      <c r="AS1216" s="8"/>
      <c r="AT1216" s="8">
        <v>567.73</v>
      </c>
      <c r="AU1216" s="8"/>
      <c r="AV1216" s="8"/>
      <c r="AW1216" s="8">
        <v>34.08</v>
      </c>
      <c r="AX1216" s="8"/>
      <c r="AY1216" s="8"/>
      <c r="AZ1216" s="8"/>
      <c r="BA1216" s="8"/>
      <c r="BB1216" s="8"/>
      <c r="BC1216" s="8"/>
      <c r="BD1216" s="8"/>
      <c r="BE1216" s="8"/>
      <c r="BF1216" s="8">
        <v>45.19</v>
      </c>
      <c r="BG1216" s="8">
        <v>42.09</v>
      </c>
      <c r="BH1216" s="9">
        <f t="shared" si="162"/>
        <v>999.9</v>
      </c>
      <c r="BI1216" s="9">
        <f t="shared" si="163"/>
        <v>2</v>
      </c>
      <c r="BJ1216" s="9">
        <f t="shared" si="164"/>
        <v>4.51</v>
      </c>
      <c r="BK1216" s="9">
        <f t="shared" si="165"/>
        <v>15.04</v>
      </c>
      <c r="BL1216" s="9">
        <f t="shared" si="166"/>
        <v>0</v>
      </c>
      <c r="BM1216" s="9">
        <f t="shared" si="167"/>
        <v>20.244</v>
      </c>
      <c r="BN1216" s="9">
        <f t="shared" si="168"/>
        <v>567.73</v>
      </c>
      <c r="BO1216" s="9">
        <f t="shared" si="169"/>
        <v>34.08</v>
      </c>
      <c r="BP1216" s="9">
        <f t="shared" si="170"/>
        <v>45.19</v>
      </c>
    </row>
    <row r="1217" spans="1:68">
      <c r="A1217" s="6">
        <v>44769</v>
      </c>
      <c r="B1217" s="7">
        <v>8233</v>
      </c>
      <c r="C1217" s="8"/>
      <c r="D1217" s="8">
        <v>978.91</v>
      </c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>
        <v>1.97</v>
      </c>
      <c r="R1217" s="11"/>
      <c r="S1217" s="8">
        <v>1.47</v>
      </c>
      <c r="T1217" s="8"/>
      <c r="U1217" s="8">
        <v>8.83</v>
      </c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>
        <v>9.81</v>
      </c>
      <c r="AH1217" s="8"/>
      <c r="AI1217" s="8"/>
      <c r="AJ1217" s="8"/>
      <c r="AK1217" s="8"/>
      <c r="AL1217" s="8"/>
      <c r="AM1217" s="8"/>
      <c r="AN1217" s="8"/>
      <c r="AO1217" s="8"/>
      <c r="AP1217" s="11"/>
      <c r="AQ1217" s="8"/>
      <c r="AR1217" s="8"/>
      <c r="AS1217" s="8"/>
      <c r="AT1217" s="8">
        <v>273.58</v>
      </c>
      <c r="AU1217" s="8">
        <v>136.53</v>
      </c>
      <c r="AV1217" s="8"/>
      <c r="AW1217" s="8"/>
      <c r="AX1217" s="8"/>
      <c r="AY1217" s="8"/>
      <c r="AZ1217" s="8"/>
      <c r="BA1217" s="8"/>
      <c r="BB1217" s="8"/>
      <c r="BC1217" s="8">
        <v>0.91</v>
      </c>
      <c r="BD1217" s="8"/>
      <c r="BE1217" s="8"/>
      <c r="BF1217" s="8"/>
      <c r="BG1217" s="8">
        <v>28.52</v>
      </c>
      <c r="BH1217" s="9">
        <f t="shared" si="162"/>
        <v>978.91</v>
      </c>
      <c r="BI1217" s="9">
        <f t="shared" si="163"/>
        <v>1.97</v>
      </c>
      <c r="BJ1217" s="9">
        <f t="shared" si="164"/>
        <v>1.47</v>
      </c>
      <c r="BK1217" s="9">
        <f t="shared" si="165"/>
        <v>8.83</v>
      </c>
      <c r="BL1217" s="9">
        <f t="shared" si="166"/>
        <v>0</v>
      </c>
      <c r="BM1217" s="9">
        <f t="shared" si="167"/>
        <v>9.81</v>
      </c>
      <c r="BN1217" s="9">
        <f t="shared" si="168"/>
        <v>410.11</v>
      </c>
      <c r="BO1217" s="9">
        <f t="shared" si="169"/>
        <v>0.91</v>
      </c>
      <c r="BP1217" s="9">
        <f t="shared" si="170"/>
        <v>0</v>
      </c>
    </row>
    <row r="1218" spans="1:68">
      <c r="A1218" s="6">
        <v>44770</v>
      </c>
      <c r="B1218" s="7">
        <v>3200</v>
      </c>
      <c r="C1218" s="8">
        <f>1194.67+1231.33</f>
        <v>2426</v>
      </c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>
        <f>3.09+3</f>
        <v>6.09</v>
      </c>
      <c r="P1218" s="8"/>
      <c r="Q1218" s="8"/>
      <c r="R1218" s="11"/>
      <c r="S1218" s="8">
        <f>4.83+4.68</f>
        <v>9.51</v>
      </c>
      <c r="T1218" s="8"/>
      <c r="U1218" s="8">
        <f>18.56+17.96</f>
        <v>36.519999999999996</v>
      </c>
      <c r="V1218" s="8"/>
      <c r="W1218" s="8"/>
      <c r="X1218" s="8"/>
      <c r="Y1218" s="8"/>
      <c r="Z1218" s="8">
        <f>259.65+251.8</f>
        <v>511.45</v>
      </c>
      <c r="AA1218" s="8"/>
      <c r="AB1218" s="8"/>
      <c r="AC1218" s="8"/>
      <c r="AD1218" s="8"/>
      <c r="AE1218" s="8"/>
      <c r="AF1218" s="8">
        <f>61.22+59.55</f>
        <v>120.77</v>
      </c>
      <c r="AG1218" s="8"/>
      <c r="AH1218" s="8"/>
      <c r="AI1218" s="8"/>
      <c r="AJ1218" s="8"/>
      <c r="AK1218" s="8"/>
      <c r="AL1218" s="8"/>
      <c r="AM1218" s="8"/>
      <c r="AN1218" s="8"/>
      <c r="AO1218" s="8"/>
      <c r="AP1218" s="11"/>
      <c r="AQ1218" s="8">
        <v>36.96</v>
      </c>
      <c r="AR1218" s="8"/>
      <c r="AS1218" s="8"/>
      <c r="AT1218" s="8">
        <f>844.4+819.52</f>
        <v>1663.92</v>
      </c>
      <c r="AU1218" s="8"/>
      <c r="AV1218" s="8"/>
      <c r="AW1218" s="8">
        <f>3.56+3.38</f>
        <v>6.9399999999999995</v>
      </c>
      <c r="AX1218" s="8"/>
      <c r="AY1218" s="8"/>
      <c r="AZ1218" s="8"/>
      <c r="BA1218" s="8"/>
      <c r="BB1218" s="8"/>
      <c r="BC1218" s="8"/>
      <c r="BD1218" s="8"/>
      <c r="BE1218" s="8"/>
      <c r="BF1218" s="8">
        <f>59.3+57.41</f>
        <v>116.71</v>
      </c>
      <c r="BG1218" s="8">
        <f>61.36+59.51</f>
        <v>120.87</v>
      </c>
      <c r="BH1218" s="9">
        <f t="shared" si="162"/>
        <v>2426</v>
      </c>
      <c r="BI1218" s="9">
        <f t="shared" si="163"/>
        <v>6.09</v>
      </c>
      <c r="BJ1218" s="9">
        <f t="shared" si="164"/>
        <v>9.51</v>
      </c>
      <c r="BK1218" s="9">
        <f t="shared" si="165"/>
        <v>36.519999999999996</v>
      </c>
      <c r="BL1218" s="9">
        <f t="shared" si="166"/>
        <v>511.45</v>
      </c>
      <c r="BM1218" s="9">
        <f t="shared" si="167"/>
        <v>157.72999999999999</v>
      </c>
      <c r="BN1218" s="9">
        <f t="shared" si="168"/>
        <v>1663.92</v>
      </c>
      <c r="BO1218" s="9">
        <f t="shared" si="169"/>
        <v>6.9399999999999995</v>
      </c>
      <c r="BP1218" s="9">
        <f t="shared" si="170"/>
        <v>116.71</v>
      </c>
    </row>
    <row r="1219" spans="1:68">
      <c r="A1219" s="6">
        <v>44770</v>
      </c>
      <c r="B1219" s="7">
        <v>3117</v>
      </c>
      <c r="C1219" s="8">
        <v>739.41</v>
      </c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>
        <v>1.7</v>
      </c>
      <c r="R1219" s="11"/>
      <c r="S1219" s="8">
        <v>2.67</v>
      </c>
      <c r="T1219" s="8"/>
      <c r="U1219" s="8">
        <v>7.4</v>
      </c>
      <c r="V1219" s="8"/>
      <c r="W1219" s="8"/>
      <c r="X1219" s="8"/>
      <c r="Y1219" s="8"/>
      <c r="Z1219" s="8"/>
      <c r="AA1219" s="8"/>
      <c r="AB1219" s="8"/>
      <c r="AC1219" s="8">
        <v>2.96</v>
      </c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11"/>
      <c r="AQ1219" s="8"/>
      <c r="AR1219" s="8"/>
      <c r="AS1219" s="8"/>
      <c r="AT1219" s="8">
        <v>468.74</v>
      </c>
      <c r="AU1219" s="8"/>
      <c r="AV1219" s="8">
        <v>18.5</v>
      </c>
      <c r="AW1219" s="8"/>
      <c r="AX1219" s="8"/>
      <c r="AY1219" s="8"/>
      <c r="AZ1219" s="8"/>
      <c r="BA1219" s="8"/>
      <c r="BB1219" s="8"/>
      <c r="BC1219" s="8"/>
      <c r="BD1219" s="8"/>
      <c r="BE1219" s="8"/>
      <c r="BF1219" s="8">
        <v>36.93</v>
      </c>
      <c r="BG1219" s="8">
        <v>35.51</v>
      </c>
      <c r="BH1219" s="9">
        <f t="shared" si="162"/>
        <v>739.41</v>
      </c>
      <c r="BI1219" s="9">
        <f t="shared" si="163"/>
        <v>1.7</v>
      </c>
      <c r="BJ1219" s="9">
        <f t="shared" si="164"/>
        <v>2.67</v>
      </c>
      <c r="BK1219" s="9">
        <f t="shared" si="165"/>
        <v>7.4</v>
      </c>
      <c r="BL1219" s="9">
        <f t="shared" si="166"/>
        <v>0</v>
      </c>
      <c r="BM1219" s="9">
        <f t="shared" si="167"/>
        <v>2.96</v>
      </c>
      <c r="BN1219" s="9">
        <f t="shared" si="168"/>
        <v>468.74</v>
      </c>
      <c r="BO1219" s="9">
        <f t="shared" si="169"/>
        <v>18.5</v>
      </c>
      <c r="BP1219" s="9">
        <f t="shared" si="170"/>
        <v>36.93</v>
      </c>
    </row>
    <row r="1220" spans="1:68">
      <c r="A1220" s="6">
        <v>44770</v>
      </c>
      <c r="B1220" s="7">
        <v>3205</v>
      </c>
      <c r="C1220" s="8">
        <v>666.26</v>
      </c>
      <c r="D1220" s="8">
        <v>374.28</v>
      </c>
      <c r="E1220" s="8">
        <v>446.06</v>
      </c>
      <c r="F1220" s="8"/>
      <c r="G1220" s="8"/>
      <c r="H1220" s="8"/>
      <c r="I1220" s="8"/>
      <c r="J1220" s="8"/>
      <c r="K1220" s="8"/>
      <c r="L1220" s="8"/>
      <c r="M1220" s="8"/>
      <c r="N1220" s="8"/>
      <c r="O1220" s="8">
        <v>5.98</v>
      </c>
      <c r="P1220" s="8"/>
      <c r="Q1220" s="8"/>
      <c r="R1220" s="11"/>
      <c r="S1220" s="8">
        <v>5.55</v>
      </c>
      <c r="T1220" s="8"/>
      <c r="U1220" s="8">
        <v>18</v>
      </c>
      <c r="V1220" s="8"/>
      <c r="W1220" s="8"/>
      <c r="X1220" s="8"/>
      <c r="Y1220" s="8"/>
      <c r="Z1220" s="8">
        <v>149.97</v>
      </c>
      <c r="AA1220" s="8"/>
      <c r="AB1220" s="8">
        <v>15.114000000000001</v>
      </c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11"/>
      <c r="AQ1220" s="8">
        <v>7.6239999999999997</v>
      </c>
      <c r="AR1220" s="8"/>
      <c r="AS1220" s="8"/>
      <c r="AT1220" s="8">
        <v>389.68</v>
      </c>
      <c r="AU1220" s="8">
        <v>195.26</v>
      </c>
      <c r="AV1220" s="8"/>
      <c r="AW1220" s="8">
        <v>6.48</v>
      </c>
      <c r="AX1220" s="8"/>
      <c r="AY1220" s="8"/>
      <c r="AZ1220" s="8"/>
      <c r="BA1220" s="8"/>
      <c r="BB1220" s="8"/>
      <c r="BC1220" s="8"/>
      <c r="BD1220" s="8"/>
      <c r="BE1220" s="8"/>
      <c r="BF1220" s="8"/>
      <c r="BG1220" s="8">
        <v>35.07</v>
      </c>
      <c r="BH1220" s="9">
        <f t="shared" ref="BH1220:BH1283" si="171">SUM(C1220:L1220)</f>
        <v>1486.6</v>
      </c>
      <c r="BI1220" s="9">
        <f t="shared" ref="BI1220:BI1283" si="172">SUM(M1220:R1220)</f>
        <v>5.98</v>
      </c>
      <c r="BJ1220" s="9">
        <f t="shared" ref="BJ1220:BJ1283" si="173">SUM(S1220)</f>
        <v>5.55</v>
      </c>
      <c r="BK1220" s="9">
        <f t="shared" ref="BK1220:BK1283" si="174">SUM(T1220:Y1220)</f>
        <v>18</v>
      </c>
      <c r="BL1220" s="9">
        <f t="shared" ref="BL1220:BL1283" si="175">SUM(Z1220:AA1220)</f>
        <v>149.97</v>
      </c>
      <c r="BM1220" s="9">
        <f t="shared" ref="BM1220:BM1283" si="176">SUM(AB1220:AS1220)</f>
        <v>22.738</v>
      </c>
      <c r="BN1220" s="9">
        <f t="shared" ref="BN1220:BN1283" si="177">SUM(AT1220:AU1220)</f>
        <v>584.94000000000005</v>
      </c>
      <c r="BO1220" s="9">
        <f t="shared" ref="BO1220:BO1283" si="178">SUM(AV1220:BE1220)</f>
        <v>6.48</v>
      </c>
      <c r="BP1220" s="9">
        <f t="shared" ref="BP1220:BP1283" si="179">SUM(BF1220)</f>
        <v>0</v>
      </c>
    </row>
    <row r="1221" spans="1:68">
      <c r="A1221" s="6">
        <v>44770</v>
      </c>
      <c r="B1221" s="7">
        <v>3706</v>
      </c>
      <c r="C1221" s="8">
        <v>2185.09</v>
      </c>
      <c r="D1221" s="8">
        <v>1482.99</v>
      </c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>
        <v>7.33</v>
      </c>
      <c r="R1221" s="11"/>
      <c r="S1221" s="8">
        <v>21.76</v>
      </c>
      <c r="T1221" s="8"/>
      <c r="U1221" s="8">
        <v>29.69</v>
      </c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>
        <v>37.356000000000002</v>
      </c>
      <c r="AM1221" s="8"/>
      <c r="AN1221" s="8"/>
      <c r="AO1221" s="8"/>
      <c r="AP1221" s="11"/>
      <c r="AQ1221" s="8"/>
      <c r="AR1221" s="8"/>
      <c r="AS1221" s="8"/>
      <c r="AT1221" s="8">
        <v>904.45</v>
      </c>
      <c r="AU1221" s="8">
        <v>451.56</v>
      </c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>
        <v>94.66</v>
      </c>
      <c r="BH1221" s="9">
        <f t="shared" si="171"/>
        <v>3668.08</v>
      </c>
      <c r="BI1221" s="9">
        <f t="shared" si="172"/>
        <v>7.33</v>
      </c>
      <c r="BJ1221" s="9">
        <f t="shared" si="173"/>
        <v>21.76</v>
      </c>
      <c r="BK1221" s="9">
        <f t="shared" si="174"/>
        <v>29.69</v>
      </c>
      <c r="BL1221" s="9">
        <f t="shared" si="175"/>
        <v>0</v>
      </c>
      <c r="BM1221" s="9">
        <f t="shared" si="176"/>
        <v>37.356000000000002</v>
      </c>
      <c r="BN1221" s="9">
        <f t="shared" si="177"/>
        <v>1356.01</v>
      </c>
      <c r="BO1221" s="9">
        <f t="shared" si="178"/>
        <v>0</v>
      </c>
      <c r="BP1221" s="9">
        <f t="shared" si="179"/>
        <v>0</v>
      </c>
    </row>
    <row r="1222" spans="1:68">
      <c r="A1222" s="6">
        <v>44770</v>
      </c>
      <c r="B1222" s="7">
        <v>3141</v>
      </c>
      <c r="C1222" s="8">
        <v>3583.57</v>
      </c>
      <c r="D1222" s="8">
        <v>632.64</v>
      </c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>
        <v>11.58</v>
      </c>
      <c r="R1222" s="11"/>
      <c r="S1222" s="8">
        <v>18.84</v>
      </c>
      <c r="T1222" s="8"/>
      <c r="U1222" s="8">
        <v>63.29</v>
      </c>
      <c r="V1222" s="8"/>
      <c r="W1222" s="8"/>
      <c r="X1222" s="8"/>
      <c r="Y1222" s="8"/>
      <c r="Z1222" s="8"/>
      <c r="AA1222" s="8"/>
      <c r="AB1222" s="8"/>
      <c r="AC1222" s="8">
        <v>16.88</v>
      </c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11"/>
      <c r="AQ1222" s="8"/>
      <c r="AR1222" s="8"/>
      <c r="AS1222" s="8"/>
      <c r="AT1222" s="8">
        <v>2770.1</v>
      </c>
      <c r="AU1222" s="8"/>
      <c r="AV1222" s="8"/>
      <c r="AW1222" s="8"/>
      <c r="AX1222" s="8"/>
      <c r="AY1222" s="8"/>
      <c r="AZ1222" s="8"/>
      <c r="BA1222" s="8">
        <v>96.68</v>
      </c>
      <c r="BB1222" s="8"/>
      <c r="BC1222" s="8"/>
      <c r="BD1222" s="8"/>
      <c r="BE1222" s="8"/>
      <c r="BF1222" s="8">
        <v>295.37</v>
      </c>
      <c r="BG1222" s="8">
        <v>219.4</v>
      </c>
      <c r="BH1222" s="9">
        <f t="shared" si="171"/>
        <v>4216.21</v>
      </c>
      <c r="BI1222" s="9">
        <f t="shared" si="172"/>
        <v>11.58</v>
      </c>
      <c r="BJ1222" s="9">
        <f t="shared" si="173"/>
        <v>18.84</v>
      </c>
      <c r="BK1222" s="9">
        <f t="shared" si="174"/>
        <v>63.29</v>
      </c>
      <c r="BL1222" s="9">
        <f t="shared" si="175"/>
        <v>0</v>
      </c>
      <c r="BM1222" s="9">
        <f t="shared" si="176"/>
        <v>16.88</v>
      </c>
      <c r="BN1222" s="9">
        <f t="shared" si="177"/>
        <v>2770.1</v>
      </c>
      <c r="BO1222" s="9">
        <f t="shared" si="178"/>
        <v>96.68</v>
      </c>
      <c r="BP1222" s="9">
        <f t="shared" si="179"/>
        <v>295.37</v>
      </c>
    </row>
    <row r="1223" spans="1:68">
      <c r="A1223" s="6">
        <v>44770</v>
      </c>
      <c r="B1223" s="7">
        <v>3106</v>
      </c>
      <c r="C1223" s="8">
        <v>6052.65</v>
      </c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>
        <v>16.309999999999999</v>
      </c>
      <c r="R1223" s="11"/>
      <c r="S1223" s="8">
        <v>17.57</v>
      </c>
      <c r="T1223" s="8"/>
      <c r="U1223" s="8">
        <v>76.959999999999994</v>
      </c>
      <c r="V1223" s="8"/>
      <c r="W1223" s="8"/>
      <c r="X1223" s="8"/>
      <c r="Y1223" s="8"/>
      <c r="Z1223" s="8"/>
      <c r="AA1223" s="8"/>
      <c r="AB1223" s="8"/>
      <c r="AC1223" s="8">
        <v>15.13</v>
      </c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11"/>
      <c r="AQ1223" s="8"/>
      <c r="AR1223" s="8"/>
      <c r="AS1223" s="8"/>
      <c r="AT1223" s="8">
        <v>3462.31</v>
      </c>
      <c r="AU1223" s="8"/>
      <c r="AV1223" s="8"/>
      <c r="AW1223" s="8"/>
      <c r="AX1223" s="8">
        <v>7.57</v>
      </c>
      <c r="AY1223" s="8"/>
      <c r="AZ1223" s="8"/>
      <c r="BA1223" s="8"/>
      <c r="BB1223" s="8"/>
      <c r="BC1223" s="8"/>
      <c r="BD1223" s="8"/>
      <c r="BE1223" s="8"/>
      <c r="BF1223" s="8"/>
      <c r="BG1223" s="8">
        <v>259.98</v>
      </c>
      <c r="BH1223" s="9">
        <f t="shared" si="171"/>
        <v>6052.65</v>
      </c>
      <c r="BI1223" s="9">
        <f t="shared" si="172"/>
        <v>16.309999999999999</v>
      </c>
      <c r="BJ1223" s="9">
        <f t="shared" si="173"/>
        <v>17.57</v>
      </c>
      <c r="BK1223" s="9">
        <f t="shared" si="174"/>
        <v>76.959999999999994</v>
      </c>
      <c r="BL1223" s="9">
        <f t="shared" si="175"/>
        <v>0</v>
      </c>
      <c r="BM1223" s="9">
        <f t="shared" si="176"/>
        <v>15.13</v>
      </c>
      <c r="BN1223" s="9">
        <f t="shared" si="177"/>
        <v>3462.31</v>
      </c>
      <c r="BO1223" s="9">
        <f t="shared" si="178"/>
        <v>7.57</v>
      </c>
      <c r="BP1223" s="9">
        <f t="shared" si="179"/>
        <v>0</v>
      </c>
    </row>
    <row r="1224" spans="1:68">
      <c r="A1224" s="6">
        <v>44770</v>
      </c>
      <c r="B1224" s="7">
        <v>3140</v>
      </c>
      <c r="C1224" s="8">
        <v>1752.64</v>
      </c>
      <c r="D1224" s="8">
        <v>537.78</v>
      </c>
      <c r="E1224" s="8"/>
      <c r="F1224" s="8">
        <v>404.74</v>
      </c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>
        <v>4</v>
      </c>
      <c r="R1224" s="11"/>
      <c r="S1224" s="8">
        <v>9.94</v>
      </c>
      <c r="T1224" s="8"/>
      <c r="U1224" s="8">
        <v>26.91</v>
      </c>
      <c r="V1224" s="8"/>
      <c r="W1224" s="8"/>
      <c r="X1224" s="8"/>
      <c r="Y1224" s="8"/>
      <c r="Z1224" s="8"/>
      <c r="AA1224" s="8"/>
      <c r="AB1224" s="8"/>
      <c r="AC1224" s="8">
        <v>6.72</v>
      </c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11"/>
      <c r="AQ1224" s="8"/>
      <c r="AR1224" s="8"/>
      <c r="AS1224" s="8"/>
      <c r="AT1224" s="8">
        <v>1159.23</v>
      </c>
      <c r="AU1224" s="8"/>
      <c r="AV1224" s="8"/>
      <c r="AW1224" s="8"/>
      <c r="AX1224" s="8"/>
      <c r="AY1224" s="8"/>
      <c r="AZ1224" s="8"/>
      <c r="BA1224" s="8">
        <v>27.96</v>
      </c>
      <c r="BB1224" s="8"/>
      <c r="BC1224" s="8"/>
      <c r="BD1224" s="8"/>
      <c r="BE1224" s="8"/>
      <c r="BF1224" s="8"/>
      <c r="BG1224" s="8">
        <v>84.95</v>
      </c>
      <c r="BH1224" s="9">
        <f t="shared" si="171"/>
        <v>2695.16</v>
      </c>
      <c r="BI1224" s="9">
        <f t="shared" si="172"/>
        <v>4</v>
      </c>
      <c r="BJ1224" s="9">
        <f t="shared" si="173"/>
        <v>9.94</v>
      </c>
      <c r="BK1224" s="9">
        <f t="shared" si="174"/>
        <v>26.91</v>
      </c>
      <c r="BL1224" s="9">
        <f t="shared" si="175"/>
        <v>0</v>
      </c>
      <c r="BM1224" s="9">
        <f t="shared" si="176"/>
        <v>6.72</v>
      </c>
      <c r="BN1224" s="9">
        <f t="shared" si="177"/>
        <v>1159.23</v>
      </c>
      <c r="BO1224" s="9">
        <f t="shared" si="178"/>
        <v>27.96</v>
      </c>
      <c r="BP1224" s="9">
        <f t="shared" si="179"/>
        <v>0</v>
      </c>
    </row>
    <row r="1225" spans="1:68">
      <c r="A1225" s="6">
        <v>44771</v>
      </c>
      <c r="B1225" s="7">
        <v>3029</v>
      </c>
      <c r="C1225" s="8"/>
      <c r="D1225" s="8">
        <v>681.62</v>
      </c>
      <c r="E1225" s="8"/>
      <c r="F1225" s="8">
        <v>481.03</v>
      </c>
      <c r="G1225" s="8"/>
      <c r="H1225" s="8"/>
      <c r="I1225" s="8">
        <v>2843.9</v>
      </c>
      <c r="J1225" s="8"/>
      <c r="K1225" s="8"/>
      <c r="L1225" s="8"/>
      <c r="M1225" s="8"/>
      <c r="N1225" s="8">
        <v>30.88</v>
      </c>
      <c r="O1225" s="8"/>
      <c r="P1225" s="8"/>
      <c r="Q1225" s="8"/>
      <c r="R1225" s="11"/>
      <c r="S1225" s="8">
        <v>2.39</v>
      </c>
      <c r="T1225" s="8"/>
      <c r="U1225" s="8"/>
      <c r="V1225" s="8"/>
      <c r="W1225" s="8">
        <v>40.130000000000003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>
        <v>14.03</v>
      </c>
      <c r="AN1225" s="8">
        <v>20.074000000000002</v>
      </c>
      <c r="AO1225" s="8"/>
      <c r="AP1225" s="11"/>
      <c r="AQ1225" s="8"/>
      <c r="AR1225" s="8">
        <v>120.846</v>
      </c>
      <c r="AS1225" s="8"/>
      <c r="AT1225" s="8">
        <v>1520.84</v>
      </c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>
        <v>106.34</v>
      </c>
      <c r="BH1225" s="9">
        <f t="shared" si="171"/>
        <v>4006.55</v>
      </c>
      <c r="BI1225" s="9">
        <f t="shared" si="172"/>
        <v>30.88</v>
      </c>
      <c r="BJ1225" s="9">
        <f t="shared" si="173"/>
        <v>2.39</v>
      </c>
      <c r="BK1225" s="9">
        <f t="shared" si="174"/>
        <v>40.130000000000003</v>
      </c>
      <c r="BL1225" s="9">
        <f t="shared" si="175"/>
        <v>0</v>
      </c>
      <c r="BM1225" s="9">
        <f t="shared" si="176"/>
        <v>154.94999999999999</v>
      </c>
      <c r="BN1225" s="9">
        <f t="shared" si="177"/>
        <v>1520.84</v>
      </c>
      <c r="BO1225" s="9">
        <f t="shared" si="178"/>
        <v>0</v>
      </c>
      <c r="BP1225" s="9">
        <f t="shared" si="179"/>
        <v>0</v>
      </c>
    </row>
    <row r="1226" spans="1:68">
      <c r="A1226" s="6">
        <v>44771</v>
      </c>
      <c r="B1226" s="7">
        <v>3079</v>
      </c>
      <c r="C1226" s="8"/>
      <c r="D1226" s="8"/>
      <c r="E1226" s="8"/>
      <c r="F1226" s="8">
        <v>341.68</v>
      </c>
      <c r="G1226" s="8"/>
      <c r="H1226" s="8"/>
      <c r="I1226" s="8">
        <v>2762.92</v>
      </c>
      <c r="J1226" s="8"/>
      <c r="K1226" s="8"/>
      <c r="L1226" s="8"/>
      <c r="M1226" s="8"/>
      <c r="N1226" s="8">
        <v>21.43</v>
      </c>
      <c r="O1226" s="8"/>
      <c r="P1226" s="8"/>
      <c r="Q1226" s="8"/>
      <c r="R1226" s="11"/>
      <c r="S1226" s="8">
        <v>1.24</v>
      </c>
      <c r="T1226" s="8"/>
      <c r="U1226" s="8"/>
      <c r="V1226" s="8"/>
      <c r="W1226" s="8">
        <v>31.09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>
        <v>12.43</v>
      </c>
      <c r="AN1226" s="8">
        <v>31.132000000000001</v>
      </c>
      <c r="AO1226" s="8"/>
      <c r="AP1226" s="11"/>
      <c r="AQ1226" s="8"/>
      <c r="AR1226" s="8">
        <v>78.322999999999993</v>
      </c>
      <c r="AS1226" s="8"/>
      <c r="AT1226" s="8">
        <v>1196.75</v>
      </c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>
        <v>86.84</v>
      </c>
      <c r="BH1226" s="9">
        <f t="shared" si="171"/>
        <v>3104.6</v>
      </c>
      <c r="BI1226" s="9">
        <f t="shared" si="172"/>
        <v>21.43</v>
      </c>
      <c r="BJ1226" s="9">
        <f t="shared" si="173"/>
        <v>1.24</v>
      </c>
      <c r="BK1226" s="9">
        <f t="shared" si="174"/>
        <v>31.09</v>
      </c>
      <c r="BL1226" s="9">
        <f t="shared" si="175"/>
        <v>0</v>
      </c>
      <c r="BM1226" s="9">
        <f t="shared" si="176"/>
        <v>121.88499999999999</v>
      </c>
      <c r="BN1226" s="9">
        <f t="shared" si="177"/>
        <v>1196.75</v>
      </c>
      <c r="BO1226" s="9">
        <f t="shared" si="178"/>
        <v>0</v>
      </c>
      <c r="BP1226" s="9">
        <f t="shared" si="179"/>
        <v>0</v>
      </c>
    </row>
    <row r="1227" spans="1:68">
      <c r="A1227" s="6">
        <v>44771</v>
      </c>
      <c r="B1227" s="7">
        <v>3020</v>
      </c>
      <c r="C1227" s="8"/>
      <c r="D1227" s="8">
        <v>321.76</v>
      </c>
      <c r="E1227" s="8"/>
      <c r="F1227" s="8"/>
      <c r="G1227" s="8"/>
      <c r="H1227" s="8"/>
      <c r="I1227" s="8">
        <v>1812.62</v>
      </c>
      <c r="J1227" s="8"/>
      <c r="K1227" s="8"/>
      <c r="L1227" s="8"/>
      <c r="M1227" s="8"/>
      <c r="N1227" s="8">
        <v>12.85</v>
      </c>
      <c r="O1227" s="8"/>
      <c r="P1227" s="8"/>
      <c r="Q1227" s="8"/>
      <c r="R1227" s="11"/>
      <c r="S1227" s="8">
        <v>3.85</v>
      </c>
      <c r="T1227" s="8"/>
      <c r="U1227" s="8"/>
      <c r="V1227" s="8"/>
      <c r="W1227" s="8">
        <v>21.43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>
        <v>21.4</v>
      </c>
      <c r="AN1227" s="8"/>
      <c r="AO1227" s="8"/>
      <c r="AP1227" s="11"/>
      <c r="AQ1227" s="8"/>
      <c r="AR1227" s="8"/>
      <c r="AS1227" s="8">
        <v>54.042000000000002</v>
      </c>
      <c r="AT1227" s="8">
        <v>1052.1500000000001</v>
      </c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>
        <v>76.97</v>
      </c>
      <c r="BH1227" s="9">
        <f t="shared" si="171"/>
        <v>2134.38</v>
      </c>
      <c r="BI1227" s="9">
        <f t="shared" si="172"/>
        <v>12.85</v>
      </c>
      <c r="BJ1227" s="9">
        <f t="shared" si="173"/>
        <v>3.85</v>
      </c>
      <c r="BK1227" s="9">
        <f t="shared" si="174"/>
        <v>21.43</v>
      </c>
      <c r="BL1227" s="9">
        <f t="shared" si="175"/>
        <v>0</v>
      </c>
      <c r="BM1227" s="9">
        <f t="shared" si="176"/>
        <v>75.442000000000007</v>
      </c>
      <c r="BN1227" s="9">
        <f t="shared" si="177"/>
        <v>1052.1500000000001</v>
      </c>
      <c r="BO1227" s="9">
        <f t="shared" si="178"/>
        <v>0</v>
      </c>
      <c r="BP1227" s="9">
        <f t="shared" si="179"/>
        <v>0</v>
      </c>
    </row>
    <row r="1228" spans="1:68">
      <c r="A1228" s="6">
        <v>44771</v>
      </c>
      <c r="B1228" s="7">
        <v>3025</v>
      </c>
      <c r="C1228" s="8"/>
      <c r="D1228" s="8">
        <v>126.97</v>
      </c>
      <c r="E1228" s="8"/>
      <c r="F1228" s="8"/>
      <c r="G1228" s="8"/>
      <c r="H1228" s="8"/>
      <c r="I1228" s="8">
        <v>704.04</v>
      </c>
      <c r="J1228" s="8"/>
      <c r="K1228" s="8"/>
      <c r="L1228" s="8"/>
      <c r="M1228" s="8"/>
      <c r="N1228" s="8">
        <v>4.4800000000000004</v>
      </c>
      <c r="O1228" s="8"/>
      <c r="P1228" s="8"/>
      <c r="Q1228" s="8"/>
      <c r="R1228" s="11"/>
      <c r="S1228" s="8">
        <v>1.33</v>
      </c>
      <c r="T1228" s="8"/>
      <c r="U1228" s="8"/>
      <c r="V1228" s="8"/>
      <c r="W1228" s="8">
        <v>7.46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>
        <v>8.31</v>
      </c>
      <c r="AN1228" s="8">
        <v>5.859</v>
      </c>
      <c r="AO1228" s="8"/>
      <c r="AP1228" s="11"/>
      <c r="AQ1228" s="8"/>
      <c r="AR1228" s="8"/>
      <c r="AS1228" s="8">
        <v>27.513999999999999</v>
      </c>
      <c r="AT1228" s="8">
        <v>287.35000000000002</v>
      </c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>
        <v>19.079999999999998</v>
      </c>
      <c r="BH1228" s="9">
        <f t="shared" si="171"/>
        <v>831.01</v>
      </c>
      <c r="BI1228" s="9">
        <f t="shared" si="172"/>
        <v>4.4800000000000004</v>
      </c>
      <c r="BJ1228" s="9">
        <f t="shared" si="173"/>
        <v>1.33</v>
      </c>
      <c r="BK1228" s="9">
        <f t="shared" si="174"/>
        <v>7.46</v>
      </c>
      <c r="BL1228" s="9">
        <f t="shared" si="175"/>
        <v>0</v>
      </c>
      <c r="BM1228" s="9">
        <f t="shared" si="176"/>
        <v>41.683</v>
      </c>
      <c r="BN1228" s="9">
        <f t="shared" si="177"/>
        <v>287.35000000000002</v>
      </c>
      <c r="BO1228" s="9">
        <f t="shared" si="178"/>
        <v>0</v>
      </c>
      <c r="BP1228" s="9">
        <f t="shared" si="179"/>
        <v>0</v>
      </c>
    </row>
    <row r="1229" spans="1:68">
      <c r="A1229" s="6">
        <v>44771</v>
      </c>
      <c r="B1229" s="7">
        <v>3022</v>
      </c>
      <c r="C1229" s="8"/>
      <c r="D1229" s="8">
        <v>568.36</v>
      </c>
      <c r="E1229" s="8"/>
      <c r="F1229" s="8"/>
      <c r="G1229" s="8"/>
      <c r="H1229" s="8"/>
      <c r="I1229" s="8">
        <v>468.4</v>
      </c>
      <c r="J1229" s="8"/>
      <c r="K1229" s="8"/>
      <c r="L1229" s="8"/>
      <c r="M1229" s="8"/>
      <c r="N1229" s="8">
        <v>5.18</v>
      </c>
      <c r="O1229" s="8"/>
      <c r="P1229" s="8"/>
      <c r="Q1229" s="8"/>
      <c r="R1229" s="11"/>
      <c r="S1229" s="8">
        <v>1.87</v>
      </c>
      <c r="T1229" s="8"/>
      <c r="U1229" s="8"/>
      <c r="V1229" s="8"/>
      <c r="W1229" s="8">
        <v>10.37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>
        <v>13.49</v>
      </c>
      <c r="AN1229" s="8"/>
      <c r="AO1229" s="8"/>
      <c r="AP1229" s="11"/>
      <c r="AQ1229" s="8"/>
      <c r="AR1229" s="8"/>
      <c r="AS1229" s="8">
        <v>36.758000000000003</v>
      </c>
      <c r="AT1229" s="8">
        <v>485.25</v>
      </c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>
        <v>37.31</v>
      </c>
      <c r="BH1229" s="9">
        <f t="shared" si="171"/>
        <v>1036.76</v>
      </c>
      <c r="BI1229" s="9">
        <f t="shared" si="172"/>
        <v>5.18</v>
      </c>
      <c r="BJ1229" s="9">
        <f t="shared" si="173"/>
        <v>1.87</v>
      </c>
      <c r="BK1229" s="9">
        <f t="shared" si="174"/>
        <v>10.37</v>
      </c>
      <c r="BL1229" s="9">
        <f t="shared" si="175"/>
        <v>0</v>
      </c>
      <c r="BM1229" s="9">
        <f t="shared" si="176"/>
        <v>50.248000000000005</v>
      </c>
      <c r="BN1229" s="9">
        <f t="shared" si="177"/>
        <v>485.25</v>
      </c>
      <c r="BO1229" s="9">
        <f t="shared" si="178"/>
        <v>0</v>
      </c>
      <c r="BP1229" s="9">
        <f t="shared" si="179"/>
        <v>0</v>
      </c>
    </row>
    <row r="1230" spans="1:68">
      <c r="A1230" s="6">
        <v>44771</v>
      </c>
      <c r="B1230" s="7">
        <v>3200</v>
      </c>
      <c r="C1230" s="8">
        <v>2269.48</v>
      </c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>
        <v>5.66</v>
      </c>
      <c r="P1230" s="8"/>
      <c r="Q1230" s="8"/>
      <c r="R1230" s="11"/>
      <c r="S1230" s="8">
        <v>8.84</v>
      </c>
      <c r="T1230" s="8"/>
      <c r="U1230" s="8">
        <v>34.06</v>
      </c>
      <c r="V1230" s="8"/>
      <c r="W1230" s="8"/>
      <c r="X1230" s="8"/>
      <c r="Y1230" s="8"/>
      <c r="Z1230" s="8">
        <v>476.14</v>
      </c>
      <c r="AA1230" s="8"/>
      <c r="AB1230" s="8"/>
      <c r="AC1230" s="8"/>
      <c r="AD1230" s="8"/>
      <c r="AE1230" s="8"/>
      <c r="AF1230" s="8">
        <v>112.92</v>
      </c>
      <c r="AG1230" s="8"/>
      <c r="AH1230" s="8"/>
      <c r="AI1230" s="8"/>
      <c r="AJ1230" s="8"/>
      <c r="AK1230" s="8"/>
      <c r="AL1230" s="8"/>
      <c r="AM1230" s="8"/>
      <c r="AN1230" s="8"/>
      <c r="AO1230" s="8"/>
      <c r="AP1230" s="11"/>
      <c r="AQ1230" s="8">
        <v>34.548999999999999</v>
      </c>
      <c r="AR1230" s="8"/>
      <c r="AS1230" s="8"/>
      <c r="AT1230" s="8">
        <v>1547.71</v>
      </c>
      <c r="AU1230" s="8"/>
      <c r="AV1230" s="8"/>
      <c r="AW1230" s="8">
        <v>6.74</v>
      </c>
      <c r="AX1230" s="8"/>
      <c r="AY1230" s="8"/>
      <c r="AZ1230" s="8"/>
      <c r="BA1230" s="8"/>
      <c r="BB1230" s="8"/>
      <c r="BC1230" s="8"/>
      <c r="BD1230" s="8"/>
      <c r="BE1230" s="8"/>
      <c r="BF1230" s="8">
        <v>108.7</v>
      </c>
      <c r="BG1230" s="8">
        <v>112.34</v>
      </c>
      <c r="BH1230" s="9">
        <f t="shared" si="171"/>
        <v>2269.48</v>
      </c>
      <c r="BI1230" s="9">
        <f t="shared" si="172"/>
        <v>5.66</v>
      </c>
      <c r="BJ1230" s="9">
        <f t="shared" si="173"/>
        <v>8.84</v>
      </c>
      <c r="BK1230" s="9">
        <f t="shared" si="174"/>
        <v>34.06</v>
      </c>
      <c r="BL1230" s="9">
        <f t="shared" si="175"/>
        <v>476.14</v>
      </c>
      <c r="BM1230" s="9">
        <f t="shared" si="176"/>
        <v>147.46899999999999</v>
      </c>
      <c r="BN1230" s="9">
        <f t="shared" si="177"/>
        <v>1547.71</v>
      </c>
      <c r="BO1230" s="9">
        <f t="shared" si="178"/>
        <v>6.74</v>
      </c>
      <c r="BP1230" s="9">
        <f t="shared" si="179"/>
        <v>108.7</v>
      </c>
    </row>
    <row r="1231" spans="1:68">
      <c r="A1231" s="6">
        <v>44774</v>
      </c>
      <c r="B1231" s="7">
        <v>8263</v>
      </c>
      <c r="C1231" s="8">
        <v>169.14</v>
      </c>
      <c r="D1231" s="8"/>
      <c r="E1231" s="8"/>
      <c r="F1231" s="8"/>
      <c r="G1231" s="8">
        <v>253.38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>
        <v>0.43</v>
      </c>
      <c r="R1231" s="11"/>
      <c r="S1231" s="8">
        <v>2.09</v>
      </c>
      <c r="T1231" s="8"/>
      <c r="U1231" s="8"/>
      <c r="V1231" s="8">
        <v>4.0919999999999996</v>
      </c>
      <c r="W1231" s="8">
        <v>1.69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11"/>
      <c r="AQ1231" s="8"/>
      <c r="AR1231" s="8"/>
      <c r="AS1231" s="8"/>
      <c r="AT1231" s="8">
        <v>170.5</v>
      </c>
      <c r="AU1231" s="8"/>
      <c r="AV1231" s="8"/>
      <c r="AW1231" s="8">
        <v>10.93</v>
      </c>
      <c r="AX1231" s="8"/>
      <c r="AY1231" s="8"/>
      <c r="AZ1231" s="8"/>
      <c r="BA1231" s="8"/>
      <c r="BB1231" s="8"/>
      <c r="BC1231" s="8"/>
      <c r="BD1231" s="8"/>
      <c r="BE1231" s="8"/>
      <c r="BF1231" s="8">
        <v>13.54</v>
      </c>
      <c r="BG1231" s="8">
        <v>12.72</v>
      </c>
      <c r="BH1231" s="9">
        <f t="shared" si="171"/>
        <v>422.52</v>
      </c>
      <c r="BI1231" s="9">
        <f t="shared" si="172"/>
        <v>0.43</v>
      </c>
      <c r="BJ1231" s="9">
        <f t="shared" si="173"/>
        <v>2.09</v>
      </c>
      <c r="BK1231" s="9">
        <f t="shared" si="174"/>
        <v>5.782</v>
      </c>
      <c r="BL1231" s="9">
        <f t="shared" si="175"/>
        <v>0</v>
      </c>
      <c r="BM1231" s="9">
        <f t="shared" si="176"/>
        <v>0</v>
      </c>
      <c r="BN1231" s="9">
        <f t="shared" si="177"/>
        <v>170.5</v>
      </c>
      <c r="BO1231" s="9">
        <f t="shared" si="178"/>
        <v>10.93</v>
      </c>
      <c r="BP1231" s="9">
        <f t="shared" si="179"/>
        <v>13.54</v>
      </c>
    </row>
    <row r="1232" spans="1:68">
      <c r="A1232" s="6">
        <v>44774</v>
      </c>
      <c r="B1232" s="7">
        <v>8233</v>
      </c>
      <c r="C1232" s="8"/>
      <c r="D1232" s="8">
        <v>914.26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>
        <v>1.81</v>
      </c>
      <c r="R1232" s="11"/>
      <c r="S1232" s="8">
        <v>1.38</v>
      </c>
      <c r="T1232" s="8"/>
      <c r="U1232" s="8">
        <v>8.26</v>
      </c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>
        <v>9.2200000000000006</v>
      </c>
      <c r="AH1232" s="8"/>
      <c r="AI1232" s="8"/>
      <c r="AJ1232" s="8"/>
      <c r="AK1232" s="8"/>
      <c r="AL1232" s="8"/>
      <c r="AM1232" s="8"/>
      <c r="AN1232" s="8"/>
      <c r="AO1232" s="8"/>
      <c r="AP1232" s="11"/>
      <c r="AQ1232" s="8"/>
      <c r="AR1232" s="8"/>
      <c r="AS1232" s="8"/>
      <c r="AT1232" s="8">
        <v>261.95</v>
      </c>
      <c r="AU1232" s="8">
        <v>131.19999999999999</v>
      </c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>
        <v>26.46</v>
      </c>
      <c r="BH1232" s="9">
        <f t="shared" si="171"/>
        <v>914.26</v>
      </c>
      <c r="BI1232" s="9">
        <f t="shared" si="172"/>
        <v>1.81</v>
      </c>
      <c r="BJ1232" s="9">
        <f t="shared" si="173"/>
        <v>1.38</v>
      </c>
      <c r="BK1232" s="9">
        <f t="shared" si="174"/>
        <v>8.26</v>
      </c>
      <c r="BL1232" s="9">
        <f t="shared" si="175"/>
        <v>0</v>
      </c>
      <c r="BM1232" s="9">
        <f t="shared" si="176"/>
        <v>9.2200000000000006</v>
      </c>
      <c r="BN1232" s="9">
        <f t="shared" si="177"/>
        <v>393.15</v>
      </c>
      <c r="BO1232" s="9">
        <f t="shared" si="178"/>
        <v>0</v>
      </c>
      <c r="BP1232" s="9">
        <f t="shared" si="179"/>
        <v>0</v>
      </c>
    </row>
    <row r="1233" spans="1:68">
      <c r="A1233" s="6">
        <v>44774</v>
      </c>
      <c r="B1233" s="7">
        <v>3307</v>
      </c>
      <c r="C1233" s="8"/>
      <c r="D1233" s="8">
        <v>1901.76</v>
      </c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>
        <v>2.79</v>
      </c>
      <c r="R1233" s="11"/>
      <c r="S1233" s="8">
        <v>13.9</v>
      </c>
      <c r="T1233" s="8"/>
      <c r="U1233" s="8">
        <v>19.03</v>
      </c>
      <c r="V1233" s="8"/>
      <c r="W1233" s="8"/>
      <c r="X1233" s="8"/>
      <c r="Y1233" s="8"/>
      <c r="Z1233" s="8"/>
      <c r="AA1233" s="8"/>
      <c r="AB1233" s="8"/>
      <c r="AC1233" s="8">
        <v>11.43</v>
      </c>
      <c r="AD1233" s="8"/>
      <c r="AE1233" s="8"/>
      <c r="AF1233" s="8"/>
      <c r="AG1233" s="8">
        <v>19.11</v>
      </c>
      <c r="AH1233" s="8"/>
      <c r="AI1233" s="8"/>
      <c r="AJ1233" s="8"/>
      <c r="AK1233" s="8"/>
      <c r="AL1233" s="8"/>
      <c r="AM1233" s="8"/>
      <c r="AN1233" s="8"/>
      <c r="AO1233" s="8"/>
      <c r="AP1233" s="11"/>
      <c r="AQ1233" s="8"/>
      <c r="AR1233" s="8"/>
      <c r="AS1233" s="8"/>
      <c r="AT1233" s="8"/>
      <c r="AU1233" s="8">
        <v>954.21</v>
      </c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>
        <v>68.459999999999994</v>
      </c>
      <c r="BH1233" s="9">
        <f t="shared" si="171"/>
        <v>1901.76</v>
      </c>
      <c r="BI1233" s="9">
        <f t="shared" si="172"/>
        <v>2.79</v>
      </c>
      <c r="BJ1233" s="9">
        <f t="shared" si="173"/>
        <v>13.9</v>
      </c>
      <c r="BK1233" s="9">
        <f t="shared" si="174"/>
        <v>19.03</v>
      </c>
      <c r="BL1233" s="9">
        <f t="shared" si="175"/>
        <v>0</v>
      </c>
      <c r="BM1233" s="9">
        <f t="shared" si="176"/>
        <v>30.54</v>
      </c>
      <c r="BN1233" s="9">
        <f t="shared" si="177"/>
        <v>954.21</v>
      </c>
      <c r="BO1233" s="9">
        <f t="shared" si="178"/>
        <v>0</v>
      </c>
      <c r="BP1233" s="9">
        <f t="shared" si="179"/>
        <v>0</v>
      </c>
    </row>
    <row r="1234" spans="1:68">
      <c r="A1234" s="6">
        <v>44774</v>
      </c>
      <c r="B1234" s="7">
        <v>3139</v>
      </c>
      <c r="C1234" s="8">
        <v>1561.02</v>
      </c>
      <c r="D1234" s="8"/>
      <c r="E1234" s="8"/>
      <c r="F1234" s="8"/>
      <c r="G1234" s="8"/>
      <c r="H1234" s="8">
        <v>650.62</v>
      </c>
      <c r="I1234" s="8"/>
      <c r="J1234" s="8"/>
      <c r="K1234" s="8"/>
      <c r="L1234" s="8"/>
      <c r="M1234" s="8"/>
      <c r="N1234" s="8"/>
      <c r="O1234" s="8"/>
      <c r="P1234" s="8"/>
      <c r="Q1234" s="8">
        <v>3.68</v>
      </c>
      <c r="R1234" s="11"/>
      <c r="S1234" s="8">
        <v>6.91</v>
      </c>
      <c r="T1234" s="8"/>
      <c r="U1234" s="8">
        <v>23.03</v>
      </c>
      <c r="V1234" s="8"/>
      <c r="W1234" s="8"/>
      <c r="X1234" s="8"/>
      <c r="Y1234" s="8"/>
      <c r="Z1234" s="8"/>
      <c r="AA1234" s="8"/>
      <c r="AB1234" s="8"/>
      <c r="AC1234" s="8">
        <v>7.68</v>
      </c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11"/>
      <c r="AQ1234" s="8"/>
      <c r="AR1234" s="8"/>
      <c r="AS1234" s="8"/>
      <c r="AT1234" s="8">
        <v>1137.1099999999999</v>
      </c>
      <c r="AU1234" s="8"/>
      <c r="AV1234" s="8">
        <v>38.4</v>
      </c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>
        <v>82.55</v>
      </c>
      <c r="BH1234" s="9">
        <f t="shared" si="171"/>
        <v>2211.64</v>
      </c>
      <c r="BI1234" s="9">
        <f t="shared" si="172"/>
        <v>3.68</v>
      </c>
      <c r="BJ1234" s="9">
        <f t="shared" si="173"/>
        <v>6.91</v>
      </c>
      <c r="BK1234" s="9">
        <f t="shared" si="174"/>
        <v>23.03</v>
      </c>
      <c r="BL1234" s="9">
        <f t="shared" si="175"/>
        <v>0</v>
      </c>
      <c r="BM1234" s="9">
        <f t="shared" si="176"/>
        <v>7.68</v>
      </c>
      <c r="BN1234" s="9">
        <f t="shared" si="177"/>
        <v>1137.1099999999999</v>
      </c>
      <c r="BO1234" s="9">
        <f t="shared" si="178"/>
        <v>38.4</v>
      </c>
      <c r="BP1234" s="9">
        <f t="shared" si="179"/>
        <v>0</v>
      </c>
    </row>
    <row r="1235" spans="1:68">
      <c r="A1235" s="6">
        <v>44774</v>
      </c>
      <c r="B1235" s="7">
        <v>3101</v>
      </c>
      <c r="C1235" s="8">
        <v>635.76</v>
      </c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>
        <v>1.28</v>
      </c>
      <c r="R1235" s="11"/>
      <c r="S1235" s="8">
        <v>3.7</v>
      </c>
      <c r="T1235" s="8"/>
      <c r="U1235" s="8">
        <v>10.220000000000001</v>
      </c>
      <c r="V1235" s="8"/>
      <c r="W1235" s="8"/>
      <c r="X1235" s="8"/>
      <c r="Y1235" s="8"/>
      <c r="Z1235" s="8"/>
      <c r="AA1235" s="8"/>
      <c r="AB1235" s="8"/>
      <c r="AC1235" s="8">
        <v>2.5499999999999998</v>
      </c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11"/>
      <c r="AQ1235" s="8"/>
      <c r="AR1235" s="8"/>
      <c r="AS1235" s="8"/>
      <c r="AT1235" s="8">
        <v>428.07</v>
      </c>
      <c r="AU1235" s="8"/>
      <c r="AV1235" s="8"/>
      <c r="AW1235" s="8">
        <v>13.6</v>
      </c>
      <c r="AX1235" s="8"/>
      <c r="AY1235" s="8"/>
      <c r="AZ1235" s="8"/>
      <c r="BA1235" s="8"/>
      <c r="BB1235" s="8"/>
      <c r="BC1235" s="8"/>
      <c r="BD1235" s="8"/>
      <c r="BE1235" s="8"/>
      <c r="BF1235" s="8">
        <v>82.94</v>
      </c>
      <c r="BG1235" s="8">
        <v>32.85</v>
      </c>
      <c r="BH1235" s="9">
        <f t="shared" si="171"/>
        <v>635.76</v>
      </c>
      <c r="BI1235" s="9">
        <f t="shared" si="172"/>
        <v>1.28</v>
      </c>
      <c r="BJ1235" s="9">
        <f t="shared" si="173"/>
        <v>3.7</v>
      </c>
      <c r="BK1235" s="9">
        <f t="shared" si="174"/>
        <v>10.220000000000001</v>
      </c>
      <c r="BL1235" s="9">
        <f t="shared" si="175"/>
        <v>0</v>
      </c>
      <c r="BM1235" s="9">
        <f t="shared" si="176"/>
        <v>2.5499999999999998</v>
      </c>
      <c r="BN1235" s="9">
        <f t="shared" si="177"/>
        <v>428.07</v>
      </c>
      <c r="BO1235" s="9">
        <f t="shared" si="178"/>
        <v>13.6</v>
      </c>
      <c r="BP1235" s="9">
        <f t="shared" si="179"/>
        <v>82.94</v>
      </c>
    </row>
    <row r="1236" spans="1:68">
      <c r="A1236" s="6">
        <v>44774</v>
      </c>
      <c r="B1236" s="7">
        <v>3703</v>
      </c>
      <c r="C1236" s="8">
        <v>823.33</v>
      </c>
      <c r="D1236" s="8">
        <v>548.79</v>
      </c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>
        <v>2.77</v>
      </c>
      <c r="R1236" s="11"/>
      <c r="S1236" s="8">
        <v>6.73</v>
      </c>
      <c r="T1236" s="8"/>
      <c r="U1236" s="8">
        <v>11.02</v>
      </c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>
        <v>14.016999999999999</v>
      </c>
      <c r="AM1236" s="8"/>
      <c r="AN1236" s="8"/>
      <c r="AO1236" s="8"/>
      <c r="AP1236" s="11"/>
      <c r="AQ1236" s="8"/>
      <c r="AR1236" s="8"/>
      <c r="AS1236" s="8"/>
      <c r="AT1236" s="8">
        <v>333.01</v>
      </c>
      <c r="AU1236" s="8">
        <v>167.05</v>
      </c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>
        <v>35.130000000000003</v>
      </c>
      <c r="BH1236" s="9">
        <f t="shared" si="171"/>
        <v>1372.12</v>
      </c>
      <c r="BI1236" s="9">
        <f t="shared" si="172"/>
        <v>2.77</v>
      </c>
      <c r="BJ1236" s="9">
        <f t="shared" si="173"/>
        <v>6.73</v>
      </c>
      <c r="BK1236" s="9">
        <f t="shared" si="174"/>
        <v>11.02</v>
      </c>
      <c r="BL1236" s="9">
        <f t="shared" si="175"/>
        <v>0</v>
      </c>
      <c r="BM1236" s="9">
        <f t="shared" si="176"/>
        <v>14.016999999999999</v>
      </c>
      <c r="BN1236" s="9">
        <f t="shared" si="177"/>
        <v>500.06</v>
      </c>
      <c r="BO1236" s="9">
        <f t="shared" si="178"/>
        <v>0</v>
      </c>
      <c r="BP1236" s="9">
        <f t="shared" si="179"/>
        <v>0</v>
      </c>
    </row>
    <row r="1237" spans="1:68">
      <c r="A1237" s="6">
        <v>44774</v>
      </c>
      <c r="B1237" s="7">
        <v>3141</v>
      </c>
      <c r="C1237" s="8">
        <v>2440.56</v>
      </c>
      <c r="D1237" s="8">
        <v>429.86</v>
      </c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>
        <v>7.22</v>
      </c>
      <c r="R1237" s="11"/>
      <c r="S1237" s="8">
        <v>13.43</v>
      </c>
      <c r="T1237" s="8"/>
      <c r="U1237" s="8">
        <v>43.17</v>
      </c>
      <c r="V1237" s="8"/>
      <c r="W1237" s="8"/>
      <c r="X1237" s="8"/>
      <c r="Y1237" s="8"/>
      <c r="Z1237" s="8"/>
      <c r="AA1237" s="8"/>
      <c r="AB1237" s="8"/>
      <c r="AC1237" s="8">
        <v>11.51</v>
      </c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11"/>
      <c r="AQ1237" s="8"/>
      <c r="AR1237" s="8"/>
      <c r="AS1237" s="8"/>
      <c r="AT1237" s="8">
        <v>1914.1</v>
      </c>
      <c r="AU1237" s="8"/>
      <c r="AV1237" s="8"/>
      <c r="AW1237" s="8"/>
      <c r="AX1237" s="8"/>
      <c r="AY1237" s="8"/>
      <c r="AZ1237" s="8"/>
      <c r="BA1237" s="8">
        <v>65.88</v>
      </c>
      <c r="BB1237" s="8"/>
      <c r="BC1237" s="8"/>
      <c r="BD1237" s="8"/>
      <c r="BE1237" s="8"/>
      <c r="BF1237" s="8">
        <v>201.17</v>
      </c>
      <c r="BG1237" s="8">
        <v>149.62</v>
      </c>
      <c r="BH1237" s="9">
        <f t="shared" si="171"/>
        <v>2870.42</v>
      </c>
      <c r="BI1237" s="9">
        <f t="shared" si="172"/>
        <v>7.22</v>
      </c>
      <c r="BJ1237" s="9">
        <f t="shared" si="173"/>
        <v>13.43</v>
      </c>
      <c r="BK1237" s="9">
        <f t="shared" si="174"/>
        <v>43.17</v>
      </c>
      <c r="BL1237" s="9">
        <f t="shared" si="175"/>
        <v>0</v>
      </c>
      <c r="BM1237" s="9">
        <f t="shared" si="176"/>
        <v>11.51</v>
      </c>
      <c r="BN1237" s="9">
        <f t="shared" si="177"/>
        <v>1914.1</v>
      </c>
      <c r="BO1237" s="9">
        <f t="shared" si="178"/>
        <v>65.88</v>
      </c>
      <c r="BP1237" s="9">
        <f t="shared" si="179"/>
        <v>201.17</v>
      </c>
    </row>
    <row r="1238" spans="1:68">
      <c r="A1238" s="6">
        <v>44774</v>
      </c>
      <c r="B1238" s="7">
        <v>3106</v>
      </c>
      <c r="C1238" s="8">
        <v>4092.01</v>
      </c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>
        <v>11.06</v>
      </c>
      <c r="R1238" s="11"/>
      <c r="S1238" s="8">
        <v>12.06</v>
      </c>
      <c r="T1238" s="8"/>
      <c r="U1238" s="8">
        <v>51.98</v>
      </c>
      <c r="V1238" s="8"/>
      <c r="W1238" s="8"/>
      <c r="X1238" s="8"/>
      <c r="Y1238" s="8"/>
      <c r="Z1238" s="8"/>
      <c r="AA1238" s="8"/>
      <c r="AB1238" s="8"/>
      <c r="AC1238" s="8">
        <v>10.220000000000001</v>
      </c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11"/>
      <c r="AQ1238" s="8"/>
      <c r="AR1238" s="8"/>
      <c r="AS1238" s="8"/>
      <c r="AT1238" s="8">
        <v>2340.67</v>
      </c>
      <c r="AU1238" s="8"/>
      <c r="AV1238" s="8"/>
      <c r="AW1238" s="8"/>
      <c r="AX1238" s="8">
        <v>5.1100000000000003</v>
      </c>
      <c r="AY1238" s="8"/>
      <c r="AZ1238" s="8"/>
      <c r="BA1238" s="8"/>
      <c r="BB1238" s="8"/>
      <c r="BC1238" s="8"/>
      <c r="BD1238" s="8"/>
      <c r="BE1238" s="8"/>
      <c r="BF1238" s="8"/>
      <c r="BG1238" s="8">
        <v>175.7</v>
      </c>
      <c r="BH1238" s="9">
        <f t="shared" si="171"/>
        <v>4092.01</v>
      </c>
      <c r="BI1238" s="9">
        <f t="shared" si="172"/>
        <v>11.06</v>
      </c>
      <c r="BJ1238" s="9">
        <f t="shared" si="173"/>
        <v>12.06</v>
      </c>
      <c r="BK1238" s="9">
        <f t="shared" si="174"/>
        <v>51.98</v>
      </c>
      <c r="BL1238" s="9">
        <f t="shared" si="175"/>
        <v>0</v>
      </c>
      <c r="BM1238" s="9">
        <f t="shared" si="176"/>
        <v>10.220000000000001</v>
      </c>
      <c r="BN1238" s="9">
        <f t="shared" si="177"/>
        <v>2340.67</v>
      </c>
      <c r="BO1238" s="9">
        <f t="shared" si="178"/>
        <v>5.1100000000000003</v>
      </c>
      <c r="BP1238" s="9">
        <f t="shared" si="179"/>
        <v>0</v>
      </c>
    </row>
    <row r="1239" spans="1:68">
      <c r="A1239" s="6">
        <v>44774</v>
      </c>
      <c r="B1239" s="7">
        <v>3005</v>
      </c>
      <c r="C1239" s="8">
        <v>810.15</v>
      </c>
      <c r="D1239" s="8">
        <v>540.46</v>
      </c>
      <c r="E1239" s="8"/>
      <c r="F1239" s="8"/>
      <c r="G1239" s="8"/>
      <c r="H1239" s="8"/>
      <c r="I1239" s="8"/>
      <c r="J1239" s="8"/>
      <c r="K1239" s="8"/>
      <c r="L1239" s="8"/>
      <c r="M1239" s="8"/>
      <c r="N1239" s="8">
        <v>1.35</v>
      </c>
      <c r="O1239" s="8"/>
      <c r="P1239" s="8"/>
      <c r="Q1239" s="8"/>
      <c r="R1239" s="11"/>
      <c r="S1239" s="8">
        <v>4.72</v>
      </c>
      <c r="T1239" s="8"/>
      <c r="U1239" s="8"/>
      <c r="V1239" s="8"/>
      <c r="W1239" s="8">
        <v>14.9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11"/>
      <c r="AQ1239" s="8"/>
      <c r="AR1239" s="8"/>
      <c r="AS1239" s="8"/>
      <c r="AT1239" s="8">
        <v>655.4</v>
      </c>
      <c r="AU1239" s="8"/>
      <c r="AV1239" s="8"/>
      <c r="AW1239" s="8">
        <v>14.98</v>
      </c>
      <c r="AX1239" s="8"/>
      <c r="AY1239" s="8"/>
      <c r="AZ1239" s="8"/>
      <c r="BA1239" s="8"/>
      <c r="BB1239" s="8"/>
      <c r="BC1239" s="8"/>
      <c r="BD1239" s="8"/>
      <c r="BE1239" s="8"/>
      <c r="BF1239" s="8"/>
      <c r="BG1239" s="8">
        <v>49.17</v>
      </c>
      <c r="BH1239" s="9">
        <f t="shared" si="171"/>
        <v>1350.6100000000001</v>
      </c>
      <c r="BI1239" s="9">
        <f t="shared" si="172"/>
        <v>1.35</v>
      </c>
      <c r="BJ1239" s="9">
        <f t="shared" si="173"/>
        <v>4.72</v>
      </c>
      <c r="BK1239" s="9">
        <f t="shared" si="174"/>
        <v>14.9</v>
      </c>
      <c r="BL1239" s="9">
        <f t="shared" si="175"/>
        <v>0</v>
      </c>
      <c r="BM1239" s="9">
        <f t="shared" si="176"/>
        <v>0</v>
      </c>
      <c r="BN1239" s="9">
        <f t="shared" si="177"/>
        <v>655.4</v>
      </c>
      <c r="BO1239" s="9">
        <f t="shared" si="178"/>
        <v>14.98</v>
      </c>
      <c r="BP1239" s="9">
        <f t="shared" si="179"/>
        <v>0</v>
      </c>
    </row>
    <row r="1240" spans="1:68">
      <c r="A1240" s="6">
        <v>44774</v>
      </c>
      <c r="B1240" s="7">
        <v>3007</v>
      </c>
      <c r="C1240" s="8">
        <v>785.87</v>
      </c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>
        <v>0.79</v>
      </c>
      <c r="O1240" s="8"/>
      <c r="P1240" s="8"/>
      <c r="Q1240" s="8"/>
      <c r="R1240" s="11"/>
      <c r="S1240" s="8">
        <v>2.93</v>
      </c>
      <c r="T1240" s="8"/>
      <c r="U1240" s="8"/>
      <c r="V1240" s="8"/>
      <c r="W1240" s="8">
        <v>7.92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11"/>
      <c r="AQ1240" s="8"/>
      <c r="AR1240" s="8"/>
      <c r="AS1240" s="8"/>
      <c r="AT1240" s="8">
        <v>396.55</v>
      </c>
      <c r="AU1240" s="8"/>
      <c r="AV1240" s="8"/>
      <c r="AW1240" s="8">
        <v>8.7899999999999991</v>
      </c>
      <c r="AX1240" s="8"/>
      <c r="AY1240" s="8"/>
      <c r="AZ1240" s="8"/>
      <c r="BA1240" s="8"/>
      <c r="BB1240" s="8"/>
      <c r="BC1240" s="8"/>
      <c r="BD1240" s="8"/>
      <c r="BE1240" s="8"/>
      <c r="BF1240" s="8"/>
      <c r="BG1240" s="8">
        <v>28.85</v>
      </c>
      <c r="BH1240" s="9">
        <f t="shared" si="171"/>
        <v>785.87</v>
      </c>
      <c r="BI1240" s="9">
        <f t="shared" si="172"/>
        <v>0.79</v>
      </c>
      <c r="BJ1240" s="9">
        <f t="shared" si="173"/>
        <v>2.93</v>
      </c>
      <c r="BK1240" s="9">
        <f t="shared" si="174"/>
        <v>7.92</v>
      </c>
      <c r="BL1240" s="9">
        <f t="shared" si="175"/>
        <v>0</v>
      </c>
      <c r="BM1240" s="9">
        <f t="shared" si="176"/>
        <v>0</v>
      </c>
      <c r="BN1240" s="9">
        <f t="shared" si="177"/>
        <v>396.55</v>
      </c>
      <c r="BO1240" s="9">
        <f t="shared" si="178"/>
        <v>8.7899999999999991</v>
      </c>
      <c r="BP1240" s="9">
        <f t="shared" si="179"/>
        <v>0</v>
      </c>
    </row>
    <row r="1241" spans="1:68">
      <c r="A1241" s="6">
        <v>44775</v>
      </c>
      <c r="B1241" s="7">
        <v>3601</v>
      </c>
      <c r="C1241" s="8">
        <f>33.39+293.11</f>
        <v>326.5</v>
      </c>
      <c r="D1241" s="8"/>
      <c r="E1241" s="8"/>
      <c r="F1241" s="8"/>
      <c r="G1241" s="8">
        <f>49.94+440.62</f>
        <v>490.56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>
        <f>0.09+1.06</f>
        <v>1.1500000000000001</v>
      </c>
      <c r="R1241" s="11"/>
      <c r="S1241" s="8">
        <f>0.42+3.7</f>
        <v>4.12</v>
      </c>
      <c r="T1241" s="8"/>
      <c r="U1241" s="8">
        <f>0.5+4.42</f>
        <v>4.92</v>
      </c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11"/>
      <c r="AQ1241" s="8"/>
      <c r="AR1241" s="8"/>
      <c r="AS1241" s="8"/>
      <c r="AT1241" s="8">
        <f>40.69+360.21</f>
        <v>400.9</v>
      </c>
      <c r="AU1241" s="8"/>
      <c r="AV1241" s="8"/>
      <c r="AW1241" s="8">
        <f>2.53+22.35</f>
        <v>24.880000000000003</v>
      </c>
      <c r="AX1241" s="8"/>
      <c r="AY1241" s="8"/>
      <c r="AZ1241" s="8"/>
      <c r="BA1241" s="8"/>
      <c r="BB1241" s="8"/>
      <c r="BC1241" s="8"/>
      <c r="BD1241" s="8"/>
      <c r="BE1241" s="8"/>
      <c r="BF1241" s="8">
        <f>4.68+41.2</f>
        <v>45.88</v>
      </c>
      <c r="BG1241" s="8">
        <f>3.09+27.24</f>
        <v>30.33</v>
      </c>
      <c r="BH1241" s="9">
        <f t="shared" si="171"/>
        <v>817.06</v>
      </c>
      <c r="BI1241" s="9">
        <f t="shared" si="172"/>
        <v>1.1500000000000001</v>
      </c>
      <c r="BJ1241" s="9">
        <f t="shared" si="173"/>
        <v>4.12</v>
      </c>
      <c r="BK1241" s="9">
        <f t="shared" si="174"/>
        <v>4.92</v>
      </c>
      <c r="BL1241" s="9">
        <f t="shared" si="175"/>
        <v>0</v>
      </c>
      <c r="BM1241" s="9">
        <f t="shared" si="176"/>
        <v>0</v>
      </c>
      <c r="BN1241" s="9">
        <f t="shared" si="177"/>
        <v>400.9</v>
      </c>
      <c r="BO1241" s="9">
        <f t="shared" si="178"/>
        <v>24.880000000000003</v>
      </c>
      <c r="BP1241" s="9">
        <f t="shared" si="179"/>
        <v>45.88</v>
      </c>
    </row>
    <row r="1242" spans="1:68">
      <c r="A1242" s="6">
        <v>44775</v>
      </c>
      <c r="B1242" s="7">
        <v>3433</v>
      </c>
      <c r="C1242" s="8">
        <v>1268.04</v>
      </c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>
        <v>2.5299999999999998</v>
      </c>
      <c r="R1242" s="11"/>
      <c r="S1242" s="8">
        <v>5.07</v>
      </c>
      <c r="T1242" s="8"/>
      <c r="U1242" s="8"/>
      <c r="V1242" s="8"/>
      <c r="W1242" s="8"/>
      <c r="X1242" s="8">
        <v>12.711</v>
      </c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11"/>
      <c r="AQ1242" s="8"/>
      <c r="AR1242" s="8"/>
      <c r="AS1242" s="8"/>
      <c r="AT1242" s="8">
        <v>575.86</v>
      </c>
      <c r="AU1242" s="8"/>
      <c r="AV1242" s="8"/>
      <c r="AW1242" s="8"/>
      <c r="AX1242" s="8"/>
      <c r="AY1242" s="8"/>
      <c r="AZ1242" s="8"/>
      <c r="BA1242" s="8">
        <v>5.73</v>
      </c>
      <c r="BB1242" s="8"/>
      <c r="BC1242" s="8"/>
      <c r="BD1242" s="8"/>
      <c r="BE1242" s="8"/>
      <c r="BF1242" s="8">
        <v>63.4</v>
      </c>
      <c r="BG1242" s="8">
        <v>42.4</v>
      </c>
      <c r="BH1242" s="9">
        <f t="shared" si="171"/>
        <v>1268.04</v>
      </c>
      <c r="BI1242" s="9">
        <f t="shared" si="172"/>
        <v>2.5299999999999998</v>
      </c>
      <c r="BJ1242" s="9">
        <f t="shared" si="173"/>
        <v>5.07</v>
      </c>
      <c r="BK1242" s="9">
        <f t="shared" si="174"/>
        <v>12.711</v>
      </c>
      <c r="BL1242" s="9">
        <f t="shared" si="175"/>
        <v>0</v>
      </c>
      <c r="BM1242" s="9">
        <f t="shared" si="176"/>
        <v>0</v>
      </c>
      <c r="BN1242" s="9">
        <f t="shared" si="177"/>
        <v>575.86</v>
      </c>
      <c r="BO1242" s="9">
        <f t="shared" si="178"/>
        <v>5.73</v>
      </c>
      <c r="BP1242" s="9">
        <f t="shared" si="179"/>
        <v>63.4</v>
      </c>
    </row>
    <row r="1243" spans="1:68">
      <c r="A1243" s="6">
        <v>44775</v>
      </c>
      <c r="B1243" s="7">
        <v>3405</v>
      </c>
      <c r="C1243" s="8">
        <v>2284.87</v>
      </c>
      <c r="D1243" s="8">
        <v>572.62</v>
      </c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>
        <v>5.71</v>
      </c>
      <c r="R1243" s="11"/>
      <c r="S1243" s="8">
        <v>6.57</v>
      </c>
      <c r="T1243" s="8"/>
      <c r="U1243" s="8"/>
      <c r="V1243" s="8"/>
      <c r="W1243" s="8"/>
      <c r="X1243" s="8">
        <v>34.683</v>
      </c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11"/>
      <c r="AQ1243" s="8"/>
      <c r="AR1243" s="8"/>
      <c r="AS1243" s="8"/>
      <c r="AT1243" s="8">
        <v>1402.91</v>
      </c>
      <c r="AU1243" s="8"/>
      <c r="AV1243" s="8"/>
      <c r="AW1243" s="8"/>
      <c r="AX1243" s="8"/>
      <c r="AY1243" s="8"/>
      <c r="AZ1243" s="8"/>
      <c r="BA1243" s="8">
        <v>12.81</v>
      </c>
      <c r="BB1243" s="8"/>
      <c r="BC1243" s="8"/>
      <c r="BD1243" s="8"/>
      <c r="BE1243" s="8"/>
      <c r="BF1243" s="8"/>
      <c r="BG1243" s="8">
        <v>94.43</v>
      </c>
      <c r="BH1243" s="9">
        <f t="shared" si="171"/>
        <v>2857.49</v>
      </c>
      <c r="BI1243" s="9">
        <f t="shared" si="172"/>
        <v>5.71</v>
      </c>
      <c r="BJ1243" s="9">
        <f t="shared" si="173"/>
        <v>6.57</v>
      </c>
      <c r="BK1243" s="9">
        <f t="shared" si="174"/>
        <v>34.683</v>
      </c>
      <c r="BL1243" s="9">
        <f t="shared" si="175"/>
        <v>0</v>
      </c>
      <c r="BM1243" s="9">
        <f t="shared" si="176"/>
        <v>0</v>
      </c>
      <c r="BN1243" s="9">
        <f t="shared" si="177"/>
        <v>1402.91</v>
      </c>
      <c r="BO1243" s="9">
        <f t="shared" si="178"/>
        <v>12.81</v>
      </c>
      <c r="BP1243" s="9">
        <f t="shared" si="179"/>
        <v>0</v>
      </c>
    </row>
    <row r="1244" spans="1:68">
      <c r="A1244" s="6">
        <v>44775</v>
      </c>
      <c r="B1244" s="7">
        <v>3203</v>
      </c>
      <c r="C1244" s="8">
        <v>1657.42</v>
      </c>
      <c r="D1244" s="8"/>
      <c r="E1244" s="8">
        <v>711.4</v>
      </c>
      <c r="F1244" s="8"/>
      <c r="G1244" s="8"/>
      <c r="H1244" s="8"/>
      <c r="I1244" s="8"/>
      <c r="J1244" s="8"/>
      <c r="K1244" s="8"/>
      <c r="L1244" s="8"/>
      <c r="M1244" s="8"/>
      <c r="N1244" s="8"/>
      <c r="O1244" s="8">
        <v>7.13</v>
      </c>
      <c r="P1244" s="8"/>
      <c r="Q1244" s="8"/>
      <c r="R1244" s="11"/>
      <c r="S1244" s="8">
        <v>9.27</v>
      </c>
      <c r="T1244" s="8"/>
      <c r="U1244" s="8">
        <v>29.45</v>
      </c>
      <c r="V1244" s="8"/>
      <c r="W1244" s="8"/>
      <c r="X1244" s="8"/>
      <c r="Y1244" s="8"/>
      <c r="Z1244" s="8">
        <v>374.2</v>
      </c>
      <c r="AA1244" s="8">
        <v>293.37599999999998</v>
      </c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11"/>
      <c r="AQ1244" s="8"/>
      <c r="AR1244" s="8"/>
      <c r="AS1244" s="8"/>
      <c r="AT1244" s="8">
        <v>886.46</v>
      </c>
      <c r="AU1244" s="8">
        <v>444.21</v>
      </c>
      <c r="AV1244" s="8"/>
      <c r="AW1244" s="8"/>
      <c r="AX1244" s="8"/>
      <c r="AY1244" s="8"/>
      <c r="AZ1244" s="8"/>
      <c r="BA1244" s="8"/>
      <c r="BB1244" s="8"/>
      <c r="BC1244" s="8">
        <v>6.18</v>
      </c>
      <c r="BD1244" s="8"/>
      <c r="BE1244" s="8"/>
      <c r="BF1244" s="8"/>
      <c r="BG1244" s="8">
        <v>86.85</v>
      </c>
      <c r="BH1244" s="9">
        <f t="shared" si="171"/>
        <v>2368.8200000000002</v>
      </c>
      <c r="BI1244" s="9">
        <f t="shared" si="172"/>
        <v>7.13</v>
      </c>
      <c r="BJ1244" s="9">
        <f t="shared" si="173"/>
        <v>9.27</v>
      </c>
      <c r="BK1244" s="9">
        <f t="shared" si="174"/>
        <v>29.45</v>
      </c>
      <c r="BL1244" s="9">
        <f t="shared" si="175"/>
        <v>667.57600000000002</v>
      </c>
      <c r="BM1244" s="9">
        <f t="shared" si="176"/>
        <v>0</v>
      </c>
      <c r="BN1244" s="9">
        <f t="shared" si="177"/>
        <v>1330.67</v>
      </c>
      <c r="BO1244" s="9">
        <f t="shared" si="178"/>
        <v>6.18</v>
      </c>
      <c r="BP1244" s="9">
        <f t="shared" si="179"/>
        <v>0</v>
      </c>
    </row>
    <row r="1245" spans="1:68">
      <c r="A1245" s="6">
        <v>44775</v>
      </c>
      <c r="B1245" s="7">
        <v>3139</v>
      </c>
      <c r="C1245" s="8">
        <v>861.44</v>
      </c>
      <c r="D1245" s="8"/>
      <c r="E1245" s="8"/>
      <c r="F1245" s="8"/>
      <c r="G1245" s="8"/>
      <c r="H1245" s="8">
        <v>356.63</v>
      </c>
      <c r="I1245" s="8"/>
      <c r="J1245" s="8"/>
      <c r="K1245" s="8"/>
      <c r="L1245" s="8"/>
      <c r="M1245" s="8"/>
      <c r="N1245" s="8"/>
      <c r="O1245" s="8"/>
      <c r="P1245" s="8"/>
      <c r="Q1245" s="8">
        <v>2.02</v>
      </c>
      <c r="R1245" s="11"/>
      <c r="S1245" s="8">
        <v>3.83</v>
      </c>
      <c r="T1245" s="8"/>
      <c r="U1245" s="8">
        <v>12.8</v>
      </c>
      <c r="V1245" s="8"/>
      <c r="W1245" s="8"/>
      <c r="X1245" s="8"/>
      <c r="Y1245" s="8"/>
      <c r="Z1245" s="8"/>
      <c r="AA1245" s="8"/>
      <c r="AB1245" s="8"/>
      <c r="AC1245" s="8">
        <v>4.25</v>
      </c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11"/>
      <c r="AQ1245" s="8"/>
      <c r="AR1245" s="8"/>
      <c r="AS1245" s="8"/>
      <c r="AT1245" s="8">
        <v>630.98</v>
      </c>
      <c r="AU1245" s="8"/>
      <c r="AV1245" s="8">
        <v>21.35</v>
      </c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>
        <v>45.73</v>
      </c>
      <c r="BH1245" s="9">
        <f t="shared" si="171"/>
        <v>1218.0700000000002</v>
      </c>
      <c r="BI1245" s="9">
        <f t="shared" si="172"/>
        <v>2.02</v>
      </c>
      <c r="BJ1245" s="9">
        <f t="shared" si="173"/>
        <v>3.83</v>
      </c>
      <c r="BK1245" s="9">
        <f t="shared" si="174"/>
        <v>12.8</v>
      </c>
      <c r="BL1245" s="9">
        <f t="shared" si="175"/>
        <v>0</v>
      </c>
      <c r="BM1245" s="9">
        <f t="shared" si="176"/>
        <v>4.25</v>
      </c>
      <c r="BN1245" s="9">
        <f t="shared" si="177"/>
        <v>630.98</v>
      </c>
      <c r="BO1245" s="9">
        <f t="shared" si="178"/>
        <v>21.35</v>
      </c>
      <c r="BP1245" s="9">
        <f t="shared" si="179"/>
        <v>0</v>
      </c>
    </row>
    <row r="1246" spans="1:68">
      <c r="A1246" s="6">
        <v>44775</v>
      </c>
      <c r="B1246" s="7">
        <v>8220</v>
      </c>
      <c r="C1246" s="8"/>
      <c r="D1246" s="8">
        <v>422.26</v>
      </c>
      <c r="E1246" s="8"/>
      <c r="F1246" s="8">
        <v>236.74</v>
      </c>
      <c r="G1246" s="8"/>
      <c r="H1246" s="8"/>
      <c r="I1246" s="8">
        <v>218.84</v>
      </c>
      <c r="J1246" s="8"/>
      <c r="K1246" s="8"/>
      <c r="L1246" s="8"/>
      <c r="M1246" s="8"/>
      <c r="N1246" s="8">
        <v>6.35</v>
      </c>
      <c r="O1246" s="8"/>
      <c r="P1246" s="8"/>
      <c r="Q1246" s="8"/>
      <c r="R1246" s="11"/>
      <c r="S1246" s="8">
        <v>0.53</v>
      </c>
      <c r="T1246" s="8"/>
      <c r="U1246" s="8"/>
      <c r="V1246" s="8"/>
      <c r="W1246" s="8">
        <v>7.16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>
        <v>3.08</v>
      </c>
      <c r="AN1246" s="8">
        <v>8.9429999999999996</v>
      </c>
      <c r="AO1246" s="8"/>
      <c r="AP1246" s="11"/>
      <c r="AQ1246" s="8"/>
      <c r="AR1246" s="8">
        <v>30.946000000000002</v>
      </c>
      <c r="AS1246" s="8"/>
      <c r="AT1246" s="8">
        <v>329.46</v>
      </c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>
        <v>24.31</v>
      </c>
      <c r="BH1246" s="9">
        <f t="shared" si="171"/>
        <v>877.84</v>
      </c>
      <c r="BI1246" s="9">
        <f t="shared" si="172"/>
        <v>6.35</v>
      </c>
      <c r="BJ1246" s="9">
        <f t="shared" si="173"/>
        <v>0.53</v>
      </c>
      <c r="BK1246" s="9">
        <f t="shared" si="174"/>
        <v>7.16</v>
      </c>
      <c r="BL1246" s="9">
        <f t="shared" si="175"/>
        <v>0</v>
      </c>
      <c r="BM1246" s="9">
        <f t="shared" si="176"/>
        <v>42.969000000000001</v>
      </c>
      <c r="BN1246" s="9">
        <f t="shared" si="177"/>
        <v>329.46</v>
      </c>
      <c r="BO1246" s="9">
        <f t="shared" si="178"/>
        <v>0</v>
      </c>
      <c r="BP1246" s="9">
        <f t="shared" si="179"/>
        <v>0</v>
      </c>
    </row>
    <row r="1247" spans="1:68">
      <c r="A1247" s="6">
        <v>44775</v>
      </c>
      <c r="B1247" s="7">
        <v>3079</v>
      </c>
      <c r="C1247" s="8"/>
      <c r="D1247" s="8"/>
      <c r="E1247" s="8"/>
      <c r="F1247" s="8">
        <v>342.52</v>
      </c>
      <c r="G1247" s="8"/>
      <c r="H1247" s="8"/>
      <c r="I1247" s="8">
        <v>2776.18</v>
      </c>
      <c r="J1247" s="8"/>
      <c r="K1247" s="8"/>
      <c r="L1247" s="8"/>
      <c r="M1247" s="8"/>
      <c r="N1247" s="8">
        <v>21.55</v>
      </c>
      <c r="O1247" s="8"/>
      <c r="P1247" s="8"/>
      <c r="Q1247" s="8"/>
      <c r="R1247" s="11"/>
      <c r="S1247" s="8">
        <v>1.23</v>
      </c>
      <c r="T1247" s="8"/>
      <c r="U1247" s="8"/>
      <c r="V1247" s="8"/>
      <c r="W1247" s="8">
        <v>31.23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>
        <v>12.48</v>
      </c>
      <c r="AN1247" s="8">
        <v>31.837</v>
      </c>
      <c r="AO1247" s="8"/>
      <c r="AP1247" s="11"/>
      <c r="AQ1247" s="8"/>
      <c r="AR1247" s="8">
        <v>78.409000000000006</v>
      </c>
      <c r="AS1247" s="8"/>
      <c r="AT1247" s="8">
        <v>1201.52</v>
      </c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>
        <v>87.22</v>
      </c>
      <c r="BH1247" s="9">
        <f t="shared" si="171"/>
        <v>3118.7</v>
      </c>
      <c r="BI1247" s="9">
        <f t="shared" si="172"/>
        <v>21.55</v>
      </c>
      <c r="BJ1247" s="9">
        <f t="shared" si="173"/>
        <v>1.23</v>
      </c>
      <c r="BK1247" s="9">
        <f t="shared" si="174"/>
        <v>31.23</v>
      </c>
      <c r="BL1247" s="9">
        <f t="shared" si="175"/>
        <v>0</v>
      </c>
      <c r="BM1247" s="9">
        <f t="shared" si="176"/>
        <v>122.726</v>
      </c>
      <c r="BN1247" s="9">
        <f t="shared" si="177"/>
        <v>1201.52</v>
      </c>
      <c r="BO1247" s="9">
        <f t="shared" si="178"/>
        <v>0</v>
      </c>
      <c r="BP1247" s="9">
        <f t="shared" si="179"/>
        <v>0</v>
      </c>
    </row>
    <row r="1248" spans="1:68">
      <c r="A1248" s="6">
        <v>44775</v>
      </c>
      <c r="B1248" s="7">
        <v>3141</v>
      </c>
      <c r="C1248" s="8">
        <v>2395.6799999999998</v>
      </c>
      <c r="D1248" s="8">
        <v>424.16</v>
      </c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>
        <v>7.71</v>
      </c>
      <c r="R1248" s="11"/>
      <c r="S1248" s="8">
        <v>13.3</v>
      </c>
      <c r="T1248" s="8"/>
      <c r="U1248" s="8">
        <v>42.44</v>
      </c>
      <c r="V1248" s="8"/>
      <c r="W1248" s="8"/>
      <c r="X1248" s="8"/>
      <c r="Y1248" s="8"/>
      <c r="Z1248" s="8"/>
      <c r="AA1248" s="8"/>
      <c r="AB1248" s="8"/>
      <c r="AC1248" s="8">
        <v>11.31</v>
      </c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11"/>
      <c r="AQ1248" s="8"/>
      <c r="AR1248" s="8"/>
      <c r="AS1248" s="8"/>
      <c r="AT1248" s="8">
        <v>1879.63</v>
      </c>
      <c r="AU1248" s="8"/>
      <c r="AV1248" s="8"/>
      <c r="AW1248" s="8"/>
      <c r="AX1248" s="8"/>
      <c r="AY1248" s="8"/>
      <c r="AZ1248" s="8"/>
      <c r="BA1248" s="8">
        <v>64.81</v>
      </c>
      <c r="BB1248" s="8"/>
      <c r="BC1248" s="8"/>
      <c r="BD1248" s="8"/>
      <c r="BE1248" s="8"/>
      <c r="BF1248" s="8">
        <v>197.87</v>
      </c>
      <c r="BG1248" s="8">
        <v>147.33000000000001</v>
      </c>
      <c r="BH1248" s="9">
        <f t="shared" si="171"/>
        <v>2819.8399999999997</v>
      </c>
      <c r="BI1248" s="9">
        <f t="shared" si="172"/>
        <v>7.71</v>
      </c>
      <c r="BJ1248" s="9">
        <f t="shared" si="173"/>
        <v>13.3</v>
      </c>
      <c r="BK1248" s="9">
        <f t="shared" si="174"/>
        <v>42.44</v>
      </c>
      <c r="BL1248" s="9">
        <f t="shared" si="175"/>
        <v>0</v>
      </c>
      <c r="BM1248" s="9">
        <f t="shared" si="176"/>
        <v>11.31</v>
      </c>
      <c r="BN1248" s="9">
        <f t="shared" si="177"/>
        <v>1879.63</v>
      </c>
      <c r="BO1248" s="9">
        <f t="shared" si="178"/>
        <v>64.81</v>
      </c>
      <c r="BP1248" s="9">
        <f t="shared" si="179"/>
        <v>197.87</v>
      </c>
    </row>
    <row r="1249" spans="1:68">
      <c r="A1249" s="6">
        <v>44775</v>
      </c>
      <c r="B1249" s="7">
        <v>3106</v>
      </c>
      <c r="C1249" s="8">
        <v>6064.89</v>
      </c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>
        <v>16.41</v>
      </c>
      <c r="R1249" s="11"/>
      <c r="S1249" s="8">
        <v>17.62</v>
      </c>
      <c r="T1249" s="8"/>
      <c r="U1249" s="8">
        <v>77.180000000000007</v>
      </c>
      <c r="V1249" s="8"/>
      <c r="W1249" s="8"/>
      <c r="X1249" s="8"/>
      <c r="Y1249" s="8"/>
      <c r="Z1249" s="8"/>
      <c r="AA1249" s="8"/>
      <c r="AB1249" s="8"/>
      <c r="AC1249" s="8">
        <v>15.17</v>
      </c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11"/>
      <c r="AQ1249" s="8"/>
      <c r="AR1249" s="8"/>
      <c r="AS1249" s="8"/>
      <c r="AT1249" s="8">
        <v>3472.43</v>
      </c>
      <c r="AU1249" s="8"/>
      <c r="AV1249" s="8"/>
      <c r="AW1249" s="8"/>
      <c r="AX1249" s="8">
        <v>7.59</v>
      </c>
      <c r="AY1249" s="8"/>
      <c r="AZ1249" s="8"/>
      <c r="BA1249" s="8"/>
      <c r="BB1249" s="8"/>
      <c r="BC1249" s="8"/>
      <c r="BD1249" s="8"/>
      <c r="BE1249" s="8"/>
      <c r="BF1249" s="8"/>
      <c r="BG1249" s="8">
        <v>261.02</v>
      </c>
      <c r="BH1249" s="9">
        <f t="shared" si="171"/>
        <v>6064.89</v>
      </c>
      <c r="BI1249" s="9">
        <f t="shared" si="172"/>
        <v>16.41</v>
      </c>
      <c r="BJ1249" s="9">
        <f t="shared" si="173"/>
        <v>17.62</v>
      </c>
      <c r="BK1249" s="9">
        <f t="shared" si="174"/>
        <v>77.180000000000007</v>
      </c>
      <c r="BL1249" s="9">
        <f t="shared" si="175"/>
        <v>0</v>
      </c>
      <c r="BM1249" s="9">
        <f t="shared" si="176"/>
        <v>15.17</v>
      </c>
      <c r="BN1249" s="9">
        <f t="shared" si="177"/>
        <v>3472.43</v>
      </c>
      <c r="BO1249" s="9">
        <f t="shared" si="178"/>
        <v>7.59</v>
      </c>
      <c r="BP1249" s="9">
        <f t="shared" si="179"/>
        <v>0</v>
      </c>
    </row>
    <row r="1250" spans="1:68">
      <c r="A1250" s="6">
        <v>44776</v>
      </c>
      <c r="B1250" s="7">
        <v>8264</v>
      </c>
      <c r="C1250" s="8">
        <f>39.03+293.67</f>
        <v>332.70000000000005</v>
      </c>
      <c r="D1250" s="8"/>
      <c r="E1250" s="8"/>
      <c r="F1250" s="8"/>
      <c r="G1250" s="8">
        <f>58.43+440.3</f>
        <v>498.73</v>
      </c>
      <c r="H1250" s="8"/>
      <c r="I1250" s="8"/>
      <c r="J1250" s="8"/>
      <c r="K1250" s="8"/>
      <c r="L1250" s="8"/>
      <c r="M1250" s="8">
        <v>0.89</v>
      </c>
      <c r="N1250" s="8"/>
      <c r="O1250" s="8"/>
      <c r="P1250" s="8"/>
      <c r="Q1250" s="8"/>
      <c r="R1250" s="11"/>
      <c r="S1250" s="8">
        <f>0.47+3.53</f>
        <v>4</v>
      </c>
      <c r="T1250" s="8"/>
      <c r="U1250" s="8">
        <f>0.78+5.87</f>
        <v>6.65</v>
      </c>
      <c r="V1250" s="8">
        <v>8.0180000000000007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11"/>
      <c r="AQ1250" s="8"/>
      <c r="AR1250" s="8"/>
      <c r="AS1250" s="8"/>
      <c r="AT1250" s="8">
        <f>39.44+296.79</f>
        <v>336.23</v>
      </c>
      <c r="AU1250" s="8"/>
      <c r="AV1250" s="8"/>
      <c r="AW1250" s="8">
        <f>2.53+19.02</f>
        <v>21.55</v>
      </c>
      <c r="AX1250" s="8"/>
      <c r="AY1250" s="8"/>
      <c r="AZ1250" s="8"/>
      <c r="BA1250" s="8"/>
      <c r="BB1250" s="8"/>
      <c r="BC1250" s="8"/>
      <c r="BD1250" s="8"/>
      <c r="BE1250" s="8"/>
      <c r="BF1250" s="8">
        <f>3.16+23.57</f>
        <v>26.73</v>
      </c>
      <c r="BG1250" s="8">
        <f>22.01+2.95</f>
        <v>24.96</v>
      </c>
      <c r="BH1250" s="9">
        <f t="shared" si="171"/>
        <v>831.43000000000006</v>
      </c>
      <c r="BI1250" s="9">
        <f t="shared" si="172"/>
        <v>0.89</v>
      </c>
      <c r="BJ1250" s="9">
        <f t="shared" si="173"/>
        <v>4</v>
      </c>
      <c r="BK1250" s="9">
        <f t="shared" si="174"/>
        <v>14.668000000000001</v>
      </c>
      <c r="BL1250" s="9">
        <f t="shared" si="175"/>
        <v>0</v>
      </c>
      <c r="BM1250" s="9">
        <f t="shared" si="176"/>
        <v>0</v>
      </c>
      <c r="BN1250" s="9">
        <f t="shared" si="177"/>
        <v>336.23</v>
      </c>
      <c r="BO1250" s="9">
        <f t="shared" si="178"/>
        <v>21.55</v>
      </c>
      <c r="BP1250" s="9">
        <f t="shared" si="179"/>
        <v>26.73</v>
      </c>
    </row>
    <row r="1251" spans="1:68">
      <c r="A1251" s="6">
        <v>44776</v>
      </c>
      <c r="B1251" s="7">
        <v>3705</v>
      </c>
      <c r="C1251" s="8"/>
      <c r="D1251" s="8">
        <f>1394.34+135.14</f>
        <v>1529.48</v>
      </c>
      <c r="E1251" s="8"/>
      <c r="F1251" s="8"/>
      <c r="G1251" s="8"/>
      <c r="H1251" s="8"/>
      <c r="I1251" s="8">
        <f>305.6+29.77</f>
        <v>335.37</v>
      </c>
      <c r="J1251" s="8"/>
      <c r="K1251" s="8"/>
      <c r="L1251" s="8"/>
      <c r="M1251" s="8"/>
      <c r="N1251" s="8"/>
      <c r="O1251" s="8"/>
      <c r="P1251" s="8"/>
      <c r="Q1251" s="8">
        <f>0.49+5.16</f>
        <v>5.65</v>
      </c>
      <c r="R1251" s="11"/>
      <c r="S1251" s="8">
        <f>0.58+5.94</f>
        <v>6.5200000000000005</v>
      </c>
      <c r="T1251" s="8"/>
      <c r="U1251" s="8">
        <f>11.89+1.16</f>
        <v>13.05</v>
      </c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11"/>
      <c r="AQ1251" s="8"/>
      <c r="AR1251" s="8"/>
      <c r="AS1251" s="8"/>
      <c r="AT1251" s="8">
        <f>101.84+10.06</f>
        <v>111.9</v>
      </c>
      <c r="AU1251" s="8">
        <f>19.56+202.39</f>
        <v>221.95</v>
      </c>
      <c r="AV1251" s="8">
        <f>3.4+0.33</f>
        <v>3.73</v>
      </c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>
        <f>16.69+1.62</f>
        <v>18.310000000000002</v>
      </c>
      <c r="BH1251" s="9">
        <f t="shared" si="171"/>
        <v>1864.85</v>
      </c>
      <c r="BI1251" s="9">
        <f t="shared" si="172"/>
        <v>5.65</v>
      </c>
      <c r="BJ1251" s="9">
        <f t="shared" si="173"/>
        <v>6.5200000000000005</v>
      </c>
      <c r="BK1251" s="9">
        <f t="shared" si="174"/>
        <v>13.05</v>
      </c>
      <c r="BL1251" s="9">
        <f t="shared" si="175"/>
        <v>0</v>
      </c>
      <c r="BM1251" s="9">
        <f t="shared" si="176"/>
        <v>0</v>
      </c>
      <c r="BN1251" s="9">
        <f t="shared" si="177"/>
        <v>333.85</v>
      </c>
      <c r="BO1251" s="9">
        <f t="shared" si="178"/>
        <v>3.73</v>
      </c>
      <c r="BP1251" s="9">
        <f t="shared" si="179"/>
        <v>0</v>
      </c>
    </row>
    <row r="1252" spans="1:68">
      <c r="A1252" s="6">
        <v>44776</v>
      </c>
      <c r="B1252" s="7">
        <v>3403</v>
      </c>
      <c r="C1252" s="8">
        <v>380.38</v>
      </c>
      <c r="D1252" s="8">
        <v>380.3</v>
      </c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>
        <v>1.73</v>
      </c>
      <c r="R1252" s="11"/>
      <c r="S1252" s="8">
        <v>1.75</v>
      </c>
      <c r="T1252" s="8"/>
      <c r="U1252" s="8"/>
      <c r="V1252" s="8"/>
      <c r="W1252" s="8"/>
      <c r="X1252" s="8">
        <f>1023*7.6/1000</f>
        <v>7.774799999999999</v>
      </c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11"/>
      <c r="AQ1252" s="8"/>
      <c r="AR1252" s="8"/>
      <c r="AS1252" s="8"/>
      <c r="AT1252" s="8">
        <v>355.62</v>
      </c>
      <c r="AU1252" s="8"/>
      <c r="AV1252" s="8">
        <v>22.87</v>
      </c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>
        <v>25.15</v>
      </c>
      <c r="BH1252" s="9">
        <f t="shared" si="171"/>
        <v>760.68000000000006</v>
      </c>
      <c r="BI1252" s="9">
        <f t="shared" si="172"/>
        <v>1.73</v>
      </c>
      <c r="BJ1252" s="9">
        <f t="shared" si="173"/>
        <v>1.75</v>
      </c>
      <c r="BK1252" s="9">
        <f t="shared" si="174"/>
        <v>7.774799999999999</v>
      </c>
      <c r="BL1252" s="9">
        <f t="shared" si="175"/>
        <v>0</v>
      </c>
      <c r="BM1252" s="9">
        <f t="shared" si="176"/>
        <v>0</v>
      </c>
      <c r="BN1252" s="9">
        <f t="shared" si="177"/>
        <v>355.62</v>
      </c>
      <c r="BO1252" s="9">
        <f t="shared" si="178"/>
        <v>22.87</v>
      </c>
      <c r="BP1252" s="9">
        <f t="shared" si="179"/>
        <v>0</v>
      </c>
    </row>
    <row r="1253" spans="1:68">
      <c r="A1253" s="6">
        <v>44776</v>
      </c>
      <c r="B1253" s="7">
        <v>3409</v>
      </c>
      <c r="C1253" s="8">
        <v>1414.05</v>
      </c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>
        <v>3.21</v>
      </c>
      <c r="R1253" s="11"/>
      <c r="S1253" s="8">
        <v>3.54</v>
      </c>
      <c r="T1253" s="8"/>
      <c r="U1253" s="8"/>
      <c r="V1253" s="8"/>
      <c r="W1253" s="8"/>
      <c r="X1253" s="8">
        <f>1023*14.17/1000</f>
        <v>14.49591</v>
      </c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11"/>
      <c r="AQ1253" s="8"/>
      <c r="AR1253" s="8"/>
      <c r="AS1253" s="8"/>
      <c r="AT1253" s="8">
        <v>727.52</v>
      </c>
      <c r="AU1253" s="8"/>
      <c r="AV1253" s="8">
        <v>42.52</v>
      </c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>
        <v>49.36</v>
      </c>
      <c r="BH1253" s="9">
        <f t="shared" si="171"/>
        <v>1414.05</v>
      </c>
      <c r="BI1253" s="9">
        <f t="shared" si="172"/>
        <v>3.21</v>
      </c>
      <c r="BJ1253" s="9">
        <f t="shared" si="173"/>
        <v>3.54</v>
      </c>
      <c r="BK1253" s="9">
        <f t="shared" si="174"/>
        <v>14.49591</v>
      </c>
      <c r="BL1253" s="9">
        <f t="shared" si="175"/>
        <v>0</v>
      </c>
      <c r="BM1253" s="9">
        <f t="shared" si="176"/>
        <v>0</v>
      </c>
      <c r="BN1253" s="9">
        <f t="shared" si="177"/>
        <v>727.52</v>
      </c>
      <c r="BO1253" s="9">
        <f t="shared" si="178"/>
        <v>42.52</v>
      </c>
      <c r="BP1253" s="9">
        <f t="shared" si="179"/>
        <v>0</v>
      </c>
    </row>
    <row r="1254" spans="1:68">
      <c r="A1254" s="6">
        <v>44776</v>
      </c>
      <c r="B1254" s="7">
        <v>3408</v>
      </c>
      <c r="C1254" s="8">
        <v>698.04</v>
      </c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>
        <v>1.62</v>
      </c>
      <c r="R1254" s="11"/>
      <c r="S1254" s="8">
        <v>1.75</v>
      </c>
      <c r="T1254" s="8"/>
      <c r="U1254" s="8"/>
      <c r="V1254" s="8"/>
      <c r="W1254" s="8"/>
      <c r="X1254" s="8">
        <f>1023*0.007</f>
        <v>7.1610000000000005</v>
      </c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11"/>
      <c r="AQ1254" s="8"/>
      <c r="AR1254" s="8"/>
      <c r="AS1254" s="8"/>
      <c r="AT1254" s="8">
        <v>349.74</v>
      </c>
      <c r="AU1254" s="8"/>
      <c r="AV1254" s="8"/>
      <c r="AW1254" s="8"/>
      <c r="AX1254" s="8"/>
      <c r="AY1254" s="8"/>
      <c r="AZ1254" s="8"/>
      <c r="BA1254" s="8">
        <v>3.17</v>
      </c>
      <c r="BB1254" s="8"/>
      <c r="BC1254" s="8"/>
      <c r="BD1254" s="8"/>
      <c r="BE1254" s="8"/>
      <c r="BF1254" s="8"/>
      <c r="BG1254" s="8">
        <v>32.85</v>
      </c>
      <c r="BH1254" s="9">
        <f t="shared" si="171"/>
        <v>698.04</v>
      </c>
      <c r="BI1254" s="9">
        <f t="shared" si="172"/>
        <v>1.62</v>
      </c>
      <c r="BJ1254" s="9">
        <f t="shared" si="173"/>
        <v>1.75</v>
      </c>
      <c r="BK1254" s="9">
        <f t="shared" si="174"/>
        <v>7.1610000000000005</v>
      </c>
      <c r="BL1254" s="9">
        <f t="shared" si="175"/>
        <v>0</v>
      </c>
      <c r="BM1254" s="9">
        <f t="shared" si="176"/>
        <v>0</v>
      </c>
      <c r="BN1254" s="9">
        <f t="shared" si="177"/>
        <v>349.74</v>
      </c>
      <c r="BO1254" s="9">
        <f t="shared" si="178"/>
        <v>3.17</v>
      </c>
      <c r="BP1254" s="9">
        <f t="shared" si="179"/>
        <v>0</v>
      </c>
    </row>
    <row r="1255" spans="1:68">
      <c r="A1255" s="6">
        <v>44776</v>
      </c>
      <c r="B1255" s="7">
        <v>3028</v>
      </c>
      <c r="C1255" s="8"/>
      <c r="D1255" s="8">
        <v>421.89</v>
      </c>
      <c r="E1255" s="8"/>
      <c r="F1255" s="8">
        <v>387.75</v>
      </c>
      <c r="G1255" s="8"/>
      <c r="H1255" s="8"/>
      <c r="I1255" s="8">
        <v>876.15</v>
      </c>
      <c r="J1255" s="8"/>
      <c r="K1255" s="8"/>
      <c r="L1255" s="8"/>
      <c r="M1255" s="8"/>
      <c r="N1255" s="8">
        <v>12.64</v>
      </c>
      <c r="O1255" s="8"/>
      <c r="P1255" s="8"/>
      <c r="Q1255" s="8"/>
      <c r="R1255" s="11"/>
      <c r="S1255" s="8">
        <v>2.35</v>
      </c>
      <c r="T1255" s="8"/>
      <c r="U1255" s="8"/>
      <c r="V1255" s="8"/>
      <c r="W1255" s="8">
        <v>12.64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>
        <v>16.87</v>
      </c>
      <c r="AN1255" s="8">
        <f>1062*11.22/1000</f>
        <v>11.915640000000002</v>
      </c>
      <c r="AO1255" s="8"/>
      <c r="AP1255" s="11"/>
      <c r="AQ1255" s="8"/>
      <c r="AR1255" s="8"/>
      <c r="AS1255" s="8">
        <v>55.762</v>
      </c>
      <c r="AT1255" s="8">
        <v>561.65</v>
      </c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>
        <v>37.82</v>
      </c>
      <c r="BH1255" s="9">
        <f t="shared" si="171"/>
        <v>1685.79</v>
      </c>
      <c r="BI1255" s="9">
        <f t="shared" si="172"/>
        <v>12.64</v>
      </c>
      <c r="BJ1255" s="9">
        <f t="shared" si="173"/>
        <v>2.35</v>
      </c>
      <c r="BK1255" s="9">
        <f t="shared" si="174"/>
        <v>12.64</v>
      </c>
      <c r="BL1255" s="9">
        <f t="shared" si="175"/>
        <v>0</v>
      </c>
      <c r="BM1255" s="9">
        <f t="shared" si="176"/>
        <v>84.547640000000001</v>
      </c>
      <c r="BN1255" s="9">
        <f t="shared" si="177"/>
        <v>561.65</v>
      </c>
      <c r="BO1255" s="9">
        <f t="shared" si="178"/>
        <v>0</v>
      </c>
      <c r="BP1255" s="9">
        <f t="shared" si="179"/>
        <v>0</v>
      </c>
    </row>
    <row r="1256" spans="1:68">
      <c r="A1256" s="6">
        <v>44776</v>
      </c>
      <c r="B1256" s="7">
        <v>3023</v>
      </c>
      <c r="C1256" s="8"/>
      <c r="D1256" s="8">
        <v>889.26</v>
      </c>
      <c r="E1256" s="8"/>
      <c r="F1256" s="8"/>
      <c r="G1256" s="8"/>
      <c r="H1256" s="8"/>
      <c r="I1256" s="8">
        <v>479.34</v>
      </c>
      <c r="J1256" s="8"/>
      <c r="K1256" s="8"/>
      <c r="L1256" s="8"/>
      <c r="M1256" s="8"/>
      <c r="N1256" s="8">
        <v>7.68</v>
      </c>
      <c r="O1256" s="8"/>
      <c r="P1256" s="8"/>
      <c r="Q1256" s="8"/>
      <c r="R1256" s="11"/>
      <c r="S1256" s="8">
        <v>2.2000000000000002</v>
      </c>
      <c r="T1256" s="8"/>
      <c r="U1256" s="8"/>
      <c r="V1256" s="8"/>
      <c r="W1256" s="8">
        <v>12.35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>
        <v>13.69</v>
      </c>
      <c r="AN1256" s="8">
        <f>1032*9.45/1000</f>
        <v>9.7523999999999997</v>
      </c>
      <c r="AO1256" s="8"/>
      <c r="AP1256" s="11"/>
      <c r="AQ1256" s="8"/>
      <c r="AR1256" s="8"/>
      <c r="AS1256" s="8">
        <f>4786*9.45/1000</f>
        <v>45.227699999999999</v>
      </c>
      <c r="AT1256" s="8">
        <v>561.16999999999996</v>
      </c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>
        <v>42.41</v>
      </c>
      <c r="BH1256" s="9">
        <f t="shared" si="171"/>
        <v>1368.6</v>
      </c>
      <c r="BI1256" s="9">
        <f t="shared" si="172"/>
        <v>7.68</v>
      </c>
      <c r="BJ1256" s="9">
        <f t="shared" si="173"/>
        <v>2.2000000000000002</v>
      </c>
      <c r="BK1256" s="9">
        <f t="shared" si="174"/>
        <v>12.35</v>
      </c>
      <c r="BL1256" s="9">
        <f t="shared" si="175"/>
        <v>0</v>
      </c>
      <c r="BM1256" s="9">
        <f t="shared" si="176"/>
        <v>68.670099999999991</v>
      </c>
      <c r="BN1256" s="9">
        <f t="shared" si="177"/>
        <v>561.16999999999996</v>
      </c>
      <c r="BO1256" s="9">
        <f t="shared" si="178"/>
        <v>0</v>
      </c>
      <c r="BP1256" s="9">
        <f t="shared" si="179"/>
        <v>0</v>
      </c>
    </row>
    <row r="1257" spans="1:68">
      <c r="A1257" s="6">
        <v>44776</v>
      </c>
      <c r="B1257" s="7">
        <v>3405</v>
      </c>
      <c r="C1257" s="8">
        <v>1198.72</v>
      </c>
      <c r="D1257" s="8">
        <v>298.98</v>
      </c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>
        <v>3.1</v>
      </c>
      <c r="R1257" s="11"/>
      <c r="S1257" s="8">
        <v>3.44</v>
      </c>
      <c r="T1257" s="8"/>
      <c r="U1257" s="8"/>
      <c r="V1257" s="8"/>
      <c r="W1257" s="8"/>
      <c r="X1257" s="8">
        <f>1204*14.97/1000</f>
        <v>18.023880000000002</v>
      </c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11"/>
      <c r="AQ1257" s="8"/>
      <c r="AR1257" s="8"/>
      <c r="AS1257" s="8"/>
      <c r="AT1257" s="8">
        <v>734.66</v>
      </c>
      <c r="AU1257" s="8"/>
      <c r="AV1257" s="8"/>
      <c r="AW1257" s="8"/>
      <c r="AX1257" s="8"/>
      <c r="AY1257" s="8"/>
      <c r="AZ1257" s="8"/>
      <c r="BA1257" s="8">
        <v>6.72</v>
      </c>
      <c r="BB1257" s="8"/>
      <c r="BC1257" s="8"/>
      <c r="BD1257" s="8"/>
      <c r="BE1257" s="8"/>
      <c r="BF1257" s="8"/>
      <c r="BG1257" s="8">
        <v>49.48</v>
      </c>
      <c r="BH1257" s="9">
        <f t="shared" si="171"/>
        <v>1497.7</v>
      </c>
      <c r="BI1257" s="9">
        <f t="shared" si="172"/>
        <v>3.1</v>
      </c>
      <c r="BJ1257" s="9">
        <f t="shared" si="173"/>
        <v>3.44</v>
      </c>
      <c r="BK1257" s="9">
        <f t="shared" si="174"/>
        <v>18.023880000000002</v>
      </c>
      <c r="BL1257" s="9">
        <f t="shared" si="175"/>
        <v>0</v>
      </c>
      <c r="BM1257" s="9">
        <f t="shared" si="176"/>
        <v>0</v>
      </c>
      <c r="BN1257" s="9">
        <f t="shared" si="177"/>
        <v>734.66</v>
      </c>
      <c r="BO1257" s="9">
        <f t="shared" si="178"/>
        <v>6.72</v>
      </c>
      <c r="BP1257" s="9">
        <f t="shared" si="179"/>
        <v>0</v>
      </c>
    </row>
    <row r="1258" spans="1:68">
      <c r="A1258" s="6">
        <v>44776</v>
      </c>
      <c r="B1258" s="7">
        <v>3029</v>
      </c>
      <c r="C1258" s="8"/>
      <c r="D1258" s="8">
        <v>683.62</v>
      </c>
      <c r="E1258" s="8"/>
      <c r="F1258" s="8">
        <v>483.56</v>
      </c>
      <c r="G1258" s="8"/>
      <c r="H1258" s="8"/>
      <c r="I1258" s="8">
        <v>2856.88</v>
      </c>
      <c r="J1258" s="8"/>
      <c r="K1258" s="8"/>
      <c r="L1258" s="8"/>
      <c r="M1258" s="8"/>
      <c r="N1258" s="8">
        <v>31.03</v>
      </c>
      <c r="O1258" s="8"/>
      <c r="P1258" s="8"/>
      <c r="Q1258" s="8"/>
      <c r="R1258" s="11"/>
      <c r="S1258" s="8">
        <v>2.41</v>
      </c>
      <c r="T1258" s="8"/>
      <c r="U1258" s="8"/>
      <c r="V1258" s="8"/>
      <c r="W1258" s="8">
        <v>40.31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>
        <v>14.08</v>
      </c>
      <c r="AN1258" s="8">
        <f>766*26.83/1000</f>
        <v>20.551779999999997</v>
      </c>
      <c r="AO1258" s="8"/>
      <c r="AP1258" s="11"/>
      <c r="AQ1258" s="8"/>
      <c r="AR1258" s="8">
        <f>4580*26.83/1000</f>
        <v>122.8814</v>
      </c>
      <c r="AS1258" s="8"/>
      <c r="AT1258" s="8">
        <v>1528.58</v>
      </c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>
        <v>106.98</v>
      </c>
      <c r="BH1258" s="9">
        <f t="shared" si="171"/>
        <v>4024.0600000000004</v>
      </c>
      <c r="BI1258" s="9">
        <f t="shared" si="172"/>
        <v>31.03</v>
      </c>
      <c r="BJ1258" s="9">
        <f t="shared" si="173"/>
        <v>2.41</v>
      </c>
      <c r="BK1258" s="9">
        <f t="shared" si="174"/>
        <v>40.31</v>
      </c>
      <c r="BL1258" s="9">
        <f t="shared" si="175"/>
        <v>0</v>
      </c>
      <c r="BM1258" s="9">
        <f t="shared" si="176"/>
        <v>157.51318000000001</v>
      </c>
      <c r="BN1258" s="9">
        <f t="shared" si="177"/>
        <v>1528.58</v>
      </c>
      <c r="BO1258" s="9">
        <f t="shared" si="178"/>
        <v>0</v>
      </c>
      <c r="BP1258" s="9">
        <f t="shared" si="179"/>
        <v>0</v>
      </c>
    </row>
    <row r="1259" spans="1:68">
      <c r="A1259" s="6">
        <v>44776</v>
      </c>
      <c r="B1259" s="7">
        <v>3141</v>
      </c>
      <c r="C1259" s="8">
        <v>3533.09</v>
      </c>
      <c r="D1259" s="8">
        <v>623.23</v>
      </c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>
        <v>11.94</v>
      </c>
      <c r="R1259" s="11"/>
      <c r="S1259" s="8"/>
      <c r="T1259" s="8"/>
      <c r="U1259" s="8">
        <v>62.39</v>
      </c>
      <c r="V1259" s="8"/>
      <c r="W1259" s="8"/>
      <c r="X1259" s="8"/>
      <c r="Y1259" s="8"/>
      <c r="Z1259" s="8"/>
      <c r="AA1259" s="8"/>
      <c r="AB1259" s="8"/>
      <c r="AC1259" s="8">
        <v>16.63</v>
      </c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11"/>
      <c r="AQ1259" s="8"/>
      <c r="AR1259" s="8"/>
      <c r="AS1259" s="8"/>
      <c r="AT1259" s="8">
        <v>2747.14</v>
      </c>
      <c r="AU1259" s="8"/>
      <c r="AV1259" s="8"/>
      <c r="AW1259" s="8"/>
      <c r="AX1259" s="8"/>
      <c r="AY1259" s="8"/>
      <c r="AZ1259" s="8"/>
      <c r="BA1259" s="8">
        <v>95.19</v>
      </c>
      <c r="BB1259" s="8"/>
      <c r="BC1259" s="8"/>
      <c r="BD1259" s="8"/>
      <c r="BE1259" s="8"/>
      <c r="BF1259" s="8">
        <v>290.77</v>
      </c>
      <c r="BG1259" s="8">
        <v>215.7</v>
      </c>
      <c r="BH1259" s="9">
        <f t="shared" si="171"/>
        <v>4156.32</v>
      </c>
      <c r="BI1259" s="9">
        <f t="shared" si="172"/>
        <v>11.94</v>
      </c>
      <c r="BJ1259" s="9">
        <f t="shared" si="173"/>
        <v>0</v>
      </c>
      <c r="BK1259" s="9">
        <f t="shared" si="174"/>
        <v>62.39</v>
      </c>
      <c r="BL1259" s="9">
        <f t="shared" si="175"/>
        <v>0</v>
      </c>
      <c r="BM1259" s="9">
        <f t="shared" si="176"/>
        <v>16.63</v>
      </c>
      <c r="BN1259" s="9">
        <f t="shared" si="177"/>
        <v>2747.14</v>
      </c>
      <c r="BO1259" s="9">
        <f t="shared" si="178"/>
        <v>95.19</v>
      </c>
      <c r="BP1259" s="9">
        <f t="shared" si="179"/>
        <v>290.77</v>
      </c>
    </row>
    <row r="1260" spans="1:68">
      <c r="A1260" s="6">
        <v>44776</v>
      </c>
      <c r="B1260" s="7">
        <v>3139</v>
      </c>
      <c r="C1260" s="8">
        <v>1590.84</v>
      </c>
      <c r="D1260" s="8"/>
      <c r="E1260" s="8"/>
      <c r="F1260" s="8"/>
      <c r="G1260" s="8"/>
      <c r="H1260" s="8">
        <v>665.25</v>
      </c>
      <c r="I1260" s="8"/>
      <c r="J1260" s="8"/>
      <c r="K1260" s="8"/>
      <c r="L1260" s="8"/>
      <c r="M1260" s="8"/>
      <c r="N1260" s="8"/>
      <c r="O1260" s="8"/>
      <c r="P1260" s="8"/>
      <c r="Q1260" s="8">
        <v>3.73</v>
      </c>
      <c r="R1260" s="11"/>
      <c r="S1260" s="8">
        <v>7.03</v>
      </c>
      <c r="T1260" s="8"/>
      <c r="U1260" s="8">
        <v>32.47</v>
      </c>
      <c r="V1260" s="8"/>
      <c r="W1260" s="8"/>
      <c r="X1260" s="8"/>
      <c r="Y1260" s="8"/>
      <c r="Z1260" s="8"/>
      <c r="AA1260" s="8"/>
      <c r="AB1260" s="8"/>
      <c r="AC1260" s="8">
        <v>7.81</v>
      </c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11"/>
      <c r="AQ1260" s="8"/>
      <c r="AR1260" s="8"/>
      <c r="AS1260" s="8"/>
      <c r="AT1260" s="8">
        <v>1159.6099999999999</v>
      </c>
      <c r="AU1260" s="8"/>
      <c r="AV1260" s="8">
        <v>39.08</v>
      </c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>
        <v>83.99</v>
      </c>
      <c r="BH1260" s="9">
        <f t="shared" si="171"/>
        <v>2256.09</v>
      </c>
      <c r="BI1260" s="9">
        <f t="shared" si="172"/>
        <v>3.73</v>
      </c>
      <c r="BJ1260" s="9">
        <f t="shared" si="173"/>
        <v>7.03</v>
      </c>
      <c r="BK1260" s="9">
        <f t="shared" si="174"/>
        <v>32.47</v>
      </c>
      <c r="BL1260" s="9">
        <f t="shared" si="175"/>
        <v>0</v>
      </c>
      <c r="BM1260" s="9">
        <f t="shared" si="176"/>
        <v>7.81</v>
      </c>
      <c r="BN1260" s="9">
        <f t="shared" si="177"/>
        <v>1159.6099999999999</v>
      </c>
      <c r="BO1260" s="9">
        <f t="shared" si="178"/>
        <v>39.08</v>
      </c>
      <c r="BP1260" s="9">
        <f t="shared" si="179"/>
        <v>0</v>
      </c>
    </row>
    <row r="1261" spans="1:68">
      <c r="A1261" s="6">
        <v>44777</v>
      </c>
      <c r="B1261" s="7">
        <v>3122</v>
      </c>
      <c r="C1261" s="8">
        <v>1257.01</v>
      </c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>
        <v>2.27</v>
      </c>
      <c r="O1261" s="8"/>
      <c r="P1261" s="8"/>
      <c r="Q1261" s="8">
        <v>2.27</v>
      </c>
      <c r="R1261" s="11"/>
      <c r="S1261" s="8">
        <v>5.13</v>
      </c>
      <c r="T1261" s="8"/>
      <c r="U1261" s="8">
        <v>12.6</v>
      </c>
      <c r="V1261" s="8"/>
      <c r="W1261" s="8"/>
      <c r="X1261" s="8"/>
      <c r="Y1261" s="8"/>
      <c r="Z1261" s="8"/>
      <c r="AA1261" s="8"/>
      <c r="AB1261" s="8"/>
      <c r="AC1261" s="8">
        <v>5.03</v>
      </c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11"/>
      <c r="AQ1261" s="8"/>
      <c r="AR1261" s="8"/>
      <c r="AS1261" s="8"/>
      <c r="AT1261" s="8">
        <v>562.25</v>
      </c>
      <c r="AU1261" s="8"/>
      <c r="AV1261" s="8">
        <v>42.78</v>
      </c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>
        <v>40.909999999999997</v>
      </c>
      <c r="BH1261" s="9">
        <f t="shared" si="171"/>
        <v>1257.01</v>
      </c>
      <c r="BI1261" s="9">
        <f t="shared" si="172"/>
        <v>4.54</v>
      </c>
      <c r="BJ1261" s="9">
        <f t="shared" si="173"/>
        <v>5.13</v>
      </c>
      <c r="BK1261" s="9">
        <f t="shared" si="174"/>
        <v>12.6</v>
      </c>
      <c r="BL1261" s="9">
        <f t="shared" si="175"/>
        <v>0</v>
      </c>
      <c r="BM1261" s="9">
        <f t="shared" si="176"/>
        <v>5.03</v>
      </c>
      <c r="BN1261" s="9">
        <f t="shared" si="177"/>
        <v>562.25</v>
      </c>
      <c r="BO1261" s="9">
        <f t="shared" si="178"/>
        <v>42.78</v>
      </c>
      <c r="BP1261" s="9">
        <f t="shared" si="179"/>
        <v>0</v>
      </c>
    </row>
    <row r="1262" spans="1:68">
      <c r="A1262" s="6">
        <v>44777</v>
      </c>
      <c r="B1262" s="7">
        <v>3117</v>
      </c>
      <c r="C1262" s="8">
        <v>746.55</v>
      </c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>
        <v>1.68</v>
      </c>
      <c r="R1262" s="11"/>
      <c r="S1262" s="8">
        <v>2.84</v>
      </c>
      <c r="T1262" s="8"/>
      <c r="U1262" s="8">
        <v>7.49</v>
      </c>
      <c r="V1262" s="8"/>
      <c r="W1262" s="8"/>
      <c r="X1262" s="8"/>
      <c r="Y1262" s="8"/>
      <c r="Z1262" s="8"/>
      <c r="AA1262" s="8"/>
      <c r="AB1262" s="8"/>
      <c r="AC1262" s="8">
        <v>3</v>
      </c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11"/>
      <c r="AQ1262" s="8"/>
      <c r="AR1262" s="8"/>
      <c r="AS1262" s="8"/>
      <c r="AT1262" s="8">
        <v>472.79</v>
      </c>
      <c r="AU1262" s="8"/>
      <c r="AV1262" s="8">
        <v>18.72</v>
      </c>
      <c r="AW1262" s="8"/>
      <c r="AX1262" s="8"/>
      <c r="AY1262" s="8"/>
      <c r="AZ1262" s="8"/>
      <c r="BA1262" s="8"/>
      <c r="BB1262" s="8"/>
      <c r="BC1262" s="8"/>
      <c r="BD1262" s="8"/>
      <c r="BE1262" s="8"/>
      <c r="BF1262" s="8">
        <v>37.43</v>
      </c>
      <c r="BG1262" s="8">
        <v>36.159999999999997</v>
      </c>
      <c r="BH1262" s="9">
        <f t="shared" si="171"/>
        <v>746.55</v>
      </c>
      <c r="BI1262" s="9">
        <f t="shared" si="172"/>
        <v>1.68</v>
      </c>
      <c r="BJ1262" s="9">
        <f t="shared" si="173"/>
        <v>2.84</v>
      </c>
      <c r="BK1262" s="9">
        <f t="shared" si="174"/>
        <v>7.49</v>
      </c>
      <c r="BL1262" s="9">
        <f t="shared" si="175"/>
        <v>0</v>
      </c>
      <c r="BM1262" s="9">
        <f t="shared" si="176"/>
        <v>3</v>
      </c>
      <c r="BN1262" s="9">
        <f t="shared" si="177"/>
        <v>472.79</v>
      </c>
      <c r="BO1262" s="9">
        <f t="shared" si="178"/>
        <v>18.72</v>
      </c>
      <c r="BP1262" s="9">
        <f t="shared" si="179"/>
        <v>37.43</v>
      </c>
    </row>
    <row r="1263" spans="1:68">
      <c r="A1263" s="6">
        <v>44777</v>
      </c>
      <c r="B1263" s="7">
        <v>3204</v>
      </c>
      <c r="C1263" s="8"/>
      <c r="D1263" s="8">
        <v>1775.92</v>
      </c>
      <c r="E1263" s="8">
        <v>758.76</v>
      </c>
      <c r="F1263" s="8"/>
      <c r="G1263" s="8"/>
      <c r="H1263" s="8"/>
      <c r="I1263" s="8"/>
      <c r="J1263" s="8"/>
      <c r="K1263" s="8"/>
      <c r="L1263" s="8"/>
      <c r="M1263" s="8"/>
      <c r="N1263" s="8"/>
      <c r="O1263" s="8">
        <v>12.68</v>
      </c>
      <c r="P1263" s="8"/>
      <c r="Q1263" s="8"/>
      <c r="R1263" s="11"/>
      <c r="S1263" s="8">
        <v>8.6300000000000008</v>
      </c>
      <c r="T1263" s="8"/>
      <c r="U1263" s="8">
        <v>27.97</v>
      </c>
      <c r="V1263" s="8"/>
      <c r="W1263" s="8"/>
      <c r="X1263" s="8"/>
      <c r="Y1263" s="8"/>
      <c r="Z1263" s="8">
        <v>380.96</v>
      </c>
      <c r="AA1263" s="8"/>
      <c r="AB1263" s="8">
        <f>709*18.13/1000</f>
        <v>12.85417</v>
      </c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11"/>
      <c r="AQ1263" s="8"/>
      <c r="AR1263" s="8"/>
      <c r="AS1263" s="8"/>
      <c r="AT1263" s="8">
        <v>1115.1600000000001</v>
      </c>
      <c r="AU1263" s="8"/>
      <c r="AV1263" s="8"/>
      <c r="AW1263" s="8">
        <v>8.14</v>
      </c>
      <c r="AX1263" s="8"/>
      <c r="AY1263" s="8"/>
      <c r="AZ1263" s="8"/>
      <c r="BA1263" s="8"/>
      <c r="BB1263" s="8"/>
      <c r="BC1263" s="8"/>
      <c r="BD1263" s="8"/>
      <c r="BE1263" s="8"/>
      <c r="BF1263" s="8"/>
      <c r="BG1263" s="8">
        <v>82.55</v>
      </c>
      <c r="BH1263" s="9">
        <f t="shared" si="171"/>
        <v>2534.6800000000003</v>
      </c>
      <c r="BI1263" s="9">
        <f t="shared" si="172"/>
        <v>12.68</v>
      </c>
      <c r="BJ1263" s="9">
        <f t="shared" si="173"/>
        <v>8.6300000000000008</v>
      </c>
      <c r="BK1263" s="9">
        <f t="shared" si="174"/>
        <v>27.97</v>
      </c>
      <c r="BL1263" s="9">
        <f t="shared" si="175"/>
        <v>380.96</v>
      </c>
      <c r="BM1263" s="9">
        <f t="shared" si="176"/>
        <v>12.85417</v>
      </c>
      <c r="BN1263" s="9">
        <f t="shared" si="177"/>
        <v>1115.1600000000001</v>
      </c>
      <c r="BO1263" s="9">
        <f t="shared" si="178"/>
        <v>8.14</v>
      </c>
      <c r="BP1263" s="9">
        <f t="shared" si="179"/>
        <v>0</v>
      </c>
    </row>
    <row r="1264" spans="1:68">
      <c r="A1264" s="6">
        <v>44777</v>
      </c>
      <c r="B1264" s="7">
        <v>3200</v>
      </c>
      <c r="C1264" s="8">
        <v>2303.54</v>
      </c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>
        <v>5.75</v>
      </c>
      <c r="P1264" s="8"/>
      <c r="Q1264" s="8"/>
      <c r="R1264" s="11"/>
      <c r="S1264" s="8">
        <v>9.01</v>
      </c>
      <c r="T1264" s="8"/>
      <c r="U1264" s="8">
        <v>34.6</v>
      </c>
      <c r="V1264" s="8"/>
      <c r="W1264" s="8"/>
      <c r="X1264" s="8"/>
      <c r="Y1264" s="8"/>
      <c r="Z1264" s="8">
        <v>484.28</v>
      </c>
      <c r="AA1264" s="8"/>
      <c r="AB1264" s="8"/>
      <c r="AC1264" s="8"/>
      <c r="AD1264" s="8"/>
      <c r="AE1264" s="8"/>
      <c r="AF1264" s="8">
        <v>113.93</v>
      </c>
      <c r="AG1264" s="8"/>
      <c r="AH1264" s="8"/>
      <c r="AI1264" s="8"/>
      <c r="AJ1264" s="8"/>
      <c r="AK1264" s="8"/>
      <c r="AL1264" s="8"/>
      <c r="AM1264" s="8"/>
      <c r="AN1264" s="8"/>
      <c r="AO1264" s="8"/>
      <c r="AP1264" s="11"/>
      <c r="AQ1264" s="8">
        <f>1526*23.05/1000</f>
        <v>35.174300000000002</v>
      </c>
      <c r="AR1264" s="8"/>
      <c r="AS1264" s="8"/>
      <c r="AT1264" s="8">
        <v>1577.25</v>
      </c>
      <c r="AU1264" s="8"/>
      <c r="AV1264" s="8"/>
      <c r="AW1264" s="8">
        <v>6.55</v>
      </c>
      <c r="AX1264" s="8"/>
      <c r="AY1264" s="8"/>
      <c r="AZ1264" s="8"/>
      <c r="BA1264" s="8"/>
      <c r="BB1264" s="8"/>
      <c r="BC1264" s="8"/>
      <c r="BD1264" s="8"/>
      <c r="BE1264" s="8"/>
      <c r="BF1264" s="8">
        <v>110.62</v>
      </c>
      <c r="BG1264" s="8">
        <v>113.57</v>
      </c>
      <c r="BH1264" s="9">
        <f t="shared" si="171"/>
        <v>2303.54</v>
      </c>
      <c r="BI1264" s="9">
        <f t="shared" si="172"/>
        <v>5.75</v>
      </c>
      <c r="BJ1264" s="9">
        <f t="shared" si="173"/>
        <v>9.01</v>
      </c>
      <c r="BK1264" s="9">
        <f t="shared" si="174"/>
        <v>34.6</v>
      </c>
      <c r="BL1264" s="9">
        <f t="shared" si="175"/>
        <v>484.28</v>
      </c>
      <c r="BM1264" s="9">
        <f t="shared" si="176"/>
        <v>149.10430000000002</v>
      </c>
      <c r="BN1264" s="9">
        <f t="shared" si="177"/>
        <v>1577.25</v>
      </c>
      <c r="BO1264" s="9">
        <f t="shared" si="178"/>
        <v>6.55</v>
      </c>
      <c r="BP1264" s="9">
        <f t="shared" si="179"/>
        <v>110.62</v>
      </c>
    </row>
    <row r="1265" spans="1:68">
      <c r="A1265" s="6">
        <v>44777</v>
      </c>
      <c r="B1265" s="7">
        <v>3106</v>
      </c>
      <c r="C1265" s="8">
        <v>8140.3</v>
      </c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>
        <v>20.27</v>
      </c>
      <c r="R1265" s="11"/>
      <c r="S1265" s="8">
        <v>23.76</v>
      </c>
      <c r="T1265" s="8"/>
      <c r="U1265" s="8">
        <v>103.55</v>
      </c>
      <c r="V1265" s="8"/>
      <c r="W1265" s="8"/>
      <c r="X1265" s="8"/>
      <c r="Y1265" s="8"/>
      <c r="Z1265" s="8"/>
      <c r="AA1265" s="8"/>
      <c r="AB1265" s="8"/>
      <c r="AC1265" s="8">
        <v>20.350000000000001</v>
      </c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11"/>
      <c r="AQ1265" s="8"/>
      <c r="AR1265" s="8"/>
      <c r="AS1265" s="8"/>
      <c r="AT1265" s="8">
        <v>4662.0600000000004</v>
      </c>
      <c r="AU1265" s="8"/>
      <c r="AV1265" s="8"/>
      <c r="AW1265" s="8"/>
      <c r="AX1265" s="8">
        <v>10.18</v>
      </c>
      <c r="AY1265" s="8"/>
      <c r="AZ1265" s="8"/>
      <c r="BA1265" s="8"/>
      <c r="BB1265" s="8"/>
      <c r="BC1265" s="8"/>
      <c r="BD1265" s="8"/>
      <c r="BE1265" s="8"/>
      <c r="BF1265" s="8"/>
      <c r="BG1265" s="8">
        <v>349.86</v>
      </c>
      <c r="BH1265" s="9">
        <f t="shared" si="171"/>
        <v>8140.3</v>
      </c>
      <c r="BI1265" s="9">
        <f t="shared" si="172"/>
        <v>20.27</v>
      </c>
      <c r="BJ1265" s="9">
        <f t="shared" si="173"/>
        <v>23.76</v>
      </c>
      <c r="BK1265" s="9">
        <f t="shared" si="174"/>
        <v>103.55</v>
      </c>
      <c r="BL1265" s="9">
        <f t="shared" si="175"/>
        <v>0</v>
      </c>
      <c r="BM1265" s="9">
        <f t="shared" si="176"/>
        <v>20.350000000000001</v>
      </c>
      <c r="BN1265" s="9">
        <f t="shared" si="177"/>
        <v>4662.0600000000004</v>
      </c>
      <c r="BO1265" s="9">
        <f t="shared" si="178"/>
        <v>10.18</v>
      </c>
      <c r="BP1265" s="9">
        <f t="shared" si="179"/>
        <v>0</v>
      </c>
    </row>
    <row r="1266" spans="1:68">
      <c r="A1266" s="6">
        <v>44777</v>
      </c>
      <c r="B1266" s="7">
        <v>3113</v>
      </c>
      <c r="C1266" s="8">
        <v>1510.17</v>
      </c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>
        <v>1.42</v>
      </c>
      <c r="O1266" s="8"/>
      <c r="P1266" s="8"/>
      <c r="Q1266" s="8">
        <v>1.44</v>
      </c>
      <c r="R1266" s="11"/>
      <c r="S1266" s="8">
        <v>4.54</v>
      </c>
      <c r="T1266" s="8"/>
      <c r="U1266" s="8">
        <v>15.12</v>
      </c>
      <c r="V1266" s="8"/>
      <c r="W1266" s="8"/>
      <c r="X1266" s="8"/>
      <c r="Y1266" s="8"/>
      <c r="Z1266" s="8"/>
      <c r="AA1266" s="8"/>
      <c r="AB1266" s="8"/>
      <c r="AC1266" s="8">
        <v>6.03</v>
      </c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11"/>
      <c r="AQ1266" s="8"/>
      <c r="AR1266" s="8"/>
      <c r="AS1266" s="8"/>
      <c r="AT1266" s="8">
        <v>633.53</v>
      </c>
      <c r="AU1266" s="8"/>
      <c r="AV1266" s="8">
        <v>51.37</v>
      </c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>
        <v>45.37</v>
      </c>
      <c r="BH1266" s="9">
        <f t="shared" si="171"/>
        <v>1510.17</v>
      </c>
      <c r="BI1266" s="9">
        <f t="shared" si="172"/>
        <v>2.86</v>
      </c>
      <c r="BJ1266" s="9">
        <f t="shared" si="173"/>
        <v>4.54</v>
      </c>
      <c r="BK1266" s="9">
        <f t="shared" si="174"/>
        <v>15.12</v>
      </c>
      <c r="BL1266" s="9">
        <f t="shared" si="175"/>
        <v>0</v>
      </c>
      <c r="BM1266" s="9">
        <f t="shared" si="176"/>
        <v>6.03</v>
      </c>
      <c r="BN1266" s="9">
        <f t="shared" si="177"/>
        <v>633.53</v>
      </c>
      <c r="BO1266" s="9">
        <f t="shared" si="178"/>
        <v>51.37</v>
      </c>
      <c r="BP1266" s="9">
        <f t="shared" si="179"/>
        <v>0</v>
      </c>
    </row>
    <row r="1267" spans="1:68">
      <c r="A1267" s="6">
        <v>44778</v>
      </c>
      <c r="B1267" s="7">
        <v>3203</v>
      </c>
      <c r="C1267" s="8">
        <v>872.4</v>
      </c>
      <c r="D1267" s="8"/>
      <c r="E1267" s="8">
        <v>375.05</v>
      </c>
      <c r="F1267" s="8"/>
      <c r="G1267" s="8"/>
      <c r="H1267" s="8"/>
      <c r="I1267" s="8"/>
      <c r="J1267" s="8"/>
      <c r="K1267" s="8"/>
      <c r="L1267" s="8"/>
      <c r="M1267" s="8"/>
      <c r="N1267" s="8"/>
      <c r="O1267" s="8">
        <v>3.74</v>
      </c>
      <c r="P1267" s="8"/>
      <c r="Q1267" s="8"/>
      <c r="R1267" s="11"/>
      <c r="S1267" s="8">
        <v>4.88</v>
      </c>
      <c r="T1267" s="8"/>
      <c r="U1267" s="8">
        <v>15.52</v>
      </c>
      <c r="V1267" s="8"/>
      <c r="W1267" s="8"/>
      <c r="X1267" s="8"/>
      <c r="Y1267" s="8"/>
      <c r="Z1267" s="8">
        <v>197.17</v>
      </c>
      <c r="AA1267" s="8">
        <f>10433*14.72/1000</f>
        <v>153.57376000000002</v>
      </c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11"/>
      <c r="AQ1267" s="8"/>
      <c r="AR1267" s="8"/>
      <c r="AS1267" s="8"/>
      <c r="AT1267" s="8">
        <v>468.37</v>
      </c>
      <c r="AU1267" s="8">
        <v>234.1</v>
      </c>
      <c r="AV1267" s="8"/>
      <c r="AW1267" s="8"/>
      <c r="AX1267" s="8"/>
      <c r="AY1267" s="8"/>
      <c r="AZ1267" s="8"/>
      <c r="BA1267" s="8"/>
      <c r="BB1267" s="8"/>
      <c r="BC1267" s="8">
        <v>3.25</v>
      </c>
      <c r="BD1267" s="8"/>
      <c r="BE1267" s="8"/>
      <c r="BF1267" s="8"/>
      <c r="BG1267" s="8">
        <v>45.81</v>
      </c>
      <c r="BH1267" s="9">
        <f t="shared" si="171"/>
        <v>1247.45</v>
      </c>
      <c r="BI1267" s="9">
        <f t="shared" si="172"/>
        <v>3.74</v>
      </c>
      <c r="BJ1267" s="9">
        <f t="shared" si="173"/>
        <v>4.88</v>
      </c>
      <c r="BK1267" s="9">
        <f t="shared" si="174"/>
        <v>15.52</v>
      </c>
      <c r="BL1267" s="9">
        <f t="shared" si="175"/>
        <v>350.74376000000001</v>
      </c>
      <c r="BM1267" s="9">
        <f t="shared" si="176"/>
        <v>0</v>
      </c>
      <c r="BN1267" s="9">
        <f t="shared" si="177"/>
        <v>702.47</v>
      </c>
      <c r="BO1267" s="9">
        <f t="shared" si="178"/>
        <v>3.25</v>
      </c>
      <c r="BP1267" s="9">
        <f t="shared" si="179"/>
        <v>0</v>
      </c>
    </row>
    <row r="1268" spans="1:68">
      <c r="A1268" s="6">
        <v>44778</v>
      </c>
      <c r="B1268" s="7">
        <v>3408</v>
      </c>
      <c r="C1268" s="8">
        <v>800.04</v>
      </c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>
        <v>1.9</v>
      </c>
      <c r="R1268" s="11"/>
      <c r="S1268" s="8">
        <v>2</v>
      </c>
      <c r="T1268" s="8"/>
      <c r="U1268" s="8"/>
      <c r="V1268" s="8"/>
      <c r="W1268" s="8"/>
      <c r="X1268" s="8">
        <f>1024*8/1000</f>
        <v>8.1920000000000002</v>
      </c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11"/>
      <c r="AQ1268" s="8"/>
      <c r="AR1268" s="8"/>
      <c r="AS1268" s="8"/>
      <c r="AT1268" s="8">
        <v>401.23</v>
      </c>
      <c r="AU1268" s="8"/>
      <c r="AV1268" s="8"/>
      <c r="AW1268" s="8"/>
      <c r="AX1268" s="8"/>
      <c r="AY1268" s="8"/>
      <c r="AZ1268" s="8"/>
      <c r="BA1268" s="8">
        <v>3.6</v>
      </c>
      <c r="BB1268" s="8"/>
      <c r="BC1268" s="8"/>
      <c r="BD1268" s="8"/>
      <c r="BE1268" s="8"/>
      <c r="BF1268" s="8"/>
      <c r="BG1268" s="8">
        <v>27.33</v>
      </c>
      <c r="BH1268" s="9">
        <f t="shared" si="171"/>
        <v>800.04</v>
      </c>
      <c r="BI1268" s="9">
        <f t="shared" si="172"/>
        <v>1.9</v>
      </c>
      <c r="BJ1268" s="9">
        <f t="shared" si="173"/>
        <v>2</v>
      </c>
      <c r="BK1268" s="9">
        <f t="shared" si="174"/>
        <v>8.1920000000000002</v>
      </c>
      <c r="BL1268" s="9">
        <f t="shared" si="175"/>
        <v>0</v>
      </c>
      <c r="BM1268" s="9">
        <f t="shared" si="176"/>
        <v>0</v>
      </c>
      <c r="BN1268" s="9">
        <f t="shared" si="177"/>
        <v>401.23</v>
      </c>
      <c r="BO1268" s="9">
        <f t="shared" si="178"/>
        <v>3.6</v>
      </c>
      <c r="BP1268" s="9">
        <f t="shared" si="179"/>
        <v>0</v>
      </c>
    </row>
    <row r="1269" spans="1:68">
      <c r="A1269" s="6">
        <v>44778</v>
      </c>
      <c r="B1269" s="7">
        <v>3405</v>
      </c>
      <c r="C1269" s="8">
        <v>1208</v>
      </c>
      <c r="D1269" s="8">
        <v>301.12</v>
      </c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>
        <v>3.3</v>
      </c>
      <c r="R1269" s="11"/>
      <c r="S1269" s="8">
        <v>3.47</v>
      </c>
      <c r="T1269" s="8"/>
      <c r="U1269" s="8"/>
      <c r="V1269" s="8"/>
      <c r="W1269" s="8"/>
      <c r="X1269" s="8">
        <f>1216*15.1/1000</f>
        <v>18.361599999999999</v>
      </c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11"/>
      <c r="AQ1269" s="8"/>
      <c r="AR1269" s="8"/>
      <c r="AS1269" s="8"/>
      <c r="AT1269" s="8">
        <v>741.31</v>
      </c>
      <c r="AU1269" s="8"/>
      <c r="AV1269" s="8"/>
      <c r="AW1269" s="8"/>
      <c r="AX1269" s="8"/>
      <c r="AY1269" s="8"/>
      <c r="AZ1269" s="8"/>
      <c r="BA1269" s="8">
        <v>6.81</v>
      </c>
      <c r="BB1269" s="8"/>
      <c r="BC1269" s="8"/>
      <c r="BD1269" s="8"/>
      <c r="BE1269" s="8"/>
      <c r="BF1269" s="8"/>
      <c r="BG1269" s="8">
        <v>49.9</v>
      </c>
      <c r="BH1269" s="9">
        <f t="shared" si="171"/>
        <v>1509.12</v>
      </c>
      <c r="BI1269" s="9">
        <f t="shared" si="172"/>
        <v>3.3</v>
      </c>
      <c r="BJ1269" s="9">
        <f t="shared" si="173"/>
        <v>3.47</v>
      </c>
      <c r="BK1269" s="9">
        <f t="shared" si="174"/>
        <v>18.361599999999999</v>
      </c>
      <c r="BL1269" s="9">
        <f t="shared" si="175"/>
        <v>0</v>
      </c>
      <c r="BM1269" s="9">
        <f t="shared" si="176"/>
        <v>0</v>
      </c>
      <c r="BN1269" s="9">
        <f t="shared" si="177"/>
        <v>741.31</v>
      </c>
      <c r="BO1269" s="9">
        <f t="shared" si="178"/>
        <v>6.81</v>
      </c>
      <c r="BP1269" s="9">
        <f t="shared" si="179"/>
        <v>0</v>
      </c>
    </row>
    <row r="1270" spans="1:68">
      <c r="A1270" s="6">
        <v>44778</v>
      </c>
      <c r="B1270" s="7">
        <v>3029</v>
      </c>
      <c r="C1270" s="8"/>
      <c r="D1270" s="8">
        <v>684.4</v>
      </c>
      <c r="E1270" s="8"/>
      <c r="F1270" s="8">
        <v>480.03</v>
      </c>
      <c r="G1270" s="8"/>
      <c r="H1270" s="8"/>
      <c r="I1270" s="8">
        <v>2852.06</v>
      </c>
      <c r="J1270" s="8"/>
      <c r="K1270" s="8"/>
      <c r="L1270" s="8"/>
      <c r="M1270" s="8"/>
      <c r="N1270" s="8">
        <v>31.03</v>
      </c>
      <c r="O1270" s="8"/>
      <c r="P1270" s="8"/>
      <c r="Q1270" s="8"/>
      <c r="R1270" s="11"/>
      <c r="S1270" s="8">
        <v>2.39</v>
      </c>
      <c r="T1270" s="8"/>
      <c r="U1270" s="8"/>
      <c r="V1270" s="8"/>
      <c r="W1270" s="8">
        <v>40.35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>
        <v>14.11</v>
      </c>
      <c r="AN1270" s="8">
        <f>762*26.87/1000</f>
        <v>20.474940000000004</v>
      </c>
      <c r="AO1270" s="8"/>
      <c r="AP1270" s="11"/>
      <c r="AQ1270" s="8"/>
      <c r="AR1270" s="8">
        <f>4553*26.87/1000</f>
        <v>122.33911000000001</v>
      </c>
      <c r="AS1270" s="8"/>
      <c r="AT1270" s="8">
        <v>1532.29</v>
      </c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>
        <v>106.36</v>
      </c>
      <c r="BH1270" s="9">
        <f t="shared" si="171"/>
        <v>4016.49</v>
      </c>
      <c r="BI1270" s="9">
        <f t="shared" si="172"/>
        <v>31.03</v>
      </c>
      <c r="BJ1270" s="9">
        <f t="shared" si="173"/>
        <v>2.39</v>
      </c>
      <c r="BK1270" s="9">
        <f t="shared" si="174"/>
        <v>40.35</v>
      </c>
      <c r="BL1270" s="9">
        <f t="shared" si="175"/>
        <v>0</v>
      </c>
      <c r="BM1270" s="9">
        <f t="shared" si="176"/>
        <v>156.92405000000002</v>
      </c>
      <c r="BN1270" s="9">
        <f t="shared" si="177"/>
        <v>1532.29</v>
      </c>
      <c r="BO1270" s="9">
        <f t="shared" si="178"/>
        <v>0</v>
      </c>
      <c r="BP1270" s="9">
        <f t="shared" si="179"/>
        <v>0</v>
      </c>
    </row>
    <row r="1271" spans="1:68">
      <c r="A1271" s="6">
        <v>44778</v>
      </c>
      <c r="B1271" s="7">
        <v>3601</v>
      </c>
      <c r="C1271" s="8">
        <v>293.08</v>
      </c>
      <c r="D1271" s="8"/>
      <c r="E1271" s="8"/>
      <c r="F1271" s="8"/>
      <c r="G1271" s="8">
        <v>440.46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>
        <v>1.07</v>
      </c>
      <c r="R1271" s="11"/>
      <c r="S1271" s="8">
        <v>3.71</v>
      </c>
      <c r="T1271" s="8"/>
      <c r="U1271" s="8">
        <v>4.42</v>
      </c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11"/>
      <c r="AQ1271" s="8"/>
      <c r="AR1271" s="8"/>
      <c r="AS1271" s="8"/>
      <c r="AT1271" s="8">
        <v>359.14</v>
      </c>
      <c r="AU1271" s="8"/>
      <c r="AV1271" s="8"/>
      <c r="AW1271" s="8">
        <v>22.36</v>
      </c>
      <c r="AX1271" s="8"/>
      <c r="AY1271" s="8"/>
      <c r="AZ1271" s="8"/>
      <c r="BA1271" s="8"/>
      <c r="BB1271" s="8"/>
      <c r="BC1271" s="8"/>
      <c r="BD1271" s="8"/>
      <c r="BE1271" s="8"/>
      <c r="BF1271" s="8">
        <v>41.24</v>
      </c>
      <c r="BG1271" s="8">
        <v>27.29</v>
      </c>
      <c r="BH1271" s="9">
        <f t="shared" si="171"/>
        <v>733.54</v>
      </c>
      <c r="BI1271" s="9">
        <f t="shared" si="172"/>
        <v>1.07</v>
      </c>
      <c r="BJ1271" s="9">
        <f t="shared" si="173"/>
        <v>3.71</v>
      </c>
      <c r="BK1271" s="9">
        <f t="shared" si="174"/>
        <v>4.42</v>
      </c>
      <c r="BL1271" s="9">
        <f t="shared" si="175"/>
        <v>0</v>
      </c>
      <c r="BM1271" s="9">
        <f t="shared" si="176"/>
        <v>0</v>
      </c>
      <c r="BN1271" s="9">
        <f t="shared" si="177"/>
        <v>359.14</v>
      </c>
      <c r="BO1271" s="9">
        <f t="shared" si="178"/>
        <v>22.36</v>
      </c>
      <c r="BP1271" s="9">
        <f t="shared" si="179"/>
        <v>41.24</v>
      </c>
    </row>
    <row r="1272" spans="1:68">
      <c r="A1272" s="6">
        <v>44778</v>
      </c>
      <c r="B1272" s="7">
        <v>8264</v>
      </c>
      <c r="C1272" s="8">
        <v>563.75</v>
      </c>
      <c r="D1272" s="8"/>
      <c r="E1272" s="8"/>
      <c r="F1272" s="8"/>
      <c r="G1272" s="8">
        <v>844.9</v>
      </c>
      <c r="H1272" s="8"/>
      <c r="I1272" s="8"/>
      <c r="J1272" s="8"/>
      <c r="K1272" s="8"/>
      <c r="L1272" s="8"/>
      <c r="M1272" s="8">
        <v>1.52</v>
      </c>
      <c r="N1272" s="8"/>
      <c r="O1272" s="8"/>
      <c r="P1272" s="8"/>
      <c r="Q1272" s="8"/>
      <c r="R1272" s="11"/>
      <c r="S1272" s="8">
        <v>6.78</v>
      </c>
      <c r="T1272" s="8"/>
      <c r="U1272" s="8">
        <v>11.3</v>
      </c>
      <c r="V1272" s="8">
        <f>849*16.15/1000</f>
        <v>13.711349999999998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11"/>
      <c r="AQ1272" s="8"/>
      <c r="AR1272" s="8"/>
      <c r="AS1272" s="8"/>
      <c r="AT1272" s="8">
        <v>568.97</v>
      </c>
      <c r="AU1272" s="8"/>
      <c r="AV1272" s="8"/>
      <c r="AW1272" s="8">
        <v>36.51</v>
      </c>
      <c r="AX1272" s="8"/>
      <c r="AY1272" s="8"/>
      <c r="AZ1272" s="8"/>
      <c r="BA1272" s="8"/>
      <c r="BB1272" s="8"/>
      <c r="BC1272" s="8"/>
      <c r="BD1272" s="8"/>
      <c r="BE1272" s="8"/>
      <c r="BF1272" s="8">
        <v>45.22</v>
      </c>
      <c r="BG1272" s="8">
        <v>42.54</v>
      </c>
      <c r="BH1272" s="9">
        <f t="shared" si="171"/>
        <v>1408.65</v>
      </c>
      <c r="BI1272" s="9">
        <f t="shared" si="172"/>
        <v>1.52</v>
      </c>
      <c r="BJ1272" s="9">
        <f t="shared" si="173"/>
        <v>6.78</v>
      </c>
      <c r="BK1272" s="9">
        <f t="shared" si="174"/>
        <v>25.01135</v>
      </c>
      <c r="BL1272" s="9">
        <f t="shared" si="175"/>
        <v>0</v>
      </c>
      <c r="BM1272" s="9">
        <f t="shared" si="176"/>
        <v>0</v>
      </c>
      <c r="BN1272" s="9">
        <f t="shared" si="177"/>
        <v>568.97</v>
      </c>
      <c r="BO1272" s="9">
        <f t="shared" si="178"/>
        <v>36.51</v>
      </c>
      <c r="BP1272" s="9">
        <f t="shared" si="179"/>
        <v>45.22</v>
      </c>
    </row>
    <row r="1273" spans="1:68">
      <c r="A1273" s="6">
        <v>44778</v>
      </c>
      <c r="B1273" s="7">
        <v>3704</v>
      </c>
      <c r="C1273" s="8">
        <v>644.16999999999996</v>
      </c>
      <c r="D1273" s="8">
        <v>998.27</v>
      </c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>
        <v>5.03</v>
      </c>
      <c r="R1273" s="11"/>
      <c r="S1273" s="8">
        <v>5.81</v>
      </c>
      <c r="T1273" s="8"/>
      <c r="U1273" s="8">
        <v>12.45</v>
      </c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>
        <f>1384*14.43/1000</f>
        <v>19.971119999999999</v>
      </c>
      <c r="AM1273" s="8"/>
      <c r="AN1273" s="8"/>
      <c r="AO1273" s="8"/>
      <c r="AP1273" s="11"/>
      <c r="AQ1273" s="8"/>
      <c r="AR1273" s="8"/>
      <c r="AS1273" s="8"/>
      <c r="AT1273" s="8">
        <v>289.66000000000003</v>
      </c>
      <c r="AU1273" s="8">
        <v>145.16999999999999</v>
      </c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>
        <v>26.29</v>
      </c>
      <c r="BH1273" s="9">
        <f t="shared" si="171"/>
        <v>1642.44</v>
      </c>
      <c r="BI1273" s="9">
        <f t="shared" si="172"/>
        <v>5.03</v>
      </c>
      <c r="BJ1273" s="9">
        <f t="shared" si="173"/>
        <v>5.81</v>
      </c>
      <c r="BK1273" s="9">
        <f t="shared" si="174"/>
        <v>12.45</v>
      </c>
      <c r="BL1273" s="9">
        <f t="shared" si="175"/>
        <v>0</v>
      </c>
      <c r="BM1273" s="9">
        <f t="shared" si="176"/>
        <v>19.971119999999999</v>
      </c>
      <c r="BN1273" s="9">
        <f t="shared" si="177"/>
        <v>434.83000000000004</v>
      </c>
      <c r="BO1273" s="9">
        <f t="shared" si="178"/>
        <v>0</v>
      </c>
      <c r="BP1273" s="9">
        <f t="shared" si="179"/>
        <v>0</v>
      </c>
    </row>
    <row r="1274" spans="1:68">
      <c r="A1274" s="6">
        <v>44778</v>
      </c>
      <c r="B1274" s="7">
        <v>3310</v>
      </c>
      <c r="C1274" s="8"/>
      <c r="D1274" s="8">
        <v>444.9</v>
      </c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>
        <v>0.52</v>
      </c>
      <c r="R1274" s="11"/>
      <c r="S1274" s="8">
        <v>3.16</v>
      </c>
      <c r="T1274" s="8"/>
      <c r="U1274" s="8">
        <v>4</v>
      </c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>
        <v>4.47</v>
      </c>
      <c r="AH1274" s="8"/>
      <c r="AI1274" s="8"/>
      <c r="AJ1274" s="8"/>
      <c r="AK1274" s="8"/>
      <c r="AL1274" s="8"/>
      <c r="AM1274" s="8"/>
      <c r="AN1274" s="8"/>
      <c r="AO1274" s="8"/>
      <c r="AP1274" s="11"/>
      <c r="AQ1274" s="8"/>
      <c r="AR1274" s="8"/>
      <c r="AS1274" s="8"/>
      <c r="AT1274" s="8"/>
      <c r="AU1274" s="8">
        <v>192.7</v>
      </c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>
        <v>12.89</v>
      </c>
      <c r="BH1274" s="9">
        <f t="shared" si="171"/>
        <v>444.9</v>
      </c>
      <c r="BI1274" s="9">
        <f t="shared" si="172"/>
        <v>0.52</v>
      </c>
      <c r="BJ1274" s="9">
        <f t="shared" si="173"/>
        <v>3.16</v>
      </c>
      <c r="BK1274" s="9">
        <f t="shared" si="174"/>
        <v>4</v>
      </c>
      <c r="BL1274" s="9">
        <f t="shared" si="175"/>
        <v>0</v>
      </c>
      <c r="BM1274" s="9">
        <f t="shared" si="176"/>
        <v>4.47</v>
      </c>
      <c r="BN1274" s="9">
        <f t="shared" si="177"/>
        <v>192.7</v>
      </c>
      <c r="BO1274" s="9">
        <f t="shared" si="178"/>
        <v>0</v>
      </c>
      <c r="BP1274" s="9">
        <f t="shared" si="179"/>
        <v>0</v>
      </c>
    </row>
    <row r="1275" spans="1:68">
      <c r="A1275" s="6">
        <v>44778</v>
      </c>
      <c r="B1275" s="7">
        <v>3100</v>
      </c>
      <c r="C1275" s="8">
        <v>672.59</v>
      </c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>
        <v>1.34</v>
      </c>
      <c r="R1275" s="11"/>
      <c r="S1275" s="8">
        <v>3.84</v>
      </c>
      <c r="T1275" s="8"/>
      <c r="U1275" s="8">
        <v>10.78</v>
      </c>
      <c r="V1275" s="8"/>
      <c r="W1275" s="8"/>
      <c r="X1275" s="8"/>
      <c r="Y1275" s="8"/>
      <c r="Z1275" s="8"/>
      <c r="AA1275" s="8"/>
      <c r="AB1275" s="8"/>
      <c r="AC1275" s="8">
        <v>2.7</v>
      </c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11"/>
      <c r="AQ1275" s="8"/>
      <c r="AR1275" s="8"/>
      <c r="AS1275" s="8"/>
      <c r="AT1275" s="8">
        <v>453.41</v>
      </c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>
        <v>87.64</v>
      </c>
      <c r="BG1275" s="8">
        <v>34.659999999999997</v>
      </c>
      <c r="BH1275" s="9">
        <f t="shared" si="171"/>
        <v>672.59</v>
      </c>
      <c r="BI1275" s="9">
        <f t="shared" si="172"/>
        <v>1.34</v>
      </c>
      <c r="BJ1275" s="9">
        <f t="shared" si="173"/>
        <v>3.84</v>
      </c>
      <c r="BK1275" s="9">
        <f t="shared" si="174"/>
        <v>10.78</v>
      </c>
      <c r="BL1275" s="9">
        <f t="shared" si="175"/>
        <v>0</v>
      </c>
      <c r="BM1275" s="9">
        <f t="shared" si="176"/>
        <v>2.7</v>
      </c>
      <c r="BN1275" s="9">
        <f t="shared" si="177"/>
        <v>453.41</v>
      </c>
      <c r="BO1275" s="9">
        <f t="shared" si="178"/>
        <v>0</v>
      </c>
      <c r="BP1275" s="9">
        <f t="shared" si="179"/>
        <v>87.64</v>
      </c>
    </row>
    <row r="1276" spans="1:68">
      <c r="A1276" s="6">
        <v>44781</v>
      </c>
      <c r="B1276" s="7">
        <v>3101</v>
      </c>
      <c r="C1276" s="8">
        <v>644.76</v>
      </c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>
        <v>1.33</v>
      </c>
      <c r="R1276" s="11"/>
      <c r="S1276" s="8">
        <v>3.75</v>
      </c>
      <c r="T1276" s="8"/>
      <c r="U1276" s="8">
        <v>10.34</v>
      </c>
      <c r="V1276" s="8"/>
      <c r="W1276" s="8"/>
      <c r="X1276" s="8"/>
      <c r="Y1276" s="8"/>
      <c r="Z1276" s="8"/>
      <c r="AA1276" s="8"/>
      <c r="AB1276" s="8"/>
      <c r="AC1276" s="8">
        <v>2.58</v>
      </c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11"/>
      <c r="AQ1276" s="8"/>
      <c r="AR1276" s="8"/>
      <c r="AS1276" s="8"/>
      <c r="AT1276" s="8">
        <v>434.76</v>
      </c>
      <c r="AU1276" s="8"/>
      <c r="AV1276" s="8"/>
      <c r="AW1276" s="8">
        <v>13.76</v>
      </c>
      <c r="AX1276" s="8"/>
      <c r="AY1276" s="8"/>
      <c r="AZ1276" s="8"/>
      <c r="BA1276" s="8"/>
      <c r="BB1276" s="8"/>
      <c r="BC1276" s="8"/>
      <c r="BD1276" s="8"/>
      <c r="BE1276" s="8"/>
      <c r="BF1276" s="8">
        <v>83.97</v>
      </c>
      <c r="BG1276" s="8">
        <v>33.22</v>
      </c>
      <c r="BH1276" s="9">
        <f t="shared" si="171"/>
        <v>644.76</v>
      </c>
      <c r="BI1276" s="9">
        <f t="shared" si="172"/>
        <v>1.33</v>
      </c>
      <c r="BJ1276" s="9">
        <f t="shared" si="173"/>
        <v>3.75</v>
      </c>
      <c r="BK1276" s="9">
        <f t="shared" si="174"/>
        <v>10.34</v>
      </c>
      <c r="BL1276" s="9">
        <f t="shared" si="175"/>
        <v>0</v>
      </c>
      <c r="BM1276" s="9">
        <f t="shared" si="176"/>
        <v>2.58</v>
      </c>
      <c r="BN1276" s="9">
        <f t="shared" si="177"/>
        <v>434.76</v>
      </c>
      <c r="BO1276" s="9">
        <f t="shared" si="178"/>
        <v>13.76</v>
      </c>
      <c r="BP1276" s="9">
        <f t="shared" si="179"/>
        <v>83.97</v>
      </c>
    </row>
    <row r="1277" spans="1:68">
      <c r="A1277" s="6">
        <v>44781</v>
      </c>
      <c r="B1277" s="7">
        <v>3020</v>
      </c>
      <c r="C1277" s="8"/>
      <c r="D1277" s="8">
        <v>171.68</v>
      </c>
      <c r="E1277" s="8"/>
      <c r="F1277" s="8"/>
      <c r="G1277" s="8"/>
      <c r="H1277" s="8"/>
      <c r="I1277" s="8">
        <v>968.91</v>
      </c>
      <c r="J1277" s="8"/>
      <c r="K1277" s="8"/>
      <c r="L1277" s="8"/>
      <c r="M1277" s="8"/>
      <c r="N1277" s="8">
        <v>6.85</v>
      </c>
      <c r="O1277" s="8"/>
      <c r="P1277" s="8"/>
      <c r="Q1277" s="8"/>
      <c r="R1277" s="11"/>
      <c r="S1277" s="8">
        <v>2.0499999999999998</v>
      </c>
      <c r="T1277" s="8"/>
      <c r="U1277" s="8"/>
      <c r="V1277" s="8"/>
      <c r="W1277" s="8">
        <v>11.42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>
        <v>11.42</v>
      </c>
      <c r="AN1277" s="8"/>
      <c r="AO1277" s="8"/>
      <c r="AP1277" s="11"/>
      <c r="AQ1277" s="8"/>
      <c r="AR1277" s="8"/>
      <c r="AS1277" s="8">
        <f>3058*9.52/1000</f>
        <v>29.112159999999999</v>
      </c>
      <c r="AT1277" s="8">
        <v>561.41999999999996</v>
      </c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>
        <v>41.06</v>
      </c>
      <c r="BH1277" s="9">
        <f t="shared" si="171"/>
        <v>1140.5899999999999</v>
      </c>
      <c r="BI1277" s="9">
        <f t="shared" si="172"/>
        <v>6.85</v>
      </c>
      <c r="BJ1277" s="9">
        <f t="shared" si="173"/>
        <v>2.0499999999999998</v>
      </c>
      <c r="BK1277" s="9">
        <f t="shared" si="174"/>
        <v>11.42</v>
      </c>
      <c r="BL1277" s="9">
        <f t="shared" si="175"/>
        <v>0</v>
      </c>
      <c r="BM1277" s="9">
        <f t="shared" si="176"/>
        <v>40.532159999999998</v>
      </c>
      <c r="BN1277" s="9">
        <f t="shared" si="177"/>
        <v>561.41999999999996</v>
      </c>
      <c r="BO1277" s="9">
        <f t="shared" si="178"/>
        <v>0</v>
      </c>
      <c r="BP1277" s="9">
        <f t="shared" si="179"/>
        <v>0</v>
      </c>
    </row>
    <row r="1278" spans="1:68">
      <c r="A1278" s="6">
        <v>44781</v>
      </c>
      <c r="B1278" s="7">
        <v>3028</v>
      </c>
      <c r="C1278" s="8"/>
      <c r="D1278" s="8">
        <v>411.01</v>
      </c>
      <c r="E1278" s="8"/>
      <c r="F1278" s="8">
        <v>376.32</v>
      </c>
      <c r="G1278" s="8"/>
      <c r="H1278" s="8"/>
      <c r="I1278" s="8">
        <v>847.84</v>
      </c>
      <c r="J1278" s="8"/>
      <c r="K1278" s="8"/>
      <c r="L1278" s="8"/>
      <c r="M1278" s="8"/>
      <c r="N1278" s="8">
        <v>12.24</v>
      </c>
      <c r="O1278" s="8"/>
      <c r="P1278" s="8"/>
      <c r="Q1278" s="8"/>
      <c r="R1278" s="11"/>
      <c r="S1278" s="8">
        <v>2.2999999999999998</v>
      </c>
      <c r="T1278" s="8"/>
      <c r="U1278" s="8"/>
      <c r="V1278" s="8"/>
      <c r="W1278" s="8">
        <v>12.28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>
        <v>16.329999999999998</v>
      </c>
      <c r="AN1278" s="8">
        <f>1043*10.9/1000</f>
        <v>11.3687</v>
      </c>
      <c r="AO1278" s="8"/>
      <c r="AP1278" s="11"/>
      <c r="AQ1278" s="8"/>
      <c r="AR1278" s="8"/>
      <c r="AS1278" s="8">
        <f>4962*10.9/1000</f>
        <v>54.085800000000006</v>
      </c>
      <c r="AT1278" s="8">
        <v>546.04</v>
      </c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>
        <v>37.299999999999997</v>
      </c>
      <c r="BH1278" s="9">
        <f t="shared" si="171"/>
        <v>1635.17</v>
      </c>
      <c r="BI1278" s="9">
        <f t="shared" si="172"/>
        <v>12.24</v>
      </c>
      <c r="BJ1278" s="9">
        <f t="shared" si="173"/>
        <v>2.2999999999999998</v>
      </c>
      <c r="BK1278" s="9">
        <f t="shared" si="174"/>
        <v>12.28</v>
      </c>
      <c r="BL1278" s="9">
        <f t="shared" si="175"/>
        <v>0</v>
      </c>
      <c r="BM1278" s="9">
        <f t="shared" si="176"/>
        <v>81.784500000000008</v>
      </c>
      <c r="BN1278" s="9">
        <f t="shared" si="177"/>
        <v>546.04</v>
      </c>
      <c r="BO1278" s="9">
        <f t="shared" si="178"/>
        <v>0</v>
      </c>
      <c r="BP1278" s="9">
        <f t="shared" si="179"/>
        <v>0</v>
      </c>
    </row>
    <row r="1279" spans="1:68">
      <c r="A1279" s="6">
        <v>44781</v>
      </c>
      <c r="B1279" s="7">
        <v>3022</v>
      </c>
      <c r="C1279" s="8"/>
      <c r="D1279" s="8">
        <v>569.24</v>
      </c>
      <c r="E1279" s="8"/>
      <c r="F1279" s="8"/>
      <c r="G1279" s="8"/>
      <c r="H1279" s="8"/>
      <c r="I1279" s="8">
        <v>467.75</v>
      </c>
      <c r="J1279" s="8"/>
      <c r="K1279" s="8"/>
      <c r="L1279" s="8"/>
      <c r="M1279" s="8"/>
      <c r="N1279" s="8">
        <v>5.19</v>
      </c>
      <c r="O1279" s="8"/>
      <c r="P1279" s="8"/>
      <c r="Q1279" s="8"/>
      <c r="R1279" s="11"/>
      <c r="S1279" s="8">
        <v>1.87</v>
      </c>
      <c r="T1279" s="8"/>
      <c r="U1279" s="8"/>
      <c r="V1279" s="8"/>
      <c r="W1279" s="8">
        <v>10.35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>
        <v>13.47</v>
      </c>
      <c r="AN1279" s="8"/>
      <c r="AO1279" s="8"/>
      <c r="AP1279" s="11"/>
      <c r="AQ1279" s="8"/>
      <c r="AR1279" s="8"/>
      <c r="AS1279" s="8">
        <f>3847*9.42/1000</f>
        <v>36.23874</v>
      </c>
      <c r="AT1279" s="8">
        <v>485.92</v>
      </c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>
        <v>37.299999999999997</v>
      </c>
      <c r="BH1279" s="9">
        <f t="shared" si="171"/>
        <v>1036.99</v>
      </c>
      <c r="BI1279" s="9">
        <f t="shared" si="172"/>
        <v>5.19</v>
      </c>
      <c r="BJ1279" s="9">
        <f t="shared" si="173"/>
        <v>1.87</v>
      </c>
      <c r="BK1279" s="9">
        <f t="shared" si="174"/>
        <v>10.35</v>
      </c>
      <c r="BL1279" s="9">
        <f t="shared" si="175"/>
        <v>0</v>
      </c>
      <c r="BM1279" s="9">
        <f t="shared" si="176"/>
        <v>49.708739999999999</v>
      </c>
      <c r="BN1279" s="9">
        <f t="shared" si="177"/>
        <v>485.92</v>
      </c>
      <c r="BO1279" s="9">
        <f t="shared" si="178"/>
        <v>0</v>
      </c>
      <c r="BP1279" s="9">
        <f t="shared" si="179"/>
        <v>0</v>
      </c>
    </row>
    <row r="1280" spans="1:68">
      <c r="A1280" s="6">
        <v>44781</v>
      </c>
      <c r="B1280" s="7">
        <v>3030</v>
      </c>
      <c r="C1280" s="8"/>
      <c r="D1280" s="8">
        <v>476.98</v>
      </c>
      <c r="E1280" s="8"/>
      <c r="F1280" s="8"/>
      <c r="G1280" s="8"/>
      <c r="H1280" s="8"/>
      <c r="I1280" s="8">
        <v>193.73</v>
      </c>
      <c r="J1280" s="8"/>
      <c r="K1280" s="8"/>
      <c r="L1280" s="8"/>
      <c r="M1280" s="8"/>
      <c r="N1280" s="8">
        <v>4.6399999999999997</v>
      </c>
      <c r="O1280" s="8"/>
      <c r="P1280" s="8"/>
      <c r="Q1280" s="8"/>
      <c r="R1280" s="11"/>
      <c r="S1280" s="8">
        <v>0.47</v>
      </c>
      <c r="T1280" s="8"/>
      <c r="U1280" s="8"/>
      <c r="V1280" s="8"/>
      <c r="W1280" s="8">
        <v>5.39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>
        <v>2.69</v>
      </c>
      <c r="AN1280" s="8">
        <f>1690*5.6/1000</f>
        <v>9.4640000000000004</v>
      </c>
      <c r="AO1280" s="8"/>
      <c r="AP1280" s="11"/>
      <c r="AQ1280" s="8"/>
      <c r="AR1280" s="8"/>
      <c r="AS1280" s="8">
        <f>4079*5.6/1000</f>
        <v>22.842399999999998</v>
      </c>
      <c r="AT1280" s="8">
        <v>235.13</v>
      </c>
      <c r="AU1280" s="8">
        <v>58.81</v>
      </c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>
        <v>23.4</v>
      </c>
      <c r="BH1280" s="9">
        <f t="shared" si="171"/>
        <v>670.71</v>
      </c>
      <c r="BI1280" s="9">
        <f t="shared" si="172"/>
        <v>4.6399999999999997</v>
      </c>
      <c r="BJ1280" s="9">
        <f t="shared" si="173"/>
        <v>0.47</v>
      </c>
      <c r="BK1280" s="9">
        <f t="shared" si="174"/>
        <v>5.39</v>
      </c>
      <c r="BL1280" s="9">
        <f t="shared" si="175"/>
        <v>0</v>
      </c>
      <c r="BM1280" s="9">
        <f t="shared" si="176"/>
        <v>34.996399999999994</v>
      </c>
      <c r="BN1280" s="9">
        <f t="shared" si="177"/>
        <v>293.94</v>
      </c>
      <c r="BO1280" s="9">
        <f t="shared" si="178"/>
        <v>0</v>
      </c>
      <c r="BP1280" s="9">
        <f t="shared" si="179"/>
        <v>0</v>
      </c>
    </row>
    <row r="1281" spans="1:68">
      <c r="A1281" s="6">
        <v>44781</v>
      </c>
      <c r="B1281" s="7">
        <v>3200</v>
      </c>
      <c r="C1281" s="8">
        <v>2319.0700000000002</v>
      </c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>
        <v>5.82</v>
      </c>
      <c r="P1281" s="8"/>
      <c r="Q1281" s="8"/>
      <c r="R1281" s="11"/>
      <c r="S1281" s="8">
        <v>9.0500000000000007</v>
      </c>
      <c r="T1281" s="8"/>
      <c r="U1281" s="8">
        <v>34.840000000000003</v>
      </c>
      <c r="V1281" s="8"/>
      <c r="W1281" s="8"/>
      <c r="X1281" s="8"/>
      <c r="Y1281" s="8"/>
      <c r="Z1281" s="8">
        <v>487.97</v>
      </c>
      <c r="AA1281" s="8"/>
      <c r="AB1281" s="8"/>
      <c r="AC1281" s="8"/>
      <c r="AD1281" s="8"/>
      <c r="AE1281" s="8"/>
      <c r="AF1281" s="8">
        <v>115.36</v>
      </c>
      <c r="AG1281" s="8"/>
      <c r="AH1281" s="8"/>
      <c r="AI1281" s="8"/>
      <c r="AJ1281" s="8"/>
      <c r="AK1281" s="8"/>
      <c r="AL1281" s="8"/>
      <c r="AM1281" s="8"/>
      <c r="AN1281" s="8"/>
      <c r="AO1281" s="8"/>
      <c r="AP1281" s="11"/>
      <c r="AQ1281" s="8">
        <f>1526*23.22/1000</f>
        <v>35.433720000000001</v>
      </c>
      <c r="AR1281" s="8"/>
      <c r="AS1281" s="8"/>
      <c r="AT1281" s="8">
        <v>1589.87</v>
      </c>
      <c r="AU1281" s="8"/>
      <c r="AV1281" s="8"/>
      <c r="AW1281" s="8">
        <v>6.8</v>
      </c>
      <c r="AX1281" s="8"/>
      <c r="AY1281" s="8"/>
      <c r="AZ1281" s="8"/>
      <c r="BA1281" s="8"/>
      <c r="BB1281" s="8"/>
      <c r="BC1281" s="8"/>
      <c r="BD1281" s="8"/>
      <c r="BE1281" s="8"/>
      <c r="BF1281" s="8">
        <v>111.56</v>
      </c>
      <c r="BG1281" s="8">
        <v>115.28</v>
      </c>
      <c r="BH1281" s="9">
        <f t="shared" si="171"/>
        <v>2319.0700000000002</v>
      </c>
      <c r="BI1281" s="9">
        <f t="shared" si="172"/>
        <v>5.82</v>
      </c>
      <c r="BJ1281" s="9">
        <f t="shared" si="173"/>
        <v>9.0500000000000007</v>
      </c>
      <c r="BK1281" s="9">
        <f t="shared" si="174"/>
        <v>34.840000000000003</v>
      </c>
      <c r="BL1281" s="9">
        <f t="shared" si="175"/>
        <v>487.97</v>
      </c>
      <c r="BM1281" s="9">
        <f t="shared" si="176"/>
        <v>150.79372000000001</v>
      </c>
      <c r="BN1281" s="9">
        <f t="shared" si="177"/>
        <v>1589.87</v>
      </c>
      <c r="BO1281" s="9">
        <f t="shared" si="178"/>
        <v>6.8</v>
      </c>
      <c r="BP1281" s="9">
        <f t="shared" si="179"/>
        <v>111.56</v>
      </c>
    </row>
    <row r="1282" spans="1:68">
      <c r="A1282" s="6">
        <v>44781</v>
      </c>
      <c r="B1282" s="7">
        <v>8265</v>
      </c>
      <c r="C1282" s="8">
        <v>1182.46</v>
      </c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>
        <v>2.12</v>
      </c>
      <c r="R1282" s="11"/>
      <c r="S1282" s="8">
        <v>3.91</v>
      </c>
      <c r="T1282" s="8"/>
      <c r="U1282" s="8">
        <v>11.84</v>
      </c>
      <c r="V1282" s="8"/>
      <c r="W1282" s="8"/>
      <c r="X1282" s="8"/>
      <c r="Y1282" s="8"/>
      <c r="Z1282" s="8"/>
      <c r="AA1282" s="8"/>
      <c r="AB1282" s="8"/>
      <c r="AC1282" s="8">
        <v>4.72</v>
      </c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11">
        <f>2217*5.37/1000</f>
        <v>11.905290000000001</v>
      </c>
      <c r="AQ1282" s="8"/>
      <c r="AR1282" s="8"/>
      <c r="AS1282" s="8"/>
      <c r="AT1282" s="8">
        <v>619.47</v>
      </c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>
        <v>46.11</v>
      </c>
      <c r="BH1282" s="9">
        <f t="shared" si="171"/>
        <v>1182.46</v>
      </c>
      <c r="BI1282" s="9">
        <f t="shared" si="172"/>
        <v>2.12</v>
      </c>
      <c r="BJ1282" s="9">
        <f t="shared" si="173"/>
        <v>3.91</v>
      </c>
      <c r="BK1282" s="9">
        <f t="shared" si="174"/>
        <v>11.84</v>
      </c>
      <c r="BL1282" s="9">
        <f t="shared" si="175"/>
        <v>0</v>
      </c>
      <c r="BM1282" s="9">
        <f t="shared" si="176"/>
        <v>16.62529</v>
      </c>
      <c r="BN1282" s="9">
        <f t="shared" si="177"/>
        <v>619.47</v>
      </c>
      <c r="BO1282" s="9">
        <f t="shared" si="178"/>
        <v>0</v>
      </c>
      <c r="BP1282" s="9">
        <f t="shared" si="179"/>
        <v>0</v>
      </c>
    </row>
    <row r="1283" spans="1:68">
      <c r="A1283" s="6">
        <v>44781</v>
      </c>
      <c r="B1283" s="7">
        <v>3134</v>
      </c>
      <c r="C1283" s="8">
        <v>1068.72</v>
      </c>
      <c r="D1283" s="8">
        <v>150.87</v>
      </c>
      <c r="E1283" s="8"/>
      <c r="F1283" s="8"/>
      <c r="G1283" s="8"/>
      <c r="H1283" s="8">
        <v>502.59</v>
      </c>
      <c r="I1283" s="8"/>
      <c r="J1283" s="8"/>
      <c r="K1283" s="8"/>
      <c r="L1283" s="8"/>
      <c r="M1283" s="8"/>
      <c r="N1283" s="8"/>
      <c r="O1283" s="8"/>
      <c r="P1283" s="8"/>
      <c r="Q1283" s="8">
        <v>3.34</v>
      </c>
      <c r="R1283" s="11"/>
      <c r="S1283" s="8">
        <v>6.97</v>
      </c>
      <c r="T1283" s="8"/>
      <c r="U1283" s="8">
        <v>19.690000000000001</v>
      </c>
      <c r="V1283" s="8"/>
      <c r="W1283" s="8"/>
      <c r="X1283" s="8"/>
      <c r="Y1283" s="8"/>
      <c r="Z1283" s="8"/>
      <c r="AA1283" s="8"/>
      <c r="AB1283" s="8"/>
      <c r="AC1283" s="8">
        <v>6.06</v>
      </c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11"/>
      <c r="AQ1283" s="8"/>
      <c r="AR1283" s="8"/>
      <c r="AS1283" s="8"/>
      <c r="AT1283" s="8">
        <v>1067.4100000000001</v>
      </c>
      <c r="AU1283" s="8"/>
      <c r="AV1283" s="8"/>
      <c r="AW1283" s="8"/>
      <c r="AX1283" s="8"/>
      <c r="AY1283" s="8">
        <f>1411*10.8/1000</f>
        <v>15.238800000000001</v>
      </c>
      <c r="AZ1283" s="8"/>
      <c r="BA1283" s="8"/>
      <c r="BB1283" s="8"/>
      <c r="BC1283" s="8"/>
      <c r="BD1283" s="8"/>
      <c r="BE1283" s="8"/>
      <c r="BF1283" s="8">
        <v>68.02</v>
      </c>
      <c r="BG1283" s="8">
        <v>80.09</v>
      </c>
      <c r="BH1283" s="9">
        <f t="shared" si="171"/>
        <v>1722.18</v>
      </c>
      <c r="BI1283" s="9">
        <f t="shared" si="172"/>
        <v>3.34</v>
      </c>
      <c r="BJ1283" s="9">
        <f t="shared" si="173"/>
        <v>6.97</v>
      </c>
      <c r="BK1283" s="9">
        <f t="shared" si="174"/>
        <v>19.690000000000001</v>
      </c>
      <c r="BL1283" s="9">
        <f t="shared" si="175"/>
        <v>0</v>
      </c>
      <c r="BM1283" s="9">
        <f t="shared" si="176"/>
        <v>6.06</v>
      </c>
      <c r="BN1283" s="9">
        <f t="shared" si="177"/>
        <v>1067.4100000000001</v>
      </c>
      <c r="BO1283" s="9">
        <f t="shared" si="178"/>
        <v>15.238800000000001</v>
      </c>
      <c r="BP1283" s="9">
        <f t="shared" si="179"/>
        <v>68.02</v>
      </c>
    </row>
    <row r="1284" spans="1:68">
      <c r="A1284" s="6">
        <v>44781</v>
      </c>
      <c r="B1284" s="7">
        <v>3106</v>
      </c>
      <c r="C1284" s="8">
        <v>4106.45</v>
      </c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>
        <v>10.29</v>
      </c>
      <c r="R1284" s="11"/>
      <c r="S1284" s="8">
        <v>12.32</v>
      </c>
      <c r="T1284" s="8"/>
      <c r="U1284" s="8">
        <v>52.31</v>
      </c>
      <c r="V1284" s="8"/>
      <c r="W1284" s="8"/>
      <c r="X1284" s="8"/>
      <c r="Y1284" s="8"/>
      <c r="Z1284" s="8"/>
      <c r="AA1284" s="8"/>
      <c r="AB1284" s="8"/>
      <c r="AC1284" s="8">
        <v>10.28</v>
      </c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11"/>
      <c r="AQ1284" s="8"/>
      <c r="AR1284" s="8"/>
      <c r="AS1284" s="8"/>
      <c r="AT1284" s="8">
        <v>2351.33</v>
      </c>
      <c r="AU1284" s="8"/>
      <c r="AV1284" s="8"/>
      <c r="AW1284" s="8"/>
      <c r="AX1284" s="8">
        <v>5.14</v>
      </c>
      <c r="AY1284" s="8"/>
      <c r="AZ1284" s="8"/>
      <c r="BA1284" s="8"/>
      <c r="BB1284" s="8"/>
      <c r="BC1284" s="8"/>
      <c r="BD1284" s="8"/>
      <c r="BE1284" s="8"/>
      <c r="BF1284" s="8"/>
      <c r="BG1284" s="8">
        <v>177.12</v>
      </c>
      <c r="BH1284" s="9">
        <f t="shared" ref="BH1284:BH1347" si="180">SUM(C1284:L1284)</f>
        <v>4106.45</v>
      </c>
      <c r="BI1284" s="9">
        <f t="shared" ref="BI1284:BI1347" si="181">SUM(M1284:R1284)</f>
        <v>10.29</v>
      </c>
      <c r="BJ1284" s="9">
        <f t="shared" ref="BJ1284:BJ1347" si="182">SUM(S1284)</f>
        <v>12.32</v>
      </c>
      <c r="BK1284" s="9">
        <f t="shared" ref="BK1284:BK1347" si="183">SUM(T1284:Y1284)</f>
        <v>52.31</v>
      </c>
      <c r="BL1284" s="9">
        <f t="shared" ref="BL1284:BL1347" si="184">SUM(Z1284:AA1284)</f>
        <v>0</v>
      </c>
      <c r="BM1284" s="9">
        <f t="shared" ref="BM1284:BM1347" si="185">SUM(AB1284:AS1284)</f>
        <v>10.28</v>
      </c>
      <c r="BN1284" s="9">
        <f t="shared" ref="BN1284:BN1347" si="186">SUM(AT1284:AU1284)</f>
        <v>2351.33</v>
      </c>
      <c r="BO1284" s="9">
        <f t="shared" ref="BO1284:BO1347" si="187">SUM(AV1284:BE1284)</f>
        <v>5.14</v>
      </c>
      <c r="BP1284" s="9">
        <f t="shared" ref="BP1284:BP1347" si="188">SUM(BF1284)</f>
        <v>0</v>
      </c>
    </row>
    <row r="1285" spans="1:68">
      <c r="A1285" s="6">
        <v>44782</v>
      </c>
      <c r="B1285" s="7">
        <v>3201</v>
      </c>
      <c r="C1285" s="8">
        <v>1185.8</v>
      </c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>
        <v>2.97</v>
      </c>
      <c r="P1285" s="8"/>
      <c r="Q1285" s="8"/>
      <c r="R1285" s="11"/>
      <c r="S1285" s="8">
        <v>4.51</v>
      </c>
      <c r="T1285" s="8"/>
      <c r="U1285" s="8">
        <v>17.8</v>
      </c>
      <c r="V1285" s="8"/>
      <c r="W1285" s="8"/>
      <c r="X1285" s="8"/>
      <c r="Y1285" s="8"/>
      <c r="Z1285" s="8">
        <v>249.46</v>
      </c>
      <c r="AA1285" s="8"/>
      <c r="AB1285" s="8"/>
      <c r="AC1285" s="8"/>
      <c r="AD1285" s="8"/>
      <c r="AE1285" s="8"/>
      <c r="AF1285" s="8">
        <v>59.17</v>
      </c>
      <c r="AG1285" s="8"/>
      <c r="AH1285" s="8"/>
      <c r="AI1285" s="8"/>
      <c r="AJ1285" s="8"/>
      <c r="AK1285" s="8"/>
      <c r="AL1285" s="8"/>
      <c r="AM1285" s="8"/>
      <c r="AN1285" s="8"/>
      <c r="AO1285" s="8"/>
      <c r="AP1285" s="11"/>
      <c r="AQ1285" s="8">
        <f>1526*11.87/1000</f>
        <v>18.113619999999997</v>
      </c>
      <c r="AR1285" s="8"/>
      <c r="AS1285" s="8"/>
      <c r="AT1285" s="8">
        <v>814.71</v>
      </c>
      <c r="AU1285" s="8"/>
      <c r="AV1285" s="8"/>
      <c r="AW1285" s="8"/>
      <c r="AX1285" s="8"/>
      <c r="AY1285" s="8"/>
      <c r="AZ1285" s="8"/>
      <c r="BA1285" s="8"/>
      <c r="BB1285" s="8"/>
      <c r="BC1285" s="8">
        <v>3.09</v>
      </c>
      <c r="BD1285" s="8"/>
      <c r="BE1285" s="8"/>
      <c r="BF1285" s="8">
        <v>56.94</v>
      </c>
      <c r="BG1285" s="8">
        <v>58.77</v>
      </c>
      <c r="BH1285" s="9">
        <f t="shared" si="180"/>
        <v>1185.8</v>
      </c>
      <c r="BI1285" s="9">
        <f t="shared" si="181"/>
        <v>2.97</v>
      </c>
      <c r="BJ1285" s="9">
        <f t="shared" si="182"/>
        <v>4.51</v>
      </c>
      <c r="BK1285" s="9">
        <f t="shared" si="183"/>
        <v>17.8</v>
      </c>
      <c r="BL1285" s="9">
        <f t="shared" si="184"/>
        <v>249.46</v>
      </c>
      <c r="BM1285" s="9">
        <f t="shared" si="185"/>
        <v>77.283619999999999</v>
      </c>
      <c r="BN1285" s="9">
        <f t="shared" si="186"/>
        <v>814.71</v>
      </c>
      <c r="BO1285" s="9">
        <f t="shared" si="187"/>
        <v>3.09</v>
      </c>
      <c r="BP1285" s="9">
        <f t="shared" si="188"/>
        <v>56.94</v>
      </c>
    </row>
    <row r="1286" spans="1:68">
      <c r="A1286" s="6">
        <v>44782</v>
      </c>
      <c r="B1286" s="7">
        <v>3023</v>
      </c>
      <c r="C1286" s="8"/>
      <c r="D1286" s="8">
        <v>883.39</v>
      </c>
      <c r="E1286" s="8"/>
      <c r="F1286" s="8"/>
      <c r="G1286" s="8"/>
      <c r="H1286" s="8"/>
      <c r="I1286" s="8">
        <v>475.3</v>
      </c>
      <c r="J1286" s="8"/>
      <c r="K1286" s="8"/>
      <c r="L1286" s="8"/>
      <c r="M1286" s="8"/>
      <c r="N1286" s="8">
        <v>7.62</v>
      </c>
      <c r="O1286" s="8"/>
      <c r="P1286" s="8"/>
      <c r="Q1286" s="8"/>
      <c r="R1286" s="11"/>
      <c r="S1286" s="8">
        <v>2.17</v>
      </c>
      <c r="T1286" s="8"/>
      <c r="U1286" s="8"/>
      <c r="V1286" s="8"/>
      <c r="W1286" s="8">
        <v>12.25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>
        <v>13.58</v>
      </c>
      <c r="AN1286" s="8">
        <f>1022*9.37/1000</f>
        <v>9.5761399999999988</v>
      </c>
      <c r="AO1286" s="8"/>
      <c r="AP1286" s="11"/>
      <c r="AQ1286" s="8"/>
      <c r="AR1286" s="8"/>
      <c r="AS1286" s="8">
        <f>4695*9.37/1000</f>
        <v>43.992149999999995</v>
      </c>
      <c r="AT1286" s="8">
        <v>557.53</v>
      </c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>
        <v>42.12</v>
      </c>
      <c r="BH1286" s="9">
        <f t="shared" si="180"/>
        <v>1358.69</v>
      </c>
      <c r="BI1286" s="9">
        <f t="shared" si="181"/>
        <v>7.62</v>
      </c>
      <c r="BJ1286" s="9">
        <f t="shared" si="182"/>
        <v>2.17</v>
      </c>
      <c r="BK1286" s="9">
        <f t="shared" si="183"/>
        <v>12.25</v>
      </c>
      <c r="BL1286" s="9">
        <f t="shared" si="184"/>
        <v>0</v>
      </c>
      <c r="BM1286" s="9">
        <f t="shared" si="185"/>
        <v>67.148290000000003</v>
      </c>
      <c r="BN1286" s="9">
        <f t="shared" si="186"/>
        <v>557.53</v>
      </c>
      <c r="BO1286" s="9">
        <f t="shared" si="187"/>
        <v>0</v>
      </c>
      <c r="BP1286" s="9">
        <f t="shared" si="188"/>
        <v>0</v>
      </c>
    </row>
    <row r="1287" spans="1:68">
      <c r="A1287" s="6">
        <v>44782</v>
      </c>
      <c r="B1287" s="7">
        <v>3017</v>
      </c>
      <c r="C1287" s="8"/>
      <c r="D1287" s="8">
        <v>490.5</v>
      </c>
      <c r="E1287" s="8"/>
      <c r="F1287" s="8"/>
      <c r="G1287" s="8"/>
      <c r="H1287" s="8"/>
      <c r="I1287" s="8">
        <v>676.09</v>
      </c>
      <c r="J1287" s="8"/>
      <c r="K1287" s="8"/>
      <c r="L1287" s="8"/>
      <c r="M1287" s="8"/>
      <c r="N1287" s="8">
        <v>8.17</v>
      </c>
      <c r="O1287" s="8"/>
      <c r="P1287" s="8"/>
      <c r="Q1287" s="8"/>
      <c r="R1287" s="11"/>
      <c r="S1287" s="8">
        <v>0.82</v>
      </c>
      <c r="T1287" s="8"/>
      <c r="U1287" s="8"/>
      <c r="V1287" s="8"/>
      <c r="W1287" s="8">
        <v>8.76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>
        <v>4.67</v>
      </c>
      <c r="AN1287" s="8">
        <f>1203*9.72/1000</f>
        <v>11.693160000000002</v>
      </c>
      <c r="AO1287" s="8"/>
      <c r="AP1287" s="11"/>
      <c r="AQ1287" s="8"/>
      <c r="AR1287" s="8">
        <f>4816*9.72/1000</f>
        <v>46.811520000000002</v>
      </c>
      <c r="AS1287" s="8"/>
      <c r="AT1287" s="8">
        <v>499.89</v>
      </c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>
        <v>36.200000000000003</v>
      </c>
      <c r="BH1287" s="9">
        <f t="shared" si="180"/>
        <v>1166.5900000000001</v>
      </c>
      <c r="BI1287" s="9">
        <f t="shared" si="181"/>
        <v>8.17</v>
      </c>
      <c r="BJ1287" s="9">
        <f t="shared" si="182"/>
        <v>0.82</v>
      </c>
      <c r="BK1287" s="9">
        <f t="shared" si="183"/>
        <v>8.76</v>
      </c>
      <c r="BL1287" s="9">
        <f t="shared" si="184"/>
        <v>0</v>
      </c>
      <c r="BM1287" s="9">
        <f t="shared" si="185"/>
        <v>63.174680000000002</v>
      </c>
      <c r="BN1287" s="9">
        <f t="shared" si="186"/>
        <v>499.89</v>
      </c>
      <c r="BO1287" s="9">
        <f t="shared" si="187"/>
        <v>0</v>
      </c>
      <c r="BP1287" s="9">
        <f t="shared" si="188"/>
        <v>0</v>
      </c>
    </row>
    <row r="1288" spans="1:68">
      <c r="A1288" s="6">
        <v>44782</v>
      </c>
      <c r="B1288" s="7">
        <v>3081</v>
      </c>
      <c r="C1288" s="8"/>
      <c r="D1288" s="8">
        <v>289.57</v>
      </c>
      <c r="E1288" s="8"/>
      <c r="F1288" s="8">
        <v>325.12</v>
      </c>
      <c r="G1288" s="8"/>
      <c r="H1288" s="8"/>
      <c r="I1288" s="8">
        <v>1190.03</v>
      </c>
      <c r="J1288" s="8"/>
      <c r="K1288" s="8"/>
      <c r="L1288" s="8"/>
      <c r="M1288" s="8"/>
      <c r="N1288" s="8">
        <v>13.28</v>
      </c>
      <c r="O1288" s="8"/>
      <c r="P1288" s="8">
        <f>626*11.73/1000</f>
        <v>7.3429800000000007</v>
      </c>
      <c r="Q1288" s="8"/>
      <c r="R1288" s="11"/>
      <c r="S1288" s="8">
        <v>1.27</v>
      </c>
      <c r="T1288" s="8"/>
      <c r="U1288" s="8"/>
      <c r="V1288" s="8"/>
      <c r="W1288" s="8">
        <v>18.2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11"/>
      <c r="AQ1288" s="8">
        <f>1566*11.73/1000</f>
        <v>18.36918</v>
      </c>
      <c r="AR1288" s="8">
        <f>5430*11.73/1000</f>
        <v>63.693899999999999</v>
      </c>
      <c r="AS1288" s="8"/>
      <c r="AT1288" s="8">
        <v>568.27</v>
      </c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>
        <v>37.9</v>
      </c>
      <c r="BH1288" s="9">
        <f t="shared" si="180"/>
        <v>1804.72</v>
      </c>
      <c r="BI1288" s="9">
        <f t="shared" si="181"/>
        <v>20.622979999999998</v>
      </c>
      <c r="BJ1288" s="9">
        <f t="shared" si="182"/>
        <v>1.27</v>
      </c>
      <c r="BK1288" s="9">
        <f t="shared" si="183"/>
        <v>18.2</v>
      </c>
      <c r="BL1288" s="9">
        <f t="shared" si="184"/>
        <v>0</v>
      </c>
      <c r="BM1288" s="9">
        <f t="shared" si="185"/>
        <v>82.063079999999999</v>
      </c>
      <c r="BN1288" s="9">
        <f t="shared" si="186"/>
        <v>568.27</v>
      </c>
      <c r="BO1288" s="9">
        <f t="shared" si="187"/>
        <v>0</v>
      </c>
      <c r="BP1288" s="9">
        <f t="shared" si="188"/>
        <v>0</v>
      </c>
    </row>
    <row r="1289" spans="1:68">
      <c r="A1289" s="6">
        <v>44782</v>
      </c>
      <c r="B1289" s="7">
        <v>3083</v>
      </c>
      <c r="C1289" s="8"/>
      <c r="D1289" s="8">
        <v>747.89</v>
      </c>
      <c r="E1289" s="8"/>
      <c r="F1289" s="8"/>
      <c r="G1289" s="8"/>
      <c r="H1289" s="8"/>
      <c r="I1289" s="8">
        <v>1745.92</v>
      </c>
      <c r="J1289" s="8"/>
      <c r="K1289" s="8"/>
      <c r="L1289" s="8"/>
      <c r="M1289" s="8"/>
      <c r="N1289" s="8">
        <v>17.260000000000002</v>
      </c>
      <c r="O1289" s="8"/>
      <c r="P1289" s="8"/>
      <c r="Q1289" s="8"/>
      <c r="R1289" s="11"/>
      <c r="S1289" s="8">
        <v>1.75</v>
      </c>
      <c r="T1289" s="8"/>
      <c r="U1289" s="8"/>
      <c r="V1289" s="8"/>
      <c r="W1289" s="8">
        <v>20.05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>
        <v>10</v>
      </c>
      <c r="AN1289" s="8">
        <f>1893*18.53/1000</f>
        <v>35.077289999999998</v>
      </c>
      <c r="AO1289" s="8"/>
      <c r="AP1289" s="11"/>
      <c r="AQ1289" s="8"/>
      <c r="AR1289" s="8">
        <f>3391*18.53/1000</f>
        <v>62.835230000000003</v>
      </c>
      <c r="AS1289" s="8"/>
      <c r="AT1289" s="8">
        <v>1135.8499999999999</v>
      </c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>
        <v>89.75</v>
      </c>
      <c r="BH1289" s="9">
        <f t="shared" si="180"/>
        <v>2493.81</v>
      </c>
      <c r="BI1289" s="9">
        <f t="shared" si="181"/>
        <v>17.260000000000002</v>
      </c>
      <c r="BJ1289" s="9">
        <f t="shared" si="182"/>
        <v>1.75</v>
      </c>
      <c r="BK1289" s="9">
        <f t="shared" si="183"/>
        <v>20.05</v>
      </c>
      <c r="BL1289" s="9">
        <f t="shared" si="184"/>
        <v>0</v>
      </c>
      <c r="BM1289" s="9">
        <f t="shared" si="185"/>
        <v>107.91252</v>
      </c>
      <c r="BN1289" s="9">
        <f t="shared" si="186"/>
        <v>1135.8499999999999</v>
      </c>
      <c r="BO1289" s="9">
        <f t="shared" si="187"/>
        <v>0</v>
      </c>
      <c r="BP1289" s="9">
        <f t="shared" si="188"/>
        <v>0</v>
      </c>
    </row>
    <row r="1290" spans="1:68">
      <c r="A1290" s="6">
        <v>44782</v>
      </c>
      <c r="B1290" s="7">
        <v>8264</v>
      </c>
      <c r="C1290" s="8">
        <v>574.79999999999995</v>
      </c>
      <c r="D1290" s="8"/>
      <c r="E1290" s="8"/>
      <c r="F1290" s="8"/>
      <c r="G1290" s="8">
        <v>862.24</v>
      </c>
      <c r="H1290" s="8"/>
      <c r="I1290" s="8"/>
      <c r="J1290" s="8"/>
      <c r="K1290" s="8"/>
      <c r="L1290" s="8"/>
      <c r="M1290" s="8">
        <v>1.55</v>
      </c>
      <c r="N1290" s="8"/>
      <c r="O1290" s="8"/>
      <c r="P1290" s="8"/>
      <c r="Q1290" s="8"/>
      <c r="R1290" s="11"/>
      <c r="S1290" s="8">
        <v>6.93</v>
      </c>
      <c r="T1290" s="8"/>
      <c r="U1290" s="8">
        <v>11.54</v>
      </c>
      <c r="V1290" s="8">
        <f>843*16.5/1000</f>
        <v>13.9095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11"/>
      <c r="AQ1290" s="8"/>
      <c r="AR1290" s="8"/>
      <c r="AS1290" s="8"/>
      <c r="AT1290" s="8">
        <v>580.63</v>
      </c>
      <c r="AU1290" s="8"/>
      <c r="AV1290" s="8"/>
      <c r="AW1290" s="8">
        <v>37.32</v>
      </c>
      <c r="AX1290" s="8"/>
      <c r="AY1290" s="8"/>
      <c r="AZ1290" s="8"/>
      <c r="BA1290" s="8"/>
      <c r="BB1290" s="8"/>
      <c r="BC1290" s="8"/>
      <c r="BD1290" s="8"/>
      <c r="BE1290" s="8"/>
      <c r="BF1290" s="8">
        <v>46.25</v>
      </c>
      <c r="BG1290" s="8">
        <v>43.33</v>
      </c>
      <c r="BH1290" s="9">
        <f t="shared" si="180"/>
        <v>1437.04</v>
      </c>
      <c r="BI1290" s="9">
        <f t="shared" si="181"/>
        <v>1.55</v>
      </c>
      <c r="BJ1290" s="9">
        <f t="shared" si="182"/>
        <v>6.93</v>
      </c>
      <c r="BK1290" s="9">
        <f t="shared" si="183"/>
        <v>25.4495</v>
      </c>
      <c r="BL1290" s="9">
        <f t="shared" si="184"/>
        <v>0</v>
      </c>
      <c r="BM1290" s="9">
        <f t="shared" si="185"/>
        <v>0</v>
      </c>
      <c r="BN1290" s="9">
        <f t="shared" si="186"/>
        <v>580.63</v>
      </c>
      <c r="BO1290" s="9">
        <f t="shared" si="187"/>
        <v>37.32</v>
      </c>
      <c r="BP1290" s="9">
        <f t="shared" si="188"/>
        <v>46.25</v>
      </c>
    </row>
    <row r="1291" spans="1:68">
      <c r="A1291" s="6">
        <v>44782</v>
      </c>
      <c r="B1291" s="7">
        <v>3136</v>
      </c>
      <c r="C1291" s="8">
        <v>1233.0999999999999</v>
      </c>
      <c r="D1291" s="8"/>
      <c r="E1291" s="8"/>
      <c r="F1291" s="8"/>
      <c r="G1291" s="8"/>
      <c r="H1291" s="8">
        <v>511.77</v>
      </c>
      <c r="I1291" s="8"/>
      <c r="J1291" s="8"/>
      <c r="K1291" s="8"/>
      <c r="L1291" s="8"/>
      <c r="M1291" s="8"/>
      <c r="N1291" s="8"/>
      <c r="O1291" s="8"/>
      <c r="P1291" s="8"/>
      <c r="Q1291" s="8">
        <v>1.95</v>
      </c>
      <c r="R1291" s="11"/>
      <c r="S1291" s="8">
        <v>7.44</v>
      </c>
      <c r="T1291" s="8"/>
      <c r="U1291" s="8">
        <v>19.71</v>
      </c>
      <c r="V1291" s="8"/>
      <c r="W1291" s="8"/>
      <c r="X1291" s="8"/>
      <c r="Y1291" s="8"/>
      <c r="Z1291" s="8"/>
      <c r="AA1291" s="8"/>
      <c r="AB1291" s="8"/>
      <c r="AC1291" s="8">
        <v>6.06</v>
      </c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11"/>
      <c r="AQ1291" s="8"/>
      <c r="AR1291" s="8"/>
      <c r="AS1291" s="8"/>
      <c r="AT1291" s="8">
        <v>988.63</v>
      </c>
      <c r="AU1291" s="8"/>
      <c r="AV1291" s="8"/>
      <c r="AW1291" s="8"/>
      <c r="AX1291" s="8"/>
      <c r="AY1291" s="8"/>
      <c r="AZ1291" s="8"/>
      <c r="BA1291" s="8">
        <v>15.01</v>
      </c>
      <c r="BB1291" s="8"/>
      <c r="BC1291" s="8"/>
      <c r="BD1291" s="8"/>
      <c r="BE1291" s="8"/>
      <c r="BF1291" s="8">
        <v>60.66</v>
      </c>
      <c r="BG1291" s="8">
        <v>74.3</v>
      </c>
      <c r="BH1291" s="9">
        <f t="shared" si="180"/>
        <v>1744.87</v>
      </c>
      <c r="BI1291" s="9">
        <f t="shared" si="181"/>
        <v>1.95</v>
      </c>
      <c r="BJ1291" s="9">
        <f t="shared" si="182"/>
        <v>7.44</v>
      </c>
      <c r="BK1291" s="9">
        <f t="shared" si="183"/>
        <v>19.71</v>
      </c>
      <c r="BL1291" s="9">
        <f t="shared" si="184"/>
        <v>0</v>
      </c>
      <c r="BM1291" s="9">
        <f t="shared" si="185"/>
        <v>6.06</v>
      </c>
      <c r="BN1291" s="9">
        <f t="shared" si="186"/>
        <v>988.63</v>
      </c>
      <c r="BO1291" s="9">
        <f t="shared" si="187"/>
        <v>15.01</v>
      </c>
      <c r="BP1291" s="9">
        <f t="shared" si="188"/>
        <v>60.66</v>
      </c>
    </row>
    <row r="1292" spans="1:68">
      <c r="A1292" s="6">
        <v>44782</v>
      </c>
      <c r="B1292" s="7">
        <v>3141</v>
      </c>
      <c r="C1292" s="8">
        <v>3591.52</v>
      </c>
      <c r="D1292" s="8">
        <v>633.77</v>
      </c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>
        <v>11.52</v>
      </c>
      <c r="R1292" s="11"/>
      <c r="S1292" s="8">
        <v>19.88</v>
      </c>
      <c r="T1292" s="8"/>
      <c r="U1292" s="8">
        <v>63.42</v>
      </c>
      <c r="V1292" s="8"/>
      <c r="W1292" s="8"/>
      <c r="X1292" s="8"/>
      <c r="Y1292" s="8"/>
      <c r="Z1292" s="8"/>
      <c r="AA1292" s="8"/>
      <c r="AB1292" s="8"/>
      <c r="AC1292" s="8">
        <v>16.93</v>
      </c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11"/>
      <c r="AQ1292" s="8"/>
      <c r="AR1292" s="8"/>
      <c r="AS1292" s="8"/>
      <c r="AT1292" s="8">
        <v>2791.18</v>
      </c>
      <c r="AU1292" s="8"/>
      <c r="AV1292" s="8"/>
      <c r="AW1292" s="8"/>
      <c r="AX1292" s="8"/>
      <c r="AY1292" s="8"/>
      <c r="AZ1292" s="8"/>
      <c r="BA1292" s="8">
        <v>96.78</v>
      </c>
      <c r="BB1292" s="8"/>
      <c r="BC1292" s="8"/>
      <c r="BD1292" s="8"/>
      <c r="BE1292" s="8"/>
      <c r="BF1292" s="8">
        <v>296.02</v>
      </c>
      <c r="BG1292" s="8">
        <v>220.35</v>
      </c>
      <c r="BH1292" s="9">
        <f t="shared" si="180"/>
        <v>4225.29</v>
      </c>
      <c r="BI1292" s="9">
        <f t="shared" si="181"/>
        <v>11.52</v>
      </c>
      <c r="BJ1292" s="9">
        <f t="shared" si="182"/>
        <v>19.88</v>
      </c>
      <c r="BK1292" s="9">
        <f t="shared" si="183"/>
        <v>63.42</v>
      </c>
      <c r="BL1292" s="9">
        <f t="shared" si="184"/>
        <v>0</v>
      </c>
      <c r="BM1292" s="9">
        <f t="shared" si="185"/>
        <v>16.93</v>
      </c>
      <c r="BN1292" s="9">
        <f t="shared" si="186"/>
        <v>2791.18</v>
      </c>
      <c r="BO1292" s="9">
        <f t="shared" si="187"/>
        <v>96.78</v>
      </c>
      <c r="BP1292" s="9">
        <f t="shared" si="188"/>
        <v>296.02</v>
      </c>
    </row>
    <row r="1293" spans="1:68">
      <c r="A1293" s="6">
        <v>44782</v>
      </c>
      <c r="B1293" s="7">
        <v>3134</v>
      </c>
      <c r="C1293" s="8">
        <v>1046.8699999999999</v>
      </c>
      <c r="D1293" s="8">
        <v>146.47</v>
      </c>
      <c r="E1293" s="8"/>
      <c r="F1293" s="8"/>
      <c r="G1293" s="8"/>
      <c r="H1293" s="8">
        <v>494.66</v>
      </c>
      <c r="I1293" s="8"/>
      <c r="J1293" s="8"/>
      <c r="K1293" s="8"/>
      <c r="L1293" s="8"/>
      <c r="M1293" s="8"/>
      <c r="N1293" s="8"/>
      <c r="O1293" s="8"/>
      <c r="P1293" s="8"/>
      <c r="Q1293" s="8">
        <v>3.21</v>
      </c>
      <c r="R1293" s="11"/>
      <c r="S1293" s="8">
        <v>6.75</v>
      </c>
      <c r="T1293" s="8"/>
      <c r="U1293" s="8">
        <v>19.07</v>
      </c>
      <c r="V1293" s="8"/>
      <c r="W1293" s="8"/>
      <c r="X1293" s="8"/>
      <c r="Y1293" s="8"/>
      <c r="Z1293" s="8"/>
      <c r="AA1293" s="8"/>
      <c r="AB1293" s="8"/>
      <c r="AC1293" s="8">
        <v>5.87</v>
      </c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11"/>
      <c r="AQ1293" s="8"/>
      <c r="AR1293" s="8"/>
      <c r="AS1293" s="8"/>
      <c r="AT1293" s="8">
        <v>1034.26</v>
      </c>
      <c r="AU1293" s="8"/>
      <c r="AV1293" s="8"/>
      <c r="AW1293" s="8"/>
      <c r="AX1293" s="8"/>
      <c r="AY1293" s="8">
        <f>1411*10.48/1000</f>
        <v>14.787280000000001</v>
      </c>
      <c r="AZ1293" s="8"/>
      <c r="BA1293" s="8"/>
      <c r="BB1293" s="8"/>
      <c r="BC1293" s="8"/>
      <c r="BD1293" s="8"/>
      <c r="BE1293" s="8"/>
      <c r="BF1293" s="8">
        <v>66.12</v>
      </c>
      <c r="BG1293" s="8">
        <v>77.69</v>
      </c>
      <c r="BH1293" s="9">
        <f t="shared" si="180"/>
        <v>1688</v>
      </c>
      <c r="BI1293" s="9">
        <f t="shared" si="181"/>
        <v>3.21</v>
      </c>
      <c r="BJ1293" s="9">
        <f t="shared" si="182"/>
        <v>6.75</v>
      </c>
      <c r="BK1293" s="9">
        <f t="shared" si="183"/>
        <v>19.07</v>
      </c>
      <c r="BL1293" s="9">
        <f t="shared" si="184"/>
        <v>0</v>
      </c>
      <c r="BM1293" s="9">
        <f t="shared" si="185"/>
        <v>5.87</v>
      </c>
      <c r="BN1293" s="9">
        <f t="shared" si="186"/>
        <v>1034.26</v>
      </c>
      <c r="BO1293" s="9">
        <f t="shared" si="187"/>
        <v>14.787280000000001</v>
      </c>
      <c r="BP1293" s="9">
        <f t="shared" si="188"/>
        <v>66.12</v>
      </c>
    </row>
    <row r="1294" spans="1:68">
      <c r="A1294" s="6">
        <v>44783</v>
      </c>
      <c r="B1294" s="7">
        <v>3117</v>
      </c>
      <c r="C1294" s="8">
        <v>730.71</v>
      </c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>
        <v>1.7</v>
      </c>
      <c r="R1294" s="11"/>
      <c r="S1294" s="8">
        <v>2.71</v>
      </c>
      <c r="T1294" s="8"/>
      <c r="U1294" s="8">
        <v>7.32</v>
      </c>
      <c r="V1294" s="8"/>
      <c r="W1294" s="8"/>
      <c r="X1294" s="8"/>
      <c r="Y1294" s="8"/>
      <c r="Z1294" s="8"/>
      <c r="AA1294" s="8"/>
      <c r="AB1294" s="8"/>
      <c r="AC1294" s="8">
        <v>2.93</v>
      </c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11"/>
      <c r="AQ1294" s="8"/>
      <c r="AR1294" s="8"/>
      <c r="AS1294" s="8"/>
      <c r="AT1294" s="8">
        <v>462.96</v>
      </c>
      <c r="AU1294" s="8"/>
      <c r="AV1294" s="8">
        <v>18.28</v>
      </c>
      <c r="AW1294" s="8"/>
      <c r="AX1294" s="8"/>
      <c r="AY1294" s="8"/>
      <c r="AZ1294" s="8"/>
      <c r="BA1294" s="8"/>
      <c r="BB1294" s="8"/>
      <c r="BC1294" s="8"/>
      <c r="BD1294" s="8"/>
      <c r="BE1294" s="8"/>
      <c r="BF1294" s="8">
        <v>36.58</v>
      </c>
      <c r="BG1294" s="8">
        <v>35.17</v>
      </c>
      <c r="BH1294" s="9">
        <f t="shared" si="180"/>
        <v>730.71</v>
      </c>
      <c r="BI1294" s="9">
        <f t="shared" si="181"/>
        <v>1.7</v>
      </c>
      <c r="BJ1294" s="9">
        <f t="shared" si="182"/>
        <v>2.71</v>
      </c>
      <c r="BK1294" s="9">
        <f t="shared" si="183"/>
        <v>7.32</v>
      </c>
      <c r="BL1294" s="9">
        <f t="shared" si="184"/>
        <v>0</v>
      </c>
      <c r="BM1294" s="9">
        <f t="shared" si="185"/>
        <v>2.93</v>
      </c>
      <c r="BN1294" s="9">
        <f t="shared" si="186"/>
        <v>462.96</v>
      </c>
      <c r="BO1294" s="9">
        <f t="shared" si="187"/>
        <v>18.28</v>
      </c>
      <c r="BP1294" s="9">
        <f t="shared" si="188"/>
        <v>36.58</v>
      </c>
    </row>
    <row r="1295" spans="1:68">
      <c r="A1295" s="6">
        <v>44783</v>
      </c>
      <c r="B1295" s="7">
        <v>3307</v>
      </c>
      <c r="C1295" s="8"/>
      <c r="D1295" s="8">
        <v>1901.29</v>
      </c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>
        <v>2.46</v>
      </c>
      <c r="R1295" s="11"/>
      <c r="S1295" s="8">
        <v>13.88</v>
      </c>
      <c r="T1295" s="8"/>
      <c r="U1295" s="8">
        <v>19.010000000000002</v>
      </c>
      <c r="V1295" s="8"/>
      <c r="W1295" s="8"/>
      <c r="X1295" s="8"/>
      <c r="Y1295" s="8"/>
      <c r="Z1295" s="8"/>
      <c r="AA1295" s="8"/>
      <c r="AB1295" s="8"/>
      <c r="AC1295" s="8">
        <v>11.41</v>
      </c>
      <c r="AD1295" s="8"/>
      <c r="AE1295" s="8"/>
      <c r="AF1295" s="8"/>
      <c r="AG1295" s="8">
        <v>19.05</v>
      </c>
      <c r="AH1295" s="8"/>
      <c r="AI1295" s="8"/>
      <c r="AJ1295" s="8"/>
      <c r="AK1295" s="8"/>
      <c r="AL1295" s="8"/>
      <c r="AM1295" s="8"/>
      <c r="AN1295" s="8"/>
      <c r="AO1295" s="8"/>
      <c r="AP1295" s="11"/>
      <c r="AQ1295" s="8"/>
      <c r="AR1295" s="8"/>
      <c r="AS1295" s="8"/>
      <c r="AT1295" s="8"/>
      <c r="AU1295" s="8">
        <v>952.17</v>
      </c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>
        <v>68.34</v>
      </c>
      <c r="BH1295" s="9">
        <f t="shared" si="180"/>
        <v>1901.29</v>
      </c>
      <c r="BI1295" s="9">
        <f t="shared" si="181"/>
        <v>2.46</v>
      </c>
      <c r="BJ1295" s="9">
        <f t="shared" si="182"/>
        <v>13.88</v>
      </c>
      <c r="BK1295" s="9">
        <f t="shared" si="183"/>
        <v>19.010000000000002</v>
      </c>
      <c r="BL1295" s="9">
        <f t="shared" si="184"/>
        <v>0</v>
      </c>
      <c r="BM1295" s="9">
        <f t="shared" si="185"/>
        <v>30.46</v>
      </c>
      <c r="BN1295" s="9">
        <f t="shared" si="186"/>
        <v>952.17</v>
      </c>
      <c r="BO1295" s="9">
        <f t="shared" si="187"/>
        <v>0</v>
      </c>
      <c r="BP1295" s="9">
        <f t="shared" si="188"/>
        <v>0</v>
      </c>
    </row>
    <row r="1296" spans="1:68">
      <c r="A1296" s="6">
        <v>44783</v>
      </c>
      <c r="B1296" s="7">
        <v>3022</v>
      </c>
      <c r="C1296" s="8"/>
      <c r="D1296" s="8">
        <v>1091.1300000000001</v>
      </c>
      <c r="E1296" s="8"/>
      <c r="F1296" s="8"/>
      <c r="G1296" s="8"/>
      <c r="H1296" s="8"/>
      <c r="I1296" s="8">
        <v>887.99</v>
      </c>
      <c r="J1296" s="8"/>
      <c r="K1296" s="8"/>
      <c r="L1296" s="8"/>
      <c r="M1296" s="8"/>
      <c r="N1296" s="8">
        <v>9.9</v>
      </c>
      <c r="O1296" s="8"/>
      <c r="P1296" s="8"/>
      <c r="Q1296" s="11"/>
      <c r="R1296" s="11"/>
      <c r="S1296" s="8">
        <v>3.56</v>
      </c>
      <c r="T1296" s="8"/>
      <c r="U1296" s="8"/>
      <c r="V1296" s="8"/>
      <c r="W1296" s="8">
        <v>19.829999999999998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>
        <v>25.77</v>
      </c>
      <c r="AN1296" s="8"/>
      <c r="AO1296" s="8"/>
      <c r="AP1296" s="11"/>
      <c r="AQ1296" s="8"/>
      <c r="AR1296" s="8"/>
      <c r="AS1296" s="8">
        <f>3861*18/1000</f>
        <v>69.498000000000005</v>
      </c>
      <c r="AT1296" s="8">
        <v>924.26</v>
      </c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>
        <v>71.319999999999993</v>
      </c>
      <c r="BH1296" s="9">
        <f t="shared" si="180"/>
        <v>1979.1200000000001</v>
      </c>
      <c r="BI1296" s="9">
        <f t="shared" si="181"/>
        <v>9.9</v>
      </c>
      <c r="BJ1296" s="9">
        <f t="shared" si="182"/>
        <v>3.56</v>
      </c>
      <c r="BK1296" s="9">
        <f t="shared" si="183"/>
        <v>19.829999999999998</v>
      </c>
      <c r="BL1296" s="9">
        <f t="shared" si="184"/>
        <v>0</v>
      </c>
      <c r="BM1296" s="9">
        <f t="shared" si="185"/>
        <v>95.268000000000001</v>
      </c>
      <c r="BN1296" s="9">
        <f t="shared" si="186"/>
        <v>924.26</v>
      </c>
      <c r="BO1296" s="9">
        <f t="shared" si="187"/>
        <v>0</v>
      </c>
      <c r="BP1296" s="9">
        <f t="shared" si="188"/>
        <v>0</v>
      </c>
    </row>
    <row r="1297" spans="1:68">
      <c r="A1297" s="6">
        <v>44783</v>
      </c>
      <c r="B1297" s="7">
        <v>3028</v>
      </c>
      <c r="C1297" s="8"/>
      <c r="D1297" s="8">
        <v>413.3</v>
      </c>
      <c r="E1297" s="8"/>
      <c r="F1297" s="8">
        <v>379.34</v>
      </c>
      <c r="G1297" s="8"/>
      <c r="H1297" s="8"/>
      <c r="I1297" s="8">
        <v>856.27</v>
      </c>
      <c r="J1297" s="8"/>
      <c r="K1297" s="8"/>
      <c r="L1297" s="8"/>
      <c r="M1297" s="8"/>
      <c r="N1297" s="8">
        <v>12.35</v>
      </c>
      <c r="O1297" s="8"/>
      <c r="P1297" s="8"/>
      <c r="Q1297" s="11"/>
      <c r="R1297" s="11"/>
      <c r="S1297" s="8">
        <v>2.31</v>
      </c>
      <c r="T1297" s="8"/>
      <c r="U1297" s="8"/>
      <c r="V1297" s="8"/>
      <c r="W1297" s="8">
        <v>12.37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>
        <v>16.489999999999998</v>
      </c>
      <c r="AN1297" s="8">
        <f>1074*11/1000</f>
        <v>11.814</v>
      </c>
      <c r="AO1297" s="8"/>
      <c r="AP1297" s="11"/>
      <c r="AQ1297" s="8"/>
      <c r="AR1297" s="8"/>
      <c r="AS1297" s="8">
        <f>4963*11/1000</f>
        <v>54.593000000000004</v>
      </c>
      <c r="AT1297" s="8">
        <v>550.72</v>
      </c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>
        <v>37.56</v>
      </c>
      <c r="BH1297" s="9">
        <f t="shared" si="180"/>
        <v>1648.9099999999999</v>
      </c>
      <c r="BI1297" s="9">
        <f t="shared" si="181"/>
        <v>12.35</v>
      </c>
      <c r="BJ1297" s="9">
        <f t="shared" si="182"/>
        <v>2.31</v>
      </c>
      <c r="BK1297" s="9">
        <f t="shared" si="183"/>
        <v>12.37</v>
      </c>
      <c r="BL1297" s="9">
        <f t="shared" si="184"/>
        <v>0</v>
      </c>
      <c r="BM1297" s="9">
        <f t="shared" si="185"/>
        <v>82.897000000000006</v>
      </c>
      <c r="BN1297" s="9">
        <f t="shared" si="186"/>
        <v>550.72</v>
      </c>
      <c r="BO1297" s="9">
        <f t="shared" si="187"/>
        <v>0</v>
      </c>
      <c r="BP1297" s="9">
        <f t="shared" si="188"/>
        <v>0</v>
      </c>
    </row>
    <row r="1298" spans="1:68">
      <c r="A1298" s="6">
        <v>44783</v>
      </c>
      <c r="B1298" s="7">
        <v>3141</v>
      </c>
      <c r="C1298" s="8">
        <v>2472.02</v>
      </c>
      <c r="D1298" s="8">
        <v>436.89</v>
      </c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11">
        <v>7.82</v>
      </c>
      <c r="R1298" s="11"/>
      <c r="S1298" s="8">
        <v>13.7</v>
      </c>
      <c r="T1298" s="8"/>
      <c r="U1298" s="8">
        <v>43.71</v>
      </c>
      <c r="V1298" s="8"/>
      <c r="W1298" s="8"/>
      <c r="X1298" s="8"/>
      <c r="Y1298" s="8"/>
      <c r="Z1298" s="8"/>
      <c r="AA1298" s="8"/>
      <c r="AB1298" s="8"/>
      <c r="AC1298" s="8">
        <v>11.66</v>
      </c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11"/>
      <c r="AQ1298" s="8"/>
      <c r="AR1298" s="8"/>
      <c r="AS1298" s="8"/>
      <c r="AT1298" s="8">
        <v>1945.2</v>
      </c>
      <c r="AU1298" s="8"/>
      <c r="AV1298" s="8"/>
      <c r="AW1298" s="8"/>
      <c r="AX1298" s="8"/>
      <c r="AY1298" s="8"/>
      <c r="AZ1298" s="8"/>
      <c r="BA1298" s="8">
        <v>66.73</v>
      </c>
      <c r="BB1298" s="8"/>
      <c r="BC1298" s="8"/>
      <c r="BD1298" s="8"/>
      <c r="BE1298" s="8"/>
      <c r="BF1298" s="8">
        <v>203.97</v>
      </c>
      <c r="BG1298" s="8">
        <v>151.44999999999999</v>
      </c>
      <c r="BH1298" s="9">
        <f t="shared" si="180"/>
        <v>2908.91</v>
      </c>
      <c r="BI1298" s="9">
        <f t="shared" si="181"/>
        <v>7.82</v>
      </c>
      <c r="BJ1298" s="9">
        <f t="shared" si="182"/>
        <v>13.7</v>
      </c>
      <c r="BK1298" s="9">
        <f t="shared" si="183"/>
        <v>43.71</v>
      </c>
      <c r="BL1298" s="9">
        <f t="shared" si="184"/>
        <v>0</v>
      </c>
      <c r="BM1298" s="9">
        <f t="shared" si="185"/>
        <v>11.66</v>
      </c>
      <c r="BN1298" s="9">
        <f t="shared" si="186"/>
        <v>1945.2</v>
      </c>
      <c r="BO1298" s="9">
        <f t="shared" si="187"/>
        <v>66.73</v>
      </c>
      <c r="BP1298" s="9">
        <f t="shared" si="188"/>
        <v>203.97</v>
      </c>
    </row>
    <row r="1299" spans="1:68">
      <c r="A1299" s="6">
        <v>44783</v>
      </c>
      <c r="B1299" s="7">
        <v>3106</v>
      </c>
      <c r="C1299" s="8">
        <v>4098.1000000000004</v>
      </c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11">
        <v>10.25</v>
      </c>
      <c r="R1299" s="11"/>
      <c r="S1299" s="8">
        <v>12.32</v>
      </c>
      <c r="T1299" s="8"/>
      <c r="U1299" s="8">
        <v>52.16</v>
      </c>
      <c r="V1299" s="8"/>
      <c r="W1299" s="8"/>
      <c r="X1299" s="8"/>
      <c r="Y1299" s="8"/>
      <c r="Z1299" s="8"/>
      <c r="AA1299" s="8"/>
      <c r="AB1299" s="8"/>
      <c r="AC1299" s="8">
        <v>10.25</v>
      </c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11"/>
      <c r="AQ1299" s="8"/>
      <c r="AR1299" s="8"/>
      <c r="AS1299" s="8"/>
      <c r="AT1299" s="8">
        <v>2344.69</v>
      </c>
      <c r="AU1299" s="8"/>
      <c r="AV1299" s="8"/>
      <c r="AW1299" s="8"/>
      <c r="AX1299" s="8">
        <v>5.13</v>
      </c>
      <c r="AY1299" s="8"/>
      <c r="AZ1299" s="8"/>
      <c r="BA1299" s="8"/>
      <c r="BB1299" s="8"/>
      <c r="BC1299" s="8"/>
      <c r="BD1299" s="8"/>
      <c r="BE1299" s="8"/>
      <c r="BF1299" s="8"/>
      <c r="BG1299" s="8">
        <v>176</v>
      </c>
      <c r="BH1299" s="9">
        <f t="shared" si="180"/>
        <v>4098.1000000000004</v>
      </c>
      <c r="BI1299" s="9">
        <f t="shared" si="181"/>
        <v>10.25</v>
      </c>
      <c r="BJ1299" s="9">
        <f t="shared" si="182"/>
        <v>12.32</v>
      </c>
      <c r="BK1299" s="9">
        <f t="shared" si="183"/>
        <v>52.16</v>
      </c>
      <c r="BL1299" s="9">
        <f t="shared" si="184"/>
        <v>0</v>
      </c>
      <c r="BM1299" s="9">
        <f t="shared" si="185"/>
        <v>10.25</v>
      </c>
      <c r="BN1299" s="9">
        <f t="shared" si="186"/>
        <v>2344.69</v>
      </c>
      <c r="BO1299" s="9">
        <f t="shared" si="187"/>
        <v>5.13</v>
      </c>
      <c r="BP1299" s="9">
        <f t="shared" si="188"/>
        <v>0</v>
      </c>
    </row>
    <row r="1300" spans="1:68">
      <c r="A1300" s="6">
        <v>44783</v>
      </c>
      <c r="B1300" s="7">
        <v>3200</v>
      </c>
      <c r="C1300" s="8">
        <v>2272.06</v>
      </c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>
        <v>5.7</v>
      </c>
      <c r="P1300" s="8"/>
      <c r="Q1300" s="11"/>
      <c r="R1300" s="11"/>
      <c r="S1300" s="8">
        <v>8.9</v>
      </c>
      <c r="T1300" s="8"/>
      <c r="U1300" s="8">
        <v>34.229999999999997</v>
      </c>
      <c r="V1300" s="8"/>
      <c r="W1300" s="8"/>
      <c r="X1300" s="8"/>
      <c r="Y1300" s="8"/>
      <c r="Z1300" s="8">
        <v>478.83</v>
      </c>
      <c r="AA1300" s="8"/>
      <c r="AB1300" s="8"/>
      <c r="AC1300" s="8"/>
      <c r="AD1300" s="8"/>
      <c r="AE1300" s="8"/>
      <c r="AF1300" s="8">
        <v>114.03</v>
      </c>
      <c r="AG1300" s="8"/>
      <c r="AH1300" s="8"/>
      <c r="AI1300" s="8"/>
      <c r="AJ1300" s="8"/>
      <c r="AK1300" s="8"/>
      <c r="AL1300" s="8"/>
      <c r="AM1300" s="8"/>
      <c r="AN1300" s="8"/>
      <c r="AO1300" s="8"/>
      <c r="AP1300" s="11"/>
      <c r="AQ1300" s="8">
        <f>1516*22.78/1000</f>
        <v>34.534480000000002</v>
      </c>
      <c r="AR1300" s="8"/>
      <c r="AS1300" s="8"/>
      <c r="AT1300" s="8">
        <v>1556.1</v>
      </c>
      <c r="AU1300" s="8"/>
      <c r="AV1300" s="8"/>
      <c r="AW1300" s="8">
        <v>6.61</v>
      </c>
      <c r="AX1300" s="8"/>
      <c r="AY1300" s="8"/>
      <c r="AZ1300" s="8"/>
      <c r="BA1300" s="8"/>
      <c r="BB1300" s="8"/>
      <c r="BC1300" s="8"/>
      <c r="BD1300" s="8"/>
      <c r="BE1300" s="8"/>
      <c r="BF1300" s="8">
        <v>109.54</v>
      </c>
      <c r="BG1300" s="8">
        <v>112.92</v>
      </c>
      <c r="BH1300" s="9">
        <f t="shared" si="180"/>
        <v>2272.06</v>
      </c>
      <c r="BI1300" s="9">
        <f t="shared" si="181"/>
        <v>5.7</v>
      </c>
      <c r="BJ1300" s="9">
        <f t="shared" si="182"/>
        <v>8.9</v>
      </c>
      <c r="BK1300" s="9">
        <f t="shared" si="183"/>
        <v>34.229999999999997</v>
      </c>
      <c r="BL1300" s="9">
        <f t="shared" si="184"/>
        <v>478.83</v>
      </c>
      <c r="BM1300" s="9">
        <f t="shared" si="185"/>
        <v>148.56448</v>
      </c>
      <c r="BN1300" s="9">
        <f t="shared" si="186"/>
        <v>1556.1</v>
      </c>
      <c r="BO1300" s="9">
        <f t="shared" si="187"/>
        <v>6.61</v>
      </c>
      <c r="BP1300" s="9">
        <f t="shared" si="188"/>
        <v>109.54</v>
      </c>
    </row>
    <row r="1301" spans="1:68">
      <c r="A1301" s="6">
        <v>44784</v>
      </c>
      <c r="B1301" s="7">
        <v>3200</v>
      </c>
      <c r="C1301" s="8">
        <v>2280.69</v>
      </c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>
        <v>5.7</v>
      </c>
      <c r="P1301" s="8"/>
      <c r="Q1301" s="11"/>
      <c r="R1301" s="11"/>
      <c r="S1301" s="8">
        <v>8.91</v>
      </c>
      <c r="T1301" s="8"/>
      <c r="U1301" s="8">
        <v>34.21</v>
      </c>
      <c r="V1301" s="8"/>
      <c r="W1301" s="8"/>
      <c r="X1301" s="8"/>
      <c r="Y1301" s="8"/>
      <c r="Z1301" s="8">
        <v>479.34</v>
      </c>
      <c r="AA1301" s="8"/>
      <c r="AB1301" s="8"/>
      <c r="AC1301" s="8"/>
      <c r="AD1301" s="8"/>
      <c r="AE1301" s="8"/>
      <c r="AF1301" s="8">
        <v>113.88</v>
      </c>
      <c r="AG1301" s="8"/>
      <c r="AH1301" s="8"/>
      <c r="AI1301" s="8"/>
      <c r="AJ1301" s="8"/>
      <c r="AK1301" s="8"/>
      <c r="AL1301" s="8"/>
      <c r="AM1301" s="8"/>
      <c r="AN1301" s="8"/>
      <c r="AO1301" s="8"/>
      <c r="AP1301" s="11"/>
      <c r="AQ1301" s="8">
        <f>1525*22.82/1000</f>
        <v>34.8005</v>
      </c>
      <c r="AR1301" s="8"/>
      <c r="AS1301" s="8"/>
      <c r="AT1301" s="8">
        <v>1561.25</v>
      </c>
      <c r="AU1301" s="8"/>
      <c r="AV1301" s="8"/>
      <c r="AW1301" s="8">
        <v>6.67</v>
      </c>
      <c r="AX1301" s="8"/>
      <c r="AY1301" s="8"/>
      <c r="AZ1301" s="8"/>
      <c r="BA1301" s="8"/>
      <c r="BB1301" s="8"/>
      <c r="BC1301" s="8"/>
      <c r="BD1301" s="8"/>
      <c r="BE1301" s="8"/>
      <c r="BF1301" s="8">
        <v>109.53</v>
      </c>
      <c r="BG1301" s="8">
        <v>113.2</v>
      </c>
      <c r="BH1301" s="9">
        <f t="shared" si="180"/>
        <v>2280.69</v>
      </c>
      <c r="BI1301" s="9">
        <f t="shared" si="181"/>
        <v>5.7</v>
      </c>
      <c r="BJ1301" s="9">
        <f t="shared" si="182"/>
        <v>8.91</v>
      </c>
      <c r="BK1301" s="9">
        <f t="shared" si="183"/>
        <v>34.21</v>
      </c>
      <c r="BL1301" s="9">
        <f t="shared" si="184"/>
        <v>479.34</v>
      </c>
      <c r="BM1301" s="9">
        <f t="shared" si="185"/>
        <v>148.68049999999999</v>
      </c>
      <c r="BN1301" s="9">
        <f t="shared" si="186"/>
        <v>1561.25</v>
      </c>
      <c r="BO1301" s="9">
        <f t="shared" si="187"/>
        <v>6.67</v>
      </c>
      <c r="BP1301" s="9">
        <f t="shared" si="188"/>
        <v>109.53</v>
      </c>
    </row>
    <row r="1302" spans="1:68">
      <c r="A1302" s="6">
        <v>44784</v>
      </c>
      <c r="B1302" s="7">
        <v>3005</v>
      </c>
      <c r="C1302" s="8">
        <v>802.75</v>
      </c>
      <c r="D1302" s="8">
        <v>535.72</v>
      </c>
      <c r="E1302" s="8"/>
      <c r="F1302" s="8"/>
      <c r="G1302" s="8"/>
      <c r="H1302" s="8"/>
      <c r="I1302" s="8"/>
      <c r="J1302" s="8"/>
      <c r="K1302" s="8"/>
      <c r="L1302" s="8"/>
      <c r="M1302" s="8"/>
      <c r="N1302" s="8">
        <v>1.34</v>
      </c>
      <c r="O1302" s="8"/>
      <c r="P1302" s="8"/>
      <c r="Q1302" s="11"/>
      <c r="R1302" s="11"/>
      <c r="S1302" s="8">
        <v>4.6900000000000004</v>
      </c>
      <c r="T1302" s="8"/>
      <c r="U1302" s="8"/>
      <c r="V1302" s="8"/>
      <c r="W1302" s="8">
        <v>14.76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11"/>
      <c r="AQ1302" s="8"/>
      <c r="AR1302" s="8"/>
      <c r="AS1302" s="8"/>
      <c r="AT1302" s="8">
        <v>656.87</v>
      </c>
      <c r="AU1302" s="8"/>
      <c r="AV1302" s="8"/>
      <c r="AW1302" s="8">
        <v>14.89</v>
      </c>
      <c r="AX1302" s="8"/>
      <c r="AY1302" s="8"/>
      <c r="AZ1302" s="8"/>
      <c r="BA1302" s="8"/>
      <c r="BB1302" s="8"/>
      <c r="BC1302" s="8"/>
      <c r="BD1302" s="8"/>
      <c r="BE1302" s="8"/>
      <c r="BF1302" s="8"/>
      <c r="BG1302" s="8">
        <v>48.86</v>
      </c>
      <c r="BH1302" s="9">
        <f t="shared" si="180"/>
        <v>1338.47</v>
      </c>
      <c r="BI1302" s="9">
        <f t="shared" si="181"/>
        <v>1.34</v>
      </c>
      <c r="BJ1302" s="9">
        <f t="shared" si="182"/>
        <v>4.6900000000000004</v>
      </c>
      <c r="BK1302" s="9">
        <f t="shared" si="183"/>
        <v>14.76</v>
      </c>
      <c r="BL1302" s="9">
        <f t="shared" si="184"/>
        <v>0</v>
      </c>
      <c r="BM1302" s="9">
        <f t="shared" si="185"/>
        <v>0</v>
      </c>
      <c r="BN1302" s="9">
        <f t="shared" si="186"/>
        <v>656.87</v>
      </c>
      <c r="BO1302" s="9">
        <f t="shared" si="187"/>
        <v>14.89</v>
      </c>
      <c r="BP1302" s="9">
        <f t="shared" si="188"/>
        <v>0</v>
      </c>
    </row>
    <row r="1303" spans="1:68">
      <c r="A1303" s="6">
        <v>44784</v>
      </c>
      <c r="B1303" s="7">
        <v>3029</v>
      </c>
      <c r="C1303" s="8"/>
      <c r="D1303" s="8">
        <v>692.83</v>
      </c>
      <c r="E1303" s="8"/>
      <c r="F1303" s="8">
        <v>488.04</v>
      </c>
      <c r="G1303" s="8"/>
      <c r="H1303" s="8"/>
      <c r="I1303" s="8">
        <v>2884.33</v>
      </c>
      <c r="J1303" s="8"/>
      <c r="K1303" s="8"/>
      <c r="L1303" s="8"/>
      <c r="M1303" s="8"/>
      <c r="N1303" s="8">
        <v>31.33</v>
      </c>
      <c r="O1303" s="8"/>
      <c r="P1303" s="8"/>
      <c r="Q1303" s="11"/>
      <c r="R1303" s="11"/>
      <c r="S1303" s="8">
        <v>2.4300000000000002</v>
      </c>
      <c r="T1303" s="8"/>
      <c r="U1303" s="8"/>
      <c r="V1303" s="8"/>
      <c r="W1303" s="8">
        <v>40.72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>
        <v>14.21</v>
      </c>
      <c r="AN1303" s="8">
        <f>754*27.12/1000</f>
        <v>20.44848</v>
      </c>
      <c r="AO1303" s="8"/>
      <c r="AP1303" s="11"/>
      <c r="AQ1303" s="8"/>
      <c r="AR1303" s="8">
        <f>4601*27.12/1000</f>
        <v>124.77912000000001</v>
      </c>
      <c r="AS1303" s="8"/>
      <c r="AT1303" s="8">
        <v>1544.58</v>
      </c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>
        <v>108.01</v>
      </c>
      <c r="BH1303" s="9">
        <f t="shared" si="180"/>
        <v>4065.2</v>
      </c>
      <c r="BI1303" s="9">
        <f t="shared" si="181"/>
        <v>31.33</v>
      </c>
      <c r="BJ1303" s="9">
        <f t="shared" si="182"/>
        <v>2.4300000000000002</v>
      </c>
      <c r="BK1303" s="9">
        <f t="shared" si="183"/>
        <v>40.72</v>
      </c>
      <c r="BL1303" s="9">
        <f t="shared" si="184"/>
        <v>0</v>
      </c>
      <c r="BM1303" s="9">
        <f t="shared" si="185"/>
        <v>159.4376</v>
      </c>
      <c r="BN1303" s="9">
        <f t="shared" si="186"/>
        <v>1544.58</v>
      </c>
      <c r="BO1303" s="9">
        <f t="shared" si="187"/>
        <v>0</v>
      </c>
      <c r="BP1303" s="9">
        <f t="shared" si="188"/>
        <v>0</v>
      </c>
    </row>
    <row r="1304" spans="1:68">
      <c r="A1304" s="6">
        <v>44784</v>
      </c>
      <c r="B1304" s="7">
        <v>3141</v>
      </c>
      <c r="C1304" s="8">
        <v>3584.75</v>
      </c>
      <c r="D1304" s="8">
        <v>632.84</v>
      </c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11">
        <v>10.95</v>
      </c>
      <c r="R1304" s="11"/>
      <c r="S1304" s="8">
        <v>19.850000000000001</v>
      </c>
      <c r="T1304" s="8"/>
      <c r="U1304" s="8">
        <v>63.31</v>
      </c>
      <c r="V1304" s="8"/>
      <c r="W1304" s="8"/>
      <c r="X1304" s="8"/>
      <c r="Y1304" s="8"/>
      <c r="Z1304" s="8"/>
      <c r="AA1304" s="8"/>
      <c r="AB1304" s="8"/>
      <c r="AC1304" s="8">
        <v>16.88</v>
      </c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11"/>
      <c r="AQ1304" s="8"/>
      <c r="AR1304" s="8"/>
      <c r="AS1304" s="8"/>
      <c r="AT1304" s="8">
        <v>2794.61</v>
      </c>
      <c r="AU1304" s="8"/>
      <c r="AV1304" s="8"/>
      <c r="AW1304" s="8"/>
      <c r="AX1304" s="8"/>
      <c r="AY1304" s="8"/>
      <c r="AZ1304" s="8"/>
      <c r="BA1304" s="8">
        <v>96.71</v>
      </c>
      <c r="BB1304" s="8"/>
      <c r="BC1304" s="8"/>
      <c r="BD1304" s="8"/>
      <c r="BE1304" s="8"/>
      <c r="BF1304" s="8">
        <v>295.45999999999998</v>
      </c>
      <c r="BG1304" s="8">
        <v>219.68</v>
      </c>
      <c r="BH1304" s="9">
        <f t="shared" si="180"/>
        <v>4217.59</v>
      </c>
      <c r="BI1304" s="9">
        <f t="shared" si="181"/>
        <v>10.95</v>
      </c>
      <c r="BJ1304" s="9">
        <f t="shared" si="182"/>
        <v>19.850000000000001</v>
      </c>
      <c r="BK1304" s="9">
        <f t="shared" si="183"/>
        <v>63.31</v>
      </c>
      <c r="BL1304" s="9">
        <f t="shared" si="184"/>
        <v>0</v>
      </c>
      <c r="BM1304" s="9">
        <f t="shared" si="185"/>
        <v>16.88</v>
      </c>
      <c r="BN1304" s="9">
        <f t="shared" si="186"/>
        <v>2794.61</v>
      </c>
      <c r="BO1304" s="9">
        <f t="shared" si="187"/>
        <v>96.71</v>
      </c>
      <c r="BP1304" s="9">
        <f t="shared" si="188"/>
        <v>295.45999999999998</v>
      </c>
    </row>
    <row r="1305" spans="1:68">
      <c r="A1305" s="6">
        <v>44784</v>
      </c>
      <c r="B1305" s="7">
        <v>3106</v>
      </c>
      <c r="C1305" s="8">
        <v>4098.03</v>
      </c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11">
        <v>10.28</v>
      </c>
      <c r="R1305" s="11"/>
      <c r="S1305" s="8">
        <v>12.33</v>
      </c>
      <c r="T1305" s="8"/>
      <c r="U1305" s="8">
        <v>52.2</v>
      </c>
      <c r="V1305" s="8"/>
      <c r="W1305" s="8"/>
      <c r="X1305" s="8"/>
      <c r="Y1305" s="8"/>
      <c r="Z1305" s="8"/>
      <c r="AA1305" s="8"/>
      <c r="AB1305" s="8"/>
      <c r="AC1305" s="8">
        <v>10.25</v>
      </c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11"/>
      <c r="AQ1305" s="8"/>
      <c r="AR1305" s="8"/>
      <c r="AS1305" s="8"/>
      <c r="AT1305" s="8">
        <v>2347.8000000000002</v>
      </c>
      <c r="AU1305" s="8"/>
      <c r="AV1305" s="8"/>
      <c r="AW1305" s="8"/>
      <c r="AX1305" s="8">
        <v>5.13</v>
      </c>
      <c r="AY1305" s="8"/>
      <c r="AZ1305" s="8"/>
      <c r="BA1305" s="8"/>
      <c r="BB1305" s="8"/>
      <c r="BC1305" s="8"/>
      <c r="BD1305" s="8"/>
      <c r="BE1305" s="8"/>
      <c r="BF1305" s="8"/>
      <c r="BG1305" s="8">
        <v>176.26</v>
      </c>
      <c r="BH1305" s="9">
        <f t="shared" si="180"/>
        <v>4098.03</v>
      </c>
      <c r="BI1305" s="9">
        <f t="shared" si="181"/>
        <v>10.28</v>
      </c>
      <c r="BJ1305" s="9">
        <f t="shared" si="182"/>
        <v>12.33</v>
      </c>
      <c r="BK1305" s="9">
        <f t="shared" si="183"/>
        <v>52.2</v>
      </c>
      <c r="BL1305" s="9">
        <f t="shared" si="184"/>
        <v>0</v>
      </c>
      <c r="BM1305" s="9">
        <f t="shared" si="185"/>
        <v>10.25</v>
      </c>
      <c r="BN1305" s="9">
        <f t="shared" si="186"/>
        <v>2347.8000000000002</v>
      </c>
      <c r="BO1305" s="9">
        <f t="shared" si="187"/>
        <v>5.13</v>
      </c>
      <c r="BP1305" s="9">
        <f t="shared" si="188"/>
        <v>0</v>
      </c>
    </row>
    <row r="1306" spans="1:68">
      <c r="A1306" s="6">
        <v>44784</v>
      </c>
      <c r="B1306" s="7">
        <v>3134</v>
      </c>
      <c r="C1306" s="8">
        <v>1056.32</v>
      </c>
      <c r="D1306" s="8">
        <v>147.94999999999999</v>
      </c>
      <c r="E1306" s="8"/>
      <c r="F1306" s="8"/>
      <c r="G1306" s="8"/>
      <c r="H1306" s="8">
        <v>498.76</v>
      </c>
      <c r="I1306" s="8"/>
      <c r="J1306" s="8"/>
      <c r="K1306" s="8"/>
      <c r="L1306" s="8"/>
      <c r="M1306" s="8"/>
      <c r="N1306" s="8"/>
      <c r="O1306" s="8"/>
      <c r="P1306" s="8"/>
      <c r="Q1306" s="11">
        <v>3.25</v>
      </c>
      <c r="R1306" s="11"/>
      <c r="S1306" s="8">
        <v>6.83</v>
      </c>
      <c r="T1306" s="8"/>
      <c r="U1306" s="8">
        <v>19.21</v>
      </c>
      <c r="V1306" s="8"/>
      <c r="W1306" s="8"/>
      <c r="X1306" s="8"/>
      <c r="Y1306" s="8"/>
      <c r="Z1306" s="8"/>
      <c r="AA1306" s="8"/>
      <c r="AB1306" s="8"/>
      <c r="AC1306" s="8">
        <v>5.93</v>
      </c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11"/>
      <c r="AQ1306" s="8"/>
      <c r="AR1306" s="8"/>
      <c r="AS1306" s="8"/>
      <c r="AT1306" s="8">
        <v>1034.6099999999999</v>
      </c>
      <c r="AU1306" s="8"/>
      <c r="AV1306" s="8"/>
      <c r="AW1306" s="8"/>
      <c r="AX1306" s="8"/>
      <c r="AY1306" s="8">
        <f>1404*10.58/1000</f>
        <v>14.85432</v>
      </c>
      <c r="AZ1306" s="8"/>
      <c r="BA1306" s="8"/>
      <c r="BB1306" s="8"/>
      <c r="BC1306" s="8"/>
      <c r="BD1306" s="8"/>
      <c r="BE1306" s="8"/>
      <c r="BF1306" s="8">
        <v>66.63</v>
      </c>
      <c r="BG1306" s="8">
        <v>78.5</v>
      </c>
      <c r="BH1306" s="9">
        <f t="shared" si="180"/>
        <v>1703.03</v>
      </c>
      <c r="BI1306" s="9">
        <f t="shared" si="181"/>
        <v>3.25</v>
      </c>
      <c r="BJ1306" s="9">
        <f t="shared" si="182"/>
        <v>6.83</v>
      </c>
      <c r="BK1306" s="9">
        <f t="shared" si="183"/>
        <v>19.21</v>
      </c>
      <c r="BL1306" s="9">
        <f t="shared" si="184"/>
        <v>0</v>
      </c>
      <c r="BM1306" s="9">
        <f t="shared" si="185"/>
        <v>5.93</v>
      </c>
      <c r="BN1306" s="9">
        <f t="shared" si="186"/>
        <v>1034.6099999999999</v>
      </c>
      <c r="BO1306" s="9">
        <f t="shared" si="187"/>
        <v>14.85432</v>
      </c>
      <c r="BP1306" s="9">
        <f t="shared" si="188"/>
        <v>66.63</v>
      </c>
    </row>
    <row r="1307" spans="1:68">
      <c r="A1307" s="6">
        <v>44784</v>
      </c>
      <c r="B1307" s="7">
        <v>3100</v>
      </c>
      <c r="C1307" s="8">
        <v>651.29</v>
      </c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11">
        <v>1.3</v>
      </c>
      <c r="R1307" s="11"/>
      <c r="S1307" s="8">
        <v>3.73</v>
      </c>
      <c r="T1307" s="8"/>
      <c r="U1307" s="8">
        <v>10.46</v>
      </c>
      <c r="V1307" s="8"/>
      <c r="W1307" s="8"/>
      <c r="X1307" s="8"/>
      <c r="Y1307" s="8"/>
      <c r="Z1307" s="8"/>
      <c r="AA1307" s="8"/>
      <c r="AB1307" s="8"/>
      <c r="AC1307" s="8">
        <v>2.62</v>
      </c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11"/>
      <c r="AQ1307" s="8"/>
      <c r="AR1307" s="8"/>
      <c r="AS1307" s="8"/>
      <c r="AT1307" s="8">
        <v>438.89</v>
      </c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>
        <v>84.93</v>
      </c>
      <c r="BG1307" s="8">
        <v>33.61</v>
      </c>
      <c r="BH1307" s="9">
        <f t="shared" si="180"/>
        <v>651.29</v>
      </c>
      <c r="BI1307" s="9">
        <f t="shared" si="181"/>
        <v>1.3</v>
      </c>
      <c r="BJ1307" s="9">
        <f t="shared" si="182"/>
        <v>3.73</v>
      </c>
      <c r="BK1307" s="9">
        <f t="shared" si="183"/>
        <v>10.46</v>
      </c>
      <c r="BL1307" s="9">
        <f t="shared" si="184"/>
        <v>0</v>
      </c>
      <c r="BM1307" s="9">
        <f t="shared" si="185"/>
        <v>2.62</v>
      </c>
      <c r="BN1307" s="9">
        <f t="shared" si="186"/>
        <v>438.89</v>
      </c>
      <c r="BO1307" s="9">
        <f t="shared" si="187"/>
        <v>0</v>
      </c>
      <c r="BP1307" s="9">
        <f t="shared" si="188"/>
        <v>84.93</v>
      </c>
    </row>
    <row r="1308" spans="1:68">
      <c r="A1308" s="6">
        <v>44784</v>
      </c>
      <c r="B1308" s="7">
        <v>8250</v>
      </c>
      <c r="C1308" s="8"/>
      <c r="D1308" s="8">
        <v>1044.53</v>
      </c>
      <c r="E1308" s="8"/>
      <c r="F1308" s="8"/>
      <c r="G1308" s="8"/>
      <c r="H1308" s="8"/>
      <c r="I1308" s="8"/>
      <c r="J1308" s="8"/>
      <c r="K1308" s="8"/>
      <c r="L1308" s="8"/>
      <c r="M1308" s="8">
        <f>218*9.48/1000</f>
        <v>2.06664</v>
      </c>
      <c r="N1308" s="8"/>
      <c r="O1308" s="8"/>
      <c r="P1308" s="8"/>
      <c r="Q1308" s="11"/>
      <c r="R1308" s="11"/>
      <c r="S1308" s="8">
        <v>1.56</v>
      </c>
      <c r="T1308" s="8"/>
      <c r="U1308" s="8">
        <v>9.41</v>
      </c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>
        <v>10.42</v>
      </c>
      <c r="AH1308" s="8"/>
      <c r="AI1308" s="8"/>
      <c r="AJ1308" s="8"/>
      <c r="AK1308" s="8"/>
      <c r="AL1308" s="8"/>
      <c r="AM1308" s="8"/>
      <c r="AN1308" s="8"/>
      <c r="AO1308" s="8"/>
      <c r="AP1308" s="11"/>
      <c r="AQ1308" s="8"/>
      <c r="AR1308" s="8"/>
      <c r="AS1308" s="8"/>
      <c r="AT1308" s="8">
        <v>288.64999999999998</v>
      </c>
      <c r="AU1308" s="8">
        <v>145.09</v>
      </c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>
        <v>30.28</v>
      </c>
      <c r="BH1308" s="9">
        <f t="shared" si="180"/>
        <v>1044.53</v>
      </c>
      <c r="BI1308" s="9">
        <f t="shared" si="181"/>
        <v>2.06664</v>
      </c>
      <c r="BJ1308" s="9">
        <f t="shared" si="182"/>
        <v>1.56</v>
      </c>
      <c r="BK1308" s="9">
        <f t="shared" si="183"/>
        <v>9.41</v>
      </c>
      <c r="BL1308" s="9">
        <f t="shared" si="184"/>
        <v>0</v>
      </c>
      <c r="BM1308" s="9">
        <f t="shared" si="185"/>
        <v>10.42</v>
      </c>
      <c r="BN1308" s="9">
        <f t="shared" si="186"/>
        <v>433.74</v>
      </c>
      <c r="BO1308" s="9">
        <f t="shared" si="187"/>
        <v>0</v>
      </c>
      <c r="BP1308" s="9">
        <f t="shared" si="188"/>
        <v>0</v>
      </c>
    </row>
    <row r="1309" spans="1:68">
      <c r="A1309" s="6">
        <v>44785</v>
      </c>
      <c r="B1309" s="7">
        <v>3200</v>
      </c>
      <c r="C1309" s="8">
        <f>1314.41+1249.81</f>
        <v>2564.2200000000003</v>
      </c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>
        <f>3.12+3.3</f>
        <v>6.42</v>
      </c>
      <c r="P1309" s="8"/>
      <c r="Q1309" s="11"/>
      <c r="R1309" s="11"/>
      <c r="S1309" s="8">
        <f>5.16+4.89</f>
        <v>10.050000000000001</v>
      </c>
      <c r="T1309" s="8"/>
      <c r="U1309" s="8">
        <f>19.82+18.87</f>
        <v>38.69</v>
      </c>
      <c r="V1309" s="8"/>
      <c r="W1309" s="8"/>
      <c r="X1309" s="8"/>
      <c r="Y1309" s="8"/>
      <c r="Z1309" s="8">
        <f>263.52+277.37</f>
        <v>540.89</v>
      </c>
      <c r="AA1309" s="8"/>
      <c r="AB1309" s="8"/>
      <c r="AC1309" s="8"/>
      <c r="AD1309" s="8"/>
      <c r="AE1309" s="8"/>
      <c r="AF1309" s="8">
        <f>64.87+61.71</f>
        <v>126.58000000000001</v>
      </c>
      <c r="AG1309" s="8"/>
      <c r="AH1309" s="8"/>
      <c r="AI1309" s="8"/>
      <c r="AJ1309" s="8"/>
      <c r="AK1309" s="8"/>
      <c r="AL1309" s="8"/>
      <c r="AM1309" s="8"/>
      <c r="AN1309" s="8"/>
      <c r="AO1309" s="8"/>
      <c r="AP1309" s="11"/>
      <c r="AQ1309" s="8">
        <f>1484*25.71/1000</f>
        <v>38.153640000000003</v>
      </c>
      <c r="AR1309" s="8"/>
      <c r="AS1309" s="8"/>
      <c r="AT1309" s="8">
        <f>855.29+904.39</f>
        <v>1759.6799999999998</v>
      </c>
      <c r="AU1309" s="8"/>
      <c r="AV1309" s="8"/>
      <c r="AW1309" s="8">
        <f>3.92+3.62</f>
        <v>7.54</v>
      </c>
      <c r="AX1309" s="8"/>
      <c r="AY1309" s="8"/>
      <c r="AZ1309" s="8"/>
      <c r="BA1309" s="8"/>
      <c r="BB1309" s="8"/>
      <c r="BC1309" s="8"/>
      <c r="BD1309" s="8"/>
      <c r="BE1309" s="8"/>
      <c r="BF1309" s="8">
        <f>63.43+60.4</f>
        <v>123.83</v>
      </c>
      <c r="BG1309" s="8">
        <f>62.27+65.6</f>
        <v>127.87</v>
      </c>
      <c r="BH1309" s="9">
        <f t="shared" si="180"/>
        <v>2564.2200000000003</v>
      </c>
      <c r="BI1309" s="9">
        <f t="shared" si="181"/>
        <v>6.42</v>
      </c>
      <c r="BJ1309" s="9">
        <f t="shared" si="182"/>
        <v>10.050000000000001</v>
      </c>
      <c r="BK1309" s="9">
        <f t="shared" si="183"/>
        <v>38.69</v>
      </c>
      <c r="BL1309" s="9">
        <f t="shared" si="184"/>
        <v>540.89</v>
      </c>
      <c r="BM1309" s="9">
        <f t="shared" si="185"/>
        <v>164.73364000000001</v>
      </c>
      <c r="BN1309" s="9">
        <f t="shared" si="186"/>
        <v>1759.6799999999998</v>
      </c>
      <c r="BO1309" s="9">
        <f t="shared" si="187"/>
        <v>7.54</v>
      </c>
      <c r="BP1309" s="9">
        <f t="shared" si="188"/>
        <v>123.83</v>
      </c>
    </row>
    <row r="1310" spans="1:68">
      <c r="A1310" s="6">
        <v>44788</v>
      </c>
      <c r="B1310" s="7">
        <v>3139</v>
      </c>
      <c r="C1310" s="8">
        <v>1597.66</v>
      </c>
      <c r="D1310" s="8"/>
      <c r="E1310" s="8"/>
      <c r="F1310" s="8"/>
      <c r="G1310" s="8"/>
      <c r="H1310" s="8">
        <v>664.63</v>
      </c>
      <c r="I1310" s="8"/>
      <c r="J1310" s="8"/>
      <c r="K1310" s="8"/>
      <c r="L1310" s="8"/>
      <c r="M1310" s="8"/>
      <c r="N1310" s="8"/>
      <c r="O1310" s="8"/>
      <c r="P1310" s="8"/>
      <c r="Q1310" s="11">
        <v>3.74</v>
      </c>
      <c r="R1310" s="11"/>
      <c r="S1310" s="8">
        <v>7.07</v>
      </c>
      <c r="T1310" s="8"/>
      <c r="U1310" s="8">
        <v>23.58</v>
      </c>
      <c r="V1310" s="8"/>
      <c r="W1310" s="8"/>
      <c r="X1310" s="8"/>
      <c r="Y1310" s="8"/>
      <c r="Z1310" s="8"/>
      <c r="AA1310" s="8"/>
      <c r="AB1310" s="8"/>
      <c r="AC1310" s="8">
        <v>7.86</v>
      </c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11"/>
      <c r="AQ1310" s="8"/>
      <c r="AR1310" s="8"/>
      <c r="AS1310" s="8"/>
      <c r="AT1310" s="8">
        <v>1167.53</v>
      </c>
      <c r="AU1310" s="8"/>
      <c r="AV1310" s="8">
        <v>39.270000000000003</v>
      </c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>
        <v>84.51</v>
      </c>
      <c r="BH1310" s="9">
        <f t="shared" si="180"/>
        <v>2262.29</v>
      </c>
      <c r="BI1310" s="9">
        <f t="shared" si="181"/>
        <v>3.74</v>
      </c>
      <c r="BJ1310" s="9">
        <f t="shared" si="182"/>
        <v>7.07</v>
      </c>
      <c r="BK1310" s="9">
        <f t="shared" si="183"/>
        <v>23.58</v>
      </c>
      <c r="BL1310" s="9">
        <f t="shared" si="184"/>
        <v>0</v>
      </c>
      <c r="BM1310" s="9">
        <f t="shared" si="185"/>
        <v>7.86</v>
      </c>
      <c r="BN1310" s="9">
        <f t="shared" si="186"/>
        <v>1167.53</v>
      </c>
      <c r="BO1310" s="9">
        <f t="shared" si="187"/>
        <v>39.270000000000003</v>
      </c>
      <c r="BP1310" s="9">
        <f t="shared" si="188"/>
        <v>0</v>
      </c>
    </row>
    <row r="1311" spans="1:68">
      <c r="A1311" s="6">
        <v>44788</v>
      </c>
      <c r="B1311" s="7">
        <v>3101</v>
      </c>
      <c r="C1311" s="8">
        <v>639.29</v>
      </c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11">
        <v>1.29</v>
      </c>
      <c r="R1311" s="11"/>
      <c r="S1311" s="8">
        <v>3.72</v>
      </c>
      <c r="T1311" s="8"/>
      <c r="U1311" s="8">
        <v>10.24</v>
      </c>
      <c r="V1311" s="8"/>
      <c r="W1311" s="8"/>
      <c r="X1311" s="8"/>
      <c r="Y1311" s="8"/>
      <c r="Z1311" s="8"/>
      <c r="AA1311" s="8"/>
      <c r="AB1311" s="8"/>
      <c r="AC1311" s="8">
        <v>2.56</v>
      </c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11"/>
      <c r="AQ1311" s="8"/>
      <c r="AR1311" s="8"/>
      <c r="AS1311" s="8"/>
      <c r="AT1311" s="8">
        <v>430.08</v>
      </c>
      <c r="AU1311" s="8"/>
      <c r="AV1311" s="8"/>
      <c r="AW1311" s="8">
        <v>13.64</v>
      </c>
      <c r="AX1311" s="8"/>
      <c r="AY1311" s="8"/>
      <c r="AZ1311" s="8"/>
      <c r="BA1311" s="8"/>
      <c r="BB1311" s="8"/>
      <c r="BC1311" s="8"/>
      <c r="BD1311" s="8"/>
      <c r="BE1311" s="8"/>
      <c r="BF1311" s="8">
        <v>83.23</v>
      </c>
      <c r="BG1311" s="8">
        <v>33.03</v>
      </c>
      <c r="BH1311" s="9">
        <f t="shared" si="180"/>
        <v>639.29</v>
      </c>
      <c r="BI1311" s="9">
        <f t="shared" si="181"/>
        <v>1.29</v>
      </c>
      <c r="BJ1311" s="9">
        <f t="shared" si="182"/>
        <v>3.72</v>
      </c>
      <c r="BK1311" s="9">
        <f t="shared" si="183"/>
        <v>10.24</v>
      </c>
      <c r="BL1311" s="9">
        <f t="shared" si="184"/>
        <v>0</v>
      </c>
      <c r="BM1311" s="9">
        <f t="shared" si="185"/>
        <v>2.56</v>
      </c>
      <c r="BN1311" s="9">
        <f t="shared" si="186"/>
        <v>430.08</v>
      </c>
      <c r="BO1311" s="9">
        <f t="shared" si="187"/>
        <v>13.64</v>
      </c>
      <c r="BP1311" s="9">
        <f t="shared" si="188"/>
        <v>83.23</v>
      </c>
    </row>
    <row r="1312" spans="1:68">
      <c r="A1312" s="6">
        <v>44788</v>
      </c>
      <c r="B1312" s="7">
        <v>3020</v>
      </c>
      <c r="C1312" s="8"/>
      <c r="D1312" s="8">
        <v>172.7</v>
      </c>
      <c r="E1312" s="8"/>
      <c r="F1312" s="8"/>
      <c r="G1312" s="8"/>
      <c r="H1312" s="8"/>
      <c r="I1312" s="8">
        <v>975.14</v>
      </c>
      <c r="J1312" s="8"/>
      <c r="K1312" s="8"/>
      <c r="L1312" s="8"/>
      <c r="M1312" s="8"/>
      <c r="N1312" s="8">
        <v>6.89</v>
      </c>
      <c r="O1312" s="8"/>
      <c r="P1312" s="8"/>
      <c r="Q1312" s="11"/>
      <c r="R1312" s="11"/>
      <c r="S1312" s="8">
        <v>2.06</v>
      </c>
      <c r="T1312" s="8"/>
      <c r="U1312" s="8"/>
      <c r="V1312" s="8"/>
      <c r="W1312" s="8">
        <v>11.5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>
        <v>11.48</v>
      </c>
      <c r="AN1312" s="8"/>
      <c r="AO1312" s="8"/>
      <c r="AP1312" s="11"/>
      <c r="AQ1312" s="8"/>
      <c r="AR1312" s="8"/>
      <c r="AS1312" s="8">
        <f>3019*9.57/1000</f>
        <v>28.891830000000002</v>
      </c>
      <c r="AT1312" s="8">
        <v>564.13</v>
      </c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>
        <v>41.3</v>
      </c>
      <c r="BH1312" s="9">
        <f t="shared" si="180"/>
        <v>1147.8399999999999</v>
      </c>
      <c r="BI1312" s="9">
        <f t="shared" si="181"/>
        <v>6.89</v>
      </c>
      <c r="BJ1312" s="9">
        <f t="shared" si="182"/>
        <v>2.06</v>
      </c>
      <c r="BK1312" s="9">
        <f t="shared" si="183"/>
        <v>11.5</v>
      </c>
      <c r="BL1312" s="9">
        <f t="shared" si="184"/>
        <v>0</v>
      </c>
      <c r="BM1312" s="9">
        <f t="shared" si="185"/>
        <v>40.371830000000003</v>
      </c>
      <c r="BN1312" s="9">
        <f t="shared" si="186"/>
        <v>564.13</v>
      </c>
      <c r="BO1312" s="9">
        <f t="shared" si="187"/>
        <v>0</v>
      </c>
      <c r="BP1312" s="9">
        <f t="shared" si="188"/>
        <v>0</v>
      </c>
    </row>
    <row r="1313" spans="1:68">
      <c r="A1313" s="6">
        <v>44788</v>
      </c>
      <c r="B1313" s="7">
        <v>3602</v>
      </c>
      <c r="C1313" s="8">
        <v>567.30999999999995</v>
      </c>
      <c r="D1313" s="8"/>
      <c r="E1313" s="8"/>
      <c r="F1313" s="8"/>
      <c r="G1313" s="8">
        <v>852.07</v>
      </c>
      <c r="H1313" s="8"/>
      <c r="I1313" s="8"/>
      <c r="J1313" s="8"/>
      <c r="K1313" s="8"/>
      <c r="L1313" s="8"/>
      <c r="M1313" s="8">
        <f>92*16.27/1000</f>
        <v>1.4968399999999999</v>
      </c>
      <c r="N1313" s="8"/>
      <c r="O1313" s="8"/>
      <c r="P1313" s="8"/>
      <c r="Q1313" s="11"/>
      <c r="R1313" s="11"/>
      <c r="S1313" s="8">
        <v>6.83</v>
      </c>
      <c r="T1313" s="8"/>
      <c r="U1313" s="8">
        <v>11.39</v>
      </c>
      <c r="V1313" s="8">
        <f>856*16.27/1000</f>
        <v>13.927119999999999</v>
      </c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11"/>
      <c r="AQ1313" s="8"/>
      <c r="AR1313" s="8"/>
      <c r="AS1313" s="8"/>
      <c r="AT1313" s="8">
        <v>584.91999999999996</v>
      </c>
      <c r="AU1313" s="8"/>
      <c r="AV1313" s="8"/>
      <c r="AW1313" s="8">
        <v>36.82</v>
      </c>
      <c r="AX1313" s="8"/>
      <c r="AY1313" s="8"/>
      <c r="AZ1313" s="8"/>
      <c r="BA1313" s="8"/>
      <c r="BB1313" s="8"/>
      <c r="BC1313" s="8"/>
      <c r="BD1313" s="8"/>
      <c r="BE1313" s="8"/>
      <c r="BF1313" s="8">
        <v>45.61</v>
      </c>
      <c r="BG1313" s="8">
        <v>43.73</v>
      </c>
      <c r="BH1313" s="9">
        <f t="shared" si="180"/>
        <v>1419.38</v>
      </c>
      <c r="BI1313" s="9">
        <f t="shared" si="181"/>
        <v>1.4968399999999999</v>
      </c>
      <c r="BJ1313" s="9">
        <f t="shared" si="182"/>
        <v>6.83</v>
      </c>
      <c r="BK1313" s="9">
        <f t="shared" si="183"/>
        <v>25.317119999999999</v>
      </c>
      <c r="BL1313" s="9">
        <f t="shared" si="184"/>
        <v>0</v>
      </c>
      <c r="BM1313" s="9">
        <f t="shared" si="185"/>
        <v>0</v>
      </c>
      <c r="BN1313" s="9">
        <f t="shared" si="186"/>
        <v>584.91999999999996</v>
      </c>
      <c r="BO1313" s="9">
        <f t="shared" si="187"/>
        <v>36.82</v>
      </c>
      <c r="BP1313" s="9">
        <f t="shared" si="188"/>
        <v>45.61</v>
      </c>
    </row>
    <row r="1314" spans="1:68">
      <c r="A1314" s="6">
        <v>44788</v>
      </c>
      <c r="B1314" s="7">
        <v>3025</v>
      </c>
      <c r="C1314" s="8"/>
      <c r="D1314" s="8">
        <v>127.87</v>
      </c>
      <c r="E1314" s="8"/>
      <c r="F1314" s="8"/>
      <c r="G1314" s="8"/>
      <c r="H1314" s="8"/>
      <c r="I1314" s="8">
        <v>713.13</v>
      </c>
      <c r="J1314" s="8"/>
      <c r="K1314" s="8"/>
      <c r="L1314" s="8"/>
      <c r="M1314" s="8"/>
      <c r="N1314" s="8">
        <v>4.55</v>
      </c>
      <c r="O1314" s="8"/>
      <c r="P1314" s="8"/>
      <c r="Q1314" s="11"/>
      <c r="R1314" s="11"/>
      <c r="S1314" s="8">
        <v>1.34</v>
      </c>
      <c r="T1314" s="8"/>
      <c r="U1314" s="8"/>
      <c r="V1314" s="8"/>
      <c r="W1314" s="8">
        <v>7.56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>
        <v>8.41</v>
      </c>
      <c r="AN1314" s="8">
        <f>711*8.43/1000</f>
        <v>5.9937299999999993</v>
      </c>
      <c r="AO1314" s="8"/>
      <c r="AP1314" s="11"/>
      <c r="AQ1314" s="8"/>
      <c r="AR1314" s="8"/>
      <c r="AS1314" s="8">
        <f>3320*8.43/1000</f>
        <v>27.987599999999997</v>
      </c>
      <c r="AT1314" s="8">
        <v>291.39</v>
      </c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>
        <v>19.3</v>
      </c>
      <c r="BH1314" s="9">
        <f t="shared" si="180"/>
        <v>841</v>
      </c>
      <c r="BI1314" s="9">
        <f t="shared" si="181"/>
        <v>4.55</v>
      </c>
      <c r="BJ1314" s="9">
        <f t="shared" si="182"/>
        <v>1.34</v>
      </c>
      <c r="BK1314" s="9">
        <f t="shared" si="183"/>
        <v>7.56</v>
      </c>
      <c r="BL1314" s="9">
        <f t="shared" si="184"/>
        <v>0</v>
      </c>
      <c r="BM1314" s="9">
        <f t="shared" si="185"/>
        <v>42.391329999999996</v>
      </c>
      <c r="BN1314" s="9">
        <f t="shared" si="186"/>
        <v>291.39</v>
      </c>
      <c r="BO1314" s="9">
        <f t="shared" si="187"/>
        <v>0</v>
      </c>
      <c r="BP1314" s="9">
        <f t="shared" si="188"/>
        <v>0</v>
      </c>
    </row>
    <row r="1315" spans="1:68">
      <c r="A1315" s="6">
        <v>44788</v>
      </c>
      <c r="B1315" s="7">
        <v>3024</v>
      </c>
      <c r="C1315" s="8"/>
      <c r="D1315" s="8">
        <v>349.81</v>
      </c>
      <c r="E1315" s="8"/>
      <c r="F1315" s="8"/>
      <c r="G1315" s="8"/>
      <c r="H1315" s="8"/>
      <c r="I1315" s="8">
        <v>348.42</v>
      </c>
      <c r="J1315" s="8"/>
      <c r="K1315" s="8"/>
      <c r="L1315" s="8"/>
      <c r="M1315" s="8"/>
      <c r="N1315" s="8">
        <v>4.1900000000000004</v>
      </c>
      <c r="O1315" s="8"/>
      <c r="P1315" s="8"/>
      <c r="Q1315" s="11"/>
      <c r="R1315" s="11"/>
      <c r="S1315" s="8">
        <v>1.1200000000000001</v>
      </c>
      <c r="T1315" s="8"/>
      <c r="U1315" s="8"/>
      <c r="V1315" s="8"/>
      <c r="W1315" s="8">
        <v>5.58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>
        <v>6.98</v>
      </c>
      <c r="AN1315" s="8">
        <f>838*5.8/1000</f>
        <v>4.8603999999999994</v>
      </c>
      <c r="AO1315" s="8"/>
      <c r="AP1315" s="11"/>
      <c r="AQ1315" s="8"/>
      <c r="AR1315" s="8"/>
      <c r="AS1315" s="8">
        <f>3924*5.8/1000</f>
        <v>22.7592</v>
      </c>
      <c r="AT1315" s="8">
        <v>268.29000000000002</v>
      </c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>
        <v>19.57</v>
      </c>
      <c r="BH1315" s="9">
        <f t="shared" si="180"/>
        <v>698.23</v>
      </c>
      <c r="BI1315" s="9">
        <f t="shared" si="181"/>
        <v>4.1900000000000004</v>
      </c>
      <c r="BJ1315" s="9">
        <f t="shared" si="182"/>
        <v>1.1200000000000001</v>
      </c>
      <c r="BK1315" s="9">
        <f t="shared" si="183"/>
        <v>5.58</v>
      </c>
      <c r="BL1315" s="9">
        <f t="shared" si="184"/>
        <v>0</v>
      </c>
      <c r="BM1315" s="9">
        <f t="shared" si="185"/>
        <v>34.599599999999995</v>
      </c>
      <c r="BN1315" s="9">
        <f t="shared" si="186"/>
        <v>268.29000000000002</v>
      </c>
      <c r="BO1315" s="9">
        <f t="shared" si="187"/>
        <v>0</v>
      </c>
      <c r="BP1315" s="9">
        <f t="shared" si="188"/>
        <v>0</v>
      </c>
    </row>
    <row r="1316" spans="1:68">
      <c r="A1316" s="6">
        <v>44788</v>
      </c>
      <c r="B1316" s="7">
        <v>3023</v>
      </c>
      <c r="C1316" s="8"/>
      <c r="D1316" s="8">
        <v>877</v>
      </c>
      <c r="E1316" s="8"/>
      <c r="F1316" s="8"/>
      <c r="G1316" s="8"/>
      <c r="H1316" s="8"/>
      <c r="I1316" s="8">
        <v>476.27</v>
      </c>
      <c r="J1316" s="8"/>
      <c r="K1316" s="8"/>
      <c r="L1316" s="8"/>
      <c r="M1316" s="8"/>
      <c r="N1316" s="8">
        <v>7.58</v>
      </c>
      <c r="O1316" s="8"/>
      <c r="P1316" s="8"/>
      <c r="Q1316" s="11"/>
      <c r="R1316" s="11"/>
      <c r="S1316" s="8">
        <v>2.16</v>
      </c>
      <c r="T1316" s="8"/>
      <c r="U1316" s="8"/>
      <c r="V1316" s="8"/>
      <c r="W1316" s="8">
        <v>12.19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>
        <v>13.5</v>
      </c>
      <c r="AN1316" s="8">
        <f>1019*9.33/1000</f>
        <v>9.5072700000000001</v>
      </c>
      <c r="AO1316" s="8"/>
      <c r="AP1316" s="11"/>
      <c r="AQ1316" s="8"/>
      <c r="AR1316" s="8"/>
      <c r="AS1316" s="8">
        <f>4766*9.33/1000</f>
        <v>44.46678</v>
      </c>
      <c r="AT1316" s="8">
        <v>555.54999999999995</v>
      </c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>
        <v>41.95</v>
      </c>
      <c r="BH1316" s="9">
        <f t="shared" si="180"/>
        <v>1353.27</v>
      </c>
      <c r="BI1316" s="9">
        <f t="shared" si="181"/>
        <v>7.58</v>
      </c>
      <c r="BJ1316" s="9">
        <f t="shared" si="182"/>
        <v>2.16</v>
      </c>
      <c r="BK1316" s="9">
        <f t="shared" si="183"/>
        <v>12.19</v>
      </c>
      <c r="BL1316" s="9">
        <f t="shared" si="184"/>
        <v>0</v>
      </c>
      <c r="BM1316" s="9">
        <f t="shared" si="185"/>
        <v>67.474050000000005</v>
      </c>
      <c r="BN1316" s="9">
        <f t="shared" si="186"/>
        <v>555.54999999999995</v>
      </c>
      <c r="BO1316" s="9">
        <f t="shared" si="187"/>
        <v>0</v>
      </c>
      <c r="BP1316" s="9">
        <f t="shared" si="188"/>
        <v>0</v>
      </c>
    </row>
    <row r="1317" spans="1:68">
      <c r="A1317" s="6">
        <v>44788</v>
      </c>
      <c r="B1317" s="7">
        <v>3016</v>
      </c>
      <c r="C1317" s="8"/>
      <c r="D1317" s="8">
        <v>1636.65</v>
      </c>
      <c r="E1317" s="8"/>
      <c r="F1317" s="8"/>
      <c r="G1317" s="8"/>
      <c r="H1317" s="8"/>
      <c r="I1317" s="8">
        <v>1504.68</v>
      </c>
      <c r="J1317" s="8"/>
      <c r="K1317" s="8"/>
      <c r="L1317" s="8"/>
      <c r="M1317" s="8"/>
      <c r="N1317" s="8">
        <v>18.89</v>
      </c>
      <c r="O1317" s="8"/>
      <c r="P1317" s="8"/>
      <c r="Q1317" s="11"/>
      <c r="R1317" s="11"/>
      <c r="S1317" s="8">
        <v>2.21</v>
      </c>
      <c r="T1317" s="8"/>
      <c r="U1317" s="8"/>
      <c r="V1317" s="8"/>
      <c r="W1317" s="8">
        <v>31.49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>
        <v>12.59</v>
      </c>
      <c r="AN1317" s="8">
        <f>2036*18.5/1000</f>
        <v>37.665999999999997</v>
      </c>
      <c r="AO1317" s="8"/>
      <c r="AP1317" s="11"/>
      <c r="AQ1317" s="8"/>
      <c r="AR1317" s="8">
        <f>4345*18.5/1000</f>
        <v>80.382499999999993</v>
      </c>
      <c r="AS1317" s="8"/>
      <c r="AT1317" s="8">
        <v>1169.47</v>
      </c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>
        <v>85.82</v>
      </c>
      <c r="BH1317" s="9">
        <f t="shared" si="180"/>
        <v>3141.33</v>
      </c>
      <c r="BI1317" s="9">
        <f t="shared" si="181"/>
        <v>18.89</v>
      </c>
      <c r="BJ1317" s="9">
        <f t="shared" si="182"/>
        <v>2.21</v>
      </c>
      <c r="BK1317" s="9">
        <f t="shared" si="183"/>
        <v>31.49</v>
      </c>
      <c r="BL1317" s="9">
        <f t="shared" si="184"/>
        <v>0</v>
      </c>
      <c r="BM1317" s="9">
        <f t="shared" si="185"/>
        <v>130.63849999999999</v>
      </c>
      <c r="BN1317" s="9">
        <f t="shared" si="186"/>
        <v>1169.47</v>
      </c>
      <c r="BO1317" s="9">
        <f t="shared" si="187"/>
        <v>0</v>
      </c>
      <c r="BP1317" s="9">
        <f t="shared" si="188"/>
        <v>0</v>
      </c>
    </row>
    <row r="1318" spans="1:68">
      <c r="A1318" s="6">
        <v>44788</v>
      </c>
      <c r="B1318" s="7">
        <v>3141</v>
      </c>
      <c r="C1318" s="8">
        <v>2432.02</v>
      </c>
      <c r="D1318" s="8">
        <v>426.88</v>
      </c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11">
        <v>6.78</v>
      </c>
      <c r="R1318" s="11"/>
      <c r="S1318" s="8">
        <v>13.44</v>
      </c>
      <c r="T1318" s="8"/>
      <c r="U1318" s="8">
        <v>42.9</v>
      </c>
      <c r="V1318" s="8"/>
      <c r="W1318" s="8"/>
      <c r="X1318" s="8"/>
      <c r="Y1318" s="8"/>
      <c r="Z1318" s="8"/>
      <c r="AA1318" s="8"/>
      <c r="AB1318" s="8"/>
      <c r="AC1318" s="8">
        <v>11.44</v>
      </c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11"/>
      <c r="AQ1318" s="8"/>
      <c r="AR1318" s="8"/>
      <c r="AS1318" s="8"/>
      <c r="AT1318" s="8">
        <v>1887.3</v>
      </c>
      <c r="AU1318" s="8"/>
      <c r="AV1318" s="8"/>
      <c r="AW1318" s="8"/>
      <c r="AX1318" s="8"/>
      <c r="AY1318" s="8"/>
      <c r="AZ1318" s="8"/>
      <c r="BA1318" s="8">
        <v>65.52</v>
      </c>
      <c r="BB1318" s="8"/>
      <c r="BC1318" s="8"/>
      <c r="BD1318" s="8"/>
      <c r="BE1318" s="8"/>
      <c r="BF1318" s="8">
        <v>199.7</v>
      </c>
      <c r="BG1318" s="8">
        <v>148.59</v>
      </c>
      <c r="BH1318" s="9">
        <f t="shared" si="180"/>
        <v>2858.9</v>
      </c>
      <c r="BI1318" s="9">
        <f t="shared" si="181"/>
        <v>6.78</v>
      </c>
      <c r="BJ1318" s="9">
        <f t="shared" si="182"/>
        <v>13.44</v>
      </c>
      <c r="BK1318" s="9">
        <f t="shared" si="183"/>
        <v>42.9</v>
      </c>
      <c r="BL1318" s="9">
        <f t="shared" si="184"/>
        <v>0</v>
      </c>
      <c r="BM1318" s="9">
        <f t="shared" si="185"/>
        <v>11.44</v>
      </c>
      <c r="BN1318" s="9">
        <f t="shared" si="186"/>
        <v>1887.3</v>
      </c>
      <c r="BO1318" s="9">
        <f t="shared" si="187"/>
        <v>65.52</v>
      </c>
      <c r="BP1318" s="9">
        <f t="shared" si="188"/>
        <v>199.7</v>
      </c>
    </row>
    <row r="1319" spans="1:68">
      <c r="A1319" s="6">
        <v>44788</v>
      </c>
      <c r="B1319" s="7">
        <v>3106</v>
      </c>
      <c r="C1319" s="8">
        <v>6146.86</v>
      </c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11">
        <v>16.59</v>
      </c>
      <c r="R1319" s="11"/>
      <c r="S1319" s="8">
        <v>18.489999999999998</v>
      </c>
      <c r="T1319" s="8"/>
      <c r="U1319" s="8">
        <v>78.23</v>
      </c>
      <c r="V1319" s="8"/>
      <c r="W1319" s="8"/>
      <c r="X1319" s="8"/>
      <c r="Y1319" s="8"/>
      <c r="Z1319" s="8"/>
      <c r="AA1319" s="8"/>
      <c r="AB1319" s="8"/>
      <c r="AC1319" s="8">
        <v>15.38</v>
      </c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11"/>
      <c r="AQ1319" s="8"/>
      <c r="AR1319" s="8"/>
      <c r="AS1319" s="8"/>
      <c r="AT1319" s="8">
        <v>3522.94</v>
      </c>
      <c r="AU1319" s="8"/>
      <c r="AV1319" s="8"/>
      <c r="AW1319" s="8"/>
      <c r="AX1319" s="8">
        <v>7.69</v>
      </c>
      <c r="AY1319" s="8"/>
      <c r="AZ1319" s="8"/>
      <c r="BA1319" s="8"/>
      <c r="BB1319" s="8"/>
      <c r="BC1319" s="8"/>
      <c r="BD1319" s="8"/>
      <c r="BE1319" s="8"/>
      <c r="BF1319" s="8"/>
      <c r="BG1319" s="8">
        <v>264.12</v>
      </c>
      <c r="BH1319" s="9">
        <f t="shared" si="180"/>
        <v>6146.86</v>
      </c>
      <c r="BI1319" s="9">
        <f t="shared" si="181"/>
        <v>16.59</v>
      </c>
      <c r="BJ1319" s="9">
        <f t="shared" si="182"/>
        <v>18.489999999999998</v>
      </c>
      <c r="BK1319" s="9">
        <f t="shared" si="183"/>
        <v>78.23</v>
      </c>
      <c r="BL1319" s="9">
        <f t="shared" si="184"/>
        <v>0</v>
      </c>
      <c r="BM1319" s="9">
        <f t="shared" si="185"/>
        <v>15.38</v>
      </c>
      <c r="BN1319" s="9">
        <f t="shared" si="186"/>
        <v>3522.94</v>
      </c>
      <c r="BO1319" s="9">
        <f t="shared" si="187"/>
        <v>7.69</v>
      </c>
      <c r="BP1319" s="9">
        <f t="shared" si="188"/>
        <v>0</v>
      </c>
    </row>
    <row r="1320" spans="1:68">
      <c r="A1320" s="6">
        <v>44789</v>
      </c>
      <c r="B1320" s="7">
        <v>3200</v>
      </c>
      <c r="C1320" s="8">
        <v>1242</v>
      </c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>
        <v>3.1</v>
      </c>
      <c r="P1320" s="8"/>
      <c r="Q1320" s="11"/>
      <c r="R1320" s="11"/>
      <c r="S1320" s="8">
        <v>4.8499999999999996</v>
      </c>
      <c r="T1320" s="8"/>
      <c r="U1320" s="8">
        <v>18.670000000000002</v>
      </c>
      <c r="V1320" s="8"/>
      <c r="W1320" s="8"/>
      <c r="X1320" s="8"/>
      <c r="Y1320" s="8"/>
      <c r="Z1320" s="8">
        <v>261.44</v>
      </c>
      <c r="AA1320" s="8"/>
      <c r="AB1320" s="8"/>
      <c r="AC1320" s="8"/>
      <c r="AD1320" s="8"/>
      <c r="AE1320" s="8"/>
      <c r="AF1320" s="8">
        <v>61.77</v>
      </c>
      <c r="AG1320" s="8"/>
      <c r="AH1320" s="8"/>
      <c r="AI1320" s="8"/>
      <c r="AJ1320" s="8"/>
      <c r="AK1320" s="8"/>
      <c r="AL1320" s="8"/>
      <c r="AM1320" s="8"/>
      <c r="AN1320" s="8"/>
      <c r="AO1320" s="8"/>
      <c r="AP1320" s="11"/>
      <c r="AQ1320" s="8">
        <f>1526*12.43/1000</f>
        <v>18.96818</v>
      </c>
      <c r="AR1320" s="8"/>
      <c r="AS1320" s="8"/>
      <c r="AT1320" s="8">
        <v>850.75</v>
      </c>
      <c r="AU1320" s="8"/>
      <c r="AV1320" s="8"/>
      <c r="AW1320" s="8">
        <v>3.68</v>
      </c>
      <c r="AX1320" s="8"/>
      <c r="AY1320" s="8"/>
      <c r="AZ1320" s="8"/>
      <c r="BA1320" s="8"/>
      <c r="BB1320" s="8"/>
      <c r="BC1320" s="8"/>
      <c r="BD1320" s="8"/>
      <c r="BE1320" s="8"/>
      <c r="BF1320" s="8">
        <v>59.76</v>
      </c>
      <c r="BG1320" s="8">
        <v>61.49</v>
      </c>
      <c r="BH1320" s="9">
        <f t="shared" si="180"/>
        <v>1242</v>
      </c>
      <c r="BI1320" s="9">
        <f t="shared" si="181"/>
        <v>3.1</v>
      </c>
      <c r="BJ1320" s="9">
        <f t="shared" si="182"/>
        <v>4.8499999999999996</v>
      </c>
      <c r="BK1320" s="9">
        <f t="shared" si="183"/>
        <v>18.670000000000002</v>
      </c>
      <c r="BL1320" s="9">
        <f t="shared" si="184"/>
        <v>261.44</v>
      </c>
      <c r="BM1320" s="9">
        <f t="shared" si="185"/>
        <v>80.73818</v>
      </c>
      <c r="BN1320" s="9">
        <f t="shared" si="186"/>
        <v>850.75</v>
      </c>
      <c r="BO1320" s="9">
        <f t="shared" si="187"/>
        <v>3.68</v>
      </c>
      <c r="BP1320" s="9">
        <f t="shared" si="188"/>
        <v>59.76</v>
      </c>
    </row>
    <row r="1321" spans="1:68">
      <c r="A1321" s="6">
        <v>44789</v>
      </c>
      <c r="B1321" s="7">
        <v>3135</v>
      </c>
      <c r="C1321" s="8">
        <v>1045.68</v>
      </c>
      <c r="D1321" s="8">
        <v>146.30000000000001</v>
      </c>
      <c r="E1321" s="8"/>
      <c r="F1321" s="8"/>
      <c r="G1321" s="8"/>
      <c r="H1321" s="8">
        <v>491.32</v>
      </c>
      <c r="I1321" s="8"/>
      <c r="J1321" s="8"/>
      <c r="K1321" s="8"/>
      <c r="L1321" s="8"/>
      <c r="M1321" s="8">
        <v>3.21</v>
      </c>
      <c r="N1321" s="8"/>
      <c r="O1321" s="8"/>
      <c r="P1321" s="8"/>
      <c r="Q1321" s="11"/>
      <c r="R1321" s="11"/>
      <c r="S1321" s="8">
        <v>6.74</v>
      </c>
      <c r="T1321" s="8"/>
      <c r="U1321" s="8">
        <v>19.059999999999999</v>
      </c>
      <c r="V1321" s="8"/>
      <c r="W1321" s="8"/>
      <c r="X1321" s="8"/>
      <c r="Y1321" s="8"/>
      <c r="Z1321" s="8"/>
      <c r="AA1321" s="8"/>
      <c r="AB1321" s="8"/>
      <c r="AC1321" s="8">
        <v>5.86</v>
      </c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11"/>
      <c r="AQ1321" s="8"/>
      <c r="AR1321" s="8"/>
      <c r="AS1321" s="8"/>
      <c r="AT1321" s="8">
        <v>1036.76</v>
      </c>
      <c r="AU1321" s="8"/>
      <c r="AV1321" s="8"/>
      <c r="AW1321" s="8"/>
      <c r="AX1321" s="8"/>
      <c r="AY1321" s="8"/>
      <c r="AZ1321" s="8"/>
      <c r="BA1321" s="8">
        <v>33.42</v>
      </c>
      <c r="BB1321" s="8"/>
      <c r="BC1321" s="8"/>
      <c r="BD1321" s="8"/>
      <c r="BE1321" s="8"/>
      <c r="BF1321" s="8">
        <v>66.14</v>
      </c>
      <c r="BG1321" s="8">
        <v>77.62</v>
      </c>
      <c r="BH1321" s="9">
        <f t="shared" si="180"/>
        <v>1683.3</v>
      </c>
      <c r="BI1321" s="9">
        <f t="shared" si="181"/>
        <v>3.21</v>
      </c>
      <c r="BJ1321" s="9">
        <f t="shared" si="182"/>
        <v>6.74</v>
      </c>
      <c r="BK1321" s="9">
        <f t="shared" si="183"/>
        <v>19.059999999999999</v>
      </c>
      <c r="BL1321" s="9">
        <f t="shared" si="184"/>
        <v>0</v>
      </c>
      <c r="BM1321" s="9">
        <f t="shared" si="185"/>
        <v>5.86</v>
      </c>
      <c r="BN1321" s="9">
        <f t="shared" si="186"/>
        <v>1036.76</v>
      </c>
      <c r="BO1321" s="9">
        <f t="shared" si="187"/>
        <v>33.42</v>
      </c>
      <c r="BP1321" s="9">
        <f t="shared" si="188"/>
        <v>66.14</v>
      </c>
    </row>
    <row r="1322" spans="1:68">
      <c r="A1322" s="6">
        <v>44789</v>
      </c>
      <c r="B1322" s="7">
        <v>3701</v>
      </c>
      <c r="C1322" s="8">
        <v>363.11</v>
      </c>
      <c r="D1322" s="8"/>
      <c r="E1322" s="8"/>
      <c r="F1322" s="8"/>
      <c r="G1322" s="8"/>
      <c r="H1322" s="8"/>
      <c r="I1322" s="8"/>
      <c r="J1322" s="8">
        <f>48160*12.32/1000</f>
        <v>593.33120000000008</v>
      </c>
      <c r="K1322" s="8"/>
      <c r="L1322" s="8"/>
      <c r="M1322" s="8"/>
      <c r="N1322" s="8">
        <v>2.2599999999999998</v>
      </c>
      <c r="O1322" s="8"/>
      <c r="P1322" s="8"/>
      <c r="Q1322" s="11"/>
      <c r="R1322" s="11"/>
      <c r="S1322" s="8">
        <v>2.66</v>
      </c>
      <c r="T1322" s="8"/>
      <c r="U1322" s="8">
        <v>5.92</v>
      </c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>
        <v>19.75</v>
      </c>
      <c r="AH1322" s="8"/>
      <c r="AI1322" s="8"/>
      <c r="AJ1322" s="8">
        <f>2404*12.32/1000</f>
        <v>29.617280000000001</v>
      </c>
      <c r="AK1322" s="8"/>
      <c r="AL1322" s="8"/>
      <c r="AM1322" s="8"/>
      <c r="AN1322" s="8"/>
      <c r="AO1322" s="8"/>
      <c r="AP1322" s="11"/>
      <c r="AQ1322" s="8"/>
      <c r="AR1322" s="8"/>
      <c r="AS1322" s="8"/>
      <c r="AT1322" s="8"/>
      <c r="AU1322" s="8">
        <v>348.22</v>
      </c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>
        <v>23.59</v>
      </c>
      <c r="BH1322" s="9">
        <f t="shared" si="180"/>
        <v>956.44120000000009</v>
      </c>
      <c r="BI1322" s="9">
        <f t="shared" si="181"/>
        <v>2.2599999999999998</v>
      </c>
      <c r="BJ1322" s="9">
        <f t="shared" si="182"/>
        <v>2.66</v>
      </c>
      <c r="BK1322" s="9">
        <f t="shared" si="183"/>
        <v>5.92</v>
      </c>
      <c r="BL1322" s="9">
        <f t="shared" si="184"/>
        <v>0</v>
      </c>
      <c r="BM1322" s="9">
        <f t="shared" si="185"/>
        <v>49.367280000000001</v>
      </c>
      <c r="BN1322" s="9">
        <f t="shared" si="186"/>
        <v>348.22</v>
      </c>
      <c r="BO1322" s="9">
        <f t="shared" si="187"/>
        <v>0</v>
      </c>
      <c r="BP1322" s="9">
        <f t="shared" si="188"/>
        <v>0</v>
      </c>
    </row>
    <row r="1323" spans="1:68">
      <c r="A1323" s="6">
        <v>44789</v>
      </c>
      <c r="B1323" s="7">
        <v>3081</v>
      </c>
      <c r="C1323" s="8"/>
      <c r="D1323" s="8">
        <v>290.55</v>
      </c>
      <c r="E1323" s="8"/>
      <c r="F1323" s="8">
        <v>327.43</v>
      </c>
      <c r="G1323" s="8"/>
      <c r="H1323" s="8"/>
      <c r="I1323" s="8">
        <v>1194.95</v>
      </c>
      <c r="J1323" s="8"/>
      <c r="K1323" s="8"/>
      <c r="L1323" s="8"/>
      <c r="M1323" s="8"/>
      <c r="N1323" s="8">
        <v>13.29</v>
      </c>
      <c r="O1323" s="8"/>
      <c r="P1323" s="8">
        <f>624*11.73/1000</f>
        <v>7.3195200000000007</v>
      </c>
      <c r="Q1323" s="11"/>
      <c r="R1323" s="11"/>
      <c r="S1323" s="8">
        <v>1.27</v>
      </c>
      <c r="T1323" s="8"/>
      <c r="U1323" s="8"/>
      <c r="V1323" s="8"/>
      <c r="W1323" s="8">
        <v>18.23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11"/>
      <c r="AQ1323" s="8">
        <f>1549*11.73/1000</f>
        <v>18.16977</v>
      </c>
      <c r="AR1323" s="8">
        <f>5430*11.73/1000</f>
        <v>63.693899999999999</v>
      </c>
      <c r="AS1323" s="8"/>
      <c r="AT1323" s="8">
        <v>570.20000000000005</v>
      </c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>
        <v>37.94</v>
      </c>
      <c r="BH1323" s="9">
        <f t="shared" si="180"/>
        <v>1812.93</v>
      </c>
      <c r="BI1323" s="9">
        <f t="shared" si="181"/>
        <v>20.60952</v>
      </c>
      <c r="BJ1323" s="9">
        <f t="shared" si="182"/>
        <v>1.27</v>
      </c>
      <c r="BK1323" s="9">
        <f t="shared" si="183"/>
        <v>18.23</v>
      </c>
      <c r="BL1323" s="9">
        <f t="shared" si="184"/>
        <v>0</v>
      </c>
      <c r="BM1323" s="9">
        <f t="shared" si="185"/>
        <v>81.863669999999999</v>
      </c>
      <c r="BN1323" s="9">
        <f t="shared" si="186"/>
        <v>570.20000000000005</v>
      </c>
      <c r="BO1323" s="9">
        <f t="shared" si="187"/>
        <v>0</v>
      </c>
      <c r="BP1323" s="9">
        <f t="shared" si="188"/>
        <v>0</v>
      </c>
    </row>
    <row r="1324" spans="1:68">
      <c r="A1324" s="6">
        <v>44789</v>
      </c>
      <c r="B1324" s="7">
        <v>3028</v>
      </c>
      <c r="C1324" s="8"/>
      <c r="D1324" s="8">
        <v>787.86</v>
      </c>
      <c r="E1324" s="8"/>
      <c r="F1324" s="8">
        <v>726.44</v>
      </c>
      <c r="G1324" s="8"/>
      <c r="H1324" s="8"/>
      <c r="I1324" s="8">
        <v>1641.14</v>
      </c>
      <c r="J1324" s="8"/>
      <c r="K1324" s="8"/>
      <c r="L1324" s="8"/>
      <c r="M1324" s="8"/>
      <c r="N1324" s="8">
        <v>23.66</v>
      </c>
      <c r="O1324" s="8"/>
      <c r="P1324" s="8"/>
      <c r="Q1324" s="11"/>
      <c r="R1324" s="11"/>
      <c r="S1324" s="8">
        <v>4.42</v>
      </c>
      <c r="T1324" s="8"/>
      <c r="U1324" s="8"/>
      <c r="V1324" s="8"/>
      <c r="W1324" s="8">
        <v>23.68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>
        <v>31.55</v>
      </c>
      <c r="AN1324" s="8">
        <f>1062*21.05/1000</f>
        <v>22.355100000000004</v>
      </c>
      <c r="AO1324" s="8"/>
      <c r="AP1324" s="11"/>
      <c r="AQ1324" s="8"/>
      <c r="AR1324" s="8"/>
      <c r="AS1324" s="8">
        <f>4925*21.05/1000</f>
        <v>103.67125</v>
      </c>
      <c r="AT1324" s="8">
        <v>1052.48</v>
      </c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>
        <v>71.55</v>
      </c>
      <c r="BH1324" s="9">
        <f t="shared" si="180"/>
        <v>3155.4400000000005</v>
      </c>
      <c r="BI1324" s="9">
        <f t="shared" si="181"/>
        <v>23.66</v>
      </c>
      <c r="BJ1324" s="9">
        <f t="shared" si="182"/>
        <v>4.42</v>
      </c>
      <c r="BK1324" s="9">
        <f t="shared" si="183"/>
        <v>23.68</v>
      </c>
      <c r="BL1324" s="9">
        <f t="shared" si="184"/>
        <v>0</v>
      </c>
      <c r="BM1324" s="9">
        <f t="shared" si="185"/>
        <v>157.57634999999999</v>
      </c>
      <c r="BN1324" s="9">
        <f t="shared" si="186"/>
        <v>1052.48</v>
      </c>
      <c r="BO1324" s="9">
        <f t="shared" si="187"/>
        <v>0</v>
      </c>
      <c r="BP1324" s="9">
        <f t="shared" si="188"/>
        <v>0</v>
      </c>
    </row>
    <row r="1325" spans="1:68">
      <c r="A1325" s="6">
        <v>44789</v>
      </c>
      <c r="B1325" s="7">
        <v>3021</v>
      </c>
      <c r="C1325" s="8"/>
      <c r="D1325" s="8">
        <v>205.53</v>
      </c>
      <c r="E1325" s="8"/>
      <c r="F1325" s="8"/>
      <c r="G1325" s="8"/>
      <c r="H1325" s="8"/>
      <c r="I1325" s="8">
        <v>381.63</v>
      </c>
      <c r="J1325" s="8"/>
      <c r="K1325" s="8"/>
      <c r="L1325" s="8"/>
      <c r="M1325" s="8"/>
      <c r="N1325" s="8">
        <v>3.11</v>
      </c>
      <c r="O1325" s="8"/>
      <c r="P1325" s="8"/>
      <c r="Q1325" s="11"/>
      <c r="R1325" s="11"/>
      <c r="S1325" s="8">
        <v>1.06</v>
      </c>
      <c r="T1325" s="8"/>
      <c r="U1325" s="8"/>
      <c r="V1325" s="8"/>
      <c r="W1325" s="8">
        <v>5.89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>
        <v>5.87</v>
      </c>
      <c r="AN1325" s="8"/>
      <c r="AO1325" s="8"/>
      <c r="AP1325" s="11"/>
      <c r="AQ1325" s="8"/>
      <c r="AR1325" s="8"/>
      <c r="AS1325" s="8">
        <f>2610*5.58/1000</f>
        <v>14.563800000000001</v>
      </c>
      <c r="AT1325" s="8">
        <v>276.39</v>
      </c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>
        <v>20.81</v>
      </c>
      <c r="BH1325" s="9">
        <f t="shared" si="180"/>
        <v>587.16</v>
      </c>
      <c r="BI1325" s="9">
        <f t="shared" si="181"/>
        <v>3.11</v>
      </c>
      <c r="BJ1325" s="9">
        <f t="shared" si="182"/>
        <v>1.06</v>
      </c>
      <c r="BK1325" s="9">
        <f t="shared" si="183"/>
        <v>5.89</v>
      </c>
      <c r="BL1325" s="9">
        <f t="shared" si="184"/>
        <v>0</v>
      </c>
      <c r="BM1325" s="9">
        <f t="shared" si="185"/>
        <v>20.433800000000002</v>
      </c>
      <c r="BN1325" s="9">
        <f t="shared" si="186"/>
        <v>276.39</v>
      </c>
      <c r="BO1325" s="9">
        <f t="shared" si="187"/>
        <v>0</v>
      </c>
      <c r="BP1325" s="9">
        <f t="shared" si="188"/>
        <v>0</v>
      </c>
    </row>
    <row r="1326" spans="1:68">
      <c r="A1326" s="6">
        <v>44789</v>
      </c>
      <c r="B1326" s="7">
        <v>3083</v>
      </c>
      <c r="C1326" s="8"/>
      <c r="D1326" s="8">
        <v>755.86</v>
      </c>
      <c r="E1326" s="8"/>
      <c r="F1326" s="8"/>
      <c r="G1326" s="8"/>
      <c r="H1326" s="8"/>
      <c r="I1326" s="8">
        <v>1761.86</v>
      </c>
      <c r="J1326" s="8"/>
      <c r="K1326" s="8"/>
      <c r="L1326" s="8"/>
      <c r="M1326" s="8"/>
      <c r="N1326" s="8">
        <v>15.85</v>
      </c>
      <c r="O1326" s="8"/>
      <c r="P1326" s="8"/>
      <c r="Q1326" s="11"/>
      <c r="R1326" s="11"/>
      <c r="S1326" s="8">
        <v>1.76</v>
      </c>
      <c r="T1326" s="8"/>
      <c r="U1326" s="8"/>
      <c r="V1326" s="8"/>
      <c r="W1326" s="8">
        <v>20.170000000000002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>
        <v>10.08</v>
      </c>
      <c r="AN1326" s="8">
        <f>1924*18.65/1000</f>
        <v>35.882599999999996</v>
      </c>
      <c r="AO1326" s="8"/>
      <c r="AP1326" s="11"/>
      <c r="AQ1326" s="8"/>
      <c r="AR1326" s="8">
        <f>3423*18.65/1000</f>
        <v>63.838949999999997</v>
      </c>
      <c r="AS1326" s="8"/>
      <c r="AT1326" s="8">
        <v>1184.56</v>
      </c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>
        <v>93.8</v>
      </c>
      <c r="BH1326" s="9">
        <f t="shared" si="180"/>
        <v>2517.7199999999998</v>
      </c>
      <c r="BI1326" s="9">
        <f t="shared" si="181"/>
        <v>15.85</v>
      </c>
      <c r="BJ1326" s="9">
        <f t="shared" si="182"/>
        <v>1.76</v>
      </c>
      <c r="BK1326" s="9">
        <f t="shared" si="183"/>
        <v>20.170000000000002</v>
      </c>
      <c r="BL1326" s="9">
        <f t="shared" si="184"/>
        <v>0</v>
      </c>
      <c r="BM1326" s="9">
        <f t="shared" si="185"/>
        <v>109.80154999999999</v>
      </c>
      <c r="BN1326" s="9">
        <f t="shared" si="186"/>
        <v>1184.56</v>
      </c>
      <c r="BO1326" s="9">
        <f t="shared" si="187"/>
        <v>0</v>
      </c>
      <c r="BP1326" s="9">
        <f t="shared" si="188"/>
        <v>0</v>
      </c>
    </row>
    <row r="1327" spans="1:68">
      <c r="A1327" s="6">
        <v>44789</v>
      </c>
      <c r="B1327" s="7">
        <v>8220</v>
      </c>
      <c r="C1327" s="8"/>
      <c r="D1327" s="8">
        <v>406.27</v>
      </c>
      <c r="E1327" s="8"/>
      <c r="F1327" s="8">
        <v>227.68</v>
      </c>
      <c r="G1327" s="8"/>
      <c r="H1327" s="8"/>
      <c r="I1327" s="8">
        <v>214.81</v>
      </c>
      <c r="J1327" s="8"/>
      <c r="K1327" s="8"/>
      <c r="L1327" s="8"/>
      <c r="M1327" s="8"/>
      <c r="N1327" s="8">
        <v>6.11</v>
      </c>
      <c r="O1327" s="8"/>
      <c r="P1327" s="8"/>
      <c r="Q1327" s="11"/>
      <c r="R1327" s="11"/>
      <c r="S1327" s="8">
        <v>0.5</v>
      </c>
      <c r="T1327" s="8"/>
      <c r="U1327" s="8"/>
      <c r="V1327" s="8"/>
      <c r="W1327" s="8">
        <v>6.85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>
        <v>2.97</v>
      </c>
      <c r="AN1327" s="8">
        <f>1522*5.65/1000</f>
        <v>8.5993000000000013</v>
      </c>
      <c r="AO1327" s="8"/>
      <c r="AP1327" s="11"/>
      <c r="AQ1327" s="8"/>
      <c r="AR1327" s="8">
        <f>5247*5.65/1000</f>
        <v>29.645550000000004</v>
      </c>
      <c r="AS1327" s="8"/>
      <c r="AT1327" s="8">
        <v>319.05</v>
      </c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>
        <v>23.35</v>
      </c>
      <c r="BH1327" s="9">
        <f t="shared" si="180"/>
        <v>848.76</v>
      </c>
      <c r="BI1327" s="9">
        <f t="shared" si="181"/>
        <v>6.11</v>
      </c>
      <c r="BJ1327" s="9">
        <f t="shared" si="182"/>
        <v>0.5</v>
      </c>
      <c r="BK1327" s="9">
        <f t="shared" si="183"/>
        <v>6.85</v>
      </c>
      <c r="BL1327" s="9">
        <f t="shared" si="184"/>
        <v>0</v>
      </c>
      <c r="BM1327" s="9">
        <f t="shared" si="185"/>
        <v>41.214850000000006</v>
      </c>
      <c r="BN1327" s="9">
        <f t="shared" si="186"/>
        <v>319.05</v>
      </c>
      <c r="BO1327" s="9">
        <f t="shared" si="187"/>
        <v>0</v>
      </c>
      <c r="BP1327" s="9">
        <f t="shared" si="188"/>
        <v>0</v>
      </c>
    </row>
    <row r="1328" spans="1:68">
      <c r="A1328" s="6">
        <v>44789</v>
      </c>
      <c r="B1328" s="7">
        <v>3079</v>
      </c>
      <c r="C1328" s="8"/>
      <c r="D1328" s="8"/>
      <c r="E1328" s="8"/>
      <c r="F1328" s="8">
        <v>346.63</v>
      </c>
      <c r="G1328" s="8"/>
      <c r="H1328" s="8"/>
      <c r="I1328" s="8">
        <v>2801.6</v>
      </c>
      <c r="J1328" s="8"/>
      <c r="K1328" s="8"/>
      <c r="L1328" s="8"/>
      <c r="M1328" s="8"/>
      <c r="N1328" s="8">
        <v>21.72</v>
      </c>
      <c r="O1328" s="8"/>
      <c r="P1328" s="8"/>
      <c r="Q1328" s="11"/>
      <c r="R1328" s="11"/>
      <c r="S1328" s="8">
        <v>1.26</v>
      </c>
      <c r="T1328" s="8"/>
      <c r="U1328" s="8"/>
      <c r="V1328" s="8"/>
      <c r="W1328" s="8">
        <v>31.51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>
        <v>12.6</v>
      </c>
      <c r="AN1328" s="8">
        <f>1724*18.53/1000</f>
        <v>31.945720000000001</v>
      </c>
      <c r="AO1328" s="8"/>
      <c r="AP1328" s="11"/>
      <c r="AQ1328" s="8"/>
      <c r="AR1328" s="8">
        <f>4266*18.53/1000</f>
        <v>79.048980000000014</v>
      </c>
      <c r="AS1328" s="8"/>
      <c r="AT1328" s="8">
        <v>1213.9000000000001</v>
      </c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>
        <v>88.19</v>
      </c>
      <c r="BH1328" s="9">
        <f t="shared" si="180"/>
        <v>3148.23</v>
      </c>
      <c r="BI1328" s="9">
        <f t="shared" si="181"/>
        <v>21.72</v>
      </c>
      <c r="BJ1328" s="9">
        <f t="shared" si="182"/>
        <v>1.26</v>
      </c>
      <c r="BK1328" s="9">
        <f t="shared" si="183"/>
        <v>31.51</v>
      </c>
      <c r="BL1328" s="9">
        <f t="shared" si="184"/>
        <v>0</v>
      </c>
      <c r="BM1328" s="9">
        <f t="shared" si="185"/>
        <v>123.59470000000002</v>
      </c>
      <c r="BN1328" s="9">
        <f t="shared" si="186"/>
        <v>1213.9000000000001</v>
      </c>
      <c r="BO1328" s="9">
        <f t="shared" si="187"/>
        <v>0</v>
      </c>
      <c r="BP1328" s="9">
        <f t="shared" si="188"/>
        <v>0</v>
      </c>
    </row>
    <row r="1329" spans="1:68">
      <c r="A1329" s="6">
        <v>44789</v>
      </c>
      <c r="B1329" s="7">
        <v>3121</v>
      </c>
      <c r="C1329" s="8">
        <v>1066.8599999999999</v>
      </c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11">
        <v>1.77</v>
      </c>
      <c r="R1329" s="11"/>
      <c r="S1329" s="8">
        <v>3.52</v>
      </c>
      <c r="T1329" s="8"/>
      <c r="U1329" s="8">
        <v>10.68</v>
      </c>
      <c r="V1329" s="8"/>
      <c r="W1329" s="8"/>
      <c r="X1329" s="8"/>
      <c r="Y1329" s="8"/>
      <c r="Z1329" s="8"/>
      <c r="AA1329" s="8"/>
      <c r="AB1329" s="8"/>
      <c r="AC1329" s="8">
        <v>4.26</v>
      </c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11">
        <f>2177*5.92/1000</f>
        <v>12.887840000000001</v>
      </c>
      <c r="AQ1329" s="8"/>
      <c r="AR1329" s="8"/>
      <c r="AS1329" s="8"/>
      <c r="AT1329" s="8">
        <v>564.91</v>
      </c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>
        <v>41.64</v>
      </c>
      <c r="BH1329" s="9">
        <f t="shared" si="180"/>
        <v>1066.8599999999999</v>
      </c>
      <c r="BI1329" s="9">
        <f t="shared" si="181"/>
        <v>1.77</v>
      </c>
      <c r="BJ1329" s="9">
        <f t="shared" si="182"/>
        <v>3.52</v>
      </c>
      <c r="BK1329" s="9">
        <f t="shared" si="183"/>
        <v>10.68</v>
      </c>
      <c r="BL1329" s="9">
        <f t="shared" si="184"/>
        <v>0</v>
      </c>
      <c r="BM1329" s="9">
        <f t="shared" si="185"/>
        <v>17.147840000000002</v>
      </c>
      <c r="BN1329" s="9">
        <f t="shared" si="186"/>
        <v>564.91</v>
      </c>
      <c r="BO1329" s="9">
        <f t="shared" si="187"/>
        <v>0</v>
      </c>
      <c r="BP1329" s="9">
        <f t="shared" si="188"/>
        <v>0</v>
      </c>
    </row>
    <row r="1330" spans="1:68">
      <c r="A1330" s="6">
        <v>44789</v>
      </c>
      <c r="B1330" s="7">
        <v>3106</v>
      </c>
      <c r="C1330" s="8">
        <v>4106.03</v>
      </c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11">
        <v>10.3</v>
      </c>
      <c r="R1330" s="11"/>
      <c r="S1330" s="8">
        <v>12.35</v>
      </c>
      <c r="T1330" s="8"/>
      <c r="U1330" s="8">
        <v>52.41</v>
      </c>
      <c r="V1330" s="8"/>
      <c r="W1330" s="8"/>
      <c r="X1330" s="8"/>
      <c r="Y1330" s="8"/>
      <c r="Z1330" s="8"/>
      <c r="AA1330" s="8"/>
      <c r="AB1330" s="8"/>
      <c r="AC1330" s="8">
        <v>10.29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11"/>
      <c r="AQ1330" s="8"/>
      <c r="AR1330" s="8"/>
      <c r="AS1330" s="8"/>
      <c r="AT1330" s="8">
        <v>2357.84</v>
      </c>
      <c r="AU1330" s="8"/>
      <c r="AV1330" s="8"/>
      <c r="AW1330" s="8"/>
      <c r="AX1330" s="8">
        <v>5.15</v>
      </c>
      <c r="AY1330" s="8"/>
      <c r="AZ1330" s="8"/>
      <c r="BA1330" s="8"/>
      <c r="BB1330" s="8"/>
      <c r="BC1330" s="8"/>
      <c r="BD1330" s="8"/>
      <c r="BE1330" s="8"/>
      <c r="BF1330" s="8"/>
      <c r="BG1330" s="8">
        <v>176.64</v>
      </c>
      <c r="BH1330" s="9">
        <f t="shared" si="180"/>
        <v>4106.03</v>
      </c>
      <c r="BI1330" s="9">
        <f t="shared" si="181"/>
        <v>10.3</v>
      </c>
      <c r="BJ1330" s="9">
        <f t="shared" si="182"/>
        <v>12.35</v>
      </c>
      <c r="BK1330" s="9">
        <f t="shared" si="183"/>
        <v>52.41</v>
      </c>
      <c r="BL1330" s="9">
        <f t="shared" si="184"/>
        <v>0</v>
      </c>
      <c r="BM1330" s="9">
        <f t="shared" si="185"/>
        <v>10.29</v>
      </c>
      <c r="BN1330" s="9">
        <f t="shared" si="186"/>
        <v>2357.84</v>
      </c>
      <c r="BO1330" s="9">
        <f t="shared" si="187"/>
        <v>5.15</v>
      </c>
      <c r="BP1330" s="9">
        <f t="shared" si="188"/>
        <v>0</v>
      </c>
    </row>
    <row r="1331" spans="1:68">
      <c r="A1331" s="6">
        <v>44789</v>
      </c>
      <c r="B1331" s="7">
        <v>3141</v>
      </c>
      <c r="C1331" s="8">
        <v>2441.13</v>
      </c>
      <c r="D1331" s="8">
        <v>430.73</v>
      </c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11">
        <v>8.3000000000000007</v>
      </c>
      <c r="R1331" s="11"/>
      <c r="S1331" s="8">
        <v>13.52</v>
      </c>
      <c r="T1331" s="8"/>
      <c r="U1331" s="8">
        <v>43.12</v>
      </c>
      <c r="V1331" s="8"/>
      <c r="W1331" s="8"/>
      <c r="X1331" s="8"/>
      <c r="Y1331" s="8"/>
      <c r="Z1331" s="8"/>
      <c r="AA1331" s="8"/>
      <c r="AB1331" s="8"/>
      <c r="AC1331" s="8">
        <v>11.49</v>
      </c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11"/>
      <c r="AQ1331" s="8"/>
      <c r="AR1331" s="8"/>
      <c r="AS1331" s="8"/>
      <c r="AT1331" s="8">
        <v>1884.19</v>
      </c>
      <c r="AU1331" s="8"/>
      <c r="AV1331" s="8"/>
      <c r="AW1331" s="8"/>
      <c r="AX1331" s="8"/>
      <c r="AY1331" s="8"/>
      <c r="AZ1331" s="8"/>
      <c r="BA1331" s="8">
        <v>65.88</v>
      </c>
      <c r="BB1331" s="8"/>
      <c r="BC1331" s="8"/>
      <c r="BD1331" s="8"/>
      <c r="BE1331" s="8"/>
      <c r="BF1331" s="8">
        <v>201.11</v>
      </c>
      <c r="BG1331" s="8">
        <v>149.47</v>
      </c>
      <c r="BH1331" s="9">
        <f t="shared" si="180"/>
        <v>2871.86</v>
      </c>
      <c r="BI1331" s="9">
        <f t="shared" si="181"/>
        <v>8.3000000000000007</v>
      </c>
      <c r="BJ1331" s="9">
        <f t="shared" si="182"/>
        <v>13.52</v>
      </c>
      <c r="BK1331" s="9">
        <f t="shared" si="183"/>
        <v>43.12</v>
      </c>
      <c r="BL1331" s="9">
        <f t="shared" si="184"/>
        <v>0</v>
      </c>
      <c r="BM1331" s="9">
        <f t="shared" si="185"/>
        <v>11.49</v>
      </c>
      <c r="BN1331" s="9">
        <f t="shared" si="186"/>
        <v>1884.19</v>
      </c>
      <c r="BO1331" s="9">
        <f t="shared" si="187"/>
        <v>65.88</v>
      </c>
      <c r="BP1331" s="9">
        <f t="shared" si="188"/>
        <v>201.11</v>
      </c>
    </row>
    <row r="1332" spans="1:68">
      <c r="A1332" s="6">
        <v>44791</v>
      </c>
      <c r="B1332" s="7">
        <v>3703</v>
      </c>
      <c r="C1332" s="8">
        <v>822.23</v>
      </c>
      <c r="D1332" s="8">
        <v>549.91</v>
      </c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11">
        <v>2.74</v>
      </c>
      <c r="R1332" s="11"/>
      <c r="S1332" s="8">
        <v>6.75</v>
      </c>
      <c r="T1332" s="8"/>
      <c r="U1332" s="8">
        <v>11.02</v>
      </c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>
        <f>1534*9.17/1000</f>
        <v>14.066780000000001</v>
      </c>
      <c r="AM1332" s="8"/>
      <c r="AN1332" s="8"/>
      <c r="AO1332" s="8"/>
      <c r="AP1332" s="11"/>
      <c r="AQ1332" s="8"/>
      <c r="AR1332" s="8"/>
      <c r="AS1332" s="8"/>
      <c r="AT1332" s="8">
        <v>335.38</v>
      </c>
      <c r="AU1332" s="8">
        <v>167.58</v>
      </c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>
        <v>35.03</v>
      </c>
      <c r="BH1332" s="9">
        <f t="shared" si="180"/>
        <v>1372.1399999999999</v>
      </c>
      <c r="BI1332" s="9">
        <f t="shared" si="181"/>
        <v>2.74</v>
      </c>
      <c r="BJ1332" s="9">
        <f t="shared" si="182"/>
        <v>6.75</v>
      </c>
      <c r="BK1332" s="9">
        <f t="shared" si="183"/>
        <v>11.02</v>
      </c>
      <c r="BL1332" s="9">
        <f t="shared" si="184"/>
        <v>0</v>
      </c>
      <c r="BM1332" s="9">
        <f t="shared" si="185"/>
        <v>14.066780000000001</v>
      </c>
      <c r="BN1332" s="9">
        <f t="shared" si="186"/>
        <v>502.96000000000004</v>
      </c>
      <c r="BO1332" s="9">
        <f t="shared" si="187"/>
        <v>0</v>
      </c>
      <c r="BP1332" s="9">
        <f t="shared" si="188"/>
        <v>0</v>
      </c>
    </row>
    <row r="1333" spans="1:68">
      <c r="A1333" s="6">
        <v>44791</v>
      </c>
      <c r="B1333" s="7">
        <v>3100</v>
      </c>
      <c r="C1333" s="8">
        <v>641.77</v>
      </c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11">
        <v>1.3</v>
      </c>
      <c r="R1333" s="11"/>
      <c r="S1333" s="8">
        <v>3.67</v>
      </c>
      <c r="T1333" s="8"/>
      <c r="U1333" s="8">
        <v>10.29</v>
      </c>
      <c r="V1333" s="8"/>
      <c r="W1333" s="8"/>
      <c r="X1333" s="8"/>
      <c r="Y1333" s="8"/>
      <c r="Z1333" s="8"/>
      <c r="AA1333" s="8"/>
      <c r="AB1333" s="8"/>
      <c r="AC1333" s="8">
        <v>2.57</v>
      </c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11"/>
      <c r="AQ1333" s="8"/>
      <c r="AR1333" s="8"/>
      <c r="AS1333" s="8"/>
      <c r="AT1333" s="8">
        <v>432.47</v>
      </c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>
        <v>83.66</v>
      </c>
      <c r="BG1333" s="8">
        <v>33.08</v>
      </c>
      <c r="BH1333" s="9">
        <f t="shared" si="180"/>
        <v>641.77</v>
      </c>
      <c r="BI1333" s="9">
        <f t="shared" si="181"/>
        <v>1.3</v>
      </c>
      <c r="BJ1333" s="9">
        <f t="shared" si="182"/>
        <v>3.67</v>
      </c>
      <c r="BK1333" s="9">
        <f t="shared" si="183"/>
        <v>10.29</v>
      </c>
      <c r="BL1333" s="9">
        <f t="shared" si="184"/>
        <v>0</v>
      </c>
      <c r="BM1333" s="9">
        <f t="shared" si="185"/>
        <v>2.57</v>
      </c>
      <c r="BN1333" s="9">
        <f t="shared" si="186"/>
        <v>432.47</v>
      </c>
      <c r="BO1333" s="9">
        <f t="shared" si="187"/>
        <v>0</v>
      </c>
      <c r="BP1333" s="9">
        <f t="shared" si="188"/>
        <v>83.66</v>
      </c>
    </row>
    <row r="1334" spans="1:68">
      <c r="A1334" s="6">
        <v>44791</v>
      </c>
      <c r="B1334" s="7">
        <v>3106</v>
      </c>
      <c r="C1334" s="8">
        <v>6104.96</v>
      </c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11">
        <v>16.510000000000002</v>
      </c>
      <c r="R1334" s="11"/>
      <c r="S1334" s="8">
        <v>18.38</v>
      </c>
      <c r="T1334" s="8"/>
      <c r="U1334" s="8">
        <v>77.92</v>
      </c>
      <c r="V1334" s="8"/>
      <c r="W1334" s="8"/>
      <c r="X1334" s="8"/>
      <c r="Y1334" s="8"/>
      <c r="Z1334" s="8"/>
      <c r="AA1334" s="8"/>
      <c r="AB1334" s="8"/>
      <c r="AC1334" s="8">
        <v>15.29</v>
      </c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11"/>
      <c r="AQ1334" s="8"/>
      <c r="AR1334" s="8"/>
      <c r="AS1334" s="8"/>
      <c r="AT1334" s="8">
        <v>3500.41</v>
      </c>
      <c r="AU1334" s="8"/>
      <c r="AV1334" s="8"/>
      <c r="AW1334" s="8"/>
      <c r="AX1334" s="8">
        <v>7.65</v>
      </c>
      <c r="AY1334" s="8"/>
      <c r="AZ1334" s="8"/>
      <c r="BA1334" s="8"/>
      <c r="BB1334" s="8"/>
      <c r="BC1334" s="8"/>
      <c r="BD1334" s="8"/>
      <c r="BE1334" s="8"/>
      <c r="BF1334" s="8"/>
      <c r="BG1334" s="8">
        <v>263.02999999999997</v>
      </c>
      <c r="BH1334" s="9">
        <f t="shared" si="180"/>
        <v>6104.96</v>
      </c>
      <c r="BI1334" s="9">
        <f t="shared" si="181"/>
        <v>16.510000000000002</v>
      </c>
      <c r="BJ1334" s="9">
        <f t="shared" si="182"/>
        <v>18.38</v>
      </c>
      <c r="BK1334" s="9">
        <f t="shared" si="183"/>
        <v>77.92</v>
      </c>
      <c r="BL1334" s="9">
        <f t="shared" si="184"/>
        <v>0</v>
      </c>
      <c r="BM1334" s="9">
        <f t="shared" si="185"/>
        <v>15.29</v>
      </c>
      <c r="BN1334" s="9">
        <f t="shared" si="186"/>
        <v>3500.41</v>
      </c>
      <c r="BO1334" s="9">
        <f t="shared" si="187"/>
        <v>7.65</v>
      </c>
      <c r="BP1334" s="9">
        <f t="shared" si="188"/>
        <v>0</v>
      </c>
    </row>
    <row r="1335" spans="1:68">
      <c r="A1335" s="6">
        <v>44791</v>
      </c>
      <c r="B1335" s="7">
        <v>3112</v>
      </c>
      <c r="C1335" s="8">
        <v>3379.81</v>
      </c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>
        <v>3.56</v>
      </c>
      <c r="O1335" s="8"/>
      <c r="P1335" s="8"/>
      <c r="Q1335" s="11">
        <v>3.39</v>
      </c>
      <c r="R1335" s="11"/>
      <c r="S1335" s="8">
        <v>10.14</v>
      </c>
      <c r="T1335" s="8"/>
      <c r="U1335" s="8">
        <v>33.799999999999997</v>
      </c>
      <c r="V1335" s="8"/>
      <c r="W1335" s="8"/>
      <c r="X1335" s="8"/>
      <c r="Y1335" s="8"/>
      <c r="Z1335" s="8"/>
      <c r="AA1335" s="8"/>
      <c r="AB1335" s="8"/>
      <c r="AC1335" s="8">
        <v>13.51</v>
      </c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11"/>
      <c r="AQ1335" s="8"/>
      <c r="AR1335" s="8"/>
      <c r="AS1335" s="8"/>
      <c r="AT1335" s="8">
        <v>1418.66</v>
      </c>
      <c r="AU1335" s="8"/>
      <c r="AV1335" s="8"/>
      <c r="AW1335" s="8"/>
      <c r="AX1335" s="8"/>
      <c r="AY1335" s="8"/>
      <c r="AZ1335" s="8"/>
      <c r="BA1335" s="8">
        <v>44.67</v>
      </c>
      <c r="BB1335" s="8"/>
      <c r="BC1335" s="8"/>
      <c r="BD1335" s="8"/>
      <c r="BE1335" s="8"/>
      <c r="BF1335" s="8"/>
      <c r="BG1335" s="8">
        <v>101.26</v>
      </c>
      <c r="BH1335" s="9">
        <f t="shared" si="180"/>
        <v>3379.81</v>
      </c>
      <c r="BI1335" s="9">
        <f t="shared" si="181"/>
        <v>6.95</v>
      </c>
      <c r="BJ1335" s="9">
        <f t="shared" si="182"/>
        <v>10.14</v>
      </c>
      <c r="BK1335" s="9">
        <f t="shared" si="183"/>
        <v>33.799999999999997</v>
      </c>
      <c r="BL1335" s="9">
        <f t="shared" si="184"/>
        <v>0</v>
      </c>
      <c r="BM1335" s="9">
        <f t="shared" si="185"/>
        <v>13.51</v>
      </c>
      <c r="BN1335" s="9">
        <f t="shared" si="186"/>
        <v>1418.66</v>
      </c>
      <c r="BO1335" s="9">
        <f t="shared" si="187"/>
        <v>44.67</v>
      </c>
      <c r="BP1335" s="9">
        <f t="shared" si="188"/>
        <v>0</v>
      </c>
    </row>
    <row r="1336" spans="1:68">
      <c r="A1336" s="6">
        <v>44791</v>
      </c>
      <c r="B1336" s="7">
        <v>3141</v>
      </c>
      <c r="C1336" s="8">
        <v>3595.54</v>
      </c>
      <c r="D1336" s="8">
        <v>634.46</v>
      </c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11">
        <v>12.26</v>
      </c>
      <c r="R1336" s="11"/>
      <c r="S1336" s="8">
        <v>19.899999999999999</v>
      </c>
      <c r="T1336" s="8"/>
      <c r="U1336" s="8">
        <v>63.48</v>
      </c>
      <c r="V1336" s="8"/>
      <c r="W1336" s="8"/>
      <c r="X1336" s="8"/>
      <c r="Y1336" s="8"/>
      <c r="Z1336" s="8"/>
      <c r="AA1336" s="8"/>
      <c r="AB1336" s="8"/>
      <c r="AC1336" s="8">
        <v>16.95</v>
      </c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11"/>
      <c r="AQ1336" s="8"/>
      <c r="AR1336" s="8"/>
      <c r="AS1336" s="8"/>
      <c r="AT1336" s="8">
        <v>2812.05</v>
      </c>
      <c r="AU1336" s="8"/>
      <c r="AV1336" s="8"/>
      <c r="AW1336" s="8"/>
      <c r="AX1336" s="8"/>
      <c r="AY1336" s="8"/>
      <c r="AZ1336" s="8"/>
      <c r="BA1336" s="8">
        <v>96.86</v>
      </c>
      <c r="BB1336" s="8"/>
      <c r="BC1336" s="8"/>
      <c r="BD1336" s="8"/>
      <c r="BE1336" s="8"/>
      <c r="BF1336" s="8">
        <v>296.13</v>
      </c>
      <c r="BG1336" s="8">
        <v>219.75</v>
      </c>
      <c r="BH1336" s="9">
        <f t="shared" si="180"/>
        <v>4230</v>
      </c>
      <c r="BI1336" s="9">
        <f t="shared" si="181"/>
        <v>12.26</v>
      </c>
      <c r="BJ1336" s="9">
        <f t="shared" si="182"/>
        <v>19.899999999999999</v>
      </c>
      <c r="BK1336" s="9">
        <f t="shared" si="183"/>
        <v>63.48</v>
      </c>
      <c r="BL1336" s="9">
        <f t="shared" si="184"/>
        <v>0</v>
      </c>
      <c r="BM1336" s="9">
        <f t="shared" si="185"/>
        <v>16.95</v>
      </c>
      <c r="BN1336" s="9">
        <f t="shared" si="186"/>
        <v>2812.05</v>
      </c>
      <c r="BO1336" s="9">
        <f t="shared" si="187"/>
        <v>96.86</v>
      </c>
      <c r="BP1336" s="9">
        <f t="shared" si="188"/>
        <v>296.13</v>
      </c>
    </row>
    <row r="1337" spans="1:68">
      <c r="A1337" s="6">
        <v>44791</v>
      </c>
      <c r="B1337" s="7">
        <v>3134</v>
      </c>
      <c r="C1337" s="8">
        <v>1039.82</v>
      </c>
      <c r="D1337" s="8">
        <v>145.41</v>
      </c>
      <c r="E1337" s="8"/>
      <c r="F1337" s="8"/>
      <c r="G1337" s="8"/>
      <c r="H1337" s="8">
        <v>490.1</v>
      </c>
      <c r="I1337" s="8"/>
      <c r="J1337" s="8"/>
      <c r="K1337" s="8"/>
      <c r="L1337" s="8"/>
      <c r="M1337" s="8"/>
      <c r="N1337" s="8"/>
      <c r="O1337" s="8"/>
      <c r="P1337" s="8"/>
      <c r="Q1337" s="11">
        <v>3.22</v>
      </c>
      <c r="R1337" s="11"/>
      <c r="S1337" s="8">
        <v>6.7</v>
      </c>
      <c r="T1337" s="8"/>
      <c r="U1337" s="8">
        <v>18.940000000000001</v>
      </c>
      <c r="V1337" s="8"/>
      <c r="W1337" s="8"/>
      <c r="X1337" s="8"/>
      <c r="Y1337" s="8"/>
      <c r="Z1337" s="8"/>
      <c r="AA1337" s="8"/>
      <c r="AB1337" s="8"/>
      <c r="AC1337" s="8">
        <v>5.83</v>
      </c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11"/>
      <c r="AQ1337" s="8"/>
      <c r="AR1337" s="8"/>
      <c r="AS1337" s="8"/>
      <c r="AT1337" s="8">
        <v>1029.0899999999999</v>
      </c>
      <c r="AU1337" s="8"/>
      <c r="AV1337" s="8"/>
      <c r="AW1337" s="8"/>
      <c r="AX1337" s="8"/>
      <c r="AY1337" s="8">
        <f>1435*10.42/1000</f>
        <v>14.9527</v>
      </c>
      <c r="AZ1337" s="8"/>
      <c r="BA1337" s="8"/>
      <c r="BB1337" s="8"/>
      <c r="BC1337" s="8"/>
      <c r="BD1337" s="8"/>
      <c r="BE1337" s="8"/>
      <c r="BF1337" s="8">
        <v>65.739999999999995</v>
      </c>
      <c r="BG1337" s="8">
        <v>77.16</v>
      </c>
      <c r="BH1337" s="9">
        <f t="shared" si="180"/>
        <v>1675.33</v>
      </c>
      <c r="BI1337" s="9">
        <f t="shared" si="181"/>
        <v>3.22</v>
      </c>
      <c r="BJ1337" s="9">
        <f t="shared" si="182"/>
        <v>6.7</v>
      </c>
      <c r="BK1337" s="9">
        <f t="shared" si="183"/>
        <v>18.940000000000001</v>
      </c>
      <c r="BL1337" s="9">
        <f t="shared" si="184"/>
        <v>0</v>
      </c>
      <c r="BM1337" s="9">
        <f t="shared" si="185"/>
        <v>5.83</v>
      </c>
      <c r="BN1337" s="9">
        <f t="shared" si="186"/>
        <v>1029.0899999999999</v>
      </c>
      <c r="BO1337" s="9">
        <f t="shared" si="187"/>
        <v>14.9527</v>
      </c>
      <c r="BP1337" s="9">
        <f t="shared" si="188"/>
        <v>65.739999999999995</v>
      </c>
    </row>
    <row r="1338" spans="1:68">
      <c r="A1338" s="6">
        <v>44792</v>
      </c>
      <c r="B1338" s="7">
        <v>3016</v>
      </c>
      <c r="C1338" s="8"/>
      <c r="D1338" s="8">
        <v>2410.96</v>
      </c>
      <c r="E1338" s="8"/>
      <c r="F1338" s="8"/>
      <c r="G1338" s="8"/>
      <c r="H1338" s="8"/>
      <c r="I1338" s="8">
        <v>2224.09</v>
      </c>
      <c r="J1338" s="8"/>
      <c r="K1338" s="8"/>
      <c r="L1338" s="8"/>
      <c r="M1338" s="8"/>
      <c r="N1338" s="8">
        <v>27.84</v>
      </c>
      <c r="O1338" s="8"/>
      <c r="P1338" s="8"/>
      <c r="Q1338" s="11"/>
      <c r="R1338" s="11"/>
      <c r="S1338" s="8">
        <v>3.24</v>
      </c>
      <c r="T1338" s="8"/>
      <c r="U1338" s="8"/>
      <c r="V1338" s="8"/>
      <c r="W1338" s="8">
        <v>46.38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>
        <v>18.559999999999999</v>
      </c>
      <c r="AN1338" s="8">
        <f>2036*27.3/1000</f>
        <v>55.582800000000006</v>
      </c>
      <c r="AO1338" s="8"/>
      <c r="AP1338" s="11"/>
      <c r="AQ1338" s="8"/>
      <c r="AR1338" s="8">
        <f>4247*27.3/1000</f>
        <v>115.9431</v>
      </c>
      <c r="AS1338" s="8"/>
      <c r="AT1338" s="8">
        <v>1724.95</v>
      </c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>
        <v>126.02</v>
      </c>
      <c r="BH1338" s="9">
        <f t="shared" si="180"/>
        <v>4635.05</v>
      </c>
      <c r="BI1338" s="9">
        <f t="shared" si="181"/>
        <v>27.84</v>
      </c>
      <c r="BJ1338" s="9">
        <f t="shared" si="182"/>
        <v>3.24</v>
      </c>
      <c r="BK1338" s="9">
        <f t="shared" si="183"/>
        <v>46.38</v>
      </c>
      <c r="BL1338" s="9">
        <f t="shared" si="184"/>
        <v>0</v>
      </c>
      <c r="BM1338" s="9">
        <f t="shared" si="185"/>
        <v>190.08590000000001</v>
      </c>
      <c r="BN1338" s="9">
        <f t="shared" si="186"/>
        <v>1724.95</v>
      </c>
      <c r="BO1338" s="9">
        <f t="shared" si="187"/>
        <v>0</v>
      </c>
      <c r="BP1338" s="9">
        <f t="shared" si="188"/>
        <v>0</v>
      </c>
    </row>
    <row r="1339" spans="1:68">
      <c r="A1339" s="6">
        <v>44792</v>
      </c>
      <c r="B1339" s="7">
        <v>3017</v>
      </c>
      <c r="C1339" s="8"/>
      <c r="D1339" s="8">
        <v>488.29</v>
      </c>
      <c r="E1339" s="8"/>
      <c r="F1339" s="8"/>
      <c r="G1339" s="8"/>
      <c r="H1339" s="8"/>
      <c r="I1339" s="8">
        <v>673.38</v>
      </c>
      <c r="J1339" s="8"/>
      <c r="K1339" s="8"/>
      <c r="L1339" s="8"/>
      <c r="M1339" s="8"/>
      <c r="N1339" s="8">
        <v>8.1300000000000008</v>
      </c>
      <c r="O1339" s="8"/>
      <c r="P1339" s="8"/>
      <c r="Q1339" s="11"/>
      <c r="R1339" s="11"/>
      <c r="S1339" s="8">
        <v>0.81</v>
      </c>
      <c r="T1339" s="8"/>
      <c r="U1339" s="8"/>
      <c r="V1339" s="8"/>
      <c r="W1339" s="8">
        <v>8.7200000000000006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>
        <v>4.6399999999999997</v>
      </c>
      <c r="AN1339" s="8">
        <f>1196*9.67/1000</f>
        <v>11.56532</v>
      </c>
      <c r="AO1339" s="8"/>
      <c r="AP1339" s="11"/>
      <c r="AQ1339" s="8"/>
      <c r="AR1339" s="8">
        <f>4867*9.67/1000</f>
        <v>47.063890000000001</v>
      </c>
      <c r="AS1339" s="8"/>
      <c r="AT1339" s="8">
        <v>499.04</v>
      </c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>
        <v>36.130000000000003</v>
      </c>
      <c r="BH1339" s="9">
        <f t="shared" si="180"/>
        <v>1161.67</v>
      </c>
      <c r="BI1339" s="9">
        <f t="shared" si="181"/>
        <v>8.1300000000000008</v>
      </c>
      <c r="BJ1339" s="9">
        <f t="shared" si="182"/>
        <v>0.81</v>
      </c>
      <c r="BK1339" s="9">
        <f t="shared" si="183"/>
        <v>8.7200000000000006</v>
      </c>
      <c r="BL1339" s="9">
        <f t="shared" si="184"/>
        <v>0</v>
      </c>
      <c r="BM1339" s="9">
        <f t="shared" si="185"/>
        <v>63.269210000000001</v>
      </c>
      <c r="BN1339" s="9">
        <f t="shared" si="186"/>
        <v>499.04</v>
      </c>
      <c r="BO1339" s="9">
        <f t="shared" si="187"/>
        <v>0</v>
      </c>
      <c r="BP1339" s="9">
        <f t="shared" si="188"/>
        <v>0</v>
      </c>
    </row>
    <row r="1340" spans="1:68">
      <c r="A1340" s="6">
        <v>44792</v>
      </c>
      <c r="B1340" s="7">
        <v>3020</v>
      </c>
      <c r="C1340" s="8"/>
      <c r="D1340" s="8">
        <v>171.7</v>
      </c>
      <c r="E1340" s="8"/>
      <c r="F1340" s="8"/>
      <c r="G1340" s="8"/>
      <c r="H1340" s="8"/>
      <c r="I1340" s="8">
        <v>971.66</v>
      </c>
      <c r="J1340" s="8"/>
      <c r="K1340" s="8"/>
      <c r="L1340" s="8"/>
      <c r="M1340" s="8"/>
      <c r="N1340" s="8">
        <v>6.85</v>
      </c>
      <c r="O1340" s="8"/>
      <c r="P1340" s="8"/>
      <c r="Q1340" s="11"/>
      <c r="R1340" s="11"/>
      <c r="S1340" s="8">
        <v>2.0499999999999998</v>
      </c>
      <c r="T1340" s="8"/>
      <c r="U1340" s="8"/>
      <c r="V1340" s="8"/>
      <c r="W1340" s="8">
        <v>11.44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>
        <v>11.42</v>
      </c>
      <c r="AN1340" s="8"/>
      <c r="AO1340" s="8"/>
      <c r="AP1340" s="11"/>
      <c r="AQ1340" s="8"/>
      <c r="AR1340" s="8"/>
      <c r="AS1340" s="8">
        <f>3064*9.5/1000</f>
        <v>29.108000000000001</v>
      </c>
      <c r="AT1340" s="8">
        <v>560.74</v>
      </c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>
        <v>41.05</v>
      </c>
      <c r="BH1340" s="9">
        <f t="shared" si="180"/>
        <v>1143.3599999999999</v>
      </c>
      <c r="BI1340" s="9">
        <f t="shared" si="181"/>
        <v>6.85</v>
      </c>
      <c r="BJ1340" s="9">
        <f t="shared" si="182"/>
        <v>2.0499999999999998</v>
      </c>
      <c r="BK1340" s="9">
        <f t="shared" si="183"/>
        <v>11.44</v>
      </c>
      <c r="BL1340" s="9">
        <f t="shared" si="184"/>
        <v>0</v>
      </c>
      <c r="BM1340" s="9">
        <f t="shared" si="185"/>
        <v>40.527999999999999</v>
      </c>
      <c r="BN1340" s="9">
        <f t="shared" si="186"/>
        <v>560.74</v>
      </c>
      <c r="BO1340" s="9">
        <f t="shared" si="187"/>
        <v>0</v>
      </c>
      <c r="BP1340" s="9">
        <f t="shared" si="188"/>
        <v>0</v>
      </c>
    </row>
    <row r="1341" spans="1:68">
      <c r="A1341" s="6">
        <v>44792</v>
      </c>
      <c r="B1341" s="7">
        <v>3022</v>
      </c>
      <c r="C1341" s="8"/>
      <c r="D1341" s="8">
        <v>563.71</v>
      </c>
      <c r="E1341" s="8"/>
      <c r="F1341" s="8"/>
      <c r="G1341" s="8"/>
      <c r="H1341" s="8"/>
      <c r="I1341" s="8">
        <v>463.71</v>
      </c>
      <c r="J1341" s="8"/>
      <c r="K1341" s="8"/>
      <c r="L1341" s="8"/>
      <c r="M1341" s="8"/>
      <c r="N1341" s="8">
        <v>5.13</v>
      </c>
      <c r="O1341" s="8"/>
      <c r="P1341" s="8"/>
      <c r="Q1341" s="11"/>
      <c r="R1341" s="11"/>
      <c r="S1341" s="8">
        <v>1.85</v>
      </c>
      <c r="T1341" s="8"/>
      <c r="U1341" s="8"/>
      <c r="V1341" s="8"/>
      <c r="W1341" s="8">
        <v>10.26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>
        <v>13.32</v>
      </c>
      <c r="AN1341" s="8"/>
      <c r="AO1341" s="8"/>
      <c r="AP1341" s="11"/>
      <c r="AQ1341" s="8"/>
      <c r="AR1341" s="8"/>
      <c r="AS1341" s="8"/>
      <c r="AT1341" s="8">
        <v>480.41</v>
      </c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>
        <v>36.94</v>
      </c>
      <c r="BH1341" s="9">
        <f t="shared" si="180"/>
        <v>1027.42</v>
      </c>
      <c r="BI1341" s="9">
        <f t="shared" si="181"/>
        <v>5.13</v>
      </c>
      <c r="BJ1341" s="9">
        <f t="shared" si="182"/>
        <v>1.85</v>
      </c>
      <c r="BK1341" s="9">
        <f t="shared" si="183"/>
        <v>10.26</v>
      </c>
      <c r="BL1341" s="9">
        <f t="shared" si="184"/>
        <v>0</v>
      </c>
      <c r="BM1341" s="9">
        <f t="shared" si="185"/>
        <v>13.32</v>
      </c>
      <c r="BN1341" s="9">
        <f t="shared" si="186"/>
        <v>480.41</v>
      </c>
      <c r="BO1341" s="9">
        <f t="shared" si="187"/>
        <v>0</v>
      </c>
      <c r="BP1341" s="9">
        <f t="shared" si="188"/>
        <v>0</v>
      </c>
    </row>
    <row r="1342" spans="1:68">
      <c r="A1342" s="6">
        <v>44792</v>
      </c>
      <c r="B1342" s="7">
        <v>3409</v>
      </c>
      <c r="C1342" s="8">
        <v>758.35</v>
      </c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11">
        <v>1.83</v>
      </c>
      <c r="R1342" s="11"/>
      <c r="S1342" s="8">
        <v>1.9</v>
      </c>
      <c r="T1342" s="8"/>
      <c r="U1342" s="8"/>
      <c r="V1342" s="8"/>
      <c r="W1342" s="8"/>
      <c r="X1342" s="8">
        <f>1006*7.6/1000</f>
        <v>7.6455999999999991</v>
      </c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11"/>
      <c r="AQ1342" s="8"/>
      <c r="AR1342" s="8"/>
      <c r="AS1342" s="8"/>
      <c r="AT1342" s="8">
        <v>390.38</v>
      </c>
      <c r="AU1342" s="8"/>
      <c r="AV1342" s="8">
        <v>22.79</v>
      </c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>
        <v>26.57</v>
      </c>
      <c r="BH1342" s="9">
        <f t="shared" si="180"/>
        <v>758.35</v>
      </c>
      <c r="BI1342" s="9">
        <f t="shared" si="181"/>
        <v>1.83</v>
      </c>
      <c r="BJ1342" s="9">
        <f t="shared" si="182"/>
        <v>1.9</v>
      </c>
      <c r="BK1342" s="9">
        <f t="shared" si="183"/>
        <v>7.6455999999999991</v>
      </c>
      <c r="BL1342" s="9">
        <f t="shared" si="184"/>
        <v>0</v>
      </c>
      <c r="BM1342" s="9">
        <f t="shared" si="185"/>
        <v>0</v>
      </c>
      <c r="BN1342" s="9">
        <f t="shared" si="186"/>
        <v>390.38</v>
      </c>
      <c r="BO1342" s="9">
        <f t="shared" si="187"/>
        <v>22.79</v>
      </c>
      <c r="BP1342" s="9">
        <f t="shared" si="188"/>
        <v>0</v>
      </c>
    </row>
    <row r="1343" spans="1:68">
      <c r="A1343" s="6">
        <v>44792</v>
      </c>
      <c r="B1343" s="7">
        <v>3204</v>
      </c>
      <c r="C1343" s="8"/>
      <c r="D1343" s="8">
        <v>1810.21</v>
      </c>
      <c r="E1343" s="8">
        <v>774.89</v>
      </c>
      <c r="F1343" s="8"/>
      <c r="G1343" s="8"/>
      <c r="H1343" s="8"/>
      <c r="I1343" s="8"/>
      <c r="J1343" s="8"/>
      <c r="K1343" s="8"/>
      <c r="L1343" s="8"/>
      <c r="M1343" s="8"/>
      <c r="N1343" s="8"/>
      <c r="O1343" s="8">
        <v>12.91</v>
      </c>
      <c r="P1343" s="8"/>
      <c r="Q1343" s="11"/>
      <c r="R1343" s="11"/>
      <c r="S1343" s="8">
        <v>8.7899999999999991</v>
      </c>
      <c r="T1343" s="8"/>
      <c r="U1343" s="8">
        <v>28.48</v>
      </c>
      <c r="V1343" s="8"/>
      <c r="W1343" s="8"/>
      <c r="X1343" s="8"/>
      <c r="Y1343" s="8"/>
      <c r="Z1343" s="8">
        <v>388.3</v>
      </c>
      <c r="AA1343" s="8"/>
      <c r="AB1343" s="8">
        <f>714*18.47/1000</f>
        <v>13.187580000000001</v>
      </c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11"/>
      <c r="AQ1343" s="8"/>
      <c r="AR1343" s="8"/>
      <c r="AS1343" s="8"/>
      <c r="AT1343" s="8">
        <v>1138.4000000000001</v>
      </c>
      <c r="AU1343" s="8"/>
      <c r="AV1343" s="8"/>
      <c r="AW1343" s="8">
        <v>8.3000000000000007</v>
      </c>
      <c r="AX1343" s="8"/>
      <c r="AY1343" s="8"/>
      <c r="AZ1343" s="8"/>
      <c r="BA1343" s="8"/>
      <c r="BB1343" s="8"/>
      <c r="BC1343" s="8"/>
      <c r="BD1343" s="8"/>
      <c r="BE1343" s="8"/>
      <c r="BF1343" s="8"/>
      <c r="BG1343" s="8">
        <v>84.12</v>
      </c>
      <c r="BH1343" s="9">
        <f t="shared" si="180"/>
        <v>2585.1</v>
      </c>
      <c r="BI1343" s="9">
        <f t="shared" si="181"/>
        <v>12.91</v>
      </c>
      <c r="BJ1343" s="9">
        <f t="shared" si="182"/>
        <v>8.7899999999999991</v>
      </c>
      <c r="BK1343" s="9">
        <f t="shared" si="183"/>
        <v>28.48</v>
      </c>
      <c r="BL1343" s="9">
        <f t="shared" si="184"/>
        <v>388.3</v>
      </c>
      <c r="BM1343" s="9">
        <f t="shared" si="185"/>
        <v>13.187580000000001</v>
      </c>
      <c r="BN1343" s="9">
        <f t="shared" si="186"/>
        <v>1138.4000000000001</v>
      </c>
      <c r="BO1343" s="9">
        <f t="shared" si="187"/>
        <v>8.3000000000000007</v>
      </c>
      <c r="BP1343" s="9">
        <f t="shared" si="188"/>
        <v>0</v>
      </c>
    </row>
    <row r="1344" spans="1:68">
      <c r="A1344" s="6">
        <v>44792</v>
      </c>
      <c r="B1344" s="7">
        <v>3801</v>
      </c>
      <c r="C1344" s="8">
        <v>273.89</v>
      </c>
      <c r="D1344" s="8"/>
      <c r="E1344" s="8"/>
      <c r="F1344" s="8"/>
      <c r="G1344" s="8"/>
      <c r="H1344" s="8"/>
      <c r="I1344" s="8"/>
      <c r="J1344" s="8"/>
      <c r="K1344" s="8"/>
      <c r="L1344" s="8">
        <f>42153*5.3/1000</f>
        <v>223.4109</v>
      </c>
      <c r="M1344" s="8"/>
      <c r="N1344" s="8">
        <v>0.56000000000000005</v>
      </c>
      <c r="O1344" s="8"/>
      <c r="P1344" s="8"/>
      <c r="Q1344" s="11"/>
      <c r="R1344" s="11"/>
      <c r="S1344" s="8">
        <v>2.19</v>
      </c>
      <c r="T1344" s="8"/>
      <c r="U1344" s="8">
        <v>2.39</v>
      </c>
      <c r="V1344" s="8"/>
      <c r="W1344" s="8"/>
      <c r="X1344" s="8"/>
      <c r="Y1344" s="8"/>
      <c r="Z1344" s="8">
        <v>39.880000000000003</v>
      </c>
      <c r="AA1344" s="8">
        <f>3029*5.3/1000</f>
        <v>16.053699999999999</v>
      </c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11"/>
      <c r="AQ1344" s="8">
        <f>260*5.3/1000</f>
        <v>1.3779999999999999</v>
      </c>
      <c r="AR1344" s="8"/>
      <c r="AS1344" s="8"/>
      <c r="AT1344" s="8">
        <v>194.48</v>
      </c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>
        <v>14.75</v>
      </c>
      <c r="BH1344" s="9">
        <f t="shared" si="180"/>
        <v>497.30089999999996</v>
      </c>
      <c r="BI1344" s="9">
        <f t="shared" si="181"/>
        <v>0.56000000000000005</v>
      </c>
      <c r="BJ1344" s="9">
        <f t="shared" si="182"/>
        <v>2.19</v>
      </c>
      <c r="BK1344" s="9">
        <f t="shared" si="183"/>
        <v>2.39</v>
      </c>
      <c r="BL1344" s="9">
        <f t="shared" si="184"/>
        <v>55.933700000000002</v>
      </c>
      <c r="BM1344" s="9">
        <f t="shared" si="185"/>
        <v>1.3779999999999999</v>
      </c>
      <c r="BN1344" s="9">
        <f t="shared" si="186"/>
        <v>194.48</v>
      </c>
      <c r="BO1344" s="9">
        <f t="shared" si="187"/>
        <v>0</v>
      </c>
      <c r="BP1344" s="9">
        <f t="shared" si="188"/>
        <v>0</v>
      </c>
    </row>
    <row r="1345" spans="1:68">
      <c r="A1345" s="6">
        <v>44792</v>
      </c>
      <c r="B1345" s="7">
        <v>3601</v>
      </c>
      <c r="C1345" s="8">
        <v>260.38</v>
      </c>
      <c r="D1345" s="8"/>
      <c r="E1345" s="8"/>
      <c r="F1345" s="8"/>
      <c r="G1345" s="8">
        <v>390.25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11">
        <v>0.79</v>
      </c>
      <c r="R1345" s="11"/>
      <c r="S1345" s="8">
        <v>3.28</v>
      </c>
      <c r="T1345" s="8"/>
      <c r="U1345" s="8">
        <v>3.91</v>
      </c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11"/>
      <c r="AQ1345" s="8"/>
      <c r="AR1345" s="8"/>
      <c r="AS1345" s="8"/>
      <c r="AT1345" s="8">
        <v>319.77999999999997</v>
      </c>
      <c r="AU1345" s="8"/>
      <c r="AV1345" s="8"/>
      <c r="AW1345" s="8">
        <v>19.78</v>
      </c>
      <c r="AX1345" s="8"/>
      <c r="AY1345" s="8"/>
      <c r="AZ1345" s="8"/>
      <c r="BA1345" s="8"/>
      <c r="BB1345" s="8"/>
      <c r="BC1345" s="8"/>
      <c r="BD1345" s="8"/>
      <c r="BE1345" s="8"/>
      <c r="BF1345" s="8">
        <v>36.450000000000003</v>
      </c>
      <c r="BG1345" s="8">
        <v>24.12</v>
      </c>
      <c r="BH1345" s="9">
        <f t="shared" si="180"/>
        <v>650.63</v>
      </c>
      <c r="BI1345" s="9">
        <f t="shared" si="181"/>
        <v>0.79</v>
      </c>
      <c r="BJ1345" s="9">
        <f t="shared" si="182"/>
        <v>3.28</v>
      </c>
      <c r="BK1345" s="9">
        <f t="shared" si="183"/>
        <v>3.91</v>
      </c>
      <c r="BL1345" s="9">
        <f t="shared" si="184"/>
        <v>0</v>
      </c>
      <c r="BM1345" s="9">
        <f t="shared" si="185"/>
        <v>0</v>
      </c>
      <c r="BN1345" s="9">
        <f t="shared" si="186"/>
        <v>319.77999999999997</v>
      </c>
      <c r="BO1345" s="9">
        <f t="shared" si="187"/>
        <v>19.78</v>
      </c>
      <c r="BP1345" s="9">
        <f t="shared" si="188"/>
        <v>36.450000000000003</v>
      </c>
    </row>
    <row r="1346" spans="1:68">
      <c r="A1346" s="6">
        <v>44792</v>
      </c>
      <c r="B1346" s="7">
        <v>3602</v>
      </c>
      <c r="C1346" s="8">
        <v>632.41999999999996</v>
      </c>
      <c r="D1346" s="8"/>
      <c r="E1346" s="8"/>
      <c r="F1346" s="8"/>
      <c r="G1346" s="8">
        <v>948.33</v>
      </c>
      <c r="H1346" s="8"/>
      <c r="I1346" s="8"/>
      <c r="J1346" s="8"/>
      <c r="K1346" s="8"/>
      <c r="L1346" s="8"/>
      <c r="M1346" s="8">
        <f>92*18.07/1000</f>
        <v>1.6624400000000001</v>
      </c>
      <c r="N1346" s="8"/>
      <c r="O1346" s="8"/>
      <c r="P1346" s="8"/>
      <c r="Q1346" s="11"/>
      <c r="R1346" s="11"/>
      <c r="S1346" s="8">
        <v>7.59</v>
      </c>
      <c r="T1346" s="8"/>
      <c r="U1346" s="8">
        <v>12.66</v>
      </c>
      <c r="V1346" s="8">
        <f>840*18.07/1000</f>
        <v>15.178800000000001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11"/>
      <c r="AQ1346" s="8"/>
      <c r="AR1346" s="8"/>
      <c r="AS1346" s="8"/>
      <c r="AT1346" s="8">
        <v>660.42</v>
      </c>
      <c r="AU1346" s="8"/>
      <c r="AV1346" s="8"/>
      <c r="AW1346" s="8">
        <v>40.9</v>
      </c>
      <c r="AX1346" s="8"/>
      <c r="AY1346" s="8"/>
      <c r="AZ1346" s="8"/>
      <c r="BA1346" s="8"/>
      <c r="BB1346" s="8"/>
      <c r="BC1346" s="8"/>
      <c r="BD1346" s="8"/>
      <c r="BE1346" s="8"/>
      <c r="BF1346" s="8">
        <v>50.7</v>
      </c>
      <c r="BG1346" s="8">
        <v>49.41</v>
      </c>
      <c r="BH1346" s="9">
        <f t="shared" si="180"/>
        <v>1580.75</v>
      </c>
      <c r="BI1346" s="9">
        <f t="shared" si="181"/>
        <v>1.6624400000000001</v>
      </c>
      <c r="BJ1346" s="9">
        <f t="shared" si="182"/>
        <v>7.59</v>
      </c>
      <c r="BK1346" s="9">
        <f t="shared" si="183"/>
        <v>27.838799999999999</v>
      </c>
      <c r="BL1346" s="9">
        <f t="shared" si="184"/>
        <v>0</v>
      </c>
      <c r="BM1346" s="9">
        <f t="shared" si="185"/>
        <v>0</v>
      </c>
      <c r="BN1346" s="9">
        <f t="shared" si="186"/>
        <v>660.42</v>
      </c>
      <c r="BO1346" s="9">
        <f t="shared" si="187"/>
        <v>40.9</v>
      </c>
      <c r="BP1346" s="9">
        <f t="shared" si="188"/>
        <v>50.7</v>
      </c>
    </row>
    <row r="1347" spans="1:68">
      <c r="A1347" s="6">
        <v>44795</v>
      </c>
      <c r="B1347" s="7">
        <v>3200</v>
      </c>
      <c r="C1347" s="8">
        <f>1228.05+1246.05</f>
        <v>2474.1</v>
      </c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>
        <f>3.07+3.1</f>
        <v>6.17</v>
      </c>
      <c r="P1347" s="8"/>
      <c r="Q1347" s="11"/>
      <c r="R1347" s="11"/>
      <c r="S1347" s="8">
        <f>4.79+4.87</f>
        <v>9.66</v>
      </c>
      <c r="T1347" s="8"/>
      <c r="U1347" s="8">
        <f>18.45+18.7</f>
        <v>37.15</v>
      </c>
      <c r="V1347" s="8"/>
      <c r="W1347" s="8"/>
      <c r="X1347" s="8"/>
      <c r="Y1347" s="8"/>
      <c r="Z1347" s="8">
        <f>258.27+262.07</f>
        <v>520.33999999999992</v>
      </c>
      <c r="AA1347" s="8"/>
      <c r="AB1347" s="8"/>
      <c r="AC1347" s="8"/>
      <c r="AD1347" s="8"/>
      <c r="AE1347" s="8"/>
      <c r="AF1347" s="8">
        <f>61.17+61.85</f>
        <v>123.02000000000001</v>
      </c>
      <c r="AG1347" s="8"/>
      <c r="AH1347" s="8"/>
      <c r="AI1347" s="8"/>
      <c r="AJ1347" s="8"/>
      <c r="AK1347" s="8"/>
      <c r="AL1347" s="8"/>
      <c r="AM1347" s="8"/>
      <c r="AN1347" s="8"/>
      <c r="AO1347" s="8"/>
      <c r="AP1347" s="11"/>
      <c r="AQ1347" s="8">
        <f>1503*24.75/1000</f>
        <v>37.199249999999999</v>
      </c>
      <c r="AR1347" s="8"/>
      <c r="AS1347" s="8"/>
      <c r="AT1347" s="8">
        <f>842.01+852.44</f>
        <v>1694.45</v>
      </c>
      <c r="AU1347" s="8"/>
      <c r="AV1347" s="8"/>
      <c r="AW1347" s="8">
        <f>3.54+3.58</f>
        <v>7.12</v>
      </c>
      <c r="AX1347" s="8"/>
      <c r="AY1347" s="8"/>
      <c r="AZ1347" s="8"/>
      <c r="BA1347" s="8"/>
      <c r="BB1347" s="8"/>
      <c r="BC1347" s="8"/>
      <c r="BD1347" s="8"/>
      <c r="BE1347" s="8"/>
      <c r="BF1347" s="8">
        <f>59+59.87</f>
        <v>118.87</v>
      </c>
      <c r="BG1347" s="8">
        <f>60.84+61.84</f>
        <v>122.68</v>
      </c>
      <c r="BH1347" s="9">
        <f t="shared" si="180"/>
        <v>2474.1</v>
      </c>
      <c r="BI1347" s="9">
        <f t="shared" si="181"/>
        <v>6.17</v>
      </c>
      <c r="BJ1347" s="9">
        <f t="shared" si="182"/>
        <v>9.66</v>
      </c>
      <c r="BK1347" s="9">
        <f t="shared" si="183"/>
        <v>37.15</v>
      </c>
      <c r="BL1347" s="9">
        <f t="shared" si="184"/>
        <v>520.33999999999992</v>
      </c>
      <c r="BM1347" s="9">
        <f t="shared" si="185"/>
        <v>160.21925000000002</v>
      </c>
      <c r="BN1347" s="9">
        <f t="shared" si="186"/>
        <v>1694.45</v>
      </c>
      <c r="BO1347" s="9">
        <f t="shared" si="187"/>
        <v>7.12</v>
      </c>
      <c r="BP1347" s="9">
        <f t="shared" si="188"/>
        <v>118.87</v>
      </c>
    </row>
    <row r="1348" spans="1:68">
      <c r="A1348" s="6">
        <v>44795</v>
      </c>
      <c r="B1348" s="7">
        <v>3106</v>
      </c>
      <c r="C1348" s="8">
        <v>6090.96</v>
      </c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11">
        <v>16.420000000000002</v>
      </c>
      <c r="R1348" s="11"/>
      <c r="S1348" s="8">
        <v>18.260000000000002</v>
      </c>
      <c r="T1348" s="8"/>
      <c r="U1348" s="8">
        <v>77.45</v>
      </c>
      <c r="V1348" s="8"/>
      <c r="W1348" s="8"/>
      <c r="X1348" s="8"/>
      <c r="Y1348" s="8"/>
      <c r="Z1348" s="8"/>
      <c r="AA1348" s="8"/>
      <c r="AB1348" s="8"/>
      <c r="AC1348" s="8">
        <v>15.23</v>
      </c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11"/>
      <c r="AQ1348" s="8"/>
      <c r="AR1348" s="8"/>
      <c r="AS1348" s="8"/>
      <c r="AT1348" s="8">
        <v>3487.49</v>
      </c>
      <c r="AU1348" s="8"/>
      <c r="AV1348" s="8"/>
      <c r="AW1348" s="8"/>
      <c r="AX1348" s="8">
        <v>7.62</v>
      </c>
      <c r="AY1348" s="8"/>
      <c r="AZ1348" s="8"/>
      <c r="BA1348" s="8"/>
      <c r="BB1348" s="8"/>
      <c r="BC1348" s="8"/>
      <c r="BD1348" s="8"/>
      <c r="BE1348" s="8"/>
      <c r="BF1348" s="8"/>
      <c r="BG1348" s="8">
        <v>262.19</v>
      </c>
      <c r="BH1348" s="9">
        <f t="shared" ref="BH1348:BH1411" si="189">SUM(C1348:L1348)</f>
        <v>6090.96</v>
      </c>
      <c r="BI1348" s="9">
        <f t="shared" ref="BI1348:BI1411" si="190">SUM(M1348:R1348)</f>
        <v>16.420000000000002</v>
      </c>
      <c r="BJ1348" s="9">
        <f t="shared" ref="BJ1348:BJ1411" si="191">SUM(S1348)</f>
        <v>18.260000000000002</v>
      </c>
      <c r="BK1348" s="9">
        <f t="shared" ref="BK1348:BK1411" si="192">SUM(T1348:Y1348)</f>
        <v>77.45</v>
      </c>
      <c r="BL1348" s="9">
        <f t="shared" ref="BL1348:BL1411" si="193">SUM(Z1348:AA1348)</f>
        <v>0</v>
      </c>
      <c r="BM1348" s="9">
        <f t="shared" ref="BM1348:BM1411" si="194">SUM(AB1348:AS1348)</f>
        <v>15.23</v>
      </c>
      <c r="BN1348" s="9">
        <f t="shared" ref="BN1348:BN1411" si="195">SUM(AT1348:AU1348)</f>
        <v>3487.49</v>
      </c>
      <c r="BO1348" s="9">
        <f t="shared" ref="BO1348:BO1411" si="196">SUM(AV1348:BE1348)</f>
        <v>7.62</v>
      </c>
      <c r="BP1348" s="9">
        <f t="shared" ref="BP1348:BP1411" si="197">SUM(BF1348)</f>
        <v>0</v>
      </c>
    </row>
    <row r="1349" spans="1:68">
      <c r="A1349" s="6">
        <v>44795</v>
      </c>
      <c r="B1349" s="7">
        <v>3029</v>
      </c>
      <c r="C1349" s="8"/>
      <c r="D1349" s="8">
        <v>697.25</v>
      </c>
      <c r="E1349" s="8"/>
      <c r="F1349" s="8">
        <v>491.1</v>
      </c>
      <c r="G1349" s="8"/>
      <c r="H1349" s="8"/>
      <c r="I1349" s="8">
        <v>2910.52</v>
      </c>
      <c r="J1349" s="8"/>
      <c r="K1349" s="8"/>
      <c r="L1349" s="8"/>
      <c r="M1349" s="8"/>
      <c r="N1349" s="8">
        <v>31.64</v>
      </c>
      <c r="O1349" s="8"/>
      <c r="P1349" s="8"/>
      <c r="Q1349" s="11"/>
      <c r="R1349" s="11"/>
      <c r="S1349" s="8">
        <v>2.4700000000000002</v>
      </c>
      <c r="T1349" s="8"/>
      <c r="U1349" s="8"/>
      <c r="V1349" s="8"/>
      <c r="W1349" s="8">
        <v>41.05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>
        <v>14.34</v>
      </c>
      <c r="AN1349" s="8">
        <f>764*27.38/1000</f>
        <v>20.918320000000001</v>
      </c>
      <c r="AO1349" s="8"/>
      <c r="AP1349" s="11"/>
      <c r="AQ1349" s="8"/>
      <c r="AR1349" s="8">
        <f>4580*27.38/1000</f>
        <v>125.40039999999999</v>
      </c>
      <c r="AS1349" s="8"/>
      <c r="AT1349" s="8">
        <v>1558.16</v>
      </c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>
        <v>109.18</v>
      </c>
      <c r="BH1349" s="9">
        <f t="shared" si="189"/>
        <v>4098.87</v>
      </c>
      <c r="BI1349" s="9">
        <f t="shared" si="190"/>
        <v>31.64</v>
      </c>
      <c r="BJ1349" s="9">
        <f t="shared" si="191"/>
        <v>2.4700000000000002</v>
      </c>
      <c r="BK1349" s="9">
        <f t="shared" si="192"/>
        <v>41.05</v>
      </c>
      <c r="BL1349" s="9">
        <f t="shared" si="193"/>
        <v>0</v>
      </c>
      <c r="BM1349" s="9">
        <f t="shared" si="194"/>
        <v>160.65871999999999</v>
      </c>
      <c r="BN1349" s="9">
        <f t="shared" si="195"/>
        <v>1558.16</v>
      </c>
      <c r="BO1349" s="9">
        <f t="shared" si="196"/>
        <v>0</v>
      </c>
      <c r="BP1349" s="9">
        <f t="shared" si="197"/>
        <v>0</v>
      </c>
    </row>
    <row r="1350" spans="1:68">
      <c r="A1350" s="6">
        <v>44795</v>
      </c>
      <c r="B1350" s="7">
        <v>3141</v>
      </c>
      <c r="C1350" s="8">
        <v>2443.77</v>
      </c>
      <c r="D1350" s="8">
        <v>431.43</v>
      </c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11">
        <v>8.36</v>
      </c>
      <c r="R1350" s="11"/>
      <c r="S1350" s="8">
        <v>13.53</v>
      </c>
      <c r="T1350" s="8"/>
      <c r="U1350" s="8">
        <v>43.16</v>
      </c>
      <c r="V1350" s="8"/>
      <c r="W1350" s="8"/>
      <c r="X1350" s="8"/>
      <c r="Y1350" s="8"/>
      <c r="Z1350" s="8"/>
      <c r="AA1350" s="8"/>
      <c r="AB1350" s="8"/>
      <c r="AC1350" s="8">
        <v>11.51</v>
      </c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11"/>
      <c r="AQ1350" s="8"/>
      <c r="AR1350" s="8"/>
      <c r="AS1350" s="8"/>
      <c r="AT1350" s="8">
        <v>1907.68</v>
      </c>
      <c r="AU1350" s="8"/>
      <c r="AV1350" s="8"/>
      <c r="AW1350" s="8"/>
      <c r="AX1350" s="8"/>
      <c r="AY1350" s="8"/>
      <c r="AZ1350" s="8"/>
      <c r="BA1350" s="8">
        <v>65.95</v>
      </c>
      <c r="BB1350" s="8"/>
      <c r="BC1350" s="8"/>
      <c r="BD1350" s="8"/>
      <c r="BE1350" s="8"/>
      <c r="BF1350" s="8">
        <v>201.12</v>
      </c>
      <c r="BG1350" s="8">
        <v>149.33000000000001</v>
      </c>
      <c r="BH1350" s="9">
        <f t="shared" si="189"/>
        <v>2875.2</v>
      </c>
      <c r="BI1350" s="9">
        <f t="shared" si="190"/>
        <v>8.36</v>
      </c>
      <c r="BJ1350" s="9">
        <f t="shared" si="191"/>
        <v>13.53</v>
      </c>
      <c r="BK1350" s="9">
        <f t="shared" si="192"/>
        <v>43.16</v>
      </c>
      <c r="BL1350" s="9">
        <f t="shared" si="193"/>
        <v>0</v>
      </c>
      <c r="BM1350" s="9">
        <f t="shared" si="194"/>
        <v>11.51</v>
      </c>
      <c r="BN1350" s="9">
        <f t="shared" si="195"/>
        <v>1907.68</v>
      </c>
      <c r="BO1350" s="9">
        <f t="shared" si="196"/>
        <v>65.95</v>
      </c>
      <c r="BP1350" s="9">
        <f t="shared" si="197"/>
        <v>201.12</v>
      </c>
    </row>
    <row r="1351" spans="1:68">
      <c r="A1351" s="6">
        <v>44796</v>
      </c>
      <c r="B1351" s="7">
        <v>3139</v>
      </c>
      <c r="C1351" s="8">
        <v>1599.63</v>
      </c>
      <c r="D1351" s="8"/>
      <c r="E1351" s="8"/>
      <c r="F1351" s="8"/>
      <c r="G1351" s="8"/>
      <c r="H1351" s="8">
        <v>663.79</v>
      </c>
      <c r="I1351" s="8"/>
      <c r="J1351" s="8"/>
      <c r="K1351" s="8"/>
      <c r="L1351" s="8"/>
      <c r="M1351" s="8"/>
      <c r="N1351" s="8"/>
      <c r="O1351" s="8"/>
      <c r="P1351" s="8"/>
      <c r="Q1351" s="11">
        <v>3.7</v>
      </c>
      <c r="R1351" s="11"/>
      <c r="S1351" s="8">
        <v>7.08</v>
      </c>
      <c r="T1351" s="8"/>
      <c r="U1351" s="8">
        <v>23.62</v>
      </c>
      <c r="V1351" s="8"/>
      <c r="W1351" s="8"/>
      <c r="X1351" s="8"/>
      <c r="Y1351" s="8"/>
      <c r="Z1351" s="8"/>
      <c r="AA1351" s="8"/>
      <c r="AB1351" s="8"/>
      <c r="AC1351" s="8">
        <v>7.88</v>
      </c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11"/>
      <c r="AQ1351" s="8"/>
      <c r="AR1351" s="8"/>
      <c r="AS1351" s="8"/>
      <c r="AT1351" s="8">
        <v>1171.29</v>
      </c>
      <c r="AU1351" s="8"/>
      <c r="AV1351" s="8">
        <v>39.32</v>
      </c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>
        <v>84.68</v>
      </c>
      <c r="BH1351" s="9">
        <f t="shared" si="189"/>
        <v>2263.42</v>
      </c>
      <c r="BI1351" s="9">
        <f t="shared" si="190"/>
        <v>3.7</v>
      </c>
      <c r="BJ1351" s="9">
        <f t="shared" si="191"/>
        <v>7.08</v>
      </c>
      <c r="BK1351" s="9">
        <f t="shared" si="192"/>
        <v>23.62</v>
      </c>
      <c r="BL1351" s="9">
        <f t="shared" si="193"/>
        <v>0</v>
      </c>
      <c r="BM1351" s="9">
        <f t="shared" si="194"/>
        <v>7.88</v>
      </c>
      <c r="BN1351" s="9">
        <f t="shared" si="195"/>
        <v>1171.29</v>
      </c>
      <c r="BO1351" s="9">
        <f t="shared" si="196"/>
        <v>39.32</v>
      </c>
      <c r="BP1351" s="9">
        <f t="shared" si="197"/>
        <v>0</v>
      </c>
    </row>
    <row r="1352" spans="1:68">
      <c r="A1352" s="6">
        <v>44796</v>
      </c>
      <c r="B1352" s="7">
        <v>3117</v>
      </c>
      <c r="C1352" s="8">
        <v>738.06</v>
      </c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11">
        <v>1.7</v>
      </c>
      <c r="R1352" s="11"/>
      <c r="S1352" s="8">
        <v>2.74</v>
      </c>
      <c r="T1352" s="8"/>
      <c r="U1352" s="8">
        <v>7.39</v>
      </c>
      <c r="V1352" s="8"/>
      <c r="W1352" s="8"/>
      <c r="X1352" s="8"/>
      <c r="Y1352" s="8"/>
      <c r="Z1352" s="8"/>
      <c r="AA1352" s="8"/>
      <c r="AB1352" s="8"/>
      <c r="AC1352" s="8">
        <v>2.96</v>
      </c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11"/>
      <c r="AQ1352" s="8"/>
      <c r="AR1352" s="8"/>
      <c r="AS1352" s="8"/>
      <c r="AT1352" s="8">
        <v>469.09</v>
      </c>
      <c r="AU1352" s="8"/>
      <c r="AV1352" s="8">
        <v>18.489999999999998</v>
      </c>
      <c r="AW1352" s="8"/>
      <c r="AX1352" s="8"/>
      <c r="AY1352" s="8"/>
      <c r="AZ1352" s="8"/>
      <c r="BA1352" s="8"/>
      <c r="BB1352" s="8"/>
      <c r="BC1352" s="8"/>
      <c r="BD1352" s="8"/>
      <c r="BE1352" s="8"/>
      <c r="BF1352" s="8">
        <v>36.93</v>
      </c>
      <c r="BG1352" s="8">
        <v>35.53</v>
      </c>
      <c r="BH1352" s="9">
        <f t="shared" si="189"/>
        <v>738.06</v>
      </c>
      <c r="BI1352" s="9">
        <f t="shared" si="190"/>
        <v>1.7</v>
      </c>
      <c r="BJ1352" s="9">
        <f t="shared" si="191"/>
        <v>2.74</v>
      </c>
      <c r="BK1352" s="9">
        <f t="shared" si="192"/>
        <v>7.39</v>
      </c>
      <c r="BL1352" s="9">
        <f t="shared" si="193"/>
        <v>0</v>
      </c>
      <c r="BM1352" s="9">
        <f t="shared" si="194"/>
        <v>2.96</v>
      </c>
      <c r="BN1352" s="9">
        <f t="shared" si="195"/>
        <v>469.09</v>
      </c>
      <c r="BO1352" s="9">
        <f t="shared" si="196"/>
        <v>18.489999999999998</v>
      </c>
      <c r="BP1352" s="9">
        <f t="shared" si="197"/>
        <v>36.93</v>
      </c>
    </row>
    <row r="1353" spans="1:68">
      <c r="A1353" s="6">
        <v>44796</v>
      </c>
      <c r="B1353" s="7">
        <v>3602</v>
      </c>
      <c r="C1353" s="8">
        <v>611.28</v>
      </c>
      <c r="D1353" s="8"/>
      <c r="E1353" s="8"/>
      <c r="F1353" s="8"/>
      <c r="G1353" s="8">
        <v>919.1</v>
      </c>
      <c r="H1353" s="8"/>
      <c r="I1353" s="8"/>
      <c r="J1353" s="8"/>
      <c r="K1353" s="8"/>
      <c r="L1353" s="8"/>
      <c r="M1353" s="8">
        <f>89*17.55/1000</f>
        <v>1.5619499999999999</v>
      </c>
      <c r="N1353" s="8"/>
      <c r="O1353" s="8"/>
      <c r="P1353" s="8"/>
      <c r="Q1353" s="11"/>
      <c r="R1353" s="11"/>
      <c r="S1353" s="8">
        <v>7.37</v>
      </c>
      <c r="T1353" s="8"/>
      <c r="U1353" s="8">
        <v>12.28</v>
      </c>
      <c r="V1353" s="8">
        <f>853*17.55/1000</f>
        <v>14.970150000000002</v>
      </c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11"/>
      <c r="AQ1353" s="8"/>
      <c r="AR1353" s="8"/>
      <c r="AS1353" s="8"/>
      <c r="AT1353" s="8">
        <v>640.41999999999996</v>
      </c>
      <c r="AU1353" s="8"/>
      <c r="AV1353" s="8"/>
      <c r="AW1353" s="8">
        <v>39.72</v>
      </c>
      <c r="AX1353" s="8"/>
      <c r="AY1353" s="8"/>
      <c r="AZ1353" s="8"/>
      <c r="BA1353" s="8"/>
      <c r="BB1353" s="8"/>
      <c r="BC1353" s="8"/>
      <c r="BD1353" s="8"/>
      <c r="BE1353" s="8"/>
      <c r="BF1353" s="8">
        <v>49.27</v>
      </c>
      <c r="BG1353" s="8">
        <v>48.02</v>
      </c>
      <c r="BH1353" s="9">
        <f t="shared" si="189"/>
        <v>1530.38</v>
      </c>
      <c r="BI1353" s="9">
        <f t="shared" si="190"/>
        <v>1.5619499999999999</v>
      </c>
      <c r="BJ1353" s="9">
        <f t="shared" si="191"/>
        <v>7.37</v>
      </c>
      <c r="BK1353" s="9">
        <f t="shared" si="192"/>
        <v>27.250150000000001</v>
      </c>
      <c r="BL1353" s="9">
        <f t="shared" si="193"/>
        <v>0</v>
      </c>
      <c r="BM1353" s="9">
        <f t="shared" si="194"/>
        <v>0</v>
      </c>
      <c r="BN1353" s="9">
        <f t="shared" si="195"/>
        <v>640.41999999999996</v>
      </c>
      <c r="BO1353" s="9">
        <f t="shared" si="196"/>
        <v>39.72</v>
      </c>
      <c r="BP1353" s="9">
        <f t="shared" si="197"/>
        <v>49.27</v>
      </c>
    </row>
    <row r="1354" spans="1:68">
      <c r="A1354" s="6">
        <v>44796</v>
      </c>
      <c r="B1354" s="7">
        <v>3200</v>
      </c>
      <c r="C1354" s="8">
        <v>1244.3499999999999</v>
      </c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>
        <v>3.12</v>
      </c>
      <c r="P1354" s="8"/>
      <c r="Q1354" s="11"/>
      <c r="R1354" s="11"/>
      <c r="S1354" s="8">
        <v>4.8899999999999997</v>
      </c>
      <c r="T1354" s="8"/>
      <c r="U1354" s="8">
        <v>18.77</v>
      </c>
      <c r="V1354" s="8"/>
      <c r="W1354" s="8"/>
      <c r="X1354" s="8"/>
      <c r="Y1354" s="8"/>
      <c r="Z1354" s="8">
        <v>262.92</v>
      </c>
      <c r="AA1354" s="8"/>
      <c r="AB1354" s="8"/>
      <c r="AC1354" s="8"/>
      <c r="AD1354" s="8"/>
      <c r="AE1354" s="8"/>
      <c r="AF1354" s="8">
        <v>62.47</v>
      </c>
      <c r="AG1354" s="8"/>
      <c r="AH1354" s="8"/>
      <c r="AI1354" s="8"/>
      <c r="AJ1354" s="8"/>
      <c r="AK1354" s="8"/>
      <c r="AL1354" s="8"/>
      <c r="AM1354" s="8"/>
      <c r="AN1354" s="8"/>
      <c r="AO1354" s="8"/>
      <c r="AP1354" s="11"/>
      <c r="AQ1354" s="8">
        <f>1506*12.52/1000</f>
        <v>18.855119999999999</v>
      </c>
      <c r="AR1354" s="8"/>
      <c r="AS1354" s="8"/>
      <c r="AT1354" s="8">
        <v>856.82</v>
      </c>
      <c r="AU1354" s="8"/>
      <c r="AV1354" s="8"/>
      <c r="AW1354" s="8">
        <v>3.68</v>
      </c>
      <c r="AX1354" s="8"/>
      <c r="AY1354" s="8"/>
      <c r="AZ1354" s="8"/>
      <c r="BA1354" s="8"/>
      <c r="BB1354" s="8"/>
      <c r="BC1354" s="8"/>
      <c r="BD1354" s="8"/>
      <c r="BE1354" s="8"/>
      <c r="BF1354" s="8">
        <v>60.13</v>
      </c>
      <c r="BG1354" s="8">
        <v>61.73</v>
      </c>
      <c r="BH1354" s="9">
        <f t="shared" si="189"/>
        <v>1244.3499999999999</v>
      </c>
      <c r="BI1354" s="9">
        <f t="shared" si="190"/>
        <v>3.12</v>
      </c>
      <c r="BJ1354" s="9">
        <f t="shared" si="191"/>
        <v>4.8899999999999997</v>
      </c>
      <c r="BK1354" s="9">
        <f t="shared" si="192"/>
        <v>18.77</v>
      </c>
      <c r="BL1354" s="9">
        <f t="shared" si="193"/>
        <v>262.92</v>
      </c>
      <c r="BM1354" s="9">
        <f t="shared" si="194"/>
        <v>81.325119999999998</v>
      </c>
      <c r="BN1354" s="9">
        <f t="shared" si="195"/>
        <v>856.82</v>
      </c>
      <c r="BO1354" s="9">
        <f t="shared" si="196"/>
        <v>3.68</v>
      </c>
      <c r="BP1354" s="9">
        <f t="shared" si="197"/>
        <v>60.13</v>
      </c>
    </row>
    <row r="1355" spans="1:68">
      <c r="A1355" s="6">
        <v>44796</v>
      </c>
      <c r="B1355" s="7">
        <v>3007</v>
      </c>
      <c r="C1355" s="8">
        <v>842.93</v>
      </c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>
        <v>0.85</v>
      </c>
      <c r="O1355" s="8"/>
      <c r="P1355" s="8"/>
      <c r="Q1355" s="11"/>
      <c r="R1355" s="11"/>
      <c r="S1355" s="8">
        <v>3.11</v>
      </c>
      <c r="T1355" s="8"/>
      <c r="U1355" s="8"/>
      <c r="V1355" s="8"/>
      <c r="W1355" s="8">
        <v>8.44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11"/>
      <c r="AQ1355" s="8"/>
      <c r="AR1355" s="8"/>
      <c r="AS1355" s="8"/>
      <c r="AT1355" s="8">
        <v>421.49</v>
      </c>
      <c r="AU1355" s="8"/>
      <c r="AV1355" s="8"/>
      <c r="AW1355" s="8">
        <v>9.36</v>
      </c>
      <c r="AX1355" s="8"/>
      <c r="AY1355" s="8"/>
      <c r="AZ1355" s="8"/>
      <c r="BA1355" s="8"/>
      <c r="BB1355" s="8"/>
      <c r="BC1355" s="8"/>
      <c r="BD1355" s="8"/>
      <c r="BE1355" s="8"/>
      <c r="BF1355" s="8"/>
      <c r="BG1355" s="8">
        <v>30.73</v>
      </c>
      <c r="BH1355" s="9">
        <f t="shared" si="189"/>
        <v>842.93</v>
      </c>
      <c r="BI1355" s="9">
        <f t="shared" si="190"/>
        <v>0.85</v>
      </c>
      <c r="BJ1355" s="9">
        <f t="shared" si="191"/>
        <v>3.11</v>
      </c>
      <c r="BK1355" s="9">
        <f t="shared" si="192"/>
        <v>8.44</v>
      </c>
      <c r="BL1355" s="9">
        <f t="shared" si="193"/>
        <v>0</v>
      </c>
      <c r="BM1355" s="9">
        <f t="shared" si="194"/>
        <v>0</v>
      </c>
      <c r="BN1355" s="9">
        <f t="shared" si="195"/>
        <v>421.49</v>
      </c>
      <c r="BO1355" s="9">
        <f t="shared" si="196"/>
        <v>9.36</v>
      </c>
      <c r="BP1355" s="9">
        <f t="shared" si="197"/>
        <v>0</v>
      </c>
    </row>
    <row r="1356" spans="1:68">
      <c r="A1356" s="6">
        <v>44796</v>
      </c>
      <c r="B1356" s="7">
        <v>3010</v>
      </c>
      <c r="C1356" s="8">
        <v>658.17</v>
      </c>
      <c r="D1356" s="8">
        <v>435.98</v>
      </c>
      <c r="E1356" s="8"/>
      <c r="F1356" s="8"/>
      <c r="G1356" s="8"/>
      <c r="H1356" s="8"/>
      <c r="I1356" s="8"/>
      <c r="J1356" s="8"/>
      <c r="K1356" s="8"/>
      <c r="L1356" s="8"/>
      <c r="M1356" s="8"/>
      <c r="N1356" s="8">
        <v>2.1800000000000002</v>
      </c>
      <c r="O1356" s="8"/>
      <c r="P1356" s="8"/>
      <c r="Q1356" s="11"/>
      <c r="R1356" s="11"/>
      <c r="S1356" s="8">
        <v>2.95</v>
      </c>
      <c r="T1356" s="8"/>
      <c r="U1356" s="8"/>
      <c r="V1356" s="8"/>
      <c r="W1356" s="8">
        <v>10.93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11"/>
      <c r="AQ1356" s="8"/>
      <c r="AR1356" s="8"/>
      <c r="AS1356" s="8"/>
      <c r="AT1356" s="8">
        <v>367.06</v>
      </c>
      <c r="AU1356" s="8"/>
      <c r="AV1356" s="8"/>
      <c r="AW1356" s="8">
        <v>12.11</v>
      </c>
      <c r="AX1356" s="8"/>
      <c r="AY1356" s="8"/>
      <c r="AZ1356" s="8"/>
      <c r="BA1356" s="8"/>
      <c r="BB1356" s="8"/>
      <c r="BC1356" s="8"/>
      <c r="BD1356" s="8"/>
      <c r="BE1356" s="8"/>
      <c r="BF1356" s="8"/>
      <c r="BG1356" s="8">
        <v>24.13</v>
      </c>
      <c r="BH1356" s="9">
        <f t="shared" si="189"/>
        <v>1094.1500000000001</v>
      </c>
      <c r="BI1356" s="9">
        <f t="shared" si="190"/>
        <v>2.1800000000000002</v>
      </c>
      <c r="BJ1356" s="9">
        <f t="shared" si="191"/>
        <v>2.95</v>
      </c>
      <c r="BK1356" s="9">
        <f t="shared" si="192"/>
        <v>10.93</v>
      </c>
      <c r="BL1356" s="9">
        <f t="shared" si="193"/>
        <v>0</v>
      </c>
      <c r="BM1356" s="9">
        <f t="shared" si="194"/>
        <v>0</v>
      </c>
      <c r="BN1356" s="9">
        <f t="shared" si="195"/>
        <v>367.06</v>
      </c>
      <c r="BO1356" s="9">
        <f t="shared" si="196"/>
        <v>12.11</v>
      </c>
      <c r="BP1356" s="9">
        <f t="shared" si="197"/>
        <v>0</v>
      </c>
    </row>
    <row r="1357" spans="1:68">
      <c r="A1357" s="6">
        <v>44796</v>
      </c>
      <c r="B1357" s="7">
        <v>3079</v>
      </c>
      <c r="C1357" s="8"/>
      <c r="D1357" s="8"/>
      <c r="E1357" s="8"/>
      <c r="F1357" s="8">
        <v>345.95</v>
      </c>
      <c r="G1357" s="8"/>
      <c r="H1357" s="8"/>
      <c r="I1357" s="8">
        <v>2805.71</v>
      </c>
      <c r="J1357" s="8"/>
      <c r="K1357" s="8"/>
      <c r="L1357" s="8"/>
      <c r="M1357" s="8"/>
      <c r="N1357" s="8">
        <v>21.8</v>
      </c>
      <c r="O1357" s="8"/>
      <c r="P1357" s="8"/>
      <c r="Q1357" s="11"/>
      <c r="R1357" s="11"/>
      <c r="S1357" s="8">
        <v>1.25</v>
      </c>
      <c r="T1357" s="8"/>
      <c r="U1357" s="8"/>
      <c r="V1357" s="8"/>
      <c r="W1357" s="8">
        <v>31.63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>
        <v>12.6</v>
      </c>
      <c r="AN1357" s="8">
        <f>1741*18.57/1000</f>
        <v>32.330370000000002</v>
      </c>
      <c r="AO1357" s="8"/>
      <c r="AP1357" s="11"/>
      <c r="AQ1357" s="8"/>
      <c r="AR1357" s="8">
        <f>4328*18.57/1000</f>
        <v>80.370960000000011</v>
      </c>
      <c r="AS1357" s="8"/>
      <c r="AT1357" s="8">
        <v>1218.5899999999999</v>
      </c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>
        <v>88.15</v>
      </c>
      <c r="BH1357" s="9">
        <f t="shared" si="189"/>
        <v>3151.66</v>
      </c>
      <c r="BI1357" s="9">
        <f t="shared" si="190"/>
        <v>21.8</v>
      </c>
      <c r="BJ1357" s="9">
        <f t="shared" si="191"/>
        <v>1.25</v>
      </c>
      <c r="BK1357" s="9">
        <f t="shared" si="192"/>
        <v>31.63</v>
      </c>
      <c r="BL1357" s="9">
        <f t="shared" si="193"/>
        <v>0</v>
      </c>
      <c r="BM1357" s="9">
        <f t="shared" si="194"/>
        <v>125.30133000000001</v>
      </c>
      <c r="BN1357" s="9">
        <f t="shared" si="195"/>
        <v>1218.5899999999999</v>
      </c>
      <c r="BO1357" s="9">
        <f t="shared" si="196"/>
        <v>0</v>
      </c>
      <c r="BP1357" s="9">
        <f t="shared" si="197"/>
        <v>0</v>
      </c>
    </row>
    <row r="1358" spans="1:68">
      <c r="A1358" s="6">
        <v>44796</v>
      </c>
      <c r="B1358" s="7">
        <v>3141</v>
      </c>
      <c r="C1358" s="8">
        <v>2432.9899999999998</v>
      </c>
      <c r="D1358" s="8">
        <v>429.82</v>
      </c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11">
        <v>8.3000000000000007</v>
      </c>
      <c r="R1358" s="11"/>
      <c r="S1358" s="8">
        <v>13.48</v>
      </c>
      <c r="T1358" s="8"/>
      <c r="U1358" s="8">
        <v>43</v>
      </c>
      <c r="V1358" s="8"/>
      <c r="W1358" s="8"/>
      <c r="X1358" s="8"/>
      <c r="Y1358" s="8"/>
      <c r="Z1358" s="8"/>
      <c r="AA1358" s="8"/>
      <c r="AB1358" s="8"/>
      <c r="AC1358" s="8">
        <v>11.48</v>
      </c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11"/>
      <c r="AQ1358" s="8"/>
      <c r="AR1358" s="8"/>
      <c r="AS1358" s="8"/>
      <c r="AT1358" s="8">
        <v>1896.05</v>
      </c>
      <c r="AU1358" s="8"/>
      <c r="AV1358" s="8"/>
      <c r="AW1358" s="8"/>
      <c r="AX1358" s="8"/>
      <c r="AY1358" s="8"/>
      <c r="AZ1358" s="8"/>
      <c r="BA1358" s="8">
        <v>65.75</v>
      </c>
      <c r="BB1358" s="8"/>
      <c r="BC1358" s="8"/>
      <c r="BD1358" s="8"/>
      <c r="BE1358" s="8"/>
      <c r="BF1358" s="8">
        <v>200.7</v>
      </c>
      <c r="BG1358" s="8">
        <v>148.74</v>
      </c>
      <c r="BH1358" s="9">
        <f t="shared" si="189"/>
        <v>2862.81</v>
      </c>
      <c r="BI1358" s="9">
        <f t="shared" si="190"/>
        <v>8.3000000000000007</v>
      </c>
      <c r="BJ1358" s="9">
        <f t="shared" si="191"/>
        <v>13.48</v>
      </c>
      <c r="BK1358" s="9">
        <f t="shared" si="192"/>
        <v>43</v>
      </c>
      <c r="BL1358" s="9">
        <f t="shared" si="193"/>
        <v>0</v>
      </c>
      <c r="BM1358" s="9">
        <f t="shared" si="194"/>
        <v>11.48</v>
      </c>
      <c r="BN1358" s="9">
        <f t="shared" si="195"/>
        <v>1896.05</v>
      </c>
      <c r="BO1358" s="9">
        <f t="shared" si="196"/>
        <v>65.75</v>
      </c>
      <c r="BP1358" s="9">
        <f t="shared" si="197"/>
        <v>200.7</v>
      </c>
    </row>
    <row r="1359" spans="1:68">
      <c r="A1359" s="6">
        <v>44796</v>
      </c>
      <c r="B1359" s="7">
        <v>3113</v>
      </c>
      <c r="C1359" s="8">
        <v>1522.04</v>
      </c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>
        <v>1.52</v>
      </c>
      <c r="O1359" s="8"/>
      <c r="P1359" s="8"/>
      <c r="Q1359" s="11">
        <v>1.52</v>
      </c>
      <c r="R1359" s="11"/>
      <c r="S1359" s="8">
        <v>4.58</v>
      </c>
      <c r="T1359" s="8"/>
      <c r="U1359" s="8">
        <v>15.21</v>
      </c>
      <c r="V1359" s="8"/>
      <c r="W1359" s="8"/>
      <c r="X1359" s="8"/>
      <c r="Y1359" s="8"/>
      <c r="Z1359" s="8"/>
      <c r="AA1359" s="8"/>
      <c r="AB1359" s="8"/>
      <c r="AC1359" s="8">
        <v>6.08</v>
      </c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11"/>
      <c r="AQ1359" s="8"/>
      <c r="AR1359" s="8"/>
      <c r="AS1359" s="8"/>
      <c r="AT1359" s="8">
        <v>638.13</v>
      </c>
      <c r="AU1359" s="8"/>
      <c r="AV1359" s="8">
        <v>51.78</v>
      </c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>
        <v>45.7</v>
      </c>
      <c r="BH1359" s="9">
        <f t="shared" si="189"/>
        <v>1522.04</v>
      </c>
      <c r="BI1359" s="9">
        <f t="shared" si="190"/>
        <v>3.04</v>
      </c>
      <c r="BJ1359" s="9">
        <f t="shared" si="191"/>
        <v>4.58</v>
      </c>
      <c r="BK1359" s="9">
        <f t="shared" si="192"/>
        <v>15.21</v>
      </c>
      <c r="BL1359" s="9">
        <f t="shared" si="193"/>
        <v>0</v>
      </c>
      <c r="BM1359" s="9">
        <f t="shared" si="194"/>
        <v>6.08</v>
      </c>
      <c r="BN1359" s="9">
        <f t="shared" si="195"/>
        <v>638.13</v>
      </c>
      <c r="BO1359" s="9">
        <f t="shared" si="196"/>
        <v>51.78</v>
      </c>
      <c r="BP1359" s="9">
        <f t="shared" si="197"/>
        <v>0</v>
      </c>
    </row>
    <row r="1360" spans="1:68">
      <c r="A1360" s="6">
        <v>44796</v>
      </c>
      <c r="B1360" s="7">
        <v>3106</v>
      </c>
      <c r="C1360" s="8">
        <v>4117.6899999999996</v>
      </c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11">
        <v>11.12</v>
      </c>
      <c r="R1360" s="11"/>
      <c r="S1360" s="8">
        <v>12.41</v>
      </c>
      <c r="T1360" s="8"/>
      <c r="U1360" s="8">
        <v>52.54</v>
      </c>
      <c r="V1360" s="8"/>
      <c r="W1360" s="8"/>
      <c r="X1360" s="8"/>
      <c r="Y1360" s="8"/>
      <c r="Z1360" s="8"/>
      <c r="AA1360" s="8"/>
      <c r="AB1360" s="8"/>
      <c r="AC1360" s="8">
        <v>10.31</v>
      </c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11"/>
      <c r="AQ1360" s="8"/>
      <c r="AR1360" s="8"/>
      <c r="AS1360" s="8"/>
      <c r="AT1360" s="8">
        <v>2363.02</v>
      </c>
      <c r="AU1360" s="8"/>
      <c r="AV1360" s="8"/>
      <c r="AW1360" s="8"/>
      <c r="AX1360" s="8">
        <v>5.16</v>
      </c>
      <c r="AY1360" s="8"/>
      <c r="AZ1360" s="8"/>
      <c r="BA1360" s="8"/>
      <c r="BB1360" s="8"/>
      <c r="BC1360" s="8"/>
      <c r="BD1360" s="8"/>
      <c r="BE1360" s="8"/>
      <c r="BF1360" s="8"/>
      <c r="BG1360" s="8">
        <v>177.08</v>
      </c>
      <c r="BH1360" s="9">
        <f t="shared" si="189"/>
        <v>4117.6899999999996</v>
      </c>
      <c r="BI1360" s="9">
        <f t="shared" si="190"/>
        <v>11.12</v>
      </c>
      <c r="BJ1360" s="9">
        <f t="shared" si="191"/>
        <v>12.41</v>
      </c>
      <c r="BK1360" s="9">
        <f t="shared" si="192"/>
        <v>52.54</v>
      </c>
      <c r="BL1360" s="9">
        <f t="shared" si="193"/>
        <v>0</v>
      </c>
      <c r="BM1360" s="9">
        <f t="shared" si="194"/>
        <v>10.31</v>
      </c>
      <c r="BN1360" s="9">
        <f t="shared" si="195"/>
        <v>2363.02</v>
      </c>
      <c r="BO1360" s="9">
        <f t="shared" si="196"/>
        <v>5.16</v>
      </c>
      <c r="BP1360" s="9">
        <f t="shared" si="197"/>
        <v>0</v>
      </c>
    </row>
    <row r="1361" spans="1:68">
      <c r="A1361" s="6">
        <v>44796</v>
      </c>
      <c r="B1361" s="7">
        <v>3134</v>
      </c>
      <c r="C1361" s="8">
        <v>1051.6400000000001</v>
      </c>
      <c r="D1361" s="8">
        <v>147.09</v>
      </c>
      <c r="E1361" s="8"/>
      <c r="F1361" s="8"/>
      <c r="G1361" s="8"/>
      <c r="H1361" s="8">
        <v>496.92</v>
      </c>
      <c r="I1361" s="8"/>
      <c r="J1361" s="8"/>
      <c r="K1361" s="8"/>
      <c r="L1361" s="8"/>
      <c r="M1361" s="8"/>
      <c r="N1361" s="8"/>
      <c r="O1361" s="8"/>
      <c r="P1361" s="8"/>
      <c r="Q1361" s="11">
        <v>3.25</v>
      </c>
      <c r="R1361" s="11"/>
      <c r="S1361" s="8">
        <v>6.79</v>
      </c>
      <c r="T1361" s="8"/>
      <c r="U1361" s="8">
        <v>19.170000000000002</v>
      </c>
      <c r="V1361" s="8"/>
      <c r="W1361" s="8"/>
      <c r="X1361" s="8"/>
      <c r="Y1361" s="8"/>
      <c r="Z1361" s="8"/>
      <c r="AA1361" s="8"/>
      <c r="AB1361" s="8"/>
      <c r="AC1361" s="8">
        <v>5.9</v>
      </c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11"/>
      <c r="AQ1361" s="8"/>
      <c r="AR1361" s="8"/>
      <c r="AS1361" s="8"/>
      <c r="AT1361" s="8">
        <v>1039.32</v>
      </c>
      <c r="AU1361" s="8"/>
      <c r="AV1361" s="8"/>
      <c r="AW1361" s="8"/>
      <c r="AX1361" s="8"/>
      <c r="AY1361" s="8">
        <f>1404*10.52/1000</f>
        <v>14.77008</v>
      </c>
      <c r="AZ1361" s="8"/>
      <c r="BA1361" s="8"/>
      <c r="BB1361" s="8"/>
      <c r="BC1361" s="8"/>
      <c r="BD1361" s="8"/>
      <c r="BE1361" s="8"/>
      <c r="BF1361" s="8">
        <v>66.33</v>
      </c>
      <c r="BG1361" s="8">
        <v>78.16</v>
      </c>
      <c r="BH1361" s="9">
        <f t="shared" si="189"/>
        <v>1695.65</v>
      </c>
      <c r="BI1361" s="9">
        <f t="shared" si="190"/>
        <v>3.25</v>
      </c>
      <c r="BJ1361" s="9">
        <f t="shared" si="191"/>
        <v>6.79</v>
      </c>
      <c r="BK1361" s="9">
        <f t="shared" si="192"/>
        <v>19.170000000000002</v>
      </c>
      <c r="BL1361" s="9">
        <f t="shared" si="193"/>
        <v>0</v>
      </c>
      <c r="BM1361" s="9">
        <f t="shared" si="194"/>
        <v>5.9</v>
      </c>
      <c r="BN1361" s="9">
        <f t="shared" si="195"/>
        <v>1039.32</v>
      </c>
      <c r="BO1361" s="9">
        <f t="shared" si="196"/>
        <v>14.77008</v>
      </c>
      <c r="BP1361" s="9">
        <f t="shared" si="197"/>
        <v>66.33</v>
      </c>
    </row>
    <row r="1362" spans="1:68">
      <c r="A1362" s="6">
        <v>44797</v>
      </c>
      <c r="B1362" s="7">
        <v>3022</v>
      </c>
      <c r="C1362" s="8"/>
      <c r="D1362" s="8">
        <v>567.17999999999995</v>
      </c>
      <c r="E1362" s="8"/>
      <c r="F1362" s="8"/>
      <c r="G1362" s="8"/>
      <c r="H1362" s="8"/>
      <c r="I1362" s="8">
        <v>466.08</v>
      </c>
      <c r="J1362" s="8"/>
      <c r="K1362" s="8"/>
      <c r="L1362" s="8"/>
      <c r="M1362" s="8"/>
      <c r="N1362" s="8">
        <v>5.17</v>
      </c>
      <c r="O1362" s="8"/>
      <c r="P1362" s="8"/>
      <c r="Q1362" s="11"/>
      <c r="R1362" s="11"/>
      <c r="S1362" s="8">
        <v>1.86</v>
      </c>
      <c r="T1362" s="8"/>
      <c r="U1362" s="8"/>
      <c r="V1362" s="8"/>
      <c r="W1362" s="8">
        <v>10.32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>
        <v>13.41</v>
      </c>
      <c r="AN1362" s="8"/>
      <c r="AO1362" s="8"/>
      <c r="AP1362" s="11"/>
      <c r="AQ1362" s="8"/>
      <c r="AR1362" s="8"/>
      <c r="AS1362" s="8">
        <f>3852*9.38/1000</f>
        <v>36.13176</v>
      </c>
      <c r="AT1362" s="8">
        <v>482.93</v>
      </c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>
        <v>37.14</v>
      </c>
      <c r="BH1362" s="9">
        <f t="shared" si="189"/>
        <v>1033.26</v>
      </c>
      <c r="BI1362" s="9">
        <f t="shared" si="190"/>
        <v>5.17</v>
      </c>
      <c r="BJ1362" s="9">
        <f t="shared" si="191"/>
        <v>1.86</v>
      </c>
      <c r="BK1362" s="9">
        <f t="shared" si="192"/>
        <v>10.32</v>
      </c>
      <c r="BL1362" s="9">
        <f t="shared" si="193"/>
        <v>0</v>
      </c>
      <c r="BM1362" s="9">
        <f t="shared" si="194"/>
        <v>49.541759999999996</v>
      </c>
      <c r="BN1362" s="9">
        <f t="shared" si="195"/>
        <v>482.93</v>
      </c>
      <c r="BO1362" s="9">
        <f t="shared" si="196"/>
        <v>0</v>
      </c>
      <c r="BP1362" s="9">
        <f t="shared" si="197"/>
        <v>0</v>
      </c>
    </row>
    <row r="1363" spans="1:68">
      <c r="A1363" s="6">
        <v>44797</v>
      </c>
      <c r="B1363" s="7">
        <v>3020</v>
      </c>
      <c r="C1363" s="8"/>
      <c r="D1363" s="8">
        <v>97.69</v>
      </c>
      <c r="E1363" s="8"/>
      <c r="F1363" s="8"/>
      <c r="G1363" s="8"/>
      <c r="H1363" s="8"/>
      <c r="I1363" s="8">
        <v>552.07000000000005</v>
      </c>
      <c r="J1363" s="8"/>
      <c r="K1363" s="8"/>
      <c r="L1363" s="8"/>
      <c r="M1363" s="8"/>
      <c r="N1363" s="8">
        <v>3.89</v>
      </c>
      <c r="O1363" s="8"/>
      <c r="P1363" s="8"/>
      <c r="Q1363" s="11"/>
      <c r="R1363" s="11"/>
      <c r="S1363" s="8">
        <v>1.17</v>
      </c>
      <c r="T1363" s="8"/>
      <c r="U1363" s="8"/>
      <c r="V1363" s="8"/>
      <c r="W1363" s="8">
        <v>6.5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>
        <v>6.5</v>
      </c>
      <c r="AN1363" s="8"/>
      <c r="AO1363" s="8"/>
      <c r="AP1363" s="11"/>
      <c r="AQ1363" s="8"/>
      <c r="AR1363" s="8"/>
      <c r="AS1363" s="8">
        <f>3058*5.4/1000</f>
        <v>16.513200000000001</v>
      </c>
      <c r="AT1363" s="8">
        <v>319.22000000000003</v>
      </c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>
        <v>23.36</v>
      </c>
      <c r="BH1363" s="9">
        <f t="shared" si="189"/>
        <v>649.76</v>
      </c>
      <c r="BI1363" s="9">
        <f t="shared" si="190"/>
        <v>3.89</v>
      </c>
      <c r="BJ1363" s="9">
        <f t="shared" si="191"/>
        <v>1.17</v>
      </c>
      <c r="BK1363" s="9">
        <f t="shared" si="192"/>
        <v>6.5</v>
      </c>
      <c r="BL1363" s="9">
        <f t="shared" si="193"/>
        <v>0</v>
      </c>
      <c r="BM1363" s="9">
        <f t="shared" si="194"/>
        <v>23.013200000000001</v>
      </c>
      <c r="BN1363" s="9">
        <f t="shared" si="195"/>
        <v>319.22000000000003</v>
      </c>
      <c r="BO1363" s="9">
        <f t="shared" si="196"/>
        <v>0</v>
      </c>
      <c r="BP1363" s="9">
        <f t="shared" si="197"/>
        <v>0</v>
      </c>
    </row>
    <row r="1364" spans="1:68">
      <c r="A1364" s="6">
        <v>44797</v>
      </c>
      <c r="B1364" s="7">
        <v>3017</v>
      </c>
      <c r="C1364" s="8"/>
      <c r="D1364" s="8">
        <v>490.66</v>
      </c>
      <c r="E1364" s="8"/>
      <c r="F1364" s="8"/>
      <c r="G1364" s="8"/>
      <c r="H1364" s="8"/>
      <c r="I1364" s="8">
        <v>676.47</v>
      </c>
      <c r="J1364" s="8"/>
      <c r="K1364" s="8"/>
      <c r="L1364" s="8"/>
      <c r="M1364" s="8"/>
      <c r="N1364" s="8">
        <v>8.18</v>
      </c>
      <c r="O1364" s="8"/>
      <c r="P1364" s="8"/>
      <c r="Q1364" s="11"/>
      <c r="R1364" s="11"/>
      <c r="S1364" s="8">
        <v>0.82</v>
      </c>
      <c r="T1364" s="8"/>
      <c r="U1364" s="8"/>
      <c r="V1364" s="8"/>
      <c r="W1364" s="8">
        <v>8.77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>
        <v>4.67</v>
      </c>
      <c r="AN1364" s="8">
        <f>1204*9.72/1000</f>
        <v>11.70288</v>
      </c>
      <c r="AO1364" s="8"/>
      <c r="AP1364" s="11"/>
      <c r="AQ1364" s="8"/>
      <c r="AR1364" s="8">
        <v>46.91</v>
      </c>
      <c r="AS1364" s="8"/>
      <c r="AT1364" s="8">
        <v>500.65</v>
      </c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>
        <v>36.22</v>
      </c>
      <c r="BH1364" s="9">
        <f t="shared" si="189"/>
        <v>1167.1300000000001</v>
      </c>
      <c r="BI1364" s="9">
        <f t="shared" si="190"/>
        <v>8.18</v>
      </c>
      <c r="BJ1364" s="9">
        <f t="shared" si="191"/>
        <v>0.82</v>
      </c>
      <c r="BK1364" s="9">
        <f t="shared" si="192"/>
        <v>8.77</v>
      </c>
      <c r="BL1364" s="9">
        <f t="shared" si="193"/>
        <v>0</v>
      </c>
      <c r="BM1364" s="9">
        <f t="shared" si="194"/>
        <v>63.282879999999999</v>
      </c>
      <c r="BN1364" s="9">
        <f t="shared" si="195"/>
        <v>500.65</v>
      </c>
      <c r="BO1364" s="9">
        <f t="shared" si="196"/>
        <v>0</v>
      </c>
      <c r="BP1364" s="9">
        <f t="shared" si="197"/>
        <v>0</v>
      </c>
    </row>
    <row r="1365" spans="1:68">
      <c r="A1365" s="6">
        <v>44797</v>
      </c>
      <c r="B1365" s="7">
        <v>3083</v>
      </c>
      <c r="C1365" s="8"/>
      <c r="D1365" s="8">
        <v>1099.5999999999999</v>
      </c>
      <c r="E1365" s="8"/>
      <c r="F1365" s="8"/>
      <c r="G1365" s="8"/>
      <c r="H1365" s="8"/>
      <c r="I1365" s="8">
        <v>2558.02</v>
      </c>
      <c r="J1365" s="8"/>
      <c r="K1365" s="8"/>
      <c r="L1365" s="8"/>
      <c r="M1365" s="8"/>
      <c r="N1365" s="8">
        <v>23.09</v>
      </c>
      <c r="O1365" s="8"/>
      <c r="P1365" s="8"/>
      <c r="Q1365" s="11"/>
      <c r="R1365" s="11"/>
      <c r="S1365" s="8">
        <v>2.54</v>
      </c>
      <c r="T1365" s="8"/>
      <c r="U1365" s="8"/>
      <c r="V1365" s="8"/>
      <c r="W1365" s="8">
        <v>29.33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>
        <v>14.6</v>
      </c>
      <c r="AN1365" s="8">
        <f>1907*27.13/1000</f>
        <v>51.736909999999995</v>
      </c>
      <c r="AO1365" s="8"/>
      <c r="AP1365" s="11"/>
      <c r="AQ1365" s="8"/>
      <c r="AR1365" s="8">
        <f>3416*27.13/1000</f>
        <v>92.676079999999999</v>
      </c>
      <c r="AS1365" s="8"/>
      <c r="AT1365" s="8">
        <v>1720</v>
      </c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>
        <v>136.9</v>
      </c>
      <c r="BH1365" s="9">
        <f t="shared" si="189"/>
        <v>3657.62</v>
      </c>
      <c r="BI1365" s="9">
        <f t="shared" si="190"/>
        <v>23.09</v>
      </c>
      <c r="BJ1365" s="9">
        <f t="shared" si="191"/>
        <v>2.54</v>
      </c>
      <c r="BK1365" s="9">
        <f t="shared" si="192"/>
        <v>29.33</v>
      </c>
      <c r="BL1365" s="9">
        <f t="shared" si="193"/>
        <v>0</v>
      </c>
      <c r="BM1365" s="9">
        <f t="shared" si="194"/>
        <v>159.01299</v>
      </c>
      <c r="BN1365" s="9">
        <f t="shared" si="195"/>
        <v>1720</v>
      </c>
      <c r="BO1365" s="9">
        <f t="shared" si="196"/>
        <v>0</v>
      </c>
      <c r="BP1365" s="9">
        <f t="shared" si="197"/>
        <v>0</v>
      </c>
    </row>
    <row r="1366" spans="1:68">
      <c r="A1366" s="6">
        <v>44797</v>
      </c>
      <c r="B1366" s="7">
        <v>3141</v>
      </c>
      <c r="C1366" s="8">
        <v>2428.23</v>
      </c>
      <c r="D1366" s="8">
        <v>428.45</v>
      </c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11">
        <v>7.74</v>
      </c>
      <c r="R1366" s="11"/>
      <c r="S1366" s="8">
        <v>13.44</v>
      </c>
      <c r="T1366" s="8"/>
      <c r="U1366" s="8">
        <v>42.87</v>
      </c>
      <c r="V1366" s="8"/>
      <c r="W1366" s="8"/>
      <c r="X1366" s="8"/>
      <c r="Y1366" s="8"/>
      <c r="Z1366" s="8"/>
      <c r="AA1366" s="8"/>
      <c r="AB1366" s="8"/>
      <c r="AC1366" s="8">
        <v>11.43</v>
      </c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11"/>
      <c r="AQ1366" s="8"/>
      <c r="AR1366" s="8"/>
      <c r="AS1366" s="8"/>
      <c r="AT1366" s="8">
        <v>1887.54</v>
      </c>
      <c r="AU1366" s="8"/>
      <c r="AV1366" s="8"/>
      <c r="AW1366" s="8"/>
      <c r="AX1366" s="8"/>
      <c r="AY1366" s="8"/>
      <c r="AZ1366" s="8"/>
      <c r="BA1366" s="8">
        <v>65.5</v>
      </c>
      <c r="BB1366" s="8"/>
      <c r="BC1366" s="8"/>
      <c r="BD1366" s="8"/>
      <c r="BE1366" s="8"/>
      <c r="BF1366" s="8">
        <v>200.04</v>
      </c>
      <c r="BG1366" s="8">
        <v>148.57</v>
      </c>
      <c r="BH1366" s="9">
        <f t="shared" si="189"/>
        <v>2856.68</v>
      </c>
      <c r="BI1366" s="9">
        <f t="shared" si="190"/>
        <v>7.74</v>
      </c>
      <c r="BJ1366" s="9">
        <f t="shared" si="191"/>
        <v>13.44</v>
      </c>
      <c r="BK1366" s="9">
        <f t="shared" si="192"/>
        <v>42.87</v>
      </c>
      <c r="BL1366" s="9">
        <f t="shared" si="193"/>
        <v>0</v>
      </c>
      <c r="BM1366" s="9">
        <f t="shared" si="194"/>
        <v>11.43</v>
      </c>
      <c r="BN1366" s="9">
        <f t="shared" si="195"/>
        <v>1887.54</v>
      </c>
      <c r="BO1366" s="9">
        <f t="shared" si="196"/>
        <v>65.5</v>
      </c>
      <c r="BP1366" s="9">
        <f t="shared" si="197"/>
        <v>200.04</v>
      </c>
    </row>
    <row r="1367" spans="1:68">
      <c r="A1367" s="6">
        <v>44797</v>
      </c>
      <c r="B1367" s="7">
        <v>3127</v>
      </c>
      <c r="C1367" s="8">
        <v>1096.73</v>
      </c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11">
        <v>3.24</v>
      </c>
      <c r="R1367" s="11"/>
      <c r="S1367" s="8">
        <v>5.07</v>
      </c>
      <c r="T1367" s="8"/>
      <c r="U1367" s="8">
        <v>10.98</v>
      </c>
      <c r="V1367" s="8"/>
      <c r="W1367" s="8"/>
      <c r="X1367" s="8"/>
      <c r="Y1367" s="8"/>
      <c r="Z1367" s="8">
        <v>164.67</v>
      </c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11"/>
      <c r="AQ1367" s="8"/>
      <c r="AR1367" s="8"/>
      <c r="AS1367" s="8"/>
      <c r="AT1367" s="8">
        <v>538.11</v>
      </c>
      <c r="AU1367" s="8"/>
      <c r="AV1367" s="8">
        <v>21.91</v>
      </c>
      <c r="AW1367" s="8"/>
      <c r="AX1367" s="8"/>
      <c r="AY1367" s="8"/>
      <c r="AZ1367" s="8"/>
      <c r="BA1367" s="8"/>
      <c r="BB1367" s="8"/>
      <c r="BC1367" s="8"/>
      <c r="BD1367" s="8"/>
      <c r="BE1367" s="8"/>
      <c r="BF1367" s="8">
        <v>54.77</v>
      </c>
      <c r="BG1367" s="8">
        <v>38.42</v>
      </c>
      <c r="BH1367" s="9">
        <f t="shared" si="189"/>
        <v>1096.73</v>
      </c>
      <c r="BI1367" s="9">
        <f t="shared" si="190"/>
        <v>3.24</v>
      </c>
      <c r="BJ1367" s="9">
        <f t="shared" si="191"/>
        <v>5.07</v>
      </c>
      <c r="BK1367" s="9">
        <f t="shared" si="192"/>
        <v>10.98</v>
      </c>
      <c r="BL1367" s="9">
        <f t="shared" si="193"/>
        <v>164.67</v>
      </c>
      <c r="BM1367" s="9">
        <f t="shared" si="194"/>
        <v>0</v>
      </c>
      <c r="BN1367" s="9">
        <f t="shared" si="195"/>
        <v>538.11</v>
      </c>
      <c r="BO1367" s="9">
        <f t="shared" si="196"/>
        <v>21.91</v>
      </c>
      <c r="BP1367" s="9">
        <f t="shared" si="197"/>
        <v>54.77</v>
      </c>
    </row>
    <row r="1368" spans="1:68">
      <c r="A1368" s="6">
        <v>44797</v>
      </c>
      <c r="B1368" s="7">
        <v>3105</v>
      </c>
      <c r="C1368" s="8">
        <v>1169.05</v>
      </c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11">
        <v>3.02</v>
      </c>
      <c r="R1368" s="11"/>
      <c r="S1368" s="8">
        <v>3.74</v>
      </c>
      <c r="T1368" s="8"/>
      <c r="U1368" s="8">
        <v>14.86</v>
      </c>
      <c r="V1368" s="8"/>
      <c r="W1368" s="8"/>
      <c r="X1368" s="8"/>
      <c r="Y1368" s="8"/>
      <c r="Z1368" s="8"/>
      <c r="AA1368" s="8"/>
      <c r="AB1368" s="8"/>
      <c r="AC1368" s="8">
        <v>4.67</v>
      </c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11"/>
      <c r="AQ1368" s="8"/>
      <c r="AR1368" s="8"/>
      <c r="AS1368" s="8"/>
      <c r="AT1368" s="8">
        <v>672.97</v>
      </c>
      <c r="AU1368" s="8"/>
      <c r="AV1368" s="8">
        <v>4.07</v>
      </c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>
        <v>50.44</v>
      </c>
      <c r="BH1368" s="9">
        <f t="shared" si="189"/>
        <v>1169.05</v>
      </c>
      <c r="BI1368" s="9">
        <f t="shared" si="190"/>
        <v>3.02</v>
      </c>
      <c r="BJ1368" s="9">
        <f t="shared" si="191"/>
        <v>3.74</v>
      </c>
      <c r="BK1368" s="9">
        <f t="shared" si="192"/>
        <v>14.86</v>
      </c>
      <c r="BL1368" s="9">
        <f t="shared" si="193"/>
        <v>0</v>
      </c>
      <c r="BM1368" s="9">
        <f t="shared" si="194"/>
        <v>4.67</v>
      </c>
      <c r="BN1368" s="9">
        <f t="shared" si="195"/>
        <v>672.97</v>
      </c>
      <c r="BO1368" s="9">
        <f t="shared" si="196"/>
        <v>4.07</v>
      </c>
      <c r="BP1368" s="9">
        <f t="shared" si="197"/>
        <v>0</v>
      </c>
    </row>
    <row r="1369" spans="1:68">
      <c r="A1369" s="6">
        <v>44797</v>
      </c>
      <c r="B1369" s="7">
        <v>3106</v>
      </c>
      <c r="C1369" s="8">
        <v>4093.59</v>
      </c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11">
        <v>11.05</v>
      </c>
      <c r="R1369" s="11"/>
      <c r="S1369" s="8">
        <v>12.32</v>
      </c>
      <c r="T1369" s="8"/>
      <c r="U1369" s="8">
        <v>52.13</v>
      </c>
      <c r="V1369" s="8"/>
      <c r="W1369" s="8"/>
      <c r="X1369" s="8"/>
      <c r="Y1369" s="8"/>
      <c r="Z1369" s="8"/>
      <c r="AA1369" s="8"/>
      <c r="AB1369" s="8"/>
      <c r="AC1369" s="8">
        <v>10.25</v>
      </c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11"/>
      <c r="AQ1369" s="8"/>
      <c r="AR1369" s="8"/>
      <c r="AS1369" s="8"/>
      <c r="AT1369" s="8">
        <v>2346.83</v>
      </c>
      <c r="AU1369" s="8"/>
      <c r="AV1369" s="8"/>
      <c r="AW1369" s="8"/>
      <c r="AX1369" s="8">
        <v>5.13</v>
      </c>
      <c r="AY1369" s="8"/>
      <c r="AZ1369" s="8"/>
      <c r="BA1369" s="8"/>
      <c r="BB1369" s="8"/>
      <c r="BC1369" s="8"/>
      <c r="BD1369" s="8"/>
      <c r="BE1369" s="8"/>
      <c r="BF1369" s="8"/>
      <c r="BG1369" s="8">
        <v>176.52</v>
      </c>
      <c r="BH1369" s="9">
        <f t="shared" si="189"/>
        <v>4093.59</v>
      </c>
      <c r="BI1369" s="9">
        <f t="shared" si="190"/>
        <v>11.05</v>
      </c>
      <c r="BJ1369" s="9">
        <f t="shared" si="191"/>
        <v>12.32</v>
      </c>
      <c r="BK1369" s="9">
        <f t="shared" si="192"/>
        <v>52.13</v>
      </c>
      <c r="BL1369" s="9">
        <f t="shared" si="193"/>
        <v>0</v>
      </c>
      <c r="BM1369" s="9">
        <f t="shared" si="194"/>
        <v>10.25</v>
      </c>
      <c r="BN1369" s="9">
        <f t="shared" si="195"/>
        <v>2346.83</v>
      </c>
      <c r="BO1369" s="9">
        <f t="shared" si="196"/>
        <v>5.13</v>
      </c>
      <c r="BP1369" s="9">
        <f t="shared" si="197"/>
        <v>0</v>
      </c>
    </row>
    <row r="1370" spans="1:68">
      <c r="A1370" s="6">
        <v>44797</v>
      </c>
      <c r="B1370" s="7">
        <v>3205</v>
      </c>
      <c r="C1370" s="8">
        <v>662.11</v>
      </c>
      <c r="D1370" s="8">
        <v>369.43</v>
      </c>
      <c r="E1370" s="8">
        <v>442.43</v>
      </c>
      <c r="F1370" s="8"/>
      <c r="G1370" s="8"/>
      <c r="H1370" s="8"/>
      <c r="I1370" s="8"/>
      <c r="J1370" s="8"/>
      <c r="K1370" s="8"/>
      <c r="L1370" s="8"/>
      <c r="M1370" s="8"/>
      <c r="N1370" s="8"/>
      <c r="O1370" s="8">
        <v>5.9</v>
      </c>
      <c r="P1370" s="8"/>
      <c r="Q1370" s="11"/>
      <c r="R1370" s="11"/>
      <c r="S1370" s="8">
        <v>5.47</v>
      </c>
      <c r="T1370" s="8"/>
      <c r="U1370" s="8">
        <v>17.760000000000002</v>
      </c>
      <c r="V1370" s="8"/>
      <c r="W1370" s="8"/>
      <c r="X1370" s="8"/>
      <c r="Y1370" s="8"/>
      <c r="Z1370" s="8">
        <v>147.81</v>
      </c>
      <c r="AA1370" s="8"/>
      <c r="AB1370" s="8">
        <f>1022*14.75/1000</f>
        <v>15.0745</v>
      </c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11"/>
      <c r="AQ1370" s="8">
        <f>506*14.75/1000</f>
        <v>7.4634999999999998</v>
      </c>
      <c r="AR1370" s="8"/>
      <c r="AS1370" s="8"/>
      <c r="AT1370" s="8">
        <v>384.96</v>
      </c>
      <c r="AU1370" s="8">
        <v>191.69</v>
      </c>
      <c r="AV1370" s="8"/>
      <c r="AW1370" s="8">
        <v>6.36</v>
      </c>
      <c r="AX1370" s="8"/>
      <c r="AY1370" s="8"/>
      <c r="AZ1370" s="8"/>
      <c r="BA1370" s="8"/>
      <c r="BB1370" s="8"/>
      <c r="BC1370" s="8"/>
      <c r="BD1370" s="8"/>
      <c r="BE1370" s="8"/>
      <c r="BF1370" s="8"/>
      <c r="BG1370" s="8">
        <v>34.69</v>
      </c>
      <c r="BH1370" s="9">
        <f t="shared" si="189"/>
        <v>1473.97</v>
      </c>
      <c r="BI1370" s="9">
        <f t="shared" si="190"/>
        <v>5.9</v>
      </c>
      <c r="BJ1370" s="9">
        <f t="shared" si="191"/>
        <v>5.47</v>
      </c>
      <c r="BK1370" s="9">
        <f t="shared" si="192"/>
        <v>17.760000000000002</v>
      </c>
      <c r="BL1370" s="9">
        <f t="shared" si="193"/>
        <v>147.81</v>
      </c>
      <c r="BM1370" s="9">
        <f t="shared" si="194"/>
        <v>22.538</v>
      </c>
      <c r="BN1370" s="9">
        <f t="shared" si="195"/>
        <v>576.65</v>
      </c>
      <c r="BO1370" s="9">
        <f t="shared" si="196"/>
        <v>6.36</v>
      </c>
      <c r="BP1370" s="9">
        <f t="shared" si="197"/>
        <v>0</v>
      </c>
    </row>
    <row r="1371" spans="1:68">
      <c r="A1371" s="6">
        <v>44797</v>
      </c>
      <c r="B1371" s="7">
        <v>3118</v>
      </c>
      <c r="C1371" s="8">
        <v>629.34</v>
      </c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11">
        <v>1.89</v>
      </c>
      <c r="R1371" s="11"/>
      <c r="S1371" s="8">
        <v>3.35</v>
      </c>
      <c r="T1371" s="8"/>
      <c r="U1371" s="8">
        <v>7.57</v>
      </c>
      <c r="V1371" s="8"/>
      <c r="W1371" s="8"/>
      <c r="X1371" s="8"/>
      <c r="Y1371" s="8"/>
      <c r="Z1371" s="8"/>
      <c r="AA1371" s="8"/>
      <c r="AB1371" s="8"/>
      <c r="AC1371" s="8">
        <v>2.52</v>
      </c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11"/>
      <c r="AQ1371" s="8">
        <f>705*0.009</f>
        <v>6.3449999999999998</v>
      </c>
      <c r="AR1371" s="8"/>
      <c r="AS1371" s="8"/>
      <c r="AT1371" s="8">
        <v>409.34</v>
      </c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>
        <v>44.23</v>
      </c>
      <c r="BG1371" s="8">
        <v>31.31</v>
      </c>
      <c r="BH1371" s="9">
        <f t="shared" si="189"/>
        <v>629.34</v>
      </c>
      <c r="BI1371" s="9">
        <f t="shared" si="190"/>
        <v>1.89</v>
      </c>
      <c r="BJ1371" s="9">
        <f t="shared" si="191"/>
        <v>3.35</v>
      </c>
      <c r="BK1371" s="9">
        <f t="shared" si="192"/>
        <v>7.57</v>
      </c>
      <c r="BL1371" s="9">
        <f t="shared" si="193"/>
        <v>0</v>
      </c>
      <c r="BM1371" s="9">
        <f t="shared" si="194"/>
        <v>8.8650000000000002</v>
      </c>
      <c r="BN1371" s="9">
        <f t="shared" si="195"/>
        <v>409.34</v>
      </c>
      <c r="BO1371" s="9">
        <f t="shared" si="196"/>
        <v>0</v>
      </c>
      <c r="BP1371" s="9">
        <f t="shared" si="197"/>
        <v>44.23</v>
      </c>
    </row>
    <row r="1372" spans="1:68">
      <c r="A1372" s="6">
        <v>44798</v>
      </c>
      <c r="B1372" s="7">
        <v>8253</v>
      </c>
      <c r="C1372" s="8"/>
      <c r="D1372" s="8">
        <v>1520.41</v>
      </c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11">
        <v>1.82</v>
      </c>
      <c r="R1372" s="11"/>
      <c r="S1372" s="8">
        <v>9.23</v>
      </c>
      <c r="T1372" s="8"/>
      <c r="U1372" s="8">
        <v>13.68</v>
      </c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>
        <v>15.23</v>
      </c>
      <c r="AH1372" s="8"/>
      <c r="AI1372" s="8"/>
      <c r="AJ1372" s="8"/>
      <c r="AK1372" s="8"/>
      <c r="AL1372" s="8"/>
      <c r="AM1372" s="8"/>
      <c r="AN1372" s="8"/>
      <c r="AO1372" s="8"/>
      <c r="AP1372" s="11"/>
      <c r="AQ1372" s="8"/>
      <c r="AR1372" s="8"/>
      <c r="AS1372" s="8"/>
      <c r="AT1372" s="8"/>
      <c r="AU1372" s="8">
        <v>624.19000000000005</v>
      </c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>
        <v>44.13</v>
      </c>
      <c r="BH1372" s="9">
        <f t="shared" si="189"/>
        <v>1520.41</v>
      </c>
      <c r="BI1372" s="9">
        <f t="shared" si="190"/>
        <v>1.82</v>
      </c>
      <c r="BJ1372" s="9">
        <f t="shared" si="191"/>
        <v>9.23</v>
      </c>
      <c r="BK1372" s="9">
        <f t="shared" si="192"/>
        <v>13.68</v>
      </c>
      <c r="BL1372" s="9">
        <f t="shared" si="193"/>
        <v>0</v>
      </c>
      <c r="BM1372" s="9">
        <f t="shared" si="194"/>
        <v>15.23</v>
      </c>
      <c r="BN1372" s="9">
        <f t="shared" si="195"/>
        <v>624.19000000000005</v>
      </c>
      <c r="BO1372" s="9">
        <f t="shared" si="196"/>
        <v>0</v>
      </c>
      <c r="BP1372" s="9">
        <f t="shared" si="197"/>
        <v>0</v>
      </c>
    </row>
    <row r="1373" spans="1:68">
      <c r="A1373" s="6">
        <v>44798</v>
      </c>
      <c r="B1373" s="7">
        <v>3203</v>
      </c>
      <c r="C1373" s="8">
        <v>1668.2</v>
      </c>
      <c r="D1373" s="8"/>
      <c r="E1373" s="8">
        <v>717.95</v>
      </c>
      <c r="F1373" s="8"/>
      <c r="G1373" s="8"/>
      <c r="H1373" s="8"/>
      <c r="I1373" s="8"/>
      <c r="J1373" s="8"/>
      <c r="K1373" s="8"/>
      <c r="L1373" s="8"/>
      <c r="M1373" s="8"/>
      <c r="N1373" s="8"/>
      <c r="O1373" s="8">
        <v>7.19</v>
      </c>
      <c r="P1373" s="8"/>
      <c r="Q1373" s="11"/>
      <c r="R1373" s="11"/>
      <c r="S1373" s="8">
        <v>9.36</v>
      </c>
      <c r="T1373" s="8"/>
      <c r="U1373" s="8">
        <v>29.72</v>
      </c>
      <c r="V1373" s="8"/>
      <c r="W1373" s="8"/>
      <c r="X1373" s="8"/>
      <c r="Y1373" s="8"/>
      <c r="Z1373" s="8">
        <v>377.55</v>
      </c>
      <c r="AA1373" s="8">
        <f>10309*28.2/1000</f>
        <v>290.71379999999999</v>
      </c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11"/>
      <c r="AQ1373" s="8"/>
      <c r="AR1373" s="8"/>
      <c r="AS1373" s="8"/>
      <c r="AT1373" s="8">
        <v>896.14</v>
      </c>
      <c r="AU1373" s="8">
        <v>448.15</v>
      </c>
      <c r="AV1373" s="8"/>
      <c r="AW1373" s="8"/>
      <c r="AX1373" s="8"/>
      <c r="AY1373" s="8"/>
      <c r="AZ1373" s="8"/>
      <c r="BA1373" s="8"/>
      <c r="BB1373" s="8"/>
      <c r="BC1373" s="8">
        <v>6.24</v>
      </c>
      <c r="BD1373" s="8"/>
      <c r="BE1373" s="8"/>
      <c r="BF1373" s="8"/>
      <c r="BG1373" s="8">
        <v>87.79</v>
      </c>
      <c r="BH1373" s="9">
        <f t="shared" si="189"/>
        <v>2386.15</v>
      </c>
      <c r="BI1373" s="9">
        <f t="shared" si="190"/>
        <v>7.19</v>
      </c>
      <c r="BJ1373" s="9">
        <f t="shared" si="191"/>
        <v>9.36</v>
      </c>
      <c r="BK1373" s="9">
        <f t="shared" si="192"/>
        <v>29.72</v>
      </c>
      <c r="BL1373" s="9">
        <f t="shared" si="193"/>
        <v>668.26379999999995</v>
      </c>
      <c r="BM1373" s="9">
        <f t="shared" si="194"/>
        <v>0</v>
      </c>
      <c r="BN1373" s="9">
        <f t="shared" si="195"/>
        <v>1344.29</v>
      </c>
      <c r="BO1373" s="9">
        <f t="shared" si="196"/>
        <v>6.24</v>
      </c>
      <c r="BP1373" s="9">
        <f t="shared" si="197"/>
        <v>0</v>
      </c>
    </row>
    <row r="1374" spans="1:68">
      <c r="A1374" s="6">
        <v>44798</v>
      </c>
      <c r="B1374" s="7">
        <v>3200</v>
      </c>
      <c r="C1374" s="8">
        <v>2314.2199999999998</v>
      </c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>
        <v>5.8</v>
      </c>
      <c r="P1374" s="8"/>
      <c r="Q1374" s="11"/>
      <c r="R1374" s="11"/>
      <c r="S1374" s="8">
        <v>9.0399999999999991</v>
      </c>
      <c r="T1374" s="8"/>
      <c r="U1374" s="8">
        <v>34.799999999999997</v>
      </c>
      <c r="V1374" s="8"/>
      <c r="W1374" s="8"/>
      <c r="X1374" s="8"/>
      <c r="Y1374" s="8"/>
      <c r="Z1374" s="8">
        <v>487.12</v>
      </c>
      <c r="AA1374" s="8"/>
      <c r="AB1374" s="8"/>
      <c r="AC1374" s="8"/>
      <c r="AD1374" s="8"/>
      <c r="AE1374" s="8"/>
      <c r="AF1374" s="8">
        <v>115.86</v>
      </c>
      <c r="AG1374" s="8"/>
      <c r="AH1374" s="8"/>
      <c r="AI1374" s="8"/>
      <c r="AJ1374" s="8"/>
      <c r="AK1374" s="8"/>
      <c r="AL1374" s="8"/>
      <c r="AM1374" s="8"/>
      <c r="AN1374" s="8"/>
      <c r="AO1374" s="8"/>
      <c r="AP1374" s="11"/>
      <c r="AQ1374" s="8">
        <f>1502*23.18/1000</f>
        <v>34.816360000000003</v>
      </c>
      <c r="AR1374" s="8"/>
      <c r="AS1374" s="8"/>
      <c r="AT1374" s="8">
        <v>1586.17</v>
      </c>
      <c r="AU1374" s="8"/>
      <c r="AV1374" s="8"/>
      <c r="AW1374" s="8">
        <v>6.72</v>
      </c>
      <c r="AX1374" s="8"/>
      <c r="AY1374" s="8"/>
      <c r="AZ1374" s="8"/>
      <c r="BA1374" s="8"/>
      <c r="BB1374" s="8"/>
      <c r="BC1374" s="8"/>
      <c r="BD1374" s="8"/>
      <c r="BE1374" s="8"/>
      <c r="BF1374" s="8">
        <v>111.36</v>
      </c>
      <c r="BG1374" s="8">
        <v>114.93</v>
      </c>
      <c r="BH1374" s="9">
        <f t="shared" si="189"/>
        <v>2314.2199999999998</v>
      </c>
      <c r="BI1374" s="9">
        <f t="shared" si="190"/>
        <v>5.8</v>
      </c>
      <c r="BJ1374" s="9">
        <f t="shared" si="191"/>
        <v>9.0399999999999991</v>
      </c>
      <c r="BK1374" s="9">
        <f t="shared" si="192"/>
        <v>34.799999999999997</v>
      </c>
      <c r="BL1374" s="9">
        <f t="shared" si="193"/>
        <v>487.12</v>
      </c>
      <c r="BM1374" s="9">
        <f t="shared" si="194"/>
        <v>150.67635999999999</v>
      </c>
      <c r="BN1374" s="9">
        <f t="shared" si="195"/>
        <v>1586.17</v>
      </c>
      <c r="BO1374" s="9">
        <f t="shared" si="196"/>
        <v>6.72</v>
      </c>
      <c r="BP1374" s="9">
        <f t="shared" si="197"/>
        <v>111.36</v>
      </c>
    </row>
    <row r="1375" spans="1:68">
      <c r="A1375" s="6">
        <v>44798</v>
      </c>
      <c r="B1375" s="7">
        <v>3141</v>
      </c>
      <c r="C1375" s="8">
        <v>2428.94</v>
      </c>
      <c r="D1375" s="8">
        <v>429.39</v>
      </c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11">
        <v>7.84</v>
      </c>
      <c r="R1375" s="11"/>
      <c r="S1375" s="8">
        <v>13.47</v>
      </c>
      <c r="T1375" s="8"/>
      <c r="U1375" s="8">
        <v>42.96</v>
      </c>
      <c r="V1375" s="8"/>
      <c r="W1375" s="8"/>
      <c r="X1375" s="8"/>
      <c r="Y1375" s="8"/>
      <c r="Z1375" s="8"/>
      <c r="AA1375" s="8"/>
      <c r="AB1375" s="8"/>
      <c r="AC1375" s="8">
        <v>11.46</v>
      </c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11"/>
      <c r="AQ1375" s="8"/>
      <c r="AR1375" s="8"/>
      <c r="AS1375" s="8"/>
      <c r="AT1375" s="8">
        <v>1894.75</v>
      </c>
      <c r="AU1375" s="8"/>
      <c r="AV1375" s="8"/>
      <c r="AW1375" s="8"/>
      <c r="AX1375" s="8"/>
      <c r="AY1375" s="8"/>
      <c r="AZ1375" s="8"/>
      <c r="BA1375" s="8">
        <v>65.66</v>
      </c>
      <c r="BB1375" s="8"/>
      <c r="BC1375" s="8"/>
      <c r="BD1375" s="8"/>
      <c r="BE1375" s="8"/>
      <c r="BF1375" s="8">
        <v>200.39</v>
      </c>
      <c r="BG1375" s="8">
        <v>148.74</v>
      </c>
      <c r="BH1375" s="9">
        <f t="shared" si="189"/>
        <v>2858.33</v>
      </c>
      <c r="BI1375" s="9">
        <f t="shared" si="190"/>
        <v>7.84</v>
      </c>
      <c r="BJ1375" s="9">
        <f t="shared" si="191"/>
        <v>13.47</v>
      </c>
      <c r="BK1375" s="9">
        <f t="shared" si="192"/>
        <v>42.96</v>
      </c>
      <c r="BL1375" s="9">
        <f t="shared" si="193"/>
        <v>0</v>
      </c>
      <c r="BM1375" s="9">
        <f t="shared" si="194"/>
        <v>11.46</v>
      </c>
      <c r="BN1375" s="9">
        <f t="shared" si="195"/>
        <v>1894.75</v>
      </c>
      <c r="BO1375" s="9">
        <f t="shared" si="196"/>
        <v>65.66</v>
      </c>
      <c r="BP1375" s="9">
        <f t="shared" si="197"/>
        <v>200.39</v>
      </c>
    </row>
    <row r="1376" spans="1:68">
      <c r="A1376" s="6">
        <v>44798</v>
      </c>
      <c r="B1376" s="7">
        <v>3121</v>
      </c>
      <c r="C1376" s="8">
        <v>2211.71</v>
      </c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11">
        <v>4.76</v>
      </c>
      <c r="R1376" s="11"/>
      <c r="S1376" s="8">
        <v>7.08</v>
      </c>
      <c r="T1376" s="8"/>
      <c r="U1376" s="8">
        <v>22.02</v>
      </c>
      <c r="V1376" s="8"/>
      <c r="W1376" s="8"/>
      <c r="X1376" s="8"/>
      <c r="Y1376" s="8"/>
      <c r="Z1376" s="8"/>
      <c r="AA1376" s="8"/>
      <c r="AB1376" s="8"/>
      <c r="AC1376" s="8">
        <v>8.84</v>
      </c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11">
        <f>2210*10.05/1000</f>
        <v>22.2105</v>
      </c>
      <c r="AQ1376" s="8"/>
      <c r="AR1376" s="8"/>
      <c r="AS1376" s="8"/>
      <c r="AT1376" s="8">
        <v>1173.96</v>
      </c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>
        <v>86.25</v>
      </c>
      <c r="BH1376" s="9">
        <f t="shared" si="189"/>
        <v>2211.71</v>
      </c>
      <c r="BI1376" s="9">
        <f t="shared" si="190"/>
        <v>4.76</v>
      </c>
      <c r="BJ1376" s="9">
        <f t="shared" si="191"/>
        <v>7.08</v>
      </c>
      <c r="BK1376" s="9">
        <f t="shared" si="192"/>
        <v>22.02</v>
      </c>
      <c r="BL1376" s="9">
        <f t="shared" si="193"/>
        <v>0</v>
      </c>
      <c r="BM1376" s="9">
        <f t="shared" si="194"/>
        <v>31.0505</v>
      </c>
      <c r="BN1376" s="9">
        <f t="shared" si="195"/>
        <v>1173.96</v>
      </c>
      <c r="BO1376" s="9">
        <f t="shared" si="196"/>
        <v>0</v>
      </c>
      <c r="BP1376" s="9">
        <f t="shared" si="197"/>
        <v>0</v>
      </c>
    </row>
    <row r="1377" spans="1:68">
      <c r="A1377" s="6">
        <v>44798</v>
      </c>
      <c r="B1377" s="7">
        <v>3108</v>
      </c>
      <c r="C1377" s="8">
        <v>2299.7600000000002</v>
      </c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11">
        <v>4.66</v>
      </c>
      <c r="R1377" s="11"/>
      <c r="S1377" s="8">
        <v>7.37</v>
      </c>
      <c r="T1377" s="8"/>
      <c r="U1377" s="8">
        <v>29.21</v>
      </c>
      <c r="V1377" s="8"/>
      <c r="W1377" s="8"/>
      <c r="X1377" s="8"/>
      <c r="Y1377" s="8"/>
      <c r="Z1377" s="8"/>
      <c r="AA1377" s="8"/>
      <c r="AB1377" s="8"/>
      <c r="AC1377" s="8">
        <v>9.19</v>
      </c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11"/>
      <c r="AQ1377" s="8"/>
      <c r="AR1377" s="8"/>
      <c r="AS1377" s="8"/>
      <c r="AT1377" s="8">
        <v>1255.42</v>
      </c>
      <c r="AU1377" s="8"/>
      <c r="AV1377" s="8"/>
      <c r="AW1377" s="8"/>
      <c r="AX1377" s="8"/>
      <c r="AY1377" s="8"/>
      <c r="AZ1377" s="8"/>
      <c r="BA1377" s="8">
        <v>85.51</v>
      </c>
      <c r="BB1377" s="8"/>
      <c r="BC1377" s="8"/>
      <c r="BD1377" s="8"/>
      <c r="BE1377" s="8"/>
      <c r="BF1377" s="8"/>
      <c r="BG1377" s="8">
        <v>93.1</v>
      </c>
      <c r="BH1377" s="9">
        <f t="shared" si="189"/>
        <v>2299.7600000000002</v>
      </c>
      <c r="BI1377" s="9">
        <f t="shared" si="190"/>
        <v>4.66</v>
      </c>
      <c r="BJ1377" s="9">
        <f t="shared" si="191"/>
        <v>7.37</v>
      </c>
      <c r="BK1377" s="9">
        <f t="shared" si="192"/>
        <v>29.21</v>
      </c>
      <c r="BL1377" s="9">
        <f t="shared" si="193"/>
        <v>0</v>
      </c>
      <c r="BM1377" s="9">
        <f t="shared" si="194"/>
        <v>9.19</v>
      </c>
      <c r="BN1377" s="9">
        <f t="shared" si="195"/>
        <v>1255.42</v>
      </c>
      <c r="BO1377" s="9">
        <f t="shared" si="196"/>
        <v>85.51</v>
      </c>
      <c r="BP1377" s="9">
        <f t="shared" si="197"/>
        <v>0</v>
      </c>
    </row>
    <row r="1378" spans="1:68">
      <c r="A1378" s="6">
        <v>44798</v>
      </c>
      <c r="B1378" s="7">
        <v>3106</v>
      </c>
      <c r="C1378" s="8">
        <v>4130.43</v>
      </c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11">
        <v>10.47</v>
      </c>
      <c r="R1378" s="11"/>
      <c r="S1378" s="8">
        <v>12.43</v>
      </c>
      <c r="T1378" s="8"/>
      <c r="U1378" s="8">
        <v>52.54</v>
      </c>
      <c r="V1378" s="8"/>
      <c r="W1378" s="8"/>
      <c r="X1378" s="8"/>
      <c r="Y1378" s="8"/>
      <c r="Z1378" s="8"/>
      <c r="AA1378" s="8"/>
      <c r="AB1378" s="8"/>
      <c r="AC1378" s="8">
        <v>10.34</v>
      </c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11"/>
      <c r="AQ1378" s="8"/>
      <c r="AR1378" s="8"/>
      <c r="AS1378" s="8"/>
      <c r="AT1378" s="8">
        <v>2363.5</v>
      </c>
      <c r="AU1378" s="8"/>
      <c r="AV1378" s="8"/>
      <c r="AW1378" s="8"/>
      <c r="AX1378" s="8">
        <v>5.18</v>
      </c>
      <c r="AY1378" s="8"/>
      <c r="AZ1378" s="8"/>
      <c r="BA1378" s="8"/>
      <c r="BB1378" s="8"/>
      <c r="BC1378" s="8"/>
      <c r="BD1378" s="8"/>
      <c r="BE1378" s="8"/>
      <c r="BF1378" s="8"/>
      <c r="BG1378" s="8">
        <v>177.73</v>
      </c>
      <c r="BH1378" s="9">
        <f t="shared" si="189"/>
        <v>4130.43</v>
      </c>
      <c r="BI1378" s="9">
        <f t="shared" si="190"/>
        <v>10.47</v>
      </c>
      <c r="BJ1378" s="9">
        <f t="shared" si="191"/>
        <v>12.43</v>
      </c>
      <c r="BK1378" s="9">
        <f t="shared" si="192"/>
        <v>52.54</v>
      </c>
      <c r="BL1378" s="9">
        <f t="shared" si="193"/>
        <v>0</v>
      </c>
      <c r="BM1378" s="9">
        <f t="shared" si="194"/>
        <v>10.34</v>
      </c>
      <c r="BN1378" s="9">
        <f t="shared" si="195"/>
        <v>2363.5</v>
      </c>
      <c r="BO1378" s="9">
        <f t="shared" si="196"/>
        <v>5.18</v>
      </c>
      <c r="BP1378" s="9">
        <f t="shared" si="197"/>
        <v>0</v>
      </c>
    </row>
    <row r="1379" spans="1:68">
      <c r="A1379" s="6">
        <v>44798</v>
      </c>
      <c r="B1379" s="7">
        <v>3134</v>
      </c>
      <c r="C1379" s="8">
        <v>1052.98</v>
      </c>
      <c r="D1379" s="8">
        <v>147.37</v>
      </c>
      <c r="E1379" s="8"/>
      <c r="F1379" s="8"/>
      <c r="G1379" s="8"/>
      <c r="H1379" s="8">
        <v>497.36</v>
      </c>
      <c r="I1379" s="8"/>
      <c r="J1379" s="8"/>
      <c r="K1379" s="8"/>
      <c r="L1379" s="8"/>
      <c r="M1379" s="8"/>
      <c r="N1379" s="8"/>
      <c r="O1379" s="8"/>
      <c r="P1379" s="8"/>
      <c r="Q1379" s="11">
        <v>3.21</v>
      </c>
      <c r="R1379" s="11"/>
      <c r="S1379" s="8">
        <v>6.79</v>
      </c>
      <c r="T1379" s="8"/>
      <c r="U1379" s="8">
        <v>19.2</v>
      </c>
      <c r="V1379" s="8"/>
      <c r="W1379" s="8"/>
      <c r="X1379" s="8"/>
      <c r="Y1379" s="8"/>
      <c r="Z1379" s="8"/>
      <c r="AA1379" s="8"/>
      <c r="AB1379" s="8"/>
      <c r="AC1379" s="8">
        <v>5.9</v>
      </c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11"/>
      <c r="AQ1379" s="8"/>
      <c r="AR1379" s="8"/>
      <c r="AS1379" s="8"/>
      <c r="AT1379" s="8">
        <v>1040.95</v>
      </c>
      <c r="AU1379" s="8"/>
      <c r="AV1379" s="8"/>
      <c r="AW1379" s="8"/>
      <c r="AX1379" s="8"/>
      <c r="AY1379" s="8">
        <f>1439*10.53/1000</f>
        <v>15.152669999999999</v>
      </c>
      <c r="AZ1379" s="8"/>
      <c r="BA1379" s="8"/>
      <c r="BB1379" s="8"/>
      <c r="BC1379" s="8"/>
      <c r="BD1379" s="8"/>
      <c r="BE1379" s="8"/>
      <c r="BF1379" s="8">
        <v>66.459999999999994</v>
      </c>
      <c r="BG1379" s="8">
        <v>78.33</v>
      </c>
      <c r="BH1379" s="9">
        <f t="shared" si="189"/>
        <v>1697.71</v>
      </c>
      <c r="BI1379" s="9">
        <f t="shared" si="190"/>
        <v>3.21</v>
      </c>
      <c r="BJ1379" s="9">
        <f t="shared" si="191"/>
        <v>6.79</v>
      </c>
      <c r="BK1379" s="9">
        <f t="shared" si="192"/>
        <v>19.2</v>
      </c>
      <c r="BL1379" s="9">
        <f t="shared" si="193"/>
        <v>0</v>
      </c>
      <c r="BM1379" s="9">
        <f t="shared" si="194"/>
        <v>5.9</v>
      </c>
      <c r="BN1379" s="9">
        <f t="shared" si="195"/>
        <v>1040.95</v>
      </c>
      <c r="BO1379" s="9">
        <f t="shared" si="196"/>
        <v>15.152669999999999</v>
      </c>
      <c r="BP1379" s="9">
        <f t="shared" si="197"/>
        <v>66.459999999999994</v>
      </c>
    </row>
    <row r="1380" spans="1:68">
      <c r="A1380" s="6">
        <v>44799</v>
      </c>
      <c r="B1380" s="7">
        <v>3016</v>
      </c>
      <c r="C1380" s="8"/>
      <c r="D1380" s="8">
        <v>2402.4699999999998</v>
      </c>
      <c r="E1380" s="8"/>
      <c r="F1380" s="8"/>
      <c r="G1380" s="8"/>
      <c r="H1380" s="8"/>
      <c r="I1380" s="8">
        <v>2212.36</v>
      </c>
      <c r="J1380" s="8"/>
      <c r="K1380" s="8"/>
      <c r="L1380" s="8"/>
      <c r="M1380" s="8"/>
      <c r="N1380" s="8">
        <v>27.72</v>
      </c>
      <c r="O1380" s="8"/>
      <c r="P1380" s="8"/>
      <c r="Q1380" s="11"/>
      <c r="R1380" s="11"/>
      <c r="S1380" s="8">
        <v>3.23</v>
      </c>
      <c r="T1380" s="8"/>
      <c r="U1380" s="8"/>
      <c r="V1380" s="8"/>
      <c r="W1380" s="8">
        <v>46.21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>
        <v>18.45</v>
      </c>
      <c r="AN1380" s="8">
        <f>2053*27.15/1000</f>
        <v>55.738949999999996</v>
      </c>
      <c r="AO1380" s="8"/>
      <c r="AP1380" s="11"/>
      <c r="AQ1380" s="8"/>
      <c r="AR1380" s="8">
        <f>4239*27.15/1000</f>
        <v>115.08884999999999</v>
      </c>
      <c r="AS1380" s="8"/>
      <c r="AT1380" s="8">
        <v>1713.21</v>
      </c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>
        <v>125.51</v>
      </c>
      <c r="BH1380" s="9">
        <f t="shared" si="189"/>
        <v>4614.83</v>
      </c>
      <c r="BI1380" s="9">
        <f t="shared" si="190"/>
        <v>27.72</v>
      </c>
      <c r="BJ1380" s="9">
        <f t="shared" si="191"/>
        <v>3.23</v>
      </c>
      <c r="BK1380" s="9">
        <f t="shared" si="192"/>
        <v>46.21</v>
      </c>
      <c r="BL1380" s="9">
        <f t="shared" si="193"/>
        <v>0</v>
      </c>
      <c r="BM1380" s="9">
        <f t="shared" si="194"/>
        <v>189.27779999999998</v>
      </c>
      <c r="BN1380" s="9">
        <f t="shared" si="195"/>
        <v>1713.21</v>
      </c>
      <c r="BO1380" s="9">
        <f t="shared" si="196"/>
        <v>0</v>
      </c>
      <c r="BP1380" s="9">
        <f t="shared" si="197"/>
        <v>0</v>
      </c>
    </row>
    <row r="1381" spans="1:68">
      <c r="A1381" s="6">
        <v>44799</v>
      </c>
      <c r="B1381" s="7">
        <v>3081</v>
      </c>
      <c r="C1381" s="8"/>
      <c r="D1381" s="8">
        <v>295.35000000000002</v>
      </c>
      <c r="E1381" s="8"/>
      <c r="F1381" s="8">
        <v>330.98</v>
      </c>
      <c r="G1381" s="8"/>
      <c r="H1381" s="8"/>
      <c r="I1381" s="8">
        <v>1213.0999999999999</v>
      </c>
      <c r="J1381" s="8"/>
      <c r="K1381" s="8"/>
      <c r="L1381" s="8"/>
      <c r="M1381" s="8"/>
      <c r="N1381" s="8">
        <v>13.52</v>
      </c>
      <c r="O1381" s="8"/>
      <c r="P1381" s="8">
        <f>612*11.95/1000</f>
        <v>7.3133999999999997</v>
      </c>
      <c r="Q1381" s="11"/>
      <c r="R1381" s="11"/>
      <c r="S1381" s="8">
        <v>1.3</v>
      </c>
      <c r="T1381" s="8"/>
      <c r="U1381" s="8"/>
      <c r="V1381" s="8"/>
      <c r="W1381" s="8">
        <v>18.54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11"/>
      <c r="AQ1381" s="8">
        <f>1558*11.95/1000</f>
        <v>18.618099999999998</v>
      </c>
      <c r="AR1381" s="8">
        <f>5503*11.95/1000</f>
        <v>65.760849999999991</v>
      </c>
      <c r="AS1381" s="8"/>
      <c r="AT1381" s="8">
        <v>580.16999999999996</v>
      </c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>
        <v>38.6</v>
      </c>
      <c r="BH1381" s="9">
        <f t="shared" si="189"/>
        <v>1839.4299999999998</v>
      </c>
      <c r="BI1381" s="9">
        <f t="shared" si="190"/>
        <v>20.833399999999997</v>
      </c>
      <c r="BJ1381" s="9">
        <f t="shared" si="191"/>
        <v>1.3</v>
      </c>
      <c r="BK1381" s="9">
        <f t="shared" si="192"/>
        <v>18.54</v>
      </c>
      <c r="BL1381" s="9">
        <f t="shared" si="193"/>
        <v>0</v>
      </c>
      <c r="BM1381" s="9">
        <f t="shared" si="194"/>
        <v>84.378949999999989</v>
      </c>
      <c r="BN1381" s="9">
        <f t="shared" si="195"/>
        <v>580.16999999999996</v>
      </c>
      <c r="BO1381" s="9">
        <f t="shared" si="196"/>
        <v>0</v>
      </c>
      <c r="BP1381" s="9">
        <f t="shared" si="197"/>
        <v>0</v>
      </c>
    </row>
    <row r="1382" spans="1:68">
      <c r="A1382" s="6">
        <v>44799</v>
      </c>
      <c r="B1382" s="7">
        <v>3022</v>
      </c>
      <c r="C1382" s="8"/>
      <c r="D1382" s="8">
        <v>576.11</v>
      </c>
      <c r="E1382" s="8"/>
      <c r="F1382" s="8"/>
      <c r="G1382" s="8"/>
      <c r="H1382" s="8"/>
      <c r="I1382" s="8">
        <v>470.7</v>
      </c>
      <c r="J1382" s="8"/>
      <c r="K1382" s="8"/>
      <c r="L1382" s="8"/>
      <c r="M1382" s="8"/>
      <c r="N1382" s="8">
        <v>5.24</v>
      </c>
      <c r="O1382" s="8"/>
      <c r="P1382" s="8"/>
      <c r="Q1382" s="11"/>
      <c r="R1382" s="11"/>
      <c r="S1382" s="8">
        <v>1.88</v>
      </c>
      <c r="T1382" s="8"/>
      <c r="U1382" s="8"/>
      <c r="V1382" s="8"/>
      <c r="W1382" s="8">
        <v>10.47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>
        <v>13.57</v>
      </c>
      <c r="AN1382" s="8"/>
      <c r="AO1382" s="8"/>
      <c r="AP1382" s="11"/>
      <c r="AQ1382" s="8"/>
      <c r="AR1382" s="8"/>
      <c r="AS1382" s="8">
        <f>3878*9.5/1000</f>
        <v>36.841000000000001</v>
      </c>
      <c r="AT1382" s="8">
        <v>487.96</v>
      </c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>
        <v>37.619999999999997</v>
      </c>
      <c r="BH1382" s="9">
        <f t="shared" si="189"/>
        <v>1046.81</v>
      </c>
      <c r="BI1382" s="9">
        <f t="shared" si="190"/>
        <v>5.24</v>
      </c>
      <c r="BJ1382" s="9">
        <f t="shared" si="191"/>
        <v>1.88</v>
      </c>
      <c r="BK1382" s="9">
        <f t="shared" si="192"/>
        <v>10.47</v>
      </c>
      <c r="BL1382" s="9">
        <f t="shared" si="193"/>
        <v>0</v>
      </c>
      <c r="BM1382" s="9">
        <f t="shared" si="194"/>
        <v>50.411000000000001</v>
      </c>
      <c r="BN1382" s="9">
        <f t="shared" si="195"/>
        <v>487.96</v>
      </c>
      <c r="BO1382" s="9">
        <f t="shared" si="196"/>
        <v>0</v>
      </c>
      <c r="BP1382" s="9">
        <f t="shared" si="197"/>
        <v>0</v>
      </c>
    </row>
    <row r="1383" spans="1:68">
      <c r="A1383" s="6">
        <v>44799</v>
      </c>
      <c r="B1383" s="7">
        <v>3028</v>
      </c>
      <c r="C1383" s="8"/>
      <c r="D1383" s="8">
        <v>415.55</v>
      </c>
      <c r="E1383" s="8"/>
      <c r="F1383" s="8">
        <v>381.38</v>
      </c>
      <c r="G1383" s="8"/>
      <c r="H1383" s="8"/>
      <c r="I1383" s="8">
        <v>861.73</v>
      </c>
      <c r="J1383" s="8"/>
      <c r="K1383" s="8"/>
      <c r="L1383" s="8"/>
      <c r="M1383" s="8"/>
      <c r="N1383" s="8">
        <v>12.42</v>
      </c>
      <c r="O1383" s="8"/>
      <c r="P1383" s="8"/>
      <c r="Q1383" s="11"/>
      <c r="R1383" s="11"/>
      <c r="S1383" s="8">
        <v>2.3199999999999998</v>
      </c>
      <c r="T1383" s="8"/>
      <c r="U1383" s="8"/>
      <c r="V1383" s="8"/>
      <c r="W1383" s="8">
        <v>12.44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>
        <v>16.579999999999998</v>
      </c>
      <c r="AN1383" s="8">
        <f>1077*11.05/1000</f>
        <v>11.90085</v>
      </c>
      <c r="AO1383" s="8"/>
      <c r="AP1383" s="11"/>
      <c r="AQ1383" s="8"/>
      <c r="AR1383" s="8"/>
      <c r="AS1383" s="8">
        <f>4547*11.05/1000</f>
        <v>50.244350000000004</v>
      </c>
      <c r="AT1383" s="8">
        <v>552.66999999999996</v>
      </c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>
        <v>37.75</v>
      </c>
      <c r="BH1383" s="9">
        <f t="shared" si="189"/>
        <v>1658.66</v>
      </c>
      <c r="BI1383" s="9">
        <f t="shared" si="190"/>
        <v>12.42</v>
      </c>
      <c r="BJ1383" s="9">
        <f t="shared" si="191"/>
        <v>2.3199999999999998</v>
      </c>
      <c r="BK1383" s="9">
        <f t="shared" si="192"/>
        <v>12.44</v>
      </c>
      <c r="BL1383" s="9">
        <f t="shared" si="193"/>
        <v>0</v>
      </c>
      <c r="BM1383" s="9">
        <f t="shared" si="194"/>
        <v>78.725200000000001</v>
      </c>
      <c r="BN1383" s="9">
        <f t="shared" si="195"/>
        <v>552.66999999999996</v>
      </c>
      <c r="BO1383" s="9">
        <f t="shared" si="196"/>
        <v>0</v>
      </c>
      <c r="BP1383" s="9">
        <f t="shared" si="197"/>
        <v>0</v>
      </c>
    </row>
    <row r="1384" spans="1:68">
      <c r="A1384" s="6">
        <v>44799</v>
      </c>
      <c r="B1384" s="7">
        <v>3602</v>
      </c>
      <c r="C1384" s="8">
        <v>609.98</v>
      </c>
      <c r="D1384" s="8"/>
      <c r="E1384" s="8"/>
      <c r="F1384" s="8"/>
      <c r="G1384" s="8">
        <v>911.63</v>
      </c>
      <c r="H1384" s="8"/>
      <c r="I1384" s="8"/>
      <c r="J1384" s="8"/>
      <c r="K1384" s="8"/>
      <c r="L1384" s="8"/>
      <c r="M1384" s="8">
        <f>90*17.35/1000</f>
        <v>1.5615000000000003</v>
      </c>
      <c r="N1384" s="8"/>
      <c r="O1384" s="8"/>
      <c r="P1384" s="8"/>
      <c r="Q1384" s="11"/>
      <c r="R1384" s="11"/>
      <c r="S1384" s="8">
        <v>7.28</v>
      </c>
      <c r="T1384" s="8"/>
      <c r="U1384" s="8">
        <v>12.16</v>
      </c>
      <c r="V1384" s="8">
        <f>852*17.35/1000</f>
        <v>14.782200000000001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11"/>
      <c r="AQ1384" s="8"/>
      <c r="AR1384" s="8"/>
      <c r="AS1384" s="8"/>
      <c r="AT1384" s="8">
        <v>633.41999999999996</v>
      </c>
      <c r="AU1384" s="8"/>
      <c r="AV1384" s="8"/>
      <c r="AW1384" s="8">
        <v>39.24</v>
      </c>
      <c r="AX1384" s="8"/>
      <c r="AY1384" s="8"/>
      <c r="AZ1384" s="8"/>
      <c r="BA1384" s="8"/>
      <c r="BB1384" s="8"/>
      <c r="BC1384" s="8"/>
      <c r="BD1384" s="8"/>
      <c r="BE1384" s="8"/>
      <c r="BF1384" s="8">
        <v>48.6</v>
      </c>
      <c r="BG1384" s="8">
        <v>47.4</v>
      </c>
      <c r="BH1384" s="9">
        <f t="shared" si="189"/>
        <v>1521.6100000000001</v>
      </c>
      <c r="BI1384" s="9">
        <f t="shared" si="190"/>
        <v>1.5615000000000003</v>
      </c>
      <c r="BJ1384" s="9">
        <f t="shared" si="191"/>
        <v>7.28</v>
      </c>
      <c r="BK1384" s="9">
        <f t="shared" si="192"/>
        <v>26.9422</v>
      </c>
      <c r="BL1384" s="9">
        <f t="shared" si="193"/>
        <v>0</v>
      </c>
      <c r="BM1384" s="9">
        <f t="shared" si="194"/>
        <v>0</v>
      </c>
      <c r="BN1384" s="9">
        <f t="shared" si="195"/>
        <v>633.41999999999996</v>
      </c>
      <c r="BO1384" s="9">
        <f t="shared" si="196"/>
        <v>39.24</v>
      </c>
      <c r="BP1384" s="9">
        <f t="shared" si="197"/>
        <v>48.6</v>
      </c>
    </row>
    <row r="1385" spans="1:68">
      <c r="A1385" s="6">
        <v>44800</v>
      </c>
      <c r="B1385" s="7">
        <v>3200</v>
      </c>
      <c r="C1385" s="8">
        <v>2306.4499999999998</v>
      </c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>
        <v>5.78</v>
      </c>
      <c r="P1385" s="8"/>
      <c r="Q1385" s="11"/>
      <c r="R1385" s="11"/>
      <c r="S1385" s="8">
        <v>9.0299999999999994</v>
      </c>
      <c r="T1385" s="8"/>
      <c r="U1385" s="8">
        <v>34.75</v>
      </c>
      <c r="V1385" s="8"/>
      <c r="W1385" s="8"/>
      <c r="X1385" s="8"/>
      <c r="Y1385" s="8"/>
      <c r="Z1385" s="8">
        <v>486.21</v>
      </c>
      <c r="AA1385" s="8"/>
      <c r="AB1385" s="8"/>
      <c r="AC1385" s="8"/>
      <c r="AD1385" s="8"/>
      <c r="AE1385" s="8"/>
      <c r="AF1385" s="8">
        <v>114.33</v>
      </c>
      <c r="AG1385" s="8"/>
      <c r="AH1385" s="8"/>
      <c r="AI1385" s="8"/>
      <c r="AJ1385" s="8"/>
      <c r="AK1385" s="8"/>
      <c r="AL1385" s="8"/>
      <c r="AM1385" s="8"/>
      <c r="AN1385" s="8"/>
      <c r="AO1385" s="8"/>
      <c r="AP1385" s="11"/>
      <c r="AQ1385" s="8">
        <f>1520*23.13/1000</f>
        <v>35.157599999999995</v>
      </c>
      <c r="AR1385" s="8"/>
      <c r="AS1385" s="8"/>
      <c r="AT1385" s="8">
        <v>1580.81</v>
      </c>
      <c r="AU1385" s="8"/>
      <c r="AV1385" s="8"/>
      <c r="AW1385" s="8">
        <v>6.76</v>
      </c>
      <c r="AX1385" s="8"/>
      <c r="AY1385" s="8"/>
      <c r="AZ1385" s="8"/>
      <c r="BA1385" s="8"/>
      <c r="BB1385" s="8"/>
      <c r="BC1385" s="8"/>
      <c r="BD1385" s="8"/>
      <c r="BE1385" s="8"/>
      <c r="BF1385" s="8">
        <v>111.36</v>
      </c>
      <c r="BG1385" s="8">
        <v>114.75</v>
      </c>
      <c r="BH1385" s="9">
        <f t="shared" si="189"/>
        <v>2306.4499999999998</v>
      </c>
      <c r="BI1385" s="9">
        <f t="shared" si="190"/>
        <v>5.78</v>
      </c>
      <c r="BJ1385" s="9">
        <f t="shared" si="191"/>
        <v>9.0299999999999994</v>
      </c>
      <c r="BK1385" s="9">
        <f t="shared" si="192"/>
        <v>34.75</v>
      </c>
      <c r="BL1385" s="9">
        <f t="shared" si="193"/>
        <v>486.21</v>
      </c>
      <c r="BM1385" s="9">
        <f t="shared" si="194"/>
        <v>149.48759999999999</v>
      </c>
      <c r="BN1385" s="9">
        <f t="shared" si="195"/>
        <v>1580.81</v>
      </c>
      <c r="BO1385" s="9">
        <f t="shared" si="196"/>
        <v>6.76</v>
      </c>
      <c r="BP1385" s="9">
        <f t="shared" si="197"/>
        <v>111.36</v>
      </c>
    </row>
    <row r="1386" spans="1:68">
      <c r="A1386" s="6">
        <v>44802</v>
      </c>
      <c r="B1386" s="7">
        <v>8266</v>
      </c>
      <c r="C1386" s="8">
        <f>34.52+294.03</f>
        <v>328.54999999999995</v>
      </c>
      <c r="D1386" s="8"/>
      <c r="E1386" s="8"/>
      <c r="F1386" s="8"/>
      <c r="G1386" s="8">
        <f>51.79+440.67</f>
        <v>492.46000000000004</v>
      </c>
      <c r="H1386" s="8"/>
      <c r="I1386" s="8"/>
      <c r="J1386" s="8"/>
      <c r="K1386" s="8"/>
      <c r="L1386" s="8"/>
      <c r="M1386" s="8">
        <f>105*9.38/1000</f>
        <v>0.98490000000000011</v>
      </c>
      <c r="N1386" s="8"/>
      <c r="O1386" s="8"/>
      <c r="P1386" s="8"/>
      <c r="Q1386" s="11"/>
      <c r="R1386" s="11"/>
      <c r="S1386" s="8">
        <f>0.44+3.71</f>
        <v>4.1500000000000004</v>
      </c>
      <c r="T1386" s="8"/>
      <c r="U1386" s="8">
        <f>0.52+4.42</f>
        <v>4.9399999999999995</v>
      </c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11"/>
      <c r="AQ1386" s="8"/>
      <c r="AR1386" s="8"/>
      <c r="AS1386" s="8"/>
      <c r="AT1386" s="8">
        <f>40.91+348.03</f>
        <v>388.93999999999994</v>
      </c>
      <c r="AU1386" s="8"/>
      <c r="AV1386" s="8"/>
      <c r="AW1386" s="8">
        <f>2.64+22.4</f>
        <v>25.04</v>
      </c>
      <c r="AX1386" s="8"/>
      <c r="AY1386" s="8"/>
      <c r="AZ1386" s="8"/>
      <c r="BA1386" s="8"/>
      <c r="BB1386" s="8"/>
      <c r="BC1386" s="8"/>
      <c r="BD1386" s="8"/>
      <c r="BE1386" s="8"/>
      <c r="BF1386" s="8">
        <f>41.31+4.88</f>
        <v>46.190000000000005</v>
      </c>
      <c r="BG1386" s="8">
        <f>26.29+3.1</f>
        <v>29.39</v>
      </c>
      <c r="BH1386" s="9">
        <f t="shared" si="189"/>
        <v>821.01</v>
      </c>
      <c r="BI1386" s="9">
        <f t="shared" si="190"/>
        <v>0.98490000000000011</v>
      </c>
      <c r="BJ1386" s="9">
        <f t="shared" si="191"/>
        <v>4.1500000000000004</v>
      </c>
      <c r="BK1386" s="9">
        <f t="shared" si="192"/>
        <v>4.9399999999999995</v>
      </c>
      <c r="BL1386" s="9">
        <f t="shared" si="193"/>
        <v>0</v>
      </c>
      <c r="BM1386" s="9">
        <f t="shared" si="194"/>
        <v>0</v>
      </c>
      <c r="BN1386" s="9">
        <f t="shared" si="195"/>
        <v>388.93999999999994</v>
      </c>
      <c r="BO1386" s="9">
        <f t="shared" si="196"/>
        <v>25.04</v>
      </c>
      <c r="BP1386" s="9">
        <f t="shared" si="197"/>
        <v>46.190000000000005</v>
      </c>
    </row>
    <row r="1387" spans="1:68">
      <c r="A1387" s="6">
        <v>44802</v>
      </c>
      <c r="B1387" s="7">
        <v>3204</v>
      </c>
      <c r="C1387" s="8"/>
      <c r="D1387" s="8">
        <v>1767.19</v>
      </c>
      <c r="E1387" s="8">
        <v>756.49</v>
      </c>
      <c r="F1387" s="8"/>
      <c r="G1387" s="8"/>
      <c r="H1387" s="8"/>
      <c r="I1387" s="8"/>
      <c r="J1387" s="8"/>
      <c r="K1387" s="8"/>
      <c r="L1387" s="8"/>
      <c r="M1387" s="8"/>
      <c r="N1387" s="8"/>
      <c r="O1387" s="8">
        <v>12.59</v>
      </c>
      <c r="P1387" s="8"/>
      <c r="Q1387" s="11"/>
      <c r="R1387" s="11"/>
      <c r="S1387" s="8">
        <v>8.58</v>
      </c>
      <c r="T1387" s="8"/>
      <c r="U1387" s="8">
        <v>27.74</v>
      </c>
      <c r="V1387" s="8"/>
      <c r="W1387" s="8"/>
      <c r="X1387" s="8"/>
      <c r="Y1387" s="8"/>
      <c r="Z1387" s="8">
        <v>378.81</v>
      </c>
      <c r="AA1387" s="8"/>
      <c r="AB1387" s="8">
        <f>708*18.03/1000</f>
        <v>12.765240000000002</v>
      </c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11"/>
      <c r="AQ1387" s="8"/>
      <c r="AR1387" s="8"/>
      <c r="AS1387" s="8"/>
      <c r="AT1387" s="8">
        <v>1111.25</v>
      </c>
      <c r="AU1387" s="8"/>
      <c r="AV1387" s="8"/>
      <c r="AW1387" s="8">
        <v>8.08</v>
      </c>
      <c r="AX1387" s="8"/>
      <c r="AY1387" s="8"/>
      <c r="AZ1387" s="8"/>
      <c r="BA1387" s="8"/>
      <c r="BB1387" s="8"/>
      <c r="BC1387" s="8"/>
      <c r="BD1387" s="8"/>
      <c r="BE1387" s="8"/>
      <c r="BF1387" s="8"/>
      <c r="BG1387" s="8">
        <v>82.1</v>
      </c>
      <c r="BH1387" s="9">
        <f t="shared" si="189"/>
        <v>2523.6800000000003</v>
      </c>
      <c r="BI1387" s="9">
        <f t="shared" si="190"/>
        <v>12.59</v>
      </c>
      <c r="BJ1387" s="9">
        <f t="shared" si="191"/>
        <v>8.58</v>
      </c>
      <c r="BK1387" s="9">
        <f t="shared" si="192"/>
        <v>27.74</v>
      </c>
      <c r="BL1387" s="9">
        <f t="shared" si="193"/>
        <v>378.81</v>
      </c>
      <c r="BM1387" s="9">
        <f t="shared" si="194"/>
        <v>12.765240000000002</v>
      </c>
      <c r="BN1387" s="9">
        <f t="shared" si="195"/>
        <v>1111.25</v>
      </c>
      <c r="BO1387" s="9">
        <f t="shared" si="196"/>
        <v>8.08</v>
      </c>
      <c r="BP1387" s="9">
        <f t="shared" si="197"/>
        <v>0</v>
      </c>
    </row>
    <row r="1388" spans="1:68">
      <c r="A1388" s="6">
        <v>44802</v>
      </c>
      <c r="B1388" s="7">
        <v>3307</v>
      </c>
      <c r="C1388" s="8"/>
      <c r="D1388" s="8">
        <v>997.46</v>
      </c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11">
        <v>1.31</v>
      </c>
      <c r="R1388" s="11"/>
      <c r="S1388" s="8">
        <v>7.29</v>
      </c>
      <c r="T1388" s="8"/>
      <c r="U1388" s="8">
        <v>9.98</v>
      </c>
      <c r="V1388" s="8"/>
      <c r="W1388" s="8"/>
      <c r="X1388" s="8"/>
      <c r="Y1388" s="8"/>
      <c r="Z1388" s="8"/>
      <c r="AA1388" s="8"/>
      <c r="AB1388" s="8"/>
      <c r="AC1388" s="8">
        <v>5.99</v>
      </c>
      <c r="AD1388" s="8"/>
      <c r="AE1388" s="8"/>
      <c r="AF1388" s="8"/>
      <c r="AG1388" s="8">
        <v>10.02</v>
      </c>
      <c r="AH1388" s="8"/>
      <c r="AI1388" s="8"/>
      <c r="AJ1388" s="8"/>
      <c r="AK1388" s="8"/>
      <c r="AL1388" s="8"/>
      <c r="AM1388" s="8"/>
      <c r="AN1388" s="8"/>
      <c r="AO1388" s="8"/>
      <c r="AP1388" s="11"/>
      <c r="AQ1388" s="8"/>
      <c r="AR1388" s="8"/>
      <c r="AS1388" s="8"/>
      <c r="AT1388" s="8"/>
      <c r="AU1388" s="8">
        <v>500.06</v>
      </c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>
        <v>35.909999999999997</v>
      </c>
      <c r="BH1388" s="9">
        <f t="shared" si="189"/>
        <v>997.46</v>
      </c>
      <c r="BI1388" s="9">
        <f t="shared" si="190"/>
        <v>1.31</v>
      </c>
      <c r="BJ1388" s="9">
        <f t="shared" si="191"/>
        <v>7.29</v>
      </c>
      <c r="BK1388" s="9">
        <f t="shared" si="192"/>
        <v>9.98</v>
      </c>
      <c r="BL1388" s="9">
        <f t="shared" si="193"/>
        <v>0</v>
      </c>
      <c r="BM1388" s="9">
        <f t="shared" si="194"/>
        <v>16.009999999999998</v>
      </c>
      <c r="BN1388" s="9">
        <f t="shared" si="195"/>
        <v>500.06</v>
      </c>
      <c r="BO1388" s="9">
        <f t="shared" si="196"/>
        <v>0</v>
      </c>
      <c r="BP1388" s="9">
        <f t="shared" si="197"/>
        <v>0</v>
      </c>
    </row>
    <row r="1389" spans="1:68">
      <c r="A1389" s="6">
        <v>44802</v>
      </c>
      <c r="B1389" s="7">
        <v>3079</v>
      </c>
      <c r="C1389" s="8"/>
      <c r="D1389" s="8"/>
      <c r="E1389" s="8"/>
      <c r="F1389" s="8">
        <v>338.45</v>
      </c>
      <c r="G1389" s="8"/>
      <c r="H1389" s="8"/>
      <c r="I1389" s="8">
        <v>2754.27</v>
      </c>
      <c r="J1389" s="8"/>
      <c r="K1389" s="8"/>
      <c r="L1389" s="8"/>
      <c r="M1389" s="8"/>
      <c r="N1389" s="8">
        <v>21.41</v>
      </c>
      <c r="O1389" s="8"/>
      <c r="P1389" s="8"/>
      <c r="Q1389" s="11"/>
      <c r="R1389" s="11"/>
      <c r="S1389" s="8">
        <v>1.23</v>
      </c>
      <c r="T1389" s="8"/>
      <c r="U1389" s="8"/>
      <c r="V1389" s="8"/>
      <c r="W1389" s="8">
        <v>31.07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>
        <v>12.36</v>
      </c>
      <c r="AN1389" s="8">
        <f>1731*18.25/1000</f>
        <v>31.59075</v>
      </c>
      <c r="AO1389" s="8"/>
      <c r="AP1389" s="11"/>
      <c r="AQ1389" s="8"/>
      <c r="AR1389" s="8">
        <f>4286*18.25/1000</f>
        <v>78.219499999999996</v>
      </c>
      <c r="AS1389" s="8"/>
      <c r="AT1389" s="8">
        <v>1193.73</v>
      </c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>
        <v>86.63</v>
      </c>
      <c r="BH1389" s="9">
        <f t="shared" si="189"/>
        <v>3092.72</v>
      </c>
      <c r="BI1389" s="9">
        <f t="shared" si="190"/>
        <v>21.41</v>
      </c>
      <c r="BJ1389" s="9">
        <f t="shared" si="191"/>
        <v>1.23</v>
      </c>
      <c r="BK1389" s="9">
        <f t="shared" si="192"/>
        <v>31.07</v>
      </c>
      <c r="BL1389" s="9">
        <f t="shared" si="193"/>
        <v>0</v>
      </c>
      <c r="BM1389" s="9">
        <f t="shared" si="194"/>
        <v>122.17025</v>
      </c>
      <c r="BN1389" s="9">
        <f t="shared" si="195"/>
        <v>1193.73</v>
      </c>
      <c r="BO1389" s="9">
        <f t="shared" si="196"/>
        <v>0</v>
      </c>
      <c r="BP1389" s="9">
        <f t="shared" si="197"/>
        <v>0</v>
      </c>
    </row>
    <row r="1390" spans="1:68">
      <c r="A1390" s="6">
        <v>44802</v>
      </c>
      <c r="B1390" s="7">
        <v>3141</v>
      </c>
      <c r="C1390" s="8">
        <v>2420.2199999999998</v>
      </c>
      <c r="D1390" s="8">
        <v>426.44</v>
      </c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11">
        <v>8.1999999999999993</v>
      </c>
      <c r="R1390" s="11"/>
      <c r="S1390" s="8">
        <v>13.41</v>
      </c>
      <c r="T1390" s="8"/>
      <c r="U1390" s="8">
        <v>42.78</v>
      </c>
      <c r="V1390" s="8"/>
      <c r="W1390" s="8"/>
      <c r="X1390" s="8"/>
      <c r="Y1390" s="8"/>
      <c r="Z1390" s="8"/>
      <c r="AA1390" s="8"/>
      <c r="AB1390" s="8"/>
      <c r="AC1390" s="8">
        <v>11.41</v>
      </c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11"/>
      <c r="AQ1390" s="8"/>
      <c r="AR1390" s="8"/>
      <c r="AS1390" s="8"/>
      <c r="AT1390" s="8">
        <v>1895.58</v>
      </c>
      <c r="AU1390" s="8"/>
      <c r="AV1390" s="8"/>
      <c r="AW1390" s="8"/>
      <c r="AX1390" s="8"/>
      <c r="AY1390" s="8"/>
      <c r="AZ1390" s="8"/>
      <c r="BA1390" s="8">
        <v>65.349999999999994</v>
      </c>
      <c r="BB1390" s="8"/>
      <c r="BC1390" s="8"/>
      <c r="BD1390" s="8"/>
      <c r="BE1390" s="8"/>
      <c r="BF1390" s="8">
        <v>199.6</v>
      </c>
      <c r="BG1390" s="8">
        <v>148.53</v>
      </c>
      <c r="BH1390" s="9">
        <f t="shared" si="189"/>
        <v>2846.66</v>
      </c>
      <c r="BI1390" s="9">
        <f t="shared" si="190"/>
        <v>8.1999999999999993</v>
      </c>
      <c r="BJ1390" s="9">
        <f t="shared" si="191"/>
        <v>13.41</v>
      </c>
      <c r="BK1390" s="9">
        <f t="shared" si="192"/>
        <v>42.78</v>
      </c>
      <c r="BL1390" s="9">
        <f t="shared" si="193"/>
        <v>0</v>
      </c>
      <c r="BM1390" s="9">
        <f t="shared" si="194"/>
        <v>11.41</v>
      </c>
      <c r="BN1390" s="9">
        <f t="shared" si="195"/>
        <v>1895.58</v>
      </c>
      <c r="BO1390" s="9">
        <f t="shared" si="196"/>
        <v>65.349999999999994</v>
      </c>
      <c r="BP1390" s="9">
        <f t="shared" si="197"/>
        <v>199.6</v>
      </c>
    </row>
    <row r="1391" spans="1:68">
      <c r="A1391" s="6">
        <v>44802</v>
      </c>
      <c r="B1391" s="7">
        <v>3106</v>
      </c>
      <c r="C1391" s="8">
        <v>4053.82</v>
      </c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11">
        <v>10.93</v>
      </c>
      <c r="R1391" s="11"/>
      <c r="S1391" s="8">
        <v>12.17</v>
      </c>
      <c r="T1391" s="8"/>
      <c r="U1391" s="8">
        <v>51.57</v>
      </c>
      <c r="V1391" s="8"/>
      <c r="W1391" s="8"/>
      <c r="X1391" s="8"/>
      <c r="Y1391" s="8"/>
      <c r="Z1391" s="8"/>
      <c r="AA1391" s="8"/>
      <c r="AB1391" s="8"/>
      <c r="AC1391" s="8">
        <v>10.14</v>
      </c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11"/>
      <c r="AQ1391" s="8"/>
      <c r="AR1391" s="8"/>
      <c r="AS1391" s="8"/>
      <c r="AT1391" s="8">
        <v>2321.75</v>
      </c>
      <c r="AU1391" s="8"/>
      <c r="AV1391" s="8"/>
      <c r="AW1391" s="8"/>
      <c r="AX1391" s="8">
        <v>5.07</v>
      </c>
      <c r="AY1391" s="8"/>
      <c r="AZ1391" s="8"/>
      <c r="BA1391" s="8"/>
      <c r="BB1391" s="8"/>
      <c r="BC1391" s="8"/>
      <c r="BD1391" s="8"/>
      <c r="BE1391" s="8"/>
      <c r="BF1391" s="8"/>
      <c r="BG1391" s="8">
        <v>174.18</v>
      </c>
      <c r="BH1391" s="9">
        <f t="shared" si="189"/>
        <v>4053.82</v>
      </c>
      <c r="BI1391" s="9">
        <f t="shared" si="190"/>
        <v>10.93</v>
      </c>
      <c r="BJ1391" s="9">
        <f t="shared" si="191"/>
        <v>12.17</v>
      </c>
      <c r="BK1391" s="9">
        <f t="shared" si="192"/>
        <v>51.57</v>
      </c>
      <c r="BL1391" s="9">
        <f t="shared" si="193"/>
        <v>0</v>
      </c>
      <c r="BM1391" s="9">
        <f t="shared" si="194"/>
        <v>10.14</v>
      </c>
      <c r="BN1391" s="9">
        <f t="shared" si="195"/>
        <v>2321.75</v>
      </c>
      <c r="BO1391" s="9">
        <f t="shared" si="196"/>
        <v>5.07</v>
      </c>
      <c r="BP1391" s="9">
        <f t="shared" si="197"/>
        <v>0</v>
      </c>
    </row>
    <row r="1392" spans="1:68">
      <c r="A1392" s="6">
        <v>44803</v>
      </c>
      <c r="B1392" s="7">
        <v>3119</v>
      </c>
      <c r="C1392" s="8">
        <f>2537.07+1069.38</f>
        <v>3606.4500000000003</v>
      </c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11">
        <f>3.53+8.34</f>
        <v>11.87</v>
      </c>
      <c r="R1392" s="11"/>
      <c r="S1392" s="8">
        <f>4.92+11.64</f>
        <v>16.560000000000002</v>
      </c>
      <c r="T1392" s="8"/>
      <c r="U1392" s="8">
        <f>10.7+25.37</f>
        <v>36.07</v>
      </c>
      <c r="V1392" s="8"/>
      <c r="W1392" s="8"/>
      <c r="X1392" s="8"/>
      <c r="Y1392" s="8"/>
      <c r="Z1392" s="8"/>
      <c r="AA1392" s="8"/>
      <c r="AB1392" s="8"/>
      <c r="AC1392" s="8">
        <f>2.67+6.34</f>
        <v>9.01</v>
      </c>
      <c r="AD1392" s="8"/>
      <c r="AE1392" s="8"/>
      <c r="AF1392" s="8"/>
      <c r="AG1392" s="8">
        <f>3.25+7.62</f>
        <v>10.870000000000001</v>
      </c>
      <c r="AH1392" s="8"/>
      <c r="AI1392" s="8"/>
      <c r="AJ1392" s="8"/>
      <c r="AK1392" s="8"/>
      <c r="AL1392" s="8"/>
      <c r="AM1392" s="8"/>
      <c r="AN1392" s="8"/>
      <c r="AO1392" s="8"/>
      <c r="AP1392" s="11"/>
      <c r="AQ1392" s="8"/>
      <c r="AR1392" s="8"/>
      <c r="AS1392" s="8"/>
      <c r="AT1392" s="8">
        <f>406.85+964.83</f>
        <v>1371.68</v>
      </c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>
        <f>74.9+177.42</f>
        <v>252.32</v>
      </c>
      <c r="BG1392" s="8">
        <f>67.39+28.53</f>
        <v>95.92</v>
      </c>
      <c r="BH1392" s="9">
        <f t="shared" si="189"/>
        <v>3606.4500000000003</v>
      </c>
      <c r="BI1392" s="9">
        <f t="shared" si="190"/>
        <v>11.87</v>
      </c>
      <c r="BJ1392" s="9">
        <f t="shared" si="191"/>
        <v>16.560000000000002</v>
      </c>
      <c r="BK1392" s="9">
        <f t="shared" si="192"/>
        <v>36.07</v>
      </c>
      <c r="BL1392" s="9">
        <f t="shared" si="193"/>
        <v>0</v>
      </c>
      <c r="BM1392" s="9">
        <f t="shared" si="194"/>
        <v>19.880000000000003</v>
      </c>
      <c r="BN1392" s="9">
        <f t="shared" si="195"/>
        <v>1371.68</v>
      </c>
      <c r="BO1392" s="9">
        <f t="shared" si="196"/>
        <v>0</v>
      </c>
      <c r="BP1392" s="9">
        <f t="shared" si="197"/>
        <v>252.32</v>
      </c>
    </row>
    <row r="1393" spans="1:68">
      <c r="A1393" s="6">
        <v>44803</v>
      </c>
      <c r="B1393" s="7">
        <v>3705</v>
      </c>
      <c r="C1393" s="8"/>
      <c r="D1393" s="8">
        <f>155.41+727.24</f>
        <v>882.65</v>
      </c>
      <c r="E1393" s="8"/>
      <c r="F1393" s="8"/>
      <c r="G1393" s="8"/>
      <c r="H1393" s="8"/>
      <c r="I1393" s="8">
        <f>159.26+34.07</f>
        <v>193.32999999999998</v>
      </c>
      <c r="J1393" s="8"/>
      <c r="K1393" s="8"/>
      <c r="L1393" s="8"/>
      <c r="M1393" s="8"/>
      <c r="N1393" s="8"/>
      <c r="O1393" s="8"/>
      <c r="P1393" s="8"/>
      <c r="Q1393" s="11">
        <f>2.66+0.56</f>
        <v>3.22</v>
      </c>
      <c r="R1393" s="11"/>
      <c r="S1393" s="8">
        <f>0.66+3.1</f>
        <v>3.7600000000000002</v>
      </c>
      <c r="T1393" s="8"/>
      <c r="U1393" s="8">
        <f>1.33+6.21</f>
        <v>7.54</v>
      </c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11"/>
      <c r="AQ1393" s="8"/>
      <c r="AR1393" s="8"/>
      <c r="AS1393" s="8"/>
      <c r="AT1393" s="8">
        <f>52.47+11.14</f>
        <v>63.61</v>
      </c>
      <c r="AU1393" s="8">
        <f>22.51+105.51</f>
        <v>128.02000000000001</v>
      </c>
      <c r="AV1393" s="8">
        <f>1.77+0.38</f>
        <v>2.15</v>
      </c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>
        <f>8.7+1.86</f>
        <v>10.559999999999999</v>
      </c>
      <c r="BH1393" s="9">
        <f t="shared" si="189"/>
        <v>1075.98</v>
      </c>
      <c r="BI1393" s="9">
        <f t="shared" si="190"/>
        <v>3.22</v>
      </c>
      <c r="BJ1393" s="9">
        <f t="shared" si="191"/>
        <v>3.7600000000000002</v>
      </c>
      <c r="BK1393" s="9">
        <f t="shared" si="192"/>
        <v>7.54</v>
      </c>
      <c r="BL1393" s="9">
        <f t="shared" si="193"/>
        <v>0</v>
      </c>
      <c r="BM1393" s="9">
        <f t="shared" si="194"/>
        <v>0</v>
      </c>
      <c r="BN1393" s="9">
        <f t="shared" si="195"/>
        <v>191.63</v>
      </c>
      <c r="BO1393" s="9">
        <f t="shared" si="196"/>
        <v>2.15</v>
      </c>
      <c r="BP1393" s="9">
        <f t="shared" si="197"/>
        <v>0</v>
      </c>
    </row>
    <row r="1394" spans="1:68">
      <c r="A1394" s="6">
        <v>44803</v>
      </c>
      <c r="B1394" s="7">
        <v>3203</v>
      </c>
      <c r="C1394" s="8">
        <v>873.71</v>
      </c>
      <c r="D1394" s="8"/>
      <c r="E1394" s="8">
        <v>375.45</v>
      </c>
      <c r="F1394" s="8"/>
      <c r="G1394" s="8"/>
      <c r="H1394" s="8"/>
      <c r="I1394" s="8"/>
      <c r="J1394" s="8"/>
      <c r="K1394" s="8"/>
      <c r="L1394" s="8"/>
      <c r="M1394" s="8"/>
      <c r="N1394" s="8"/>
      <c r="O1394" s="8">
        <v>3.76</v>
      </c>
      <c r="P1394" s="8"/>
      <c r="Q1394" s="11"/>
      <c r="R1394" s="11"/>
      <c r="S1394" s="8">
        <v>4.8899999999999997</v>
      </c>
      <c r="T1394" s="8"/>
      <c r="U1394" s="8">
        <v>15.54</v>
      </c>
      <c r="V1394" s="8"/>
      <c r="W1394" s="8"/>
      <c r="X1394" s="8"/>
      <c r="Y1394" s="8"/>
      <c r="Z1394" s="8">
        <v>197.44</v>
      </c>
      <c r="AA1394" s="8">
        <f>10386*14.73/1000</f>
        <v>152.98578000000001</v>
      </c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11"/>
      <c r="AQ1394" s="8"/>
      <c r="AR1394" s="8"/>
      <c r="AS1394" s="8"/>
      <c r="AT1394" s="8">
        <v>467.9</v>
      </c>
      <c r="AU1394" s="8">
        <v>234.29</v>
      </c>
      <c r="AV1394" s="8"/>
      <c r="AW1394" s="8"/>
      <c r="AX1394" s="8"/>
      <c r="AY1394" s="8"/>
      <c r="AZ1394" s="8"/>
      <c r="BA1394" s="8"/>
      <c r="BB1394" s="8"/>
      <c r="BC1394" s="8">
        <v>3.26</v>
      </c>
      <c r="BD1394" s="8"/>
      <c r="BE1394" s="8"/>
      <c r="BF1394" s="8"/>
      <c r="BG1394" s="8">
        <v>45.51</v>
      </c>
      <c r="BH1394" s="9">
        <f t="shared" si="189"/>
        <v>1249.1600000000001</v>
      </c>
      <c r="BI1394" s="9">
        <f t="shared" si="190"/>
        <v>3.76</v>
      </c>
      <c r="BJ1394" s="9">
        <f t="shared" si="191"/>
        <v>4.8899999999999997</v>
      </c>
      <c r="BK1394" s="9">
        <f t="shared" si="192"/>
        <v>15.54</v>
      </c>
      <c r="BL1394" s="9">
        <f t="shared" si="193"/>
        <v>350.42578000000003</v>
      </c>
      <c r="BM1394" s="9">
        <f t="shared" si="194"/>
        <v>0</v>
      </c>
      <c r="BN1394" s="9">
        <f t="shared" si="195"/>
        <v>702.18999999999994</v>
      </c>
      <c r="BO1394" s="9">
        <f t="shared" si="196"/>
        <v>3.26</v>
      </c>
      <c r="BP1394" s="9">
        <f t="shared" si="197"/>
        <v>0</v>
      </c>
    </row>
    <row r="1395" spans="1:68">
      <c r="A1395" s="6">
        <v>44803</v>
      </c>
      <c r="B1395" s="7">
        <v>3204</v>
      </c>
      <c r="C1395" s="8"/>
      <c r="D1395" s="8">
        <v>937.14</v>
      </c>
      <c r="E1395" s="8">
        <v>398.35</v>
      </c>
      <c r="F1395" s="8"/>
      <c r="G1395" s="8"/>
      <c r="H1395" s="8"/>
      <c r="I1395" s="8"/>
      <c r="J1395" s="8"/>
      <c r="K1395" s="8"/>
      <c r="L1395" s="8"/>
      <c r="M1395" s="8"/>
      <c r="N1395" s="8"/>
      <c r="O1395" s="8">
        <v>6.71</v>
      </c>
      <c r="P1395" s="8"/>
      <c r="Q1395" s="11"/>
      <c r="R1395" s="11"/>
      <c r="S1395" s="8">
        <v>4.5599999999999996</v>
      </c>
      <c r="T1395" s="8"/>
      <c r="U1395" s="8">
        <v>14.8</v>
      </c>
      <c r="V1395" s="8"/>
      <c r="W1395" s="8"/>
      <c r="X1395" s="8"/>
      <c r="Y1395" s="8"/>
      <c r="Z1395" s="8">
        <v>201.41</v>
      </c>
      <c r="AA1395" s="8"/>
      <c r="AB1395" s="8">
        <f>718*9.57/1000</f>
        <v>6.8712600000000004</v>
      </c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11"/>
      <c r="AQ1395" s="8"/>
      <c r="AR1395" s="8"/>
      <c r="AS1395" s="8"/>
      <c r="AT1395" s="8">
        <v>591.96</v>
      </c>
      <c r="AU1395" s="8"/>
      <c r="AV1395" s="8"/>
      <c r="AW1395" s="8">
        <v>4.32</v>
      </c>
      <c r="AX1395" s="8"/>
      <c r="AY1395" s="8"/>
      <c r="AZ1395" s="8"/>
      <c r="BA1395" s="8"/>
      <c r="BB1395" s="8"/>
      <c r="BC1395" s="8"/>
      <c r="BD1395" s="8"/>
      <c r="BE1395" s="8"/>
      <c r="BF1395" s="8"/>
      <c r="BG1395" s="8">
        <v>43.65</v>
      </c>
      <c r="BH1395" s="9">
        <f t="shared" si="189"/>
        <v>1335.49</v>
      </c>
      <c r="BI1395" s="9">
        <f t="shared" si="190"/>
        <v>6.71</v>
      </c>
      <c r="BJ1395" s="9">
        <f t="shared" si="191"/>
        <v>4.5599999999999996</v>
      </c>
      <c r="BK1395" s="9">
        <f t="shared" si="192"/>
        <v>14.8</v>
      </c>
      <c r="BL1395" s="9">
        <f t="shared" si="193"/>
        <v>201.41</v>
      </c>
      <c r="BM1395" s="9">
        <f t="shared" si="194"/>
        <v>6.8712600000000004</v>
      </c>
      <c r="BN1395" s="9">
        <f t="shared" si="195"/>
        <v>591.96</v>
      </c>
      <c r="BO1395" s="9">
        <f t="shared" si="196"/>
        <v>4.32</v>
      </c>
      <c r="BP1395" s="9">
        <f t="shared" si="197"/>
        <v>0</v>
      </c>
    </row>
    <row r="1396" spans="1:68">
      <c r="A1396" s="6">
        <v>44803</v>
      </c>
      <c r="B1396" s="7">
        <v>3029</v>
      </c>
      <c r="C1396" s="8"/>
      <c r="D1396" s="8">
        <v>465.6</v>
      </c>
      <c r="E1396" s="8"/>
      <c r="F1396" s="8">
        <v>328.55</v>
      </c>
      <c r="G1396" s="8"/>
      <c r="H1396" s="8"/>
      <c r="I1396" s="8">
        <v>1945.37</v>
      </c>
      <c r="J1396" s="8"/>
      <c r="K1396" s="8"/>
      <c r="L1396" s="8"/>
      <c r="M1396" s="8"/>
      <c r="N1396" s="8">
        <v>21.13</v>
      </c>
      <c r="O1396" s="8"/>
      <c r="P1396" s="8"/>
      <c r="Q1396" s="11"/>
      <c r="R1396" s="11"/>
      <c r="S1396" s="8">
        <v>1.64</v>
      </c>
      <c r="T1396" s="8"/>
      <c r="U1396" s="8"/>
      <c r="V1396" s="8"/>
      <c r="W1396" s="8">
        <v>27.47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>
        <v>9.57</v>
      </c>
      <c r="AN1396" s="8">
        <f>749*18.28/1000</f>
        <v>13.691720000000002</v>
      </c>
      <c r="AO1396" s="8"/>
      <c r="AP1396" s="11"/>
      <c r="AQ1396" s="8"/>
      <c r="AR1396" s="8">
        <f>4526*18.28/1000</f>
        <v>82.735280000000003</v>
      </c>
      <c r="AS1396" s="8"/>
      <c r="AT1396" s="8">
        <v>1038.27</v>
      </c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>
        <v>72.67</v>
      </c>
      <c r="BH1396" s="9">
        <f t="shared" si="189"/>
        <v>2739.52</v>
      </c>
      <c r="BI1396" s="9">
        <f t="shared" si="190"/>
        <v>21.13</v>
      </c>
      <c r="BJ1396" s="9">
        <f t="shared" si="191"/>
        <v>1.64</v>
      </c>
      <c r="BK1396" s="9">
        <f t="shared" si="192"/>
        <v>27.47</v>
      </c>
      <c r="BL1396" s="9">
        <f t="shared" si="193"/>
        <v>0</v>
      </c>
      <c r="BM1396" s="9">
        <f t="shared" si="194"/>
        <v>105.99700000000001</v>
      </c>
      <c r="BN1396" s="9">
        <f t="shared" si="195"/>
        <v>1038.27</v>
      </c>
      <c r="BO1396" s="9">
        <f t="shared" si="196"/>
        <v>0</v>
      </c>
      <c r="BP1396" s="9">
        <f t="shared" si="197"/>
        <v>0</v>
      </c>
    </row>
    <row r="1397" spans="1:68">
      <c r="A1397" s="6">
        <v>44803</v>
      </c>
      <c r="B1397" s="7">
        <v>3016</v>
      </c>
      <c r="C1397" s="8"/>
      <c r="D1397" s="8">
        <v>2380.42</v>
      </c>
      <c r="E1397" s="8"/>
      <c r="F1397" s="8"/>
      <c r="G1397" s="8"/>
      <c r="H1397" s="8"/>
      <c r="I1397" s="8">
        <v>2195.16</v>
      </c>
      <c r="J1397" s="8"/>
      <c r="K1397" s="8"/>
      <c r="L1397" s="8"/>
      <c r="M1397" s="8"/>
      <c r="N1397" s="8">
        <v>27.51</v>
      </c>
      <c r="O1397" s="8"/>
      <c r="P1397" s="8"/>
      <c r="Q1397" s="11"/>
      <c r="R1397" s="11"/>
      <c r="S1397" s="8">
        <v>3.19</v>
      </c>
      <c r="T1397" s="8"/>
      <c r="U1397" s="8"/>
      <c r="V1397" s="8"/>
      <c r="W1397" s="8">
        <v>45.87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>
        <v>18.329999999999998</v>
      </c>
      <c r="AN1397" s="8"/>
      <c r="AO1397" s="8"/>
      <c r="AP1397" s="11"/>
      <c r="AQ1397" s="8"/>
      <c r="AR1397" s="8"/>
      <c r="AS1397" s="8"/>
      <c r="AT1397" s="8">
        <v>1704.17</v>
      </c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>
        <v>124.38</v>
      </c>
      <c r="BH1397" s="9">
        <f t="shared" si="189"/>
        <v>4575.58</v>
      </c>
      <c r="BI1397" s="9">
        <f t="shared" si="190"/>
        <v>27.51</v>
      </c>
      <c r="BJ1397" s="9">
        <f t="shared" si="191"/>
        <v>3.19</v>
      </c>
      <c r="BK1397" s="9">
        <f t="shared" si="192"/>
        <v>45.87</v>
      </c>
      <c r="BL1397" s="9">
        <f t="shared" si="193"/>
        <v>0</v>
      </c>
      <c r="BM1397" s="9">
        <f t="shared" si="194"/>
        <v>18.329999999999998</v>
      </c>
      <c r="BN1397" s="9">
        <f t="shared" si="195"/>
        <v>1704.17</v>
      </c>
      <c r="BO1397" s="9">
        <f t="shared" si="196"/>
        <v>0</v>
      </c>
      <c r="BP1397" s="9">
        <f t="shared" si="197"/>
        <v>0</v>
      </c>
    </row>
    <row r="1398" spans="1:68">
      <c r="A1398" s="6">
        <v>44803</v>
      </c>
      <c r="B1398" s="7">
        <v>3104</v>
      </c>
      <c r="C1398" s="8">
        <v>1531.88</v>
      </c>
      <c r="D1398" s="8"/>
      <c r="E1398" s="8"/>
      <c r="F1398" s="8"/>
      <c r="G1398" s="8"/>
      <c r="H1398" s="8">
        <v>392.98</v>
      </c>
      <c r="I1398" s="8"/>
      <c r="J1398" s="8"/>
      <c r="K1398" s="8"/>
      <c r="L1398" s="8"/>
      <c r="M1398" s="8"/>
      <c r="N1398" s="8"/>
      <c r="O1398" s="8"/>
      <c r="P1398" s="8"/>
      <c r="Q1398" s="11">
        <v>4.2699999999999996</v>
      </c>
      <c r="R1398" s="11"/>
      <c r="S1398" s="8">
        <v>8.07</v>
      </c>
      <c r="T1398" s="8"/>
      <c r="U1398" s="8">
        <v>20.16</v>
      </c>
      <c r="V1398" s="8"/>
      <c r="W1398" s="8"/>
      <c r="X1398" s="8"/>
      <c r="Y1398" s="8"/>
      <c r="Z1398" s="8"/>
      <c r="AA1398" s="8"/>
      <c r="AB1398" s="8"/>
      <c r="AC1398" s="8">
        <v>7.01</v>
      </c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11"/>
      <c r="AQ1398" s="8"/>
      <c r="AR1398" s="8"/>
      <c r="AS1398" s="8"/>
      <c r="AT1398" s="8">
        <v>1123.8</v>
      </c>
      <c r="AU1398" s="8"/>
      <c r="AV1398" s="8"/>
      <c r="AW1398" s="8"/>
      <c r="AX1398" s="8"/>
      <c r="AY1398" s="8"/>
      <c r="AZ1398" s="8"/>
      <c r="BA1398" s="8">
        <v>39.97</v>
      </c>
      <c r="BB1398" s="8"/>
      <c r="BC1398" s="8"/>
      <c r="BD1398" s="8"/>
      <c r="BE1398" s="8"/>
      <c r="BF1398" s="8">
        <v>35.06</v>
      </c>
      <c r="BG1398" s="8">
        <v>86.68</v>
      </c>
      <c r="BH1398" s="9">
        <f t="shared" si="189"/>
        <v>1924.8600000000001</v>
      </c>
      <c r="BI1398" s="9">
        <f t="shared" si="190"/>
        <v>4.2699999999999996</v>
      </c>
      <c r="BJ1398" s="9">
        <f t="shared" si="191"/>
        <v>8.07</v>
      </c>
      <c r="BK1398" s="9">
        <f t="shared" si="192"/>
        <v>20.16</v>
      </c>
      <c r="BL1398" s="9">
        <f t="shared" si="193"/>
        <v>0</v>
      </c>
      <c r="BM1398" s="9">
        <f t="shared" si="194"/>
        <v>7.01</v>
      </c>
      <c r="BN1398" s="9">
        <f t="shared" si="195"/>
        <v>1123.8</v>
      </c>
      <c r="BO1398" s="9">
        <f t="shared" si="196"/>
        <v>39.97</v>
      </c>
      <c r="BP1398" s="9">
        <f t="shared" si="197"/>
        <v>35.06</v>
      </c>
    </row>
    <row r="1399" spans="1:68">
      <c r="A1399" s="6">
        <v>44803</v>
      </c>
      <c r="B1399" s="7">
        <v>3106</v>
      </c>
      <c r="C1399" s="8">
        <v>5937.44</v>
      </c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11">
        <v>16.04</v>
      </c>
      <c r="R1399" s="11"/>
      <c r="S1399" s="8">
        <v>17.850000000000001</v>
      </c>
      <c r="T1399" s="8"/>
      <c r="U1399" s="8">
        <v>75.540000000000006</v>
      </c>
      <c r="V1399" s="8"/>
      <c r="W1399" s="8"/>
      <c r="X1399" s="8"/>
      <c r="Y1399" s="8"/>
      <c r="Z1399" s="8"/>
      <c r="AA1399" s="8"/>
      <c r="AB1399" s="8"/>
      <c r="AC1399" s="8">
        <v>14.85</v>
      </c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11"/>
      <c r="AQ1399" s="8"/>
      <c r="AR1399" s="8"/>
      <c r="AS1399" s="8"/>
      <c r="AT1399" s="8">
        <v>3399.33</v>
      </c>
      <c r="AU1399" s="8"/>
      <c r="AV1399" s="8"/>
      <c r="AW1399" s="8"/>
      <c r="AX1399" s="8">
        <v>7.43</v>
      </c>
      <c r="AY1399" s="8"/>
      <c r="AZ1399" s="8"/>
      <c r="BA1399" s="8"/>
      <c r="BB1399" s="8"/>
      <c r="BC1399" s="8"/>
      <c r="BD1399" s="8"/>
      <c r="BE1399" s="8"/>
      <c r="BF1399" s="8"/>
      <c r="BG1399" s="8">
        <v>255.37</v>
      </c>
      <c r="BH1399" s="9">
        <f t="shared" si="189"/>
        <v>5937.44</v>
      </c>
      <c r="BI1399" s="9">
        <f t="shared" si="190"/>
        <v>16.04</v>
      </c>
      <c r="BJ1399" s="9">
        <f t="shared" si="191"/>
        <v>17.850000000000001</v>
      </c>
      <c r="BK1399" s="9">
        <f t="shared" si="192"/>
        <v>75.540000000000006</v>
      </c>
      <c r="BL1399" s="9">
        <f t="shared" si="193"/>
        <v>0</v>
      </c>
      <c r="BM1399" s="9">
        <f t="shared" si="194"/>
        <v>14.85</v>
      </c>
      <c r="BN1399" s="9">
        <f t="shared" si="195"/>
        <v>3399.33</v>
      </c>
      <c r="BO1399" s="9">
        <f t="shared" si="196"/>
        <v>7.43</v>
      </c>
      <c r="BP1399" s="9">
        <f t="shared" si="197"/>
        <v>0</v>
      </c>
    </row>
    <row r="1400" spans="1:68">
      <c r="A1400" s="6">
        <v>44804</v>
      </c>
      <c r="B1400" s="7">
        <v>3101</v>
      </c>
      <c r="C1400" s="8">
        <f>270.21+443.14</f>
        <v>713.34999999999991</v>
      </c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11">
        <f>1.01+0.6</f>
        <v>1.6099999999999999</v>
      </c>
      <c r="R1400" s="11"/>
      <c r="S1400" s="8">
        <f>2.57+1.56</f>
        <v>4.13</v>
      </c>
      <c r="T1400" s="8"/>
      <c r="U1400" s="8">
        <f>4.31+7.1</f>
        <v>11.41</v>
      </c>
      <c r="V1400" s="8"/>
      <c r="W1400" s="8"/>
      <c r="X1400" s="8"/>
      <c r="Y1400" s="8"/>
      <c r="Z1400" s="8"/>
      <c r="AA1400" s="8"/>
      <c r="AB1400" s="8"/>
      <c r="AC1400" s="8">
        <f>1.77+1.08</f>
        <v>2.85</v>
      </c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11"/>
      <c r="AQ1400" s="8"/>
      <c r="AR1400" s="8"/>
      <c r="AS1400" s="8"/>
      <c r="AT1400" s="8">
        <f>298.16+180.91</f>
        <v>479.07000000000005</v>
      </c>
      <c r="AU1400" s="8"/>
      <c r="AV1400" s="8"/>
      <c r="AW1400" s="8">
        <f>9.44+5.73</f>
        <v>15.17</v>
      </c>
      <c r="AX1400" s="8"/>
      <c r="AY1400" s="8"/>
      <c r="AZ1400" s="8"/>
      <c r="BA1400" s="8"/>
      <c r="BB1400" s="8"/>
      <c r="BC1400" s="8"/>
      <c r="BD1400" s="8"/>
      <c r="BE1400" s="8"/>
      <c r="BF1400" s="8">
        <f>57.66+34.92</f>
        <v>92.58</v>
      </c>
      <c r="BG1400" s="8">
        <f>22.79+13.83</f>
        <v>36.619999999999997</v>
      </c>
      <c r="BH1400" s="9">
        <f t="shared" si="189"/>
        <v>713.34999999999991</v>
      </c>
      <c r="BI1400" s="9">
        <f t="shared" si="190"/>
        <v>1.6099999999999999</v>
      </c>
      <c r="BJ1400" s="9">
        <f t="shared" si="191"/>
        <v>4.13</v>
      </c>
      <c r="BK1400" s="9">
        <f t="shared" si="192"/>
        <v>11.41</v>
      </c>
      <c r="BL1400" s="9">
        <f t="shared" si="193"/>
        <v>0</v>
      </c>
      <c r="BM1400" s="9">
        <f t="shared" si="194"/>
        <v>2.85</v>
      </c>
      <c r="BN1400" s="9">
        <f t="shared" si="195"/>
        <v>479.07000000000005</v>
      </c>
      <c r="BO1400" s="9">
        <f t="shared" si="196"/>
        <v>15.17</v>
      </c>
      <c r="BP1400" s="9">
        <f t="shared" si="197"/>
        <v>92.58</v>
      </c>
    </row>
    <row r="1401" spans="1:68">
      <c r="A1401" s="6">
        <v>44804</v>
      </c>
      <c r="B1401" s="7">
        <v>3081</v>
      </c>
      <c r="C1401" s="8"/>
      <c r="D1401" s="8">
        <v>553.87</v>
      </c>
      <c r="E1401" s="8"/>
      <c r="F1401" s="8">
        <v>619.23</v>
      </c>
      <c r="G1401" s="8"/>
      <c r="H1401" s="8"/>
      <c r="I1401" s="8">
        <v>2265</v>
      </c>
      <c r="J1401" s="8"/>
      <c r="K1401" s="8"/>
      <c r="L1401" s="8"/>
      <c r="M1401" s="8"/>
      <c r="N1401" s="8">
        <v>25.28</v>
      </c>
      <c r="O1401" s="8"/>
      <c r="P1401" s="8">
        <f>627*22.33/1000</f>
        <v>14.000909999999998</v>
      </c>
      <c r="Q1401" s="11"/>
      <c r="R1401" s="11"/>
      <c r="S1401" s="8">
        <v>2.42</v>
      </c>
      <c r="T1401" s="8"/>
      <c r="U1401" s="8"/>
      <c r="V1401" s="8"/>
      <c r="W1401" s="8">
        <v>34.65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11"/>
      <c r="AQ1401" s="8">
        <f>1566*22.33/1000</f>
        <v>34.968779999999995</v>
      </c>
      <c r="AR1401" s="8">
        <f>5490*22.33/1000</f>
        <v>122.5917</v>
      </c>
      <c r="AS1401" s="8"/>
      <c r="AT1401" s="8">
        <v>1081.97</v>
      </c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>
        <v>72.099999999999994</v>
      </c>
      <c r="BH1401" s="9">
        <f t="shared" si="189"/>
        <v>3438.1</v>
      </c>
      <c r="BI1401" s="9">
        <f t="shared" si="190"/>
        <v>39.280909999999999</v>
      </c>
      <c r="BJ1401" s="9">
        <f t="shared" si="191"/>
        <v>2.42</v>
      </c>
      <c r="BK1401" s="9">
        <f t="shared" si="192"/>
        <v>34.65</v>
      </c>
      <c r="BL1401" s="9">
        <f t="shared" si="193"/>
        <v>0</v>
      </c>
      <c r="BM1401" s="9">
        <f t="shared" si="194"/>
        <v>157.56047999999998</v>
      </c>
      <c r="BN1401" s="9">
        <f t="shared" si="195"/>
        <v>1081.97</v>
      </c>
      <c r="BO1401" s="9">
        <f t="shared" si="196"/>
        <v>0</v>
      </c>
      <c r="BP1401" s="9">
        <f t="shared" si="197"/>
        <v>0</v>
      </c>
    </row>
    <row r="1402" spans="1:68">
      <c r="A1402" s="6">
        <v>44804</v>
      </c>
      <c r="B1402" s="7">
        <v>3408</v>
      </c>
      <c r="C1402" s="8">
        <v>2114.85</v>
      </c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11">
        <v>4.87</v>
      </c>
      <c r="R1402" s="11"/>
      <c r="S1402" s="8">
        <v>5.29</v>
      </c>
      <c r="T1402" s="8"/>
      <c r="U1402" s="8"/>
      <c r="V1402" s="8"/>
      <c r="W1402" s="8"/>
      <c r="X1402" s="8">
        <f>1004*21.15/1000</f>
        <v>21.234599999999997</v>
      </c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11"/>
      <c r="AQ1402" s="8"/>
      <c r="AR1402" s="8"/>
      <c r="AS1402" s="8"/>
      <c r="AT1402" s="8">
        <v>1057.0999999999999</v>
      </c>
      <c r="AU1402" s="8"/>
      <c r="AV1402" s="8"/>
      <c r="AW1402" s="8"/>
      <c r="AX1402" s="8"/>
      <c r="AY1402" s="8"/>
      <c r="AZ1402" s="8"/>
      <c r="BA1402" s="8">
        <v>9.49</v>
      </c>
      <c r="BB1402" s="8"/>
      <c r="BC1402" s="8"/>
      <c r="BD1402" s="8"/>
      <c r="BE1402" s="8"/>
      <c r="BF1402" s="8"/>
      <c r="BG1402" s="8">
        <v>72.28</v>
      </c>
      <c r="BH1402" s="9">
        <f t="shared" si="189"/>
        <v>2114.85</v>
      </c>
      <c r="BI1402" s="9">
        <f t="shared" si="190"/>
        <v>4.87</v>
      </c>
      <c r="BJ1402" s="9">
        <f t="shared" si="191"/>
        <v>5.29</v>
      </c>
      <c r="BK1402" s="9">
        <f t="shared" si="192"/>
        <v>21.234599999999997</v>
      </c>
      <c r="BL1402" s="9">
        <f t="shared" si="193"/>
        <v>0</v>
      </c>
      <c r="BM1402" s="9">
        <f t="shared" si="194"/>
        <v>0</v>
      </c>
      <c r="BN1402" s="9">
        <f t="shared" si="195"/>
        <v>1057.0999999999999</v>
      </c>
      <c r="BO1402" s="9">
        <f t="shared" si="196"/>
        <v>9.49</v>
      </c>
      <c r="BP1402" s="9">
        <f t="shared" si="197"/>
        <v>0</v>
      </c>
    </row>
    <row r="1403" spans="1:68">
      <c r="A1403" s="6">
        <v>44804</v>
      </c>
      <c r="B1403" s="7">
        <v>3117</v>
      </c>
      <c r="C1403" s="8">
        <v>737.74</v>
      </c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11">
        <v>1.95</v>
      </c>
      <c r="R1403" s="11"/>
      <c r="S1403" s="8">
        <v>2.73</v>
      </c>
      <c r="T1403" s="8"/>
      <c r="U1403" s="8">
        <v>7.37</v>
      </c>
      <c r="V1403" s="8"/>
      <c r="W1403" s="8"/>
      <c r="X1403" s="8"/>
      <c r="Y1403" s="8"/>
      <c r="Z1403" s="8"/>
      <c r="AA1403" s="8"/>
      <c r="AB1403" s="8"/>
      <c r="AC1403" s="8">
        <v>2.95</v>
      </c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11"/>
      <c r="AQ1403" s="8"/>
      <c r="AR1403" s="8"/>
      <c r="AS1403" s="8"/>
      <c r="AT1403" s="8">
        <v>467.17</v>
      </c>
      <c r="AU1403" s="8"/>
      <c r="AV1403" s="8">
        <v>18.399999999999999</v>
      </c>
      <c r="AW1403" s="8"/>
      <c r="AX1403" s="8"/>
      <c r="AY1403" s="8"/>
      <c r="AZ1403" s="8"/>
      <c r="BA1403" s="8"/>
      <c r="BB1403" s="8"/>
      <c r="BC1403" s="8"/>
      <c r="BD1403" s="8"/>
      <c r="BE1403" s="8"/>
      <c r="BF1403" s="8">
        <v>36.880000000000003</v>
      </c>
      <c r="BG1403" s="8">
        <v>35.380000000000003</v>
      </c>
      <c r="BH1403" s="9">
        <f t="shared" si="189"/>
        <v>737.74</v>
      </c>
      <c r="BI1403" s="9">
        <f t="shared" si="190"/>
        <v>1.95</v>
      </c>
      <c r="BJ1403" s="9">
        <f t="shared" si="191"/>
        <v>2.73</v>
      </c>
      <c r="BK1403" s="9">
        <f t="shared" si="192"/>
        <v>7.37</v>
      </c>
      <c r="BL1403" s="9">
        <f t="shared" si="193"/>
        <v>0</v>
      </c>
      <c r="BM1403" s="9">
        <f t="shared" si="194"/>
        <v>2.95</v>
      </c>
      <c r="BN1403" s="9">
        <f t="shared" si="195"/>
        <v>467.17</v>
      </c>
      <c r="BO1403" s="9">
        <f t="shared" si="196"/>
        <v>18.399999999999999</v>
      </c>
      <c r="BP1403" s="9">
        <f t="shared" si="197"/>
        <v>36.880000000000003</v>
      </c>
    </row>
    <row r="1404" spans="1:68">
      <c r="A1404" s="6">
        <v>44804</v>
      </c>
      <c r="B1404" s="7">
        <v>3139</v>
      </c>
      <c r="C1404" s="8">
        <v>1656.77</v>
      </c>
      <c r="D1404" s="8"/>
      <c r="E1404" s="8"/>
      <c r="F1404" s="8"/>
      <c r="G1404" s="8"/>
      <c r="H1404" s="8">
        <v>688.09</v>
      </c>
      <c r="I1404" s="8"/>
      <c r="J1404" s="8"/>
      <c r="K1404" s="8"/>
      <c r="L1404" s="8"/>
      <c r="M1404" s="8"/>
      <c r="N1404" s="8"/>
      <c r="O1404" s="8"/>
      <c r="P1404" s="8"/>
      <c r="Q1404" s="11">
        <v>3.86</v>
      </c>
      <c r="R1404" s="11"/>
      <c r="S1404" s="8">
        <v>7.32</v>
      </c>
      <c r="T1404" s="8"/>
      <c r="U1404" s="8">
        <v>24.45</v>
      </c>
      <c r="V1404" s="8"/>
      <c r="W1404" s="8"/>
      <c r="X1404" s="8"/>
      <c r="Y1404" s="8"/>
      <c r="Z1404" s="8"/>
      <c r="AA1404" s="8"/>
      <c r="AB1404" s="8"/>
      <c r="AC1404" s="8">
        <v>8.16</v>
      </c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11"/>
      <c r="AQ1404" s="8"/>
      <c r="AR1404" s="8"/>
      <c r="AS1404" s="8"/>
      <c r="AT1404" s="8">
        <v>1210.05</v>
      </c>
      <c r="AU1404" s="8"/>
      <c r="AV1404" s="8">
        <v>40.85</v>
      </c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>
        <v>87.7</v>
      </c>
      <c r="BH1404" s="9">
        <f t="shared" si="189"/>
        <v>2344.86</v>
      </c>
      <c r="BI1404" s="9">
        <f t="shared" si="190"/>
        <v>3.86</v>
      </c>
      <c r="BJ1404" s="9">
        <f t="shared" si="191"/>
        <v>7.32</v>
      </c>
      <c r="BK1404" s="9">
        <f t="shared" si="192"/>
        <v>24.45</v>
      </c>
      <c r="BL1404" s="9">
        <f t="shared" si="193"/>
        <v>0</v>
      </c>
      <c r="BM1404" s="9">
        <f t="shared" si="194"/>
        <v>8.16</v>
      </c>
      <c r="BN1404" s="9">
        <f t="shared" si="195"/>
        <v>1210.05</v>
      </c>
      <c r="BO1404" s="9">
        <f t="shared" si="196"/>
        <v>40.85</v>
      </c>
      <c r="BP1404" s="9">
        <f t="shared" si="197"/>
        <v>0</v>
      </c>
    </row>
    <row r="1405" spans="1:68">
      <c r="A1405" s="6">
        <v>44805</v>
      </c>
      <c r="B1405" s="7">
        <v>3022</v>
      </c>
      <c r="C1405" s="8"/>
      <c r="D1405" s="8">
        <v>1068.9100000000001</v>
      </c>
      <c r="E1405" s="8"/>
      <c r="F1405" s="8"/>
      <c r="G1405" s="8"/>
      <c r="H1405" s="8"/>
      <c r="I1405" s="8">
        <v>871.53</v>
      </c>
      <c r="J1405" s="8"/>
      <c r="K1405" s="8"/>
      <c r="L1405" s="8"/>
      <c r="M1405" s="8"/>
      <c r="N1405" s="8">
        <v>9.6999999999999993</v>
      </c>
      <c r="O1405" s="8"/>
      <c r="P1405" s="8"/>
      <c r="Q1405" s="11"/>
      <c r="R1405" s="11"/>
      <c r="S1405" s="8">
        <v>3.49</v>
      </c>
      <c r="T1405" s="8"/>
      <c r="U1405" s="8"/>
      <c r="V1405" s="8"/>
      <c r="W1405" s="8">
        <v>19.39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>
        <v>25.21</v>
      </c>
      <c r="AN1405" s="8"/>
      <c r="AO1405" s="8"/>
      <c r="AP1405" s="11"/>
      <c r="AQ1405" s="8"/>
      <c r="AR1405" s="8"/>
      <c r="AS1405" s="8">
        <f>3562*17.62/1000</f>
        <v>62.762440000000005</v>
      </c>
      <c r="AT1405" s="8">
        <v>907</v>
      </c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>
        <v>69.77</v>
      </c>
      <c r="BH1405" s="9">
        <f t="shared" si="189"/>
        <v>1940.44</v>
      </c>
      <c r="BI1405" s="9">
        <f t="shared" si="190"/>
        <v>9.6999999999999993</v>
      </c>
      <c r="BJ1405" s="9">
        <f t="shared" si="191"/>
        <v>3.49</v>
      </c>
      <c r="BK1405" s="9">
        <f t="shared" si="192"/>
        <v>19.39</v>
      </c>
      <c r="BL1405" s="9">
        <f t="shared" si="193"/>
        <v>0</v>
      </c>
      <c r="BM1405" s="9">
        <f t="shared" si="194"/>
        <v>87.972440000000006</v>
      </c>
      <c r="BN1405" s="9">
        <f t="shared" si="195"/>
        <v>907</v>
      </c>
      <c r="BO1405" s="9">
        <f t="shared" si="196"/>
        <v>0</v>
      </c>
      <c r="BP1405" s="9">
        <f t="shared" si="197"/>
        <v>0</v>
      </c>
    </row>
    <row r="1406" spans="1:68">
      <c r="A1406" s="6">
        <v>44805</v>
      </c>
      <c r="B1406" s="7">
        <v>3028</v>
      </c>
      <c r="C1406" s="8"/>
      <c r="D1406" s="8">
        <v>407.64</v>
      </c>
      <c r="E1406" s="8"/>
      <c r="F1406" s="8">
        <v>374.16</v>
      </c>
      <c r="G1406" s="8"/>
      <c r="H1406" s="8"/>
      <c r="I1406" s="8">
        <v>847.24</v>
      </c>
      <c r="J1406" s="8"/>
      <c r="K1406" s="8"/>
      <c r="L1406" s="8"/>
      <c r="M1406" s="8"/>
      <c r="N1406" s="8">
        <v>12.19</v>
      </c>
      <c r="O1406" s="8"/>
      <c r="P1406" s="8"/>
      <c r="Q1406" s="11"/>
      <c r="R1406" s="11"/>
      <c r="S1406" s="8">
        <v>2.2799999999999998</v>
      </c>
      <c r="T1406" s="8"/>
      <c r="U1406" s="8"/>
      <c r="V1406" s="8"/>
      <c r="W1406" s="8">
        <v>12.21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>
        <v>16.309999999999999</v>
      </c>
      <c r="AN1406" s="8">
        <f>1023*10.85/1000</f>
        <v>11.099549999999999</v>
      </c>
      <c r="AO1406" s="8"/>
      <c r="AP1406" s="11"/>
      <c r="AQ1406" s="8"/>
      <c r="AR1406" s="8"/>
      <c r="AS1406" s="8">
        <f>4957*10.85/1000</f>
        <v>53.783449999999995</v>
      </c>
      <c r="AT1406" s="8">
        <v>542.85</v>
      </c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>
        <v>37.1</v>
      </c>
      <c r="BH1406" s="9">
        <f t="shared" si="189"/>
        <v>1629.04</v>
      </c>
      <c r="BI1406" s="9">
        <f t="shared" si="190"/>
        <v>12.19</v>
      </c>
      <c r="BJ1406" s="9">
        <f t="shared" si="191"/>
        <v>2.2799999999999998</v>
      </c>
      <c r="BK1406" s="9">
        <f t="shared" si="192"/>
        <v>12.21</v>
      </c>
      <c r="BL1406" s="9">
        <f t="shared" si="193"/>
        <v>0</v>
      </c>
      <c r="BM1406" s="9">
        <f t="shared" si="194"/>
        <v>81.192999999999984</v>
      </c>
      <c r="BN1406" s="9">
        <f t="shared" si="195"/>
        <v>542.85</v>
      </c>
      <c r="BO1406" s="9">
        <f t="shared" si="196"/>
        <v>0</v>
      </c>
      <c r="BP1406" s="9">
        <f t="shared" si="197"/>
        <v>0</v>
      </c>
    </row>
    <row r="1407" spans="1:68">
      <c r="A1407" s="6">
        <v>44805</v>
      </c>
      <c r="B1407" s="7">
        <v>3005</v>
      </c>
      <c r="C1407" s="8">
        <v>791.93</v>
      </c>
      <c r="D1407" s="8">
        <v>528.05999999999995</v>
      </c>
      <c r="E1407" s="8"/>
      <c r="F1407" s="8"/>
      <c r="G1407" s="8"/>
      <c r="H1407" s="8"/>
      <c r="I1407" s="8"/>
      <c r="J1407" s="8"/>
      <c r="K1407" s="8"/>
      <c r="L1407" s="8"/>
      <c r="M1407" s="8"/>
      <c r="N1407" s="8">
        <v>1.31</v>
      </c>
      <c r="O1407" s="8"/>
      <c r="P1407" s="8"/>
      <c r="Q1407" s="11"/>
      <c r="R1407" s="11"/>
      <c r="S1407" s="8">
        <v>4.6100000000000003</v>
      </c>
      <c r="T1407" s="8"/>
      <c r="U1407" s="8"/>
      <c r="V1407" s="8"/>
      <c r="W1407" s="8">
        <v>14.52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11"/>
      <c r="AQ1407" s="8"/>
      <c r="AR1407" s="8"/>
      <c r="AS1407" s="8"/>
      <c r="AT1407" s="8">
        <v>646.08000000000004</v>
      </c>
      <c r="AU1407" s="8"/>
      <c r="AV1407" s="8"/>
      <c r="AW1407" s="8">
        <v>14.64</v>
      </c>
      <c r="AX1407" s="8"/>
      <c r="AY1407" s="8"/>
      <c r="AZ1407" s="8"/>
      <c r="BA1407" s="8"/>
      <c r="BB1407" s="8"/>
      <c r="BC1407" s="8"/>
      <c r="BD1407" s="8"/>
      <c r="BE1407" s="8"/>
      <c r="BF1407" s="8"/>
      <c r="BG1407" s="8">
        <v>48.07</v>
      </c>
      <c r="BH1407" s="9">
        <f t="shared" si="189"/>
        <v>1319.9899999999998</v>
      </c>
      <c r="BI1407" s="9">
        <f t="shared" si="190"/>
        <v>1.31</v>
      </c>
      <c r="BJ1407" s="9">
        <f t="shared" si="191"/>
        <v>4.6100000000000003</v>
      </c>
      <c r="BK1407" s="9">
        <f t="shared" si="192"/>
        <v>14.52</v>
      </c>
      <c r="BL1407" s="9">
        <f t="shared" si="193"/>
        <v>0</v>
      </c>
      <c r="BM1407" s="9">
        <f t="shared" si="194"/>
        <v>0</v>
      </c>
      <c r="BN1407" s="9">
        <f t="shared" si="195"/>
        <v>646.08000000000004</v>
      </c>
      <c r="BO1407" s="9">
        <f t="shared" si="196"/>
        <v>14.64</v>
      </c>
      <c r="BP1407" s="9">
        <f t="shared" si="197"/>
        <v>0</v>
      </c>
    </row>
    <row r="1408" spans="1:68">
      <c r="A1408" s="6">
        <v>44805</v>
      </c>
      <c r="B1408" s="7">
        <v>3013</v>
      </c>
      <c r="C1408" s="8">
        <v>1015.4</v>
      </c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>
        <v>2.04</v>
      </c>
      <c r="O1408" s="8"/>
      <c r="P1408" s="8"/>
      <c r="Q1408" s="11"/>
      <c r="R1408" s="11"/>
      <c r="S1408" s="8">
        <v>2.34</v>
      </c>
      <c r="T1408" s="8"/>
      <c r="U1408" s="8"/>
      <c r="V1408" s="8"/>
      <c r="W1408" s="8">
        <v>10.17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11"/>
      <c r="AQ1408" s="8"/>
      <c r="AR1408" s="8"/>
      <c r="AS1408" s="8"/>
      <c r="AT1408" s="8">
        <v>351.48</v>
      </c>
      <c r="AU1408" s="8"/>
      <c r="AV1408" s="8"/>
      <c r="AW1408" s="8">
        <v>11.29</v>
      </c>
      <c r="AX1408" s="8"/>
      <c r="AY1408" s="8"/>
      <c r="AZ1408" s="8"/>
      <c r="BA1408" s="8"/>
      <c r="BB1408" s="8"/>
      <c r="BC1408" s="8"/>
      <c r="BD1408" s="8"/>
      <c r="BE1408" s="8"/>
      <c r="BF1408" s="8"/>
      <c r="BG1408" s="8">
        <v>23.49</v>
      </c>
      <c r="BH1408" s="9">
        <f t="shared" si="189"/>
        <v>1015.4</v>
      </c>
      <c r="BI1408" s="9">
        <f t="shared" si="190"/>
        <v>2.04</v>
      </c>
      <c r="BJ1408" s="9">
        <f t="shared" si="191"/>
        <v>2.34</v>
      </c>
      <c r="BK1408" s="9">
        <f t="shared" si="192"/>
        <v>10.17</v>
      </c>
      <c r="BL1408" s="9">
        <f t="shared" si="193"/>
        <v>0</v>
      </c>
      <c r="BM1408" s="9">
        <f t="shared" si="194"/>
        <v>0</v>
      </c>
      <c r="BN1408" s="9">
        <f t="shared" si="195"/>
        <v>351.48</v>
      </c>
      <c r="BO1408" s="9">
        <f t="shared" si="196"/>
        <v>11.29</v>
      </c>
      <c r="BP1408" s="9">
        <f t="shared" si="197"/>
        <v>0</v>
      </c>
    </row>
    <row r="1409" spans="1:68">
      <c r="A1409" s="6">
        <v>44805</v>
      </c>
      <c r="B1409" s="7">
        <v>3402</v>
      </c>
      <c r="C1409" s="8">
        <v>449.18</v>
      </c>
      <c r="D1409" s="8">
        <v>298.66000000000003</v>
      </c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11">
        <v>1.85</v>
      </c>
      <c r="R1409" s="11"/>
      <c r="S1409" s="8">
        <v>1.72</v>
      </c>
      <c r="T1409" s="8"/>
      <c r="U1409" s="8"/>
      <c r="V1409" s="8"/>
      <c r="W1409" s="8"/>
      <c r="X1409" s="8">
        <f>1017*7.48/1000</f>
        <v>7.6071600000000004</v>
      </c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11"/>
      <c r="AQ1409" s="8"/>
      <c r="AR1409" s="8"/>
      <c r="AS1409" s="8"/>
      <c r="AT1409" s="8">
        <v>355.83</v>
      </c>
      <c r="AU1409" s="8"/>
      <c r="AV1409" s="8"/>
      <c r="AW1409" s="8"/>
      <c r="AX1409" s="8"/>
      <c r="AY1409" s="8"/>
      <c r="AZ1409" s="8"/>
      <c r="BA1409" s="8">
        <v>3.38</v>
      </c>
      <c r="BB1409" s="8"/>
      <c r="BC1409" s="8"/>
      <c r="BD1409" s="8"/>
      <c r="BE1409" s="8"/>
      <c r="BF1409" s="8"/>
      <c r="BG1409" s="8">
        <v>24.76</v>
      </c>
      <c r="BH1409" s="9">
        <f t="shared" si="189"/>
        <v>747.84</v>
      </c>
      <c r="BI1409" s="9">
        <f t="shared" si="190"/>
        <v>1.85</v>
      </c>
      <c r="BJ1409" s="9">
        <f t="shared" si="191"/>
        <v>1.72</v>
      </c>
      <c r="BK1409" s="9">
        <f t="shared" si="192"/>
        <v>7.6071600000000004</v>
      </c>
      <c r="BL1409" s="9">
        <f t="shared" si="193"/>
        <v>0</v>
      </c>
      <c r="BM1409" s="9">
        <f t="shared" si="194"/>
        <v>0</v>
      </c>
      <c r="BN1409" s="9">
        <f t="shared" si="195"/>
        <v>355.83</v>
      </c>
      <c r="BO1409" s="9">
        <f t="shared" si="196"/>
        <v>3.38</v>
      </c>
      <c r="BP1409" s="9">
        <f t="shared" si="197"/>
        <v>0</v>
      </c>
    </row>
    <row r="1410" spans="1:68">
      <c r="A1410" s="6">
        <v>44805</v>
      </c>
      <c r="B1410" s="7">
        <v>3405</v>
      </c>
      <c r="C1410" s="8">
        <v>1178.82</v>
      </c>
      <c r="D1410" s="8">
        <v>295.81</v>
      </c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11">
        <v>3.14</v>
      </c>
      <c r="R1410" s="11"/>
      <c r="S1410" s="8">
        <v>3.39</v>
      </c>
      <c r="T1410" s="8"/>
      <c r="U1410" s="8"/>
      <c r="V1410" s="8"/>
      <c r="W1410" s="8"/>
      <c r="X1410" s="8">
        <f>1208*14.77/1000</f>
        <v>17.84216</v>
      </c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11"/>
      <c r="AQ1410" s="8"/>
      <c r="AR1410" s="8"/>
      <c r="AS1410" s="8"/>
      <c r="AT1410" s="8">
        <v>724.32</v>
      </c>
      <c r="AU1410" s="8"/>
      <c r="AV1410" s="8"/>
      <c r="AW1410" s="8"/>
      <c r="AX1410" s="8"/>
      <c r="AY1410" s="8"/>
      <c r="AZ1410" s="8"/>
      <c r="BA1410" s="8">
        <v>6.64</v>
      </c>
      <c r="BB1410" s="8"/>
      <c r="BC1410" s="8"/>
      <c r="BD1410" s="8"/>
      <c r="BE1410" s="8"/>
      <c r="BF1410" s="8"/>
      <c r="BG1410" s="8">
        <v>48.73</v>
      </c>
      <c r="BH1410" s="9">
        <f t="shared" si="189"/>
        <v>1474.6299999999999</v>
      </c>
      <c r="BI1410" s="9">
        <f t="shared" si="190"/>
        <v>3.14</v>
      </c>
      <c r="BJ1410" s="9">
        <f t="shared" si="191"/>
        <v>3.39</v>
      </c>
      <c r="BK1410" s="9">
        <f t="shared" si="192"/>
        <v>17.84216</v>
      </c>
      <c r="BL1410" s="9">
        <f t="shared" si="193"/>
        <v>0</v>
      </c>
      <c r="BM1410" s="9">
        <f t="shared" si="194"/>
        <v>0</v>
      </c>
      <c r="BN1410" s="9">
        <f t="shared" si="195"/>
        <v>724.32</v>
      </c>
      <c r="BO1410" s="9">
        <f t="shared" si="196"/>
        <v>6.64</v>
      </c>
      <c r="BP1410" s="9">
        <f t="shared" si="197"/>
        <v>0</v>
      </c>
    </row>
    <row r="1411" spans="1:68">
      <c r="A1411" s="6">
        <v>44805</v>
      </c>
      <c r="B1411" s="7">
        <v>3141</v>
      </c>
      <c r="C1411" s="8">
        <v>2387.4899999999998</v>
      </c>
      <c r="D1411" s="8">
        <v>421.35</v>
      </c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11">
        <v>8.15</v>
      </c>
      <c r="R1411" s="11"/>
      <c r="S1411" s="8">
        <v>13.22</v>
      </c>
      <c r="T1411" s="8"/>
      <c r="U1411" s="8">
        <v>42.16</v>
      </c>
      <c r="V1411" s="8"/>
      <c r="W1411" s="8"/>
      <c r="X1411" s="8"/>
      <c r="Y1411" s="8"/>
      <c r="Z1411" s="8"/>
      <c r="AA1411" s="8"/>
      <c r="AB1411" s="8"/>
      <c r="AC1411" s="8">
        <v>11.25</v>
      </c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11"/>
      <c r="AQ1411" s="8"/>
      <c r="AR1411" s="8"/>
      <c r="AS1411" s="8"/>
      <c r="AT1411" s="8">
        <v>1867.15</v>
      </c>
      <c r="AU1411" s="8"/>
      <c r="AV1411" s="8"/>
      <c r="AW1411" s="8"/>
      <c r="AX1411" s="8"/>
      <c r="AY1411" s="8"/>
      <c r="AZ1411" s="8"/>
      <c r="BA1411" s="8">
        <v>64.39</v>
      </c>
      <c r="BB1411" s="8"/>
      <c r="BC1411" s="8"/>
      <c r="BD1411" s="8"/>
      <c r="BE1411" s="8"/>
      <c r="BF1411" s="8">
        <v>196.74</v>
      </c>
      <c r="BG1411" s="8">
        <v>146.28</v>
      </c>
      <c r="BH1411" s="9">
        <f t="shared" si="189"/>
        <v>2808.8399999999997</v>
      </c>
      <c r="BI1411" s="9">
        <f t="shared" si="190"/>
        <v>8.15</v>
      </c>
      <c r="BJ1411" s="9">
        <f t="shared" si="191"/>
        <v>13.22</v>
      </c>
      <c r="BK1411" s="9">
        <f t="shared" si="192"/>
        <v>42.16</v>
      </c>
      <c r="BL1411" s="9">
        <f t="shared" si="193"/>
        <v>0</v>
      </c>
      <c r="BM1411" s="9">
        <f t="shared" si="194"/>
        <v>11.25</v>
      </c>
      <c r="BN1411" s="9">
        <f t="shared" si="195"/>
        <v>1867.15</v>
      </c>
      <c r="BO1411" s="9">
        <f t="shared" si="196"/>
        <v>64.39</v>
      </c>
      <c r="BP1411" s="9">
        <f t="shared" si="197"/>
        <v>196.74</v>
      </c>
    </row>
    <row r="1412" spans="1:68">
      <c r="A1412" s="6">
        <v>44805</v>
      </c>
      <c r="B1412" s="7">
        <v>3106</v>
      </c>
      <c r="C1412" s="8">
        <v>4041.39</v>
      </c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11">
        <v>10.91</v>
      </c>
      <c r="R1412" s="11"/>
      <c r="S1412" s="8">
        <v>12.12</v>
      </c>
      <c r="T1412" s="8"/>
      <c r="U1412" s="8">
        <v>51.39</v>
      </c>
      <c r="V1412" s="8"/>
      <c r="W1412" s="8"/>
      <c r="X1412" s="8"/>
      <c r="Y1412" s="8"/>
      <c r="Z1412" s="8"/>
      <c r="AA1412" s="8"/>
      <c r="AB1412" s="8"/>
      <c r="AC1412" s="8">
        <v>10.11</v>
      </c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11"/>
      <c r="AQ1412" s="8"/>
      <c r="AR1412" s="8"/>
      <c r="AS1412" s="8"/>
      <c r="AT1412" s="8">
        <v>2315.33</v>
      </c>
      <c r="AU1412" s="8"/>
      <c r="AV1412" s="8"/>
      <c r="AW1412" s="8"/>
      <c r="AX1412" s="8">
        <v>5.0599999999999996</v>
      </c>
      <c r="AY1412" s="8"/>
      <c r="AZ1412" s="8"/>
      <c r="BA1412" s="8"/>
      <c r="BB1412" s="8"/>
      <c r="BC1412" s="8"/>
      <c r="BD1412" s="8"/>
      <c r="BE1412" s="8"/>
      <c r="BF1412" s="8"/>
      <c r="BG1412" s="8">
        <v>173.84</v>
      </c>
      <c r="BH1412" s="9">
        <f t="shared" ref="BH1412:BH1475" si="198">SUM(C1412:L1412)</f>
        <v>4041.39</v>
      </c>
      <c r="BI1412" s="9">
        <f t="shared" ref="BI1412:BI1475" si="199">SUM(M1412:R1412)</f>
        <v>10.91</v>
      </c>
      <c r="BJ1412" s="9">
        <f t="shared" ref="BJ1412:BJ1475" si="200">SUM(S1412)</f>
        <v>12.12</v>
      </c>
      <c r="BK1412" s="9">
        <f t="shared" ref="BK1412:BK1475" si="201">SUM(T1412:Y1412)</f>
        <v>51.39</v>
      </c>
      <c r="BL1412" s="9">
        <f t="shared" ref="BL1412:BL1475" si="202">SUM(Z1412:AA1412)</f>
        <v>0</v>
      </c>
      <c r="BM1412" s="9">
        <f t="shared" ref="BM1412:BM1475" si="203">SUM(AB1412:AS1412)</f>
        <v>10.11</v>
      </c>
      <c r="BN1412" s="9">
        <f t="shared" ref="BN1412:BN1475" si="204">SUM(AT1412:AU1412)</f>
        <v>2315.33</v>
      </c>
      <c r="BO1412" s="9">
        <f t="shared" ref="BO1412:BO1475" si="205">SUM(AV1412:BE1412)</f>
        <v>5.0599999999999996</v>
      </c>
      <c r="BP1412" s="9">
        <f t="shared" ref="BP1412:BP1475" si="206">SUM(BF1412)</f>
        <v>0</v>
      </c>
    </row>
    <row r="1413" spans="1:68">
      <c r="A1413" s="6">
        <v>44805</v>
      </c>
      <c r="B1413" s="7">
        <v>8266</v>
      </c>
      <c r="C1413" s="8">
        <v>290.42</v>
      </c>
      <c r="D1413" s="8"/>
      <c r="E1413" s="8"/>
      <c r="F1413" s="8"/>
      <c r="G1413" s="8">
        <v>435.94</v>
      </c>
      <c r="H1413" s="8"/>
      <c r="I1413" s="8"/>
      <c r="J1413" s="8"/>
      <c r="K1413" s="8"/>
      <c r="L1413" s="8"/>
      <c r="M1413" s="8">
        <f>107*8.28/1000</f>
        <v>0.88595999999999997</v>
      </c>
      <c r="N1413" s="8"/>
      <c r="O1413" s="8"/>
      <c r="P1413" s="8"/>
      <c r="Q1413" s="11"/>
      <c r="R1413" s="11"/>
      <c r="S1413" s="8">
        <v>3.65</v>
      </c>
      <c r="T1413" s="8"/>
      <c r="U1413" s="8">
        <v>4.3499999999999996</v>
      </c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11"/>
      <c r="AQ1413" s="8"/>
      <c r="AR1413" s="8"/>
      <c r="AS1413" s="8"/>
      <c r="AT1413" s="8">
        <v>341.77</v>
      </c>
      <c r="AU1413" s="8"/>
      <c r="AV1413" s="8"/>
      <c r="AW1413" s="8">
        <v>22.06</v>
      </c>
      <c r="AX1413" s="8"/>
      <c r="AY1413" s="8"/>
      <c r="AZ1413" s="8"/>
      <c r="BA1413" s="8"/>
      <c r="BB1413" s="8"/>
      <c r="BC1413" s="8"/>
      <c r="BD1413" s="8"/>
      <c r="BE1413" s="8"/>
      <c r="BF1413" s="8">
        <v>40.659999999999997</v>
      </c>
      <c r="BG1413" s="8">
        <v>25.89</v>
      </c>
      <c r="BH1413" s="9">
        <f t="shared" si="198"/>
        <v>726.36</v>
      </c>
      <c r="BI1413" s="9">
        <f t="shared" si="199"/>
        <v>0.88595999999999997</v>
      </c>
      <c r="BJ1413" s="9">
        <f t="shared" si="200"/>
        <v>3.65</v>
      </c>
      <c r="BK1413" s="9">
        <f t="shared" si="201"/>
        <v>4.3499999999999996</v>
      </c>
      <c r="BL1413" s="9">
        <f t="shared" si="202"/>
        <v>0</v>
      </c>
      <c r="BM1413" s="9">
        <f t="shared" si="203"/>
        <v>0</v>
      </c>
      <c r="BN1413" s="9">
        <f t="shared" si="204"/>
        <v>341.77</v>
      </c>
      <c r="BO1413" s="9">
        <f t="shared" si="205"/>
        <v>22.06</v>
      </c>
      <c r="BP1413" s="9">
        <f t="shared" si="206"/>
        <v>40.659999999999997</v>
      </c>
    </row>
    <row r="1414" spans="1:68">
      <c r="A1414" s="6">
        <v>44805</v>
      </c>
      <c r="B1414" s="7">
        <v>3602</v>
      </c>
      <c r="C1414" s="8">
        <v>595.19000000000005</v>
      </c>
      <c r="D1414" s="8"/>
      <c r="E1414" s="8"/>
      <c r="F1414" s="8"/>
      <c r="G1414" s="8">
        <v>893.08</v>
      </c>
      <c r="H1414" s="8"/>
      <c r="I1414" s="8"/>
      <c r="J1414" s="8"/>
      <c r="K1414" s="8"/>
      <c r="L1414" s="8"/>
      <c r="M1414" s="8">
        <f>94*17.03/1000</f>
        <v>1.6008200000000001</v>
      </c>
      <c r="N1414" s="8"/>
      <c r="O1414" s="8"/>
      <c r="P1414" s="8"/>
      <c r="Q1414" s="11"/>
      <c r="R1414" s="11"/>
      <c r="S1414" s="8">
        <v>7.15</v>
      </c>
      <c r="T1414" s="8"/>
      <c r="U1414" s="8">
        <v>11.94</v>
      </c>
      <c r="V1414" s="8">
        <f>849*17.03/1000</f>
        <v>14.458470000000002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11"/>
      <c r="AQ1414" s="8"/>
      <c r="AR1414" s="8"/>
      <c r="AS1414" s="8"/>
      <c r="AT1414" s="8">
        <v>623.75</v>
      </c>
      <c r="AU1414" s="8"/>
      <c r="AV1414" s="8"/>
      <c r="AW1414" s="8">
        <v>38.54</v>
      </c>
      <c r="AX1414" s="8"/>
      <c r="AY1414" s="8"/>
      <c r="AZ1414" s="8"/>
      <c r="BA1414" s="8"/>
      <c r="BB1414" s="8"/>
      <c r="BC1414" s="8"/>
      <c r="BD1414" s="8"/>
      <c r="BE1414" s="8"/>
      <c r="BF1414" s="8">
        <v>47.79</v>
      </c>
      <c r="BG1414" s="8">
        <v>46.59</v>
      </c>
      <c r="BH1414" s="9">
        <f t="shared" si="198"/>
        <v>1488.27</v>
      </c>
      <c r="BI1414" s="9">
        <f t="shared" si="199"/>
        <v>1.6008200000000001</v>
      </c>
      <c r="BJ1414" s="9">
        <f t="shared" si="200"/>
        <v>7.15</v>
      </c>
      <c r="BK1414" s="9">
        <f t="shared" si="201"/>
        <v>26.398470000000003</v>
      </c>
      <c r="BL1414" s="9">
        <f t="shared" si="202"/>
        <v>0</v>
      </c>
      <c r="BM1414" s="9">
        <f t="shared" si="203"/>
        <v>0</v>
      </c>
      <c r="BN1414" s="9">
        <f t="shared" si="204"/>
        <v>623.75</v>
      </c>
      <c r="BO1414" s="9">
        <f t="shared" si="205"/>
        <v>38.54</v>
      </c>
      <c r="BP1414" s="9">
        <f t="shared" si="206"/>
        <v>47.79</v>
      </c>
    </row>
    <row r="1415" spans="1:68">
      <c r="A1415" s="6">
        <v>44805</v>
      </c>
      <c r="B1415" s="7">
        <v>3118</v>
      </c>
      <c r="C1415" s="8">
        <v>652.14</v>
      </c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11">
        <v>2.15</v>
      </c>
      <c r="R1415" s="11"/>
      <c r="S1415" s="8">
        <v>3.59</v>
      </c>
      <c r="T1415" s="8"/>
      <c r="U1415" s="8">
        <v>7.83</v>
      </c>
      <c r="V1415" s="8"/>
      <c r="W1415" s="8"/>
      <c r="X1415" s="8"/>
      <c r="Y1415" s="8"/>
      <c r="Z1415" s="8"/>
      <c r="AA1415" s="8"/>
      <c r="AB1415" s="8"/>
      <c r="AC1415" s="8">
        <v>2.61</v>
      </c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11"/>
      <c r="AQ1415" s="8"/>
      <c r="AR1415" s="8"/>
      <c r="AS1415" s="8"/>
      <c r="AT1415" s="8">
        <v>423.91</v>
      </c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>
        <v>45.68</v>
      </c>
      <c r="BG1415" s="8">
        <v>32.39</v>
      </c>
      <c r="BH1415" s="9">
        <f t="shared" si="198"/>
        <v>652.14</v>
      </c>
      <c r="BI1415" s="9">
        <f t="shared" si="199"/>
        <v>2.15</v>
      </c>
      <c r="BJ1415" s="9">
        <f t="shared" si="200"/>
        <v>3.59</v>
      </c>
      <c r="BK1415" s="9">
        <f t="shared" si="201"/>
        <v>7.83</v>
      </c>
      <c r="BL1415" s="9">
        <f t="shared" si="202"/>
        <v>0</v>
      </c>
      <c r="BM1415" s="9">
        <f t="shared" si="203"/>
        <v>2.61</v>
      </c>
      <c r="BN1415" s="9">
        <f t="shared" si="204"/>
        <v>423.91</v>
      </c>
      <c r="BO1415" s="9">
        <f t="shared" si="205"/>
        <v>0</v>
      </c>
      <c r="BP1415" s="9">
        <f t="shared" si="206"/>
        <v>45.68</v>
      </c>
    </row>
    <row r="1416" spans="1:68">
      <c r="A1416" s="6">
        <v>44805</v>
      </c>
      <c r="B1416" s="7">
        <v>3100</v>
      </c>
      <c r="C1416" s="8">
        <v>648.41999999999996</v>
      </c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11">
        <v>1.52</v>
      </c>
      <c r="R1416" s="11"/>
      <c r="S1416" s="8">
        <v>3.73</v>
      </c>
      <c r="T1416" s="8"/>
      <c r="U1416" s="8">
        <v>10.38</v>
      </c>
      <c r="V1416" s="8"/>
      <c r="W1416" s="8"/>
      <c r="X1416" s="8"/>
      <c r="Y1416" s="8"/>
      <c r="Z1416" s="8"/>
      <c r="AA1416" s="8"/>
      <c r="AB1416" s="8"/>
      <c r="AC1416" s="8">
        <v>2.6</v>
      </c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11"/>
      <c r="AQ1416" s="8"/>
      <c r="AR1416" s="8"/>
      <c r="AS1416" s="8"/>
      <c r="AT1416" s="8">
        <v>437.91</v>
      </c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>
        <v>84.22</v>
      </c>
      <c r="BG1416" s="8">
        <v>33.450000000000003</v>
      </c>
      <c r="BH1416" s="9">
        <f t="shared" si="198"/>
        <v>648.41999999999996</v>
      </c>
      <c r="BI1416" s="9">
        <f t="shared" si="199"/>
        <v>1.52</v>
      </c>
      <c r="BJ1416" s="9">
        <f t="shared" si="200"/>
        <v>3.73</v>
      </c>
      <c r="BK1416" s="9">
        <f t="shared" si="201"/>
        <v>10.38</v>
      </c>
      <c r="BL1416" s="9">
        <f t="shared" si="202"/>
        <v>0</v>
      </c>
      <c r="BM1416" s="9">
        <f t="shared" si="203"/>
        <v>2.6</v>
      </c>
      <c r="BN1416" s="9">
        <f t="shared" si="204"/>
        <v>437.91</v>
      </c>
      <c r="BO1416" s="9">
        <f t="shared" si="205"/>
        <v>0</v>
      </c>
      <c r="BP1416" s="9">
        <f t="shared" si="206"/>
        <v>84.22</v>
      </c>
    </row>
    <row r="1417" spans="1:68">
      <c r="A1417" s="6">
        <v>44806</v>
      </c>
      <c r="B1417" s="7">
        <v>8224</v>
      </c>
      <c r="C1417" s="8">
        <v>105.61</v>
      </c>
      <c r="D1417" s="8">
        <v>159.19999999999999</v>
      </c>
      <c r="E1417" s="8"/>
      <c r="F1417" s="8"/>
      <c r="G1417" s="8"/>
      <c r="H1417" s="8"/>
      <c r="I1417" s="8"/>
      <c r="J1417" s="8"/>
      <c r="K1417" s="8"/>
      <c r="L1417" s="8"/>
      <c r="M1417" s="8"/>
      <c r="N1417" s="8">
        <v>0.48</v>
      </c>
      <c r="O1417" s="8"/>
      <c r="P1417" s="8"/>
      <c r="Q1417" s="11"/>
      <c r="R1417" s="11"/>
      <c r="S1417" s="8">
        <v>0.8</v>
      </c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11"/>
      <c r="AQ1417" s="8"/>
      <c r="AR1417" s="8"/>
      <c r="AS1417" s="8"/>
      <c r="AT1417" s="8">
        <v>107.38</v>
      </c>
      <c r="AU1417" s="8"/>
      <c r="AV1417" s="8"/>
      <c r="AW1417" s="8">
        <v>5.19</v>
      </c>
      <c r="AX1417" s="8"/>
      <c r="AY1417" s="8"/>
      <c r="AZ1417" s="8"/>
      <c r="BA1417" s="8"/>
      <c r="BB1417" s="8"/>
      <c r="BC1417" s="8"/>
      <c r="BD1417" s="8"/>
      <c r="BE1417" s="8"/>
      <c r="BF1417" s="8"/>
      <c r="BG1417" s="8">
        <v>8.19</v>
      </c>
      <c r="BH1417" s="9">
        <f t="shared" si="198"/>
        <v>264.81</v>
      </c>
      <c r="BI1417" s="9">
        <f t="shared" si="199"/>
        <v>0.48</v>
      </c>
      <c r="BJ1417" s="9">
        <f t="shared" si="200"/>
        <v>0.8</v>
      </c>
      <c r="BK1417" s="9">
        <f t="shared" si="201"/>
        <v>0</v>
      </c>
      <c r="BL1417" s="9">
        <f t="shared" si="202"/>
        <v>0</v>
      </c>
      <c r="BM1417" s="9">
        <f t="shared" si="203"/>
        <v>0</v>
      </c>
      <c r="BN1417" s="9">
        <f t="shared" si="204"/>
        <v>107.38</v>
      </c>
      <c r="BO1417" s="9">
        <f t="shared" si="205"/>
        <v>5.19</v>
      </c>
      <c r="BP1417" s="9">
        <f t="shared" si="206"/>
        <v>0</v>
      </c>
    </row>
    <row r="1418" spans="1:68">
      <c r="A1418" s="6">
        <v>44806</v>
      </c>
      <c r="B1418" s="7">
        <v>3705</v>
      </c>
      <c r="C1418" s="8"/>
      <c r="D1418" s="8">
        <v>717.81</v>
      </c>
      <c r="E1418" s="8"/>
      <c r="F1418" s="8"/>
      <c r="G1418" s="8"/>
      <c r="H1418" s="8"/>
      <c r="I1418" s="8">
        <v>157.22</v>
      </c>
      <c r="J1418" s="8"/>
      <c r="K1418" s="8"/>
      <c r="L1418" s="8"/>
      <c r="M1418" s="8"/>
      <c r="N1418" s="8"/>
      <c r="O1418" s="8"/>
      <c r="P1418" s="8"/>
      <c r="Q1418" s="11">
        <v>2.63</v>
      </c>
      <c r="R1418" s="11"/>
      <c r="S1418" s="8">
        <v>3.06</v>
      </c>
      <c r="T1418" s="8"/>
      <c r="U1418" s="8">
        <v>6.12</v>
      </c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11"/>
      <c r="AQ1418" s="8"/>
      <c r="AR1418" s="8"/>
      <c r="AS1418" s="8"/>
      <c r="AT1418" s="8">
        <v>52.01</v>
      </c>
      <c r="AU1418" s="8">
        <v>104.09</v>
      </c>
      <c r="AV1418" s="8">
        <v>1.75</v>
      </c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>
        <v>8.59</v>
      </c>
      <c r="BH1418" s="9">
        <f t="shared" si="198"/>
        <v>875.03</v>
      </c>
      <c r="BI1418" s="9">
        <f t="shared" si="199"/>
        <v>2.63</v>
      </c>
      <c r="BJ1418" s="9">
        <f t="shared" si="200"/>
        <v>3.06</v>
      </c>
      <c r="BK1418" s="9">
        <f t="shared" si="201"/>
        <v>6.12</v>
      </c>
      <c r="BL1418" s="9">
        <f t="shared" si="202"/>
        <v>0</v>
      </c>
      <c r="BM1418" s="9">
        <f t="shared" si="203"/>
        <v>0</v>
      </c>
      <c r="BN1418" s="9">
        <f t="shared" si="204"/>
        <v>156.1</v>
      </c>
      <c r="BO1418" s="9">
        <f t="shared" si="205"/>
        <v>1.75</v>
      </c>
      <c r="BP1418" s="9">
        <f t="shared" si="206"/>
        <v>0</v>
      </c>
    </row>
    <row r="1419" spans="1:68">
      <c r="A1419" s="6">
        <v>44806</v>
      </c>
      <c r="B1419" s="7">
        <v>3405</v>
      </c>
      <c r="C1419" s="8">
        <v>1190.5899999999999</v>
      </c>
      <c r="D1419" s="8">
        <v>297.27999999999997</v>
      </c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11">
        <v>3.39</v>
      </c>
      <c r="R1419" s="11"/>
      <c r="S1419" s="8">
        <v>3.43</v>
      </c>
      <c r="T1419" s="8"/>
      <c r="U1419" s="8"/>
      <c r="V1419" s="8"/>
      <c r="W1419" s="8"/>
      <c r="X1419" s="8">
        <f>1213*14.92/1000</f>
        <v>18.09796</v>
      </c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11"/>
      <c r="AQ1419" s="8"/>
      <c r="AR1419" s="8"/>
      <c r="AS1419" s="8"/>
      <c r="AT1419" s="8">
        <v>732.95</v>
      </c>
      <c r="AU1419" s="8"/>
      <c r="AV1419" s="8"/>
      <c r="AW1419" s="8"/>
      <c r="AX1419" s="8"/>
      <c r="AY1419" s="8"/>
      <c r="AZ1419" s="8"/>
      <c r="BA1419" s="8">
        <v>6.68</v>
      </c>
      <c r="BB1419" s="8"/>
      <c r="BC1419" s="8"/>
      <c r="BD1419" s="8"/>
      <c r="BE1419" s="8"/>
      <c r="BF1419" s="8"/>
      <c r="BG1419" s="8">
        <v>49.34</v>
      </c>
      <c r="BH1419" s="9">
        <f t="shared" si="198"/>
        <v>1487.87</v>
      </c>
      <c r="BI1419" s="9">
        <f t="shared" si="199"/>
        <v>3.39</v>
      </c>
      <c r="BJ1419" s="9">
        <f t="shared" si="200"/>
        <v>3.43</v>
      </c>
      <c r="BK1419" s="9">
        <f t="shared" si="201"/>
        <v>18.09796</v>
      </c>
      <c r="BL1419" s="9">
        <f t="shared" si="202"/>
        <v>0</v>
      </c>
      <c r="BM1419" s="9">
        <f t="shared" si="203"/>
        <v>0</v>
      </c>
      <c r="BN1419" s="9">
        <f t="shared" si="204"/>
        <v>732.95</v>
      </c>
      <c r="BO1419" s="9">
        <f t="shared" si="205"/>
        <v>6.68</v>
      </c>
      <c r="BP1419" s="9">
        <f t="shared" si="206"/>
        <v>0</v>
      </c>
    </row>
    <row r="1420" spans="1:68">
      <c r="A1420" s="6">
        <v>44806</v>
      </c>
      <c r="B1420" s="7">
        <v>3433</v>
      </c>
      <c r="C1420" s="8">
        <v>624.77</v>
      </c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11">
        <v>1.76</v>
      </c>
      <c r="R1420" s="11"/>
      <c r="S1420" s="8">
        <v>2.4900000000000002</v>
      </c>
      <c r="T1420" s="8"/>
      <c r="U1420" s="8"/>
      <c r="V1420" s="8"/>
      <c r="W1420" s="8"/>
      <c r="X1420" s="8">
        <f>857*7.35/1000</f>
        <v>6.2989499999999996</v>
      </c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11"/>
      <c r="AQ1420" s="8"/>
      <c r="AR1420" s="8"/>
      <c r="AS1420" s="8"/>
      <c r="AT1420" s="8">
        <v>284.66000000000003</v>
      </c>
      <c r="AU1420" s="8"/>
      <c r="AV1420" s="8"/>
      <c r="AW1420" s="8"/>
      <c r="AX1420" s="8"/>
      <c r="AY1420" s="8"/>
      <c r="AZ1420" s="8"/>
      <c r="BA1420" s="8">
        <v>2.8</v>
      </c>
      <c r="BB1420" s="8"/>
      <c r="BC1420" s="8"/>
      <c r="BD1420" s="8"/>
      <c r="BE1420" s="8"/>
      <c r="BF1420" s="8">
        <v>31.28</v>
      </c>
      <c r="BG1420" s="8">
        <v>21.04</v>
      </c>
      <c r="BH1420" s="9">
        <f t="shared" si="198"/>
        <v>624.77</v>
      </c>
      <c r="BI1420" s="9">
        <f t="shared" si="199"/>
        <v>1.76</v>
      </c>
      <c r="BJ1420" s="9">
        <f t="shared" si="200"/>
        <v>2.4900000000000002</v>
      </c>
      <c r="BK1420" s="9">
        <f t="shared" si="201"/>
        <v>6.2989499999999996</v>
      </c>
      <c r="BL1420" s="9">
        <f t="shared" si="202"/>
        <v>0</v>
      </c>
      <c r="BM1420" s="9">
        <f t="shared" si="203"/>
        <v>0</v>
      </c>
      <c r="BN1420" s="9">
        <f t="shared" si="204"/>
        <v>284.66000000000003</v>
      </c>
      <c r="BO1420" s="9">
        <f t="shared" si="205"/>
        <v>2.8</v>
      </c>
      <c r="BP1420" s="9">
        <f t="shared" si="206"/>
        <v>31.28</v>
      </c>
    </row>
    <row r="1421" spans="1:68">
      <c r="A1421" s="6">
        <v>44806</v>
      </c>
      <c r="B1421" s="7">
        <v>3408</v>
      </c>
      <c r="C1421" s="8">
        <v>1441.01</v>
      </c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11">
        <v>3.66</v>
      </c>
      <c r="R1421" s="11"/>
      <c r="S1421" s="8">
        <v>3.61</v>
      </c>
      <c r="T1421" s="8"/>
      <c r="U1421" s="8"/>
      <c r="V1421" s="8"/>
      <c r="W1421" s="8"/>
      <c r="X1421" s="8">
        <f>1021*14.42/1000</f>
        <v>14.72282</v>
      </c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11"/>
      <c r="AQ1421" s="8"/>
      <c r="AR1421" s="8"/>
      <c r="AS1421" s="8"/>
      <c r="AT1421" s="8">
        <v>720.18</v>
      </c>
      <c r="AU1421" s="8"/>
      <c r="AV1421" s="8"/>
      <c r="AW1421" s="8"/>
      <c r="AX1421" s="8"/>
      <c r="AY1421" s="8"/>
      <c r="AZ1421" s="8"/>
      <c r="BA1421" s="8">
        <v>6.49</v>
      </c>
      <c r="BB1421" s="8"/>
      <c r="BC1421" s="8"/>
      <c r="BD1421" s="8"/>
      <c r="BE1421" s="8"/>
      <c r="BF1421" s="8"/>
      <c r="BG1421" s="8">
        <v>49.18</v>
      </c>
      <c r="BH1421" s="9">
        <f t="shared" si="198"/>
        <v>1441.01</v>
      </c>
      <c r="BI1421" s="9">
        <f t="shared" si="199"/>
        <v>3.66</v>
      </c>
      <c r="BJ1421" s="9">
        <f t="shared" si="200"/>
        <v>3.61</v>
      </c>
      <c r="BK1421" s="9">
        <f t="shared" si="201"/>
        <v>14.72282</v>
      </c>
      <c r="BL1421" s="9">
        <f t="shared" si="202"/>
        <v>0</v>
      </c>
      <c r="BM1421" s="9">
        <f t="shared" si="203"/>
        <v>0</v>
      </c>
      <c r="BN1421" s="9">
        <f t="shared" si="204"/>
        <v>720.18</v>
      </c>
      <c r="BO1421" s="9">
        <f t="shared" si="205"/>
        <v>6.49</v>
      </c>
      <c r="BP1421" s="9">
        <f t="shared" si="206"/>
        <v>0</v>
      </c>
    </row>
    <row r="1422" spans="1:68">
      <c r="A1422" s="6">
        <v>44806</v>
      </c>
      <c r="B1422" s="7">
        <v>3020</v>
      </c>
      <c r="C1422" s="8"/>
      <c r="D1422" s="8">
        <v>170.88</v>
      </c>
      <c r="E1422" s="8"/>
      <c r="F1422" s="8"/>
      <c r="G1422" s="8"/>
      <c r="H1422" s="8"/>
      <c r="I1422" s="8">
        <v>966.66</v>
      </c>
      <c r="J1422" s="8"/>
      <c r="K1422" s="8"/>
      <c r="L1422" s="8"/>
      <c r="M1422" s="8"/>
      <c r="N1422" s="8">
        <v>6.82</v>
      </c>
      <c r="O1422" s="8"/>
      <c r="P1422" s="8"/>
      <c r="Q1422" s="11"/>
      <c r="R1422" s="11"/>
      <c r="S1422" s="8">
        <v>2.04</v>
      </c>
      <c r="T1422" s="8"/>
      <c r="U1422" s="8"/>
      <c r="V1422" s="8"/>
      <c r="W1422" s="8">
        <v>11.38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>
        <v>11.36</v>
      </c>
      <c r="AN1422" s="8"/>
      <c r="AO1422" s="8"/>
      <c r="AP1422" s="11"/>
      <c r="AQ1422" s="8"/>
      <c r="AR1422" s="8"/>
      <c r="AS1422" s="8">
        <f>3046*9.47/1000</f>
        <v>28.845620000000004</v>
      </c>
      <c r="AT1422" s="8">
        <v>557.89</v>
      </c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>
        <v>40.869999999999997</v>
      </c>
      <c r="BH1422" s="9">
        <f t="shared" si="198"/>
        <v>1137.54</v>
      </c>
      <c r="BI1422" s="9">
        <f t="shared" si="199"/>
        <v>6.82</v>
      </c>
      <c r="BJ1422" s="9">
        <f t="shared" si="200"/>
        <v>2.04</v>
      </c>
      <c r="BK1422" s="9">
        <f t="shared" si="201"/>
        <v>11.38</v>
      </c>
      <c r="BL1422" s="9">
        <f t="shared" si="202"/>
        <v>0</v>
      </c>
      <c r="BM1422" s="9">
        <f t="shared" si="203"/>
        <v>40.205620000000003</v>
      </c>
      <c r="BN1422" s="9">
        <f t="shared" si="204"/>
        <v>557.89</v>
      </c>
      <c r="BO1422" s="9">
        <f t="shared" si="205"/>
        <v>0</v>
      </c>
      <c r="BP1422" s="9">
        <f t="shared" si="206"/>
        <v>0</v>
      </c>
    </row>
    <row r="1423" spans="1:68">
      <c r="A1423" s="6">
        <v>44806</v>
      </c>
      <c r="B1423" s="7">
        <v>3025</v>
      </c>
      <c r="C1423" s="8"/>
      <c r="D1423" s="8">
        <v>118.93</v>
      </c>
      <c r="E1423" s="8"/>
      <c r="F1423" s="8"/>
      <c r="G1423" s="8"/>
      <c r="H1423" s="8"/>
      <c r="I1423" s="8">
        <v>657.87</v>
      </c>
      <c r="J1423" s="8"/>
      <c r="K1423" s="8"/>
      <c r="L1423" s="8"/>
      <c r="M1423" s="8"/>
      <c r="N1423" s="8">
        <v>4.1900000000000004</v>
      </c>
      <c r="O1423" s="8"/>
      <c r="P1423" s="8"/>
      <c r="Q1423" s="11"/>
      <c r="R1423" s="11"/>
      <c r="S1423" s="8">
        <v>1.24</v>
      </c>
      <c r="T1423" s="8"/>
      <c r="U1423" s="8"/>
      <c r="V1423" s="8"/>
      <c r="W1423" s="8">
        <v>6.99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>
        <v>7.77</v>
      </c>
      <c r="AN1423" s="8">
        <f>706*7.77/1000</f>
        <v>5.4856199999999999</v>
      </c>
      <c r="AO1423" s="8"/>
      <c r="AP1423" s="11"/>
      <c r="AQ1423" s="8"/>
      <c r="AR1423" s="8"/>
      <c r="AS1423" s="8">
        <f>3329*7.77/1000</f>
        <v>25.866329999999998</v>
      </c>
      <c r="AT1423" s="8">
        <v>267.85000000000002</v>
      </c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>
        <v>17.809999999999999</v>
      </c>
      <c r="BH1423" s="9">
        <f t="shared" si="198"/>
        <v>776.8</v>
      </c>
      <c r="BI1423" s="9">
        <f t="shared" si="199"/>
        <v>4.1900000000000004</v>
      </c>
      <c r="BJ1423" s="9">
        <f t="shared" si="200"/>
        <v>1.24</v>
      </c>
      <c r="BK1423" s="9">
        <f t="shared" si="201"/>
        <v>6.99</v>
      </c>
      <c r="BL1423" s="9">
        <f t="shared" si="202"/>
        <v>0</v>
      </c>
      <c r="BM1423" s="9">
        <f t="shared" si="203"/>
        <v>39.121949999999998</v>
      </c>
      <c r="BN1423" s="9">
        <f t="shared" si="204"/>
        <v>267.85000000000002</v>
      </c>
      <c r="BO1423" s="9">
        <f t="shared" si="205"/>
        <v>0</v>
      </c>
      <c r="BP1423" s="9">
        <f t="shared" si="206"/>
        <v>0</v>
      </c>
    </row>
    <row r="1424" spans="1:68">
      <c r="A1424" s="6">
        <v>44806</v>
      </c>
      <c r="B1424" s="7">
        <v>3023</v>
      </c>
      <c r="C1424" s="8"/>
      <c r="D1424" s="8">
        <v>474.12</v>
      </c>
      <c r="E1424" s="8"/>
      <c r="F1424" s="8"/>
      <c r="G1424" s="8"/>
      <c r="H1424" s="8"/>
      <c r="I1424" s="8">
        <v>257.68</v>
      </c>
      <c r="J1424" s="8"/>
      <c r="K1424" s="8"/>
      <c r="L1424" s="8"/>
      <c r="M1424" s="8"/>
      <c r="N1424" s="8">
        <v>4.0999999999999996</v>
      </c>
      <c r="O1424" s="8"/>
      <c r="P1424" s="8"/>
      <c r="Q1424" s="11"/>
      <c r="R1424" s="11"/>
      <c r="S1424" s="8">
        <v>1.17</v>
      </c>
      <c r="T1424" s="8"/>
      <c r="U1424" s="8"/>
      <c r="V1424" s="8"/>
      <c r="W1424" s="8">
        <v>6.59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>
        <v>7.31</v>
      </c>
      <c r="AN1424" s="8">
        <f>1022*5.05/1000</f>
        <v>5.1610999999999994</v>
      </c>
      <c r="AO1424" s="8"/>
      <c r="AP1424" s="11"/>
      <c r="AQ1424" s="8"/>
      <c r="AR1424" s="8"/>
      <c r="AS1424" s="8">
        <f>4782*5.05/1000</f>
        <v>24.149099999999997</v>
      </c>
      <c r="AT1424" s="8">
        <v>300.19</v>
      </c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>
        <v>22.69</v>
      </c>
      <c r="BH1424" s="9">
        <f t="shared" si="198"/>
        <v>731.8</v>
      </c>
      <c r="BI1424" s="9">
        <f t="shared" si="199"/>
        <v>4.0999999999999996</v>
      </c>
      <c r="BJ1424" s="9">
        <f t="shared" si="200"/>
        <v>1.17</v>
      </c>
      <c r="BK1424" s="9">
        <f t="shared" si="201"/>
        <v>6.59</v>
      </c>
      <c r="BL1424" s="9">
        <f t="shared" si="202"/>
        <v>0</v>
      </c>
      <c r="BM1424" s="9">
        <f t="shared" si="203"/>
        <v>36.620199999999997</v>
      </c>
      <c r="BN1424" s="9">
        <f t="shared" si="204"/>
        <v>300.19</v>
      </c>
      <c r="BO1424" s="9">
        <f t="shared" si="205"/>
        <v>0</v>
      </c>
      <c r="BP1424" s="9">
        <f t="shared" si="206"/>
        <v>0</v>
      </c>
    </row>
    <row r="1425" spans="1:68">
      <c r="A1425" s="6">
        <v>44806</v>
      </c>
      <c r="B1425" s="7">
        <v>3134</v>
      </c>
      <c r="C1425" s="8">
        <v>1065.01</v>
      </c>
      <c r="D1425" s="8">
        <v>151.04</v>
      </c>
      <c r="E1425" s="8"/>
      <c r="F1425" s="8"/>
      <c r="G1425" s="8"/>
      <c r="H1425" s="8">
        <v>503.95</v>
      </c>
      <c r="I1425" s="8"/>
      <c r="J1425" s="8"/>
      <c r="K1425" s="8"/>
      <c r="L1425" s="8"/>
      <c r="M1425" s="8"/>
      <c r="N1425" s="8"/>
      <c r="O1425" s="8"/>
      <c r="P1425" s="8"/>
      <c r="Q1425" s="11">
        <v>3.25</v>
      </c>
      <c r="R1425" s="11"/>
      <c r="S1425" s="8">
        <v>6.89</v>
      </c>
      <c r="T1425" s="8"/>
      <c r="U1425" s="8">
        <v>19.5</v>
      </c>
      <c r="V1425" s="8"/>
      <c r="W1425" s="8"/>
      <c r="X1425" s="8"/>
      <c r="Y1425" s="8"/>
      <c r="Z1425" s="8"/>
      <c r="AA1425" s="8"/>
      <c r="AB1425" s="8"/>
      <c r="AC1425" s="8">
        <v>5.99</v>
      </c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11"/>
      <c r="AQ1425" s="8"/>
      <c r="AR1425" s="8"/>
      <c r="AS1425" s="8"/>
      <c r="AT1425" s="8">
        <v>1056.92</v>
      </c>
      <c r="AU1425" s="8"/>
      <c r="AV1425" s="8"/>
      <c r="AW1425" s="8"/>
      <c r="AX1425" s="8"/>
      <c r="AY1425" s="8">
        <f>1434*10.7/1000</f>
        <v>15.3438</v>
      </c>
      <c r="AZ1425" s="8"/>
      <c r="BA1425" s="8"/>
      <c r="BB1425" s="8"/>
      <c r="BC1425" s="8"/>
      <c r="BD1425" s="8"/>
      <c r="BE1425" s="8"/>
      <c r="BF1425" s="8">
        <v>67.45</v>
      </c>
      <c r="BG1425" s="8">
        <v>79.7</v>
      </c>
      <c r="BH1425" s="9">
        <f t="shared" si="198"/>
        <v>1720</v>
      </c>
      <c r="BI1425" s="9">
        <f t="shared" si="199"/>
        <v>3.25</v>
      </c>
      <c r="BJ1425" s="9">
        <f t="shared" si="200"/>
        <v>6.89</v>
      </c>
      <c r="BK1425" s="9">
        <f t="shared" si="201"/>
        <v>19.5</v>
      </c>
      <c r="BL1425" s="9">
        <f t="shared" si="202"/>
        <v>0</v>
      </c>
      <c r="BM1425" s="9">
        <f t="shared" si="203"/>
        <v>5.99</v>
      </c>
      <c r="BN1425" s="9">
        <f t="shared" si="204"/>
        <v>1056.92</v>
      </c>
      <c r="BO1425" s="9">
        <f t="shared" si="205"/>
        <v>15.3438</v>
      </c>
      <c r="BP1425" s="9">
        <f t="shared" si="206"/>
        <v>67.45</v>
      </c>
    </row>
    <row r="1426" spans="1:68">
      <c r="A1426" s="6">
        <v>44806</v>
      </c>
      <c r="B1426" s="7">
        <v>3106</v>
      </c>
      <c r="C1426" s="8">
        <v>4039.08</v>
      </c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11">
        <v>10.93</v>
      </c>
      <c r="R1426" s="11"/>
      <c r="S1426" s="8">
        <v>12.16</v>
      </c>
      <c r="T1426" s="8"/>
      <c r="U1426" s="8">
        <v>51.57</v>
      </c>
      <c r="V1426" s="8"/>
      <c r="W1426" s="8"/>
      <c r="X1426" s="8"/>
      <c r="Y1426" s="8"/>
      <c r="Z1426" s="8"/>
      <c r="AA1426" s="8"/>
      <c r="AB1426" s="8"/>
      <c r="AC1426" s="8">
        <v>10.11</v>
      </c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11"/>
      <c r="AQ1426" s="8"/>
      <c r="AR1426" s="8"/>
      <c r="AS1426" s="8"/>
      <c r="AT1426" s="8">
        <v>2315.17</v>
      </c>
      <c r="AU1426" s="8"/>
      <c r="AV1426" s="8"/>
      <c r="AW1426" s="8"/>
      <c r="AX1426" s="8">
        <v>5.0599999999999996</v>
      </c>
      <c r="AY1426" s="8"/>
      <c r="AZ1426" s="8"/>
      <c r="BA1426" s="8"/>
      <c r="BB1426" s="8"/>
      <c r="BC1426" s="8"/>
      <c r="BD1426" s="8"/>
      <c r="BE1426" s="8"/>
      <c r="BF1426" s="8"/>
      <c r="BG1426" s="8" t="s">
        <v>75</v>
      </c>
      <c r="BH1426" s="9">
        <f t="shared" si="198"/>
        <v>4039.08</v>
      </c>
      <c r="BI1426" s="9">
        <f t="shared" si="199"/>
        <v>10.93</v>
      </c>
      <c r="BJ1426" s="9">
        <f t="shared" si="200"/>
        <v>12.16</v>
      </c>
      <c r="BK1426" s="9">
        <f t="shared" si="201"/>
        <v>51.57</v>
      </c>
      <c r="BL1426" s="9">
        <f t="shared" si="202"/>
        <v>0</v>
      </c>
      <c r="BM1426" s="9">
        <f t="shared" si="203"/>
        <v>10.11</v>
      </c>
      <c r="BN1426" s="9">
        <f t="shared" si="204"/>
        <v>2315.17</v>
      </c>
      <c r="BO1426" s="9">
        <f t="shared" si="205"/>
        <v>5.0599999999999996</v>
      </c>
      <c r="BP1426" s="9">
        <f t="shared" si="206"/>
        <v>0</v>
      </c>
    </row>
    <row r="1427" spans="1:68">
      <c r="A1427" s="6">
        <v>44806</v>
      </c>
      <c r="B1427" s="7">
        <v>3016</v>
      </c>
      <c r="C1427" s="8"/>
      <c r="D1427" s="8">
        <v>2382.39</v>
      </c>
      <c r="E1427" s="8"/>
      <c r="F1427" s="8"/>
      <c r="G1427" s="8"/>
      <c r="H1427" s="8"/>
      <c r="I1427" s="8">
        <v>2193.4899999999998</v>
      </c>
      <c r="J1427" s="8"/>
      <c r="K1427" s="8"/>
      <c r="L1427" s="8"/>
      <c r="M1427" s="8"/>
      <c r="N1427" s="8">
        <v>27.48</v>
      </c>
      <c r="O1427" s="8"/>
      <c r="P1427" s="8"/>
      <c r="Q1427" s="11"/>
      <c r="R1427" s="11"/>
      <c r="S1427" s="8">
        <v>3.2</v>
      </c>
      <c r="T1427" s="8"/>
      <c r="U1427" s="8"/>
      <c r="V1427" s="8"/>
      <c r="W1427" s="8">
        <v>45.86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>
        <v>18.3</v>
      </c>
      <c r="AN1427" s="8">
        <f>2067*26.93/1000</f>
        <v>55.66431</v>
      </c>
      <c r="AO1427" s="8"/>
      <c r="AP1427" s="11"/>
      <c r="AQ1427" s="8"/>
      <c r="AR1427" s="8">
        <f>4280*26.93/1000</f>
        <v>115.26039999999999</v>
      </c>
      <c r="AS1427" s="8"/>
      <c r="AT1427" s="8">
        <v>1701.45</v>
      </c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>
        <v>124.69</v>
      </c>
      <c r="BH1427" s="9">
        <f t="shared" si="198"/>
        <v>4575.8799999999992</v>
      </c>
      <c r="BI1427" s="9">
        <f t="shared" si="199"/>
        <v>27.48</v>
      </c>
      <c r="BJ1427" s="9">
        <f t="shared" si="200"/>
        <v>3.2</v>
      </c>
      <c r="BK1427" s="9">
        <f t="shared" si="201"/>
        <v>45.86</v>
      </c>
      <c r="BL1427" s="9">
        <f t="shared" si="202"/>
        <v>0</v>
      </c>
      <c r="BM1427" s="9">
        <f t="shared" si="203"/>
        <v>189.22470999999999</v>
      </c>
      <c r="BN1427" s="9">
        <f t="shared" si="204"/>
        <v>1701.45</v>
      </c>
      <c r="BO1427" s="9">
        <f t="shared" si="205"/>
        <v>0</v>
      </c>
      <c r="BP1427" s="9">
        <f t="shared" si="206"/>
        <v>0</v>
      </c>
    </row>
    <row r="1428" spans="1:68">
      <c r="A1428" s="6">
        <v>44809</v>
      </c>
      <c r="B1428" s="7">
        <v>3079</v>
      </c>
      <c r="C1428" s="8"/>
      <c r="D1428" s="8"/>
      <c r="E1428" s="8"/>
      <c r="F1428" s="8">
        <v>343.07</v>
      </c>
      <c r="G1428" s="8"/>
      <c r="H1428" s="8"/>
      <c r="I1428" s="8">
        <v>2783.27</v>
      </c>
      <c r="J1428" s="8"/>
      <c r="K1428" s="8"/>
      <c r="L1428" s="8"/>
      <c r="M1428" s="8"/>
      <c r="N1428" s="8">
        <v>21.59</v>
      </c>
      <c r="O1428" s="8"/>
      <c r="P1428" s="8"/>
      <c r="Q1428" s="11"/>
      <c r="R1428" s="11"/>
      <c r="S1428" s="8">
        <v>1.25</v>
      </c>
      <c r="T1428" s="8"/>
      <c r="U1428" s="8"/>
      <c r="V1428" s="8"/>
      <c r="W1428" s="8">
        <v>31.32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>
        <v>12.53</v>
      </c>
      <c r="AN1428" s="8">
        <f>1740*18.4/1000</f>
        <v>32.015999999999998</v>
      </c>
      <c r="AO1428" s="8"/>
      <c r="AP1428" s="11"/>
      <c r="AQ1428" s="8"/>
      <c r="AR1428" s="8">
        <f>4306*18.4/1000</f>
        <v>79.230399999999989</v>
      </c>
      <c r="AS1428" s="8"/>
      <c r="AT1428" s="8">
        <v>1204.21</v>
      </c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>
        <v>87.96</v>
      </c>
      <c r="BH1428" s="9">
        <f t="shared" si="198"/>
        <v>3126.34</v>
      </c>
      <c r="BI1428" s="9">
        <f t="shared" si="199"/>
        <v>21.59</v>
      </c>
      <c r="BJ1428" s="9">
        <f t="shared" si="200"/>
        <v>1.25</v>
      </c>
      <c r="BK1428" s="9">
        <f t="shared" si="201"/>
        <v>31.32</v>
      </c>
      <c r="BL1428" s="9">
        <f t="shared" si="202"/>
        <v>0</v>
      </c>
      <c r="BM1428" s="9">
        <f t="shared" si="203"/>
        <v>123.7764</v>
      </c>
      <c r="BN1428" s="9">
        <f t="shared" si="204"/>
        <v>1204.21</v>
      </c>
      <c r="BO1428" s="9">
        <f t="shared" si="205"/>
        <v>0</v>
      </c>
      <c r="BP1428" s="9">
        <f t="shared" si="206"/>
        <v>0</v>
      </c>
    </row>
    <row r="1429" spans="1:68">
      <c r="A1429" s="6">
        <v>44809</v>
      </c>
      <c r="B1429" s="7">
        <v>3106</v>
      </c>
      <c r="C1429" s="8">
        <v>4094.81</v>
      </c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11">
        <v>11.07</v>
      </c>
      <c r="R1429" s="11"/>
      <c r="S1429" s="8">
        <v>12.29</v>
      </c>
      <c r="T1429" s="8"/>
      <c r="U1429" s="8">
        <v>52.1</v>
      </c>
      <c r="V1429" s="8"/>
      <c r="W1429" s="8"/>
      <c r="X1429" s="8"/>
      <c r="Y1429" s="8"/>
      <c r="Z1429" s="8"/>
      <c r="AA1429" s="8"/>
      <c r="AB1429" s="8"/>
      <c r="AC1429" s="8">
        <v>10.24</v>
      </c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11"/>
      <c r="AQ1429" s="8"/>
      <c r="AR1429" s="8"/>
      <c r="AS1429" s="8"/>
      <c r="AT1429" s="8">
        <v>2345.84</v>
      </c>
      <c r="AU1429" s="8"/>
      <c r="AV1429" s="8"/>
      <c r="AW1429" s="8"/>
      <c r="AX1429" s="8">
        <v>5.13</v>
      </c>
      <c r="AY1429" s="8"/>
      <c r="AZ1429" s="8"/>
      <c r="BA1429" s="8"/>
      <c r="BB1429" s="8"/>
      <c r="BC1429" s="8"/>
      <c r="BD1429" s="8"/>
      <c r="BE1429" s="8"/>
      <c r="BF1429" s="8"/>
      <c r="BG1429" s="8">
        <v>176.19</v>
      </c>
      <c r="BH1429" s="9">
        <f t="shared" si="198"/>
        <v>4094.81</v>
      </c>
      <c r="BI1429" s="9">
        <f t="shared" si="199"/>
        <v>11.07</v>
      </c>
      <c r="BJ1429" s="9">
        <f t="shared" si="200"/>
        <v>12.29</v>
      </c>
      <c r="BK1429" s="9">
        <f t="shared" si="201"/>
        <v>52.1</v>
      </c>
      <c r="BL1429" s="9">
        <f t="shared" si="202"/>
        <v>0</v>
      </c>
      <c r="BM1429" s="9">
        <f t="shared" si="203"/>
        <v>10.24</v>
      </c>
      <c r="BN1429" s="9">
        <f t="shared" si="204"/>
        <v>2345.84</v>
      </c>
      <c r="BO1429" s="9">
        <f t="shared" si="205"/>
        <v>5.13</v>
      </c>
      <c r="BP1429" s="9">
        <f t="shared" si="206"/>
        <v>0</v>
      </c>
    </row>
    <row r="1430" spans="1:68">
      <c r="A1430" s="6">
        <v>44809</v>
      </c>
      <c r="B1430" s="7">
        <v>3141</v>
      </c>
      <c r="C1430" s="8">
        <v>2414.5500000000002</v>
      </c>
      <c r="D1430" s="8">
        <v>426.96</v>
      </c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11">
        <v>7.96</v>
      </c>
      <c r="R1430" s="11"/>
      <c r="S1430" s="8">
        <v>13.39</v>
      </c>
      <c r="T1430" s="8"/>
      <c r="U1430" s="8">
        <v>42.72</v>
      </c>
      <c r="V1430" s="8"/>
      <c r="W1430" s="8"/>
      <c r="X1430" s="8"/>
      <c r="Y1430" s="8"/>
      <c r="Z1430" s="8"/>
      <c r="AA1430" s="8"/>
      <c r="AB1430" s="8"/>
      <c r="AC1430" s="8">
        <v>11.4</v>
      </c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11"/>
      <c r="AQ1430" s="8"/>
      <c r="AR1430" s="8"/>
      <c r="AS1430" s="8"/>
      <c r="AT1430" s="8">
        <v>1875.45</v>
      </c>
      <c r="AU1430" s="8"/>
      <c r="AV1430" s="8"/>
      <c r="AW1430" s="8"/>
      <c r="AX1430" s="8"/>
      <c r="AY1430" s="8"/>
      <c r="AZ1430" s="8"/>
      <c r="BA1430" s="8">
        <v>65.31</v>
      </c>
      <c r="BB1430" s="8"/>
      <c r="BC1430" s="8"/>
      <c r="BD1430" s="8"/>
      <c r="BE1430" s="8"/>
      <c r="BF1430" s="8">
        <v>199.23</v>
      </c>
      <c r="BG1430" s="8">
        <v>148.5</v>
      </c>
      <c r="BH1430" s="9">
        <f t="shared" si="198"/>
        <v>2841.51</v>
      </c>
      <c r="BI1430" s="9">
        <f t="shared" si="199"/>
        <v>7.96</v>
      </c>
      <c r="BJ1430" s="9">
        <f t="shared" si="200"/>
        <v>13.39</v>
      </c>
      <c r="BK1430" s="9">
        <f t="shared" si="201"/>
        <v>42.72</v>
      </c>
      <c r="BL1430" s="9">
        <f t="shared" si="202"/>
        <v>0</v>
      </c>
      <c r="BM1430" s="9">
        <f t="shared" si="203"/>
        <v>11.4</v>
      </c>
      <c r="BN1430" s="9">
        <f t="shared" si="204"/>
        <v>1875.45</v>
      </c>
      <c r="BO1430" s="9">
        <f t="shared" si="205"/>
        <v>65.31</v>
      </c>
      <c r="BP1430" s="9">
        <f t="shared" si="206"/>
        <v>199.23</v>
      </c>
    </row>
    <row r="1431" spans="1:68">
      <c r="A1431" s="6">
        <v>44809</v>
      </c>
      <c r="B1431" s="7">
        <v>8224</v>
      </c>
      <c r="C1431" s="8">
        <v>74.849999999999994</v>
      </c>
      <c r="D1431" s="8">
        <v>112.04</v>
      </c>
      <c r="E1431" s="8"/>
      <c r="F1431" s="8"/>
      <c r="G1431" s="8"/>
      <c r="H1431" s="8"/>
      <c r="I1431" s="8"/>
      <c r="J1431" s="8"/>
      <c r="K1431" s="8"/>
      <c r="L1431" s="8"/>
      <c r="M1431" s="8"/>
      <c r="N1431" s="8">
        <v>0.34</v>
      </c>
      <c r="O1431" s="8"/>
      <c r="P1431" s="8"/>
      <c r="Q1431" s="11"/>
      <c r="R1431" s="11"/>
      <c r="S1431" s="8">
        <v>0.56000000000000005</v>
      </c>
      <c r="T1431" s="8"/>
      <c r="U1431" s="8"/>
      <c r="V1431" s="8"/>
      <c r="W1431" s="8"/>
      <c r="X1431" s="8">
        <f>1075*2.07/1000</f>
        <v>2.22525</v>
      </c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11"/>
      <c r="AQ1431" s="8"/>
      <c r="AR1431" s="8"/>
      <c r="AS1431" s="8"/>
      <c r="AT1431" s="8">
        <v>75.27</v>
      </c>
      <c r="AU1431" s="8"/>
      <c r="AV1431" s="8"/>
      <c r="AW1431" s="8">
        <v>3.64</v>
      </c>
      <c r="AX1431" s="8"/>
      <c r="AY1431" s="8"/>
      <c r="AZ1431" s="8"/>
      <c r="BA1431" s="8"/>
      <c r="BB1431" s="8"/>
      <c r="BC1431" s="8"/>
      <c r="BD1431" s="8"/>
      <c r="BE1431" s="8"/>
      <c r="BF1431" s="8"/>
      <c r="BG1431" s="8">
        <v>5.74</v>
      </c>
      <c r="BH1431" s="9">
        <f t="shared" si="198"/>
        <v>186.89</v>
      </c>
      <c r="BI1431" s="9">
        <f t="shared" si="199"/>
        <v>0.34</v>
      </c>
      <c r="BJ1431" s="9">
        <f t="shared" si="200"/>
        <v>0.56000000000000005</v>
      </c>
      <c r="BK1431" s="9">
        <f t="shared" si="201"/>
        <v>2.22525</v>
      </c>
      <c r="BL1431" s="9">
        <f t="shared" si="202"/>
        <v>0</v>
      </c>
      <c r="BM1431" s="9">
        <f t="shared" si="203"/>
        <v>0</v>
      </c>
      <c r="BN1431" s="9">
        <f t="shared" si="204"/>
        <v>75.27</v>
      </c>
      <c r="BO1431" s="9">
        <f t="shared" si="205"/>
        <v>3.64</v>
      </c>
      <c r="BP1431" s="9">
        <f t="shared" si="206"/>
        <v>0</v>
      </c>
    </row>
    <row r="1432" spans="1:68">
      <c r="A1432" s="6">
        <v>44809</v>
      </c>
      <c r="B1432" s="7">
        <v>3602</v>
      </c>
      <c r="C1432" s="8">
        <v>602.42999999999995</v>
      </c>
      <c r="D1432" s="8"/>
      <c r="E1432" s="8"/>
      <c r="F1432" s="8"/>
      <c r="G1432" s="8">
        <v>901.98</v>
      </c>
      <c r="H1432" s="8"/>
      <c r="I1432" s="8"/>
      <c r="J1432" s="8"/>
      <c r="K1432" s="8"/>
      <c r="L1432" s="8"/>
      <c r="M1432" s="8">
        <f>93*17.2/1000</f>
        <v>1.5995999999999999</v>
      </c>
      <c r="N1432" s="8"/>
      <c r="O1432" s="8"/>
      <c r="P1432" s="8"/>
      <c r="Q1432" s="11"/>
      <c r="R1432" s="11"/>
      <c r="S1432" s="8">
        <v>7.22</v>
      </c>
      <c r="T1432" s="8"/>
      <c r="U1432" s="8">
        <v>12.05</v>
      </c>
      <c r="V1432" s="8">
        <f>847*17.2/1000</f>
        <v>14.5684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11"/>
      <c r="AQ1432" s="8"/>
      <c r="AR1432" s="8"/>
      <c r="AS1432" s="8"/>
      <c r="AT1432" s="8">
        <v>607.1</v>
      </c>
      <c r="AU1432" s="8"/>
      <c r="AV1432" s="8"/>
      <c r="AW1432" s="8">
        <v>38.92</v>
      </c>
      <c r="AX1432" s="8"/>
      <c r="AY1432" s="8"/>
      <c r="AZ1432" s="8"/>
      <c r="BA1432" s="8"/>
      <c r="BB1432" s="8"/>
      <c r="BC1432" s="8"/>
      <c r="BD1432" s="8"/>
      <c r="BE1432" s="8"/>
      <c r="BF1432" s="8">
        <v>48.23</v>
      </c>
      <c r="BG1432" s="8">
        <v>45.37</v>
      </c>
      <c r="BH1432" s="9">
        <f t="shared" si="198"/>
        <v>1504.4099999999999</v>
      </c>
      <c r="BI1432" s="9">
        <f t="shared" si="199"/>
        <v>1.5995999999999999</v>
      </c>
      <c r="BJ1432" s="9">
        <f t="shared" si="200"/>
        <v>7.22</v>
      </c>
      <c r="BK1432" s="9">
        <f t="shared" si="201"/>
        <v>26.618400000000001</v>
      </c>
      <c r="BL1432" s="9">
        <f t="shared" si="202"/>
        <v>0</v>
      </c>
      <c r="BM1432" s="9">
        <f t="shared" si="203"/>
        <v>0</v>
      </c>
      <c r="BN1432" s="9">
        <f t="shared" si="204"/>
        <v>607.1</v>
      </c>
      <c r="BO1432" s="9">
        <f t="shared" si="205"/>
        <v>38.92</v>
      </c>
      <c r="BP1432" s="9">
        <f t="shared" si="206"/>
        <v>48.23</v>
      </c>
    </row>
    <row r="1433" spans="1:68">
      <c r="A1433" s="6">
        <v>44809</v>
      </c>
      <c r="B1433" s="7">
        <v>3122</v>
      </c>
      <c r="C1433" s="8">
        <v>1256.06</v>
      </c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>
        <v>2.25</v>
      </c>
      <c r="O1433" s="8"/>
      <c r="P1433" s="8"/>
      <c r="Q1433" s="11">
        <v>2.25</v>
      </c>
      <c r="R1433" s="11"/>
      <c r="S1433" s="8">
        <v>5.15</v>
      </c>
      <c r="T1433" s="8"/>
      <c r="U1433" s="8">
        <v>12.56</v>
      </c>
      <c r="V1433" s="8"/>
      <c r="W1433" s="8"/>
      <c r="X1433" s="8"/>
      <c r="Y1433" s="8"/>
      <c r="Z1433" s="8"/>
      <c r="AA1433" s="8"/>
      <c r="AB1433" s="8"/>
      <c r="AC1433" s="8">
        <v>5.01</v>
      </c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11"/>
      <c r="AQ1433" s="8"/>
      <c r="AR1433" s="8"/>
      <c r="AS1433" s="8"/>
      <c r="AT1433" s="8">
        <v>555.09</v>
      </c>
      <c r="AU1433" s="8"/>
      <c r="AV1433" s="8">
        <v>42.68</v>
      </c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>
        <v>40.799999999999997</v>
      </c>
      <c r="BH1433" s="9">
        <f t="shared" si="198"/>
        <v>1256.06</v>
      </c>
      <c r="BI1433" s="9">
        <f t="shared" si="199"/>
        <v>4.5</v>
      </c>
      <c r="BJ1433" s="9">
        <f t="shared" si="200"/>
        <v>5.15</v>
      </c>
      <c r="BK1433" s="9">
        <f t="shared" si="201"/>
        <v>12.56</v>
      </c>
      <c r="BL1433" s="9">
        <f t="shared" si="202"/>
        <v>0</v>
      </c>
      <c r="BM1433" s="9">
        <f t="shared" si="203"/>
        <v>5.01</v>
      </c>
      <c r="BN1433" s="9">
        <f t="shared" si="204"/>
        <v>555.09</v>
      </c>
      <c r="BO1433" s="9">
        <f t="shared" si="205"/>
        <v>42.68</v>
      </c>
      <c r="BP1433" s="9">
        <f t="shared" si="206"/>
        <v>0</v>
      </c>
    </row>
    <row r="1434" spans="1:68">
      <c r="A1434" s="6">
        <v>44809</v>
      </c>
      <c r="B1434" s="7">
        <v>3200</v>
      </c>
      <c r="C1434" s="8">
        <v>2296.58</v>
      </c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>
        <v>5.75</v>
      </c>
      <c r="P1434" s="8"/>
      <c r="Q1434" s="11"/>
      <c r="R1434" s="11"/>
      <c r="S1434" s="8">
        <v>8.9600000000000009</v>
      </c>
      <c r="T1434" s="8"/>
      <c r="U1434" s="8">
        <v>34.450000000000003</v>
      </c>
      <c r="V1434" s="8"/>
      <c r="W1434" s="8"/>
      <c r="X1434" s="8"/>
      <c r="Y1434" s="8"/>
      <c r="Z1434" s="8">
        <v>482.8</v>
      </c>
      <c r="AA1434" s="8"/>
      <c r="AB1434" s="8"/>
      <c r="AC1434" s="8"/>
      <c r="AD1434" s="8"/>
      <c r="AE1434" s="8"/>
      <c r="AF1434" s="8">
        <v>114.59</v>
      </c>
      <c r="AG1434" s="8"/>
      <c r="AH1434" s="8"/>
      <c r="AI1434" s="8"/>
      <c r="AJ1434" s="8"/>
      <c r="AK1434" s="8"/>
      <c r="AL1434" s="8"/>
      <c r="AM1434" s="8"/>
      <c r="AN1434" s="8"/>
      <c r="AO1434" s="8"/>
      <c r="AP1434" s="11"/>
      <c r="AQ1434" s="8">
        <f>1506*22.97/1000</f>
        <v>34.592820000000003</v>
      </c>
      <c r="AR1434" s="8"/>
      <c r="AS1434" s="8"/>
      <c r="AT1434" s="8">
        <v>1571.81</v>
      </c>
      <c r="AU1434" s="8"/>
      <c r="AV1434" s="8"/>
      <c r="AW1434" s="8">
        <v>6.64</v>
      </c>
      <c r="AX1434" s="8"/>
      <c r="AY1434" s="8"/>
      <c r="AZ1434" s="8"/>
      <c r="BA1434" s="8"/>
      <c r="BB1434" s="8"/>
      <c r="BC1434" s="8"/>
      <c r="BD1434" s="8"/>
      <c r="BE1434" s="8"/>
      <c r="BF1434" s="8">
        <v>110.34</v>
      </c>
      <c r="BG1434" s="8">
        <v>113.59</v>
      </c>
      <c r="BH1434" s="9">
        <f t="shared" si="198"/>
        <v>2296.58</v>
      </c>
      <c r="BI1434" s="9">
        <f t="shared" si="199"/>
        <v>5.75</v>
      </c>
      <c r="BJ1434" s="9">
        <f t="shared" si="200"/>
        <v>8.9600000000000009</v>
      </c>
      <c r="BK1434" s="9">
        <f t="shared" si="201"/>
        <v>34.450000000000003</v>
      </c>
      <c r="BL1434" s="9">
        <f t="shared" si="202"/>
        <v>482.8</v>
      </c>
      <c r="BM1434" s="9">
        <f t="shared" si="203"/>
        <v>149.18281999999999</v>
      </c>
      <c r="BN1434" s="9">
        <f t="shared" si="204"/>
        <v>1571.81</v>
      </c>
      <c r="BO1434" s="9">
        <f t="shared" si="205"/>
        <v>6.64</v>
      </c>
      <c r="BP1434" s="9">
        <f t="shared" si="206"/>
        <v>110.34</v>
      </c>
    </row>
    <row r="1435" spans="1:68">
      <c r="A1435" s="6">
        <v>44810</v>
      </c>
      <c r="B1435" s="7">
        <v>3402</v>
      </c>
      <c r="C1435" s="8">
        <v>844.45</v>
      </c>
      <c r="D1435" s="8">
        <v>561.72</v>
      </c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11">
        <v>2.85</v>
      </c>
      <c r="R1435" s="11"/>
      <c r="S1435" s="8">
        <v>3.23</v>
      </c>
      <c r="T1435" s="8"/>
      <c r="U1435" s="8"/>
      <c r="V1435" s="8"/>
      <c r="W1435" s="8"/>
      <c r="X1435" s="8">
        <f>1002*14.05/1000</f>
        <v>14.078100000000001</v>
      </c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11"/>
      <c r="AQ1435" s="8"/>
      <c r="AR1435" s="8"/>
      <c r="AS1435" s="8"/>
      <c r="AT1435" s="8">
        <v>666.86</v>
      </c>
      <c r="AU1435" s="8"/>
      <c r="AV1435" s="8"/>
      <c r="AW1435" s="8"/>
      <c r="AX1435" s="8"/>
      <c r="AY1435" s="8"/>
      <c r="AZ1435" s="8"/>
      <c r="BA1435" s="8">
        <v>6.34</v>
      </c>
      <c r="BB1435" s="8"/>
      <c r="BC1435" s="8"/>
      <c r="BD1435" s="8"/>
      <c r="BE1435" s="8"/>
      <c r="BF1435" s="8"/>
      <c r="BG1435" s="8">
        <v>46.41</v>
      </c>
      <c r="BH1435" s="9">
        <f t="shared" si="198"/>
        <v>1406.17</v>
      </c>
      <c r="BI1435" s="9">
        <f t="shared" si="199"/>
        <v>2.85</v>
      </c>
      <c r="BJ1435" s="9">
        <f t="shared" si="200"/>
        <v>3.23</v>
      </c>
      <c r="BK1435" s="9">
        <f t="shared" si="201"/>
        <v>14.078100000000001</v>
      </c>
      <c r="BL1435" s="9">
        <f t="shared" si="202"/>
        <v>0</v>
      </c>
      <c r="BM1435" s="9">
        <f t="shared" si="203"/>
        <v>0</v>
      </c>
      <c r="BN1435" s="9">
        <f t="shared" si="204"/>
        <v>666.86</v>
      </c>
      <c r="BO1435" s="9">
        <f t="shared" si="205"/>
        <v>6.34</v>
      </c>
      <c r="BP1435" s="9">
        <f t="shared" si="206"/>
        <v>0</v>
      </c>
    </row>
    <row r="1436" spans="1:68">
      <c r="A1436" s="6">
        <v>44810</v>
      </c>
      <c r="B1436" s="7">
        <v>3200</v>
      </c>
      <c r="C1436" s="8">
        <v>2334.91</v>
      </c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>
        <v>5.86</v>
      </c>
      <c r="P1436" s="8"/>
      <c r="Q1436" s="11"/>
      <c r="R1436" s="11"/>
      <c r="S1436" s="8">
        <v>9.15</v>
      </c>
      <c r="T1436" s="8"/>
      <c r="U1436" s="8">
        <v>35.19</v>
      </c>
      <c r="V1436" s="8"/>
      <c r="W1436" s="8"/>
      <c r="X1436" s="8"/>
      <c r="Y1436" s="8"/>
      <c r="Z1436" s="8">
        <v>492.38</v>
      </c>
      <c r="AA1436" s="8"/>
      <c r="AB1436" s="8"/>
      <c r="AC1436" s="8"/>
      <c r="AD1436" s="8"/>
      <c r="AE1436" s="8"/>
      <c r="AF1436" s="8">
        <v>117.02</v>
      </c>
      <c r="AG1436" s="8"/>
      <c r="AH1436" s="8"/>
      <c r="AI1436" s="8"/>
      <c r="AJ1436" s="8"/>
      <c r="AK1436" s="8"/>
      <c r="AL1436" s="8"/>
      <c r="AM1436" s="8"/>
      <c r="AN1436" s="8"/>
      <c r="AO1436" s="8"/>
      <c r="AP1436" s="11"/>
      <c r="AQ1436" s="8">
        <f>1487*23.42/1000</f>
        <v>34.825540000000004</v>
      </c>
      <c r="AR1436" s="8"/>
      <c r="AS1436" s="8"/>
      <c r="AT1436" s="8">
        <v>1603.92</v>
      </c>
      <c r="AU1436" s="8"/>
      <c r="AV1436" s="8"/>
      <c r="AW1436" s="8">
        <v>6.74</v>
      </c>
      <c r="AX1436" s="8"/>
      <c r="AY1436" s="8"/>
      <c r="AZ1436" s="8"/>
      <c r="BA1436" s="8"/>
      <c r="BB1436" s="8"/>
      <c r="BC1436" s="8"/>
      <c r="BD1436" s="8"/>
      <c r="BE1436" s="8"/>
      <c r="BF1436" s="8">
        <v>112.53</v>
      </c>
      <c r="BG1436" s="8">
        <v>115.79</v>
      </c>
      <c r="BH1436" s="9">
        <f t="shared" si="198"/>
        <v>2334.91</v>
      </c>
      <c r="BI1436" s="9">
        <f t="shared" si="199"/>
        <v>5.86</v>
      </c>
      <c r="BJ1436" s="9">
        <f t="shared" si="200"/>
        <v>9.15</v>
      </c>
      <c r="BK1436" s="9">
        <f t="shared" si="201"/>
        <v>35.19</v>
      </c>
      <c r="BL1436" s="9">
        <f t="shared" si="202"/>
        <v>492.38</v>
      </c>
      <c r="BM1436" s="9">
        <f t="shared" si="203"/>
        <v>151.84554</v>
      </c>
      <c r="BN1436" s="9">
        <f t="shared" si="204"/>
        <v>1603.92</v>
      </c>
      <c r="BO1436" s="9">
        <f t="shared" si="205"/>
        <v>6.74</v>
      </c>
      <c r="BP1436" s="9">
        <f t="shared" si="206"/>
        <v>112.53</v>
      </c>
    </row>
    <row r="1437" spans="1:68">
      <c r="A1437" s="6">
        <v>44810</v>
      </c>
      <c r="B1437" s="7">
        <v>3433</v>
      </c>
      <c r="C1437" s="8">
        <v>652.57000000000005</v>
      </c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11">
        <v>1.31</v>
      </c>
      <c r="R1437" s="11"/>
      <c r="S1437" s="8">
        <v>2.62</v>
      </c>
      <c r="T1437" s="8"/>
      <c r="U1437" s="8"/>
      <c r="V1437" s="8"/>
      <c r="W1437" s="8"/>
      <c r="X1437" s="8">
        <f>867*7.68/1000</f>
        <v>6.6585599999999996</v>
      </c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11"/>
      <c r="AQ1437" s="8"/>
      <c r="AR1437" s="8"/>
      <c r="AS1437" s="8"/>
      <c r="AT1437" s="8">
        <v>297.68</v>
      </c>
      <c r="AU1437" s="8"/>
      <c r="AV1437" s="8"/>
      <c r="AW1437" s="8"/>
      <c r="AX1437" s="8"/>
      <c r="AY1437" s="8"/>
      <c r="AZ1437" s="8"/>
      <c r="BA1437" s="8">
        <v>2.94</v>
      </c>
      <c r="BB1437" s="8"/>
      <c r="BC1437" s="8"/>
      <c r="BD1437" s="8"/>
      <c r="BE1437" s="8"/>
      <c r="BF1437" s="8">
        <v>32.72</v>
      </c>
      <c r="BG1437" s="8">
        <v>21.89</v>
      </c>
      <c r="BH1437" s="9">
        <f t="shared" si="198"/>
        <v>652.57000000000005</v>
      </c>
      <c r="BI1437" s="9">
        <f t="shared" si="199"/>
        <v>1.31</v>
      </c>
      <c r="BJ1437" s="9">
        <f t="shared" si="200"/>
        <v>2.62</v>
      </c>
      <c r="BK1437" s="9">
        <f t="shared" si="201"/>
        <v>6.6585599999999996</v>
      </c>
      <c r="BL1437" s="9">
        <f t="shared" si="202"/>
        <v>0</v>
      </c>
      <c r="BM1437" s="9">
        <f t="shared" si="203"/>
        <v>0</v>
      </c>
      <c r="BN1437" s="9">
        <f t="shared" si="204"/>
        <v>297.68</v>
      </c>
      <c r="BO1437" s="9">
        <f t="shared" si="205"/>
        <v>2.94</v>
      </c>
      <c r="BP1437" s="9">
        <f t="shared" si="206"/>
        <v>32.72</v>
      </c>
    </row>
    <row r="1438" spans="1:68">
      <c r="A1438" s="6">
        <v>44810</v>
      </c>
      <c r="B1438" s="7">
        <v>3403</v>
      </c>
      <c r="C1438" s="8">
        <v>471.83</v>
      </c>
      <c r="D1438" s="8">
        <v>471.64</v>
      </c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11">
        <v>1.91</v>
      </c>
      <c r="R1438" s="11"/>
      <c r="S1438" s="8">
        <v>2.17</v>
      </c>
      <c r="T1438" s="8"/>
      <c r="U1438" s="8"/>
      <c r="V1438" s="8"/>
      <c r="W1438" s="8"/>
      <c r="X1438" s="8">
        <f>1002*9.45/1000</f>
        <v>9.4688999999999997</v>
      </c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11"/>
      <c r="AQ1438" s="8"/>
      <c r="AR1438" s="8"/>
      <c r="AS1438" s="8"/>
      <c r="AT1438" s="8">
        <v>439.44</v>
      </c>
      <c r="AU1438" s="8"/>
      <c r="AV1438" s="8">
        <v>28.33</v>
      </c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>
        <v>31.19</v>
      </c>
      <c r="BH1438" s="9">
        <f t="shared" si="198"/>
        <v>943.47</v>
      </c>
      <c r="BI1438" s="9">
        <f t="shared" si="199"/>
        <v>1.91</v>
      </c>
      <c r="BJ1438" s="9">
        <f t="shared" si="200"/>
        <v>2.17</v>
      </c>
      <c r="BK1438" s="9">
        <f t="shared" si="201"/>
        <v>9.4688999999999997</v>
      </c>
      <c r="BL1438" s="9">
        <f t="shared" si="202"/>
        <v>0</v>
      </c>
      <c r="BM1438" s="9">
        <f t="shared" si="203"/>
        <v>0</v>
      </c>
      <c r="BN1438" s="9">
        <f t="shared" si="204"/>
        <v>439.44</v>
      </c>
      <c r="BO1438" s="9">
        <f t="shared" si="205"/>
        <v>28.33</v>
      </c>
      <c r="BP1438" s="9">
        <f t="shared" si="206"/>
        <v>0</v>
      </c>
    </row>
    <row r="1439" spans="1:68">
      <c r="A1439" s="6">
        <v>44810</v>
      </c>
      <c r="B1439" s="7">
        <v>3106</v>
      </c>
      <c r="C1439" s="8">
        <v>4073.97</v>
      </c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11">
        <v>10.6</v>
      </c>
      <c r="R1439" s="11"/>
      <c r="S1439" s="8">
        <v>12.23</v>
      </c>
      <c r="T1439" s="8"/>
      <c r="U1439" s="8">
        <v>51.82</v>
      </c>
      <c r="V1439" s="8"/>
      <c r="W1439" s="8"/>
      <c r="X1439" s="8"/>
      <c r="Y1439" s="8"/>
      <c r="Z1439" s="8"/>
      <c r="AA1439" s="8"/>
      <c r="AB1439" s="8"/>
      <c r="AC1439" s="8">
        <v>10.19</v>
      </c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11"/>
      <c r="AQ1439" s="8"/>
      <c r="AR1439" s="8"/>
      <c r="AS1439" s="8"/>
      <c r="AT1439" s="8">
        <v>2332.85</v>
      </c>
      <c r="AU1439" s="8"/>
      <c r="AV1439" s="8"/>
      <c r="AW1439" s="8"/>
      <c r="AX1439" s="8">
        <v>5.0999999999999996</v>
      </c>
      <c r="AY1439" s="8"/>
      <c r="AZ1439" s="8"/>
      <c r="BA1439" s="8"/>
      <c r="BB1439" s="8"/>
      <c r="BC1439" s="8"/>
      <c r="BD1439" s="8"/>
      <c r="BE1439" s="8"/>
      <c r="BF1439" s="8"/>
      <c r="BG1439" s="8">
        <v>175.49</v>
      </c>
      <c r="BH1439" s="9">
        <f t="shared" si="198"/>
        <v>4073.97</v>
      </c>
      <c r="BI1439" s="9">
        <f t="shared" si="199"/>
        <v>10.6</v>
      </c>
      <c r="BJ1439" s="9">
        <f t="shared" si="200"/>
        <v>12.23</v>
      </c>
      <c r="BK1439" s="9">
        <f t="shared" si="201"/>
        <v>51.82</v>
      </c>
      <c r="BL1439" s="9">
        <f t="shared" si="202"/>
        <v>0</v>
      </c>
      <c r="BM1439" s="9">
        <f t="shared" si="203"/>
        <v>10.19</v>
      </c>
      <c r="BN1439" s="9">
        <f t="shared" si="204"/>
        <v>2332.85</v>
      </c>
      <c r="BO1439" s="9">
        <f t="shared" si="205"/>
        <v>5.0999999999999996</v>
      </c>
      <c r="BP1439" s="9">
        <f t="shared" si="206"/>
        <v>0</v>
      </c>
    </row>
    <row r="1440" spans="1:68">
      <c r="A1440" s="6">
        <v>44810</v>
      </c>
      <c r="B1440" s="7">
        <v>3141</v>
      </c>
      <c r="C1440" s="8">
        <v>2443.96</v>
      </c>
      <c r="D1440" s="8">
        <v>431.63</v>
      </c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11">
        <v>8.3800000000000008</v>
      </c>
      <c r="R1440" s="11"/>
      <c r="S1440" s="8">
        <v>13.53</v>
      </c>
      <c r="T1440" s="8"/>
      <c r="U1440" s="8">
        <v>43.19</v>
      </c>
      <c r="V1440" s="8"/>
      <c r="W1440" s="8"/>
      <c r="X1440" s="8"/>
      <c r="Y1440" s="8"/>
      <c r="Z1440" s="8"/>
      <c r="AA1440" s="8"/>
      <c r="AB1440" s="8"/>
      <c r="AC1440" s="8">
        <v>11.51</v>
      </c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11"/>
      <c r="AQ1440" s="8"/>
      <c r="AR1440" s="8"/>
      <c r="AS1440" s="8"/>
      <c r="AT1440" s="8">
        <v>1893.51</v>
      </c>
      <c r="AU1440" s="8"/>
      <c r="AV1440" s="8"/>
      <c r="AW1440" s="8"/>
      <c r="AX1440" s="8"/>
      <c r="AY1440" s="8"/>
      <c r="AZ1440" s="8"/>
      <c r="BA1440" s="8">
        <v>65.98</v>
      </c>
      <c r="BB1440" s="8"/>
      <c r="BC1440" s="8"/>
      <c r="BD1440" s="8"/>
      <c r="BE1440" s="8"/>
      <c r="BF1440" s="8">
        <v>201.41</v>
      </c>
      <c r="BG1440" s="8">
        <v>149.56</v>
      </c>
      <c r="BH1440" s="9">
        <f t="shared" si="198"/>
        <v>2875.59</v>
      </c>
      <c r="BI1440" s="9">
        <f t="shared" si="199"/>
        <v>8.3800000000000008</v>
      </c>
      <c r="BJ1440" s="9">
        <f t="shared" si="200"/>
        <v>13.53</v>
      </c>
      <c r="BK1440" s="9">
        <f t="shared" si="201"/>
        <v>43.19</v>
      </c>
      <c r="BL1440" s="9">
        <f t="shared" si="202"/>
        <v>0</v>
      </c>
      <c r="BM1440" s="9">
        <f t="shared" si="203"/>
        <v>11.51</v>
      </c>
      <c r="BN1440" s="9">
        <f t="shared" si="204"/>
        <v>1893.51</v>
      </c>
      <c r="BO1440" s="9">
        <f t="shared" si="205"/>
        <v>65.98</v>
      </c>
      <c r="BP1440" s="9">
        <f t="shared" si="206"/>
        <v>201.41</v>
      </c>
    </row>
    <row r="1441" spans="1:68">
      <c r="A1441" s="6">
        <v>44810</v>
      </c>
      <c r="B1441" s="7">
        <v>3136</v>
      </c>
      <c r="C1441" s="8">
        <v>1239.95</v>
      </c>
      <c r="D1441" s="8"/>
      <c r="E1441" s="8"/>
      <c r="F1441" s="8"/>
      <c r="G1441" s="8"/>
      <c r="H1441" s="8">
        <v>514.83000000000004</v>
      </c>
      <c r="I1441" s="8"/>
      <c r="J1441" s="8"/>
      <c r="K1441" s="8"/>
      <c r="L1441" s="8"/>
      <c r="M1441" s="8"/>
      <c r="N1441" s="8"/>
      <c r="O1441" s="8"/>
      <c r="P1441" s="8"/>
      <c r="Q1441" s="11">
        <v>2.0299999999999998</v>
      </c>
      <c r="R1441" s="11"/>
      <c r="S1441" s="8">
        <v>7.49</v>
      </c>
      <c r="T1441" s="8"/>
      <c r="U1441" s="8">
        <v>19.829999999999998</v>
      </c>
      <c r="V1441" s="8"/>
      <c r="W1441" s="8"/>
      <c r="X1441" s="8"/>
      <c r="Y1441" s="8"/>
      <c r="Z1441" s="8"/>
      <c r="AA1441" s="8"/>
      <c r="AB1441" s="8"/>
      <c r="AC1441" s="8">
        <v>6.1</v>
      </c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11"/>
      <c r="AQ1441" s="8"/>
      <c r="AR1441" s="8"/>
      <c r="AS1441" s="8"/>
      <c r="AT1441" s="8">
        <v>992.21</v>
      </c>
      <c r="AU1441" s="8"/>
      <c r="AV1441" s="8"/>
      <c r="AW1441" s="8"/>
      <c r="AX1441" s="8"/>
      <c r="AY1441" s="8"/>
      <c r="AZ1441" s="8"/>
      <c r="BA1441" s="8">
        <v>15.1</v>
      </c>
      <c r="BB1441" s="8"/>
      <c r="BC1441" s="8"/>
      <c r="BD1441" s="8"/>
      <c r="BE1441" s="8"/>
      <c r="BF1441" s="8">
        <v>61.03</v>
      </c>
      <c r="BG1441" s="8">
        <v>74.91</v>
      </c>
      <c r="BH1441" s="9">
        <f t="shared" si="198"/>
        <v>1754.7800000000002</v>
      </c>
      <c r="BI1441" s="9">
        <f t="shared" si="199"/>
        <v>2.0299999999999998</v>
      </c>
      <c r="BJ1441" s="9">
        <f t="shared" si="200"/>
        <v>7.49</v>
      </c>
      <c r="BK1441" s="9">
        <f t="shared" si="201"/>
        <v>19.829999999999998</v>
      </c>
      <c r="BL1441" s="9">
        <f t="shared" si="202"/>
        <v>0</v>
      </c>
      <c r="BM1441" s="9">
        <f t="shared" si="203"/>
        <v>6.1</v>
      </c>
      <c r="BN1441" s="9">
        <f t="shared" si="204"/>
        <v>992.21</v>
      </c>
      <c r="BO1441" s="9">
        <f t="shared" si="205"/>
        <v>15.1</v>
      </c>
      <c r="BP1441" s="9">
        <f t="shared" si="206"/>
        <v>61.03</v>
      </c>
    </row>
    <row r="1442" spans="1:68">
      <c r="A1442" s="6">
        <v>44810</v>
      </c>
      <c r="B1442" s="7">
        <v>3134</v>
      </c>
      <c r="C1442" s="8">
        <v>1043.6199999999999</v>
      </c>
      <c r="D1442" s="8">
        <v>146.04</v>
      </c>
      <c r="E1442" s="8"/>
      <c r="F1442" s="8"/>
      <c r="G1442" s="8"/>
      <c r="H1442" s="8">
        <v>492.37</v>
      </c>
      <c r="I1442" s="8"/>
      <c r="J1442" s="8"/>
      <c r="K1442" s="8"/>
      <c r="L1442" s="8"/>
      <c r="M1442" s="8"/>
      <c r="N1442" s="8"/>
      <c r="O1442" s="8"/>
      <c r="P1442" s="8"/>
      <c r="Q1442" s="11">
        <v>3.26</v>
      </c>
      <c r="R1442" s="11"/>
      <c r="S1442" s="8">
        <v>6.74</v>
      </c>
      <c r="T1442" s="8"/>
      <c r="U1442" s="8">
        <v>18.96</v>
      </c>
      <c r="V1442" s="8"/>
      <c r="W1442" s="8"/>
      <c r="X1442" s="8"/>
      <c r="Y1442" s="8"/>
      <c r="Z1442" s="8"/>
      <c r="AA1442" s="8"/>
      <c r="AB1442" s="8"/>
      <c r="AC1442" s="8">
        <v>5.85</v>
      </c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11"/>
      <c r="AQ1442" s="8"/>
      <c r="AR1442" s="8"/>
      <c r="AS1442" s="8"/>
      <c r="AT1442" s="8">
        <v>1030.05</v>
      </c>
      <c r="AU1442" s="8"/>
      <c r="AV1442" s="8"/>
      <c r="AW1442" s="8"/>
      <c r="AX1442" s="8"/>
      <c r="AY1442" s="8">
        <f>1418*10.45/1000</f>
        <v>14.818099999999999</v>
      </c>
      <c r="AZ1442" s="8"/>
      <c r="BA1442" s="8"/>
      <c r="BB1442" s="8"/>
      <c r="BC1442" s="8"/>
      <c r="BD1442" s="8"/>
      <c r="BE1442" s="8"/>
      <c r="BF1442" s="8">
        <v>65.75</v>
      </c>
      <c r="BG1442" s="8">
        <v>77.48</v>
      </c>
      <c r="BH1442" s="9">
        <f t="shared" si="198"/>
        <v>1682.0299999999997</v>
      </c>
      <c r="BI1442" s="9">
        <f t="shared" si="199"/>
        <v>3.26</v>
      </c>
      <c r="BJ1442" s="9">
        <f t="shared" si="200"/>
        <v>6.74</v>
      </c>
      <c r="BK1442" s="9">
        <f t="shared" si="201"/>
        <v>18.96</v>
      </c>
      <c r="BL1442" s="9">
        <f t="shared" si="202"/>
        <v>0</v>
      </c>
      <c r="BM1442" s="9">
        <f t="shared" si="203"/>
        <v>5.85</v>
      </c>
      <c r="BN1442" s="9">
        <f t="shared" si="204"/>
        <v>1030.05</v>
      </c>
      <c r="BO1442" s="9">
        <f t="shared" si="205"/>
        <v>14.818099999999999</v>
      </c>
      <c r="BP1442" s="9">
        <f t="shared" si="206"/>
        <v>65.75</v>
      </c>
    </row>
    <row r="1443" spans="1:68">
      <c r="A1443" s="6">
        <v>44811</v>
      </c>
      <c r="B1443" s="7">
        <v>3129</v>
      </c>
      <c r="C1443" s="8">
        <v>1466.81</v>
      </c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11"/>
      <c r="R1443" s="11">
        <f>1204*6.67/1000</f>
        <v>8.0306800000000003</v>
      </c>
      <c r="S1443" s="8">
        <f>6.64+5.43</f>
        <v>12.07</v>
      </c>
      <c r="T1443" s="8"/>
      <c r="U1443" s="8"/>
      <c r="V1443" s="8"/>
      <c r="W1443" s="8"/>
      <c r="X1443" s="8">
        <f>1987*6.67/1000</f>
        <v>13.25329</v>
      </c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11"/>
      <c r="AQ1443" s="8"/>
      <c r="AR1443" s="8"/>
      <c r="AS1443" s="8"/>
      <c r="AT1443" s="8">
        <v>201.51</v>
      </c>
      <c r="AU1443" s="8">
        <v>403.42</v>
      </c>
      <c r="AV1443" s="8"/>
      <c r="AW1443" s="8"/>
      <c r="AX1443" s="8"/>
      <c r="AY1443" s="8"/>
      <c r="AZ1443" s="8"/>
      <c r="BA1443" s="8"/>
      <c r="BB1443" s="8"/>
      <c r="BC1443" s="8"/>
      <c r="BD1443" s="8">
        <v>3.67</v>
      </c>
      <c r="BE1443" s="8">
        <f>2008*6.67/1000</f>
        <v>13.393360000000001</v>
      </c>
      <c r="BF1443" s="8"/>
      <c r="BG1443" s="8">
        <v>43.92</v>
      </c>
      <c r="BH1443" s="9">
        <f t="shared" si="198"/>
        <v>1466.81</v>
      </c>
      <c r="BI1443" s="9">
        <f t="shared" si="199"/>
        <v>8.0306800000000003</v>
      </c>
      <c r="BJ1443" s="9">
        <f t="shared" si="200"/>
        <v>12.07</v>
      </c>
      <c r="BK1443" s="9">
        <f t="shared" si="201"/>
        <v>13.25329</v>
      </c>
      <c r="BL1443" s="9">
        <f t="shared" si="202"/>
        <v>0</v>
      </c>
      <c r="BM1443" s="9">
        <f t="shared" si="203"/>
        <v>0</v>
      </c>
      <c r="BN1443" s="9">
        <f t="shared" si="204"/>
        <v>604.93000000000006</v>
      </c>
      <c r="BO1443" s="9">
        <f t="shared" si="205"/>
        <v>17.063360000000003</v>
      </c>
      <c r="BP1443" s="9">
        <f t="shared" si="206"/>
        <v>0</v>
      </c>
    </row>
    <row r="1444" spans="1:68">
      <c r="A1444" s="6">
        <v>44811</v>
      </c>
      <c r="B1444" s="7">
        <v>3029</v>
      </c>
      <c r="C1444" s="8"/>
      <c r="D1444" s="8">
        <v>472.96</v>
      </c>
      <c r="E1444" s="8"/>
      <c r="F1444" s="8">
        <v>333.46</v>
      </c>
      <c r="G1444" s="8"/>
      <c r="H1444" s="8"/>
      <c r="I1444" s="8">
        <v>1976.42</v>
      </c>
      <c r="J1444" s="8"/>
      <c r="K1444" s="8"/>
      <c r="L1444" s="8"/>
      <c r="M1444" s="8"/>
      <c r="N1444" s="8">
        <v>21.45</v>
      </c>
      <c r="O1444" s="8"/>
      <c r="P1444" s="8"/>
      <c r="Q1444" s="11"/>
      <c r="R1444" s="11"/>
      <c r="S1444" s="8">
        <v>1.68</v>
      </c>
      <c r="T1444" s="8"/>
      <c r="U1444" s="8"/>
      <c r="V1444" s="8"/>
      <c r="W1444" s="8">
        <v>27.89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>
        <v>9.75</v>
      </c>
      <c r="AN1444" s="8">
        <f>754*18.57/1000</f>
        <v>14.00178</v>
      </c>
      <c r="AO1444" s="8"/>
      <c r="AP1444" s="11"/>
      <c r="AQ1444" s="8"/>
      <c r="AR1444" s="8">
        <f>4529*18.57/1000</f>
        <v>84.103529999999992</v>
      </c>
      <c r="AS1444" s="8"/>
      <c r="AT1444" s="8">
        <v>1058.3599999999999</v>
      </c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>
        <v>73.52</v>
      </c>
      <c r="BH1444" s="9">
        <f t="shared" si="198"/>
        <v>2782.84</v>
      </c>
      <c r="BI1444" s="9">
        <f t="shared" si="199"/>
        <v>21.45</v>
      </c>
      <c r="BJ1444" s="9">
        <f t="shared" si="200"/>
        <v>1.68</v>
      </c>
      <c r="BK1444" s="9">
        <f t="shared" si="201"/>
        <v>27.89</v>
      </c>
      <c r="BL1444" s="9">
        <f t="shared" si="202"/>
        <v>0</v>
      </c>
      <c r="BM1444" s="9">
        <f t="shared" si="203"/>
        <v>107.85530999999999</v>
      </c>
      <c r="BN1444" s="9">
        <f t="shared" si="204"/>
        <v>1058.3599999999999</v>
      </c>
      <c r="BO1444" s="9">
        <f t="shared" si="205"/>
        <v>0</v>
      </c>
      <c r="BP1444" s="9">
        <f t="shared" si="206"/>
        <v>0</v>
      </c>
    </row>
    <row r="1445" spans="1:68">
      <c r="A1445" s="6">
        <v>44811</v>
      </c>
      <c r="B1445" s="7">
        <v>3016</v>
      </c>
      <c r="C1445" s="8"/>
      <c r="D1445" s="8">
        <v>2405.7399999999998</v>
      </c>
      <c r="E1445" s="8"/>
      <c r="F1445" s="8"/>
      <c r="G1445" s="8"/>
      <c r="H1445" s="8"/>
      <c r="I1445" s="8">
        <v>2217.34</v>
      </c>
      <c r="J1445" s="8"/>
      <c r="K1445" s="8"/>
      <c r="L1445" s="8"/>
      <c r="M1445" s="8"/>
      <c r="N1445" s="8">
        <v>27.72</v>
      </c>
      <c r="O1445" s="8"/>
      <c r="P1445" s="8"/>
      <c r="Q1445" s="11"/>
      <c r="R1445" s="11"/>
      <c r="S1445" s="8">
        <v>3.23</v>
      </c>
      <c r="T1445" s="8"/>
      <c r="U1445" s="8"/>
      <c r="V1445" s="8"/>
      <c r="W1445" s="8">
        <v>46.26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>
        <v>18.46</v>
      </c>
      <c r="AN1445" s="8">
        <f>2035*27.18/1000</f>
        <v>55.311300000000003</v>
      </c>
      <c r="AO1445" s="8"/>
      <c r="AP1445" s="11"/>
      <c r="AQ1445" s="8"/>
      <c r="AR1445" s="8">
        <f>4259*27.18/1000</f>
        <v>115.75962</v>
      </c>
      <c r="AS1445" s="8"/>
      <c r="AT1445" s="8">
        <v>1713.79</v>
      </c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>
        <v>126.32</v>
      </c>
      <c r="BH1445" s="9">
        <f t="shared" si="198"/>
        <v>4623.08</v>
      </c>
      <c r="BI1445" s="9">
        <f t="shared" si="199"/>
        <v>27.72</v>
      </c>
      <c r="BJ1445" s="9">
        <f t="shared" si="200"/>
        <v>3.23</v>
      </c>
      <c r="BK1445" s="9">
        <f t="shared" si="201"/>
        <v>46.26</v>
      </c>
      <c r="BL1445" s="9">
        <f t="shared" si="202"/>
        <v>0</v>
      </c>
      <c r="BM1445" s="9">
        <f t="shared" si="203"/>
        <v>189.53091999999998</v>
      </c>
      <c r="BN1445" s="9">
        <f t="shared" si="204"/>
        <v>1713.79</v>
      </c>
      <c r="BO1445" s="9">
        <f t="shared" si="205"/>
        <v>0</v>
      </c>
      <c r="BP1445" s="9">
        <f t="shared" si="206"/>
        <v>0</v>
      </c>
    </row>
    <row r="1446" spans="1:68">
      <c r="A1446" s="6">
        <v>44811</v>
      </c>
      <c r="B1446" s="7">
        <v>3081</v>
      </c>
      <c r="C1446" s="8"/>
      <c r="D1446" s="8">
        <v>283.88</v>
      </c>
      <c r="E1446" s="8"/>
      <c r="F1446" s="8">
        <v>317.77</v>
      </c>
      <c r="G1446" s="8"/>
      <c r="H1446" s="8"/>
      <c r="I1446" s="8">
        <v>1164.21</v>
      </c>
      <c r="J1446" s="8"/>
      <c r="K1446" s="8"/>
      <c r="L1446" s="8"/>
      <c r="M1446" s="8"/>
      <c r="N1446" s="8">
        <v>12.98</v>
      </c>
      <c r="O1446" s="8"/>
      <c r="P1446" s="8">
        <f>613*11.47/1000</f>
        <v>7.0311100000000009</v>
      </c>
      <c r="Q1446" s="11"/>
      <c r="R1446" s="11"/>
      <c r="S1446" s="8">
        <v>1.24</v>
      </c>
      <c r="T1446" s="8"/>
      <c r="U1446" s="8"/>
      <c r="V1446" s="8"/>
      <c r="W1446" s="8">
        <v>17.79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11"/>
      <c r="AQ1446" s="8">
        <f>1565*11.47/1000</f>
        <v>17.95055</v>
      </c>
      <c r="AR1446" s="8">
        <f>5430*11.47/1000</f>
        <v>62.282100000000007</v>
      </c>
      <c r="AS1446" s="8"/>
      <c r="AT1446" s="8">
        <v>555.86</v>
      </c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>
        <v>37.14</v>
      </c>
      <c r="BH1446" s="9">
        <f t="shared" si="198"/>
        <v>1765.8600000000001</v>
      </c>
      <c r="BI1446" s="9">
        <f t="shared" si="199"/>
        <v>20.011110000000002</v>
      </c>
      <c r="BJ1446" s="9">
        <f t="shared" si="200"/>
        <v>1.24</v>
      </c>
      <c r="BK1446" s="9">
        <f t="shared" si="201"/>
        <v>17.79</v>
      </c>
      <c r="BL1446" s="9">
        <f t="shared" si="202"/>
        <v>0</v>
      </c>
      <c r="BM1446" s="9">
        <f t="shared" si="203"/>
        <v>80.232650000000007</v>
      </c>
      <c r="BN1446" s="9">
        <f t="shared" si="204"/>
        <v>555.86</v>
      </c>
      <c r="BO1446" s="9">
        <f t="shared" si="205"/>
        <v>0</v>
      </c>
      <c r="BP1446" s="9">
        <f t="shared" si="206"/>
        <v>0</v>
      </c>
    </row>
    <row r="1447" spans="1:68">
      <c r="A1447" s="6">
        <v>44811</v>
      </c>
      <c r="B1447" s="7">
        <v>3020</v>
      </c>
      <c r="C1447" s="8"/>
      <c r="D1447" s="8">
        <v>322.94</v>
      </c>
      <c r="E1447" s="8"/>
      <c r="F1447" s="8"/>
      <c r="G1447" s="8"/>
      <c r="H1447" s="8"/>
      <c r="I1447" s="8">
        <v>1825.06</v>
      </c>
      <c r="J1447" s="8"/>
      <c r="K1447" s="8"/>
      <c r="L1447" s="8"/>
      <c r="M1447" s="8"/>
      <c r="N1447" s="8">
        <v>12.9</v>
      </c>
      <c r="O1447" s="8"/>
      <c r="P1447" s="8"/>
      <c r="Q1447" s="11"/>
      <c r="R1447" s="11"/>
      <c r="S1447" s="8">
        <v>3.86</v>
      </c>
      <c r="T1447" s="8"/>
      <c r="U1447" s="8"/>
      <c r="V1447" s="8"/>
      <c r="W1447" s="8">
        <v>21.52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>
        <v>21.44</v>
      </c>
      <c r="AN1447" s="8"/>
      <c r="AO1447" s="8"/>
      <c r="AP1447" s="11"/>
      <c r="AQ1447" s="8"/>
      <c r="AR1447" s="8"/>
      <c r="AS1447" s="8">
        <f>3066*17.88/1000</f>
        <v>54.820079999999997</v>
      </c>
      <c r="AT1447" s="8">
        <v>1055.4100000000001</v>
      </c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>
        <v>77.27</v>
      </c>
      <c r="BH1447" s="9">
        <f t="shared" si="198"/>
        <v>2148</v>
      </c>
      <c r="BI1447" s="9">
        <f t="shared" si="199"/>
        <v>12.9</v>
      </c>
      <c r="BJ1447" s="9">
        <f t="shared" si="200"/>
        <v>3.86</v>
      </c>
      <c r="BK1447" s="9">
        <f t="shared" si="201"/>
        <v>21.52</v>
      </c>
      <c r="BL1447" s="9">
        <f t="shared" si="202"/>
        <v>0</v>
      </c>
      <c r="BM1447" s="9">
        <f t="shared" si="203"/>
        <v>76.260080000000002</v>
      </c>
      <c r="BN1447" s="9">
        <f t="shared" si="204"/>
        <v>1055.4100000000001</v>
      </c>
      <c r="BO1447" s="9">
        <f t="shared" si="205"/>
        <v>0</v>
      </c>
      <c r="BP1447" s="9">
        <f t="shared" si="206"/>
        <v>0</v>
      </c>
    </row>
    <row r="1448" spans="1:68">
      <c r="A1448" s="6">
        <v>44811</v>
      </c>
      <c r="B1448" s="7">
        <v>3021</v>
      </c>
      <c r="C1448" s="8"/>
      <c r="D1448" s="8">
        <v>346.14</v>
      </c>
      <c r="E1448" s="8"/>
      <c r="F1448" s="8"/>
      <c r="G1448" s="8"/>
      <c r="H1448" s="8"/>
      <c r="I1448" s="8">
        <v>643.73</v>
      </c>
      <c r="J1448" s="8"/>
      <c r="K1448" s="8"/>
      <c r="L1448" s="8"/>
      <c r="M1448" s="8"/>
      <c r="N1448" s="8">
        <v>5.28</v>
      </c>
      <c r="O1448" s="8"/>
      <c r="P1448" s="8"/>
      <c r="Q1448" s="11"/>
      <c r="R1448" s="11"/>
      <c r="S1448" s="8">
        <v>1.8</v>
      </c>
      <c r="T1448" s="8"/>
      <c r="U1448" s="8"/>
      <c r="V1448" s="8"/>
      <c r="W1448" s="8">
        <v>9.91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>
        <v>9.93</v>
      </c>
      <c r="AN1448" s="8"/>
      <c r="AO1448" s="8"/>
      <c r="AP1448" s="11"/>
      <c r="AQ1448" s="8"/>
      <c r="AR1448" s="8"/>
      <c r="AS1448" s="8">
        <f>2633*9.47/1000</f>
        <v>24.934510000000003</v>
      </c>
      <c r="AT1448" s="8">
        <v>467.36</v>
      </c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>
        <v>35.24</v>
      </c>
      <c r="BH1448" s="9">
        <f t="shared" si="198"/>
        <v>989.87</v>
      </c>
      <c r="BI1448" s="9">
        <f t="shared" si="199"/>
        <v>5.28</v>
      </c>
      <c r="BJ1448" s="9">
        <f t="shared" si="200"/>
        <v>1.8</v>
      </c>
      <c r="BK1448" s="9">
        <f t="shared" si="201"/>
        <v>9.91</v>
      </c>
      <c r="BL1448" s="9">
        <f t="shared" si="202"/>
        <v>0</v>
      </c>
      <c r="BM1448" s="9">
        <f t="shared" si="203"/>
        <v>34.864510000000003</v>
      </c>
      <c r="BN1448" s="9">
        <f t="shared" si="204"/>
        <v>467.36</v>
      </c>
      <c r="BO1448" s="9">
        <f t="shared" si="205"/>
        <v>0</v>
      </c>
      <c r="BP1448" s="9">
        <f t="shared" si="206"/>
        <v>0</v>
      </c>
    </row>
    <row r="1449" spans="1:68">
      <c r="A1449" s="6">
        <v>44811</v>
      </c>
      <c r="B1449" s="7">
        <v>3602</v>
      </c>
      <c r="C1449" s="8">
        <v>313.02999999999997</v>
      </c>
      <c r="D1449" s="8"/>
      <c r="E1449" s="8"/>
      <c r="F1449" s="8"/>
      <c r="G1449" s="8">
        <v>470</v>
      </c>
      <c r="H1449" s="8"/>
      <c r="I1449" s="8"/>
      <c r="J1449" s="8"/>
      <c r="K1449" s="8"/>
      <c r="L1449" s="8"/>
      <c r="M1449" s="8">
        <f>94*8.97/1000</f>
        <v>0.84318000000000004</v>
      </c>
      <c r="N1449" s="8"/>
      <c r="O1449" s="8"/>
      <c r="P1449" s="8"/>
      <c r="Q1449" s="11"/>
      <c r="R1449" s="11"/>
      <c r="S1449" s="8">
        <v>3.76</v>
      </c>
      <c r="T1449" s="8"/>
      <c r="U1449" s="8">
        <v>6.28</v>
      </c>
      <c r="V1449" s="8">
        <f>822*8.97/1000</f>
        <v>7.3733399999999998</v>
      </c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11"/>
      <c r="AQ1449" s="8"/>
      <c r="AR1449" s="8"/>
      <c r="AS1449" s="8"/>
      <c r="AT1449" s="8">
        <v>316.02</v>
      </c>
      <c r="AU1449" s="8"/>
      <c r="AV1449" s="8"/>
      <c r="AW1449" s="8">
        <v>20.28</v>
      </c>
      <c r="AX1449" s="8"/>
      <c r="AY1449" s="8"/>
      <c r="AZ1449" s="8"/>
      <c r="BA1449" s="8"/>
      <c r="BB1449" s="8"/>
      <c r="BC1449" s="8"/>
      <c r="BD1449" s="8"/>
      <c r="BE1449" s="8"/>
      <c r="BF1449" s="8">
        <v>25.18</v>
      </c>
      <c r="BG1449" s="8">
        <v>23.53</v>
      </c>
      <c r="BH1449" s="9">
        <f t="shared" si="198"/>
        <v>783.03</v>
      </c>
      <c r="BI1449" s="9">
        <f t="shared" si="199"/>
        <v>0.84318000000000004</v>
      </c>
      <c r="BJ1449" s="9">
        <f t="shared" si="200"/>
        <v>3.76</v>
      </c>
      <c r="BK1449" s="9">
        <f t="shared" si="201"/>
        <v>13.65334</v>
      </c>
      <c r="BL1449" s="9">
        <f t="shared" si="202"/>
        <v>0</v>
      </c>
      <c r="BM1449" s="9">
        <f t="shared" si="203"/>
        <v>0</v>
      </c>
      <c r="BN1449" s="9">
        <f t="shared" si="204"/>
        <v>316.02</v>
      </c>
      <c r="BO1449" s="9">
        <f t="shared" si="205"/>
        <v>20.28</v>
      </c>
      <c r="BP1449" s="9">
        <f t="shared" si="206"/>
        <v>25.18</v>
      </c>
    </row>
    <row r="1450" spans="1:68">
      <c r="A1450" s="6">
        <v>44811</v>
      </c>
      <c r="B1450" s="7">
        <v>3307</v>
      </c>
      <c r="C1450" s="8"/>
      <c r="D1450" s="8">
        <v>985.11</v>
      </c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11">
        <v>1.26</v>
      </c>
      <c r="R1450" s="11"/>
      <c r="S1450" s="8">
        <v>7.19</v>
      </c>
      <c r="T1450" s="8"/>
      <c r="U1450" s="8">
        <v>9.85</v>
      </c>
      <c r="V1450" s="8"/>
      <c r="W1450" s="8"/>
      <c r="X1450" s="8"/>
      <c r="Y1450" s="8"/>
      <c r="Z1450" s="8"/>
      <c r="AA1450" s="8"/>
      <c r="AB1450" s="8"/>
      <c r="AC1450" s="8">
        <v>5.91</v>
      </c>
      <c r="AD1450" s="8"/>
      <c r="AE1450" s="8"/>
      <c r="AF1450" s="8"/>
      <c r="AG1450" s="8">
        <v>9.84</v>
      </c>
      <c r="AH1450" s="8"/>
      <c r="AI1450" s="8"/>
      <c r="AJ1450" s="8"/>
      <c r="AK1450" s="8"/>
      <c r="AL1450" s="8"/>
      <c r="AM1450" s="8"/>
      <c r="AN1450" s="8"/>
      <c r="AO1450" s="8"/>
      <c r="AP1450" s="11"/>
      <c r="AQ1450" s="8"/>
      <c r="AR1450" s="8"/>
      <c r="AS1450" s="8"/>
      <c r="AT1450" s="8"/>
      <c r="AU1450" s="8">
        <v>493.58</v>
      </c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>
        <v>35.43</v>
      </c>
      <c r="BH1450" s="9">
        <f t="shared" si="198"/>
        <v>985.11</v>
      </c>
      <c r="BI1450" s="9">
        <f t="shared" si="199"/>
        <v>1.26</v>
      </c>
      <c r="BJ1450" s="9">
        <f t="shared" si="200"/>
        <v>7.19</v>
      </c>
      <c r="BK1450" s="9">
        <f t="shared" si="201"/>
        <v>9.85</v>
      </c>
      <c r="BL1450" s="9">
        <f t="shared" si="202"/>
        <v>0</v>
      </c>
      <c r="BM1450" s="9">
        <f t="shared" si="203"/>
        <v>15.75</v>
      </c>
      <c r="BN1450" s="9">
        <f t="shared" si="204"/>
        <v>493.58</v>
      </c>
      <c r="BO1450" s="9">
        <f t="shared" si="205"/>
        <v>0</v>
      </c>
      <c r="BP1450" s="9">
        <f t="shared" si="206"/>
        <v>0</v>
      </c>
    </row>
    <row r="1451" spans="1:68">
      <c r="A1451" s="6">
        <v>44811</v>
      </c>
      <c r="B1451" s="7">
        <v>8266</v>
      </c>
      <c r="C1451" s="8">
        <v>290.99</v>
      </c>
      <c r="D1451" s="8"/>
      <c r="E1451" s="8"/>
      <c r="F1451" s="8"/>
      <c r="G1451" s="8">
        <v>435.68</v>
      </c>
      <c r="H1451" s="8"/>
      <c r="I1451" s="8"/>
      <c r="J1451" s="8"/>
      <c r="K1451" s="8"/>
      <c r="L1451" s="8"/>
      <c r="M1451" s="8">
        <f>108*8.3/1000</f>
        <v>0.89640000000000009</v>
      </c>
      <c r="N1451" s="8"/>
      <c r="O1451" s="8"/>
      <c r="P1451" s="8"/>
      <c r="Q1451" s="11"/>
      <c r="R1451" s="11"/>
      <c r="S1451" s="8">
        <v>3.66</v>
      </c>
      <c r="T1451" s="8"/>
      <c r="U1451" s="8">
        <v>4.3600000000000003</v>
      </c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11"/>
      <c r="AQ1451" s="8"/>
      <c r="AR1451" s="8"/>
      <c r="AS1451" s="8"/>
      <c r="AT1451" s="8">
        <v>342.98</v>
      </c>
      <c r="AU1451" s="8"/>
      <c r="AV1451" s="8"/>
      <c r="AW1451" s="8">
        <v>22.08</v>
      </c>
      <c r="AX1451" s="8"/>
      <c r="AY1451" s="8"/>
      <c r="AZ1451" s="8"/>
      <c r="BA1451" s="8"/>
      <c r="BB1451" s="8"/>
      <c r="BC1451" s="8"/>
      <c r="BD1451" s="8"/>
      <c r="BE1451" s="8"/>
      <c r="BF1451" s="8">
        <v>40.6</v>
      </c>
      <c r="BG1451" s="8">
        <v>25.82</v>
      </c>
      <c r="BH1451" s="9">
        <f t="shared" si="198"/>
        <v>726.67000000000007</v>
      </c>
      <c r="BI1451" s="9">
        <f t="shared" si="199"/>
        <v>0.89640000000000009</v>
      </c>
      <c r="BJ1451" s="9">
        <f t="shared" si="200"/>
        <v>3.66</v>
      </c>
      <c r="BK1451" s="9">
        <f t="shared" si="201"/>
        <v>4.3600000000000003</v>
      </c>
      <c r="BL1451" s="9">
        <f t="shared" si="202"/>
        <v>0</v>
      </c>
      <c r="BM1451" s="9">
        <f t="shared" si="203"/>
        <v>0</v>
      </c>
      <c r="BN1451" s="9">
        <f t="shared" si="204"/>
        <v>342.98</v>
      </c>
      <c r="BO1451" s="9">
        <f t="shared" si="205"/>
        <v>22.08</v>
      </c>
      <c r="BP1451" s="9">
        <f t="shared" si="206"/>
        <v>40.6</v>
      </c>
    </row>
    <row r="1452" spans="1:68">
      <c r="A1452" s="6">
        <v>44812</v>
      </c>
      <c r="B1452" s="7">
        <v>3309</v>
      </c>
      <c r="C1452" s="8"/>
      <c r="D1452" s="8">
        <f>208.22+929.16</f>
        <v>1137.3799999999999</v>
      </c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11">
        <f>0.25+1.08</f>
        <v>1.33</v>
      </c>
      <c r="R1452" s="11"/>
      <c r="S1452" s="8">
        <f>6.42+1.23</f>
        <v>7.65</v>
      </c>
      <c r="T1452" s="8"/>
      <c r="U1452" s="8">
        <f>8.37+1.88</f>
        <v>10.25</v>
      </c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>
        <f>9.31+2.1</f>
        <v>11.41</v>
      </c>
      <c r="AH1452" s="8"/>
      <c r="AI1452" s="8"/>
      <c r="AJ1452" s="8"/>
      <c r="AK1452" s="8"/>
      <c r="AL1452" s="8"/>
      <c r="AM1452" s="8"/>
      <c r="AN1452" s="8"/>
      <c r="AO1452" s="8"/>
      <c r="AP1452" s="11"/>
      <c r="AQ1452" s="8"/>
      <c r="AR1452" s="8"/>
      <c r="AS1452" s="8"/>
      <c r="AT1452" s="8"/>
      <c r="AU1452" s="8">
        <f>381.75+85.48</f>
        <v>467.23</v>
      </c>
      <c r="AV1452" s="8"/>
      <c r="AW1452" s="8"/>
      <c r="AX1452" s="8"/>
      <c r="AY1452" s="8"/>
      <c r="AZ1452" s="8"/>
      <c r="BA1452" s="8"/>
      <c r="BB1452" s="8"/>
      <c r="BC1452" s="8">
        <f>0.86+0.19</f>
        <v>1.05</v>
      </c>
      <c r="BD1452" s="8"/>
      <c r="BE1452" s="8"/>
      <c r="BF1452" s="8"/>
      <c r="BG1452" s="8">
        <f>26.88+6.02</f>
        <v>32.9</v>
      </c>
      <c r="BH1452" s="9">
        <f t="shared" si="198"/>
        <v>1137.3799999999999</v>
      </c>
      <c r="BI1452" s="9">
        <f t="shared" si="199"/>
        <v>1.33</v>
      </c>
      <c r="BJ1452" s="9">
        <f t="shared" si="200"/>
        <v>7.65</v>
      </c>
      <c r="BK1452" s="9">
        <f t="shared" si="201"/>
        <v>10.25</v>
      </c>
      <c r="BL1452" s="9">
        <f t="shared" si="202"/>
        <v>0</v>
      </c>
      <c r="BM1452" s="9">
        <f t="shared" si="203"/>
        <v>11.41</v>
      </c>
      <c r="BN1452" s="9">
        <f t="shared" si="204"/>
        <v>467.23</v>
      </c>
      <c r="BO1452" s="9">
        <f t="shared" si="205"/>
        <v>1.05</v>
      </c>
      <c r="BP1452" s="9">
        <f t="shared" si="206"/>
        <v>0</v>
      </c>
    </row>
    <row r="1453" spans="1:68">
      <c r="A1453" s="6">
        <v>44812</v>
      </c>
      <c r="B1453" s="7">
        <v>3204</v>
      </c>
      <c r="C1453" s="8"/>
      <c r="D1453" s="8">
        <v>1775.51</v>
      </c>
      <c r="E1453" s="8">
        <v>756.6</v>
      </c>
      <c r="F1453" s="8"/>
      <c r="G1453" s="8"/>
      <c r="H1453" s="8"/>
      <c r="I1453" s="8"/>
      <c r="J1453" s="8"/>
      <c r="K1453" s="8"/>
      <c r="L1453" s="8"/>
      <c r="M1453" s="8"/>
      <c r="N1453" s="8"/>
      <c r="O1453" s="8">
        <v>12.69</v>
      </c>
      <c r="P1453" s="8"/>
      <c r="Q1453" s="11"/>
      <c r="R1453" s="11"/>
      <c r="S1453" s="8">
        <v>8.6300000000000008</v>
      </c>
      <c r="T1453" s="8"/>
      <c r="U1453" s="8">
        <v>28.06</v>
      </c>
      <c r="V1453" s="8"/>
      <c r="W1453" s="8"/>
      <c r="X1453" s="8"/>
      <c r="Y1453" s="8"/>
      <c r="Z1453" s="8">
        <v>381.58</v>
      </c>
      <c r="AA1453" s="8"/>
      <c r="AB1453" s="8">
        <f>712*18.15/1000</f>
        <v>12.922799999999999</v>
      </c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11"/>
      <c r="AQ1453" s="8"/>
      <c r="AR1453" s="8"/>
      <c r="AS1453" s="8"/>
      <c r="AT1453" s="8">
        <v>1116.1500000000001</v>
      </c>
      <c r="AU1453" s="8"/>
      <c r="AV1453" s="8"/>
      <c r="AW1453" s="8">
        <v>8.1199999999999992</v>
      </c>
      <c r="AX1453" s="8"/>
      <c r="AY1453" s="8"/>
      <c r="AZ1453" s="8"/>
      <c r="BA1453" s="8"/>
      <c r="BB1453" s="8"/>
      <c r="BC1453" s="8"/>
      <c r="BD1453" s="8"/>
      <c r="BE1453" s="8"/>
      <c r="BF1453" s="8"/>
      <c r="BG1453" s="8">
        <v>82.63</v>
      </c>
      <c r="BH1453" s="9">
        <f t="shared" si="198"/>
        <v>2532.11</v>
      </c>
      <c r="BI1453" s="9">
        <f t="shared" si="199"/>
        <v>12.69</v>
      </c>
      <c r="BJ1453" s="9">
        <f t="shared" si="200"/>
        <v>8.6300000000000008</v>
      </c>
      <c r="BK1453" s="9">
        <f t="shared" si="201"/>
        <v>28.06</v>
      </c>
      <c r="BL1453" s="9">
        <f t="shared" si="202"/>
        <v>381.58</v>
      </c>
      <c r="BM1453" s="9">
        <f t="shared" si="203"/>
        <v>12.922799999999999</v>
      </c>
      <c r="BN1453" s="9">
        <f t="shared" si="204"/>
        <v>1116.1500000000001</v>
      </c>
      <c r="BO1453" s="9">
        <f t="shared" si="205"/>
        <v>8.1199999999999992</v>
      </c>
      <c r="BP1453" s="9">
        <f t="shared" si="206"/>
        <v>0</v>
      </c>
    </row>
    <row r="1454" spans="1:68">
      <c r="A1454" s="6">
        <v>44812</v>
      </c>
      <c r="B1454" s="7">
        <v>3203</v>
      </c>
      <c r="C1454" s="8">
        <v>868.89</v>
      </c>
      <c r="D1454" s="8"/>
      <c r="E1454" s="8">
        <v>374.52</v>
      </c>
      <c r="F1454" s="8"/>
      <c r="G1454" s="8"/>
      <c r="H1454" s="8"/>
      <c r="I1454" s="8"/>
      <c r="J1454" s="8"/>
      <c r="K1454" s="8"/>
      <c r="L1454" s="8"/>
      <c r="M1454" s="8"/>
      <c r="N1454" s="8"/>
      <c r="O1454" s="8">
        <v>3.74</v>
      </c>
      <c r="P1454" s="8"/>
      <c r="Q1454" s="11"/>
      <c r="R1454" s="11"/>
      <c r="S1454" s="8">
        <v>4.8899999999999997</v>
      </c>
      <c r="T1454" s="8"/>
      <c r="U1454" s="8">
        <v>15.54</v>
      </c>
      <c r="V1454" s="8"/>
      <c r="W1454" s="8"/>
      <c r="X1454" s="8"/>
      <c r="Y1454" s="8"/>
      <c r="Z1454" s="8">
        <v>197.27</v>
      </c>
      <c r="AA1454" s="8">
        <f>10442*14.72/1000</f>
        <v>153.70624000000001</v>
      </c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11"/>
      <c r="AQ1454" s="8"/>
      <c r="AR1454" s="8"/>
      <c r="AS1454" s="8"/>
      <c r="AT1454" s="8">
        <v>465.74</v>
      </c>
      <c r="AU1454" s="8">
        <v>233.78</v>
      </c>
      <c r="AV1454" s="8"/>
      <c r="AW1454" s="8"/>
      <c r="AX1454" s="8"/>
      <c r="AY1454" s="8"/>
      <c r="AZ1454" s="8"/>
      <c r="BA1454" s="8"/>
      <c r="BB1454" s="8"/>
      <c r="BC1454" s="8">
        <v>3.26</v>
      </c>
      <c r="BD1454" s="8"/>
      <c r="BE1454" s="8"/>
      <c r="BF1454" s="8"/>
      <c r="BG1454" s="8">
        <v>45.51</v>
      </c>
      <c r="BH1454" s="9">
        <f t="shared" si="198"/>
        <v>1243.4099999999999</v>
      </c>
      <c r="BI1454" s="9">
        <f t="shared" si="199"/>
        <v>3.74</v>
      </c>
      <c r="BJ1454" s="9">
        <f t="shared" si="200"/>
        <v>4.8899999999999997</v>
      </c>
      <c r="BK1454" s="9">
        <f t="shared" si="201"/>
        <v>15.54</v>
      </c>
      <c r="BL1454" s="9">
        <f t="shared" si="202"/>
        <v>350.97624000000002</v>
      </c>
      <c r="BM1454" s="9">
        <f t="shared" si="203"/>
        <v>0</v>
      </c>
      <c r="BN1454" s="9">
        <f t="shared" si="204"/>
        <v>699.52</v>
      </c>
      <c r="BO1454" s="9">
        <f t="shared" si="205"/>
        <v>3.26</v>
      </c>
      <c r="BP1454" s="9">
        <f t="shared" si="206"/>
        <v>0</v>
      </c>
    </row>
    <row r="1455" spans="1:68">
      <c r="A1455" s="6">
        <v>44812</v>
      </c>
      <c r="B1455" s="7">
        <v>3141</v>
      </c>
      <c r="C1455" s="8">
        <v>2458.65</v>
      </c>
      <c r="D1455" s="8">
        <v>435.24</v>
      </c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11">
        <v>8.32</v>
      </c>
      <c r="R1455" s="11"/>
      <c r="S1455" s="8">
        <v>13.65</v>
      </c>
      <c r="T1455" s="8"/>
      <c r="U1455" s="8">
        <v>43.55</v>
      </c>
      <c r="V1455" s="8"/>
      <c r="W1455" s="8"/>
      <c r="X1455" s="8"/>
      <c r="Y1455" s="8"/>
      <c r="Z1455" s="8"/>
      <c r="AA1455" s="8"/>
      <c r="AB1455" s="8"/>
      <c r="AC1455" s="8">
        <v>11.62</v>
      </c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11"/>
      <c r="AQ1455" s="8"/>
      <c r="AR1455" s="8"/>
      <c r="AS1455" s="8"/>
      <c r="AT1455" s="8">
        <v>1899.12</v>
      </c>
      <c r="AU1455" s="8"/>
      <c r="AV1455" s="8"/>
      <c r="AW1455" s="8"/>
      <c r="AX1455" s="8"/>
      <c r="AY1455" s="8"/>
      <c r="AZ1455" s="8"/>
      <c r="BA1455" s="8">
        <v>66.59</v>
      </c>
      <c r="BB1455" s="8"/>
      <c r="BC1455" s="8"/>
      <c r="BD1455" s="8"/>
      <c r="BE1455" s="8"/>
      <c r="BF1455" s="8">
        <v>203.18</v>
      </c>
      <c r="BG1455" s="8">
        <v>150.34</v>
      </c>
      <c r="BH1455" s="9">
        <f t="shared" si="198"/>
        <v>2893.8900000000003</v>
      </c>
      <c r="BI1455" s="9">
        <f t="shared" si="199"/>
        <v>8.32</v>
      </c>
      <c r="BJ1455" s="9">
        <f t="shared" si="200"/>
        <v>13.65</v>
      </c>
      <c r="BK1455" s="9">
        <f t="shared" si="201"/>
        <v>43.55</v>
      </c>
      <c r="BL1455" s="9">
        <f t="shared" si="202"/>
        <v>0</v>
      </c>
      <c r="BM1455" s="9">
        <f t="shared" si="203"/>
        <v>11.62</v>
      </c>
      <c r="BN1455" s="9">
        <f t="shared" si="204"/>
        <v>1899.12</v>
      </c>
      <c r="BO1455" s="9">
        <f t="shared" si="205"/>
        <v>66.59</v>
      </c>
      <c r="BP1455" s="9">
        <f t="shared" si="206"/>
        <v>203.18</v>
      </c>
    </row>
    <row r="1456" spans="1:68">
      <c r="A1456" s="6">
        <v>44812</v>
      </c>
      <c r="B1456" s="7">
        <v>3106</v>
      </c>
      <c r="C1456" s="8">
        <v>4096.3900000000003</v>
      </c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11">
        <v>11.05</v>
      </c>
      <c r="R1456" s="11"/>
      <c r="S1456" s="8">
        <v>12.29</v>
      </c>
      <c r="T1456" s="8"/>
      <c r="U1456" s="8">
        <v>52.2</v>
      </c>
      <c r="V1456" s="8"/>
      <c r="W1456" s="8"/>
      <c r="X1456" s="8"/>
      <c r="Y1456" s="8"/>
      <c r="Z1456" s="8"/>
      <c r="AA1456" s="8"/>
      <c r="AB1456" s="8"/>
      <c r="AC1456" s="8">
        <v>10.26</v>
      </c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11"/>
      <c r="AQ1456" s="8"/>
      <c r="AR1456" s="8"/>
      <c r="AS1456" s="8"/>
      <c r="AT1456" s="8">
        <v>2345.02</v>
      </c>
      <c r="AU1456" s="8"/>
      <c r="AV1456" s="8"/>
      <c r="AW1456" s="8"/>
      <c r="AX1456" s="8">
        <v>5.13</v>
      </c>
      <c r="AY1456" s="8"/>
      <c r="AZ1456" s="8"/>
      <c r="BA1456" s="8"/>
      <c r="BB1456" s="8"/>
      <c r="BC1456" s="8"/>
      <c r="BD1456" s="8"/>
      <c r="BE1456" s="8"/>
      <c r="BF1456" s="8"/>
      <c r="BG1456" s="8">
        <v>176</v>
      </c>
      <c r="BH1456" s="9">
        <f t="shared" si="198"/>
        <v>4096.3900000000003</v>
      </c>
      <c r="BI1456" s="9">
        <f t="shared" si="199"/>
        <v>11.05</v>
      </c>
      <c r="BJ1456" s="9">
        <f t="shared" si="200"/>
        <v>12.29</v>
      </c>
      <c r="BK1456" s="9">
        <f t="shared" si="201"/>
        <v>52.2</v>
      </c>
      <c r="BL1456" s="9">
        <f t="shared" si="202"/>
        <v>0</v>
      </c>
      <c r="BM1456" s="9">
        <f t="shared" si="203"/>
        <v>10.26</v>
      </c>
      <c r="BN1456" s="9">
        <f t="shared" si="204"/>
        <v>2345.02</v>
      </c>
      <c r="BO1456" s="9">
        <f t="shared" si="205"/>
        <v>5.13</v>
      </c>
      <c r="BP1456" s="9">
        <f t="shared" si="206"/>
        <v>0</v>
      </c>
    </row>
    <row r="1457" spans="1:68">
      <c r="A1457" s="6">
        <v>44813</v>
      </c>
      <c r="B1457" s="7">
        <v>3020</v>
      </c>
      <c r="C1457" s="8"/>
      <c r="D1457" s="8">
        <v>169.57</v>
      </c>
      <c r="E1457" s="8"/>
      <c r="F1457" s="8"/>
      <c r="G1457" s="8"/>
      <c r="H1457" s="8"/>
      <c r="I1457" s="8">
        <v>958.31</v>
      </c>
      <c r="J1457" s="8"/>
      <c r="K1457" s="8"/>
      <c r="L1457" s="8"/>
      <c r="M1457" s="8"/>
      <c r="N1457" s="8">
        <v>6.77</v>
      </c>
      <c r="O1457" s="8"/>
      <c r="P1457" s="8"/>
      <c r="Q1457" s="11"/>
      <c r="R1457" s="11"/>
      <c r="S1457" s="8">
        <v>2.0299999999999998</v>
      </c>
      <c r="T1457" s="8"/>
      <c r="U1457" s="8"/>
      <c r="V1457" s="8"/>
      <c r="W1457" s="8">
        <v>11.29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>
        <v>11.28</v>
      </c>
      <c r="AN1457" s="8"/>
      <c r="AO1457" s="8"/>
      <c r="AP1457" s="11"/>
      <c r="AQ1457" s="8"/>
      <c r="AR1457" s="8"/>
      <c r="AS1457" s="8">
        <f>3066*9.38/1000</f>
        <v>28.759080000000001</v>
      </c>
      <c r="AT1457" s="8">
        <v>554.08000000000004</v>
      </c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>
        <v>40.56</v>
      </c>
      <c r="BH1457" s="9">
        <f t="shared" si="198"/>
        <v>1127.8799999999999</v>
      </c>
      <c r="BI1457" s="9">
        <f t="shared" si="199"/>
        <v>6.77</v>
      </c>
      <c r="BJ1457" s="9">
        <f t="shared" si="200"/>
        <v>2.0299999999999998</v>
      </c>
      <c r="BK1457" s="9">
        <f t="shared" si="201"/>
        <v>11.29</v>
      </c>
      <c r="BL1457" s="9">
        <f t="shared" si="202"/>
        <v>0</v>
      </c>
      <c r="BM1457" s="9">
        <f t="shared" si="203"/>
        <v>40.039079999999998</v>
      </c>
      <c r="BN1457" s="9">
        <f t="shared" si="204"/>
        <v>554.08000000000004</v>
      </c>
      <c r="BO1457" s="9">
        <f t="shared" si="205"/>
        <v>0</v>
      </c>
      <c r="BP1457" s="9">
        <f t="shared" si="206"/>
        <v>0</v>
      </c>
    </row>
    <row r="1458" spans="1:68">
      <c r="A1458" s="6">
        <v>44813</v>
      </c>
      <c r="B1458" s="7">
        <v>3200</v>
      </c>
      <c r="C1458" s="8">
        <v>2277.73</v>
      </c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>
        <v>5.71</v>
      </c>
      <c r="P1458" s="8"/>
      <c r="Q1458" s="11"/>
      <c r="R1458" s="11"/>
      <c r="S1458" s="8">
        <v>8.93</v>
      </c>
      <c r="T1458" s="8"/>
      <c r="U1458" s="8">
        <v>34.33</v>
      </c>
      <c r="V1458" s="8"/>
      <c r="W1458" s="8"/>
      <c r="X1458" s="8"/>
      <c r="Y1458" s="8"/>
      <c r="Z1458" s="8">
        <v>480.28</v>
      </c>
      <c r="AA1458" s="8"/>
      <c r="AB1458" s="8"/>
      <c r="AC1458" s="8"/>
      <c r="AD1458" s="8"/>
      <c r="AE1458" s="8"/>
      <c r="AF1458" s="8">
        <v>114.17</v>
      </c>
      <c r="AG1458" s="8"/>
      <c r="AH1458" s="8"/>
      <c r="AI1458" s="8"/>
      <c r="AJ1458" s="8"/>
      <c r="AK1458" s="8"/>
      <c r="AL1458" s="8"/>
      <c r="AM1458" s="8"/>
      <c r="AN1458" s="8"/>
      <c r="AO1458" s="8"/>
      <c r="AP1458" s="11"/>
      <c r="AQ1458" s="8">
        <v>4.38</v>
      </c>
      <c r="AR1458" s="8"/>
      <c r="AS1458" s="8"/>
      <c r="AT1458" s="8">
        <v>1564.52</v>
      </c>
      <c r="AU1458" s="8"/>
      <c r="AV1458" s="8"/>
      <c r="AW1458" s="8">
        <v>6.55</v>
      </c>
      <c r="AX1458" s="8"/>
      <c r="AY1458" s="8"/>
      <c r="AZ1458" s="8"/>
      <c r="BA1458" s="8"/>
      <c r="BB1458" s="8"/>
      <c r="BC1458" s="8"/>
      <c r="BD1458" s="8"/>
      <c r="BE1458" s="8"/>
      <c r="BF1458" s="8">
        <v>109.78</v>
      </c>
      <c r="BG1458" s="8">
        <v>113.55</v>
      </c>
      <c r="BH1458" s="9">
        <f t="shared" si="198"/>
        <v>2277.73</v>
      </c>
      <c r="BI1458" s="9">
        <f t="shared" si="199"/>
        <v>5.71</v>
      </c>
      <c r="BJ1458" s="9">
        <f t="shared" si="200"/>
        <v>8.93</v>
      </c>
      <c r="BK1458" s="9">
        <f t="shared" si="201"/>
        <v>34.33</v>
      </c>
      <c r="BL1458" s="9">
        <f t="shared" si="202"/>
        <v>480.28</v>
      </c>
      <c r="BM1458" s="9">
        <f t="shared" si="203"/>
        <v>118.55</v>
      </c>
      <c r="BN1458" s="9">
        <f t="shared" si="204"/>
        <v>1564.52</v>
      </c>
      <c r="BO1458" s="9">
        <f t="shared" si="205"/>
        <v>6.55</v>
      </c>
      <c r="BP1458" s="9">
        <f t="shared" si="206"/>
        <v>109.78</v>
      </c>
    </row>
    <row r="1459" spans="1:68">
      <c r="A1459" s="6">
        <v>44813</v>
      </c>
      <c r="B1459" s="7">
        <v>3022</v>
      </c>
      <c r="C1459" s="8"/>
      <c r="D1459" s="8">
        <v>1060.1300000000001</v>
      </c>
      <c r="E1459" s="8"/>
      <c r="F1459" s="8"/>
      <c r="G1459" s="8"/>
      <c r="H1459" s="8"/>
      <c r="I1459" s="8">
        <v>867.68</v>
      </c>
      <c r="J1459" s="8"/>
      <c r="K1459" s="8"/>
      <c r="L1459" s="8"/>
      <c r="M1459" s="8"/>
      <c r="N1459" s="8">
        <v>9.6199999999999992</v>
      </c>
      <c r="O1459" s="8"/>
      <c r="P1459" s="8"/>
      <c r="Q1459" s="11"/>
      <c r="R1459" s="11"/>
      <c r="S1459" s="8">
        <v>3.46</v>
      </c>
      <c r="T1459" s="8"/>
      <c r="U1459" s="8"/>
      <c r="V1459" s="8"/>
      <c r="W1459" s="8">
        <v>19.21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>
        <v>25.04</v>
      </c>
      <c r="AN1459" s="8"/>
      <c r="AO1459" s="8"/>
      <c r="AP1459" s="11"/>
      <c r="AQ1459" s="8"/>
      <c r="AR1459" s="8"/>
      <c r="AS1459" s="8">
        <f>3865*17.5/1000</f>
        <v>67.637500000000003</v>
      </c>
      <c r="AT1459" s="8">
        <v>901.35</v>
      </c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>
        <v>69.209999999999994</v>
      </c>
      <c r="BH1459" s="9">
        <f t="shared" si="198"/>
        <v>1927.81</v>
      </c>
      <c r="BI1459" s="9">
        <f t="shared" si="199"/>
        <v>9.6199999999999992</v>
      </c>
      <c r="BJ1459" s="9">
        <f t="shared" si="200"/>
        <v>3.46</v>
      </c>
      <c r="BK1459" s="9">
        <f t="shared" si="201"/>
        <v>19.21</v>
      </c>
      <c r="BL1459" s="9">
        <f t="shared" si="202"/>
        <v>0</v>
      </c>
      <c r="BM1459" s="9">
        <f t="shared" si="203"/>
        <v>92.677500000000009</v>
      </c>
      <c r="BN1459" s="9">
        <f t="shared" si="204"/>
        <v>901.35</v>
      </c>
      <c r="BO1459" s="9">
        <f t="shared" si="205"/>
        <v>0</v>
      </c>
      <c r="BP1459" s="9">
        <f t="shared" si="206"/>
        <v>0</v>
      </c>
    </row>
    <row r="1460" spans="1:68">
      <c r="A1460" s="6">
        <v>44813</v>
      </c>
      <c r="B1460" s="7">
        <v>3023</v>
      </c>
      <c r="C1460" s="8"/>
      <c r="D1460" s="8">
        <v>488.77</v>
      </c>
      <c r="E1460" s="8"/>
      <c r="F1460" s="8"/>
      <c r="G1460" s="8"/>
      <c r="H1460" s="8"/>
      <c r="I1460" s="8">
        <v>263.35000000000002</v>
      </c>
      <c r="J1460" s="8"/>
      <c r="K1460" s="8"/>
      <c r="L1460" s="8"/>
      <c r="M1460" s="8"/>
      <c r="N1460" s="8">
        <v>4.2</v>
      </c>
      <c r="O1460" s="8"/>
      <c r="P1460" s="8"/>
      <c r="Q1460" s="11"/>
      <c r="R1460" s="11"/>
      <c r="S1460" s="8">
        <v>1.21</v>
      </c>
      <c r="T1460" s="8"/>
      <c r="U1460" s="8"/>
      <c r="V1460" s="8"/>
      <c r="W1460" s="8">
        <v>6.77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>
        <v>7.52</v>
      </c>
      <c r="AN1460" s="8">
        <f>1025*5.18/1000</f>
        <v>5.3094999999999999</v>
      </c>
      <c r="AO1460" s="8"/>
      <c r="AP1460" s="11"/>
      <c r="AQ1460" s="8"/>
      <c r="AR1460" s="8"/>
      <c r="AS1460" s="8">
        <f>4788*5.18/1000</f>
        <v>24.801839999999999</v>
      </c>
      <c r="AT1460" s="8">
        <v>307.56</v>
      </c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>
        <v>23.29</v>
      </c>
      <c r="BH1460" s="9">
        <f t="shared" si="198"/>
        <v>752.12</v>
      </c>
      <c r="BI1460" s="9">
        <f t="shared" si="199"/>
        <v>4.2</v>
      </c>
      <c r="BJ1460" s="9">
        <f t="shared" si="200"/>
        <v>1.21</v>
      </c>
      <c r="BK1460" s="9">
        <f t="shared" si="201"/>
        <v>6.77</v>
      </c>
      <c r="BL1460" s="9">
        <f t="shared" si="202"/>
        <v>0</v>
      </c>
      <c r="BM1460" s="9">
        <f t="shared" si="203"/>
        <v>37.631339999999994</v>
      </c>
      <c r="BN1460" s="9">
        <f t="shared" si="204"/>
        <v>307.56</v>
      </c>
      <c r="BO1460" s="9">
        <f t="shared" si="205"/>
        <v>0</v>
      </c>
      <c r="BP1460" s="9">
        <f t="shared" si="206"/>
        <v>0</v>
      </c>
    </row>
    <row r="1461" spans="1:68">
      <c r="A1461" s="6">
        <v>44813</v>
      </c>
      <c r="B1461" s="7">
        <v>3027</v>
      </c>
      <c r="C1461" s="8"/>
      <c r="D1461" s="8">
        <v>535.37</v>
      </c>
      <c r="E1461" s="8"/>
      <c r="F1461" s="8"/>
      <c r="G1461" s="8"/>
      <c r="H1461" s="8"/>
      <c r="I1461" s="8">
        <v>437.94</v>
      </c>
      <c r="J1461" s="8"/>
      <c r="K1461" s="8"/>
      <c r="L1461" s="8"/>
      <c r="M1461" s="8"/>
      <c r="N1461" s="8">
        <v>5.35</v>
      </c>
      <c r="O1461" s="8"/>
      <c r="P1461" s="8"/>
      <c r="Q1461" s="11"/>
      <c r="R1461" s="11"/>
      <c r="S1461" s="8">
        <v>1.56</v>
      </c>
      <c r="T1461" s="8"/>
      <c r="U1461" s="8"/>
      <c r="V1461" s="8"/>
      <c r="W1461" s="8">
        <v>7.3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>
        <v>9.7200000000000006</v>
      </c>
      <c r="AN1461" s="8">
        <f>1230*5.55/1000</f>
        <v>6.8265000000000002</v>
      </c>
      <c r="AO1461" s="8"/>
      <c r="AP1461" s="11"/>
      <c r="AQ1461" s="8"/>
      <c r="AR1461" s="8"/>
      <c r="AS1461" s="8">
        <f>5772*5.55/1000</f>
        <v>32.034599999999998</v>
      </c>
      <c r="AT1461" s="8">
        <v>323.47000000000003</v>
      </c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>
        <v>22.67</v>
      </c>
      <c r="BH1461" s="9">
        <f t="shared" si="198"/>
        <v>973.31</v>
      </c>
      <c r="BI1461" s="9">
        <f t="shared" si="199"/>
        <v>5.35</v>
      </c>
      <c r="BJ1461" s="9">
        <f t="shared" si="200"/>
        <v>1.56</v>
      </c>
      <c r="BK1461" s="9">
        <f t="shared" si="201"/>
        <v>7.3</v>
      </c>
      <c r="BL1461" s="9">
        <f t="shared" si="202"/>
        <v>0</v>
      </c>
      <c r="BM1461" s="9">
        <f t="shared" si="203"/>
        <v>48.581099999999999</v>
      </c>
      <c r="BN1461" s="9">
        <f t="shared" si="204"/>
        <v>323.47000000000003</v>
      </c>
      <c r="BO1461" s="9">
        <f t="shared" si="205"/>
        <v>0</v>
      </c>
      <c r="BP1461" s="9">
        <f t="shared" si="206"/>
        <v>0</v>
      </c>
    </row>
    <row r="1462" spans="1:68">
      <c r="A1462" s="6">
        <v>44813</v>
      </c>
      <c r="B1462" s="7">
        <v>3079</v>
      </c>
      <c r="C1462" s="8"/>
      <c r="D1462" s="8"/>
      <c r="E1462" s="8"/>
      <c r="F1462" s="8">
        <v>185.65</v>
      </c>
      <c r="G1462" s="8"/>
      <c r="H1462" s="8"/>
      <c r="I1462" s="8">
        <v>1492.22</v>
      </c>
      <c r="J1462" s="8"/>
      <c r="K1462" s="8"/>
      <c r="L1462" s="8"/>
      <c r="M1462" s="8"/>
      <c r="N1462" s="8">
        <v>11.59</v>
      </c>
      <c r="O1462" s="8"/>
      <c r="P1462" s="8"/>
      <c r="Q1462" s="11"/>
      <c r="R1462" s="11"/>
      <c r="S1462" s="8">
        <v>0.67</v>
      </c>
      <c r="T1462" s="8"/>
      <c r="U1462" s="8"/>
      <c r="V1462" s="8"/>
      <c r="W1462" s="8">
        <v>16.850000000000001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>
        <v>6.73</v>
      </c>
      <c r="AN1462" s="8">
        <f>1710*9.88/1000</f>
        <v>16.894800000000004</v>
      </c>
      <c r="AO1462" s="8"/>
      <c r="AP1462" s="11"/>
      <c r="AQ1462" s="8"/>
      <c r="AR1462" s="8"/>
      <c r="AS1462" s="8">
        <f>4290*9.88/1000</f>
        <v>42.385200000000005</v>
      </c>
      <c r="AT1462" s="8">
        <v>646.88</v>
      </c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>
        <v>46.9</v>
      </c>
      <c r="BH1462" s="9">
        <f t="shared" si="198"/>
        <v>1677.8700000000001</v>
      </c>
      <c r="BI1462" s="9">
        <f t="shared" si="199"/>
        <v>11.59</v>
      </c>
      <c r="BJ1462" s="9">
        <f t="shared" si="200"/>
        <v>0.67</v>
      </c>
      <c r="BK1462" s="9">
        <f t="shared" si="201"/>
        <v>16.850000000000001</v>
      </c>
      <c r="BL1462" s="9">
        <f t="shared" si="202"/>
        <v>0</v>
      </c>
      <c r="BM1462" s="9">
        <f t="shared" si="203"/>
        <v>66.010000000000005</v>
      </c>
      <c r="BN1462" s="9">
        <f t="shared" si="204"/>
        <v>646.88</v>
      </c>
      <c r="BO1462" s="9">
        <f t="shared" si="205"/>
        <v>0</v>
      </c>
      <c r="BP1462" s="9">
        <f t="shared" si="206"/>
        <v>0</v>
      </c>
    </row>
    <row r="1463" spans="1:68">
      <c r="A1463" s="6">
        <v>44813</v>
      </c>
      <c r="B1463" s="7">
        <v>3141</v>
      </c>
      <c r="C1463" s="8">
        <v>2439.2800000000002</v>
      </c>
      <c r="D1463" s="8">
        <v>430.72</v>
      </c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11">
        <v>8.32</v>
      </c>
      <c r="R1463" s="11"/>
      <c r="S1463" s="8">
        <v>13.51</v>
      </c>
      <c r="T1463" s="8"/>
      <c r="U1463" s="8">
        <v>43.09</v>
      </c>
      <c r="V1463" s="8"/>
      <c r="W1463" s="8"/>
      <c r="X1463" s="8"/>
      <c r="Y1463" s="8"/>
      <c r="Z1463" s="8"/>
      <c r="AA1463" s="8"/>
      <c r="AB1463" s="8"/>
      <c r="AC1463" s="8">
        <v>11.5</v>
      </c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11"/>
      <c r="AQ1463" s="8"/>
      <c r="AR1463" s="8"/>
      <c r="AS1463" s="8"/>
      <c r="AT1463" s="8">
        <v>1895.68</v>
      </c>
      <c r="AU1463" s="8"/>
      <c r="AV1463" s="8"/>
      <c r="AW1463" s="8"/>
      <c r="AX1463" s="8"/>
      <c r="AY1463" s="8"/>
      <c r="AZ1463" s="8"/>
      <c r="BA1463" s="8">
        <v>65.849999999999994</v>
      </c>
      <c r="BB1463" s="8"/>
      <c r="BC1463" s="8"/>
      <c r="BD1463" s="8"/>
      <c r="BE1463" s="8"/>
      <c r="BF1463" s="8">
        <v>201.19</v>
      </c>
      <c r="BG1463" s="8">
        <v>149.41</v>
      </c>
      <c r="BH1463" s="9">
        <f t="shared" si="198"/>
        <v>2870</v>
      </c>
      <c r="BI1463" s="9">
        <f t="shared" si="199"/>
        <v>8.32</v>
      </c>
      <c r="BJ1463" s="9">
        <f t="shared" si="200"/>
        <v>13.51</v>
      </c>
      <c r="BK1463" s="9">
        <f t="shared" si="201"/>
        <v>43.09</v>
      </c>
      <c r="BL1463" s="9">
        <f t="shared" si="202"/>
        <v>0</v>
      </c>
      <c r="BM1463" s="9">
        <f t="shared" si="203"/>
        <v>11.5</v>
      </c>
      <c r="BN1463" s="9">
        <f t="shared" si="204"/>
        <v>1895.68</v>
      </c>
      <c r="BO1463" s="9">
        <f t="shared" si="205"/>
        <v>65.849999999999994</v>
      </c>
      <c r="BP1463" s="9">
        <f t="shared" si="206"/>
        <v>201.19</v>
      </c>
    </row>
    <row r="1464" spans="1:68">
      <c r="A1464" s="6">
        <v>44813</v>
      </c>
      <c r="B1464" s="7">
        <v>3113</v>
      </c>
      <c r="C1464" s="8">
        <v>1496.65</v>
      </c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>
        <v>1.51</v>
      </c>
      <c r="O1464" s="8"/>
      <c r="P1464" s="8"/>
      <c r="Q1464" s="11">
        <v>1.5</v>
      </c>
      <c r="R1464" s="11"/>
      <c r="S1464" s="8">
        <v>4.51</v>
      </c>
      <c r="T1464" s="8"/>
      <c r="U1464" s="8">
        <v>14.98</v>
      </c>
      <c r="V1464" s="8"/>
      <c r="W1464" s="8"/>
      <c r="X1464" s="8"/>
      <c r="Y1464" s="8"/>
      <c r="Z1464" s="8"/>
      <c r="AA1464" s="8"/>
      <c r="AB1464" s="8"/>
      <c r="AC1464" s="8">
        <v>5.99</v>
      </c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11"/>
      <c r="AQ1464" s="8"/>
      <c r="AR1464" s="8"/>
      <c r="AS1464" s="8"/>
      <c r="AT1464" s="8">
        <v>628.04999999999995</v>
      </c>
      <c r="AU1464" s="8"/>
      <c r="AV1464" s="8">
        <v>50.87</v>
      </c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>
        <v>44.92</v>
      </c>
      <c r="BH1464" s="9">
        <f t="shared" si="198"/>
        <v>1496.65</v>
      </c>
      <c r="BI1464" s="9">
        <f t="shared" si="199"/>
        <v>3.01</v>
      </c>
      <c r="BJ1464" s="9">
        <f t="shared" si="200"/>
        <v>4.51</v>
      </c>
      <c r="BK1464" s="9">
        <f t="shared" si="201"/>
        <v>14.98</v>
      </c>
      <c r="BL1464" s="9">
        <f t="shared" si="202"/>
        <v>0</v>
      </c>
      <c r="BM1464" s="9">
        <f t="shared" si="203"/>
        <v>5.99</v>
      </c>
      <c r="BN1464" s="9">
        <f t="shared" si="204"/>
        <v>628.04999999999995</v>
      </c>
      <c r="BO1464" s="9">
        <f t="shared" si="205"/>
        <v>50.87</v>
      </c>
      <c r="BP1464" s="9">
        <f t="shared" si="206"/>
        <v>0</v>
      </c>
    </row>
    <row r="1465" spans="1:68">
      <c r="A1465" s="6">
        <v>44813</v>
      </c>
      <c r="B1465" s="7">
        <v>3121</v>
      </c>
      <c r="C1465" s="8">
        <v>1164.98</v>
      </c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11">
        <v>2.59</v>
      </c>
      <c r="R1465" s="11"/>
      <c r="S1465" s="8">
        <v>3.74</v>
      </c>
      <c r="T1465" s="8"/>
      <c r="U1465" s="8">
        <v>11.66</v>
      </c>
      <c r="V1465" s="8"/>
      <c r="W1465" s="8"/>
      <c r="X1465" s="8"/>
      <c r="Y1465" s="8"/>
      <c r="Z1465" s="8"/>
      <c r="AA1465" s="8"/>
      <c r="AB1465" s="8"/>
      <c r="AC1465" s="8">
        <v>4.6500000000000004</v>
      </c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11">
        <f>2196*5.3/1000</f>
        <v>11.6388</v>
      </c>
      <c r="AQ1465" s="8"/>
      <c r="AR1465" s="8"/>
      <c r="AS1465" s="8"/>
      <c r="AT1465" s="8">
        <v>618.05999999999995</v>
      </c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>
        <v>45.51</v>
      </c>
      <c r="BH1465" s="9">
        <f t="shared" si="198"/>
        <v>1164.98</v>
      </c>
      <c r="BI1465" s="9">
        <f t="shared" si="199"/>
        <v>2.59</v>
      </c>
      <c r="BJ1465" s="9">
        <f t="shared" si="200"/>
        <v>3.74</v>
      </c>
      <c r="BK1465" s="9">
        <f t="shared" si="201"/>
        <v>11.66</v>
      </c>
      <c r="BL1465" s="9">
        <f t="shared" si="202"/>
        <v>0</v>
      </c>
      <c r="BM1465" s="9">
        <f t="shared" si="203"/>
        <v>16.288800000000002</v>
      </c>
      <c r="BN1465" s="9">
        <f t="shared" si="204"/>
        <v>618.05999999999995</v>
      </c>
      <c r="BO1465" s="9">
        <f t="shared" si="205"/>
        <v>0</v>
      </c>
      <c r="BP1465" s="9">
        <f t="shared" si="206"/>
        <v>0</v>
      </c>
    </row>
    <row r="1466" spans="1:68">
      <c r="A1466" s="6">
        <v>44813</v>
      </c>
      <c r="B1466" s="7">
        <v>3106</v>
      </c>
      <c r="C1466" s="8">
        <v>4131.88</v>
      </c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11">
        <v>11.17</v>
      </c>
      <c r="R1466" s="11"/>
      <c r="S1466" s="8">
        <v>12.43</v>
      </c>
      <c r="T1466" s="8"/>
      <c r="U1466" s="8">
        <v>52.59</v>
      </c>
      <c r="V1466" s="8"/>
      <c r="W1466" s="8"/>
      <c r="X1466" s="8"/>
      <c r="Y1466" s="8"/>
      <c r="Z1466" s="8"/>
      <c r="AA1466" s="8"/>
      <c r="AB1466" s="8"/>
      <c r="AC1466" s="8">
        <v>10.34</v>
      </c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11"/>
      <c r="AQ1466" s="8"/>
      <c r="AR1466" s="8"/>
      <c r="AS1466" s="8"/>
      <c r="AT1466" s="8">
        <v>2366.8200000000002</v>
      </c>
      <c r="AU1466" s="8"/>
      <c r="AV1466" s="8"/>
      <c r="AW1466" s="8"/>
      <c r="AX1466" s="8">
        <v>5.17</v>
      </c>
      <c r="AY1466" s="8"/>
      <c r="AZ1466" s="8"/>
      <c r="BA1466" s="8"/>
      <c r="BB1466" s="8"/>
      <c r="BC1466" s="8"/>
      <c r="BD1466" s="8"/>
      <c r="BE1466" s="8"/>
      <c r="BF1466" s="8"/>
      <c r="BG1466" s="8">
        <v>177.57</v>
      </c>
      <c r="BH1466" s="9">
        <f t="shared" si="198"/>
        <v>4131.88</v>
      </c>
      <c r="BI1466" s="9">
        <f t="shared" si="199"/>
        <v>11.17</v>
      </c>
      <c r="BJ1466" s="9">
        <f t="shared" si="200"/>
        <v>12.43</v>
      </c>
      <c r="BK1466" s="9">
        <f t="shared" si="201"/>
        <v>52.59</v>
      </c>
      <c r="BL1466" s="9">
        <f t="shared" si="202"/>
        <v>0</v>
      </c>
      <c r="BM1466" s="9">
        <f t="shared" si="203"/>
        <v>10.34</v>
      </c>
      <c r="BN1466" s="9">
        <f t="shared" si="204"/>
        <v>2366.8200000000002</v>
      </c>
      <c r="BO1466" s="9">
        <f t="shared" si="205"/>
        <v>5.17</v>
      </c>
      <c r="BP1466" s="9">
        <f t="shared" si="206"/>
        <v>0</v>
      </c>
    </row>
    <row r="1467" spans="1:68">
      <c r="A1467" s="6">
        <v>44813</v>
      </c>
      <c r="B1467" s="7">
        <v>3134</v>
      </c>
      <c r="C1467" s="8">
        <v>1033.83</v>
      </c>
      <c r="D1467" s="8">
        <v>144.83000000000001</v>
      </c>
      <c r="E1467" s="8"/>
      <c r="F1467" s="8"/>
      <c r="G1467" s="8"/>
      <c r="H1467" s="8">
        <v>488.64</v>
      </c>
      <c r="I1467" s="8"/>
      <c r="J1467" s="8"/>
      <c r="K1467" s="8"/>
      <c r="L1467" s="8"/>
      <c r="M1467" s="8"/>
      <c r="N1467" s="8"/>
      <c r="O1467" s="8"/>
      <c r="P1467" s="8"/>
      <c r="Q1467" s="11">
        <v>3.21</v>
      </c>
      <c r="R1467" s="11"/>
      <c r="S1467" s="8">
        <v>6.67</v>
      </c>
      <c r="T1467" s="8"/>
      <c r="U1467" s="8">
        <v>18.87</v>
      </c>
      <c r="V1467" s="8"/>
      <c r="W1467" s="8"/>
      <c r="X1467" s="8"/>
      <c r="Y1467" s="8"/>
      <c r="Z1467" s="8"/>
      <c r="AA1467" s="8"/>
      <c r="AB1467" s="8"/>
      <c r="AC1467" s="8">
        <v>5.8</v>
      </c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11"/>
      <c r="AQ1467" s="8"/>
      <c r="AR1467" s="8"/>
      <c r="AS1467" s="8"/>
      <c r="AT1467" s="8">
        <v>1031.6600000000001</v>
      </c>
      <c r="AU1467" s="8"/>
      <c r="AV1467" s="8"/>
      <c r="AW1467" s="8"/>
      <c r="AX1467" s="8"/>
      <c r="AY1467" s="8">
        <f>1424*10.37/1000</f>
        <v>14.766879999999999</v>
      </c>
      <c r="AZ1467" s="8"/>
      <c r="BA1467" s="8"/>
      <c r="BB1467" s="8"/>
      <c r="BC1467" s="8"/>
      <c r="BD1467" s="8"/>
      <c r="BE1467" s="8"/>
      <c r="BF1467" s="8">
        <v>65.319999999999993</v>
      </c>
      <c r="BG1467" s="8">
        <v>76.819999999999993</v>
      </c>
      <c r="BH1467" s="9">
        <f t="shared" si="198"/>
        <v>1667.2999999999997</v>
      </c>
      <c r="BI1467" s="9">
        <f t="shared" si="199"/>
        <v>3.21</v>
      </c>
      <c r="BJ1467" s="9">
        <f t="shared" si="200"/>
        <v>6.67</v>
      </c>
      <c r="BK1467" s="9">
        <f t="shared" si="201"/>
        <v>18.87</v>
      </c>
      <c r="BL1467" s="9">
        <f t="shared" si="202"/>
        <v>0</v>
      </c>
      <c r="BM1467" s="9">
        <f t="shared" si="203"/>
        <v>5.8</v>
      </c>
      <c r="BN1467" s="9">
        <f t="shared" si="204"/>
        <v>1031.6600000000001</v>
      </c>
      <c r="BO1467" s="9">
        <f t="shared" si="205"/>
        <v>14.766879999999999</v>
      </c>
      <c r="BP1467" s="9">
        <f t="shared" si="206"/>
        <v>65.319999999999993</v>
      </c>
    </row>
    <row r="1468" spans="1:68">
      <c r="A1468" s="6">
        <v>44813</v>
      </c>
      <c r="B1468" s="7">
        <v>8257</v>
      </c>
      <c r="C1468" s="8"/>
      <c r="D1468" s="8">
        <v>995.3</v>
      </c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11">
        <v>1.5</v>
      </c>
      <c r="R1468" s="11"/>
      <c r="S1468" s="8">
        <v>6.28</v>
      </c>
      <c r="T1468" s="8"/>
      <c r="U1468" s="8">
        <v>9.9700000000000006</v>
      </c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>
        <v>9.9700000000000006</v>
      </c>
      <c r="AH1468" s="8"/>
      <c r="AI1468" s="8"/>
      <c r="AJ1468" s="8"/>
      <c r="AK1468" s="8"/>
      <c r="AL1468" s="8"/>
      <c r="AM1468" s="8"/>
      <c r="AN1468" s="8"/>
      <c r="AO1468" s="8"/>
      <c r="AP1468" s="11"/>
      <c r="AQ1468" s="8"/>
      <c r="AR1468" s="8"/>
      <c r="AS1468" s="8"/>
      <c r="AT1468" s="8"/>
      <c r="AU1468" s="8">
        <v>500.11</v>
      </c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>
        <v>35.799999999999997</v>
      </c>
      <c r="BH1468" s="9">
        <f t="shared" si="198"/>
        <v>995.3</v>
      </c>
      <c r="BI1468" s="9">
        <f t="shared" si="199"/>
        <v>1.5</v>
      </c>
      <c r="BJ1468" s="9">
        <f t="shared" si="200"/>
        <v>6.28</v>
      </c>
      <c r="BK1468" s="9">
        <f t="shared" si="201"/>
        <v>9.9700000000000006</v>
      </c>
      <c r="BL1468" s="9">
        <f t="shared" si="202"/>
        <v>0</v>
      </c>
      <c r="BM1468" s="9">
        <f t="shared" si="203"/>
        <v>9.9700000000000006</v>
      </c>
      <c r="BN1468" s="9">
        <f t="shared" si="204"/>
        <v>500.11</v>
      </c>
      <c r="BO1468" s="9">
        <f t="shared" si="205"/>
        <v>0</v>
      </c>
      <c r="BP1468" s="9">
        <f t="shared" si="206"/>
        <v>0</v>
      </c>
    </row>
    <row r="1469" spans="1:68">
      <c r="A1469" s="6">
        <v>44816</v>
      </c>
      <c r="B1469" s="7">
        <v>3079</v>
      </c>
      <c r="C1469" s="8"/>
      <c r="D1469" s="8"/>
      <c r="E1469" s="8"/>
      <c r="F1469" s="8">
        <f>181.21+181.54</f>
        <v>362.75</v>
      </c>
      <c r="G1469" s="8"/>
      <c r="H1469" s="8"/>
      <c r="I1469" s="8">
        <f>1469.07+1469.83</f>
        <v>2938.8999999999996</v>
      </c>
      <c r="J1469" s="8"/>
      <c r="K1469" s="8"/>
      <c r="L1469" s="8"/>
      <c r="M1469" s="8"/>
      <c r="N1469" s="8">
        <f>11.72+11.72</f>
        <v>23.44</v>
      </c>
      <c r="O1469" s="8"/>
      <c r="P1469" s="8"/>
      <c r="Q1469" s="11"/>
      <c r="R1469" s="11"/>
      <c r="S1469" s="8">
        <f>0.65+0.66</f>
        <v>1.31</v>
      </c>
      <c r="T1469" s="8"/>
      <c r="U1469" s="8"/>
      <c r="V1469" s="8"/>
      <c r="W1469" s="8">
        <f>16.51+16.52</f>
        <v>33.03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>
        <f>6.61+6.58</f>
        <v>13.190000000000001</v>
      </c>
      <c r="AN1469" s="8">
        <f>1713*19.4/1000</f>
        <v>33.232199999999999</v>
      </c>
      <c r="AO1469" s="8"/>
      <c r="AP1469" s="11"/>
      <c r="AQ1469" s="8"/>
      <c r="AR1469" s="8">
        <f>4257*19.4/1000</f>
        <v>82.585799999999992</v>
      </c>
      <c r="AS1469" s="8"/>
      <c r="AT1469" s="8">
        <f>636.94+636.3</f>
        <v>1273.24</v>
      </c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>
        <f>46.04+46.12</f>
        <v>92.16</v>
      </c>
      <c r="BH1469" s="9">
        <f t="shared" si="198"/>
        <v>3301.6499999999996</v>
      </c>
      <c r="BI1469" s="9">
        <f t="shared" si="199"/>
        <v>23.44</v>
      </c>
      <c r="BJ1469" s="9">
        <f t="shared" si="200"/>
        <v>1.31</v>
      </c>
      <c r="BK1469" s="9">
        <f t="shared" si="201"/>
        <v>33.03</v>
      </c>
      <c r="BL1469" s="9">
        <f t="shared" si="202"/>
        <v>0</v>
      </c>
      <c r="BM1469" s="9">
        <f t="shared" si="203"/>
        <v>129.00799999999998</v>
      </c>
      <c r="BN1469" s="9">
        <f t="shared" si="204"/>
        <v>1273.24</v>
      </c>
      <c r="BO1469" s="9">
        <f t="shared" si="205"/>
        <v>0</v>
      </c>
      <c r="BP1469" s="9">
        <f t="shared" si="206"/>
        <v>0</v>
      </c>
    </row>
    <row r="1470" spans="1:68">
      <c r="A1470" s="6">
        <v>44816</v>
      </c>
      <c r="B1470" s="7">
        <v>3083</v>
      </c>
      <c r="C1470" s="8"/>
      <c r="D1470" s="8">
        <v>736.04</v>
      </c>
      <c r="E1470" s="8"/>
      <c r="F1470" s="8"/>
      <c r="G1470" s="8"/>
      <c r="H1470" s="8"/>
      <c r="I1470" s="8">
        <v>1715.21</v>
      </c>
      <c r="J1470" s="8"/>
      <c r="K1470" s="8"/>
      <c r="L1470" s="8"/>
      <c r="M1470" s="8"/>
      <c r="N1470" s="8">
        <v>15.44</v>
      </c>
      <c r="O1470" s="8"/>
      <c r="P1470" s="8"/>
      <c r="Q1470" s="11"/>
      <c r="R1470" s="11"/>
      <c r="S1470" s="8">
        <v>1.71</v>
      </c>
      <c r="T1470" s="8"/>
      <c r="U1470" s="8"/>
      <c r="V1470" s="8"/>
      <c r="W1470" s="8">
        <v>19.59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>
        <v>9.81</v>
      </c>
      <c r="AN1470" s="8">
        <f>1904*18.13/1000</f>
        <v>34.51952</v>
      </c>
      <c r="AO1470" s="8"/>
      <c r="AP1470" s="11"/>
      <c r="AQ1470" s="8"/>
      <c r="AR1470" s="8">
        <f>3390*18.13/1000</f>
        <v>61.460699999999996</v>
      </c>
      <c r="AS1470" s="8"/>
      <c r="AT1470" s="8">
        <v>1152.6099999999999</v>
      </c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>
        <v>91.92</v>
      </c>
      <c r="BH1470" s="9">
        <f t="shared" si="198"/>
        <v>2451.25</v>
      </c>
      <c r="BI1470" s="9">
        <f t="shared" si="199"/>
        <v>15.44</v>
      </c>
      <c r="BJ1470" s="9">
        <f t="shared" si="200"/>
        <v>1.71</v>
      </c>
      <c r="BK1470" s="9">
        <f t="shared" si="201"/>
        <v>19.59</v>
      </c>
      <c r="BL1470" s="9">
        <f t="shared" si="202"/>
        <v>0</v>
      </c>
      <c r="BM1470" s="9">
        <f t="shared" si="203"/>
        <v>105.79022000000001</v>
      </c>
      <c r="BN1470" s="9">
        <f t="shared" si="204"/>
        <v>1152.6099999999999</v>
      </c>
      <c r="BO1470" s="9">
        <f t="shared" si="205"/>
        <v>0</v>
      </c>
      <c r="BP1470" s="9">
        <f t="shared" si="206"/>
        <v>0</v>
      </c>
    </row>
    <row r="1471" spans="1:68">
      <c r="A1471" s="6">
        <v>44816</v>
      </c>
      <c r="B1471" s="7">
        <v>3116</v>
      </c>
      <c r="C1471" s="8">
        <v>1527.07</v>
      </c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11">
        <v>3.52</v>
      </c>
      <c r="R1471" s="11"/>
      <c r="S1471" s="8">
        <v>6.13</v>
      </c>
      <c r="T1471" s="8"/>
      <c r="U1471" s="8">
        <v>22.52</v>
      </c>
      <c r="V1471" s="8"/>
      <c r="W1471" s="8"/>
      <c r="X1471" s="8"/>
      <c r="Y1471" s="8"/>
      <c r="Z1471" s="8"/>
      <c r="AA1471" s="8"/>
      <c r="AB1471" s="8"/>
      <c r="AC1471" s="8">
        <v>6.12</v>
      </c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11"/>
      <c r="AQ1471" s="8">
        <f>1430*10.93/1000</f>
        <v>15.629899999999999</v>
      </c>
      <c r="AR1471" s="8"/>
      <c r="AS1471" s="8"/>
      <c r="AT1471" s="8">
        <v>935.8</v>
      </c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>
        <v>61.25</v>
      </c>
      <c r="BG1471" s="8">
        <v>69.489999999999995</v>
      </c>
      <c r="BH1471" s="9">
        <f t="shared" si="198"/>
        <v>1527.07</v>
      </c>
      <c r="BI1471" s="9">
        <f t="shared" si="199"/>
        <v>3.52</v>
      </c>
      <c r="BJ1471" s="9">
        <f t="shared" si="200"/>
        <v>6.13</v>
      </c>
      <c r="BK1471" s="9">
        <f t="shared" si="201"/>
        <v>22.52</v>
      </c>
      <c r="BL1471" s="9">
        <f t="shared" si="202"/>
        <v>0</v>
      </c>
      <c r="BM1471" s="9">
        <f t="shared" si="203"/>
        <v>21.7499</v>
      </c>
      <c r="BN1471" s="9">
        <f t="shared" si="204"/>
        <v>935.8</v>
      </c>
      <c r="BO1471" s="9">
        <f t="shared" si="205"/>
        <v>0</v>
      </c>
      <c r="BP1471" s="9">
        <f t="shared" si="206"/>
        <v>61.25</v>
      </c>
    </row>
    <row r="1472" spans="1:68">
      <c r="A1472" s="6">
        <v>44816</v>
      </c>
      <c r="B1472" s="7">
        <v>3106</v>
      </c>
      <c r="C1472" s="8">
        <v>6148.23</v>
      </c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11">
        <v>16.54</v>
      </c>
      <c r="R1472" s="11"/>
      <c r="S1472" s="8">
        <v>18.440000000000001</v>
      </c>
      <c r="T1472" s="8"/>
      <c r="U1472" s="8">
        <v>78.069999999999993</v>
      </c>
      <c r="V1472" s="8"/>
      <c r="W1472" s="8"/>
      <c r="X1472" s="8"/>
      <c r="Y1472" s="8"/>
      <c r="Z1472" s="8"/>
      <c r="AA1472" s="8"/>
      <c r="AB1472" s="8"/>
      <c r="AC1472" s="8">
        <v>14.88</v>
      </c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11"/>
      <c r="AQ1472" s="8"/>
      <c r="AR1472" s="8"/>
      <c r="AS1472" s="8"/>
      <c r="AT1472" s="8">
        <v>3512.38</v>
      </c>
      <c r="AU1472" s="8"/>
      <c r="AV1472" s="8"/>
      <c r="AW1472" s="8"/>
      <c r="AX1472" s="8">
        <v>7.68</v>
      </c>
      <c r="AY1472" s="8"/>
      <c r="AZ1472" s="8"/>
      <c r="BA1472" s="8"/>
      <c r="BB1472" s="8"/>
      <c r="BC1472" s="8"/>
      <c r="BD1472" s="8"/>
      <c r="BE1472" s="8"/>
      <c r="BF1472" s="8"/>
      <c r="BG1472" s="8">
        <v>264.12</v>
      </c>
      <c r="BH1472" s="9">
        <f t="shared" si="198"/>
        <v>6148.23</v>
      </c>
      <c r="BI1472" s="9">
        <f t="shared" si="199"/>
        <v>16.54</v>
      </c>
      <c r="BJ1472" s="9">
        <f t="shared" si="200"/>
        <v>18.440000000000001</v>
      </c>
      <c r="BK1472" s="9">
        <f t="shared" si="201"/>
        <v>78.069999999999993</v>
      </c>
      <c r="BL1472" s="9">
        <f t="shared" si="202"/>
        <v>0</v>
      </c>
      <c r="BM1472" s="9">
        <f t="shared" si="203"/>
        <v>14.88</v>
      </c>
      <c r="BN1472" s="9">
        <f t="shared" si="204"/>
        <v>3512.38</v>
      </c>
      <c r="BO1472" s="9">
        <f t="shared" si="205"/>
        <v>7.68</v>
      </c>
      <c r="BP1472" s="9">
        <f t="shared" si="206"/>
        <v>0</v>
      </c>
    </row>
    <row r="1473" spans="1:68">
      <c r="A1473" s="6">
        <v>44816</v>
      </c>
      <c r="B1473" s="7">
        <v>3110</v>
      </c>
      <c r="C1473" s="8">
        <v>1247.5999999999999</v>
      </c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11">
        <v>1.89</v>
      </c>
      <c r="R1473" s="11"/>
      <c r="S1473" s="8">
        <v>4.24</v>
      </c>
      <c r="T1473" s="8"/>
      <c r="U1473" s="8">
        <v>12.48</v>
      </c>
      <c r="V1473" s="8"/>
      <c r="W1473" s="8"/>
      <c r="X1473" s="8"/>
      <c r="Y1473" s="8"/>
      <c r="Z1473" s="8"/>
      <c r="AA1473" s="8"/>
      <c r="AB1473" s="8"/>
      <c r="AC1473" s="8">
        <v>4.9800000000000004</v>
      </c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11"/>
      <c r="AQ1473" s="8"/>
      <c r="AR1473" s="8"/>
      <c r="AS1473" s="8"/>
      <c r="AT1473" s="8">
        <v>653.1</v>
      </c>
      <c r="AU1473" s="8"/>
      <c r="AV1473" s="8">
        <v>21.2</v>
      </c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>
        <v>48.07</v>
      </c>
      <c r="BH1473" s="9">
        <f t="shared" si="198"/>
        <v>1247.5999999999999</v>
      </c>
      <c r="BI1473" s="9">
        <f t="shared" si="199"/>
        <v>1.89</v>
      </c>
      <c r="BJ1473" s="9">
        <f t="shared" si="200"/>
        <v>4.24</v>
      </c>
      <c r="BK1473" s="9">
        <f t="shared" si="201"/>
        <v>12.48</v>
      </c>
      <c r="BL1473" s="9">
        <f t="shared" si="202"/>
        <v>0</v>
      </c>
      <c r="BM1473" s="9">
        <f t="shared" si="203"/>
        <v>4.9800000000000004</v>
      </c>
      <c r="BN1473" s="9">
        <f t="shared" si="204"/>
        <v>653.1</v>
      </c>
      <c r="BO1473" s="9">
        <f t="shared" si="205"/>
        <v>21.2</v>
      </c>
      <c r="BP1473" s="9">
        <f t="shared" si="206"/>
        <v>0</v>
      </c>
    </row>
    <row r="1474" spans="1:68">
      <c r="A1474" s="6">
        <v>44816</v>
      </c>
      <c r="B1474" s="7">
        <v>3602</v>
      </c>
      <c r="C1474" s="8">
        <v>601.63</v>
      </c>
      <c r="D1474" s="8"/>
      <c r="E1474" s="8"/>
      <c r="F1474" s="8"/>
      <c r="G1474" s="8">
        <v>901.96</v>
      </c>
      <c r="H1474" s="8"/>
      <c r="I1474" s="8"/>
      <c r="J1474" s="8"/>
      <c r="K1474" s="8"/>
      <c r="L1474" s="8"/>
      <c r="M1474" s="8">
        <f>94*17.2/1000</f>
        <v>1.6168</v>
      </c>
      <c r="N1474" s="8"/>
      <c r="O1474" s="8"/>
      <c r="P1474" s="8"/>
      <c r="Q1474" s="11"/>
      <c r="R1474" s="11"/>
      <c r="S1474" s="8">
        <v>7.22</v>
      </c>
      <c r="T1474" s="8"/>
      <c r="U1474" s="8">
        <v>12.04</v>
      </c>
      <c r="V1474" s="8">
        <f>852*17.2/1000</f>
        <v>14.654399999999999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11"/>
      <c r="AQ1474" s="8"/>
      <c r="AR1474" s="8"/>
      <c r="AS1474" s="8"/>
      <c r="AT1474" s="8">
        <v>606.4</v>
      </c>
      <c r="AU1474" s="8"/>
      <c r="AV1474" s="8"/>
      <c r="AW1474" s="8">
        <v>38.869999999999997</v>
      </c>
      <c r="AX1474" s="8"/>
      <c r="AY1474" s="8"/>
      <c r="AZ1474" s="8"/>
      <c r="BA1474" s="8"/>
      <c r="BB1474" s="8"/>
      <c r="BC1474" s="8"/>
      <c r="BD1474" s="8"/>
      <c r="BE1474" s="8"/>
      <c r="BF1474" s="8">
        <v>48.17</v>
      </c>
      <c r="BG1474" s="8">
        <v>45.29</v>
      </c>
      <c r="BH1474" s="9">
        <f t="shared" si="198"/>
        <v>1503.5900000000001</v>
      </c>
      <c r="BI1474" s="9">
        <f t="shared" si="199"/>
        <v>1.6168</v>
      </c>
      <c r="BJ1474" s="9">
        <f t="shared" si="200"/>
        <v>7.22</v>
      </c>
      <c r="BK1474" s="9">
        <f t="shared" si="201"/>
        <v>26.694399999999998</v>
      </c>
      <c r="BL1474" s="9">
        <f t="shared" si="202"/>
        <v>0</v>
      </c>
      <c r="BM1474" s="9">
        <f t="shared" si="203"/>
        <v>0</v>
      </c>
      <c r="BN1474" s="9">
        <f t="shared" si="204"/>
        <v>606.4</v>
      </c>
      <c r="BO1474" s="9">
        <f t="shared" si="205"/>
        <v>38.869999999999997</v>
      </c>
      <c r="BP1474" s="9">
        <f t="shared" si="206"/>
        <v>48.17</v>
      </c>
    </row>
    <row r="1475" spans="1:68">
      <c r="A1475" s="6">
        <v>44816</v>
      </c>
      <c r="B1475" s="7">
        <v>3703</v>
      </c>
      <c r="C1475" s="8">
        <v>841.88</v>
      </c>
      <c r="D1475" s="8">
        <v>561.84</v>
      </c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11">
        <v>2.8</v>
      </c>
      <c r="R1475" s="11"/>
      <c r="S1475" s="8">
        <v>6.89</v>
      </c>
      <c r="T1475" s="8"/>
      <c r="U1475" s="8">
        <v>11.25</v>
      </c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>
        <f>1527*9.37/1000</f>
        <v>14.307989999999998</v>
      </c>
      <c r="AM1475" s="8"/>
      <c r="AN1475" s="8"/>
      <c r="AO1475" s="8"/>
      <c r="AP1475" s="11"/>
      <c r="AQ1475" s="8"/>
      <c r="AR1475" s="8"/>
      <c r="AS1475" s="8"/>
      <c r="AT1475" s="8">
        <v>341.94</v>
      </c>
      <c r="AU1475" s="8">
        <v>171.2</v>
      </c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>
        <v>35.83</v>
      </c>
      <c r="BH1475" s="9">
        <f t="shared" si="198"/>
        <v>1403.72</v>
      </c>
      <c r="BI1475" s="9">
        <f t="shared" si="199"/>
        <v>2.8</v>
      </c>
      <c r="BJ1475" s="9">
        <f t="shared" si="200"/>
        <v>6.89</v>
      </c>
      <c r="BK1475" s="9">
        <f t="shared" si="201"/>
        <v>11.25</v>
      </c>
      <c r="BL1475" s="9">
        <f t="shared" si="202"/>
        <v>0</v>
      </c>
      <c r="BM1475" s="9">
        <f t="shared" si="203"/>
        <v>14.307989999999998</v>
      </c>
      <c r="BN1475" s="9">
        <f t="shared" si="204"/>
        <v>513.14</v>
      </c>
      <c r="BO1475" s="9">
        <f t="shared" si="205"/>
        <v>0</v>
      </c>
      <c r="BP1475" s="9">
        <f t="shared" si="206"/>
        <v>0</v>
      </c>
    </row>
    <row r="1476" spans="1:68">
      <c r="A1476" s="6">
        <v>44816</v>
      </c>
      <c r="B1476" s="7">
        <v>3101</v>
      </c>
      <c r="C1476" s="8">
        <v>629.4</v>
      </c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11">
        <v>1.43</v>
      </c>
      <c r="R1476" s="11"/>
      <c r="S1476" s="8">
        <v>3.66</v>
      </c>
      <c r="T1476" s="8"/>
      <c r="U1476" s="8">
        <v>10.1</v>
      </c>
      <c r="V1476" s="8"/>
      <c r="W1476" s="8"/>
      <c r="X1476" s="8"/>
      <c r="Y1476" s="8"/>
      <c r="Z1476" s="8"/>
      <c r="AA1476" s="8"/>
      <c r="AB1476" s="8"/>
      <c r="AC1476" s="8">
        <v>2.5299999999999998</v>
      </c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11"/>
      <c r="AQ1476" s="8"/>
      <c r="AR1476" s="8"/>
      <c r="AS1476" s="8"/>
      <c r="AT1476" s="8">
        <v>423.4</v>
      </c>
      <c r="AU1476" s="8"/>
      <c r="AV1476" s="8"/>
      <c r="AW1476" s="8">
        <v>13.45</v>
      </c>
      <c r="AX1476" s="8"/>
      <c r="AY1476" s="8"/>
      <c r="AZ1476" s="8"/>
      <c r="BA1476" s="8"/>
      <c r="BB1476" s="8"/>
      <c r="BC1476" s="8"/>
      <c r="BD1476" s="8"/>
      <c r="BE1476" s="8"/>
      <c r="BF1476" s="8">
        <v>81.97</v>
      </c>
      <c r="BG1476" s="8">
        <v>32.44</v>
      </c>
      <c r="BH1476" s="9">
        <f t="shared" ref="BH1476:BH1539" si="207">SUM(C1476:L1476)</f>
        <v>629.4</v>
      </c>
      <c r="BI1476" s="9">
        <f t="shared" ref="BI1476:BI1539" si="208">SUM(M1476:R1476)</f>
        <v>1.43</v>
      </c>
      <c r="BJ1476" s="9">
        <f t="shared" ref="BJ1476:BJ1539" si="209">SUM(S1476)</f>
        <v>3.66</v>
      </c>
      <c r="BK1476" s="9">
        <f t="shared" ref="BK1476:BK1539" si="210">SUM(T1476:Y1476)</f>
        <v>10.1</v>
      </c>
      <c r="BL1476" s="9">
        <f t="shared" ref="BL1476:BL1539" si="211">SUM(Z1476:AA1476)</f>
        <v>0</v>
      </c>
      <c r="BM1476" s="9">
        <f t="shared" ref="BM1476:BM1539" si="212">SUM(AB1476:AS1476)</f>
        <v>2.5299999999999998</v>
      </c>
      <c r="BN1476" s="9">
        <f t="shared" ref="BN1476:BN1539" si="213">SUM(AT1476:AU1476)</f>
        <v>423.4</v>
      </c>
      <c r="BO1476" s="9">
        <f t="shared" ref="BO1476:BO1539" si="214">SUM(AV1476:BE1476)</f>
        <v>13.45</v>
      </c>
      <c r="BP1476" s="9">
        <f t="shared" ref="BP1476:BP1539" si="215">SUM(BF1476)</f>
        <v>81.97</v>
      </c>
    </row>
    <row r="1477" spans="1:68">
      <c r="A1477" s="6">
        <v>44817</v>
      </c>
      <c r="B1477" s="7">
        <v>3139</v>
      </c>
      <c r="C1477" s="8">
        <v>1687.99</v>
      </c>
      <c r="D1477" s="8"/>
      <c r="E1477" s="8"/>
      <c r="F1477" s="8"/>
      <c r="G1477" s="8"/>
      <c r="H1477" s="8">
        <v>699.63</v>
      </c>
      <c r="I1477" s="8"/>
      <c r="J1477" s="8"/>
      <c r="K1477" s="8"/>
      <c r="L1477" s="8"/>
      <c r="M1477" s="8"/>
      <c r="N1477" s="8"/>
      <c r="O1477" s="8"/>
      <c r="P1477" s="8"/>
      <c r="Q1477" s="11">
        <v>3.95</v>
      </c>
      <c r="R1477" s="11"/>
      <c r="S1477" s="8">
        <v>7.48</v>
      </c>
      <c r="T1477" s="8"/>
      <c r="U1477" s="8">
        <v>24.96</v>
      </c>
      <c r="V1477" s="8"/>
      <c r="W1477" s="8"/>
      <c r="X1477" s="8"/>
      <c r="Y1477" s="8"/>
      <c r="Z1477" s="8"/>
      <c r="AA1477" s="8"/>
      <c r="AB1477" s="8"/>
      <c r="AC1477" s="8">
        <v>8.32</v>
      </c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11"/>
      <c r="AQ1477" s="8"/>
      <c r="AR1477" s="8"/>
      <c r="AS1477" s="8"/>
      <c r="AT1477" s="8">
        <v>1235.51</v>
      </c>
      <c r="AU1477" s="8"/>
      <c r="AV1477" s="8">
        <v>41.64</v>
      </c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>
        <v>89.42</v>
      </c>
      <c r="BH1477" s="9">
        <f t="shared" si="207"/>
        <v>2387.62</v>
      </c>
      <c r="BI1477" s="9">
        <f t="shared" si="208"/>
        <v>3.95</v>
      </c>
      <c r="BJ1477" s="9">
        <f t="shared" si="209"/>
        <v>7.48</v>
      </c>
      <c r="BK1477" s="9">
        <f t="shared" si="210"/>
        <v>24.96</v>
      </c>
      <c r="BL1477" s="9">
        <f t="shared" si="211"/>
        <v>0</v>
      </c>
      <c r="BM1477" s="9">
        <f t="shared" si="212"/>
        <v>8.32</v>
      </c>
      <c r="BN1477" s="9">
        <f t="shared" si="213"/>
        <v>1235.51</v>
      </c>
      <c r="BO1477" s="9">
        <f t="shared" si="214"/>
        <v>41.64</v>
      </c>
      <c r="BP1477" s="9">
        <f t="shared" si="215"/>
        <v>0</v>
      </c>
    </row>
    <row r="1478" spans="1:68">
      <c r="A1478" s="6">
        <v>44817</v>
      </c>
      <c r="B1478" s="7">
        <v>3122</v>
      </c>
      <c r="C1478" s="8">
        <v>1263.8399999999999</v>
      </c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>
        <v>2.27</v>
      </c>
      <c r="O1478" s="8"/>
      <c r="P1478" s="8"/>
      <c r="Q1478" s="11">
        <v>2.31</v>
      </c>
      <c r="R1478" s="11"/>
      <c r="S1478" s="8">
        <v>5.19</v>
      </c>
      <c r="T1478" s="8"/>
      <c r="U1478" s="8">
        <v>12.67</v>
      </c>
      <c r="V1478" s="8"/>
      <c r="W1478" s="8"/>
      <c r="X1478" s="8"/>
      <c r="Y1478" s="8"/>
      <c r="Z1478" s="8"/>
      <c r="AA1478" s="8"/>
      <c r="AB1478" s="8"/>
      <c r="AC1478" s="8">
        <v>5.0599999999999996</v>
      </c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11"/>
      <c r="AQ1478" s="8"/>
      <c r="AR1478" s="8"/>
      <c r="AS1478" s="8"/>
      <c r="AT1478" s="8">
        <v>562.25</v>
      </c>
      <c r="AU1478" s="8"/>
      <c r="AV1478" s="8">
        <v>43.02</v>
      </c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>
        <v>41.18</v>
      </c>
      <c r="BH1478" s="9">
        <f t="shared" si="207"/>
        <v>1263.8399999999999</v>
      </c>
      <c r="BI1478" s="9">
        <f t="shared" si="208"/>
        <v>4.58</v>
      </c>
      <c r="BJ1478" s="9">
        <f t="shared" si="209"/>
        <v>5.19</v>
      </c>
      <c r="BK1478" s="9">
        <f t="shared" si="210"/>
        <v>12.67</v>
      </c>
      <c r="BL1478" s="9">
        <f t="shared" si="211"/>
        <v>0</v>
      </c>
      <c r="BM1478" s="9">
        <f t="shared" si="212"/>
        <v>5.0599999999999996</v>
      </c>
      <c r="BN1478" s="9">
        <f t="shared" si="213"/>
        <v>562.25</v>
      </c>
      <c r="BO1478" s="9">
        <f t="shared" si="214"/>
        <v>43.02</v>
      </c>
      <c r="BP1478" s="9">
        <f t="shared" si="215"/>
        <v>0</v>
      </c>
    </row>
    <row r="1479" spans="1:68">
      <c r="A1479" s="6">
        <v>44817</v>
      </c>
      <c r="B1479" s="7">
        <v>3307</v>
      </c>
      <c r="C1479" s="8"/>
      <c r="D1479" s="8">
        <v>980.66</v>
      </c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11">
        <v>1.29</v>
      </c>
      <c r="R1479" s="11"/>
      <c r="S1479" s="8">
        <v>7.16</v>
      </c>
      <c r="T1479" s="8"/>
      <c r="U1479" s="8">
        <v>9.81</v>
      </c>
      <c r="V1479" s="8"/>
      <c r="W1479" s="8"/>
      <c r="X1479" s="8"/>
      <c r="Y1479" s="8"/>
      <c r="Z1479" s="8"/>
      <c r="AA1479" s="8"/>
      <c r="AB1479" s="8"/>
      <c r="AC1479" s="8">
        <v>5.88</v>
      </c>
      <c r="AD1479" s="8"/>
      <c r="AE1479" s="8"/>
      <c r="AF1479" s="8"/>
      <c r="AG1479" s="8">
        <v>9.92</v>
      </c>
      <c r="AH1479" s="8"/>
      <c r="AI1479" s="8"/>
      <c r="AJ1479" s="8"/>
      <c r="AK1479" s="8"/>
      <c r="AL1479" s="8"/>
      <c r="AM1479" s="8"/>
      <c r="AN1479" s="8"/>
      <c r="AO1479" s="8"/>
      <c r="AP1479" s="11"/>
      <c r="AQ1479" s="8"/>
      <c r="AR1479" s="8"/>
      <c r="AS1479" s="8"/>
      <c r="AT1479" s="8"/>
      <c r="AU1479" s="8">
        <v>491.67</v>
      </c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>
        <v>35.26</v>
      </c>
      <c r="BH1479" s="9">
        <f t="shared" si="207"/>
        <v>980.66</v>
      </c>
      <c r="BI1479" s="9">
        <f t="shared" si="208"/>
        <v>1.29</v>
      </c>
      <c r="BJ1479" s="9">
        <f t="shared" si="209"/>
        <v>7.16</v>
      </c>
      <c r="BK1479" s="9">
        <f t="shared" si="210"/>
        <v>9.81</v>
      </c>
      <c r="BL1479" s="9">
        <f t="shared" si="211"/>
        <v>0</v>
      </c>
      <c r="BM1479" s="9">
        <f t="shared" si="212"/>
        <v>15.8</v>
      </c>
      <c r="BN1479" s="9">
        <f t="shared" si="213"/>
        <v>491.67</v>
      </c>
      <c r="BO1479" s="9">
        <f t="shared" si="214"/>
        <v>0</v>
      </c>
      <c r="BP1479" s="9">
        <f t="shared" si="215"/>
        <v>0</v>
      </c>
    </row>
    <row r="1480" spans="1:68">
      <c r="A1480" s="6">
        <v>44817</v>
      </c>
      <c r="B1480" s="7">
        <v>3205</v>
      </c>
      <c r="C1480" s="8">
        <v>677.21</v>
      </c>
      <c r="D1480" s="8">
        <v>376.85</v>
      </c>
      <c r="E1480" s="8">
        <v>451.39</v>
      </c>
      <c r="F1480" s="8"/>
      <c r="G1480" s="8"/>
      <c r="H1480" s="8"/>
      <c r="I1480" s="8"/>
      <c r="J1480" s="8"/>
      <c r="K1480" s="8"/>
      <c r="L1480" s="8"/>
      <c r="M1480" s="8"/>
      <c r="N1480" s="8"/>
      <c r="O1480" s="8">
        <v>6.02</v>
      </c>
      <c r="P1480" s="8"/>
      <c r="Q1480" s="11"/>
      <c r="R1480" s="11"/>
      <c r="S1480" s="8">
        <v>5.57</v>
      </c>
      <c r="T1480" s="8"/>
      <c r="U1480" s="8">
        <v>18.07</v>
      </c>
      <c r="V1480" s="8"/>
      <c r="W1480" s="8"/>
      <c r="X1480" s="8"/>
      <c r="Y1480" s="8"/>
      <c r="Z1480" s="8">
        <v>150.57</v>
      </c>
      <c r="AA1480" s="8"/>
      <c r="AB1480" s="8">
        <f>1029*15.05/1000</f>
        <v>15.486450000000001</v>
      </c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11"/>
      <c r="AQ1480" s="8">
        <f>510*15.05/1000</f>
        <v>7.6755000000000004</v>
      </c>
      <c r="AR1480" s="8"/>
      <c r="AS1480" s="8"/>
      <c r="AT1480" s="8">
        <v>392.54</v>
      </c>
      <c r="AU1480" s="8">
        <v>196.23</v>
      </c>
      <c r="AV1480" s="8"/>
      <c r="AW1480" s="8">
        <v>6.48</v>
      </c>
      <c r="AX1480" s="8"/>
      <c r="AY1480" s="8"/>
      <c r="AZ1480" s="8"/>
      <c r="BA1480" s="8"/>
      <c r="BB1480" s="8"/>
      <c r="BC1480" s="8"/>
      <c r="BD1480" s="8"/>
      <c r="BE1480" s="8"/>
      <c r="BF1480" s="8"/>
      <c r="BG1480" s="8">
        <v>35.1</v>
      </c>
      <c r="BH1480" s="9">
        <f t="shared" si="207"/>
        <v>1505.4499999999998</v>
      </c>
      <c r="BI1480" s="9">
        <f t="shared" si="208"/>
        <v>6.02</v>
      </c>
      <c r="BJ1480" s="9">
        <f t="shared" si="209"/>
        <v>5.57</v>
      </c>
      <c r="BK1480" s="9">
        <f t="shared" si="210"/>
        <v>18.07</v>
      </c>
      <c r="BL1480" s="9">
        <f t="shared" si="211"/>
        <v>150.57</v>
      </c>
      <c r="BM1480" s="9">
        <f t="shared" si="212"/>
        <v>23.161950000000001</v>
      </c>
      <c r="BN1480" s="9">
        <f t="shared" si="213"/>
        <v>588.77</v>
      </c>
      <c r="BO1480" s="9">
        <f t="shared" si="214"/>
        <v>6.48</v>
      </c>
      <c r="BP1480" s="9">
        <f t="shared" si="215"/>
        <v>0</v>
      </c>
    </row>
    <row r="1481" spans="1:68">
      <c r="A1481" s="6">
        <v>44817</v>
      </c>
      <c r="B1481" s="7">
        <v>3200</v>
      </c>
      <c r="C1481" s="8">
        <v>2285.25</v>
      </c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>
        <v>5.71</v>
      </c>
      <c r="P1481" s="8"/>
      <c r="Q1481" s="11"/>
      <c r="R1481" s="11"/>
      <c r="S1481" s="8">
        <v>8.92</v>
      </c>
      <c r="T1481" s="8"/>
      <c r="U1481" s="8">
        <v>34.31</v>
      </c>
      <c r="V1481" s="8"/>
      <c r="W1481" s="8"/>
      <c r="X1481" s="8"/>
      <c r="Y1481" s="8"/>
      <c r="Z1481" s="8">
        <v>480.43</v>
      </c>
      <c r="AA1481" s="8"/>
      <c r="AB1481" s="8"/>
      <c r="AC1481" s="8"/>
      <c r="AD1481" s="8"/>
      <c r="AE1481" s="8"/>
      <c r="AF1481" s="8">
        <v>113.89</v>
      </c>
      <c r="AG1481" s="8"/>
      <c r="AH1481" s="8"/>
      <c r="AI1481" s="8"/>
      <c r="AJ1481" s="8"/>
      <c r="AK1481" s="8"/>
      <c r="AL1481" s="8"/>
      <c r="AM1481" s="8"/>
      <c r="AN1481" s="8"/>
      <c r="AO1481" s="8"/>
      <c r="AP1481" s="11"/>
      <c r="AQ1481" s="8"/>
      <c r="AR1481" s="8"/>
      <c r="AS1481" s="8"/>
      <c r="AT1481" s="8">
        <v>1564.58</v>
      </c>
      <c r="AU1481" s="8"/>
      <c r="AV1481" s="8"/>
      <c r="AW1481" s="8">
        <v>6.65</v>
      </c>
      <c r="AX1481" s="8"/>
      <c r="AY1481" s="8"/>
      <c r="AZ1481" s="8"/>
      <c r="BA1481" s="8"/>
      <c r="BB1481" s="8"/>
      <c r="BC1481" s="8"/>
      <c r="BD1481" s="8"/>
      <c r="BE1481" s="8"/>
      <c r="BF1481" s="8">
        <v>109.93</v>
      </c>
      <c r="BG1481" s="8">
        <v>113.54</v>
      </c>
      <c r="BH1481" s="9">
        <f t="shared" si="207"/>
        <v>2285.25</v>
      </c>
      <c r="BI1481" s="9">
        <f t="shared" si="208"/>
        <v>5.71</v>
      </c>
      <c r="BJ1481" s="9">
        <f t="shared" si="209"/>
        <v>8.92</v>
      </c>
      <c r="BK1481" s="9">
        <f t="shared" si="210"/>
        <v>34.31</v>
      </c>
      <c r="BL1481" s="9">
        <f t="shared" si="211"/>
        <v>480.43</v>
      </c>
      <c r="BM1481" s="9">
        <f t="shared" si="212"/>
        <v>113.89</v>
      </c>
      <c r="BN1481" s="9">
        <f t="shared" si="213"/>
        <v>1564.58</v>
      </c>
      <c r="BO1481" s="9">
        <f t="shared" si="214"/>
        <v>6.65</v>
      </c>
      <c r="BP1481" s="9">
        <f t="shared" si="215"/>
        <v>109.93</v>
      </c>
    </row>
    <row r="1482" spans="1:68">
      <c r="A1482" s="6">
        <v>44817</v>
      </c>
      <c r="B1482" s="7">
        <v>3141</v>
      </c>
      <c r="C1482" s="8">
        <v>2444.54</v>
      </c>
      <c r="D1482" s="8">
        <v>428.93</v>
      </c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11">
        <v>7.9</v>
      </c>
      <c r="R1482" s="11"/>
      <c r="S1482" s="8">
        <v>13.56</v>
      </c>
      <c r="T1482" s="8"/>
      <c r="U1482" s="8">
        <v>43.29</v>
      </c>
      <c r="V1482" s="8"/>
      <c r="W1482" s="8"/>
      <c r="X1482" s="8"/>
      <c r="Y1482" s="8"/>
      <c r="Z1482" s="8"/>
      <c r="AA1482" s="8"/>
      <c r="AB1482" s="8"/>
      <c r="AC1482" s="8">
        <v>11.55</v>
      </c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11"/>
      <c r="AQ1482" s="8"/>
      <c r="AR1482" s="8"/>
      <c r="AS1482" s="8"/>
      <c r="AT1482" s="8">
        <v>1903.43</v>
      </c>
      <c r="AU1482" s="8"/>
      <c r="AV1482" s="8"/>
      <c r="AW1482" s="8"/>
      <c r="AX1482" s="8"/>
      <c r="AY1482" s="8"/>
      <c r="AZ1482" s="8"/>
      <c r="BA1482" s="8">
        <v>66.05</v>
      </c>
      <c r="BB1482" s="8"/>
      <c r="BC1482" s="8"/>
      <c r="BD1482" s="8"/>
      <c r="BE1482" s="8"/>
      <c r="BF1482" s="8">
        <v>201.43</v>
      </c>
      <c r="BG1482" s="8">
        <v>149.83000000000001</v>
      </c>
      <c r="BH1482" s="9">
        <f t="shared" si="207"/>
        <v>2873.47</v>
      </c>
      <c r="BI1482" s="9">
        <f t="shared" si="208"/>
        <v>7.9</v>
      </c>
      <c r="BJ1482" s="9">
        <f t="shared" si="209"/>
        <v>13.56</v>
      </c>
      <c r="BK1482" s="9">
        <f t="shared" si="210"/>
        <v>43.29</v>
      </c>
      <c r="BL1482" s="9">
        <f t="shared" si="211"/>
        <v>0</v>
      </c>
      <c r="BM1482" s="9">
        <f t="shared" si="212"/>
        <v>11.55</v>
      </c>
      <c r="BN1482" s="9">
        <f t="shared" si="213"/>
        <v>1903.43</v>
      </c>
      <c r="BO1482" s="9">
        <f t="shared" si="214"/>
        <v>66.05</v>
      </c>
      <c r="BP1482" s="9">
        <f t="shared" si="215"/>
        <v>201.43</v>
      </c>
    </row>
    <row r="1483" spans="1:68">
      <c r="A1483" s="6">
        <v>44817</v>
      </c>
      <c r="B1483" s="7">
        <v>3106</v>
      </c>
      <c r="C1483" s="8">
        <v>4107.72</v>
      </c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11">
        <v>10.26</v>
      </c>
      <c r="R1483" s="11"/>
      <c r="S1483" s="8">
        <v>12.33</v>
      </c>
      <c r="T1483" s="8"/>
      <c r="U1483" s="8">
        <v>52.24</v>
      </c>
      <c r="V1483" s="8"/>
      <c r="W1483" s="8"/>
      <c r="X1483" s="8"/>
      <c r="Y1483" s="8"/>
      <c r="Z1483" s="8"/>
      <c r="AA1483" s="8"/>
      <c r="AB1483" s="8"/>
      <c r="AC1483" s="8">
        <v>10.27</v>
      </c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11"/>
      <c r="AQ1483" s="8"/>
      <c r="AR1483" s="8"/>
      <c r="AS1483" s="8"/>
      <c r="AT1483" s="8">
        <v>2352.42</v>
      </c>
      <c r="AU1483" s="8"/>
      <c r="AV1483" s="8"/>
      <c r="AW1483" s="8"/>
      <c r="AX1483" s="8">
        <v>5.14</v>
      </c>
      <c r="AY1483" s="8"/>
      <c r="AZ1483" s="8"/>
      <c r="BA1483" s="8"/>
      <c r="BB1483" s="8"/>
      <c r="BC1483" s="8"/>
      <c r="BD1483" s="8"/>
      <c r="BE1483" s="8"/>
      <c r="BF1483" s="8"/>
      <c r="BG1483" s="8">
        <v>176.54</v>
      </c>
      <c r="BH1483" s="9">
        <f t="shared" si="207"/>
        <v>4107.72</v>
      </c>
      <c r="BI1483" s="9">
        <f t="shared" si="208"/>
        <v>10.26</v>
      </c>
      <c r="BJ1483" s="9">
        <f t="shared" si="209"/>
        <v>12.33</v>
      </c>
      <c r="BK1483" s="9">
        <f t="shared" si="210"/>
        <v>52.24</v>
      </c>
      <c r="BL1483" s="9">
        <f t="shared" si="211"/>
        <v>0</v>
      </c>
      <c r="BM1483" s="9">
        <f t="shared" si="212"/>
        <v>10.27</v>
      </c>
      <c r="BN1483" s="9">
        <f t="shared" si="213"/>
        <v>2352.42</v>
      </c>
      <c r="BO1483" s="9">
        <f t="shared" si="214"/>
        <v>5.14</v>
      </c>
      <c r="BP1483" s="9">
        <f t="shared" si="215"/>
        <v>0</v>
      </c>
    </row>
    <row r="1484" spans="1:68">
      <c r="A1484" s="6">
        <v>44818</v>
      </c>
      <c r="B1484" s="7">
        <v>3079</v>
      </c>
      <c r="C1484" s="8"/>
      <c r="D1484" s="8"/>
      <c r="E1484" s="8"/>
      <c r="F1484" s="8">
        <v>345.8</v>
      </c>
      <c r="G1484" s="8"/>
      <c r="H1484" s="8"/>
      <c r="I1484" s="8">
        <v>2800.21</v>
      </c>
      <c r="J1484" s="8"/>
      <c r="K1484" s="8"/>
      <c r="L1484" s="8"/>
      <c r="M1484" s="8"/>
      <c r="N1484" s="8">
        <v>22.34</v>
      </c>
      <c r="O1484" s="8"/>
      <c r="P1484" s="8"/>
      <c r="Q1484" s="11"/>
      <c r="R1484" s="11"/>
      <c r="S1484" s="8">
        <v>1.25</v>
      </c>
      <c r="T1484" s="8"/>
      <c r="U1484" s="8"/>
      <c r="V1484" s="8"/>
      <c r="W1484" s="8">
        <v>31.51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>
        <v>12.6</v>
      </c>
      <c r="AN1484" s="8">
        <f>1720*18.5/1000</f>
        <v>31.82</v>
      </c>
      <c r="AO1484" s="8"/>
      <c r="AP1484" s="11"/>
      <c r="AQ1484" s="8"/>
      <c r="AR1484" s="8">
        <f>4266*18.5/1000</f>
        <v>78.921000000000006</v>
      </c>
      <c r="AS1484" s="8"/>
      <c r="AT1484" s="8">
        <v>1213.18</v>
      </c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>
        <v>88.12</v>
      </c>
      <c r="BH1484" s="9">
        <f t="shared" si="207"/>
        <v>3146.01</v>
      </c>
      <c r="BI1484" s="9">
        <f t="shared" si="208"/>
        <v>22.34</v>
      </c>
      <c r="BJ1484" s="9">
        <f t="shared" si="209"/>
        <v>1.25</v>
      </c>
      <c r="BK1484" s="9">
        <f t="shared" si="210"/>
        <v>31.51</v>
      </c>
      <c r="BL1484" s="9">
        <f t="shared" si="211"/>
        <v>0</v>
      </c>
      <c r="BM1484" s="9">
        <f t="shared" si="212"/>
        <v>123.34100000000001</v>
      </c>
      <c r="BN1484" s="9">
        <f t="shared" si="213"/>
        <v>1213.18</v>
      </c>
      <c r="BO1484" s="9">
        <f t="shared" si="214"/>
        <v>0</v>
      </c>
      <c r="BP1484" s="9">
        <f t="shared" si="215"/>
        <v>0</v>
      </c>
    </row>
    <row r="1485" spans="1:68">
      <c r="A1485" s="6">
        <v>44818</v>
      </c>
      <c r="B1485" s="7">
        <v>3016</v>
      </c>
      <c r="C1485" s="8"/>
      <c r="D1485" s="8">
        <v>1618.35</v>
      </c>
      <c r="E1485" s="8"/>
      <c r="F1485" s="8"/>
      <c r="G1485" s="8"/>
      <c r="H1485" s="8"/>
      <c r="I1485" s="8">
        <v>1492.56</v>
      </c>
      <c r="J1485" s="8"/>
      <c r="K1485" s="8"/>
      <c r="L1485" s="8"/>
      <c r="M1485" s="8"/>
      <c r="N1485" s="8">
        <v>18.670000000000002</v>
      </c>
      <c r="O1485" s="8"/>
      <c r="P1485" s="8"/>
      <c r="Q1485" s="11"/>
      <c r="R1485" s="11"/>
      <c r="S1485" s="8">
        <v>2.1800000000000002</v>
      </c>
      <c r="T1485" s="8"/>
      <c r="U1485" s="8"/>
      <c r="V1485" s="8"/>
      <c r="W1485" s="8">
        <v>31.12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>
        <v>12.44</v>
      </c>
      <c r="AN1485" s="8">
        <f>2054*18.3/1000</f>
        <v>37.588200000000008</v>
      </c>
      <c r="AO1485" s="8"/>
      <c r="AP1485" s="11"/>
      <c r="AQ1485" s="8"/>
      <c r="AR1485" s="8">
        <f>4266*18.3/1000</f>
        <v>78.067800000000005</v>
      </c>
      <c r="AS1485" s="8"/>
      <c r="AT1485" s="8">
        <v>1155.57</v>
      </c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>
        <v>84.57</v>
      </c>
      <c r="BH1485" s="9">
        <f t="shared" si="207"/>
        <v>3110.91</v>
      </c>
      <c r="BI1485" s="9">
        <f t="shared" si="208"/>
        <v>18.670000000000002</v>
      </c>
      <c r="BJ1485" s="9">
        <f t="shared" si="209"/>
        <v>2.1800000000000002</v>
      </c>
      <c r="BK1485" s="9">
        <f t="shared" si="210"/>
        <v>31.12</v>
      </c>
      <c r="BL1485" s="9">
        <f t="shared" si="211"/>
        <v>0</v>
      </c>
      <c r="BM1485" s="9">
        <f t="shared" si="212"/>
        <v>128.096</v>
      </c>
      <c r="BN1485" s="9">
        <f t="shared" si="213"/>
        <v>1155.57</v>
      </c>
      <c r="BO1485" s="9">
        <f t="shared" si="214"/>
        <v>0</v>
      </c>
      <c r="BP1485" s="9">
        <f t="shared" si="215"/>
        <v>0</v>
      </c>
    </row>
    <row r="1486" spans="1:68">
      <c r="A1486" s="6">
        <v>44818</v>
      </c>
      <c r="B1486" s="7">
        <v>3201</v>
      </c>
      <c r="C1486" s="8">
        <v>1166.9100000000001</v>
      </c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>
        <v>2.92</v>
      </c>
      <c r="P1486" s="8"/>
      <c r="Q1486" s="11"/>
      <c r="R1486" s="11"/>
      <c r="S1486" s="8">
        <v>4.4400000000000004</v>
      </c>
      <c r="T1486" s="8"/>
      <c r="U1486" s="8">
        <v>17.53</v>
      </c>
      <c r="V1486" s="8"/>
      <c r="W1486" s="8"/>
      <c r="X1486" s="8"/>
      <c r="Y1486" s="8"/>
      <c r="Z1486" s="8">
        <v>245.55</v>
      </c>
      <c r="AA1486" s="8"/>
      <c r="AB1486" s="8"/>
      <c r="AC1486" s="8"/>
      <c r="AD1486" s="8"/>
      <c r="AE1486" s="8"/>
      <c r="AF1486" s="8">
        <v>57.69</v>
      </c>
      <c r="AG1486" s="8"/>
      <c r="AH1486" s="8"/>
      <c r="AI1486" s="8"/>
      <c r="AJ1486" s="8"/>
      <c r="AK1486" s="8"/>
      <c r="AL1486" s="8"/>
      <c r="AM1486" s="8"/>
      <c r="AN1486" s="8"/>
      <c r="AO1486" s="8"/>
      <c r="AP1486" s="11"/>
      <c r="AQ1486" s="8">
        <f>1534*11.67/1000</f>
        <v>17.901779999999999</v>
      </c>
      <c r="AR1486" s="8"/>
      <c r="AS1486" s="8"/>
      <c r="AT1486" s="8">
        <v>801.35</v>
      </c>
      <c r="AU1486" s="8"/>
      <c r="AV1486" s="8"/>
      <c r="AW1486" s="8"/>
      <c r="AX1486" s="8"/>
      <c r="AY1486" s="8"/>
      <c r="AZ1486" s="8"/>
      <c r="BA1486" s="8"/>
      <c r="BB1486" s="8"/>
      <c r="BC1486" s="8">
        <v>3.04</v>
      </c>
      <c r="BD1486" s="8"/>
      <c r="BE1486" s="8"/>
      <c r="BF1486" s="8">
        <v>56.1</v>
      </c>
      <c r="BG1486" s="8">
        <v>58.03</v>
      </c>
      <c r="BH1486" s="9">
        <f t="shared" si="207"/>
        <v>1166.9100000000001</v>
      </c>
      <c r="BI1486" s="9">
        <f t="shared" si="208"/>
        <v>2.92</v>
      </c>
      <c r="BJ1486" s="9">
        <f t="shared" si="209"/>
        <v>4.4400000000000004</v>
      </c>
      <c r="BK1486" s="9">
        <f t="shared" si="210"/>
        <v>17.53</v>
      </c>
      <c r="BL1486" s="9">
        <f t="shared" si="211"/>
        <v>245.55</v>
      </c>
      <c r="BM1486" s="9">
        <f t="shared" si="212"/>
        <v>75.59178</v>
      </c>
      <c r="BN1486" s="9">
        <f t="shared" si="213"/>
        <v>801.35</v>
      </c>
      <c r="BO1486" s="9">
        <f t="shared" si="214"/>
        <v>3.04</v>
      </c>
      <c r="BP1486" s="9">
        <f t="shared" si="215"/>
        <v>56.1</v>
      </c>
    </row>
    <row r="1487" spans="1:68">
      <c r="A1487" s="6">
        <v>44818</v>
      </c>
      <c r="B1487" s="7">
        <v>3221</v>
      </c>
      <c r="C1487" s="8">
        <v>597.73</v>
      </c>
      <c r="D1487" s="8">
        <v>100.06</v>
      </c>
      <c r="E1487" s="8">
        <v>299.06</v>
      </c>
      <c r="F1487" s="8"/>
      <c r="G1487" s="8"/>
      <c r="H1487" s="8"/>
      <c r="I1487" s="8"/>
      <c r="J1487" s="8"/>
      <c r="K1487" s="8"/>
      <c r="L1487" s="8"/>
      <c r="M1487" s="8"/>
      <c r="N1487" s="8"/>
      <c r="O1487" s="8">
        <v>1.99</v>
      </c>
      <c r="P1487" s="8"/>
      <c r="Q1487" s="11"/>
      <c r="R1487" s="11"/>
      <c r="S1487" s="8">
        <v>4.49</v>
      </c>
      <c r="T1487" s="8"/>
      <c r="U1487" s="8">
        <v>14.99</v>
      </c>
      <c r="V1487" s="8"/>
      <c r="W1487" s="8"/>
      <c r="X1487" s="8"/>
      <c r="Y1487" s="8"/>
      <c r="Z1487" s="8"/>
      <c r="AA1487" s="8"/>
      <c r="AB1487" s="8">
        <f>407*12.45/1000</f>
        <v>5.0671499999999998</v>
      </c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11"/>
      <c r="AQ1487" s="8">
        <f>1226*12.45/1000</f>
        <v>15.263699999999998</v>
      </c>
      <c r="AR1487" s="8"/>
      <c r="AS1487" s="8"/>
      <c r="AT1487" s="8">
        <v>564.85</v>
      </c>
      <c r="AU1487" s="8"/>
      <c r="AV1487" s="8"/>
      <c r="AW1487" s="8">
        <v>33.93</v>
      </c>
      <c r="AX1487" s="8"/>
      <c r="AY1487" s="8"/>
      <c r="AZ1487" s="8"/>
      <c r="BA1487" s="8"/>
      <c r="BB1487" s="8"/>
      <c r="BC1487" s="8"/>
      <c r="BD1487" s="8"/>
      <c r="BE1487" s="8"/>
      <c r="BF1487" s="8">
        <v>44.88</v>
      </c>
      <c r="BG1487" s="8">
        <v>41.91</v>
      </c>
      <c r="BH1487" s="9">
        <f t="shared" si="207"/>
        <v>996.84999999999991</v>
      </c>
      <c r="BI1487" s="9">
        <f t="shared" si="208"/>
        <v>1.99</v>
      </c>
      <c r="BJ1487" s="9">
        <f t="shared" si="209"/>
        <v>4.49</v>
      </c>
      <c r="BK1487" s="9">
        <f t="shared" si="210"/>
        <v>14.99</v>
      </c>
      <c r="BL1487" s="9">
        <f t="shared" si="211"/>
        <v>0</v>
      </c>
      <c r="BM1487" s="9">
        <f t="shared" si="212"/>
        <v>20.330849999999998</v>
      </c>
      <c r="BN1487" s="9">
        <f t="shared" si="213"/>
        <v>564.85</v>
      </c>
      <c r="BO1487" s="9">
        <f t="shared" si="214"/>
        <v>33.93</v>
      </c>
      <c r="BP1487" s="9">
        <f t="shared" si="215"/>
        <v>44.88</v>
      </c>
    </row>
    <row r="1488" spans="1:68">
      <c r="A1488" s="6">
        <v>44818</v>
      </c>
      <c r="B1488" s="7">
        <v>3029</v>
      </c>
      <c r="C1488" s="8"/>
      <c r="D1488" s="8">
        <v>469.92</v>
      </c>
      <c r="E1488" s="8"/>
      <c r="F1488" s="8">
        <v>330.63</v>
      </c>
      <c r="G1488" s="8"/>
      <c r="H1488" s="8"/>
      <c r="I1488" s="8">
        <v>1957.66</v>
      </c>
      <c r="J1488" s="8"/>
      <c r="K1488" s="8"/>
      <c r="L1488" s="8"/>
      <c r="M1488" s="8"/>
      <c r="N1488" s="8">
        <v>21.28</v>
      </c>
      <c r="O1488" s="8"/>
      <c r="P1488" s="8"/>
      <c r="Q1488" s="11"/>
      <c r="R1488" s="11"/>
      <c r="S1488" s="8">
        <v>1.65</v>
      </c>
      <c r="T1488" s="8"/>
      <c r="U1488" s="8"/>
      <c r="V1488" s="8"/>
      <c r="W1488" s="8">
        <v>27.62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>
        <v>9.6199999999999992</v>
      </c>
      <c r="AN1488" s="8">
        <f>748*18.38/1000</f>
        <v>13.748239999999999</v>
      </c>
      <c r="AO1488" s="8"/>
      <c r="AP1488" s="11"/>
      <c r="AQ1488" s="8"/>
      <c r="AR1488" s="8">
        <f>4597*18.38/1000</f>
        <v>84.492860000000007</v>
      </c>
      <c r="AS1488" s="8"/>
      <c r="AT1488" s="8">
        <v>1048.54</v>
      </c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>
        <v>73.040000000000006</v>
      </c>
      <c r="BH1488" s="9">
        <f t="shared" si="207"/>
        <v>2758.21</v>
      </c>
      <c r="BI1488" s="9">
        <f t="shared" si="208"/>
        <v>21.28</v>
      </c>
      <c r="BJ1488" s="9">
        <f t="shared" si="209"/>
        <v>1.65</v>
      </c>
      <c r="BK1488" s="9">
        <f t="shared" si="210"/>
        <v>27.62</v>
      </c>
      <c r="BL1488" s="9">
        <f t="shared" si="211"/>
        <v>0</v>
      </c>
      <c r="BM1488" s="9">
        <f t="shared" si="212"/>
        <v>107.86110000000001</v>
      </c>
      <c r="BN1488" s="9">
        <f t="shared" si="213"/>
        <v>1048.54</v>
      </c>
      <c r="BO1488" s="9">
        <f t="shared" si="214"/>
        <v>0</v>
      </c>
      <c r="BP1488" s="9">
        <f t="shared" si="215"/>
        <v>0</v>
      </c>
    </row>
    <row r="1489" spans="1:68">
      <c r="A1489" s="6">
        <v>44818</v>
      </c>
      <c r="B1489" s="7">
        <v>3022</v>
      </c>
      <c r="C1489" s="8"/>
      <c r="D1489" s="8">
        <f>148.76+1034.71</f>
        <v>1183.47</v>
      </c>
      <c r="E1489" s="8"/>
      <c r="F1489" s="8"/>
      <c r="G1489" s="8"/>
      <c r="H1489" s="8"/>
      <c r="I1489" s="8">
        <f>121.18+846.12</f>
        <v>967.3</v>
      </c>
      <c r="J1489" s="8"/>
      <c r="K1489" s="8"/>
      <c r="L1489" s="8"/>
      <c r="M1489" s="8"/>
      <c r="N1489" s="8">
        <f>1.35+9.4</f>
        <v>10.75</v>
      </c>
      <c r="O1489" s="8"/>
      <c r="P1489" s="8"/>
      <c r="Q1489" s="11"/>
      <c r="R1489" s="11"/>
      <c r="S1489" s="8">
        <f>0.49+3.38</f>
        <v>3.87</v>
      </c>
      <c r="T1489" s="8"/>
      <c r="U1489" s="8"/>
      <c r="V1489" s="8"/>
      <c r="W1489" s="8">
        <f>2.71+18.79</f>
        <v>21.5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>
        <f>3.51+24.45</f>
        <v>27.96</v>
      </c>
      <c r="AN1489" s="8"/>
      <c r="AO1489" s="8"/>
      <c r="AP1489" s="11"/>
      <c r="AQ1489" s="8"/>
      <c r="AR1489" s="8"/>
      <c r="AS1489" s="8">
        <f>3901*19.53/1000</f>
        <v>76.186530000000005</v>
      </c>
      <c r="AT1489" s="8">
        <f>126.31+878.12</f>
        <v>1004.4300000000001</v>
      </c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>
        <f>9.72+67.57</f>
        <v>77.289999999999992</v>
      </c>
      <c r="BH1489" s="9">
        <f t="shared" si="207"/>
        <v>2150.77</v>
      </c>
      <c r="BI1489" s="9">
        <f t="shared" si="208"/>
        <v>10.75</v>
      </c>
      <c r="BJ1489" s="9">
        <f t="shared" si="209"/>
        <v>3.87</v>
      </c>
      <c r="BK1489" s="9">
        <f t="shared" si="210"/>
        <v>21.5</v>
      </c>
      <c r="BL1489" s="9">
        <f t="shared" si="211"/>
        <v>0</v>
      </c>
      <c r="BM1489" s="9">
        <f t="shared" si="212"/>
        <v>104.14653000000001</v>
      </c>
      <c r="BN1489" s="9">
        <f t="shared" si="213"/>
        <v>1004.4300000000001</v>
      </c>
      <c r="BO1489" s="9">
        <f t="shared" si="214"/>
        <v>0</v>
      </c>
      <c r="BP1489" s="9">
        <f t="shared" si="215"/>
        <v>0</v>
      </c>
    </row>
    <row r="1490" spans="1:68">
      <c r="A1490" s="6">
        <v>44818</v>
      </c>
      <c r="B1490" s="7">
        <v>3023</v>
      </c>
      <c r="C1490" s="8"/>
      <c r="D1490" s="8">
        <v>862.41</v>
      </c>
      <c r="E1490" s="8"/>
      <c r="F1490" s="8"/>
      <c r="G1490" s="8"/>
      <c r="H1490" s="8"/>
      <c r="I1490" s="8">
        <v>464.73</v>
      </c>
      <c r="J1490" s="8"/>
      <c r="K1490" s="8"/>
      <c r="L1490" s="8"/>
      <c r="M1490" s="8"/>
      <c r="N1490" s="8">
        <v>7.43</v>
      </c>
      <c r="O1490" s="8"/>
      <c r="P1490" s="8"/>
      <c r="Q1490" s="11"/>
      <c r="R1490" s="11"/>
      <c r="S1490" s="8">
        <v>2.13</v>
      </c>
      <c r="T1490" s="8"/>
      <c r="U1490" s="8"/>
      <c r="V1490" s="8"/>
      <c r="W1490" s="8">
        <v>11.95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>
        <v>13.26</v>
      </c>
      <c r="AN1490" s="8">
        <f>1043*9.15/1000</f>
        <v>9.54345</v>
      </c>
      <c r="AO1490" s="8"/>
      <c r="AP1490" s="11"/>
      <c r="AQ1490" s="8"/>
      <c r="AR1490" s="8"/>
      <c r="AS1490" s="8">
        <f>4788*9.15/1000</f>
        <v>43.810200000000002</v>
      </c>
      <c r="AT1490" s="8">
        <v>544.65</v>
      </c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>
        <v>41.11</v>
      </c>
      <c r="BH1490" s="9">
        <f t="shared" si="207"/>
        <v>1327.1399999999999</v>
      </c>
      <c r="BI1490" s="9">
        <f t="shared" si="208"/>
        <v>7.43</v>
      </c>
      <c r="BJ1490" s="9">
        <f t="shared" si="209"/>
        <v>2.13</v>
      </c>
      <c r="BK1490" s="9">
        <f t="shared" si="210"/>
        <v>11.95</v>
      </c>
      <c r="BL1490" s="9">
        <f t="shared" si="211"/>
        <v>0</v>
      </c>
      <c r="BM1490" s="9">
        <f t="shared" si="212"/>
        <v>66.613650000000007</v>
      </c>
      <c r="BN1490" s="9">
        <f t="shared" si="213"/>
        <v>544.65</v>
      </c>
      <c r="BO1490" s="9">
        <f t="shared" si="214"/>
        <v>0</v>
      </c>
      <c r="BP1490" s="9">
        <f t="shared" si="215"/>
        <v>0</v>
      </c>
    </row>
    <row r="1491" spans="1:68">
      <c r="A1491" s="6">
        <v>44818</v>
      </c>
      <c r="B1491" s="7">
        <v>3304</v>
      </c>
      <c r="C1491" s="8"/>
      <c r="D1491" s="8">
        <v>1379.87</v>
      </c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11">
        <v>1.63</v>
      </c>
      <c r="R1491" s="11"/>
      <c r="S1491" s="8">
        <v>9.7799999999999994</v>
      </c>
      <c r="T1491" s="8"/>
      <c r="U1491" s="8">
        <v>12.41</v>
      </c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>
        <v>13.81</v>
      </c>
      <c r="AH1491" s="8"/>
      <c r="AI1491" s="8"/>
      <c r="AJ1491" s="8"/>
      <c r="AK1491" s="8"/>
      <c r="AL1491" s="8"/>
      <c r="AM1491" s="8"/>
      <c r="AN1491" s="8"/>
      <c r="AO1491" s="8"/>
      <c r="AP1491" s="11"/>
      <c r="AQ1491" s="8"/>
      <c r="AR1491" s="8"/>
      <c r="AS1491" s="8"/>
      <c r="AT1491" s="8"/>
      <c r="AU1491" s="8">
        <v>566.28</v>
      </c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>
        <v>39.96</v>
      </c>
      <c r="BH1491" s="9">
        <f t="shared" si="207"/>
        <v>1379.87</v>
      </c>
      <c r="BI1491" s="9">
        <f t="shared" si="208"/>
        <v>1.63</v>
      </c>
      <c r="BJ1491" s="9">
        <f t="shared" si="209"/>
        <v>9.7799999999999994</v>
      </c>
      <c r="BK1491" s="9">
        <f t="shared" si="210"/>
        <v>12.41</v>
      </c>
      <c r="BL1491" s="9">
        <f t="shared" si="211"/>
        <v>0</v>
      </c>
      <c r="BM1491" s="9">
        <f t="shared" si="212"/>
        <v>13.81</v>
      </c>
      <c r="BN1491" s="9">
        <f t="shared" si="213"/>
        <v>566.28</v>
      </c>
      <c r="BO1491" s="9">
        <f t="shared" si="214"/>
        <v>0</v>
      </c>
      <c r="BP1491" s="9">
        <f t="shared" si="215"/>
        <v>0</v>
      </c>
    </row>
    <row r="1492" spans="1:68">
      <c r="A1492" s="6">
        <v>44819</v>
      </c>
      <c r="B1492" s="7">
        <v>3100</v>
      </c>
      <c r="C1492" s="8">
        <v>627.33000000000004</v>
      </c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11">
        <v>1.49</v>
      </c>
      <c r="R1492" s="11"/>
      <c r="S1492" s="8">
        <v>3.58</v>
      </c>
      <c r="T1492" s="8"/>
      <c r="U1492" s="8">
        <v>10.039999999999999</v>
      </c>
      <c r="V1492" s="8"/>
      <c r="W1492" s="8"/>
      <c r="X1492" s="8"/>
      <c r="Y1492" s="8"/>
      <c r="Z1492" s="8"/>
      <c r="AA1492" s="8"/>
      <c r="AB1492" s="8"/>
      <c r="AC1492" s="8">
        <v>2.5099999999999998</v>
      </c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11"/>
      <c r="AQ1492" s="8"/>
      <c r="AR1492" s="8"/>
      <c r="AS1492" s="8"/>
      <c r="AT1492" s="8">
        <v>422.17</v>
      </c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>
        <v>81.64</v>
      </c>
      <c r="BG1492" s="8">
        <v>32.31</v>
      </c>
      <c r="BH1492" s="9">
        <f t="shared" si="207"/>
        <v>627.33000000000004</v>
      </c>
      <c r="BI1492" s="9">
        <f t="shared" si="208"/>
        <v>1.49</v>
      </c>
      <c r="BJ1492" s="9">
        <f t="shared" si="209"/>
        <v>3.58</v>
      </c>
      <c r="BK1492" s="9">
        <f t="shared" si="210"/>
        <v>10.039999999999999</v>
      </c>
      <c r="BL1492" s="9">
        <f t="shared" si="211"/>
        <v>0</v>
      </c>
      <c r="BM1492" s="9">
        <f t="shared" si="212"/>
        <v>2.5099999999999998</v>
      </c>
      <c r="BN1492" s="9">
        <f t="shared" si="213"/>
        <v>422.17</v>
      </c>
      <c r="BO1492" s="9">
        <f t="shared" si="214"/>
        <v>0</v>
      </c>
      <c r="BP1492" s="9">
        <f t="shared" si="215"/>
        <v>81.64</v>
      </c>
    </row>
    <row r="1493" spans="1:68">
      <c r="A1493" s="6">
        <v>44819</v>
      </c>
      <c r="B1493" s="7">
        <v>3139</v>
      </c>
      <c r="C1493" s="8">
        <v>1674.12</v>
      </c>
      <c r="D1493" s="8"/>
      <c r="E1493" s="8"/>
      <c r="F1493" s="8"/>
      <c r="G1493" s="8"/>
      <c r="H1493" s="8">
        <v>697.06</v>
      </c>
      <c r="I1493" s="8"/>
      <c r="J1493" s="8"/>
      <c r="K1493" s="8"/>
      <c r="L1493" s="8"/>
      <c r="M1493" s="8"/>
      <c r="N1493" s="8"/>
      <c r="O1493" s="8"/>
      <c r="P1493" s="8"/>
      <c r="Q1493" s="11">
        <v>3.88</v>
      </c>
      <c r="R1493" s="11"/>
      <c r="S1493" s="8">
        <v>7.39</v>
      </c>
      <c r="T1493" s="8"/>
      <c r="U1493" s="8">
        <v>24.7</v>
      </c>
      <c r="V1493" s="8"/>
      <c r="W1493" s="8"/>
      <c r="X1493" s="8"/>
      <c r="Y1493" s="8"/>
      <c r="Z1493" s="8"/>
      <c r="AA1493" s="8"/>
      <c r="AB1493" s="8"/>
      <c r="AC1493" s="8">
        <v>8.2200000000000006</v>
      </c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11"/>
      <c r="AQ1493" s="8"/>
      <c r="AR1493" s="8"/>
      <c r="AS1493" s="8"/>
      <c r="AT1493" s="8">
        <v>1219.5999999999999</v>
      </c>
      <c r="AU1493" s="8"/>
      <c r="AV1493" s="8">
        <v>41.04</v>
      </c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>
        <v>88.36</v>
      </c>
      <c r="BH1493" s="9">
        <f t="shared" si="207"/>
        <v>2371.1799999999998</v>
      </c>
      <c r="BI1493" s="9">
        <f t="shared" si="208"/>
        <v>3.88</v>
      </c>
      <c r="BJ1493" s="9">
        <f t="shared" si="209"/>
        <v>7.39</v>
      </c>
      <c r="BK1493" s="9">
        <f t="shared" si="210"/>
        <v>24.7</v>
      </c>
      <c r="BL1493" s="9">
        <f t="shared" si="211"/>
        <v>0</v>
      </c>
      <c r="BM1493" s="9">
        <f t="shared" si="212"/>
        <v>8.2200000000000006</v>
      </c>
      <c r="BN1493" s="9">
        <f t="shared" si="213"/>
        <v>1219.5999999999999</v>
      </c>
      <c r="BO1493" s="9">
        <f t="shared" si="214"/>
        <v>41.04</v>
      </c>
      <c r="BP1493" s="9">
        <f t="shared" si="215"/>
        <v>0</v>
      </c>
    </row>
    <row r="1494" spans="1:68">
      <c r="A1494" s="6">
        <v>44819</v>
      </c>
      <c r="B1494" s="7">
        <v>3602</v>
      </c>
      <c r="C1494" s="8">
        <v>589.62</v>
      </c>
      <c r="D1494" s="8"/>
      <c r="E1494" s="8"/>
      <c r="F1494" s="8"/>
      <c r="G1494" s="8">
        <v>888.29</v>
      </c>
      <c r="H1494" s="8"/>
      <c r="I1494" s="8"/>
      <c r="J1494" s="8"/>
      <c r="K1494" s="8"/>
      <c r="L1494" s="8"/>
      <c r="M1494" s="8">
        <f>93*17.03/1000</f>
        <v>1.5837900000000003</v>
      </c>
      <c r="N1494" s="8"/>
      <c r="O1494" s="8"/>
      <c r="P1494" s="8"/>
      <c r="Q1494" s="11"/>
      <c r="R1494" s="11"/>
      <c r="S1494" s="8">
        <v>7.15</v>
      </c>
      <c r="T1494" s="8"/>
      <c r="U1494" s="8">
        <v>11.91</v>
      </c>
      <c r="V1494" s="8">
        <f>854*17.03/1000</f>
        <v>14.543620000000001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11"/>
      <c r="AQ1494" s="8"/>
      <c r="AR1494" s="8"/>
      <c r="AS1494" s="8"/>
      <c r="AT1494" s="8">
        <v>598.83000000000004</v>
      </c>
      <c r="AU1494" s="8"/>
      <c r="AV1494" s="8"/>
      <c r="AW1494" s="8">
        <v>38.51</v>
      </c>
      <c r="AX1494" s="8"/>
      <c r="AY1494" s="8"/>
      <c r="AZ1494" s="8"/>
      <c r="BA1494" s="8"/>
      <c r="BB1494" s="8"/>
      <c r="BC1494" s="8"/>
      <c r="BD1494" s="8"/>
      <c r="BE1494" s="8"/>
      <c r="BF1494" s="8"/>
      <c r="BG1494" s="8">
        <v>44.63</v>
      </c>
      <c r="BH1494" s="9">
        <f t="shared" si="207"/>
        <v>1477.9099999999999</v>
      </c>
      <c r="BI1494" s="9">
        <f t="shared" si="208"/>
        <v>1.5837900000000003</v>
      </c>
      <c r="BJ1494" s="9">
        <f t="shared" si="209"/>
        <v>7.15</v>
      </c>
      <c r="BK1494" s="9">
        <f t="shared" si="210"/>
        <v>26.453620000000001</v>
      </c>
      <c r="BL1494" s="9">
        <f t="shared" si="211"/>
        <v>0</v>
      </c>
      <c r="BM1494" s="9">
        <f t="shared" si="212"/>
        <v>0</v>
      </c>
      <c r="BN1494" s="9">
        <f t="shared" si="213"/>
        <v>598.83000000000004</v>
      </c>
      <c r="BO1494" s="9">
        <f t="shared" si="214"/>
        <v>38.51</v>
      </c>
      <c r="BP1494" s="9">
        <f t="shared" si="215"/>
        <v>0</v>
      </c>
    </row>
    <row r="1495" spans="1:68">
      <c r="A1495" s="6">
        <v>44819</v>
      </c>
      <c r="B1495" s="7">
        <v>3705</v>
      </c>
      <c r="C1495" s="8"/>
      <c r="D1495" s="8">
        <v>1360.32</v>
      </c>
      <c r="E1495" s="8"/>
      <c r="F1495" s="8"/>
      <c r="G1495" s="8"/>
      <c r="H1495" s="8"/>
      <c r="I1495" s="8">
        <v>298.27999999999997</v>
      </c>
      <c r="J1495" s="8"/>
      <c r="K1495" s="8"/>
      <c r="L1495" s="8"/>
      <c r="M1495" s="8"/>
      <c r="N1495" s="8"/>
      <c r="O1495" s="8"/>
      <c r="P1495" s="8"/>
      <c r="Q1495" s="11">
        <v>4.9400000000000004</v>
      </c>
      <c r="R1495" s="11"/>
      <c r="S1495" s="8">
        <v>5.8</v>
      </c>
      <c r="T1495" s="8"/>
      <c r="U1495" s="8">
        <v>11.61</v>
      </c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11"/>
      <c r="AQ1495" s="8"/>
      <c r="AR1495" s="8"/>
      <c r="AS1495" s="8"/>
      <c r="AT1495" s="8">
        <v>97.81</v>
      </c>
      <c r="AU1495" s="8">
        <v>197.4</v>
      </c>
      <c r="AV1495" s="8">
        <v>3.31</v>
      </c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>
        <v>16.28</v>
      </c>
      <c r="BH1495" s="9">
        <f t="shared" si="207"/>
        <v>1658.6</v>
      </c>
      <c r="BI1495" s="9">
        <f t="shared" si="208"/>
        <v>4.9400000000000004</v>
      </c>
      <c r="BJ1495" s="9">
        <f t="shared" si="209"/>
        <v>5.8</v>
      </c>
      <c r="BK1495" s="9">
        <f t="shared" si="210"/>
        <v>11.61</v>
      </c>
      <c r="BL1495" s="9">
        <f t="shared" si="211"/>
        <v>0</v>
      </c>
      <c r="BM1495" s="9">
        <f t="shared" si="212"/>
        <v>0</v>
      </c>
      <c r="BN1495" s="9">
        <f t="shared" si="213"/>
        <v>295.21000000000004</v>
      </c>
      <c r="BO1495" s="9">
        <f t="shared" si="214"/>
        <v>3.31</v>
      </c>
      <c r="BP1495" s="9">
        <f t="shared" si="215"/>
        <v>0</v>
      </c>
    </row>
    <row r="1496" spans="1:68">
      <c r="A1496" s="6">
        <v>44819</v>
      </c>
      <c r="B1496" s="7">
        <v>3125</v>
      </c>
      <c r="C1496" s="8">
        <v>1086.1500000000001</v>
      </c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11">
        <v>2.72</v>
      </c>
      <c r="R1496" s="11"/>
      <c r="S1496" s="8">
        <v>3.27</v>
      </c>
      <c r="T1496" s="8"/>
      <c r="U1496" s="8">
        <v>13.82</v>
      </c>
      <c r="V1496" s="8"/>
      <c r="W1496" s="8"/>
      <c r="X1496" s="8"/>
      <c r="Y1496" s="8"/>
      <c r="Z1496" s="8"/>
      <c r="AA1496" s="8"/>
      <c r="AB1496" s="8"/>
      <c r="AC1496" s="8">
        <v>4.34</v>
      </c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11"/>
      <c r="AQ1496" s="8"/>
      <c r="AR1496" s="8"/>
      <c r="AS1496" s="8"/>
      <c r="AT1496" s="8">
        <v>624.42999999999995</v>
      </c>
      <c r="AU1496" s="8"/>
      <c r="AV1496" s="8">
        <v>16.29</v>
      </c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>
        <v>46.72</v>
      </c>
      <c r="BH1496" s="9">
        <f t="shared" si="207"/>
        <v>1086.1500000000001</v>
      </c>
      <c r="BI1496" s="9">
        <f t="shared" si="208"/>
        <v>2.72</v>
      </c>
      <c r="BJ1496" s="9">
        <f t="shared" si="209"/>
        <v>3.27</v>
      </c>
      <c r="BK1496" s="9">
        <f t="shared" si="210"/>
        <v>13.82</v>
      </c>
      <c r="BL1496" s="9">
        <f t="shared" si="211"/>
        <v>0</v>
      </c>
      <c r="BM1496" s="9">
        <f t="shared" si="212"/>
        <v>4.34</v>
      </c>
      <c r="BN1496" s="9">
        <f t="shared" si="213"/>
        <v>624.42999999999995</v>
      </c>
      <c r="BO1496" s="9">
        <f t="shared" si="214"/>
        <v>16.29</v>
      </c>
      <c r="BP1496" s="9">
        <f t="shared" si="215"/>
        <v>0</v>
      </c>
    </row>
    <row r="1497" spans="1:68">
      <c r="A1497" s="6">
        <v>44819</v>
      </c>
      <c r="B1497" s="7">
        <v>3106</v>
      </c>
      <c r="C1497" s="8">
        <v>4148.34</v>
      </c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11">
        <v>10.36</v>
      </c>
      <c r="R1497" s="11"/>
      <c r="S1497" s="8">
        <v>12.46</v>
      </c>
      <c r="T1497" s="8"/>
      <c r="U1497" s="8">
        <v>52.8</v>
      </c>
      <c r="V1497" s="8"/>
      <c r="W1497" s="8"/>
      <c r="X1497" s="8"/>
      <c r="Y1497" s="8"/>
      <c r="Z1497" s="8"/>
      <c r="AA1497" s="8"/>
      <c r="AB1497" s="8"/>
      <c r="AC1497" s="8">
        <v>10.38</v>
      </c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11"/>
      <c r="AQ1497" s="8"/>
      <c r="AR1497" s="8"/>
      <c r="AS1497" s="8"/>
      <c r="AT1497" s="8">
        <v>2375.85</v>
      </c>
      <c r="AU1497" s="8"/>
      <c r="AV1497" s="8"/>
      <c r="AW1497" s="8"/>
      <c r="AX1497" s="8">
        <v>5.19</v>
      </c>
      <c r="AY1497" s="8"/>
      <c r="AZ1497" s="8"/>
      <c r="BA1497" s="8"/>
      <c r="BB1497" s="8"/>
      <c r="BC1497" s="8"/>
      <c r="BD1497" s="8"/>
      <c r="BE1497" s="8"/>
      <c r="BF1497" s="8"/>
      <c r="BG1497" s="8">
        <v>178.66</v>
      </c>
      <c r="BH1497" s="9">
        <f t="shared" si="207"/>
        <v>4148.34</v>
      </c>
      <c r="BI1497" s="9">
        <f t="shared" si="208"/>
        <v>10.36</v>
      </c>
      <c r="BJ1497" s="9">
        <f t="shared" si="209"/>
        <v>12.46</v>
      </c>
      <c r="BK1497" s="9">
        <f t="shared" si="210"/>
        <v>52.8</v>
      </c>
      <c r="BL1497" s="9">
        <f t="shared" si="211"/>
        <v>0</v>
      </c>
      <c r="BM1497" s="9">
        <f t="shared" si="212"/>
        <v>10.38</v>
      </c>
      <c r="BN1497" s="9">
        <f t="shared" si="213"/>
        <v>2375.85</v>
      </c>
      <c r="BO1497" s="9">
        <f t="shared" si="214"/>
        <v>5.19</v>
      </c>
      <c r="BP1497" s="9">
        <f t="shared" si="215"/>
        <v>0</v>
      </c>
    </row>
    <row r="1498" spans="1:68">
      <c r="A1498" s="6">
        <v>44819</v>
      </c>
      <c r="B1498" s="7">
        <v>3141</v>
      </c>
      <c r="C1498" s="8">
        <v>2438.83</v>
      </c>
      <c r="D1498" s="8">
        <v>429.76</v>
      </c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11">
        <v>7.35</v>
      </c>
      <c r="R1498" s="11"/>
      <c r="S1498" s="8">
        <v>13.53</v>
      </c>
      <c r="T1498" s="8"/>
      <c r="U1498" s="8">
        <v>43.19</v>
      </c>
      <c r="V1498" s="8"/>
      <c r="W1498" s="8"/>
      <c r="X1498" s="8"/>
      <c r="Y1498" s="8"/>
      <c r="Z1498" s="8"/>
      <c r="AA1498" s="8"/>
      <c r="AB1498" s="8"/>
      <c r="AC1498" s="8">
        <v>11.52</v>
      </c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11"/>
      <c r="AQ1498" s="8"/>
      <c r="AR1498" s="8"/>
      <c r="AS1498" s="8"/>
      <c r="AT1498" s="8">
        <v>1897.68</v>
      </c>
      <c r="AU1498" s="8"/>
      <c r="AV1498" s="8"/>
      <c r="AW1498" s="8"/>
      <c r="AX1498" s="8"/>
      <c r="AY1498" s="8"/>
      <c r="AZ1498" s="8"/>
      <c r="BA1498" s="8">
        <v>65.95</v>
      </c>
      <c r="BB1498" s="8"/>
      <c r="BC1498" s="8"/>
      <c r="BD1498" s="8"/>
      <c r="BE1498" s="8"/>
      <c r="BF1498" s="8">
        <v>201.24</v>
      </c>
      <c r="BG1498" s="8">
        <v>149.53</v>
      </c>
      <c r="BH1498" s="9">
        <f t="shared" si="207"/>
        <v>2868.59</v>
      </c>
      <c r="BI1498" s="9">
        <f t="shared" si="208"/>
        <v>7.35</v>
      </c>
      <c r="BJ1498" s="9">
        <f t="shared" si="209"/>
        <v>13.53</v>
      </c>
      <c r="BK1498" s="9">
        <f t="shared" si="210"/>
        <v>43.19</v>
      </c>
      <c r="BL1498" s="9">
        <f t="shared" si="211"/>
        <v>0</v>
      </c>
      <c r="BM1498" s="9">
        <f t="shared" si="212"/>
        <v>11.52</v>
      </c>
      <c r="BN1498" s="9">
        <f t="shared" si="213"/>
        <v>1897.68</v>
      </c>
      <c r="BO1498" s="9">
        <f t="shared" si="214"/>
        <v>65.95</v>
      </c>
      <c r="BP1498" s="9">
        <f t="shared" si="215"/>
        <v>201.24</v>
      </c>
    </row>
    <row r="1499" spans="1:68">
      <c r="A1499" s="6">
        <v>44819</v>
      </c>
      <c r="B1499" s="7">
        <v>3134</v>
      </c>
      <c r="C1499" s="8">
        <v>1037.72</v>
      </c>
      <c r="D1499" s="8">
        <v>145.35</v>
      </c>
      <c r="E1499" s="8"/>
      <c r="F1499" s="8"/>
      <c r="G1499" s="8"/>
      <c r="H1499" s="8">
        <v>490.11</v>
      </c>
      <c r="I1499" s="8"/>
      <c r="J1499" s="8"/>
      <c r="K1499" s="8"/>
      <c r="L1499" s="8"/>
      <c r="M1499" s="8"/>
      <c r="N1499" s="8"/>
      <c r="O1499" s="8"/>
      <c r="P1499" s="8"/>
      <c r="Q1499" s="11">
        <v>2.93</v>
      </c>
      <c r="R1499" s="11"/>
      <c r="S1499" s="8">
        <v>6.7</v>
      </c>
      <c r="T1499" s="8"/>
      <c r="U1499" s="8">
        <v>18.899999999999999</v>
      </c>
      <c r="V1499" s="8"/>
      <c r="W1499" s="8"/>
      <c r="X1499" s="8"/>
      <c r="Y1499" s="8"/>
      <c r="Z1499" s="8"/>
      <c r="AA1499" s="8"/>
      <c r="AB1499" s="8"/>
      <c r="AC1499" s="8">
        <v>5.82</v>
      </c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11"/>
      <c r="AQ1499" s="8"/>
      <c r="AR1499" s="8"/>
      <c r="AS1499" s="8"/>
      <c r="AT1499" s="8">
        <v>1026.2</v>
      </c>
      <c r="AU1499" s="8"/>
      <c r="AV1499" s="8"/>
      <c r="AW1499" s="8"/>
      <c r="AX1499" s="8"/>
      <c r="AY1499" s="8">
        <f>1403*10.4/1000</f>
        <v>14.591200000000001</v>
      </c>
      <c r="AZ1499" s="8"/>
      <c r="BA1499" s="8"/>
      <c r="BB1499" s="8"/>
      <c r="BC1499" s="8"/>
      <c r="BD1499" s="8"/>
      <c r="BE1499" s="8"/>
      <c r="BF1499" s="8">
        <v>65.53</v>
      </c>
      <c r="BG1499" s="8">
        <v>77.260000000000005</v>
      </c>
      <c r="BH1499" s="9">
        <f t="shared" si="207"/>
        <v>1673.1799999999998</v>
      </c>
      <c r="BI1499" s="9">
        <f t="shared" si="208"/>
        <v>2.93</v>
      </c>
      <c r="BJ1499" s="9">
        <f t="shared" si="209"/>
        <v>6.7</v>
      </c>
      <c r="BK1499" s="9">
        <f t="shared" si="210"/>
        <v>18.899999999999999</v>
      </c>
      <c r="BL1499" s="9">
        <f t="shared" si="211"/>
        <v>0</v>
      </c>
      <c r="BM1499" s="9">
        <f t="shared" si="212"/>
        <v>5.82</v>
      </c>
      <c r="BN1499" s="9">
        <f t="shared" si="213"/>
        <v>1026.2</v>
      </c>
      <c r="BO1499" s="9">
        <f t="shared" si="214"/>
        <v>14.591200000000001</v>
      </c>
      <c r="BP1499" s="9">
        <f t="shared" si="215"/>
        <v>65.53</v>
      </c>
    </row>
    <row r="1500" spans="1:68">
      <c r="A1500" s="6">
        <v>44820</v>
      </c>
      <c r="B1500" s="7">
        <v>3080</v>
      </c>
      <c r="C1500" s="8"/>
      <c r="D1500" s="8"/>
      <c r="E1500" s="8"/>
      <c r="F1500" s="8">
        <v>766.85</v>
      </c>
      <c r="G1500" s="8"/>
      <c r="H1500" s="8"/>
      <c r="I1500" s="8">
        <v>1150.58</v>
      </c>
      <c r="J1500" s="8"/>
      <c r="K1500" s="8"/>
      <c r="L1500" s="8"/>
      <c r="M1500" s="8"/>
      <c r="N1500" s="8">
        <v>13.06</v>
      </c>
      <c r="O1500" s="8"/>
      <c r="P1500" s="8">
        <f>594*12.38/1000</f>
        <v>7.35372</v>
      </c>
      <c r="Q1500" s="11"/>
      <c r="R1500" s="11"/>
      <c r="S1500" s="8">
        <v>1.1499999999999999</v>
      </c>
      <c r="T1500" s="8"/>
      <c r="U1500" s="8"/>
      <c r="V1500" s="8"/>
      <c r="W1500" s="8">
        <v>19.190000000000001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>
        <f>2344*12.38/1000</f>
        <v>29.018720000000002</v>
      </c>
      <c r="AJ1500" s="8"/>
      <c r="AK1500" s="8"/>
      <c r="AL1500" s="8"/>
      <c r="AM1500" s="8"/>
      <c r="AN1500" s="8"/>
      <c r="AO1500" s="8"/>
      <c r="AP1500" s="11"/>
      <c r="AQ1500" s="8">
        <f>1567*12.38/1000</f>
        <v>19.399460000000001</v>
      </c>
      <c r="AR1500" s="8">
        <f>5421*12.38/1000</f>
        <v>67.111980000000017</v>
      </c>
      <c r="AS1500" s="8"/>
      <c r="AT1500" s="8">
        <v>672.06</v>
      </c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>
        <v>35.93</v>
      </c>
      <c r="BH1500" s="9">
        <f t="shared" si="207"/>
        <v>1917.4299999999998</v>
      </c>
      <c r="BI1500" s="9">
        <f t="shared" si="208"/>
        <v>20.413720000000001</v>
      </c>
      <c r="BJ1500" s="9">
        <f t="shared" si="209"/>
        <v>1.1499999999999999</v>
      </c>
      <c r="BK1500" s="9">
        <f t="shared" si="210"/>
        <v>19.190000000000001</v>
      </c>
      <c r="BL1500" s="9">
        <f t="shared" si="211"/>
        <v>0</v>
      </c>
      <c r="BM1500" s="9">
        <f t="shared" si="212"/>
        <v>115.53016000000002</v>
      </c>
      <c r="BN1500" s="9">
        <f t="shared" si="213"/>
        <v>672.06</v>
      </c>
      <c r="BO1500" s="9">
        <f t="shared" si="214"/>
        <v>0</v>
      </c>
      <c r="BP1500" s="9">
        <f t="shared" si="215"/>
        <v>0</v>
      </c>
    </row>
    <row r="1501" spans="1:68">
      <c r="A1501" s="6">
        <v>44820</v>
      </c>
      <c r="B1501" s="7">
        <v>3079</v>
      </c>
      <c r="C1501" s="8"/>
      <c r="D1501" s="8"/>
      <c r="E1501" s="8"/>
      <c r="F1501" s="8">
        <v>342.37</v>
      </c>
      <c r="G1501" s="8"/>
      <c r="H1501" s="8"/>
      <c r="I1501" s="8">
        <v>2769.59</v>
      </c>
      <c r="J1501" s="8"/>
      <c r="K1501" s="8"/>
      <c r="L1501" s="8"/>
      <c r="M1501" s="8"/>
      <c r="N1501" s="8">
        <v>22.1</v>
      </c>
      <c r="O1501" s="8"/>
      <c r="P1501" s="8"/>
      <c r="Q1501" s="11"/>
      <c r="R1501" s="11"/>
      <c r="S1501" s="8">
        <v>1.23</v>
      </c>
      <c r="T1501" s="8"/>
      <c r="U1501" s="8"/>
      <c r="V1501" s="8"/>
      <c r="W1501" s="8">
        <v>31.16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>
        <v>12.46</v>
      </c>
      <c r="AN1501" s="8">
        <f>1724*18.32/1000</f>
        <v>31.583680000000001</v>
      </c>
      <c r="AO1501" s="8"/>
      <c r="AP1501" s="11"/>
      <c r="AQ1501" s="8"/>
      <c r="AR1501" s="8">
        <f>4293*18.32/1000</f>
        <v>78.647759999999991</v>
      </c>
      <c r="AS1501" s="8"/>
      <c r="AT1501" s="8">
        <v>1209.8900000000001</v>
      </c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>
        <v>87.39</v>
      </c>
      <c r="BH1501" s="9">
        <f t="shared" si="207"/>
        <v>3111.96</v>
      </c>
      <c r="BI1501" s="9">
        <f t="shared" si="208"/>
        <v>22.1</v>
      </c>
      <c r="BJ1501" s="9">
        <f t="shared" si="209"/>
        <v>1.23</v>
      </c>
      <c r="BK1501" s="9">
        <f t="shared" si="210"/>
        <v>31.16</v>
      </c>
      <c r="BL1501" s="9">
        <f t="shared" si="211"/>
        <v>0</v>
      </c>
      <c r="BM1501" s="9">
        <f t="shared" si="212"/>
        <v>122.69144</v>
      </c>
      <c r="BN1501" s="9">
        <f t="shared" si="213"/>
        <v>1209.8900000000001</v>
      </c>
      <c r="BO1501" s="9">
        <f t="shared" si="214"/>
        <v>0</v>
      </c>
      <c r="BP1501" s="9">
        <f t="shared" si="215"/>
        <v>0</v>
      </c>
    </row>
    <row r="1502" spans="1:68">
      <c r="A1502" s="6">
        <v>44820</v>
      </c>
      <c r="B1502" s="7">
        <v>3024</v>
      </c>
      <c r="C1502" s="8"/>
      <c r="D1502" s="8">
        <v>609.91</v>
      </c>
      <c r="E1502" s="8"/>
      <c r="F1502" s="8"/>
      <c r="G1502" s="8"/>
      <c r="H1502" s="8"/>
      <c r="I1502" s="8">
        <v>609.91999999999996</v>
      </c>
      <c r="J1502" s="8"/>
      <c r="K1502" s="8"/>
      <c r="L1502" s="8"/>
      <c r="M1502" s="8"/>
      <c r="N1502" s="8">
        <v>7.33</v>
      </c>
      <c r="O1502" s="8"/>
      <c r="P1502" s="8"/>
      <c r="Q1502" s="11"/>
      <c r="R1502" s="11"/>
      <c r="S1502" s="8">
        <v>1.95</v>
      </c>
      <c r="T1502" s="8"/>
      <c r="U1502" s="8"/>
      <c r="V1502" s="8"/>
      <c r="W1502" s="8">
        <v>9.7799999999999994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>
        <v>12.2</v>
      </c>
      <c r="AN1502" s="8">
        <f>858*10.17/1000</f>
        <v>8.7258600000000008</v>
      </c>
      <c r="AO1502" s="8"/>
      <c r="AP1502" s="11"/>
      <c r="AQ1502" s="8"/>
      <c r="AR1502" s="8"/>
      <c r="AS1502" s="8">
        <f>3940*10.17/1000</f>
        <v>40.069800000000001</v>
      </c>
      <c r="AT1502" s="8">
        <v>469.49</v>
      </c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>
        <v>34.21</v>
      </c>
      <c r="BH1502" s="9">
        <f t="shared" si="207"/>
        <v>1219.83</v>
      </c>
      <c r="BI1502" s="9">
        <f t="shared" si="208"/>
        <v>7.33</v>
      </c>
      <c r="BJ1502" s="9">
        <f t="shared" si="209"/>
        <v>1.95</v>
      </c>
      <c r="BK1502" s="9">
        <f t="shared" si="210"/>
        <v>9.7799999999999994</v>
      </c>
      <c r="BL1502" s="9">
        <f t="shared" si="211"/>
        <v>0</v>
      </c>
      <c r="BM1502" s="9">
        <f t="shared" si="212"/>
        <v>60.995660000000001</v>
      </c>
      <c r="BN1502" s="9">
        <f t="shared" si="213"/>
        <v>469.49</v>
      </c>
      <c r="BO1502" s="9">
        <f t="shared" si="214"/>
        <v>0</v>
      </c>
      <c r="BP1502" s="9">
        <f t="shared" si="215"/>
        <v>0</v>
      </c>
    </row>
    <row r="1503" spans="1:68">
      <c r="A1503" s="6">
        <v>44820</v>
      </c>
      <c r="B1503" s="7">
        <v>3028</v>
      </c>
      <c r="C1503" s="8"/>
      <c r="D1503" s="8">
        <v>406.59</v>
      </c>
      <c r="E1503" s="8"/>
      <c r="F1503" s="8">
        <v>371.93</v>
      </c>
      <c r="G1503" s="8"/>
      <c r="H1503" s="8"/>
      <c r="I1503" s="8">
        <v>839.99</v>
      </c>
      <c r="J1503" s="8"/>
      <c r="K1503" s="8"/>
      <c r="L1503" s="8"/>
      <c r="M1503" s="8"/>
      <c r="N1503" s="8">
        <v>12.1</v>
      </c>
      <c r="O1503" s="8"/>
      <c r="P1503" s="8"/>
      <c r="Q1503" s="11"/>
      <c r="R1503" s="11"/>
      <c r="S1503" s="8">
        <v>2.27</v>
      </c>
      <c r="T1503" s="8"/>
      <c r="U1503" s="8"/>
      <c r="V1503" s="8"/>
      <c r="W1503" s="8">
        <v>12.14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>
        <v>16.190000000000001</v>
      </c>
      <c r="AN1503" s="8">
        <f>1062*10.77/1000</f>
        <v>11.43774</v>
      </c>
      <c r="AO1503" s="8"/>
      <c r="AP1503" s="11"/>
      <c r="AQ1503" s="8"/>
      <c r="AR1503" s="8"/>
      <c r="AS1503" s="8">
        <f>4925*10.77/1000</f>
        <v>53.042250000000003</v>
      </c>
      <c r="AT1503" s="8">
        <v>538.52</v>
      </c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>
        <v>36.86</v>
      </c>
      <c r="BH1503" s="9">
        <f t="shared" si="207"/>
        <v>1618.51</v>
      </c>
      <c r="BI1503" s="9">
        <f t="shared" si="208"/>
        <v>12.1</v>
      </c>
      <c r="BJ1503" s="9">
        <f t="shared" si="209"/>
        <v>2.27</v>
      </c>
      <c r="BK1503" s="9">
        <f t="shared" si="210"/>
        <v>12.14</v>
      </c>
      <c r="BL1503" s="9">
        <f t="shared" si="211"/>
        <v>0</v>
      </c>
      <c r="BM1503" s="9">
        <f t="shared" si="212"/>
        <v>80.669990000000013</v>
      </c>
      <c r="BN1503" s="9">
        <f t="shared" si="213"/>
        <v>538.52</v>
      </c>
      <c r="BO1503" s="9">
        <f t="shared" si="214"/>
        <v>0</v>
      </c>
      <c r="BP1503" s="9">
        <f t="shared" si="215"/>
        <v>0</v>
      </c>
    </row>
    <row r="1504" spans="1:68">
      <c r="A1504" s="6">
        <v>44820</v>
      </c>
      <c r="B1504" s="7">
        <v>3307</v>
      </c>
      <c r="C1504" s="8"/>
      <c r="D1504" s="8">
        <v>1846.13</v>
      </c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11">
        <v>2.79</v>
      </c>
      <c r="R1504" s="11"/>
      <c r="S1504" s="8">
        <v>12.17</v>
      </c>
      <c r="T1504" s="8"/>
      <c r="U1504" s="8">
        <v>18.45</v>
      </c>
      <c r="V1504" s="8"/>
      <c r="W1504" s="8"/>
      <c r="X1504" s="8"/>
      <c r="Y1504" s="8"/>
      <c r="Z1504" s="8"/>
      <c r="AA1504" s="8"/>
      <c r="AB1504" s="8"/>
      <c r="AC1504" s="8">
        <v>11.08</v>
      </c>
      <c r="AD1504" s="8"/>
      <c r="AE1504" s="8"/>
      <c r="AF1504" s="8"/>
      <c r="AG1504" s="8">
        <v>18.489999999999998</v>
      </c>
      <c r="AH1504" s="8"/>
      <c r="AI1504" s="8"/>
      <c r="AJ1504" s="8"/>
      <c r="AK1504" s="8"/>
      <c r="AL1504" s="8"/>
      <c r="AM1504" s="8"/>
      <c r="AN1504" s="8"/>
      <c r="AO1504" s="8"/>
      <c r="AP1504" s="11"/>
      <c r="AQ1504" s="8"/>
      <c r="AR1504" s="8"/>
      <c r="AS1504" s="8"/>
      <c r="AT1504" s="8"/>
      <c r="AU1504" s="8">
        <v>924.78</v>
      </c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>
        <v>66.349999999999994</v>
      </c>
      <c r="BH1504" s="9">
        <f t="shared" si="207"/>
        <v>1846.13</v>
      </c>
      <c r="BI1504" s="9">
        <f t="shared" si="208"/>
        <v>2.79</v>
      </c>
      <c r="BJ1504" s="9">
        <f t="shared" si="209"/>
        <v>12.17</v>
      </c>
      <c r="BK1504" s="9">
        <f t="shared" si="210"/>
        <v>18.45</v>
      </c>
      <c r="BL1504" s="9">
        <f t="shared" si="211"/>
        <v>0</v>
      </c>
      <c r="BM1504" s="9">
        <f t="shared" si="212"/>
        <v>29.57</v>
      </c>
      <c r="BN1504" s="9">
        <f t="shared" si="213"/>
        <v>924.78</v>
      </c>
      <c r="BO1504" s="9">
        <f t="shared" si="214"/>
        <v>0</v>
      </c>
      <c r="BP1504" s="9">
        <f t="shared" si="215"/>
        <v>0</v>
      </c>
    </row>
    <row r="1505" spans="1:68">
      <c r="A1505" s="6">
        <v>44820</v>
      </c>
      <c r="B1505" s="7">
        <v>8261</v>
      </c>
      <c r="C1505" s="8">
        <v>873.38</v>
      </c>
      <c r="D1505" s="8">
        <v>375.75</v>
      </c>
      <c r="E1505" s="8"/>
      <c r="F1505" s="8"/>
      <c r="G1505" s="8"/>
      <c r="H1505" s="8"/>
      <c r="I1505" s="8"/>
      <c r="J1505" s="8"/>
      <c r="K1505" s="8"/>
      <c r="L1505" s="8"/>
      <c r="M1505" s="8"/>
      <c r="N1505" s="8">
        <v>6.22</v>
      </c>
      <c r="O1505" s="8"/>
      <c r="P1505" s="8"/>
      <c r="Q1505" s="11"/>
      <c r="R1505" s="11"/>
      <c r="S1505" s="8">
        <v>2.4900000000000002</v>
      </c>
      <c r="T1505" s="8"/>
      <c r="U1505" s="8"/>
      <c r="V1505" s="8"/>
      <c r="W1505" s="8">
        <v>13.71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11"/>
      <c r="AQ1505" s="8"/>
      <c r="AR1505" s="8"/>
      <c r="AS1505" s="8"/>
      <c r="AT1505" s="8">
        <v>620.58000000000004</v>
      </c>
      <c r="AU1505" s="8"/>
      <c r="AV1505" s="8"/>
      <c r="AW1505" s="8">
        <v>13.85</v>
      </c>
      <c r="AX1505" s="8"/>
      <c r="AY1505" s="8"/>
      <c r="AZ1505" s="8"/>
      <c r="BA1505" s="8"/>
      <c r="BB1505" s="8"/>
      <c r="BC1505" s="8"/>
      <c r="BD1505" s="8"/>
      <c r="BE1505" s="8"/>
      <c r="BF1505" s="8"/>
      <c r="BG1505" s="8">
        <v>45.45</v>
      </c>
      <c r="BH1505" s="9">
        <f t="shared" si="207"/>
        <v>1249.1300000000001</v>
      </c>
      <c r="BI1505" s="9">
        <f t="shared" si="208"/>
        <v>6.22</v>
      </c>
      <c r="BJ1505" s="9">
        <f t="shared" si="209"/>
        <v>2.4900000000000002</v>
      </c>
      <c r="BK1505" s="9">
        <f t="shared" si="210"/>
        <v>13.71</v>
      </c>
      <c r="BL1505" s="9">
        <f t="shared" si="211"/>
        <v>0</v>
      </c>
      <c r="BM1505" s="9">
        <f t="shared" si="212"/>
        <v>0</v>
      </c>
      <c r="BN1505" s="9">
        <f t="shared" si="213"/>
        <v>620.58000000000004</v>
      </c>
      <c r="BO1505" s="9">
        <f t="shared" si="214"/>
        <v>13.85</v>
      </c>
      <c r="BP1505" s="9">
        <f t="shared" si="215"/>
        <v>0</v>
      </c>
    </row>
    <row r="1506" spans="1:68">
      <c r="A1506" s="6">
        <v>44820</v>
      </c>
      <c r="B1506" s="7">
        <v>3200</v>
      </c>
      <c r="C1506" s="8">
        <v>2287.44</v>
      </c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>
        <v>5.72</v>
      </c>
      <c r="P1506" s="8"/>
      <c r="Q1506" s="11"/>
      <c r="R1506" s="11"/>
      <c r="S1506" s="8">
        <v>8.93</v>
      </c>
      <c r="T1506" s="8"/>
      <c r="U1506" s="8">
        <v>34.32</v>
      </c>
      <c r="V1506" s="8"/>
      <c r="W1506" s="8"/>
      <c r="X1506" s="8"/>
      <c r="Y1506" s="8"/>
      <c r="Z1506" s="8">
        <v>480.97</v>
      </c>
      <c r="AA1506" s="8"/>
      <c r="AB1506" s="8"/>
      <c r="AC1506" s="8"/>
      <c r="AD1506" s="8"/>
      <c r="AE1506" s="8"/>
      <c r="AF1506" s="8">
        <v>113.71</v>
      </c>
      <c r="AG1506" s="8"/>
      <c r="AH1506" s="8"/>
      <c r="AI1506" s="8"/>
      <c r="AJ1506" s="8"/>
      <c r="AK1506" s="8"/>
      <c r="AL1506" s="8"/>
      <c r="AM1506" s="8"/>
      <c r="AN1506" s="8"/>
      <c r="AO1506" s="8"/>
      <c r="AP1506" s="11"/>
      <c r="AQ1506" s="8">
        <f>1518*22.88/1000</f>
        <v>34.731839999999998</v>
      </c>
      <c r="AR1506" s="8"/>
      <c r="AS1506" s="8"/>
      <c r="AT1506" s="8">
        <v>1566.37</v>
      </c>
      <c r="AU1506" s="8"/>
      <c r="AV1506" s="8"/>
      <c r="AW1506" s="8">
        <v>6.62</v>
      </c>
      <c r="AX1506" s="8"/>
      <c r="AY1506" s="8"/>
      <c r="AZ1506" s="8"/>
      <c r="BA1506" s="8"/>
      <c r="BB1506" s="8"/>
      <c r="BC1506" s="8"/>
      <c r="BD1506" s="8"/>
      <c r="BE1506" s="8"/>
      <c r="BF1506" s="8">
        <v>109.87</v>
      </c>
      <c r="BG1506" s="8">
        <v>113.37</v>
      </c>
      <c r="BH1506" s="9">
        <f t="shared" si="207"/>
        <v>2287.44</v>
      </c>
      <c r="BI1506" s="9">
        <f t="shared" si="208"/>
        <v>5.72</v>
      </c>
      <c r="BJ1506" s="9">
        <f t="shared" si="209"/>
        <v>8.93</v>
      </c>
      <c r="BK1506" s="9">
        <f t="shared" si="210"/>
        <v>34.32</v>
      </c>
      <c r="BL1506" s="9">
        <f t="shared" si="211"/>
        <v>480.97</v>
      </c>
      <c r="BM1506" s="9">
        <f t="shared" si="212"/>
        <v>148.44183999999998</v>
      </c>
      <c r="BN1506" s="9">
        <f t="shared" si="213"/>
        <v>1566.37</v>
      </c>
      <c r="BO1506" s="9">
        <f t="shared" si="214"/>
        <v>6.62</v>
      </c>
      <c r="BP1506" s="9">
        <f t="shared" si="215"/>
        <v>109.87</v>
      </c>
    </row>
    <row r="1507" spans="1:68">
      <c r="A1507" s="6">
        <v>44823</v>
      </c>
      <c r="B1507" s="7">
        <v>3023</v>
      </c>
      <c r="C1507" s="8"/>
      <c r="D1507" s="8">
        <v>861.75</v>
      </c>
      <c r="E1507" s="8"/>
      <c r="F1507" s="8"/>
      <c r="G1507" s="8"/>
      <c r="H1507" s="8"/>
      <c r="I1507" s="8">
        <v>463.98</v>
      </c>
      <c r="J1507" s="8"/>
      <c r="K1507" s="8"/>
      <c r="L1507" s="8"/>
      <c r="M1507" s="8"/>
      <c r="N1507" s="8">
        <v>7.41</v>
      </c>
      <c r="O1507" s="8"/>
      <c r="P1507" s="8"/>
      <c r="Q1507" s="11"/>
      <c r="R1507" s="11"/>
      <c r="S1507" s="8">
        <v>2.12</v>
      </c>
      <c r="T1507" s="8"/>
      <c r="U1507" s="8"/>
      <c r="V1507" s="8"/>
      <c r="W1507" s="8">
        <v>11.93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>
        <v>13.25</v>
      </c>
      <c r="AN1507" s="8">
        <f>1016*9.13/1000</f>
        <v>9.2760800000000003</v>
      </c>
      <c r="AO1507" s="8"/>
      <c r="AP1507" s="11"/>
      <c r="AQ1507" s="8"/>
      <c r="AR1507" s="8"/>
      <c r="AS1507" s="8">
        <f>4788*9.13/1000</f>
        <v>43.714440000000003</v>
      </c>
      <c r="AT1507" s="8">
        <v>543.96</v>
      </c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>
        <v>41.04</v>
      </c>
      <c r="BH1507" s="9">
        <f t="shared" si="207"/>
        <v>1325.73</v>
      </c>
      <c r="BI1507" s="9">
        <f t="shared" si="208"/>
        <v>7.41</v>
      </c>
      <c r="BJ1507" s="9">
        <f t="shared" si="209"/>
        <v>2.12</v>
      </c>
      <c r="BK1507" s="9">
        <f t="shared" si="210"/>
        <v>11.93</v>
      </c>
      <c r="BL1507" s="9">
        <f t="shared" si="211"/>
        <v>0</v>
      </c>
      <c r="BM1507" s="9">
        <f t="shared" si="212"/>
        <v>66.240520000000004</v>
      </c>
      <c r="BN1507" s="9">
        <f t="shared" si="213"/>
        <v>543.96</v>
      </c>
      <c r="BO1507" s="9">
        <f t="shared" si="214"/>
        <v>0</v>
      </c>
      <c r="BP1507" s="9">
        <f t="shared" si="215"/>
        <v>0</v>
      </c>
    </row>
    <row r="1508" spans="1:68">
      <c r="A1508" s="6">
        <v>44823</v>
      </c>
      <c r="B1508" s="7">
        <v>3022</v>
      </c>
      <c r="C1508" s="8"/>
      <c r="D1508" s="8">
        <v>1063.1600000000001</v>
      </c>
      <c r="E1508" s="8"/>
      <c r="F1508" s="8"/>
      <c r="G1508" s="8"/>
      <c r="H1508" s="8"/>
      <c r="I1508" s="8">
        <v>873.12</v>
      </c>
      <c r="J1508" s="8"/>
      <c r="K1508" s="8"/>
      <c r="L1508" s="8"/>
      <c r="M1508" s="8"/>
      <c r="N1508" s="8">
        <v>9.6999999999999993</v>
      </c>
      <c r="O1508" s="8"/>
      <c r="P1508" s="8"/>
      <c r="Q1508" s="11"/>
      <c r="R1508" s="11"/>
      <c r="S1508" s="8">
        <v>3.48</v>
      </c>
      <c r="T1508" s="8"/>
      <c r="U1508" s="8"/>
      <c r="V1508" s="8"/>
      <c r="W1508" s="8">
        <v>19.350000000000001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>
        <v>25.14</v>
      </c>
      <c r="AN1508" s="8"/>
      <c r="AO1508" s="8"/>
      <c r="AP1508" s="11"/>
      <c r="AQ1508" s="8"/>
      <c r="AR1508" s="8"/>
      <c r="AS1508" s="8">
        <f>3842*17.6/1000</f>
        <v>67.619200000000006</v>
      </c>
      <c r="AT1508" s="8">
        <v>905.65</v>
      </c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>
        <v>69.650000000000006</v>
      </c>
      <c r="BH1508" s="9">
        <f t="shared" si="207"/>
        <v>1936.2800000000002</v>
      </c>
      <c r="BI1508" s="9">
        <f t="shared" si="208"/>
        <v>9.6999999999999993</v>
      </c>
      <c r="BJ1508" s="9">
        <f t="shared" si="209"/>
        <v>3.48</v>
      </c>
      <c r="BK1508" s="9">
        <f t="shared" si="210"/>
        <v>19.350000000000001</v>
      </c>
      <c r="BL1508" s="9">
        <f t="shared" si="211"/>
        <v>0</v>
      </c>
      <c r="BM1508" s="9">
        <f t="shared" si="212"/>
        <v>92.759200000000007</v>
      </c>
      <c r="BN1508" s="9">
        <f t="shared" si="213"/>
        <v>905.65</v>
      </c>
      <c r="BO1508" s="9">
        <f t="shared" si="214"/>
        <v>0</v>
      </c>
      <c r="BP1508" s="9">
        <f t="shared" si="215"/>
        <v>0</v>
      </c>
    </row>
    <row r="1509" spans="1:68">
      <c r="A1509" s="6">
        <v>44823</v>
      </c>
      <c r="B1509" s="7">
        <v>3083</v>
      </c>
      <c r="C1509" s="8"/>
      <c r="D1509" s="8">
        <v>738</v>
      </c>
      <c r="E1509" s="8"/>
      <c r="F1509" s="8"/>
      <c r="G1509" s="8"/>
      <c r="H1509" s="8"/>
      <c r="I1509" s="8">
        <v>1720.73</v>
      </c>
      <c r="J1509" s="8"/>
      <c r="K1509" s="8"/>
      <c r="L1509" s="8"/>
      <c r="M1509" s="8"/>
      <c r="N1509" s="8">
        <v>15.49</v>
      </c>
      <c r="O1509" s="8"/>
      <c r="P1509" s="8"/>
      <c r="Q1509" s="11"/>
      <c r="R1509" s="11"/>
      <c r="S1509" s="8">
        <v>1.71</v>
      </c>
      <c r="T1509" s="8"/>
      <c r="U1509" s="8"/>
      <c r="V1509" s="8"/>
      <c r="W1509" s="8">
        <v>19.670000000000002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>
        <v>9.82</v>
      </c>
      <c r="AN1509" s="8">
        <f>1910*18.2/1000</f>
        <v>34.762</v>
      </c>
      <c r="AO1509" s="8"/>
      <c r="AP1509" s="11"/>
      <c r="AQ1509" s="8"/>
      <c r="AR1509" s="8">
        <f>3434*18.2/1000</f>
        <v>62.498799999999996</v>
      </c>
      <c r="AS1509" s="8"/>
      <c r="AT1509" s="8">
        <v>1155.7</v>
      </c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>
        <v>91.6</v>
      </c>
      <c r="BH1509" s="9">
        <f t="shared" si="207"/>
        <v>2458.73</v>
      </c>
      <c r="BI1509" s="9">
        <f t="shared" si="208"/>
        <v>15.49</v>
      </c>
      <c r="BJ1509" s="9">
        <f t="shared" si="209"/>
        <v>1.71</v>
      </c>
      <c r="BK1509" s="9">
        <f t="shared" si="210"/>
        <v>19.670000000000002</v>
      </c>
      <c r="BL1509" s="9">
        <f t="shared" si="211"/>
        <v>0</v>
      </c>
      <c r="BM1509" s="9">
        <f t="shared" si="212"/>
        <v>107.0808</v>
      </c>
      <c r="BN1509" s="9">
        <f t="shared" si="213"/>
        <v>1155.7</v>
      </c>
      <c r="BO1509" s="9">
        <f t="shared" si="214"/>
        <v>0</v>
      </c>
      <c r="BP1509" s="9">
        <f t="shared" si="215"/>
        <v>0</v>
      </c>
    </row>
    <row r="1510" spans="1:68">
      <c r="A1510" s="6">
        <v>44823</v>
      </c>
      <c r="B1510" s="7">
        <v>3016</v>
      </c>
      <c r="C1510" s="8"/>
      <c r="D1510" s="8">
        <v>1626.87</v>
      </c>
      <c r="E1510" s="8"/>
      <c r="F1510" s="8"/>
      <c r="G1510" s="8"/>
      <c r="H1510" s="8"/>
      <c r="I1510" s="8">
        <v>1500.91</v>
      </c>
      <c r="J1510" s="8"/>
      <c r="K1510" s="8"/>
      <c r="L1510" s="8"/>
      <c r="M1510" s="8"/>
      <c r="N1510" s="8">
        <v>18.75</v>
      </c>
      <c r="O1510" s="8"/>
      <c r="P1510" s="8"/>
      <c r="Q1510" s="11"/>
      <c r="R1510" s="11"/>
      <c r="S1510" s="8">
        <v>2.2000000000000002</v>
      </c>
      <c r="T1510" s="8"/>
      <c r="U1510" s="8"/>
      <c r="V1510" s="8"/>
      <c r="W1510" s="8">
        <v>31.28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>
        <v>12.51</v>
      </c>
      <c r="AN1510" s="8">
        <f>2039*18.38/1000</f>
        <v>37.476819999999996</v>
      </c>
      <c r="AO1510" s="8"/>
      <c r="AP1510" s="11"/>
      <c r="AQ1510" s="8"/>
      <c r="AR1510" s="8">
        <f>4247*18.38/1000</f>
        <v>78.05986</v>
      </c>
      <c r="AS1510" s="8"/>
      <c r="AT1510" s="8">
        <v>1162.9100000000001</v>
      </c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>
        <v>84.87</v>
      </c>
      <c r="BH1510" s="9">
        <f t="shared" si="207"/>
        <v>3127.7799999999997</v>
      </c>
      <c r="BI1510" s="9">
        <f t="shared" si="208"/>
        <v>18.75</v>
      </c>
      <c r="BJ1510" s="9">
        <f t="shared" si="209"/>
        <v>2.2000000000000002</v>
      </c>
      <c r="BK1510" s="9">
        <f t="shared" si="210"/>
        <v>31.28</v>
      </c>
      <c r="BL1510" s="9">
        <f t="shared" si="211"/>
        <v>0</v>
      </c>
      <c r="BM1510" s="9">
        <f t="shared" si="212"/>
        <v>128.04667999999998</v>
      </c>
      <c r="BN1510" s="9">
        <f t="shared" si="213"/>
        <v>1162.9100000000001</v>
      </c>
      <c r="BO1510" s="9">
        <f t="shared" si="214"/>
        <v>0</v>
      </c>
      <c r="BP1510" s="9">
        <f t="shared" si="215"/>
        <v>0</v>
      </c>
    </row>
    <row r="1511" spans="1:68">
      <c r="A1511" s="6">
        <v>44823</v>
      </c>
      <c r="B1511" s="7">
        <v>3121</v>
      </c>
      <c r="C1511" s="8">
        <v>1584.79</v>
      </c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11">
        <v>3.59</v>
      </c>
      <c r="R1511" s="11"/>
      <c r="S1511" s="8">
        <v>5.08</v>
      </c>
      <c r="T1511" s="8"/>
      <c r="U1511" s="8">
        <v>15.87</v>
      </c>
      <c r="V1511" s="8"/>
      <c r="W1511" s="8"/>
      <c r="X1511" s="8"/>
      <c r="Y1511" s="8"/>
      <c r="Z1511" s="8"/>
      <c r="AA1511" s="8"/>
      <c r="AB1511" s="8"/>
      <c r="AC1511" s="8">
        <v>6.33</v>
      </c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11"/>
      <c r="AQ1511" s="8">
        <f>2090*7.2/1000</f>
        <v>15.048</v>
      </c>
      <c r="AR1511" s="8"/>
      <c r="AS1511" s="8"/>
      <c r="AT1511" s="8">
        <v>841.77</v>
      </c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>
        <v>61.75</v>
      </c>
      <c r="BH1511" s="9">
        <f t="shared" si="207"/>
        <v>1584.79</v>
      </c>
      <c r="BI1511" s="9">
        <f t="shared" si="208"/>
        <v>3.59</v>
      </c>
      <c r="BJ1511" s="9">
        <f t="shared" si="209"/>
        <v>5.08</v>
      </c>
      <c r="BK1511" s="9">
        <f t="shared" si="210"/>
        <v>15.87</v>
      </c>
      <c r="BL1511" s="9">
        <f t="shared" si="211"/>
        <v>0</v>
      </c>
      <c r="BM1511" s="9">
        <f t="shared" si="212"/>
        <v>21.378</v>
      </c>
      <c r="BN1511" s="9">
        <f t="shared" si="213"/>
        <v>841.77</v>
      </c>
      <c r="BO1511" s="9">
        <f t="shared" si="214"/>
        <v>0</v>
      </c>
      <c r="BP1511" s="9">
        <f t="shared" si="215"/>
        <v>0</v>
      </c>
    </row>
    <row r="1512" spans="1:68">
      <c r="A1512" s="6">
        <v>44823</v>
      </c>
      <c r="B1512" s="7">
        <v>3106</v>
      </c>
      <c r="C1512" s="8">
        <v>4101.99</v>
      </c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11">
        <v>11.05</v>
      </c>
      <c r="R1512" s="11"/>
      <c r="S1512" s="8">
        <v>12.34</v>
      </c>
      <c r="T1512" s="8"/>
      <c r="U1512" s="8">
        <v>52.14</v>
      </c>
      <c r="V1512" s="8"/>
      <c r="W1512" s="8"/>
      <c r="X1512" s="8"/>
      <c r="Y1512" s="8"/>
      <c r="Z1512" s="8"/>
      <c r="AA1512" s="8"/>
      <c r="AB1512" s="8"/>
      <c r="AC1512" s="8">
        <v>10.26</v>
      </c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11"/>
      <c r="AQ1512" s="8"/>
      <c r="AR1512" s="8"/>
      <c r="AS1512" s="8"/>
      <c r="AT1512" s="8">
        <v>2348.9</v>
      </c>
      <c r="AU1512" s="8"/>
      <c r="AV1512" s="8"/>
      <c r="AW1512" s="8"/>
      <c r="AX1512" s="8">
        <v>5.14</v>
      </c>
      <c r="AY1512" s="8"/>
      <c r="AZ1512" s="8"/>
      <c r="BA1512" s="8"/>
      <c r="BB1512" s="8"/>
      <c r="BC1512" s="8"/>
      <c r="BD1512" s="8"/>
      <c r="BE1512" s="8"/>
      <c r="BF1512" s="8"/>
      <c r="BG1512" s="8">
        <v>176.27</v>
      </c>
      <c r="BH1512" s="9">
        <f t="shared" si="207"/>
        <v>4101.99</v>
      </c>
      <c r="BI1512" s="9">
        <f t="shared" si="208"/>
        <v>11.05</v>
      </c>
      <c r="BJ1512" s="9">
        <f t="shared" si="209"/>
        <v>12.34</v>
      </c>
      <c r="BK1512" s="9">
        <f t="shared" si="210"/>
        <v>52.14</v>
      </c>
      <c r="BL1512" s="9">
        <f t="shared" si="211"/>
        <v>0</v>
      </c>
      <c r="BM1512" s="9">
        <f t="shared" si="212"/>
        <v>10.26</v>
      </c>
      <c r="BN1512" s="9">
        <f t="shared" si="213"/>
        <v>2348.9</v>
      </c>
      <c r="BO1512" s="9">
        <f t="shared" si="214"/>
        <v>5.14</v>
      </c>
      <c r="BP1512" s="9">
        <f t="shared" si="215"/>
        <v>0</v>
      </c>
    </row>
    <row r="1513" spans="1:68">
      <c r="A1513" s="6">
        <v>44823</v>
      </c>
      <c r="B1513" s="7">
        <v>3141</v>
      </c>
      <c r="C1513" s="8">
        <v>2448.65</v>
      </c>
      <c r="D1513" s="8">
        <v>432.01</v>
      </c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11">
        <v>7.99</v>
      </c>
      <c r="R1513" s="11"/>
      <c r="S1513" s="8">
        <v>13.55</v>
      </c>
      <c r="T1513" s="8"/>
      <c r="U1513" s="8">
        <v>43.23</v>
      </c>
      <c r="V1513" s="8"/>
      <c r="W1513" s="8"/>
      <c r="X1513" s="8"/>
      <c r="Y1513" s="8"/>
      <c r="Z1513" s="8"/>
      <c r="AA1513" s="8"/>
      <c r="AB1513" s="8"/>
      <c r="AC1513" s="8">
        <v>11.53</v>
      </c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11"/>
      <c r="AQ1513" s="8"/>
      <c r="AR1513" s="8"/>
      <c r="AS1513" s="8"/>
      <c r="AT1513" s="8">
        <v>1911.49</v>
      </c>
      <c r="AU1513" s="8"/>
      <c r="AV1513" s="8"/>
      <c r="AW1513" s="8"/>
      <c r="AX1513" s="8"/>
      <c r="AY1513" s="8"/>
      <c r="AZ1513" s="8"/>
      <c r="BA1513" s="8">
        <v>66.06</v>
      </c>
      <c r="BB1513" s="8"/>
      <c r="BC1513" s="8"/>
      <c r="BD1513" s="8"/>
      <c r="BE1513" s="8"/>
      <c r="BF1513" s="8">
        <v>201.65</v>
      </c>
      <c r="BG1513" s="8">
        <v>149.93</v>
      </c>
      <c r="BH1513" s="9">
        <f t="shared" si="207"/>
        <v>2880.66</v>
      </c>
      <c r="BI1513" s="9">
        <f t="shared" si="208"/>
        <v>7.99</v>
      </c>
      <c r="BJ1513" s="9">
        <f t="shared" si="209"/>
        <v>13.55</v>
      </c>
      <c r="BK1513" s="9">
        <f t="shared" si="210"/>
        <v>43.23</v>
      </c>
      <c r="BL1513" s="9">
        <f t="shared" si="211"/>
        <v>0</v>
      </c>
      <c r="BM1513" s="9">
        <f t="shared" si="212"/>
        <v>11.53</v>
      </c>
      <c r="BN1513" s="9">
        <f t="shared" si="213"/>
        <v>1911.49</v>
      </c>
      <c r="BO1513" s="9">
        <f t="shared" si="214"/>
        <v>66.06</v>
      </c>
      <c r="BP1513" s="9">
        <f t="shared" si="215"/>
        <v>201.65</v>
      </c>
    </row>
    <row r="1514" spans="1:68">
      <c r="A1514" s="6">
        <v>44823</v>
      </c>
      <c r="B1514" s="7">
        <v>3602</v>
      </c>
      <c r="C1514" s="8">
        <v>602.9</v>
      </c>
      <c r="D1514" s="8"/>
      <c r="E1514" s="8"/>
      <c r="F1514" s="8"/>
      <c r="G1514" s="8">
        <v>903.17</v>
      </c>
      <c r="H1514" s="8"/>
      <c r="I1514" s="8"/>
      <c r="J1514" s="8"/>
      <c r="K1514" s="8"/>
      <c r="L1514" s="8"/>
      <c r="M1514" s="8">
        <f>93*17.25/1000</f>
        <v>1.60425</v>
      </c>
      <c r="N1514" s="8"/>
      <c r="O1514" s="8"/>
      <c r="P1514" s="8"/>
      <c r="Q1514" s="11"/>
      <c r="R1514" s="11"/>
      <c r="S1514" s="8">
        <v>7.24</v>
      </c>
      <c r="T1514" s="8"/>
      <c r="U1514" s="8">
        <v>12.07</v>
      </c>
      <c r="V1514" s="8">
        <f>853*17.25/1000</f>
        <v>14.71425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11"/>
      <c r="AQ1514" s="8"/>
      <c r="AR1514" s="8"/>
      <c r="AS1514" s="8"/>
      <c r="AT1514" s="8">
        <v>608.61</v>
      </c>
      <c r="AU1514" s="8"/>
      <c r="AV1514" s="8"/>
      <c r="AW1514" s="8">
        <v>38.99</v>
      </c>
      <c r="AX1514" s="8"/>
      <c r="AY1514" s="8"/>
      <c r="AZ1514" s="8"/>
      <c r="BA1514" s="8"/>
      <c r="BB1514" s="8"/>
      <c r="BC1514" s="8"/>
      <c r="BD1514" s="8"/>
      <c r="BE1514" s="8"/>
      <c r="BF1514" s="8">
        <v>48.37</v>
      </c>
      <c r="BG1514" s="8">
        <v>45.21</v>
      </c>
      <c r="BH1514" s="9">
        <f t="shared" si="207"/>
        <v>1506.07</v>
      </c>
      <c r="BI1514" s="9">
        <f t="shared" si="208"/>
        <v>1.60425</v>
      </c>
      <c r="BJ1514" s="9">
        <f t="shared" si="209"/>
        <v>7.24</v>
      </c>
      <c r="BK1514" s="9">
        <f t="shared" si="210"/>
        <v>26.78425</v>
      </c>
      <c r="BL1514" s="9">
        <f t="shared" si="211"/>
        <v>0</v>
      </c>
      <c r="BM1514" s="9">
        <f t="shared" si="212"/>
        <v>0</v>
      </c>
      <c r="BN1514" s="9">
        <f t="shared" si="213"/>
        <v>608.61</v>
      </c>
      <c r="BO1514" s="9">
        <f t="shared" si="214"/>
        <v>38.99</v>
      </c>
      <c r="BP1514" s="9">
        <f t="shared" si="215"/>
        <v>48.37</v>
      </c>
    </row>
    <row r="1515" spans="1:68">
      <c r="A1515" s="6">
        <v>44823</v>
      </c>
      <c r="B1515" s="7">
        <v>3020</v>
      </c>
      <c r="C1515" s="8"/>
      <c r="D1515" s="8">
        <v>171.06</v>
      </c>
      <c r="E1515" s="8"/>
      <c r="F1515" s="8"/>
      <c r="G1515" s="8"/>
      <c r="H1515" s="8"/>
      <c r="I1515" s="8">
        <v>965.92</v>
      </c>
      <c r="J1515" s="8"/>
      <c r="K1515" s="8"/>
      <c r="L1515" s="8"/>
      <c r="M1515" s="8"/>
      <c r="N1515" s="8">
        <v>6.83</v>
      </c>
      <c r="O1515" s="8"/>
      <c r="P1515" s="8"/>
      <c r="Q1515" s="11"/>
      <c r="R1515" s="11"/>
      <c r="S1515" s="8">
        <v>2.0499999999999998</v>
      </c>
      <c r="T1515" s="8"/>
      <c r="U1515" s="8"/>
      <c r="V1515" s="8"/>
      <c r="W1515" s="8">
        <v>11.39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>
        <v>11.38</v>
      </c>
      <c r="AN1515" s="8"/>
      <c r="AO1515" s="8"/>
      <c r="AP1515" s="11"/>
      <c r="AQ1515" s="8"/>
      <c r="AR1515" s="8"/>
      <c r="AS1515" s="8">
        <f>3033*9.47/1000</f>
        <v>28.722510000000003</v>
      </c>
      <c r="AT1515" s="8">
        <v>558.70000000000005</v>
      </c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>
        <v>40.909999999999997</v>
      </c>
      <c r="BH1515" s="9">
        <f t="shared" si="207"/>
        <v>1136.98</v>
      </c>
      <c r="BI1515" s="9">
        <f t="shared" si="208"/>
        <v>6.83</v>
      </c>
      <c r="BJ1515" s="9">
        <f t="shared" si="209"/>
        <v>2.0499999999999998</v>
      </c>
      <c r="BK1515" s="9">
        <f t="shared" si="210"/>
        <v>11.39</v>
      </c>
      <c r="BL1515" s="9">
        <f t="shared" si="211"/>
        <v>0</v>
      </c>
      <c r="BM1515" s="9">
        <f t="shared" si="212"/>
        <v>40.102510000000002</v>
      </c>
      <c r="BN1515" s="9">
        <f t="shared" si="213"/>
        <v>558.70000000000005</v>
      </c>
      <c r="BO1515" s="9">
        <f t="shared" si="214"/>
        <v>0</v>
      </c>
      <c r="BP1515" s="9">
        <f t="shared" si="215"/>
        <v>0</v>
      </c>
    </row>
    <row r="1516" spans="1:68">
      <c r="A1516" s="6">
        <v>44824</v>
      </c>
      <c r="B1516" s="7">
        <v>3200</v>
      </c>
      <c r="C1516" s="8">
        <v>2260.08</v>
      </c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>
        <v>5.65</v>
      </c>
      <c r="P1516" s="8"/>
      <c r="Q1516" s="11"/>
      <c r="R1516" s="11"/>
      <c r="S1516" s="8">
        <v>8.84</v>
      </c>
      <c r="T1516" s="8"/>
      <c r="U1516" s="8">
        <v>33.94</v>
      </c>
      <c r="V1516" s="8"/>
      <c r="W1516" s="8"/>
      <c r="X1516" s="8"/>
      <c r="Y1516" s="8"/>
      <c r="Z1516" s="8">
        <v>475.48</v>
      </c>
      <c r="AA1516" s="8"/>
      <c r="AB1516" s="8"/>
      <c r="AC1516" s="8"/>
      <c r="AD1516" s="8"/>
      <c r="AE1516" s="8"/>
      <c r="AF1516" s="8">
        <v>112.27</v>
      </c>
      <c r="AG1516" s="8"/>
      <c r="AH1516" s="8"/>
      <c r="AI1516" s="8"/>
      <c r="AJ1516" s="8"/>
      <c r="AK1516" s="8"/>
      <c r="AL1516" s="8"/>
      <c r="AM1516" s="8"/>
      <c r="AN1516" s="8"/>
      <c r="AO1516" s="8"/>
      <c r="AP1516" s="11"/>
      <c r="AQ1516" s="8">
        <f>1486*22.63/1000</f>
        <v>33.62818</v>
      </c>
      <c r="AR1516" s="8"/>
      <c r="AS1516" s="8"/>
      <c r="AT1516" s="8">
        <v>1546.02</v>
      </c>
      <c r="AU1516" s="8"/>
      <c r="AV1516" s="8"/>
      <c r="AW1516" s="8">
        <v>6.64</v>
      </c>
      <c r="AX1516" s="8"/>
      <c r="AY1516" s="8"/>
      <c r="AZ1516" s="8"/>
      <c r="BA1516" s="8"/>
      <c r="BB1516" s="8"/>
      <c r="BC1516" s="8"/>
      <c r="BD1516" s="8"/>
      <c r="BE1516" s="8"/>
      <c r="BF1516" s="8">
        <v>108.71</v>
      </c>
      <c r="BG1516" s="8">
        <v>111.83</v>
      </c>
      <c r="BH1516" s="9">
        <f t="shared" si="207"/>
        <v>2260.08</v>
      </c>
      <c r="BI1516" s="9">
        <f t="shared" si="208"/>
        <v>5.65</v>
      </c>
      <c r="BJ1516" s="9">
        <f t="shared" si="209"/>
        <v>8.84</v>
      </c>
      <c r="BK1516" s="9">
        <f t="shared" si="210"/>
        <v>33.94</v>
      </c>
      <c r="BL1516" s="9">
        <f t="shared" si="211"/>
        <v>475.48</v>
      </c>
      <c r="BM1516" s="9">
        <f t="shared" si="212"/>
        <v>145.89818</v>
      </c>
      <c r="BN1516" s="9">
        <f t="shared" si="213"/>
        <v>1546.02</v>
      </c>
      <c r="BO1516" s="9">
        <f t="shared" si="214"/>
        <v>6.64</v>
      </c>
      <c r="BP1516" s="9">
        <f t="shared" si="215"/>
        <v>108.71</v>
      </c>
    </row>
    <row r="1517" spans="1:68">
      <c r="A1517" s="6">
        <v>44824</v>
      </c>
      <c r="B1517" s="7">
        <v>3079</v>
      </c>
      <c r="C1517" s="8"/>
      <c r="D1517" s="8"/>
      <c r="E1517" s="8"/>
      <c r="F1517" s="8">
        <v>503.07</v>
      </c>
      <c r="G1517" s="8"/>
      <c r="H1517" s="8"/>
      <c r="I1517" s="8">
        <v>4067.72</v>
      </c>
      <c r="J1517" s="8"/>
      <c r="K1517" s="8"/>
      <c r="L1517" s="8"/>
      <c r="M1517" s="8"/>
      <c r="N1517" s="8">
        <v>32.479999999999997</v>
      </c>
      <c r="O1517" s="8"/>
      <c r="P1517" s="8"/>
      <c r="Q1517" s="11"/>
      <c r="R1517" s="11"/>
      <c r="S1517" s="8">
        <v>1.82</v>
      </c>
      <c r="T1517" s="8"/>
      <c r="U1517" s="8"/>
      <c r="V1517" s="8"/>
      <c r="W1517" s="8">
        <v>45.77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>
        <v>18.29</v>
      </c>
      <c r="AN1517" s="8">
        <f>1702*26.9/1000</f>
        <v>45.783799999999992</v>
      </c>
      <c r="AO1517" s="8"/>
      <c r="AP1517" s="11"/>
      <c r="AQ1517" s="8"/>
      <c r="AR1517" s="8">
        <f>4271*26.9/1000</f>
        <v>114.8899</v>
      </c>
      <c r="AS1517" s="8"/>
      <c r="AT1517" s="8">
        <v>1767.72</v>
      </c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>
        <v>128.56</v>
      </c>
      <c r="BH1517" s="9">
        <f t="shared" si="207"/>
        <v>4570.79</v>
      </c>
      <c r="BI1517" s="9">
        <f t="shared" si="208"/>
        <v>32.479999999999997</v>
      </c>
      <c r="BJ1517" s="9">
        <f t="shared" si="209"/>
        <v>1.82</v>
      </c>
      <c r="BK1517" s="9">
        <f t="shared" si="210"/>
        <v>45.77</v>
      </c>
      <c r="BL1517" s="9">
        <f t="shared" si="211"/>
        <v>0</v>
      </c>
      <c r="BM1517" s="9">
        <f t="shared" si="212"/>
        <v>178.96369999999999</v>
      </c>
      <c r="BN1517" s="9">
        <f t="shared" si="213"/>
        <v>1767.72</v>
      </c>
      <c r="BO1517" s="9">
        <f t="shared" si="214"/>
        <v>0</v>
      </c>
      <c r="BP1517" s="9">
        <f t="shared" si="215"/>
        <v>0</v>
      </c>
    </row>
    <row r="1518" spans="1:68">
      <c r="A1518" s="6">
        <v>44824</v>
      </c>
      <c r="B1518" s="7">
        <v>3117</v>
      </c>
      <c r="C1518" s="8">
        <v>730.28</v>
      </c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11">
        <v>1.98</v>
      </c>
      <c r="R1518" s="11"/>
      <c r="S1518" s="8">
        <v>2.71</v>
      </c>
      <c r="T1518" s="8"/>
      <c r="U1518" s="8">
        <v>7.31</v>
      </c>
      <c r="V1518" s="8"/>
      <c r="W1518" s="8"/>
      <c r="X1518" s="8"/>
      <c r="Y1518" s="8"/>
      <c r="Z1518" s="8"/>
      <c r="AA1518" s="8"/>
      <c r="AB1518" s="8"/>
      <c r="AC1518" s="8">
        <v>2.93</v>
      </c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11"/>
      <c r="AQ1518" s="8"/>
      <c r="AR1518" s="8"/>
      <c r="AS1518" s="8"/>
      <c r="AT1518" s="8">
        <v>463.11</v>
      </c>
      <c r="AU1518" s="8"/>
      <c r="AV1518" s="8">
        <v>18.27</v>
      </c>
      <c r="AW1518" s="8"/>
      <c r="AX1518" s="8"/>
      <c r="AY1518" s="8"/>
      <c r="AZ1518" s="8"/>
      <c r="BA1518" s="8"/>
      <c r="BB1518" s="8"/>
      <c r="BC1518" s="8"/>
      <c r="BD1518" s="8"/>
      <c r="BE1518" s="8"/>
      <c r="BF1518" s="8">
        <v>36.590000000000003</v>
      </c>
      <c r="BG1518" s="8">
        <v>35.07</v>
      </c>
      <c r="BH1518" s="9">
        <f t="shared" si="207"/>
        <v>730.28</v>
      </c>
      <c r="BI1518" s="9">
        <f t="shared" si="208"/>
        <v>1.98</v>
      </c>
      <c r="BJ1518" s="9">
        <f t="shared" si="209"/>
        <v>2.71</v>
      </c>
      <c r="BK1518" s="9">
        <f t="shared" si="210"/>
        <v>7.31</v>
      </c>
      <c r="BL1518" s="9">
        <f t="shared" si="211"/>
        <v>0</v>
      </c>
      <c r="BM1518" s="9">
        <f t="shared" si="212"/>
        <v>2.93</v>
      </c>
      <c r="BN1518" s="9">
        <f t="shared" si="213"/>
        <v>463.11</v>
      </c>
      <c r="BO1518" s="9">
        <f t="shared" si="214"/>
        <v>18.27</v>
      </c>
      <c r="BP1518" s="9">
        <f t="shared" si="215"/>
        <v>36.590000000000003</v>
      </c>
    </row>
    <row r="1519" spans="1:68">
      <c r="A1519" s="6">
        <v>44824</v>
      </c>
      <c r="B1519" s="7">
        <v>3106</v>
      </c>
      <c r="C1519" s="8">
        <v>4137.59</v>
      </c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11">
        <v>11.18</v>
      </c>
      <c r="R1519" s="11"/>
      <c r="S1519" s="8">
        <v>12.45</v>
      </c>
      <c r="T1519" s="8"/>
      <c r="U1519" s="8">
        <v>52.65</v>
      </c>
      <c r="V1519" s="8"/>
      <c r="W1519" s="8"/>
      <c r="X1519" s="8"/>
      <c r="Y1519" s="8"/>
      <c r="Z1519" s="8"/>
      <c r="AA1519" s="8"/>
      <c r="AB1519" s="8"/>
      <c r="AC1519" s="8">
        <v>10.35</v>
      </c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11"/>
      <c r="AQ1519" s="8"/>
      <c r="AR1519" s="8"/>
      <c r="AS1519" s="8"/>
      <c r="AT1519" s="8">
        <v>2369.91</v>
      </c>
      <c r="AU1519" s="8"/>
      <c r="AV1519" s="8"/>
      <c r="AW1519" s="8"/>
      <c r="AX1519" s="8">
        <v>5.18</v>
      </c>
      <c r="AY1519" s="8"/>
      <c r="AZ1519" s="8"/>
      <c r="BA1519" s="8"/>
      <c r="BB1519" s="8"/>
      <c r="BC1519" s="8"/>
      <c r="BD1519" s="8"/>
      <c r="BE1519" s="8"/>
      <c r="BF1519" s="8"/>
      <c r="BG1519" s="8">
        <v>178.66</v>
      </c>
      <c r="BH1519" s="9">
        <f t="shared" si="207"/>
        <v>4137.59</v>
      </c>
      <c r="BI1519" s="9">
        <f t="shared" si="208"/>
        <v>11.18</v>
      </c>
      <c r="BJ1519" s="9">
        <f t="shared" si="209"/>
        <v>12.45</v>
      </c>
      <c r="BK1519" s="9">
        <f t="shared" si="210"/>
        <v>52.65</v>
      </c>
      <c r="BL1519" s="9">
        <f t="shared" si="211"/>
        <v>0</v>
      </c>
      <c r="BM1519" s="9">
        <f t="shared" si="212"/>
        <v>10.35</v>
      </c>
      <c r="BN1519" s="9">
        <f t="shared" si="213"/>
        <v>2369.91</v>
      </c>
      <c r="BO1519" s="9">
        <f t="shared" si="214"/>
        <v>5.18</v>
      </c>
      <c r="BP1519" s="9">
        <f t="shared" si="215"/>
        <v>0</v>
      </c>
    </row>
    <row r="1520" spans="1:68">
      <c r="A1520" s="6">
        <v>44824</v>
      </c>
      <c r="B1520" s="7">
        <v>3134</v>
      </c>
      <c r="C1520" s="8">
        <v>1037.03</v>
      </c>
      <c r="D1520" s="8">
        <v>145.07</v>
      </c>
      <c r="E1520" s="8"/>
      <c r="F1520" s="8"/>
      <c r="G1520" s="8"/>
      <c r="H1520" s="8">
        <v>490.23</v>
      </c>
      <c r="I1520" s="8"/>
      <c r="J1520" s="8"/>
      <c r="K1520" s="8"/>
      <c r="L1520" s="8"/>
      <c r="M1520" s="8"/>
      <c r="N1520" s="8"/>
      <c r="O1520" s="8"/>
      <c r="P1520" s="8"/>
      <c r="Q1520" s="11">
        <v>3.21</v>
      </c>
      <c r="R1520" s="11"/>
      <c r="S1520" s="8">
        <v>6.69</v>
      </c>
      <c r="T1520" s="8"/>
      <c r="U1520" s="8">
        <v>18.899999999999999</v>
      </c>
      <c r="V1520" s="8"/>
      <c r="W1520" s="8"/>
      <c r="X1520" s="8"/>
      <c r="Y1520" s="8"/>
      <c r="Z1520" s="8"/>
      <c r="AA1520" s="8"/>
      <c r="AB1520" s="8"/>
      <c r="AC1520" s="8">
        <v>5.81</v>
      </c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11"/>
      <c r="AQ1520" s="8"/>
      <c r="AR1520" s="8"/>
      <c r="AS1520" s="8"/>
      <c r="AT1520" s="8">
        <v>1022.98</v>
      </c>
      <c r="AU1520" s="8"/>
      <c r="AV1520" s="8"/>
      <c r="AW1520" s="8"/>
      <c r="AX1520" s="8"/>
      <c r="AY1520" s="8">
        <f>1433*10.37/1000</f>
        <v>14.860209999999999</v>
      </c>
      <c r="AZ1520" s="8"/>
      <c r="BA1520" s="8"/>
      <c r="BB1520" s="8"/>
      <c r="BC1520" s="8"/>
      <c r="BD1520" s="8"/>
      <c r="BE1520" s="8"/>
      <c r="BF1520" s="8">
        <v>65.41</v>
      </c>
      <c r="BG1520" s="8">
        <v>76.97</v>
      </c>
      <c r="BH1520" s="9">
        <f t="shared" si="207"/>
        <v>1672.33</v>
      </c>
      <c r="BI1520" s="9">
        <f t="shared" si="208"/>
        <v>3.21</v>
      </c>
      <c r="BJ1520" s="9">
        <f t="shared" si="209"/>
        <v>6.69</v>
      </c>
      <c r="BK1520" s="9">
        <f t="shared" si="210"/>
        <v>18.899999999999999</v>
      </c>
      <c r="BL1520" s="9">
        <f t="shared" si="211"/>
        <v>0</v>
      </c>
      <c r="BM1520" s="9">
        <f t="shared" si="212"/>
        <v>5.81</v>
      </c>
      <c r="BN1520" s="9">
        <f t="shared" si="213"/>
        <v>1022.98</v>
      </c>
      <c r="BO1520" s="9">
        <f t="shared" si="214"/>
        <v>14.860209999999999</v>
      </c>
      <c r="BP1520" s="9">
        <f t="shared" si="215"/>
        <v>65.41</v>
      </c>
    </row>
    <row r="1521" spans="1:68">
      <c r="A1521" s="6">
        <v>44824</v>
      </c>
      <c r="B1521" s="7">
        <v>3141</v>
      </c>
      <c r="C1521" s="8">
        <v>2455.42</v>
      </c>
      <c r="D1521" s="8">
        <v>433.06</v>
      </c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11">
        <v>8.15</v>
      </c>
      <c r="R1521" s="11"/>
      <c r="S1521" s="8">
        <v>13.58</v>
      </c>
      <c r="T1521" s="8"/>
      <c r="U1521" s="8">
        <v>43.35</v>
      </c>
      <c r="V1521" s="8"/>
      <c r="W1521" s="8"/>
      <c r="X1521" s="8"/>
      <c r="Y1521" s="8"/>
      <c r="Z1521" s="8"/>
      <c r="AA1521" s="8"/>
      <c r="AB1521" s="8"/>
      <c r="AC1521" s="8">
        <v>11.55</v>
      </c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11"/>
      <c r="AQ1521" s="8"/>
      <c r="AR1521" s="8"/>
      <c r="AS1521" s="8"/>
      <c r="AT1521" s="8">
        <v>1913.6</v>
      </c>
      <c r="AU1521" s="8"/>
      <c r="AV1521" s="8"/>
      <c r="AW1521" s="8"/>
      <c r="AX1521" s="8"/>
      <c r="AY1521" s="8"/>
      <c r="AZ1521" s="8"/>
      <c r="BA1521" s="8">
        <v>66.2</v>
      </c>
      <c r="BB1521" s="8"/>
      <c r="BC1521" s="8"/>
      <c r="BD1521" s="8"/>
      <c r="BE1521" s="8"/>
      <c r="BF1521" s="8">
        <v>202.27</v>
      </c>
      <c r="BG1521" s="8">
        <v>150.12</v>
      </c>
      <c r="BH1521" s="9">
        <f t="shared" si="207"/>
        <v>2888.48</v>
      </c>
      <c r="BI1521" s="9">
        <f t="shared" si="208"/>
        <v>8.15</v>
      </c>
      <c r="BJ1521" s="9">
        <f t="shared" si="209"/>
        <v>13.58</v>
      </c>
      <c r="BK1521" s="9">
        <f t="shared" si="210"/>
        <v>43.35</v>
      </c>
      <c r="BL1521" s="9">
        <f t="shared" si="211"/>
        <v>0</v>
      </c>
      <c r="BM1521" s="9">
        <f t="shared" si="212"/>
        <v>11.55</v>
      </c>
      <c r="BN1521" s="9">
        <f t="shared" si="213"/>
        <v>1913.6</v>
      </c>
      <c r="BO1521" s="9">
        <f t="shared" si="214"/>
        <v>66.2</v>
      </c>
      <c r="BP1521" s="9">
        <f t="shared" si="215"/>
        <v>202.27</v>
      </c>
    </row>
    <row r="1522" spans="1:68">
      <c r="A1522" s="6">
        <v>44825</v>
      </c>
      <c r="B1522" s="7">
        <v>3203</v>
      </c>
      <c r="C1522" s="8">
        <v>1684.09</v>
      </c>
      <c r="D1522" s="8"/>
      <c r="E1522" s="8">
        <v>722.58</v>
      </c>
      <c r="F1522" s="8"/>
      <c r="G1522" s="8"/>
      <c r="H1522" s="8"/>
      <c r="I1522" s="8"/>
      <c r="J1522" s="8"/>
      <c r="K1522" s="8"/>
      <c r="L1522" s="8"/>
      <c r="M1522" s="8"/>
      <c r="N1522" s="8"/>
      <c r="O1522" s="8">
        <v>7.23</v>
      </c>
      <c r="P1522" s="8"/>
      <c r="Q1522" s="11"/>
      <c r="R1522" s="11"/>
      <c r="S1522" s="8">
        <v>9.4</v>
      </c>
      <c r="T1522" s="8"/>
      <c r="U1522" s="8">
        <v>29.86</v>
      </c>
      <c r="V1522" s="8"/>
      <c r="W1522" s="8"/>
      <c r="X1522" s="8"/>
      <c r="Y1522" s="8"/>
      <c r="Z1522" s="8">
        <v>379.06</v>
      </c>
      <c r="AA1522" s="8">
        <f>10360*28.3/1000</f>
        <v>293.18799999999999</v>
      </c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11"/>
      <c r="AQ1522" s="8"/>
      <c r="AR1522" s="8"/>
      <c r="AS1522" s="8"/>
      <c r="AT1522" s="8">
        <v>900.4</v>
      </c>
      <c r="AU1522" s="8">
        <v>450.15</v>
      </c>
      <c r="AV1522" s="8"/>
      <c r="AW1522" s="8"/>
      <c r="AX1522" s="8"/>
      <c r="AY1522" s="8"/>
      <c r="AZ1522" s="8"/>
      <c r="BA1522" s="8"/>
      <c r="BB1522" s="8"/>
      <c r="BC1522" s="8">
        <v>6.26</v>
      </c>
      <c r="BD1522" s="8"/>
      <c r="BE1522" s="8"/>
      <c r="BF1522" s="8"/>
      <c r="BG1522" s="8">
        <v>87.79</v>
      </c>
      <c r="BH1522" s="9">
        <f t="shared" si="207"/>
        <v>2406.67</v>
      </c>
      <c r="BI1522" s="9">
        <f t="shared" si="208"/>
        <v>7.23</v>
      </c>
      <c r="BJ1522" s="9">
        <f t="shared" si="209"/>
        <v>9.4</v>
      </c>
      <c r="BK1522" s="9">
        <f t="shared" si="210"/>
        <v>29.86</v>
      </c>
      <c r="BL1522" s="9">
        <f t="shared" si="211"/>
        <v>672.24800000000005</v>
      </c>
      <c r="BM1522" s="9">
        <f t="shared" si="212"/>
        <v>0</v>
      </c>
      <c r="BN1522" s="9">
        <f t="shared" si="213"/>
        <v>1350.55</v>
      </c>
      <c r="BO1522" s="9">
        <f t="shared" si="214"/>
        <v>6.26</v>
      </c>
      <c r="BP1522" s="9">
        <f t="shared" si="215"/>
        <v>0</v>
      </c>
    </row>
    <row r="1523" spans="1:68">
      <c r="A1523" s="6">
        <v>44825</v>
      </c>
      <c r="B1523" s="7">
        <v>3023</v>
      </c>
      <c r="C1523" s="8"/>
      <c r="D1523" s="8">
        <v>873.48</v>
      </c>
      <c r="E1523" s="8"/>
      <c r="F1523" s="8"/>
      <c r="G1523" s="8"/>
      <c r="H1523" s="8"/>
      <c r="I1523" s="8">
        <v>469.68</v>
      </c>
      <c r="J1523" s="8"/>
      <c r="K1523" s="8"/>
      <c r="L1523" s="8"/>
      <c r="M1523" s="8"/>
      <c r="N1523" s="8">
        <v>7.51</v>
      </c>
      <c r="O1523" s="8"/>
      <c r="P1523" s="8"/>
      <c r="Q1523" s="11"/>
      <c r="R1523" s="11"/>
      <c r="S1523" s="8">
        <v>2.15</v>
      </c>
      <c r="T1523" s="8"/>
      <c r="U1523" s="8"/>
      <c r="V1523" s="8"/>
      <c r="W1523" s="8">
        <v>12.08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>
        <v>13.4</v>
      </c>
      <c r="AN1523" s="8">
        <f>1022*9.25/1000</f>
        <v>9.4535</v>
      </c>
      <c r="AO1523" s="8"/>
      <c r="AP1523" s="11"/>
      <c r="AQ1523" s="8"/>
      <c r="AR1523" s="8"/>
      <c r="AS1523" s="8">
        <f>4821*9.25/1000</f>
        <v>44.594250000000002</v>
      </c>
      <c r="AT1523" s="8">
        <v>549.05999999999995</v>
      </c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>
        <v>41.57</v>
      </c>
      <c r="BH1523" s="9">
        <f t="shared" si="207"/>
        <v>1343.16</v>
      </c>
      <c r="BI1523" s="9">
        <f t="shared" si="208"/>
        <v>7.51</v>
      </c>
      <c r="BJ1523" s="9">
        <f t="shared" si="209"/>
        <v>2.15</v>
      </c>
      <c r="BK1523" s="9">
        <f t="shared" si="210"/>
        <v>12.08</v>
      </c>
      <c r="BL1523" s="9">
        <f t="shared" si="211"/>
        <v>0</v>
      </c>
      <c r="BM1523" s="9">
        <f t="shared" si="212"/>
        <v>67.447749999999999</v>
      </c>
      <c r="BN1523" s="9">
        <f t="shared" si="213"/>
        <v>549.05999999999995</v>
      </c>
      <c r="BO1523" s="9">
        <f t="shared" si="214"/>
        <v>0</v>
      </c>
      <c r="BP1523" s="9">
        <f t="shared" si="215"/>
        <v>0</v>
      </c>
    </row>
    <row r="1524" spans="1:68">
      <c r="A1524" s="6">
        <v>44825</v>
      </c>
      <c r="B1524" s="7">
        <v>3025</v>
      </c>
      <c r="C1524" s="8"/>
      <c r="D1524" s="8">
        <v>220.3</v>
      </c>
      <c r="E1524" s="8"/>
      <c r="F1524" s="8"/>
      <c r="G1524" s="8"/>
      <c r="H1524" s="8"/>
      <c r="I1524" s="8">
        <v>1219.71</v>
      </c>
      <c r="J1524" s="8"/>
      <c r="K1524" s="8"/>
      <c r="L1524" s="8"/>
      <c r="M1524" s="8"/>
      <c r="N1524" s="8">
        <v>7.76</v>
      </c>
      <c r="O1524" s="8"/>
      <c r="P1524" s="8"/>
      <c r="Q1524" s="11"/>
      <c r="R1524" s="11"/>
      <c r="S1524" s="8">
        <v>2.2999999999999998</v>
      </c>
      <c r="T1524" s="8"/>
      <c r="U1524" s="8"/>
      <c r="V1524" s="8"/>
      <c r="W1524" s="8">
        <v>12.93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>
        <v>14.36</v>
      </c>
      <c r="AN1524" s="8">
        <f>711*14.37/1000</f>
        <v>10.21707</v>
      </c>
      <c r="AO1524" s="8"/>
      <c r="AP1524" s="11"/>
      <c r="AQ1524" s="8"/>
      <c r="AR1524" s="8"/>
      <c r="AS1524" s="8">
        <f>3312*14.37/1000</f>
        <v>47.593439999999994</v>
      </c>
      <c r="AT1524" s="8">
        <v>497.35</v>
      </c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>
        <v>33.020000000000003</v>
      </c>
      <c r="BH1524" s="9">
        <f t="shared" si="207"/>
        <v>1440.01</v>
      </c>
      <c r="BI1524" s="9">
        <f t="shared" si="208"/>
        <v>7.76</v>
      </c>
      <c r="BJ1524" s="9">
        <f t="shared" si="209"/>
        <v>2.2999999999999998</v>
      </c>
      <c r="BK1524" s="9">
        <f t="shared" si="210"/>
        <v>12.93</v>
      </c>
      <c r="BL1524" s="9">
        <f t="shared" si="211"/>
        <v>0</v>
      </c>
      <c r="BM1524" s="9">
        <f t="shared" si="212"/>
        <v>72.170509999999993</v>
      </c>
      <c r="BN1524" s="9">
        <f t="shared" si="213"/>
        <v>497.35</v>
      </c>
      <c r="BO1524" s="9">
        <f t="shared" si="214"/>
        <v>0</v>
      </c>
      <c r="BP1524" s="9">
        <f t="shared" si="215"/>
        <v>0</v>
      </c>
    </row>
    <row r="1525" spans="1:68">
      <c r="A1525" s="6">
        <v>44825</v>
      </c>
      <c r="B1525" s="7">
        <v>3010</v>
      </c>
      <c r="C1525" s="8">
        <v>647.03</v>
      </c>
      <c r="D1525" s="8">
        <v>431.67</v>
      </c>
      <c r="E1525" s="8"/>
      <c r="F1525" s="8"/>
      <c r="G1525" s="8"/>
      <c r="H1525" s="8"/>
      <c r="I1525" s="8"/>
      <c r="J1525" s="8"/>
      <c r="K1525" s="8"/>
      <c r="L1525" s="8"/>
      <c r="M1525" s="8"/>
      <c r="N1525" s="8">
        <v>2.15</v>
      </c>
      <c r="O1525" s="8"/>
      <c r="P1525" s="8"/>
      <c r="Q1525" s="11"/>
      <c r="R1525" s="11"/>
      <c r="S1525" s="8">
        <v>2.91</v>
      </c>
      <c r="T1525" s="8"/>
      <c r="U1525" s="8"/>
      <c r="V1525" s="8"/>
      <c r="W1525" s="8">
        <v>10.77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11"/>
      <c r="AQ1525" s="8"/>
      <c r="AR1525" s="8"/>
      <c r="AS1525" s="8"/>
      <c r="AT1525" s="8">
        <v>361.9</v>
      </c>
      <c r="AU1525" s="8"/>
      <c r="AV1525" s="8"/>
      <c r="AW1525" s="8">
        <v>11.96</v>
      </c>
      <c r="AX1525" s="8"/>
      <c r="AY1525" s="8"/>
      <c r="AZ1525" s="8"/>
      <c r="BA1525" s="8"/>
      <c r="BB1525" s="8"/>
      <c r="BC1525" s="8"/>
      <c r="BD1525" s="8"/>
      <c r="BE1525" s="8"/>
      <c r="BF1525" s="8"/>
      <c r="BG1525" s="8">
        <v>23.82</v>
      </c>
      <c r="BH1525" s="9">
        <f t="shared" si="207"/>
        <v>1078.7</v>
      </c>
      <c r="BI1525" s="9">
        <f t="shared" si="208"/>
        <v>2.15</v>
      </c>
      <c r="BJ1525" s="9">
        <f t="shared" si="209"/>
        <v>2.91</v>
      </c>
      <c r="BK1525" s="9">
        <f t="shared" si="210"/>
        <v>10.77</v>
      </c>
      <c r="BL1525" s="9">
        <f t="shared" si="211"/>
        <v>0</v>
      </c>
      <c r="BM1525" s="9">
        <f t="shared" si="212"/>
        <v>0</v>
      </c>
      <c r="BN1525" s="9">
        <f t="shared" si="213"/>
        <v>361.9</v>
      </c>
      <c r="BO1525" s="9">
        <f t="shared" si="214"/>
        <v>11.96</v>
      </c>
      <c r="BP1525" s="9">
        <f t="shared" si="215"/>
        <v>0</v>
      </c>
    </row>
    <row r="1526" spans="1:68">
      <c r="A1526" s="6">
        <v>44825</v>
      </c>
      <c r="B1526" s="7">
        <v>3005</v>
      </c>
      <c r="C1526" s="8">
        <v>453.82</v>
      </c>
      <c r="D1526" s="8">
        <v>303.37</v>
      </c>
      <c r="E1526" s="8"/>
      <c r="F1526" s="8"/>
      <c r="G1526" s="8"/>
      <c r="H1526" s="8"/>
      <c r="I1526" s="8"/>
      <c r="J1526" s="8"/>
      <c r="K1526" s="8"/>
      <c r="L1526" s="8"/>
      <c r="M1526" s="8"/>
      <c r="N1526" s="8">
        <v>0.76</v>
      </c>
      <c r="O1526" s="8"/>
      <c r="P1526" s="8"/>
      <c r="Q1526" s="11"/>
      <c r="R1526" s="11"/>
      <c r="S1526" s="8">
        <v>2.69</v>
      </c>
      <c r="T1526" s="8"/>
      <c r="U1526" s="8"/>
      <c r="V1526" s="8"/>
      <c r="W1526" s="8">
        <v>8.35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11"/>
      <c r="AQ1526" s="8"/>
      <c r="AR1526" s="8"/>
      <c r="AS1526" s="8"/>
      <c r="AT1526" s="8">
        <v>371.56</v>
      </c>
      <c r="AU1526" s="8"/>
      <c r="AV1526" s="8"/>
      <c r="AW1526" s="8">
        <v>8.41</v>
      </c>
      <c r="AX1526" s="8"/>
      <c r="AY1526" s="8"/>
      <c r="AZ1526" s="8"/>
      <c r="BA1526" s="8"/>
      <c r="BB1526" s="8"/>
      <c r="BC1526" s="8"/>
      <c r="BD1526" s="8"/>
      <c r="BE1526" s="8"/>
      <c r="BF1526" s="8"/>
      <c r="BG1526" s="8">
        <v>27.63</v>
      </c>
      <c r="BH1526" s="9">
        <f t="shared" si="207"/>
        <v>757.19</v>
      </c>
      <c r="BI1526" s="9">
        <f t="shared" si="208"/>
        <v>0.76</v>
      </c>
      <c r="BJ1526" s="9">
        <f t="shared" si="209"/>
        <v>2.69</v>
      </c>
      <c r="BK1526" s="9">
        <f t="shared" si="210"/>
        <v>8.35</v>
      </c>
      <c r="BL1526" s="9">
        <f t="shared" si="211"/>
        <v>0</v>
      </c>
      <c r="BM1526" s="9">
        <f t="shared" si="212"/>
        <v>0</v>
      </c>
      <c r="BN1526" s="9">
        <f t="shared" si="213"/>
        <v>371.56</v>
      </c>
      <c r="BO1526" s="9">
        <f t="shared" si="214"/>
        <v>8.41</v>
      </c>
      <c r="BP1526" s="9">
        <f t="shared" si="215"/>
        <v>0</v>
      </c>
    </row>
    <row r="1527" spans="1:68">
      <c r="A1527" s="6">
        <v>44825</v>
      </c>
      <c r="B1527" s="7">
        <v>3141</v>
      </c>
      <c r="C1527" s="8">
        <v>2438.36</v>
      </c>
      <c r="D1527" s="8">
        <v>429.71</v>
      </c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11">
        <v>8.07</v>
      </c>
      <c r="R1527" s="11"/>
      <c r="S1527" s="8">
        <v>13.48</v>
      </c>
      <c r="T1527" s="8"/>
      <c r="U1527" s="8">
        <v>42.99</v>
      </c>
      <c r="V1527" s="8"/>
      <c r="W1527" s="8"/>
      <c r="X1527" s="8"/>
      <c r="Y1527" s="8"/>
      <c r="Z1527" s="8"/>
      <c r="AA1527" s="8"/>
      <c r="AB1527" s="8"/>
      <c r="AC1527" s="8">
        <v>11.47</v>
      </c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11"/>
      <c r="AQ1527" s="8"/>
      <c r="AR1527" s="8"/>
      <c r="AS1527" s="8"/>
      <c r="AT1527" s="8">
        <v>1900.2</v>
      </c>
      <c r="AU1527" s="8"/>
      <c r="AV1527" s="8"/>
      <c r="AW1527" s="8"/>
      <c r="AX1527" s="8"/>
      <c r="AY1527" s="8"/>
      <c r="AZ1527" s="8"/>
      <c r="BA1527" s="8">
        <v>65.7</v>
      </c>
      <c r="BB1527" s="8"/>
      <c r="BC1527" s="8"/>
      <c r="BD1527" s="8"/>
      <c r="BE1527" s="8"/>
      <c r="BF1527" s="8">
        <v>200.58</v>
      </c>
      <c r="BG1527" s="8">
        <v>149.36000000000001</v>
      </c>
      <c r="BH1527" s="9">
        <f t="shared" si="207"/>
        <v>2868.07</v>
      </c>
      <c r="BI1527" s="9">
        <f t="shared" si="208"/>
        <v>8.07</v>
      </c>
      <c r="BJ1527" s="9">
        <f t="shared" si="209"/>
        <v>13.48</v>
      </c>
      <c r="BK1527" s="9">
        <f t="shared" si="210"/>
        <v>42.99</v>
      </c>
      <c r="BL1527" s="9">
        <f t="shared" si="211"/>
        <v>0</v>
      </c>
      <c r="BM1527" s="9">
        <f t="shared" si="212"/>
        <v>11.47</v>
      </c>
      <c r="BN1527" s="9">
        <f t="shared" si="213"/>
        <v>1900.2</v>
      </c>
      <c r="BO1527" s="9">
        <f t="shared" si="214"/>
        <v>65.7</v>
      </c>
      <c r="BP1527" s="9">
        <f t="shared" si="215"/>
        <v>200.58</v>
      </c>
    </row>
    <row r="1528" spans="1:68">
      <c r="A1528" s="6">
        <v>44825</v>
      </c>
      <c r="B1528" s="7">
        <v>3106</v>
      </c>
      <c r="C1528" s="8">
        <v>4110.21</v>
      </c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11">
        <v>11.09</v>
      </c>
      <c r="R1528" s="11"/>
      <c r="S1528" s="8">
        <v>12.36</v>
      </c>
      <c r="T1528" s="8"/>
      <c r="U1528" s="8">
        <v>52.26</v>
      </c>
      <c r="V1528" s="8"/>
      <c r="W1528" s="8"/>
      <c r="X1528" s="8"/>
      <c r="Y1528" s="8"/>
      <c r="Z1528" s="8"/>
      <c r="AA1528" s="8"/>
      <c r="AB1528" s="8"/>
      <c r="AC1528" s="8">
        <v>10.28</v>
      </c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11"/>
      <c r="AQ1528" s="8"/>
      <c r="AR1528" s="8"/>
      <c r="AS1528" s="8"/>
      <c r="AT1528" s="8">
        <v>2355.3200000000002</v>
      </c>
      <c r="AU1528" s="8"/>
      <c r="AV1528" s="8"/>
      <c r="AW1528" s="8"/>
      <c r="AX1528" s="8">
        <v>5.15</v>
      </c>
      <c r="AY1528" s="8"/>
      <c r="AZ1528" s="8"/>
      <c r="BA1528" s="8"/>
      <c r="BB1528" s="8"/>
      <c r="BC1528" s="8"/>
      <c r="BD1528" s="8"/>
      <c r="BE1528" s="8"/>
      <c r="BF1528" s="8"/>
      <c r="BG1528" s="8">
        <v>177.17</v>
      </c>
      <c r="BH1528" s="9">
        <f t="shared" si="207"/>
        <v>4110.21</v>
      </c>
      <c r="BI1528" s="9">
        <f t="shared" si="208"/>
        <v>11.09</v>
      </c>
      <c r="BJ1528" s="9">
        <f t="shared" si="209"/>
        <v>12.36</v>
      </c>
      <c r="BK1528" s="9">
        <f t="shared" si="210"/>
        <v>52.26</v>
      </c>
      <c r="BL1528" s="9">
        <f t="shared" si="211"/>
        <v>0</v>
      </c>
      <c r="BM1528" s="9">
        <f t="shared" si="212"/>
        <v>10.28</v>
      </c>
      <c r="BN1528" s="9">
        <f t="shared" si="213"/>
        <v>2355.3200000000002</v>
      </c>
      <c r="BO1528" s="9">
        <f t="shared" si="214"/>
        <v>5.15</v>
      </c>
      <c r="BP1528" s="9">
        <f t="shared" si="215"/>
        <v>0</v>
      </c>
    </row>
    <row r="1529" spans="1:68">
      <c r="A1529" s="6">
        <v>44825</v>
      </c>
      <c r="B1529" s="7">
        <v>3100</v>
      </c>
      <c r="C1529" s="8">
        <v>641.25</v>
      </c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11">
        <v>1.53</v>
      </c>
      <c r="R1529" s="11"/>
      <c r="S1529" s="8">
        <v>3.66</v>
      </c>
      <c r="T1529" s="8"/>
      <c r="U1529" s="8">
        <v>10.28</v>
      </c>
      <c r="V1529" s="8"/>
      <c r="W1529" s="8"/>
      <c r="X1529" s="8"/>
      <c r="Y1529" s="8"/>
      <c r="Z1529" s="8"/>
      <c r="AA1529" s="8"/>
      <c r="AB1529" s="8"/>
      <c r="AC1529" s="8">
        <v>2.57</v>
      </c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11"/>
      <c r="AQ1529" s="8"/>
      <c r="AR1529" s="8"/>
      <c r="AS1529" s="8"/>
      <c r="AT1529" s="8">
        <v>432.02</v>
      </c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>
        <v>83.63</v>
      </c>
      <c r="BG1529" s="8">
        <v>33.07</v>
      </c>
      <c r="BH1529" s="9">
        <f t="shared" si="207"/>
        <v>641.25</v>
      </c>
      <c r="BI1529" s="9">
        <f t="shared" si="208"/>
        <v>1.53</v>
      </c>
      <c r="BJ1529" s="9">
        <f t="shared" si="209"/>
        <v>3.66</v>
      </c>
      <c r="BK1529" s="9">
        <f t="shared" si="210"/>
        <v>10.28</v>
      </c>
      <c r="BL1529" s="9">
        <f t="shared" si="211"/>
        <v>0</v>
      </c>
      <c r="BM1529" s="9">
        <f t="shared" si="212"/>
        <v>2.57</v>
      </c>
      <c r="BN1529" s="9">
        <f t="shared" si="213"/>
        <v>432.02</v>
      </c>
      <c r="BO1529" s="9">
        <f t="shared" si="214"/>
        <v>0</v>
      </c>
      <c r="BP1529" s="9">
        <f t="shared" si="215"/>
        <v>83.63</v>
      </c>
    </row>
    <row r="1530" spans="1:68">
      <c r="A1530" s="6">
        <v>44825</v>
      </c>
      <c r="B1530" s="7">
        <v>3602</v>
      </c>
      <c r="C1530" s="8">
        <v>311.54000000000002</v>
      </c>
      <c r="D1530" s="8"/>
      <c r="E1530" s="8"/>
      <c r="F1530" s="8"/>
      <c r="G1530" s="8">
        <v>466.63</v>
      </c>
      <c r="H1530" s="8"/>
      <c r="I1530" s="8"/>
      <c r="J1530" s="8"/>
      <c r="K1530" s="8"/>
      <c r="L1530" s="8"/>
      <c r="M1530" s="8">
        <f>89*8.9/1000</f>
        <v>0.79210000000000003</v>
      </c>
      <c r="N1530" s="8"/>
      <c r="O1530" s="8"/>
      <c r="P1530" s="8"/>
      <c r="Q1530" s="11"/>
      <c r="R1530" s="11"/>
      <c r="S1530" s="8">
        <v>3.74</v>
      </c>
      <c r="T1530" s="8"/>
      <c r="U1530" s="8">
        <v>6.23</v>
      </c>
      <c r="V1530" s="8">
        <f>866*8.9/1000</f>
        <v>7.7074000000000007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11"/>
      <c r="AQ1530" s="8"/>
      <c r="AR1530" s="8"/>
      <c r="AS1530" s="8"/>
      <c r="AT1530" s="8">
        <v>313.52</v>
      </c>
      <c r="AU1530" s="8"/>
      <c r="AV1530" s="8"/>
      <c r="AW1530" s="8">
        <v>20.13</v>
      </c>
      <c r="AX1530" s="8"/>
      <c r="AY1530" s="8"/>
      <c r="AZ1530" s="8"/>
      <c r="BA1530" s="8"/>
      <c r="BB1530" s="8"/>
      <c r="BC1530" s="8"/>
      <c r="BD1530" s="8"/>
      <c r="BE1530" s="8"/>
      <c r="BF1530" s="8">
        <v>24.93</v>
      </c>
      <c r="BG1530" s="8">
        <v>23.36</v>
      </c>
      <c r="BH1530" s="9">
        <f t="shared" si="207"/>
        <v>778.17000000000007</v>
      </c>
      <c r="BI1530" s="9">
        <f t="shared" si="208"/>
        <v>0.79210000000000003</v>
      </c>
      <c r="BJ1530" s="9">
        <f t="shared" si="209"/>
        <v>3.74</v>
      </c>
      <c r="BK1530" s="9">
        <f t="shared" si="210"/>
        <v>13.9374</v>
      </c>
      <c r="BL1530" s="9">
        <f t="shared" si="211"/>
        <v>0</v>
      </c>
      <c r="BM1530" s="9">
        <f t="shared" si="212"/>
        <v>0</v>
      </c>
      <c r="BN1530" s="9">
        <f t="shared" si="213"/>
        <v>313.52</v>
      </c>
      <c r="BO1530" s="9">
        <f t="shared" si="214"/>
        <v>20.13</v>
      </c>
      <c r="BP1530" s="9">
        <f t="shared" si="215"/>
        <v>24.93</v>
      </c>
    </row>
    <row r="1531" spans="1:68">
      <c r="A1531" s="6">
        <v>44825</v>
      </c>
      <c r="B1531" s="7">
        <v>3601</v>
      </c>
      <c r="C1531" s="8">
        <v>290.33</v>
      </c>
      <c r="D1531" s="8"/>
      <c r="E1531" s="8"/>
      <c r="F1531" s="8"/>
      <c r="G1531" s="8">
        <v>435</v>
      </c>
      <c r="H1531" s="8"/>
      <c r="I1531" s="8"/>
      <c r="J1531" s="8"/>
      <c r="K1531" s="8"/>
      <c r="L1531" s="8"/>
      <c r="M1531" s="8">
        <f>108*8.28/1000</f>
        <v>0.89423999999999992</v>
      </c>
      <c r="N1531" s="8"/>
      <c r="O1531" s="8"/>
      <c r="P1531" s="8"/>
      <c r="Q1531" s="11"/>
      <c r="R1531" s="11"/>
      <c r="S1531" s="8">
        <v>3.66</v>
      </c>
      <c r="T1531" s="8"/>
      <c r="U1531" s="8">
        <v>4.3600000000000003</v>
      </c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11"/>
      <c r="AQ1531" s="8"/>
      <c r="AR1531" s="8"/>
      <c r="AS1531" s="8"/>
      <c r="AT1531" s="8">
        <v>342.95</v>
      </c>
      <c r="AU1531" s="8"/>
      <c r="AV1531" s="8"/>
      <c r="AW1531" s="8">
        <v>22.04</v>
      </c>
      <c r="AX1531" s="8"/>
      <c r="AY1531" s="8"/>
      <c r="AZ1531" s="8"/>
      <c r="BA1531" s="8"/>
      <c r="BB1531" s="8"/>
      <c r="BC1531" s="8"/>
      <c r="BD1531" s="8"/>
      <c r="BE1531" s="8"/>
      <c r="BF1531" s="8">
        <v>40.53</v>
      </c>
      <c r="BG1531" s="8">
        <v>25.85</v>
      </c>
      <c r="BH1531" s="9">
        <f t="shared" si="207"/>
        <v>725.32999999999993</v>
      </c>
      <c r="BI1531" s="9">
        <f t="shared" si="208"/>
        <v>0.89423999999999992</v>
      </c>
      <c r="BJ1531" s="9">
        <f t="shared" si="209"/>
        <v>3.66</v>
      </c>
      <c r="BK1531" s="9">
        <f t="shared" si="210"/>
        <v>4.3600000000000003</v>
      </c>
      <c r="BL1531" s="9">
        <f t="shared" si="211"/>
        <v>0</v>
      </c>
      <c r="BM1531" s="9">
        <f t="shared" si="212"/>
        <v>0</v>
      </c>
      <c r="BN1531" s="9">
        <f t="shared" si="213"/>
        <v>342.95</v>
      </c>
      <c r="BO1531" s="9">
        <f t="shared" si="214"/>
        <v>22.04</v>
      </c>
      <c r="BP1531" s="9">
        <f t="shared" si="215"/>
        <v>40.53</v>
      </c>
    </row>
    <row r="1532" spans="1:68">
      <c r="A1532" s="6">
        <v>44826</v>
      </c>
      <c r="B1532" s="7">
        <v>3200</v>
      </c>
      <c r="C1532" s="8">
        <v>2278.6999999999998</v>
      </c>
      <c r="D1532" s="8"/>
      <c r="E1532" s="8"/>
      <c r="F1532" s="8" t="s">
        <v>76</v>
      </c>
      <c r="G1532" s="8"/>
      <c r="H1532" s="8"/>
      <c r="I1532" s="8"/>
      <c r="J1532" s="8"/>
      <c r="K1532" s="8"/>
      <c r="L1532" s="8"/>
      <c r="M1532" s="8"/>
      <c r="N1532" s="8"/>
      <c r="O1532" s="8">
        <v>5.69</v>
      </c>
      <c r="P1532" s="8"/>
      <c r="Q1532" s="11"/>
      <c r="R1532" s="11"/>
      <c r="S1532" s="8">
        <v>8.89</v>
      </c>
      <c r="T1532" s="8"/>
      <c r="U1532" s="8">
        <v>34.17</v>
      </c>
      <c r="V1532" s="8"/>
      <c r="W1532" s="8"/>
      <c r="X1532" s="8"/>
      <c r="Y1532" s="8"/>
      <c r="Z1532" s="8">
        <v>478.79</v>
      </c>
      <c r="AA1532" s="8"/>
      <c r="AB1532" s="8"/>
      <c r="AC1532" s="8"/>
      <c r="AD1532" s="8"/>
      <c r="AE1532" s="8"/>
      <c r="AF1532" s="8">
        <v>113.37</v>
      </c>
      <c r="AG1532" s="8"/>
      <c r="AH1532" s="8"/>
      <c r="AI1532" s="8"/>
      <c r="AJ1532" s="8"/>
      <c r="AK1532" s="8"/>
      <c r="AL1532" s="8"/>
      <c r="AM1532" s="8"/>
      <c r="AN1532" s="8"/>
      <c r="AO1532" s="8"/>
      <c r="AP1532" s="11"/>
      <c r="AQ1532" s="8">
        <f>1525*22.78/1000</f>
        <v>34.7395</v>
      </c>
      <c r="AR1532" s="8"/>
      <c r="AS1532" s="8"/>
      <c r="AT1532" s="8">
        <v>1560.22</v>
      </c>
      <c r="AU1532" s="8"/>
      <c r="AV1532" s="8"/>
      <c r="AW1532" s="8">
        <v>6.6</v>
      </c>
      <c r="AX1532" s="8"/>
      <c r="AY1532" s="8"/>
      <c r="AZ1532" s="8"/>
      <c r="BA1532" s="8"/>
      <c r="BB1532" s="8"/>
      <c r="BC1532" s="8"/>
      <c r="BD1532" s="8"/>
      <c r="BE1532" s="8"/>
      <c r="BF1532" s="8">
        <v>109.4</v>
      </c>
      <c r="BG1532" s="8">
        <v>112.85</v>
      </c>
      <c r="BH1532" s="9">
        <f t="shared" si="207"/>
        <v>2278.6999999999998</v>
      </c>
      <c r="BI1532" s="9">
        <f t="shared" si="208"/>
        <v>5.69</v>
      </c>
      <c r="BJ1532" s="9">
        <f t="shared" si="209"/>
        <v>8.89</v>
      </c>
      <c r="BK1532" s="9">
        <f t="shared" si="210"/>
        <v>34.17</v>
      </c>
      <c r="BL1532" s="9">
        <f t="shared" si="211"/>
        <v>478.79</v>
      </c>
      <c r="BM1532" s="9">
        <f t="shared" si="212"/>
        <v>148.1095</v>
      </c>
      <c r="BN1532" s="9">
        <f t="shared" si="213"/>
        <v>1560.22</v>
      </c>
      <c r="BO1532" s="9">
        <f t="shared" si="214"/>
        <v>6.6</v>
      </c>
      <c r="BP1532" s="9">
        <f t="shared" si="215"/>
        <v>109.4</v>
      </c>
    </row>
    <row r="1533" spans="1:68">
      <c r="A1533" s="6">
        <v>44826</v>
      </c>
      <c r="B1533" s="7">
        <v>3108</v>
      </c>
      <c r="C1533" s="8">
        <v>2248.5300000000002</v>
      </c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11">
        <v>5.18</v>
      </c>
      <c r="R1533" s="11"/>
      <c r="S1533" s="8">
        <v>7.2</v>
      </c>
      <c r="T1533" s="8"/>
      <c r="U1533" s="8">
        <v>28.58</v>
      </c>
      <c r="V1533" s="8"/>
      <c r="W1533" s="8"/>
      <c r="X1533" s="8"/>
      <c r="Y1533" s="8"/>
      <c r="Z1533" s="8"/>
      <c r="AA1533" s="8"/>
      <c r="AB1533" s="8"/>
      <c r="AC1533" s="8">
        <v>8.98</v>
      </c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11"/>
      <c r="AQ1533" s="8"/>
      <c r="AR1533" s="8"/>
      <c r="AS1533" s="8"/>
      <c r="AT1533" s="8">
        <v>1228.29</v>
      </c>
      <c r="AU1533" s="8"/>
      <c r="AV1533" s="8"/>
      <c r="AW1533" s="8"/>
      <c r="AX1533" s="8"/>
      <c r="AY1533" s="8"/>
      <c r="AZ1533" s="8"/>
      <c r="BA1533" s="8">
        <v>83.63</v>
      </c>
      <c r="BB1533" s="8"/>
      <c r="BC1533" s="8"/>
      <c r="BD1533" s="8"/>
      <c r="BE1533" s="8"/>
      <c r="BF1533" s="8"/>
      <c r="BG1533" s="8">
        <v>91.3</v>
      </c>
      <c r="BH1533" s="9">
        <f t="shared" si="207"/>
        <v>2248.5300000000002</v>
      </c>
      <c r="BI1533" s="9">
        <f t="shared" si="208"/>
        <v>5.18</v>
      </c>
      <c r="BJ1533" s="9">
        <f t="shared" si="209"/>
        <v>7.2</v>
      </c>
      <c r="BK1533" s="9">
        <f t="shared" si="210"/>
        <v>28.58</v>
      </c>
      <c r="BL1533" s="9">
        <f t="shared" si="211"/>
        <v>0</v>
      </c>
      <c r="BM1533" s="9">
        <f t="shared" si="212"/>
        <v>8.98</v>
      </c>
      <c r="BN1533" s="9">
        <f t="shared" si="213"/>
        <v>1228.29</v>
      </c>
      <c r="BO1533" s="9">
        <f t="shared" si="214"/>
        <v>83.63</v>
      </c>
      <c r="BP1533" s="9">
        <f t="shared" si="215"/>
        <v>0</v>
      </c>
    </row>
    <row r="1534" spans="1:68">
      <c r="A1534" s="6">
        <v>44826</v>
      </c>
      <c r="B1534" s="7">
        <v>3127</v>
      </c>
      <c r="C1534" s="8">
        <v>1059.6600000000001</v>
      </c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11">
        <v>3.16</v>
      </c>
      <c r="R1534" s="11"/>
      <c r="S1534" s="8">
        <v>4.88</v>
      </c>
      <c r="T1534" s="8"/>
      <c r="U1534" s="8">
        <v>10.61</v>
      </c>
      <c r="V1534" s="8"/>
      <c r="W1534" s="8"/>
      <c r="X1534" s="8"/>
      <c r="Y1534" s="8"/>
      <c r="Z1534" s="8">
        <v>155.01</v>
      </c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11"/>
      <c r="AQ1534" s="8"/>
      <c r="AR1534" s="8"/>
      <c r="AS1534" s="8"/>
      <c r="AT1534" s="8">
        <v>519.85</v>
      </c>
      <c r="AU1534" s="8"/>
      <c r="AV1534" s="8">
        <v>21.17</v>
      </c>
      <c r="AW1534" s="8"/>
      <c r="AX1534" s="8"/>
      <c r="AY1534" s="8"/>
      <c r="AZ1534" s="8"/>
      <c r="BA1534" s="8"/>
      <c r="BB1534" s="8"/>
      <c r="BC1534" s="8"/>
      <c r="BD1534" s="8"/>
      <c r="BE1534" s="8"/>
      <c r="BF1534" s="8">
        <v>52.92</v>
      </c>
      <c r="BG1534" s="8">
        <v>37.07</v>
      </c>
      <c r="BH1534" s="9">
        <f t="shared" si="207"/>
        <v>1059.6600000000001</v>
      </c>
      <c r="BI1534" s="9">
        <f t="shared" si="208"/>
        <v>3.16</v>
      </c>
      <c r="BJ1534" s="9">
        <f t="shared" si="209"/>
        <v>4.88</v>
      </c>
      <c r="BK1534" s="9">
        <f t="shared" si="210"/>
        <v>10.61</v>
      </c>
      <c r="BL1534" s="9">
        <f t="shared" si="211"/>
        <v>155.01</v>
      </c>
      <c r="BM1534" s="9">
        <f t="shared" si="212"/>
        <v>0</v>
      </c>
      <c r="BN1534" s="9">
        <f t="shared" si="213"/>
        <v>519.85</v>
      </c>
      <c r="BO1534" s="9">
        <f t="shared" si="214"/>
        <v>21.17</v>
      </c>
      <c r="BP1534" s="9">
        <f t="shared" si="215"/>
        <v>52.92</v>
      </c>
    </row>
    <row r="1535" spans="1:68">
      <c r="A1535" s="6">
        <v>44826</v>
      </c>
      <c r="B1535" s="7">
        <v>3106</v>
      </c>
      <c r="C1535" s="8">
        <v>4081.18</v>
      </c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11">
        <v>11.02</v>
      </c>
      <c r="R1535" s="11"/>
      <c r="S1535" s="8">
        <v>12.24</v>
      </c>
      <c r="T1535" s="8"/>
      <c r="U1535" s="8">
        <v>51.87</v>
      </c>
      <c r="V1535" s="8"/>
      <c r="W1535" s="8"/>
      <c r="X1535" s="8"/>
      <c r="Y1535" s="8"/>
      <c r="Z1535" s="8"/>
      <c r="AA1535" s="8"/>
      <c r="AB1535" s="8"/>
      <c r="AC1535" s="8">
        <v>10.199999999999999</v>
      </c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11"/>
      <c r="AQ1535" s="8"/>
      <c r="AR1535" s="8"/>
      <c r="AS1535" s="8"/>
      <c r="AT1535" s="8">
        <v>2336.6999999999998</v>
      </c>
      <c r="AU1535" s="8"/>
      <c r="AV1535" s="8"/>
      <c r="AW1535" s="8"/>
      <c r="AX1535" s="8">
        <v>5.0999999999999996</v>
      </c>
      <c r="AY1535" s="8"/>
      <c r="AZ1535" s="8"/>
      <c r="BA1535" s="8"/>
      <c r="BB1535" s="8"/>
      <c r="BC1535" s="8"/>
      <c r="BD1535" s="8"/>
      <c r="BE1535" s="8"/>
      <c r="BF1535" s="8"/>
      <c r="BG1535" s="8">
        <v>175.69</v>
      </c>
      <c r="BH1535" s="9">
        <f t="shared" si="207"/>
        <v>4081.18</v>
      </c>
      <c r="BI1535" s="9">
        <f t="shared" si="208"/>
        <v>11.02</v>
      </c>
      <c r="BJ1535" s="9">
        <f t="shared" si="209"/>
        <v>12.24</v>
      </c>
      <c r="BK1535" s="9">
        <f t="shared" si="210"/>
        <v>51.87</v>
      </c>
      <c r="BL1535" s="9">
        <f t="shared" si="211"/>
        <v>0</v>
      </c>
      <c r="BM1535" s="9">
        <f t="shared" si="212"/>
        <v>10.199999999999999</v>
      </c>
      <c r="BN1535" s="9">
        <f t="shared" si="213"/>
        <v>2336.6999999999998</v>
      </c>
      <c r="BO1535" s="9">
        <f t="shared" si="214"/>
        <v>5.0999999999999996</v>
      </c>
      <c r="BP1535" s="9">
        <f t="shared" si="215"/>
        <v>0</v>
      </c>
    </row>
    <row r="1536" spans="1:68">
      <c r="A1536" s="6">
        <v>44826</v>
      </c>
      <c r="B1536" s="7">
        <v>3119</v>
      </c>
      <c r="C1536" s="8">
        <v>1366.35</v>
      </c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11">
        <v>4.51</v>
      </c>
      <c r="R1536" s="11"/>
      <c r="S1536" s="8">
        <v>6.29</v>
      </c>
      <c r="T1536" s="8"/>
      <c r="U1536" s="8">
        <v>13.68</v>
      </c>
      <c r="V1536" s="8"/>
      <c r="W1536" s="8"/>
      <c r="X1536" s="8"/>
      <c r="Y1536" s="8"/>
      <c r="Z1536" s="8"/>
      <c r="AA1536" s="8"/>
      <c r="AB1536" s="8"/>
      <c r="AC1536" s="8">
        <v>3.42</v>
      </c>
      <c r="AD1536" s="8"/>
      <c r="AE1536" s="8"/>
      <c r="AF1536" s="8"/>
      <c r="AG1536" s="8">
        <v>4.0999999999999996</v>
      </c>
      <c r="AH1536" s="8"/>
      <c r="AI1536" s="8"/>
      <c r="AJ1536" s="8"/>
      <c r="AK1536" s="8"/>
      <c r="AL1536" s="8"/>
      <c r="AM1536" s="8"/>
      <c r="AN1536" s="8"/>
      <c r="AO1536" s="8"/>
      <c r="AP1536" s="11"/>
      <c r="AQ1536" s="8"/>
      <c r="AR1536" s="8"/>
      <c r="AS1536" s="8"/>
      <c r="AT1536" s="8">
        <v>519.16999999999996</v>
      </c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>
        <v>95.71</v>
      </c>
      <c r="BG1536" s="8">
        <v>36.409999999999997</v>
      </c>
      <c r="BH1536" s="9">
        <f t="shared" si="207"/>
        <v>1366.35</v>
      </c>
      <c r="BI1536" s="9">
        <f t="shared" si="208"/>
        <v>4.51</v>
      </c>
      <c r="BJ1536" s="9">
        <f t="shared" si="209"/>
        <v>6.29</v>
      </c>
      <c r="BK1536" s="9">
        <f t="shared" si="210"/>
        <v>13.68</v>
      </c>
      <c r="BL1536" s="9">
        <f t="shared" si="211"/>
        <v>0</v>
      </c>
      <c r="BM1536" s="9">
        <f t="shared" si="212"/>
        <v>7.52</v>
      </c>
      <c r="BN1536" s="9">
        <f t="shared" si="213"/>
        <v>519.16999999999996</v>
      </c>
      <c r="BO1536" s="9">
        <f t="shared" si="214"/>
        <v>0</v>
      </c>
      <c r="BP1536" s="9">
        <f t="shared" si="215"/>
        <v>95.71</v>
      </c>
    </row>
    <row r="1537" spans="1:68">
      <c r="A1537" s="6">
        <v>44826</v>
      </c>
      <c r="B1537" s="7">
        <v>3104</v>
      </c>
      <c r="C1537" s="8">
        <v>1496.33</v>
      </c>
      <c r="D1537" s="8"/>
      <c r="E1537" s="8"/>
      <c r="F1537" s="8"/>
      <c r="G1537" s="8"/>
      <c r="H1537" s="8">
        <v>385.45</v>
      </c>
      <c r="I1537" s="8"/>
      <c r="J1537" s="8"/>
      <c r="K1537" s="8"/>
      <c r="L1537" s="8"/>
      <c r="M1537" s="8"/>
      <c r="N1537" s="8"/>
      <c r="O1537" s="8"/>
      <c r="P1537" s="8"/>
      <c r="Q1537" s="11">
        <v>4.1100000000000003</v>
      </c>
      <c r="R1537" s="11"/>
      <c r="S1537" s="8">
        <v>7.88</v>
      </c>
      <c r="T1537" s="8"/>
      <c r="U1537" s="8">
        <v>19.68</v>
      </c>
      <c r="V1537" s="8"/>
      <c r="W1537" s="8"/>
      <c r="X1537" s="8"/>
      <c r="Y1537" s="8"/>
      <c r="Z1537" s="8"/>
      <c r="AA1537" s="8"/>
      <c r="AB1537" s="8"/>
      <c r="AC1537" s="8">
        <v>6.85</v>
      </c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11"/>
      <c r="AQ1537" s="8"/>
      <c r="AR1537" s="8"/>
      <c r="AS1537" s="8"/>
      <c r="AT1537" s="8">
        <v>1096.29</v>
      </c>
      <c r="AU1537" s="8"/>
      <c r="AV1537" s="8"/>
      <c r="AW1537" s="8"/>
      <c r="AX1537" s="8"/>
      <c r="AY1537" s="8"/>
      <c r="AZ1537" s="8"/>
      <c r="BA1537" s="8">
        <v>38.99</v>
      </c>
      <c r="BB1537" s="8"/>
      <c r="BC1537" s="8"/>
      <c r="BD1537" s="8"/>
      <c r="BE1537" s="8"/>
      <c r="BF1537" s="8">
        <v>34.26</v>
      </c>
      <c r="BG1537" s="8">
        <v>84.66</v>
      </c>
      <c r="BH1537" s="9">
        <f t="shared" si="207"/>
        <v>1881.78</v>
      </c>
      <c r="BI1537" s="9">
        <f t="shared" si="208"/>
        <v>4.1100000000000003</v>
      </c>
      <c r="BJ1537" s="9">
        <f t="shared" si="209"/>
        <v>7.88</v>
      </c>
      <c r="BK1537" s="9">
        <f t="shared" si="210"/>
        <v>19.68</v>
      </c>
      <c r="BL1537" s="9">
        <f t="shared" si="211"/>
        <v>0</v>
      </c>
      <c r="BM1537" s="9">
        <f t="shared" si="212"/>
        <v>6.85</v>
      </c>
      <c r="BN1537" s="9">
        <f t="shared" si="213"/>
        <v>1096.29</v>
      </c>
      <c r="BO1537" s="9">
        <f t="shared" si="214"/>
        <v>38.99</v>
      </c>
      <c r="BP1537" s="9">
        <f t="shared" si="215"/>
        <v>34.26</v>
      </c>
    </row>
    <row r="1538" spans="1:68">
      <c r="A1538" s="6">
        <v>44826</v>
      </c>
      <c r="B1538" s="7">
        <v>3136</v>
      </c>
      <c r="C1538" s="8">
        <v>1227.81</v>
      </c>
      <c r="D1538" s="8"/>
      <c r="E1538" s="8"/>
      <c r="F1538" s="8"/>
      <c r="G1538" s="8"/>
      <c r="H1538" s="8">
        <v>509.73</v>
      </c>
      <c r="I1538" s="8"/>
      <c r="J1538" s="8"/>
      <c r="K1538" s="8"/>
      <c r="L1538" s="8"/>
      <c r="M1538" s="8"/>
      <c r="N1538" s="8"/>
      <c r="O1538" s="8"/>
      <c r="P1538" s="8"/>
      <c r="Q1538" s="11">
        <v>1.96</v>
      </c>
      <c r="R1538" s="11"/>
      <c r="S1538" s="8">
        <v>7.41</v>
      </c>
      <c r="T1538" s="8"/>
      <c r="U1538" s="8">
        <v>19.63</v>
      </c>
      <c r="V1538" s="8"/>
      <c r="W1538" s="8"/>
      <c r="X1538" s="8"/>
      <c r="Y1538" s="8"/>
      <c r="Z1538" s="8"/>
      <c r="AA1538" s="8"/>
      <c r="AB1538" s="8"/>
      <c r="AC1538" s="8">
        <v>6.04</v>
      </c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11"/>
      <c r="AQ1538" s="8"/>
      <c r="AR1538" s="8"/>
      <c r="AS1538" s="8"/>
      <c r="AT1538" s="8">
        <v>982.7</v>
      </c>
      <c r="AU1538" s="8"/>
      <c r="AV1538" s="8"/>
      <c r="AW1538" s="8"/>
      <c r="AX1538" s="8"/>
      <c r="AY1538" s="8"/>
      <c r="AZ1538" s="8"/>
      <c r="BA1538" s="8">
        <v>14.97</v>
      </c>
      <c r="BB1538" s="8"/>
      <c r="BC1538" s="8"/>
      <c r="BD1538" s="8"/>
      <c r="BE1538" s="8"/>
      <c r="BF1538" s="8">
        <v>60.48</v>
      </c>
      <c r="BG1538" s="8">
        <v>74.150000000000006</v>
      </c>
      <c r="BH1538" s="9">
        <f t="shared" si="207"/>
        <v>1737.54</v>
      </c>
      <c r="BI1538" s="9">
        <f t="shared" si="208"/>
        <v>1.96</v>
      </c>
      <c r="BJ1538" s="9">
        <f t="shared" si="209"/>
        <v>7.41</v>
      </c>
      <c r="BK1538" s="9">
        <f t="shared" si="210"/>
        <v>19.63</v>
      </c>
      <c r="BL1538" s="9">
        <f t="shared" si="211"/>
        <v>0</v>
      </c>
      <c r="BM1538" s="9">
        <f t="shared" si="212"/>
        <v>6.04</v>
      </c>
      <c r="BN1538" s="9">
        <f t="shared" si="213"/>
        <v>982.7</v>
      </c>
      <c r="BO1538" s="9">
        <f t="shared" si="214"/>
        <v>14.97</v>
      </c>
      <c r="BP1538" s="9">
        <f t="shared" si="215"/>
        <v>60.48</v>
      </c>
    </row>
    <row r="1539" spans="1:68">
      <c r="A1539" s="6">
        <v>44826</v>
      </c>
      <c r="B1539" s="7">
        <v>3134</v>
      </c>
      <c r="C1539" s="8">
        <v>1047.19</v>
      </c>
      <c r="D1539" s="8">
        <v>146.22999999999999</v>
      </c>
      <c r="E1539" s="8"/>
      <c r="F1539" s="8"/>
      <c r="G1539" s="8"/>
      <c r="H1539" s="8">
        <v>492.95</v>
      </c>
      <c r="I1539" s="8"/>
      <c r="J1539" s="8"/>
      <c r="K1539" s="8"/>
      <c r="L1539" s="8"/>
      <c r="M1539" s="8"/>
      <c r="N1539" s="8"/>
      <c r="O1539" s="8"/>
      <c r="P1539" s="8"/>
      <c r="Q1539" s="11">
        <v>3.24</v>
      </c>
      <c r="R1539" s="11"/>
      <c r="S1539" s="8">
        <v>6.76</v>
      </c>
      <c r="T1539" s="8"/>
      <c r="U1539" s="8">
        <v>19.03</v>
      </c>
      <c r="V1539" s="8"/>
      <c r="W1539" s="8"/>
      <c r="X1539" s="8"/>
      <c r="Y1539" s="8"/>
      <c r="Z1539" s="8"/>
      <c r="AA1539" s="8"/>
      <c r="AB1539" s="8"/>
      <c r="AC1539" s="8">
        <v>5.86</v>
      </c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11"/>
      <c r="AQ1539" s="8"/>
      <c r="AR1539" s="8"/>
      <c r="AS1539" s="8"/>
      <c r="AT1539" s="8">
        <v>1032.9000000000001</v>
      </c>
      <c r="AU1539" s="8"/>
      <c r="AV1539" s="8"/>
      <c r="AW1539" s="8"/>
      <c r="AX1539" s="8"/>
      <c r="AY1539" s="8">
        <f>1432*10.47/1000</f>
        <v>14.993040000000001</v>
      </c>
      <c r="AZ1539" s="8"/>
      <c r="BA1539" s="8"/>
      <c r="BB1539" s="8"/>
      <c r="BC1539" s="8"/>
      <c r="BD1539" s="8"/>
      <c r="BE1539" s="8"/>
      <c r="BF1539" s="8">
        <v>66.08</v>
      </c>
      <c r="BG1539" s="8">
        <v>77.540000000000006</v>
      </c>
      <c r="BH1539" s="9">
        <f t="shared" si="207"/>
        <v>1686.3700000000001</v>
      </c>
      <c r="BI1539" s="9">
        <f t="shared" si="208"/>
        <v>3.24</v>
      </c>
      <c r="BJ1539" s="9">
        <f t="shared" si="209"/>
        <v>6.76</v>
      </c>
      <c r="BK1539" s="9">
        <f t="shared" si="210"/>
        <v>19.03</v>
      </c>
      <c r="BL1539" s="9">
        <f t="shared" si="211"/>
        <v>0</v>
      </c>
      <c r="BM1539" s="9">
        <f t="shared" si="212"/>
        <v>5.86</v>
      </c>
      <c r="BN1539" s="9">
        <f t="shared" si="213"/>
        <v>1032.9000000000001</v>
      </c>
      <c r="BO1539" s="9">
        <f t="shared" si="214"/>
        <v>14.993040000000001</v>
      </c>
      <c r="BP1539" s="9">
        <f t="shared" si="215"/>
        <v>66.08</v>
      </c>
    </row>
    <row r="1540" spans="1:68">
      <c r="A1540" s="6">
        <v>44826</v>
      </c>
      <c r="B1540" s="7">
        <v>3307</v>
      </c>
      <c r="C1540" s="8"/>
      <c r="D1540" s="8">
        <v>968.72</v>
      </c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11">
        <v>1.26</v>
      </c>
      <c r="R1540" s="11"/>
      <c r="S1540" s="8">
        <v>7.07</v>
      </c>
      <c r="T1540" s="8"/>
      <c r="U1540" s="8">
        <v>9.69</v>
      </c>
      <c r="V1540" s="8"/>
      <c r="W1540" s="8"/>
      <c r="X1540" s="8"/>
      <c r="Y1540" s="8"/>
      <c r="Z1540" s="8"/>
      <c r="AA1540" s="8"/>
      <c r="AB1540" s="8"/>
      <c r="AC1540" s="8">
        <v>5.81</v>
      </c>
      <c r="AD1540" s="8"/>
      <c r="AE1540" s="8"/>
      <c r="AF1540" s="8"/>
      <c r="AG1540" s="8">
        <v>9.6999999999999993</v>
      </c>
      <c r="AH1540" s="8"/>
      <c r="AI1540" s="8"/>
      <c r="AJ1540" s="8"/>
      <c r="AK1540" s="8"/>
      <c r="AL1540" s="8"/>
      <c r="AM1540" s="8"/>
      <c r="AN1540" s="8"/>
      <c r="AO1540" s="8"/>
      <c r="AP1540" s="11"/>
      <c r="AQ1540" s="8"/>
      <c r="AR1540" s="8"/>
      <c r="AS1540" s="8"/>
      <c r="AT1540" s="8"/>
      <c r="AU1540" s="8">
        <v>485.33</v>
      </c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>
        <v>34.82</v>
      </c>
      <c r="BH1540" s="9">
        <f t="shared" ref="BH1540:BH1603" si="216">SUM(C1540:L1540)</f>
        <v>968.72</v>
      </c>
      <c r="BI1540" s="9">
        <f t="shared" ref="BI1540:BI1603" si="217">SUM(M1540:R1540)</f>
        <v>1.26</v>
      </c>
      <c r="BJ1540" s="9">
        <f t="shared" ref="BJ1540:BJ1603" si="218">SUM(S1540)</f>
        <v>7.07</v>
      </c>
      <c r="BK1540" s="9">
        <f t="shared" ref="BK1540:BK1603" si="219">SUM(T1540:Y1540)</f>
        <v>9.69</v>
      </c>
      <c r="BL1540" s="9">
        <f t="shared" ref="BL1540:BL1603" si="220">SUM(Z1540:AA1540)</f>
        <v>0</v>
      </c>
      <c r="BM1540" s="9">
        <f t="shared" ref="BM1540:BM1603" si="221">SUM(AB1540:AS1540)</f>
        <v>15.509999999999998</v>
      </c>
      <c r="BN1540" s="9">
        <f t="shared" ref="BN1540:BN1603" si="222">SUM(AT1540:AU1540)</f>
        <v>485.33</v>
      </c>
      <c r="BO1540" s="9">
        <f t="shared" ref="BO1540:BO1603" si="223">SUM(AV1540:BE1540)</f>
        <v>0</v>
      </c>
      <c r="BP1540" s="9">
        <f t="shared" ref="BP1540:BP1603" si="224">SUM(BF1540)</f>
        <v>0</v>
      </c>
    </row>
    <row r="1541" spans="1:68">
      <c r="A1541" s="6">
        <v>44826</v>
      </c>
      <c r="B1541" s="7">
        <v>3701</v>
      </c>
      <c r="C1541" s="8">
        <v>355.42</v>
      </c>
      <c r="D1541" s="8"/>
      <c r="E1541" s="8"/>
      <c r="F1541" s="8"/>
      <c r="G1541" s="8"/>
      <c r="H1541" s="8"/>
      <c r="I1541" s="8"/>
      <c r="J1541" s="8">
        <f>48123*12.03/1000</f>
        <v>578.91968999999995</v>
      </c>
      <c r="K1541" s="8"/>
      <c r="L1541" s="8"/>
      <c r="M1541" s="8"/>
      <c r="N1541" s="8">
        <v>2.21</v>
      </c>
      <c r="O1541" s="8"/>
      <c r="P1541" s="8"/>
      <c r="Q1541" s="11"/>
      <c r="R1541" s="11"/>
      <c r="S1541" s="8">
        <v>2.6</v>
      </c>
      <c r="T1541" s="8"/>
      <c r="U1541" s="8">
        <v>5.79</v>
      </c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>
        <v>19.3</v>
      </c>
      <c r="AH1541" s="8"/>
      <c r="AI1541" s="8"/>
      <c r="AJ1541" s="8">
        <f>2467*12.03/1000</f>
        <v>29.678009999999997</v>
      </c>
      <c r="AK1541" s="8"/>
      <c r="AL1541" s="8"/>
      <c r="AM1541" s="8"/>
      <c r="AN1541" s="8"/>
      <c r="AO1541" s="8"/>
      <c r="AP1541" s="11"/>
      <c r="AQ1541" s="8"/>
      <c r="AR1541" s="8"/>
      <c r="AS1541" s="8"/>
      <c r="AT1541" s="8"/>
      <c r="AU1541" s="8">
        <v>340.6</v>
      </c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>
        <v>23.27</v>
      </c>
      <c r="BH1541" s="9">
        <f t="shared" si="216"/>
        <v>934.33969000000002</v>
      </c>
      <c r="BI1541" s="9">
        <f t="shared" si="217"/>
        <v>2.21</v>
      </c>
      <c r="BJ1541" s="9">
        <f t="shared" si="218"/>
        <v>2.6</v>
      </c>
      <c r="BK1541" s="9">
        <f t="shared" si="219"/>
        <v>5.79</v>
      </c>
      <c r="BL1541" s="9">
        <f t="shared" si="220"/>
        <v>0</v>
      </c>
      <c r="BM1541" s="9">
        <f t="shared" si="221"/>
        <v>48.978009999999998</v>
      </c>
      <c r="BN1541" s="9">
        <f t="shared" si="222"/>
        <v>340.6</v>
      </c>
      <c r="BO1541" s="9">
        <f t="shared" si="223"/>
        <v>0</v>
      </c>
      <c r="BP1541" s="9">
        <f t="shared" si="224"/>
        <v>0</v>
      </c>
    </row>
    <row r="1542" spans="1:68">
      <c r="A1542" s="6">
        <v>44827</v>
      </c>
      <c r="B1542" s="7">
        <v>3016</v>
      </c>
      <c r="C1542" s="8"/>
      <c r="D1542" s="8">
        <v>2377.5300000000002</v>
      </c>
      <c r="E1542" s="8"/>
      <c r="F1542" s="8"/>
      <c r="G1542" s="8"/>
      <c r="H1542" s="8"/>
      <c r="I1542" s="8">
        <v>2191.59</v>
      </c>
      <c r="J1542" s="8"/>
      <c r="K1542" s="8"/>
      <c r="L1542" s="8"/>
      <c r="M1542" s="8"/>
      <c r="N1542" s="8">
        <v>27.4</v>
      </c>
      <c r="O1542" s="8"/>
      <c r="P1542" s="8"/>
      <c r="Q1542" s="11"/>
      <c r="R1542" s="11"/>
      <c r="S1542" s="8">
        <v>3.17</v>
      </c>
      <c r="T1542" s="8"/>
      <c r="U1542" s="8"/>
      <c r="V1542" s="8"/>
      <c r="W1542" s="8">
        <v>45.72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>
        <v>18.27</v>
      </c>
      <c r="AN1542" s="8">
        <f>2041*26.87/1000</f>
        <v>54.841670000000008</v>
      </c>
      <c r="AO1542" s="8"/>
      <c r="AP1542" s="11"/>
      <c r="AQ1542" s="8"/>
      <c r="AR1542" s="8">
        <f>4235*26.87/1000</f>
        <v>113.79445</v>
      </c>
      <c r="AS1542" s="8"/>
      <c r="AT1542" s="8">
        <v>1693.01</v>
      </c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>
        <v>123.98</v>
      </c>
      <c r="BH1542" s="9">
        <f t="shared" si="216"/>
        <v>4569.1200000000008</v>
      </c>
      <c r="BI1542" s="9">
        <f t="shared" si="217"/>
        <v>27.4</v>
      </c>
      <c r="BJ1542" s="9">
        <f t="shared" si="218"/>
        <v>3.17</v>
      </c>
      <c r="BK1542" s="9">
        <f t="shared" si="219"/>
        <v>45.72</v>
      </c>
      <c r="BL1542" s="9">
        <f t="shared" si="220"/>
        <v>0</v>
      </c>
      <c r="BM1542" s="9">
        <f t="shared" si="221"/>
        <v>186.90611999999999</v>
      </c>
      <c r="BN1542" s="9">
        <f t="shared" si="222"/>
        <v>1693.01</v>
      </c>
      <c r="BO1542" s="9">
        <f t="shared" si="223"/>
        <v>0</v>
      </c>
      <c r="BP1542" s="9">
        <f t="shared" si="224"/>
        <v>0</v>
      </c>
    </row>
    <row r="1543" spans="1:68">
      <c r="A1543" s="6">
        <v>44827</v>
      </c>
      <c r="B1543" s="7">
        <v>3020</v>
      </c>
      <c r="C1543" s="8"/>
      <c r="D1543" s="8">
        <v>168.27</v>
      </c>
      <c r="E1543" s="8"/>
      <c r="F1543" s="8"/>
      <c r="G1543" s="8"/>
      <c r="H1543" s="8"/>
      <c r="I1543" s="8">
        <v>959.8</v>
      </c>
      <c r="J1543" s="8"/>
      <c r="K1543" s="8"/>
      <c r="L1543" s="8"/>
      <c r="M1543" s="8"/>
      <c r="N1543" s="8">
        <v>6.77</v>
      </c>
      <c r="O1543" s="8"/>
      <c r="P1543" s="8"/>
      <c r="Q1543" s="11"/>
      <c r="R1543" s="11"/>
      <c r="S1543" s="8">
        <v>2.0299999999999998</v>
      </c>
      <c r="T1543" s="8"/>
      <c r="U1543" s="8"/>
      <c r="V1543" s="8"/>
      <c r="W1543" s="8">
        <v>11.3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>
        <v>11.28</v>
      </c>
      <c r="AN1543" s="8"/>
      <c r="AO1543" s="8"/>
      <c r="AP1543" s="11"/>
      <c r="AQ1543" s="8"/>
      <c r="AR1543" s="8"/>
      <c r="AS1543" s="8">
        <f>3084*9.4/1000</f>
        <v>28.989600000000003</v>
      </c>
      <c r="AT1543" s="8">
        <v>554.57000000000005</v>
      </c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>
        <v>40.75</v>
      </c>
      <c r="BH1543" s="9">
        <f t="shared" si="216"/>
        <v>1128.07</v>
      </c>
      <c r="BI1543" s="9">
        <f t="shared" si="217"/>
        <v>6.77</v>
      </c>
      <c r="BJ1543" s="9">
        <f t="shared" si="218"/>
        <v>2.0299999999999998</v>
      </c>
      <c r="BK1543" s="9">
        <f t="shared" si="219"/>
        <v>11.3</v>
      </c>
      <c r="BL1543" s="9">
        <f t="shared" si="220"/>
        <v>0</v>
      </c>
      <c r="BM1543" s="9">
        <f t="shared" si="221"/>
        <v>40.269600000000004</v>
      </c>
      <c r="BN1543" s="9">
        <f t="shared" si="222"/>
        <v>554.57000000000005</v>
      </c>
      <c r="BO1543" s="9">
        <f t="shared" si="223"/>
        <v>0</v>
      </c>
      <c r="BP1543" s="9">
        <f t="shared" si="224"/>
        <v>0</v>
      </c>
    </row>
    <row r="1544" spans="1:68">
      <c r="A1544" s="6">
        <v>44827</v>
      </c>
      <c r="B1544" s="7">
        <v>3204</v>
      </c>
      <c r="C1544" s="8"/>
      <c r="D1544" s="8">
        <v>922.37</v>
      </c>
      <c r="E1544" s="8">
        <v>394.74</v>
      </c>
      <c r="F1544" s="8"/>
      <c r="G1544" s="8"/>
      <c r="H1544" s="8"/>
      <c r="I1544" s="8"/>
      <c r="J1544" s="8"/>
      <c r="K1544" s="8"/>
      <c r="L1544" s="8"/>
      <c r="M1544" s="8"/>
      <c r="N1544" s="8"/>
      <c r="O1544" s="8">
        <v>6.56</v>
      </c>
      <c r="P1544" s="8"/>
      <c r="Q1544" s="11"/>
      <c r="R1544" s="11"/>
      <c r="S1544" s="8">
        <v>4.49</v>
      </c>
      <c r="T1544" s="8"/>
      <c r="U1544" s="8">
        <v>14.54</v>
      </c>
      <c r="V1544" s="8"/>
      <c r="W1544" s="8"/>
      <c r="X1544" s="8"/>
      <c r="Y1544" s="8"/>
      <c r="Z1544" s="8">
        <v>198.03</v>
      </c>
      <c r="AA1544" s="8"/>
      <c r="AB1544" s="8">
        <f>706*9.42/1000</f>
        <v>6.6505199999999993</v>
      </c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11"/>
      <c r="AQ1544" s="8"/>
      <c r="AR1544" s="8"/>
      <c r="AS1544" s="8"/>
      <c r="AT1544" s="8">
        <v>579.89</v>
      </c>
      <c r="AU1544" s="8"/>
      <c r="AV1544" s="8"/>
      <c r="AW1544" s="8">
        <v>4.24</v>
      </c>
      <c r="AX1544" s="8"/>
      <c r="AY1544" s="8"/>
      <c r="AZ1544" s="8"/>
      <c r="BA1544" s="8"/>
      <c r="BB1544" s="8"/>
      <c r="BC1544" s="8"/>
      <c r="BD1544" s="8"/>
      <c r="BE1544" s="8"/>
      <c r="BF1544" s="8"/>
      <c r="BG1544" s="8">
        <v>42.91</v>
      </c>
      <c r="BH1544" s="9">
        <f t="shared" si="216"/>
        <v>1317.1100000000001</v>
      </c>
      <c r="BI1544" s="9">
        <f t="shared" si="217"/>
        <v>6.56</v>
      </c>
      <c r="BJ1544" s="9">
        <f t="shared" si="218"/>
        <v>4.49</v>
      </c>
      <c r="BK1544" s="9">
        <f t="shared" si="219"/>
        <v>14.54</v>
      </c>
      <c r="BL1544" s="9">
        <f t="shared" si="220"/>
        <v>198.03</v>
      </c>
      <c r="BM1544" s="9">
        <f t="shared" si="221"/>
        <v>6.6505199999999993</v>
      </c>
      <c r="BN1544" s="9">
        <f t="shared" si="222"/>
        <v>579.89</v>
      </c>
      <c r="BO1544" s="9">
        <f t="shared" si="223"/>
        <v>4.24</v>
      </c>
      <c r="BP1544" s="9">
        <f t="shared" si="224"/>
        <v>0</v>
      </c>
    </row>
    <row r="1545" spans="1:68">
      <c r="A1545" s="6">
        <v>44827</v>
      </c>
      <c r="B1545" s="7">
        <v>3022</v>
      </c>
      <c r="C1545" s="8"/>
      <c r="D1545" s="8">
        <v>1056.4000000000001</v>
      </c>
      <c r="E1545" s="8"/>
      <c r="F1545" s="8"/>
      <c r="G1545" s="8"/>
      <c r="H1545" s="8"/>
      <c r="I1545" s="8">
        <v>868.13</v>
      </c>
      <c r="J1545" s="8"/>
      <c r="K1545" s="8"/>
      <c r="L1545" s="8"/>
      <c r="M1545" s="8"/>
      <c r="N1545" s="8">
        <v>9.6199999999999992</v>
      </c>
      <c r="O1545" s="8"/>
      <c r="P1545" s="8"/>
      <c r="Q1545" s="11"/>
      <c r="R1545" s="11"/>
      <c r="S1545" s="8">
        <v>3.46</v>
      </c>
      <c r="T1545" s="8"/>
      <c r="U1545" s="8"/>
      <c r="V1545" s="8"/>
      <c r="W1545" s="8">
        <v>19.239999999999998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>
        <v>25.02</v>
      </c>
      <c r="AN1545" s="8"/>
      <c r="AO1545" s="8"/>
      <c r="AP1545" s="11"/>
      <c r="AQ1545" s="8"/>
      <c r="AR1545" s="8"/>
      <c r="AS1545" s="8">
        <f>3869*17.48/1000</f>
        <v>67.630119999999991</v>
      </c>
      <c r="AT1545" s="8">
        <v>899.81</v>
      </c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>
        <v>69.22</v>
      </c>
      <c r="BH1545" s="9">
        <f t="shared" si="216"/>
        <v>1924.5300000000002</v>
      </c>
      <c r="BI1545" s="9">
        <f t="shared" si="217"/>
        <v>9.6199999999999992</v>
      </c>
      <c r="BJ1545" s="9">
        <f t="shared" si="218"/>
        <v>3.46</v>
      </c>
      <c r="BK1545" s="9">
        <f t="shared" si="219"/>
        <v>19.239999999999998</v>
      </c>
      <c r="BL1545" s="9">
        <f t="shared" si="220"/>
        <v>0</v>
      </c>
      <c r="BM1545" s="9">
        <f t="shared" si="221"/>
        <v>92.650119999999987</v>
      </c>
      <c r="BN1545" s="9">
        <f t="shared" si="222"/>
        <v>899.81</v>
      </c>
      <c r="BO1545" s="9">
        <f t="shared" si="223"/>
        <v>0</v>
      </c>
      <c r="BP1545" s="9">
        <f t="shared" si="224"/>
        <v>0</v>
      </c>
    </row>
    <row r="1546" spans="1:68">
      <c r="A1546" s="6">
        <v>44830</v>
      </c>
      <c r="B1546" s="7">
        <v>3704</v>
      </c>
      <c r="C1546" s="8">
        <v>644.16999999999996</v>
      </c>
      <c r="D1546" s="8">
        <v>998.27</v>
      </c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11">
        <v>5.03</v>
      </c>
      <c r="R1546" s="11"/>
      <c r="S1546" s="8">
        <v>5.81</v>
      </c>
      <c r="T1546" s="8"/>
      <c r="U1546" s="8">
        <v>12.45</v>
      </c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>
        <f>1394*14.43/1000</f>
        <v>20.115419999999997</v>
      </c>
      <c r="AM1546" s="8"/>
      <c r="AN1546" s="8"/>
      <c r="AO1546" s="8"/>
      <c r="AP1546" s="11"/>
      <c r="AQ1546" s="8"/>
      <c r="AR1546" s="8"/>
      <c r="AS1546" s="8"/>
      <c r="AT1546" s="8">
        <v>289.66000000000003</v>
      </c>
      <c r="AU1546" s="8">
        <v>145.16999999999999</v>
      </c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>
        <v>26.29</v>
      </c>
      <c r="BH1546" s="9">
        <f t="shared" si="216"/>
        <v>1642.44</v>
      </c>
      <c r="BI1546" s="9">
        <f t="shared" si="217"/>
        <v>5.03</v>
      </c>
      <c r="BJ1546" s="9">
        <f t="shared" si="218"/>
        <v>5.81</v>
      </c>
      <c r="BK1546" s="9">
        <f t="shared" si="219"/>
        <v>12.45</v>
      </c>
      <c r="BL1546" s="9">
        <f t="shared" si="220"/>
        <v>0</v>
      </c>
      <c r="BM1546" s="9">
        <f t="shared" si="221"/>
        <v>20.115419999999997</v>
      </c>
      <c r="BN1546" s="9">
        <f t="shared" si="222"/>
        <v>434.83000000000004</v>
      </c>
      <c r="BO1546" s="9">
        <f t="shared" si="223"/>
        <v>0</v>
      </c>
      <c r="BP1546" s="9">
        <f t="shared" si="224"/>
        <v>0</v>
      </c>
    </row>
    <row r="1547" spans="1:68">
      <c r="A1547" s="6">
        <v>44830</v>
      </c>
      <c r="B1547" s="7">
        <v>3602</v>
      </c>
      <c r="C1547" s="8">
        <v>618.79999999999995</v>
      </c>
      <c r="D1547" s="8"/>
      <c r="E1547" s="8"/>
      <c r="F1547" s="8"/>
      <c r="G1547" s="8">
        <v>928.67</v>
      </c>
      <c r="H1547" s="8"/>
      <c r="I1547" s="8"/>
      <c r="J1547" s="8"/>
      <c r="K1547" s="8"/>
      <c r="L1547" s="8"/>
      <c r="M1547" s="8">
        <f>93*17.7/1000</f>
        <v>1.6460999999999999</v>
      </c>
      <c r="N1547" s="8"/>
      <c r="O1547" s="8"/>
      <c r="P1547" s="8"/>
      <c r="Q1547" s="11"/>
      <c r="R1547" s="11"/>
      <c r="S1547" s="8">
        <v>7.43</v>
      </c>
      <c r="T1547" s="8"/>
      <c r="U1547" s="8">
        <v>12.4</v>
      </c>
      <c r="V1547" s="8">
        <f>848*17.7/1000</f>
        <v>15.009599999999999</v>
      </c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11"/>
      <c r="AQ1547" s="8"/>
      <c r="AR1547" s="8"/>
      <c r="AS1547" s="8"/>
      <c r="AT1547" s="8">
        <v>625.23</v>
      </c>
      <c r="AU1547" s="8"/>
      <c r="AV1547" s="8"/>
      <c r="AW1547" s="8">
        <v>40.020000000000003</v>
      </c>
      <c r="AX1547" s="8"/>
      <c r="AY1547" s="8"/>
      <c r="AZ1547" s="8"/>
      <c r="BA1547" s="8"/>
      <c r="BB1547" s="8"/>
      <c r="BC1547" s="8"/>
      <c r="BD1547" s="8"/>
      <c r="BE1547" s="8"/>
      <c r="BF1547" s="8">
        <v>49.57</v>
      </c>
      <c r="BG1547" s="8">
        <v>46.72</v>
      </c>
      <c r="BH1547" s="9">
        <f t="shared" si="216"/>
        <v>1547.4699999999998</v>
      </c>
      <c r="BI1547" s="9">
        <f t="shared" si="217"/>
        <v>1.6460999999999999</v>
      </c>
      <c r="BJ1547" s="9">
        <f t="shared" si="218"/>
        <v>7.43</v>
      </c>
      <c r="BK1547" s="9">
        <f t="shared" si="219"/>
        <v>27.409599999999998</v>
      </c>
      <c r="BL1547" s="9">
        <f t="shared" si="220"/>
        <v>0</v>
      </c>
      <c r="BM1547" s="9">
        <f t="shared" si="221"/>
        <v>0</v>
      </c>
      <c r="BN1547" s="9">
        <f t="shared" si="222"/>
        <v>625.23</v>
      </c>
      <c r="BO1547" s="9">
        <f t="shared" si="223"/>
        <v>40.020000000000003</v>
      </c>
      <c r="BP1547" s="9">
        <f t="shared" si="224"/>
        <v>49.57</v>
      </c>
    </row>
    <row r="1548" spans="1:68">
      <c r="A1548" s="6">
        <v>44830</v>
      </c>
      <c r="B1548" s="7">
        <v>3117</v>
      </c>
      <c r="C1548" s="8">
        <v>723.46</v>
      </c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11">
        <v>1.8</v>
      </c>
      <c r="R1548" s="11"/>
      <c r="S1548" s="8">
        <v>2.68</v>
      </c>
      <c r="T1548" s="8"/>
      <c r="U1548" s="8">
        <v>7.24</v>
      </c>
      <c r="V1548" s="8"/>
      <c r="W1548" s="8"/>
      <c r="X1548" s="8"/>
      <c r="Y1548" s="8"/>
      <c r="Z1548" s="8"/>
      <c r="AA1548" s="8"/>
      <c r="AB1548" s="8"/>
      <c r="AC1548" s="8">
        <v>2.9</v>
      </c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11"/>
      <c r="AQ1548" s="8"/>
      <c r="AR1548" s="8"/>
      <c r="AS1548" s="8"/>
      <c r="AT1548" s="8">
        <v>458.99</v>
      </c>
      <c r="AU1548" s="8"/>
      <c r="AV1548" s="8">
        <v>18.13</v>
      </c>
      <c r="AW1548" s="8"/>
      <c r="AX1548" s="8"/>
      <c r="AY1548" s="8"/>
      <c r="AZ1548" s="8"/>
      <c r="BA1548" s="8"/>
      <c r="BB1548" s="8"/>
      <c r="BC1548" s="8"/>
      <c r="BD1548" s="8"/>
      <c r="BE1548" s="8"/>
      <c r="BF1548" s="8">
        <v>36.26</v>
      </c>
      <c r="BG1548" s="8">
        <v>34.75</v>
      </c>
      <c r="BH1548" s="9">
        <f t="shared" si="216"/>
        <v>723.46</v>
      </c>
      <c r="BI1548" s="9">
        <f t="shared" si="217"/>
        <v>1.8</v>
      </c>
      <c r="BJ1548" s="9">
        <f t="shared" si="218"/>
        <v>2.68</v>
      </c>
      <c r="BK1548" s="9">
        <f t="shared" si="219"/>
        <v>7.24</v>
      </c>
      <c r="BL1548" s="9">
        <f t="shared" si="220"/>
        <v>0</v>
      </c>
      <c r="BM1548" s="9">
        <f t="shared" si="221"/>
        <v>2.9</v>
      </c>
      <c r="BN1548" s="9">
        <f t="shared" si="222"/>
        <v>458.99</v>
      </c>
      <c r="BO1548" s="9">
        <f t="shared" si="223"/>
        <v>18.13</v>
      </c>
      <c r="BP1548" s="9">
        <f t="shared" si="224"/>
        <v>36.26</v>
      </c>
    </row>
    <row r="1549" spans="1:68">
      <c r="A1549" s="6">
        <v>44830</v>
      </c>
      <c r="B1549" s="7">
        <v>3083</v>
      </c>
      <c r="C1549" s="8"/>
      <c r="D1549" s="8">
        <v>1084.29</v>
      </c>
      <c r="E1549" s="8"/>
      <c r="F1549" s="8"/>
      <c r="G1549" s="8"/>
      <c r="H1549" s="8"/>
      <c r="I1549" s="8">
        <v>2522.96</v>
      </c>
      <c r="J1549" s="8"/>
      <c r="K1549" s="8"/>
      <c r="L1549" s="8"/>
      <c r="M1549" s="8"/>
      <c r="N1549" s="8">
        <v>22.75</v>
      </c>
      <c r="O1549" s="8"/>
      <c r="P1549" s="8"/>
      <c r="Q1549" s="11"/>
      <c r="R1549" s="11"/>
      <c r="S1549" s="8">
        <v>2.52</v>
      </c>
      <c r="T1549" s="8"/>
      <c r="U1549" s="8"/>
      <c r="V1549" s="8"/>
      <c r="W1549" s="8">
        <v>28.9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>
        <v>14.41</v>
      </c>
      <c r="AN1549" s="8">
        <f>1885*26.72/1000</f>
        <v>50.367199999999997</v>
      </c>
      <c r="AO1549" s="8"/>
      <c r="AP1549" s="11"/>
      <c r="AQ1549" s="8"/>
      <c r="AR1549" s="8">
        <f>3409*26.72/1000</f>
        <v>91.08847999999999</v>
      </c>
      <c r="AS1549" s="8"/>
      <c r="AT1549" s="8">
        <v>1696.77</v>
      </c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>
        <v>134.62</v>
      </c>
      <c r="BH1549" s="9">
        <f t="shared" si="216"/>
        <v>3607.25</v>
      </c>
      <c r="BI1549" s="9">
        <f t="shared" si="217"/>
        <v>22.75</v>
      </c>
      <c r="BJ1549" s="9">
        <f t="shared" si="218"/>
        <v>2.52</v>
      </c>
      <c r="BK1549" s="9">
        <f t="shared" si="219"/>
        <v>28.9</v>
      </c>
      <c r="BL1549" s="9">
        <f t="shared" si="220"/>
        <v>0</v>
      </c>
      <c r="BM1549" s="9">
        <f t="shared" si="221"/>
        <v>155.86568</v>
      </c>
      <c r="BN1549" s="9">
        <f t="shared" si="222"/>
        <v>1696.77</v>
      </c>
      <c r="BO1549" s="9">
        <f t="shared" si="223"/>
        <v>0</v>
      </c>
      <c r="BP1549" s="9">
        <f t="shared" si="224"/>
        <v>0</v>
      </c>
    </row>
    <row r="1550" spans="1:68">
      <c r="A1550" s="6">
        <v>44830</v>
      </c>
      <c r="B1550" s="7">
        <v>3433</v>
      </c>
      <c r="C1550" s="8">
        <v>975.6</v>
      </c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11">
        <v>1.94</v>
      </c>
      <c r="R1550" s="11"/>
      <c r="S1550" s="8">
        <v>3.9</v>
      </c>
      <c r="T1550" s="8"/>
      <c r="U1550" s="8"/>
      <c r="V1550" s="8"/>
      <c r="W1550" s="8"/>
      <c r="X1550" s="8">
        <f>862*11.5/1000</f>
        <v>9.9130000000000003</v>
      </c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11"/>
      <c r="AQ1550" s="8"/>
      <c r="AR1550" s="8"/>
      <c r="AS1550" s="8"/>
      <c r="AT1550" s="8">
        <v>444.52</v>
      </c>
      <c r="AU1550" s="8"/>
      <c r="AV1550" s="8"/>
      <c r="AW1550" s="8"/>
      <c r="AX1550" s="8"/>
      <c r="AY1550" s="8"/>
      <c r="AZ1550" s="8"/>
      <c r="BA1550" s="8">
        <v>4.37</v>
      </c>
      <c r="BB1550" s="8"/>
      <c r="BC1550" s="8"/>
      <c r="BD1550" s="8"/>
      <c r="BE1550" s="8"/>
      <c r="BF1550" s="8">
        <v>48.89</v>
      </c>
      <c r="BG1550" s="8">
        <v>32.54</v>
      </c>
      <c r="BH1550" s="9">
        <f t="shared" si="216"/>
        <v>975.6</v>
      </c>
      <c r="BI1550" s="9">
        <f t="shared" si="217"/>
        <v>1.94</v>
      </c>
      <c r="BJ1550" s="9">
        <f t="shared" si="218"/>
        <v>3.9</v>
      </c>
      <c r="BK1550" s="9">
        <f t="shared" si="219"/>
        <v>9.9130000000000003</v>
      </c>
      <c r="BL1550" s="9">
        <f t="shared" si="220"/>
        <v>0</v>
      </c>
      <c r="BM1550" s="9">
        <f t="shared" si="221"/>
        <v>0</v>
      </c>
      <c r="BN1550" s="9">
        <f t="shared" si="222"/>
        <v>444.52</v>
      </c>
      <c r="BO1550" s="9">
        <f t="shared" si="223"/>
        <v>4.37</v>
      </c>
      <c r="BP1550" s="9">
        <f t="shared" si="224"/>
        <v>48.89</v>
      </c>
    </row>
    <row r="1551" spans="1:68">
      <c r="A1551" s="6">
        <v>44830</v>
      </c>
      <c r="B1551" s="7">
        <v>3405</v>
      </c>
      <c r="C1551" s="8">
        <v>915.55</v>
      </c>
      <c r="D1551" s="8">
        <v>230.48</v>
      </c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11">
        <v>2.29</v>
      </c>
      <c r="R1551" s="11"/>
      <c r="S1551" s="8">
        <v>2.64</v>
      </c>
      <c r="T1551" s="8"/>
      <c r="U1551" s="8"/>
      <c r="V1551" s="8"/>
      <c r="W1551" s="8"/>
      <c r="X1551" s="8">
        <f>1203*11.45/1000</f>
        <v>13.774349999999998</v>
      </c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11"/>
      <c r="AQ1551" s="8"/>
      <c r="AR1551" s="8"/>
      <c r="AS1551" s="8"/>
      <c r="AT1551" s="8">
        <v>563.77</v>
      </c>
      <c r="AU1551" s="8"/>
      <c r="AV1551" s="8"/>
      <c r="AW1551" s="8"/>
      <c r="AX1551" s="8"/>
      <c r="AY1551" s="8"/>
      <c r="AZ1551" s="8"/>
      <c r="BA1551" s="8">
        <v>5.17</v>
      </c>
      <c r="BB1551" s="8"/>
      <c r="BC1551" s="8"/>
      <c r="BD1551" s="8"/>
      <c r="BE1551" s="8"/>
      <c r="BF1551" s="8"/>
      <c r="BG1551" s="8">
        <v>37.869999999999997</v>
      </c>
      <c r="BH1551" s="9">
        <f t="shared" si="216"/>
        <v>1146.03</v>
      </c>
      <c r="BI1551" s="9">
        <f t="shared" si="217"/>
        <v>2.29</v>
      </c>
      <c r="BJ1551" s="9">
        <f t="shared" si="218"/>
        <v>2.64</v>
      </c>
      <c r="BK1551" s="9">
        <f t="shared" si="219"/>
        <v>13.774349999999998</v>
      </c>
      <c r="BL1551" s="9">
        <f t="shared" si="220"/>
        <v>0</v>
      </c>
      <c r="BM1551" s="9">
        <f t="shared" si="221"/>
        <v>0</v>
      </c>
      <c r="BN1551" s="9">
        <f t="shared" si="222"/>
        <v>563.77</v>
      </c>
      <c r="BO1551" s="9">
        <f t="shared" si="223"/>
        <v>5.17</v>
      </c>
      <c r="BP1551" s="9">
        <f t="shared" si="224"/>
        <v>0</v>
      </c>
    </row>
    <row r="1552" spans="1:68">
      <c r="A1552" s="6">
        <v>44830</v>
      </c>
      <c r="B1552" s="7">
        <v>3141</v>
      </c>
      <c r="C1552" s="8">
        <v>2445.41</v>
      </c>
      <c r="D1552" s="8">
        <v>431.1</v>
      </c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11">
        <v>7.78</v>
      </c>
      <c r="R1552" s="11"/>
      <c r="S1552" s="8">
        <v>13.54</v>
      </c>
      <c r="T1552" s="8"/>
      <c r="U1552" s="8">
        <v>43.2</v>
      </c>
      <c r="V1552" s="8"/>
      <c r="W1552" s="8"/>
      <c r="X1552" s="8"/>
      <c r="Y1552" s="8"/>
      <c r="Z1552" s="8"/>
      <c r="AA1552" s="8"/>
      <c r="AB1552" s="8"/>
      <c r="AC1552" s="8">
        <v>11.52</v>
      </c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11"/>
      <c r="AQ1552" s="8"/>
      <c r="AR1552" s="8"/>
      <c r="AS1552" s="8"/>
      <c r="AT1552" s="8">
        <v>1907.34</v>
      </c>
      <c r="AU1552" s="8"/>
      <c r="AV1552" s="8"/>
      <c r="AW1552" s="8"/>
      <c r="AX1552" s="8"/>
      <c r="AY1552" s="8"/>
      <c r="AZ1552" s="8"/>
      <c r="BA1552" s="8">
        <v>66.010000000000005</v>
      </c>
      <c r="BB1552" s="8"/>
      <c r="BC1552" s="8"/>
      <c r="BD1552" s="8"/>
      <c r="BE1552" s="8"/>
      <c r="BF1552" s="8">
        <v>201.55</v>
      </c>
      <c r="BG1552" s="8">
        <v>149.77000000000001</v>
      </c>
      <c r="BH1552" s="9">
        <f t="shared" si="216"/>
        <v>2876.5099999999998</v>
      </c>
      <c r="BI1552" s="9">
        <f t="shared" si="217"/>
        <v>7.78</v>
      </c>
      <c r="BJ1552" s="9">
        <f t="shared" si="218"/>
        <v>13.54</v>
      </c>
      <c r="BK1552" s="9">
        <f t="shared" si="219"/>
        <v>43.2</v>
      </c>
      <c r="BL1552" s="9">
        <f t="shared" si="220"/>
        <v>0</v>
      </c>
      <c r="BM1552" s="9">
        <f t="shared" si="221"/>
        <v>11.52</v>
      </c>
      <c r="BN1552" s="9">
        <f t="shared" si="222"/>
        <v>1907.34</v>
      </c>
      <c r="BO1552" s="9">
        <f t="shared" si="223"/>
        <v>66.010000000000005</v>
      </c>
      <c r="BP1552" s="9">
        <f t="shared" si="224"/>
        <v>201.55</v>
      </c>
    </row>
    <row r="1553" spans="1:68">
      <c r="A1553" s="6">
        <v>44830</v>
      </c>
      <c r="B1553" s="7">
        <v>3106</v>
      </c>
      <c r="C1553" s="8">
        <v>4158.6000000000004</v>
      </c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11">
        <v>10.39</v>
      </c>
      <c r="R1553" s="11"/>
      <c r="S1553" s="8">
        <v>12.45</v>
      </c>
      <c r="T1553" s="8"/>
      <c r="U1553" s="8">
        <v>52.79</v>
      </c>
      <c r="V1553" s="8"/>
      <c r="W1553" s="8"/>
      <c r="X1553" s="8"/>
      <c r="Y1553" s="8"/>
      <c r="Z1553" s="8"/>
      <c r="AA1553" s="8"/>
      <c r="AB1553" s="8"/>
      <c r="AC1553" s="8">
        <v>10.39</v>
      </c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11"/>
      <c r="AQ1553" s="8"/>
      <c r="AR1553" s="8"/>
      <c r="AS1553" s="8"/>
      <c r="AT1553" s="8">
        <v>2377.0700000000002</v>
      </c>
      <c r="AU1553" s="8"/>
      <c r="AV1553" s="8"/>
      <c r="AW1553" s="8"/>
      <c r="AX1553" s="8">
        <v>5.2</v>
      </c>
      <c r="AY1553" s="8"/>
      <c r="AZ1553" s="8"/>
      <c r="BA1553" s="8"/>
      <c r="BB1553" s="8"/>
      <c r="BC1553" s="8"/>
      <c r="BD1553" s="8"/>
      <c r="BE1553" s="8"/>
      <c r="BF1553" s="8"/>
      <c r="BG1553" s="8">
        <v>178.77</v>
      </c>
      <c r="BH1553" s="9">
        <f t="shared" si="216"/>
        <v>4158.6000000000004</v>
      </c>
      <c r="BI1553" s="9">
        <f t="shared" si="217"/>
        <v>10.39</v>
      </c>
      <c r="BJ1553" s="9">
        <f t="shared" si="218"/>
        <v>12.45</v>
      </c>
      <c r="BK1553" s="9">
        <f t="shared" si="219"/>
        <v>52.79</v>
      </c>
      <c r="BL1553" s="9">
        <f t="shared" si="220"/>
        <v>0</v>
      </c>
      <c r="BM1553" s="9">
        <f t="shared" si="221"/>
        <v>10.39</v>
      </c>
      <c r="BN1553" s="9">
        <f t="shared" si="222"/>
        <v>2377.0700000000002</v>
      </c>
      <c r="BO1553" s="9">
        <f t="shared" si="223"/>
        <v>5.2</v>
      </c>
      <c r="BP1553" s="9">
        <f t="shared" si="224"/>
        <v>0</v>
      </c>
    </row>
    <row r="1554" spans="1:68">
      <c r="A1554" s="6">
        <v>44830</v>
      </c>
      <c r="B1554" s="7">
        <v>3112</v>
      </c>
      <c r="C1554" s="8">
        <v>3230.53</v>
      </c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>
        <v>3.07</v>
      </c>
      <c r="O1554" s="8"/>
      <c r="P1554" s="8"/>
      <c r="Q1554" s="11">
        <v>3.04</v>
      </c>
      <c r="R1554" s="11"/>
      <c r="S1554" s="8">
        <v>9.68</v>
      </c>
      <c r="T1554" s="8"/>
      <c r="U1554" s="8">
        <v>32.32</v>
      </c>
      <c r="V1554" s="8"/>
      <c r="W1554" s="8"/>
      <c r="X1554" s="8"/>
      <c r="Y1554" s="8"/>
      <c r="Z1554" s="8"/>
      <c r="AA1554" s="8"/>
      <c r="AB1554" s="8"/>
      <c r="AC1554" s="8">
        <v>12.93</v>
      </c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11"/>
      <c r="AQ1554" s="8"/>
      <c r="AR1554" s="8"/>
      <c r="AS1554" s="8"/>
      <c r="AT1554" s="8">
        <v>1352.63</v>
      </c>
      <c r="AU1554" s="8"/>
      <c r="AV1554" s="8"/>
      <c r="AW1554" s="8"/>
      <c r="AX1554" s="8"/>
      <c r="AY1554" s="8"/>
      <c r="AZ1554" s="8"/>
      <c r="BA1554" s="8">
        <v>42.66</v>
      </c>
      <c r="BB1554" s="8"/>
      <c r="BC1554" s="8"/>
      <c r="BD1554" s="8"/>
      <c r="BE1554" s="8"/>
      <c r="BF1554" s="8"/>
      <c r="BG1554" s="8">
        <v>97.04</v>
      </c>
      <c r="BH1554" s="9">
        <f t="shared" si="216"/>
        <v>3230.53</v>
      </c>
      <c r="BI1554" s="9">
        <f t="shared" si="217"/>
        <v>6.1099999999999994</v>
      </c>
      <c r="BJ1554" s="9">
        <f t="shared" si="218"/>
        <v>9.68</v>
      </c>
      <c r="BK1554" s="9">
        <f t="shared" si="219"/>
        <v>32.32</v>
      </c>
      <c r="BL1554" s="9">
        <f t="shared" si="220"/>
        <v>0</v>
      </c>
      <c r="BM1554" s="9">
        <f t="shared" si="221"/>
        <v>12.93</v>
      </c>
      <c r="BN1554" s="9">
        <f t="shared" si="222"/>
        <v>1352.63</v>
      </c>
      <c r="BO1554" s="9">
        <f t="shared" si="223"/>
        <v>42.66</v>
      </c>
      <c r="BP1554" s="9">
        <f t="shared" si="224"/>
        <v>0</v>
      </c>
    </row>
    <row r="1555" spans="1:68">
      <c r="A1555" s="6">
        <v>44831</v>
      </c>
      <c r="B1555" s="7">
        <v>3029</v>
      </c>
      <c r="C1555" s="8"/>
      <c r="D1555" s="8">
        <v>698.04</v>
      </c>
      <c r="E1555" s="8"/>
      <c r="F1555" s="8">
        <v>492.14</v>
      </c>
      <c r="G1555" s="8"/>
      <c r="H1555" s="8"/>
      <c r="I1555" s="8">
        <v>2910.91</v>
      </c>
      <c r="J1555" s="8"/>
      <c r="K1555" s="8"/>
      <c r="L1555" s="8"/>
      <c r="M1555" s="8"/>
      <c r="N1555" s="8">
        <v>31.6</v>
      </c>
      <c r="O1555" s="8"/>
      <c r="P1555" s="8"/>
      <c r="Q1555" s="11"/>
      <c r="R1555" s="11"/>
      <c r="S1555" s="8">
        <v>2.4500000000000002</v>
      </c>
      <c r="T1555" s="8"/>
      <c r="U1555" s="8"/>
      <c r="V1555" s="8"/>
      <c r="W1555" s="8">
        <v>41.08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>
        <v>14.33</v>
      </c>
      <c r="AN1555" s="8">
        <f>768*27.35/1000</f>
        <v>21.004800000000003</v>
      </c>
      <c r="AO1555" s="8"/>
      <c r="AP1555" s="11"/>
      <c r="AQ1555" s="8"/>
      <c r="AR1555" s="8">
        <f>4610*27.35/1000</f>
        <v>126.0835</v>
      </c>
      <c r="AS1555" s="8"/>
      <c r="AT1555" s="8">
        <v>1556.07</v>
      </c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>
        <v>108.6</v>
      </c>
      <c r="BH1555" s="9">
        <f t="shared" si="216"/>
        <v>4101.09</v>
      </c>
      <c r="BI1555" s="9">
        <f t="shared" si="217"/>
        <v>31.6</v>
      </c>
      <c r="BJ1555" s="9">
        <f t="shared" si="218"/>
        <v>2.4500000000000002</v>
      </c>
      <c r="BK1555" s="9">
        <f t="shared" si="219"/>
        <v>41.08</v>
      </c>
      <c r="BL1555" s="9">
        <f t="shared" si="220"/>
        <v>0</v>
      </c>
      <c r="BM1555" s="9">
        <f t="shared" si="221"/>
        <v>161.41829999999999</v>
      </c>
      <c r="BN1555" s="9">
        <f t="shared" si="222"/>
        <v>1556.07</v>
      </c>
      <c r="BO1555" s="9">
        <f t="shared" si="223"/>
        <v>0</v>
      </c>
      <c r="BP1555" s="9">
        <f t="shared" si="224"/>
        <v>0</v>
      </c>
    </row>
    <row r="1556" spans="1:68">
      <c r="A1556" s="6">
        <v>44831</v>
      </c>
      <c r="B1556" s="7">
        <v>3106</v>
      </c>
      <c r="C1556" s="8">
        <v>4168.47</v>
      </c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11">
        <v>10.72</v>
      </c>
      <c r="R1556" s="11"/>
      <c r="S1556" s="8">
        <v>12.52</v>
      </c>
      <c r="T1556" s="8"/>
      <c r="U1556" s="8">
        <v>52.99</v>
      </c>
      <c r="V1556" s="8"/>
      <c r="W1556" s="8"/>
      <c r="X1556" s="8"/>
      <c r="Y1556" s="8"/>
      <c r="Z1556" s="8"/>
      <c r="AA1556" s="8"/>
      <c r="AB1556" s="8"/>
      <c r="AC1556" s="8">
        <v>10.42</v>
      </c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11"/>
      <c r="AQ1556" s="8"/>
      <c r="AR1556" s="8"/>
      <c r="AS1556" s="8"/>
      <c r="AT1556" s="8">
        <v>2383.38</v>
      </c>
      <c r="AU1556" s="8"/>
      <c r="AV1556" s="8"/>
      <c r="AW1556" s="8"/>
      <c r="AX1556" s="8">
        <v>5.21</v>
      </c>
      <c r="AY1556" s="8"/>
      <c r="AZ1556" s="8"/>
      <c r="BA1556" s="8"/>
      <c r="BB1556" s="8"/>
      <c r="BC1556" s="8"/>
      <c r="BD1556" s="8"/>
      <c r="BE1556" s="8"/>
      <c r="BF1556" s="8"/>
      <c r="BG1556" s="8">
        <v>179.16</v>
      </c>
      <c r="BH1556" s="9">
        <f t="shared" si="216"/>
        <v>4168.47</v>
      </c>
      <c r="BI1556" s="9">
        <f t="shared" si="217"/>
        <v>10.72</v>
      </c>
      <c r="BJ1556" s="9">
        <f t="shared" si="218"/>
        <v>12.52</v>
      </c>
      <c r="BK1556" s="9">
        <f t="shared" si="219"/>
        <v>52.99</v>
      </c>
      <c r="BL1556" s="9">
        <f t="shared" si="220"/>
        <v>0</v>
      </c>
      <c r="BM1556" s="9">
        <f t="shared" si="221"/>
        <v>10.42</v>
      </c>
      <c r="BN1556" s="9">
        <f t="shared" si="222"/>
        <v>2383.38</v>
      </c>
      <c r="BO1556" s="9">
        <f t="shared" si="223"/>
        <v>5.21</v>
      </c>
      <c r="BP1556" s="9">
        <f t="shared" si="224"/>
        <v>0</v>
      </c>
    </row>
    <row r="1557" spans="1:68">
      <c r="A1557" s="6">
        <v>44831</v>
      </c>
      <c r="B1557" s="7">
        <v>3204</v>
      </c>
      <c r="C1557" s="8"/>
      <c r="D1557" s="8">
        <v>1770.83</v>
      </c>
      <c r="E1557" s="8">
        <v>754.23</v>
      </c>
      <c r="F1557" s="8"/>
      <c r="G1557" s="8"/>
      <c r="H1557" s="8"/>
      <c r="I1557" s="8"/>
      <c r="J1557" s="8"/>
      <c r="K1557" s="8"/>
      <c r="L1557" s="8"/>
      <c r="M1557" s="8"/>
      <c r="N1557" s="8"/>
      <c r="O1557" s="8">
        <v>12.6</v>
      </c>
      <c r="P1557" s="8"/>
      <c r="Q1557" s="11"/>
      <c r="R1557" s="11"/>
      <c r="S1557" s="8">
        <v>8.6</v>
      </c>
      <c r="T1557" s="8"/>
      <c r="U1557" s="8">
        <v>27.88</v>
      </c>
      <c r="V1557" s="8"/>
      <c r="W1557" s="8"/>
      <c r="X1557" s="8"/>
      <c r="Y1557" s="8"/>
      <c r="Z1557" s="8">
        <v>379.93</v>
      </c>
      <c r="AA1557" s="8"/>
      <c r="AB1557" s="8">
        <f>720*18.08/1000</f>
        <v>13.017599999999998</v>
      </c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11"/>
      <c r="AQ1557" s="8"/>
      <c r="AR1557" s="8"/>
      <c r="AS1557" s="8"/>
      <c r="AT1557" s="8">
        <v>1113.18</v>
      </c>
      <c r="AU1557" s="8"/>
      <c r="AV1557" s="8"/>
      <c r="AW1557" s="8">
        <v>8.07</v>
      </c>
      <c r="AX1557" s="8"/>
      <c r="AY1557" s="8"/>
      <c r="AZ1557" s="8"/>
      <c r="BA1557" s="8"/>
      <c r="BB1557" s="8"/>
      <c r="BC1557" s="8"/>
      <c r="BD1557" s="8"/>
      <c r="BE1557" s="8"/>
      <c r="BF1557" s="8"/>
      <c r="BG1557" s="8">
        <v>82.32</v>
      </c>
      <c r="BH1557" s="9">
        <f t="shared" si="216"/>
        <v>2525.06</v>
      </c>
      <c r="BI1557" s="9">
        <f t="shared" si="217"/>
        <v>12.6</v>
      </c>
      <c r="BJ1557" s="9">
        <f t="shared" si="218"/>
        <v>8.6</v>
      </c>
      <c r="BK1557" s="9">
        <f t="shared" si="219"/>
        <v>27.88</v>
      </c>
      <c r="BL1557" s="9">
        <f t="shared" si="220"/>
        <v>379.93</v>
      </c>
      <c r="BM1557" s="9">
        <f t="shared" si="221"/>
        <v>13.017599999999998</v>
      </c>
      <c r="BN1557" s="9">
        <f t="shared" si="222"/>
        <v>1113.18</v>
      </c>
      <c r="BO1557" s="9">
        <f t="shared" si="223"/>
        <v>8.07</v>
      </c>
      <c r="BP1557" s="9">
        <f t="shared" si="224"/>
        <v>0</v>
      </c>
    </row>
    <row r="1558" spans="1:68">
      <c r="A1558" s="6">
        <v>44832</v>
      </c>
      <c r="B1558" s="7">
        <v>3122</v>
      </c>
      <c r="C1558" s="8">
        <v>1279.5</v>
      </c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>
        <v>2.2999999999999998</v>
      </c>
      <c r="O1558" s="8"/>
      <c r="P1558" s="8"/>
      <c r="Q1558" s="11">
        <v>2.31</v>
      </c>
      <c r="R1558" s="11"/>
      <c r="S1558" s="8">
        <v>5.25</v>
      </c>
      <c r="T1558" s="8"/>
      <c r="U1558" s="8">
        <v>12.81</v>
      </c>
      <c r="V1558" s="8"/>
      <c r="W1558" s="8"/>
      <c r="X1558" s="8"/>
      <c r="Y1558" s="8"/>
      <c r="Z1558" s="8"/>
      <c r="AA1558" s="8"/>
      <c r="AB1558" s="8"/>
      <c r="AC1558" s="8">
        <v>5.12</v>
      </c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11"/>
      <c r="AQ1558" s="8"/>
      <c r="AR1558" s="8"/>
      <c r="AS1558" s="8"/>
      <c r="AT1558" s="8">
        <v>567.4</v>
      </c>
      <c r="AU1558" s="8"/>
      <c r="AV1558" s="8">
        <v>43.54</v>
      </c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>
        <v>41.63</v>
      </c>
      <c r="BH1558" s="9">
        <f t="shared" si="216"/>
        <v>1279.5</v>
      </c>
      <c r="BI1558" s="9">
        <f t="shared" si="217"/>
        <v>4.6099999999999994</v>
      </c>
      <c r="BJ1558" s="9">
        <f t="shared" si="218"/>
        <v>5.25</v>
      </c>
      <c r="BK1558" s="9">
        <f t="shared" si="219"/>
        <v>12.81</v>
      </c>
      <c r="BL1558" s="9">
        <f t="shared" si="220"/>
        <v>0</v>
      </c>
      <c r="BM1558" s="9">
        <f t="shared" si="221"/>
        <v>5.12</v>
      </c>
      <c r="BN1558" s="9">
        <f t="shared" si="222"/>
        <v>567.4</v>
      </c>
      <c r="BO1558" s="9">
        <f t="shared" si="223"/>
        <v>43.54</v>
      </c>
      <c r="BP1558" s="9">
        <f t="shared" si="224"/>
        <v>0</v>
      </c>
    </row>
    <row r="1559" spans="1:68">
      <c r="A1559" s="6">
        <v>44832</v>
      </c>
      <c r="B1559" s="7">
        <v>3100</v>
      </c>
      <c r="C1559" s="8">
        <v>662.45</v>
      </c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11">
        <v>1.47</v>
      </c>
      <c r="R1559" s="11"/>
      <c r="S1559" s="8">
        <v>3.78</v>
      </c>
      <c r="T1559" s="8"/>
      <c r="U1559" s="8">
        <v>10.62</v>
      </c>
      <c r="V1559" s="8"/>
      <c r="W1559" s="8"/>
      <c r="X1559" s="8"/>
      <c r="Y1559" s="8"/>
      <c r="Z1559" s="8"/>
      <c r="AA1559" s="8"/>
      <c r="AB1559" s="8"/>
      <c r="AC1559" s="8">
        <v>2.65</v>
      </c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11"/>
      <c r="AQ1559" s="8"/>
      <c r="AR1559" s="8"/>
      <c r="AS1559" s="8"/>
      <c r="AT1559" s="8">
        <v>446.6</v>
      </c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>
        <v>86.2</v>
      </c>
      <c r="BG1559" s="8">
        <v>34.1</v>
      </c>
      <c r="BH1559" s="9">
        <f t="shared" si="216"/>
        <v>662.45</v>
      </c>
      <c r="BI1559" s="9">
        <f t="shared" si="217"/>
        <v>1.47</v>
      </c>
      <c r="BJ1559" s="9">
        <f t="shared" si="218"/>
        <v>3.78</v>
      </c>
      <c r="BK1559" s="9">
        <f t="shared" si="219"/>
        <v>10.62</v>
      </c>
      <c r="BL1559" s="9">
        <f t="shared" si="220"/>
        <v>0</v>
      </c>
      <c r="BM1559" s="9">
        <f t="shared" si="221"/>
        <v>2.65</v>
      </c>
      <c r="BN1559" s="9">
        <f t="shared" si="222"/>
        <v>446.6</v>
      </c>
      <c r="BO1559" s="9">
        <f t="shared" si="223"/>
        <v>0</v>
      </c>
      <c r="BP1559" s="9">
        <f t="shared" si="224"/>
        <v>86.2</v>
      </c>
    </row>
    <row r="1560" spans="1:68">
      <c r="A1560" s="6">
        <v>44832</v>
      </c>
      <c r="B1560" s="7">
        <v>3307</v>
      </c>
      <c r="C1560" s="8"/>
      <c r="D1560" s="8">
        <v>1892.8</v>
      </c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11">
        <v>2.4500000000000002</v>
      </c>
      <c r="R1560" s="11"/>
      <c r="S1560" s="8">
        <v>13.82</v>
      </c>
      <c r="T1560" s="8"/>
      <c r="U1560" s="8">
        <v>18.920000000000002</v>
      </c>
      <c r="V1560" s="8"/>
      <c r="W1560" s="8"/>
      <c r="X1560" s="8"/>
      <c r="Y1560" s="8"/>
      <c r="Z1560" s="8"/>
      <c r="AA1560" s="8"/>
      <c r="AB1560" s="8"/>
      <c r="AC1560" s="8">
        <v>11.36</v>
      </c>
      <c r="AD1560" s="8"/>
      <c r="AE1560" s="8"/>
      <c r="AF1560" s="8"/>
      <c r="AG1560" s="8">
        <v>18.95</v>
      </c>
      <c r="AH1560" s="8"/>
      <c r="AI1560" s="8"/>
      <c r="AJ1560" s="8"/>
      <c r="AK1560" s="8"/>
      <c r="AL1560" s="8"/>
      <c r="AM1560" s="8"/>
      <c r="AN1560" s="8"/>
      <c r="AO1560" s="8"/>
      <c r="AP1560" s="11"/>
      <c r="AQ1560" s="8"/>
      <c r="AR1560" s="8"/>
      <c r="AS1560" s="8"/>
      <c r="AT1560" s="8"/>
      <c r="AU1560" s="8">
        <v>948.09</v>
      </c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>
        <v>68.03</v>
      </c>
      <c r="BH1560" s="9">
        <f t="shared" si="216"/>
        <v>1892.8</v>
      </c>
      <c r="BI1560" s="9">
        <f t="shared" si="217"/>
        <v>2.4500000000000002</v>
      </c>
      <c r="BJ1560" s="9">
        <f t="shared" si="218"/>
        <v>13.82</v>
      </c>
      <c r="BK1560" s="9">
        <f t="shared" si="219"/>
        <v>18.920000000000002</v>
      </c>
      <c r="BL1560" s="9">
        <f t="shared" si="220"/>
        <v>0</v>
      </c>
      <c r="BM1560" s="9">
        <f t="shared" si="221"/>
        <v>30.31</v>
      </c>
      <c r="BN1560" s="9">
        <f t="shared" si="222"/>
        <v>948.09</v>
      </c>
      <c r="BO1560" s="9">
        <f t="shared" si="223"/>
        <v>0</v>
      </c>
      <c r="BP1560" s="9">
        <f t="shared" si="224"/>
        <v>0</v>
      </c>
    </row>
    <row r="1561" spans="1:68">
      <c r="A1561" s="6">
        <v>44832</v>
      </c>
      <c r="B1561" s="7">
        <v>3023</v>
      </c>
      <c r="C1561" s="8"/>
      <c r="D1561" s="8">
        <v>1645.08</v>
      </c>
      <c r="E1561" s="8"/>
      <c r="F1561" s="8"/>
      <c r="G1561" s="8"/>
      <c r="H1561" s="8"/>
      <c r="I1561" s="8">
        <v>883.28</v>
      </c>
      <c r="J1561" s="8"/>
      <c r="K1561" s="8"/>
      <c r="L1561" s="8"/>
      <c r="M1561" s="8"/>
      <c r="N1561" s="8">
        <v>14.16</v>
      </c>
      <c r="O1561" s="8"/>
      <c r="P1561" s="8"/>
      <c r="Q1561" s="11"/>
      <c r="R1561" s="11"/>
      <c r="S1561" s="8">
        <v>4.04</v>
      </c>
      <c r="T1561" s="8"/>
      <c r="U1561" s="8"/>
      <c r="V1561" s="8"/>
      <c r="W1561" s="8">
        <v>22.78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>
        <v>25.23</v>
      </c>
      <c r="AN1561" s="8">
        <f>1042*17.43/1000</f>
        <v>18.16206</v>
      </c>
      <c r="AO1561" s="8"/>
      <c r="AP1561" s="11"/>
      <c r="AQ1561" s="8"/>
      <c r="AR1561" s="8"/>
      <c r="AS1561" s="8">
        <f>4708*17.43/1000</f>
        <v>82.06044</v>
      </c>
      <c r="AT1561" s="8">
        <v>1037.6300000000001</v>
      </c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>
        <v>78.400000000000006</v>
      </c>
      <c r="BH1561" s="9">
        <f t="shared" si="216"/>
        <v>2528.3599999999997</v>
      </c>
      <c r="BI1561" s="9">
        <f t="shared" si="217"/>
        <v>14.16</v>
      </c>
      <c r="BJ1561" s="9">
        <f t="shared" si="218"/>
        <v>4.04</v>
      </c>
      <c r="BK1561" s="9">
        <f t="shared" si="219"/>
        <v>22.78</v>
      </c>
      <c r="BL1561" s="9">
        <f t="shared" si="220"/>
        <v>0</v>
      </c>
      <c r="BM1561" s="9">
        <f t="shared" si="221"/>
        <v>125.4525</v>
      </c>
      <c r="BN1561" s="9">
        <f t="shared" si="222"/>
        <v>1037.6300000000001</v>
      </c>
      <c r="BO1561" s="9">
        <f t="shared" si="223"/>
        <v>0</v>
      </c>
      <c r="BP1561" s="9">
        <f t="shared" si="224"/>
        <v>0</v>
      </c>
    </row>
    <row r="1562" spans="1:68">
      <c r="A1562" s="6">
        <v>44832</v>
      </c>
      <c r="B1562" s="7">
        <v>3139</v>
      </c>
      <c r="C1562" s="8">
        <v>874.43</v>
      </c>
      <c r="D1562" s="8"/>
      <c r="E1562" s="8"/>
      <c r="F1562" s="8"/>
      <c r="G1562" s="8"/>
      <c r="H1562" s="8">
        <v>362.78</v>
      </c>
      <c r="I1562" s="8"/>
      <c r="J1562" s="8"/>
      <c r="K1562" s="8"/>
      <c r="L1562" s="8"/>
      <c r="M1562" s="8"/>
      <c r="N1562" s="8"/>
      <c r="O1562" s="8"/>
      <c r="P1562" s="8"/>
      <c r="Q1562" s="11">
        <v>2.0499999999999998</v>
      </c>
      <c r="R1562" s="11"/>
      <c r="S1562" s="8">
        <v>3.87</v>
      </c>
      <c r="T1562" s="8"/>
      <c r="U1562" s="8">
        <v>12.92</v>
      </c>
      <c r="V1562" s="8"/>
      <c r="W1562" s="8"/>
      <c r="X1562" s="8"/>
      <c r="Y1562" s="8"/>
      <c r="Z1562" s="8"/>
      <c r="AA1562" s="8"/>
      <c r="AB1562" s="8"/>
      <c r="AC1562" s="8">
        <v>4.3099999999999996</v>
      </c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11"/>
      <c r="AQ1562" s="8"/>
      <c r="AR1562" s="8"/>
      <c r="AS1562" s="8"/>
      <c r="AT1562" s="8">
        <v>637.82000000000005</v>
      </c>
      <c r="AU1562" s="8"/>
      <c r="AV1562" s="8">
        <v>21.58</v>
      </c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>
        <v>46.31</v>
      </c>
      <c r="BH1562" s="9">
        <f t="shared" si="216"/>
        <v>1237.21</v>
      </c>
      <c r="BI1562" s="9">
        <f t="shared" si="217"/>
        <v>2.0499999999999998</v>
      </c>
      <c r="BJ1562" s="9">
        <f t="shared" si="218"/>
        <v>3.87</v>
      </c>
      <c r="BK1562" s="9">
        <f t="shared" si="219"/>
        <v>12.92</v>
      </c>
      <c r="BL1562" s="9">
        <f t="shared" si="220"/>
        <v>0</v>
      </c>
      <c r="BM1562" s="9">
        <f t="shared" si="221"/>
        <v>4.3099999999999996</v>
      </c>
      <c r="BN1562" s="9">
        <f t="shared" si="222"/>
        <v>637.82000000000005</v>
      </c>
      <c r="BO1562" s="9">
        <f t="shared" si="223"/>
        <v>21.58</v>
      </c>
      <c r="BP1562" s="9">
        <f t="shared" si="224"/>
        <v>0</v>
      </c>
    </row>
    <row r="1563" spans="1:68">
      <c r="A1563" s="6">
        <v>44832</v>
      </c>
      <c r="B1563" s="7">
        <v>3135</v>
      </c>
      <c r="C1563" s="8">
        <v>1064.3900000000001</v>
      </c>
      <c r="D1563" s="8">
        <v>149.37</v>
      </c>
      <c r="E1563" s="8"/>
      <c r="F1563" s="8"/>
      <c r="G1563" s="8"/>
      <c r="H1563" s="8">
        <v>503.53</v>
      </c>
      <c r="I1563" s="8"/>
      <c r="J1563" s="8"/>
      <c r="K1563" s="8"/>
      <c r="L1563" s="8"/>
      <c r="M1563" s="8"/>
      <c r="N1563" s="8"/>
      <c r="O1563" s="8"/>
      <c r="P1563" s="8"/>
      <c r="Q1563" s="11">
        <v>3.24</v>
      </c>
      <c r="R1563" s="11"/>
      <c r="S1563" s="8">
        <v>6.88</v>
      </c>
      <c r="T1563" s="8"/>
      <c r="U1563" s="8">
        <v>19.45</v>
      </c>
      <c r="V1563" s="8"/>
      <c r="W1563" s="8"/>
      <c r="X1563" s="8"/>
      <c r="Y1563" s="8"/>
      <c r="Z1563" s="8"/>
      <c r="AA1563" s="8"/>
      <c r="AB1563" s="8"/>
      <c r="AC1563" s="8">
        <v>5.98</v>
      </c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11"/>
      <c r="AQ1563" s="8"/>
      <c r="AR1563" s="8"/>
      <c r="AS1563" s="8"/>
      <c r="AT1563" s="8">
        <v>1049.8599999999999</v>
      </c>
      <c r="AU1563" s="8"/>
      <c r="AV1563" s="8"/>
      <c r="AW1563" s="8"/>
      <c r="AX1563" s="8"/>
      <c r="AY1563" s="8"/>
      <c r="AZ1563" s="8"/>
      <c r="BA1563" s="8">
        <v>34.119999999999997</v>
      </c>
      <c r="BB1563" s="8"/>
      <c r="BC1563" s="8"/>
      <c r="BD1563" s="8"/>
      <c r="BE1563" s="8"/>
      <c r="BF1563" s="8">
        <v>67.209999999999994</v>
      </c>
      <c r="BG1563" s="8">
        <v>79.19</v>
      </c>
      <c r="BH1563" s="9">
        <f t="shared" si="216"/>
        <v>1717.2900000000002</v>
      </c>
      <c r="BI1563" s="9">
        <f t="shared" si="217"/>
        <v>3.24</v>
      </c>
      <c r="BJ1563" s="9">
        <f t="shared" si="218"/>
        <v>6.88</v>
      </c>
      <c r="BK1563" s="9">
        <f t="shared" si="219"/>
        <v>19.45</v>
      </c>
      <c r="BL1563" s="9">
        <f t="shared" si="220"/>
        <v>0</v>
      </c>
      <c r="BM1563" s="9">
        <f t="shared" si="221"/>
        <v>5.98</v>
      </c>
      <c r="BN1563" s="9">
        <f t="shared" si="222"/>
        <v>1049.8599999999999</v>
      </c>
      <c r="BO1563" s="9">
        <f t="shared" si="223"/>
        <v>34.119999999999997</v>
      </c>
      <c r="BP1563" s="9">
        <f t="shared" si="224"/>
        <v>67.209999999999994</v>
      </c>
    </row>
    <row r="1564" spans="1:68">
      <c r="A1564" s="6">
        <v>44832</v>
      </c>
      <c r="B1564" s="7">
        <v>3121</v>
      </c>
      <c r="C1564" s="8">
        <v>2317.92</v>
      </c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11">
        <v>5.24</v>
      </c>
      <c r="R1564" s="11"/>
      <c r="S1564" s="8">
        <v>7.43</v>
      </c>
      <c r="T1564" s="8"/>
      <c r="U1564" s="8">
        <v>23.19</v>
      </c>
      <c r="V1564" s="8"/>
      <c r="W1564" s="8"/>
      <c r="X1564" s="8"/>
      <c r="Y1564" s="8"/>
      <c r="Z1564" s="8"/>
      <c r="AA1564" s="8"/>
      <c r="AB1564" s="8"/>
      <c r="AC1564" s="8">
        <v>9.27</v>
      </c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11">
        <f>2183*10.55/1000</f>
        <v>23.030650000000001</v>
      </c>
      <c r="AQ1564" s="8"/>
      <c r="AR1564" s="8"/>
      <c r="AS1564" s="8"/>
      <c r="AT1564" s="8">
        <v>1229.8800000000001</v>
      </c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>
        <v>90.53</v>
      </c>
      <c r="BH1564" s="9">
        <f t="shared" si="216"/>
        <v>2317.92</v>
      </c>
      <c r="BI1564" s="9">
        <f t="shared" si="217"/>
        <v>5.24</v>
      </c>
      <c r="BJ1564" s="9">
        <f t="shared" si="218"/>
        <v>7.43</v>
      </c>
      <c r="BK1564" s="9">
        <f t="shared" si="219"/>
        <v>23.19</v>
      </c>
      <c r="BL1564" s="9">
        <f t="shared" si="220"/>
        <v>0</v>
      </c>
      <c r="BM1564" s="9">
        <f t="shared" si="221"/>
        <v>32.300650000000005</v>
      </c>
      <c r="BN1564" s="9">
        <f t="shared" si="222"/>
        <v>1229.8800000000001</v>
      </c>
      <c r="BO1564" s="9">
        <f t="shared" si="223"/>
        <v>0</v>
      </c>
      <c r="BP1564" s="9">
        <f t="shared" si="224"/>
        <v>0</v>
      </c>
    </row>
    <row r="1565" spans="1:68">
      <c r="A1565" s="6">
        <v>44832</v>
      </c>
      <c r="B1565" s="7">
        <v>3106</v>
      </c>
      <c r="C1565" s="8">
        <v>8129.61</v>
      </c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11">
        <v>21.16</v>
      </c>
      <c r="R1565" s="11"/>
      <c r="S1565" s="8">
        <v>24.45</v>
      </c>
      <c r="T1565" s="8"/>
      <c r="U1565" s="8">
        <v>103.52</v>
      </c>
      <c r="V1565" s="8"/>
      <c r="W1565" s="8"/>
      <c r="X1565" s="8"/>
      <c r="Y1565" s="8"/>
      <c r="Z1565" s="8"/>
      <c r="AA1565" s="8"/>
      <c r="AB1565" s="8"/>
      <c r="AC1565" s="8">
        <v>20.34</v>
      </c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11"/>
      <c r="AQ1565" s="8"/>
      <c r="AR1565" s="8"/>
      <c r="AS1565" s="8"/>
      <c r="AT1565" s="8">
        <v>4658.83</v>
      </c>
      <c r="AU1565" s="8"/>
      <c r="AV1565" s="8"/>
      <c r="AW1565" s="8"/>
      <c r="AX1565" s="8">
        <v>10.18</v>
      </c>
      <c r="AY1565" s="8"/>
      <c r="AZ1565" s="8"/>
      <c r="BA1565" s="8"/>
      <c r="BB1565" s="8"/>
      <c r="BC1565" s="8"/>
      <c r="BD1565" s="8"/>
      <c r="BE1565" s="8"/>
      <c r="BF1565" s="8"/>
      <c r="BG1565" s="8">
        <v>350.23</v>
      </c>
      <c r="BH1565" s="9">
        <f t="shared" si="216"/>
        <v>8129.61</v>
      </c>
      <c r="BI1565" s="9">
        <f t="shared" si="217"/>
        <v>21.16</v>
      </c>
      <c r="BJ1565" s="9">
        <f t="shared" si="218"/>
        <v>24.45</v>
      </c>
      <c r="BK1565" s="9">
        <f t="shared" si="219"/>
        <v>103.52</v>
      </c>
      <c r="BL1565" s="9">
        <f t="shared" si="220"/>
        <v>0</v>
      </c>
      <c r="BM1565" s="9">
        <f t="shared" si="221"/>
        <v>20.34</v>
      </c>
      <c r="BN1565" s="9">
        <f t="shared" si="222"/>
        <v>4658.83</v>
      </c>
      <c r="BO1565" s="9">
        <f t="shared" si="223"/>
        <v>10.18</v>
      </c>
      <c r="BP1565" s="9">
        <f t="shared" si="224"/>
        <v>0</v>
      </c>
    </row>
    <row r="1566" spans="1:68">
      <c r="A1566" s="6">
        <v>44832</v>
      </c>
      <c r="B1566" s="7">
        <v>3134</v>
      </c>
      <c r="C1566" s="8">
        <v>1037.6300000000001</v>
      </c>
      <c r="D1566" s="8">
        <v>144.38999999999999</v>
      </c>
      <c r="E1566" s="8"/>
      <c r="F1566" s="8"/>
      <c r="G1566" s="8"/>
      <c r="H1566" s="8">
        <v>491.01</v>
      </c>
      <c r="I1566" s="8"/>
      <c r="J1566" s="8"/>
      <c r="K1566" s="8"/>
      <c r="L1566" s="8"/>
      <c r="M1566" s="8"/>
      <c r="N1566" s="8"/>
      <c r="O1566" s="8"/>
      <c r="P1566" s="8"/>
      <c r="Q1566" s="11">
        <v>3.07</v>
      </c>
      <c r="R1566" s="11"/>
      <c r="S1566" s="8">
        <v>6.7</v>
      </c>
      <c r="T1566" s="8"/>
      <c r="U1566" s="8">
        <v>18.96</v>
      </c>
      <c r="V1566" s="8"/>
      <c r="W1566" s="8"/>
      <c r="X1566" s="8"/>
      <c r="Y1566" s="8"/>
      <c r="Z1566" s="8"/>
      <c r="AA1566" s="8"/>
      <c r="AB1566" s="8"/>
      <c r="AC1566" s="8">
        <v>5.82</v>
      </c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11"/>
      <c r="AQ1566" s="8"/>
      <c r="AR1566" s="8"/>
      <c r="AS1566" s="8"/>
      <c r="AT1566" s="8">
        <v>1026.08</v>
      </c>
      <c r="AU1566" s="8"/>
      <c r="AV1566" s="8"/>
      <c r="AW1566" s="8"/>
      <c r="AX1566" s="8"/>
      <c r="AY1566" s="8">
        <f>1433*10.4/1000</f>
        <v>14.9032</v>
      </c>
      <c r="AZ1566" s="8"/>
      <c r="BA1566" s="8"/>
      <c r="BB1566" s="8"/>
      <c r="BC1566" s="8"/>
      <c r="BD1566" s="8"/>
      <c r="BE1566" s="8"/>
      <c r="BF1566" s="8">
        <v>65.55</v>
      </c>
      <c r="BG1566" s="8">
        <v>77.150000000000006</v>
      </c>
      <c r="BH1566" s="9">
        <f t="shared" si="216"/>
        <v>1673.03</v>
      </c>
      <c r="BI1566" s="9">
        <f t="shared" si="217"/>
        <v>3.07</v>
      </c>
      <c r="BJ1566" s="9">
        <f t="shared" si="218"/>
        <v>6.7</v>
      </c>
      <c r="BK1566" s="9">
        <f t="shared" si="219"/>
        <v>18.96</v>
      </c>
      <c r="BL1566" s="9">
        <f t="shared" si="220"/>
        <v>0</v>
      </c>
      <c r="BM1566" s="9">
        <f t="shared" si="221"/>
        <v>5.82</v>
      </c>
      <c r="BN1566" s="9">
        <f t="shared" si="222"/>
        <v>1026.08</v>
      </c>
      <c r="BO1566" s="9">
        <f t="shared" si="223"/>
        <v>14.9032</v>
      </c>
      <c r="BP1566" s="9">
        <f t="shared" si="224"/>
        <v>65.55</v>
      </c>
    </row>
    <row r="1567" spans="1:68">
      <c r="A1567" s="6">
        <v>44833</v>
      </c>
      <c r="B1567" s="7">
        <v>3601</v>
      </c>
      <c r="C1567" s="8">
        <f>279.15+72.76</f>
        <v>351.90999999999997</v>
      </c>
      <c r="D1567" s="8"/>
      <c r="E1567" s="8"/>
      <c r="F1567" s="8"/>
      <c r="G1567" s="8">
        <f>418.05+109.01</f>
        <v>527.06000000000006</v>
      </c>
      <c r="H1567" s="8"/>
      <c r="I1567" s="8"/>
      <c r="J1567" s="8"/>
      <c r="K1567" s="8"/>
      <c r="L1567" s="8"/>
      <c r="M1567" s="8">
        <f>109*10.04/1000</f>
        <v>1.09436</v>
      </c>
      <c r="N1567" s="8"/>
      <c r="O1567" s="8"/>
      <c r="P1567" s="8"/>
      <c r="Q1567" s="11"/>
      <c r="R1567" s="11"/>
      <c r="S1567" s="8">
        <f>3.52+0.92</f>
        <v>4.4400000000000004</v>
      </c>
      <c r="T1567" s="8"/>
      <c r="U1567" s="8">
        <f>4.2+1.09</f>
        <v>5.29</v>
      </c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11"/>
      <c r="AQ1567" s="8"/>
      <c r="AR1567" s="8"/>
      <c r="AS1567" s="8"/>
      <c r="AT1567" s="8">
        <f>343.14+89.07</f>
        <v>432.21</v>
      </c>
      <c r="AU1567" s="8"/>
      <c r="AV1567" s="8"/>
      <c r="AW1567" s="8">
        <f>21.24+5.54</f>
        <v>26.779999999999998</v>
      </c>
      <c r="AX1567" s="8"/>
      <c r="AY1567" s="8"/>
      <c r="AZ1567" s="8"/>
      <c r="BA1567" s="8"/>
      <c r="BB1567" s="8"/>
      <c r="BC1567" s="8"/>
      <c r="BD1567" s="8"/>
      <c r="BE1567" s="8"/>
      <c r="BF1567" s="8">
        <f>39.12+10.2</f>
        <v>49.319999999999993</v>
      </c>
      <c r="BG1567" s="8">
        <f>6.51+24.93</f>
        <v>31.439999999999998</v>
      </c>
      <c r="BH1567" s="9">
        <f t="shared" si="216"/>
        <v>878.97</v>
      </c>
      <c r="BI1567" s="9">
        <f t="shared" si="217"/>
        <v>1.09436</v>
      </c>
      <c r="BJ1567" s="9">
        <f t="shared" si="218"/>
        <v>4.4400000000000004</v>
      </c>
      <c r="BK1567" s="9">
        <f t="shared" si="219"/>
        <v>5.29</v>
      </c>
      <c r="BL1567" s="9">
        <f t="shared" si="220"/>
        <v>0</v>
      </c>
      <c r="BM1567" s="9">
        <f t="shared" si="221"/>
        <v>0</v>
      </c>
      <c r="BN1567" s="9">
        <f t="shared" si="222"/>
        <v>432.21</v>
      </c>
      <c r="BO1567" s="9">
        <f t="shared" si="223"/>
        <v>26.779999999999998</v>
      </c>
      <c r="BP1567" s="9">
        <f t="shared" si="224"/>
        <v>49.319999999999993</v>
      </c>
    </row>
    <row r="1568" spans="1:68">
      <c r="A1568" s="6">
        <v>44833</v>
      </c>
      <c r="B1568" s="7">
        <v>3602</v>
      </c>
      <c r="C1568" s="8">
        <f>31.48+121.6</f>
        <v>153.07999999999998</v>
      </c>
      <c r="D1568" s="8"/>
      <c r="E1568" s="8"/>
      <c r="F1568" s="8"/>
      <c r="G1568" s="8">
        <f>47.12+182.74</f>
        <v>229.86</v>
      </c>
      <c r="H1568" s="8"/>
      <c r="I1568" s="8"/>
      <c r="J1568" s="8"/>
      <c r="K1568" s="8"/>
      <c r="L1568" s="8"/>
      <c r="M1568" s="8">
        <f>93*4.38/1000</f>
        <v>0.40733999999999998</v>
      </c>
      <c r="N1568" s="8"/>
      <c r="O1568" s="8"/>
      <c r="P1568" s="8"/>
      <c r="Q1568" s="11"/>
      <c r="R1568" s="11"/>
      <c r="S1568" s="8">
        <f>0.38+1.47</f>
        <v>1.85</v>
      </c>
      <c r="T1568" s="8"/>
      <c r="U1568" s="8">
        <f>0.63+2.45</f>
        <v>3.08</v>
      </c>
      <c r="V1568" s="8">
        <f>856*4.38/1000</f>
        <v>3.7492799999999997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11"/>
      <c r="AQ1568" s="8"/>
      <c r="AR1568" s="8"/>
      <c r="AS1568" s="8"/>
      <c r="AT1568" s="8">
        <f>32.04+123.52</f>
        <v>155.56</v>
      </c>
      <c r="AU1568" s="8"/>
      <c r="AV1568" s="8"/>
      <c r="AW1568" s="8">
        <f>2.04+7.93</f>
        <v>9.9699999999999989</v>
      </c>
      <c r="AX1568" s="8"/>
      <c r="AY1568" s="8"/>
      <c r="AZ1568" s="8"/>
      <c r="BA1568" s="8"/>
      <c r="BB1568" s="8"/>
      <c r="BC1568" s="8"/>
      <c r="BD1568" s="8"/>
      <c r="BE1568" s="8"/>
      <c r="BF1568" s="8">
        <f>2.56+9.84</f>
        <v>12.4</v>
      </c>
      <c r="BG1568" s="8">
        <f>2.35+9.17</f>
        <v>11.52</v>
      </c>
      <c r="BH1568" s="9">
        <f t="shared" si="216"/>
        <v>382.94</v>
      </c>
      <c r="BI1568" s="9">
        <f t="shared" si="217"/>
        <v>0.40733999999999998</v>
      </c>
      <c r="BJ1568" s="9">
        <f t="shared" si="218"/>
        <v>1.85</v>
      </c>
      <c r="BK1568" s="9">
        <f t="shared" si="219"/>
        <v>6.8292799999999998</v>
      </c>
      <c r="BL1568" s="9">
        <f t="shared" si="220"/>
        <v>0</v>
      </c>
      <c r="BM1568" s="9">
        <f t="shared" si="221"/>
        <v>0</v>
      </c>
      <c r="BN1568" s="9">
        <f t="shared" si="222"/>
        <v>155.56</v>
      </c>
      <c r="BO1568" s="9">
        <f t="shared" si="223"/>
        <v>9.9699999999999989</v>
      </c>
      <c r="BP1568" s="9">
        <f t="shared" si="224"/>
        <v>12.4</v>
      </c>
    </row>
    <row r="1569" spans="1:68">
      <c r="A1569" s="6">
        <v>44833</v>
      </c>
      <c r="B1569" s="7">
        <v>3602</v>
      </c>
      <c r="C1569" s="8">
        <v>296.97000000000003</v>
      </c>
      <c r="D1569" s="8"/>
      <c r="E1569" s="8"/>
      <c r="F1569" s="8"/>
      <c r="G1569" s="8">
        <v>445.62</v>
      </c>
      <c r="H1569" s="8"/>
      <c r="I1569" s="8"/>
      <c r="J1569" s="8"/>
      <c r="K1569" s="8"/>
      <c r="L1569" s="8"/>
      <c r="M1569" s="8">
        <f>468*8.52/1000</f>
        <v>3.9873599999999998</v>
      </c>
      <c r="N1569" s="8"/>
      <c r="O1569" s="8"/>
      <c r="P1569" s="8"/>
      <c r="Q1569" s="11"/>
      <c r="R1569" s="11"/>
      <c r="S1569" s="8">
        <v>3.58</v>
      </c>
      <c r="T1569" s="8"/>
      <c r="U1569" s="8">
        <v>5.97</v>
      </c>
      <c r="V1569" s="8">
        <f>856*8.52/1000</f>
        <v>7.29312</v>
      </c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11"/>
      <c r="AQ1569" s="8"/>
      <c r="AR1569" s="8"/>
      <c r="AS1569" s="8"/>
      <c r="AT1569" s="8">
        <v>300.16000000000003</v>
      </c>
      <c r="AU1569" s="8"/>
      <c r="AV1569" s="8"/>
      <c r="AW1569" s="8">
        <v>19.27</v>
      </c>
      <c r="AX1569" s="8"/>
      <c r="AY1569" s="8"/>
      <c r="AZ1569" s="8"/>
      <c r="BA1569" s="8"/>
      <c r="BB1569" s="8"/>
      <c r="BC1569" s="8"/>
      <c r="BD1569" s="8"/>
      <c r="BE1569" s="8"/>
      <c r="BF1569" s="8">
        <v>23.87</v>
      </c>
      <c r="BG1569" s="8">
        <v>22.48</v>
      </c>
      <c r="BH1569" s="9">
        <f t="shared" si="216"/>
        <v>742.59</v>
      </c>
      <c r="BI1569" s="9">
        <f t="shared" si="217"/>
        <v>3.9873599999999998</v>
      </c>
      <c r="BJ1569" s="9">
        <f t="shared" si="218"/>
        <v>3.58</v>
      </c>
      <c r="BK1569" s="9">
        <f t="shared" si="219"/>
        <v>13.263120000000001</v>
      </c>
      <c r="BL1569" s="9">
        <f t="shared" si="220"/>
        <v>0</v>
      </c>
      <c r="BM1569" s="9">
        <f t="shared" si="221"/>
        <v>0</v>
      </c>
      <c r="BN1569" s="9">
        <f t="shared" si="222"/>
        <v>300.16000000000003</v>
      </c>
      <c r="BO1569" s="9">
        <f t="shared" si="223"/>
        <v>19.27</v>
      </c>
      <c r="BP1569" s="9">
        <f t="shared" si="224"/>
        <v>23.87</v>
      </c>
    </row>
    <row r="1570" spans="1:68">
      <c r="A1570" s="6">
        <v>44833</v>
      </c>
      <c r="B1570" s="7">
        <v>8253</v>
      </c>
      <c r="C1570" s="8"/>
      <c r="D1570" s="8">
        <v>569.89</v>
      </c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11">
        <v>0.7</v>
      </c>
      <c r="R1570" s="11"/>
      <c r="S1570" s="8">
        <v>3.6</v>
      </c>
      <c r="T1570" s="8"/>
      <c r="U1570" s="8">
        <v>5.14</v>
      </c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>
        <v>5.77</v>
      </c>
      <c r="AH1570" s="8"/>
      <c r="AI1570" s="8"/>
      <c r="AJ1570" s="8"/>
      <c r="AK1570" s="8"/>
      <c r="AL1570" s="8"/>
      <c r="AM1570" s="8"/>
      <c r="AN1570" s="8"/>
      <c r="AO1570" s="8"/>
      <c r="AP1570" s="11"/>
      <c r="AQ1570" s="8"/>
      <c r="AR1570" s="8"/>
      <c r="AS1570" s="8"/>
      <c r="AT1570" s="8"/>
      <c r="AU1570" s="8">
        <v>226.34</v>
      </c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>
        <v>16</v>
      </c>
      <c r="BH1570" s="9">
        <f t="shared" si="216"/>
        <v>569.89</v>
      </c>
      <c r="BI1570" s="9">
        <f t="shared" si="217"/>
        <v>0.7</v>
      </c>
      <c r="BJ1570" s="9">
        <f t="shared" si="218"/>
        <v>3.6</v>
      </c>
      <c r="BK1570" s="9">
        <f t="shared" si="219"/>
        <v>5.14</v>
      </c>
      <c r="BL1570" s="9">
        <f t="shared" si="220"/>
        <v>0</v>
      </c>
      <c r="BM1570" s="9">
        <f t="shared" si="221"/>
        <v>5.77</v>
      </c>
      <c r="BN1570" s="9">
        <f t="shared" si="222"/>
        <v>226.34</v>
      </c>
      <c r="BO1570" s="9">
        <f t="shared" si="223"/>
        <v>0</v>
      </c>
      <c r="BP1570" s="9">
        <f t="shared" si="224"/>
        <v>0</v>
      </c>
    </row>
    <row r="1571" spans="1:68">
      <c r="A1571" s="6">
        <v>44833</v>
      </c>
      <c r="B1571" s="7">
        <v>3801</v>
      </c>
      <c r="C1571" s="8">
        <v>275.23</v>
      </c>
      <c r="D1571" s="8"/>
      <c r="E1571" s="8"/>
      <c r="F1571" s="8"/>
      <c r="G1571" s="8"/>
      <c r="H1571" s="8"/>
      <c r="I1571" s="8"/>
      <c r="J1571" s="8"/>
      <c r="K1571" s="8"/>
      <c r="L1571" s="8">
        <f>43100*5.27/1000</f>
        <v>227.13699999999997</v>
      </c>
      <c r="M1571" s="8"/>
      <c r="N1571" s="8">
        <v>0.56000000000000005</v>
      </c>
      <c r="O1571" s="8"/>
      <c r="P1571" s="8"/>
      <c r="Q1571" s="11"/>
      <c r="R1571" s="11"/>
      <c r="S1571" s="8">
        <v>2.1800000000000002</v>
      </c>
      <c r="T1571" s="8"/>
      <c r="U1571" s="8">
        <v>2.38</v>
      </c>
      <c r="V1571" s="8"/>
      <c r="W1571" s="8"/>
      <c r="X1571" s="8"/>
      <c r="Y1571" s="8"/>
      <c r="Z1571" s="8">
        <v>39.64</v>
      </c>
      <c r="AA1571" s="8">
        <f>3011*5.27/1000</f>
        <v>15.86797</v>
      </c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11"/>
      <c r="AQ1571" s="8">
        <f>268*5.27/1000</f>
        <v>1.4123599999999998</v>
      </c>
      <c r="AR1571" s="8"/>
      <c r="AS1571" s="8"/>
      <c r="AT1571" s="8">
        <v>192.28</v>
      </c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>
        <v>14.61</v>
      </c>
      <c r="BH1571" s="9">
        <f t="shared" si="216"/>
        <v>502.36699999999996</v>
      </c>
      <c r="BI1571" s="9">
        <f t="shared" si="217"/>
        <v>0.56000000000000005</v>
      </c>
      <c r="BJ1571" s="9">
        <f t="shared" si="218"/>
        <v>2.1800000000000002</v>
      </c>
      <c r="BK1571" s="9">
        <f t="shared" si="219"/>
        <v>2.38</v>
      </c>
      <c r="BL1571" s="9">
        <f t="shared" si="220"/>
        <v>55.50797</v>
      </c>
      <c r="BM1571" s="9">
        <f t="shared" si="221"/>
        <v>1.4123599999999998</v>
      </c>
      <c r="BN1571" s="9">
        <f t="shared" si="222"/>
        <v>192.28</v>
      </c>
      <c r="BO1571" s="9">
        <f t="shared" si="223"/>
        <v>0</v>
      </c>
      <c r="BP1571" s="9">
        <f t="shared" si="224"/>
        <v>0</v>
      </c>
    </row>
    <row r="1572" spans="1:68">
      <c r="A1572" s="6">
        <v>44833</v>
      </c>
      <c r="B1572" s="7">
        <v>3200</v>
      </c>
      <c r="C1572" s="8">
        <v>2292.58</v>
      </c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>
        <v>5.74</v>
      </c>
      <c r="P1572" s="8"/>
      <c r="Q1572" s="11"/>
      <c r="R1572" s="11"/>
      <c r="S1572" s="8">
        <v>8.94</v>
      </c>
      <c r="T1572" s="8"/>
      <c r="U1572" s="8">
        <v>34.44</v>
      </c>
      <c r="V1572" s="8"/>
      <c r="W1572" s="8"/>
      <c r="X1572" s="8"/>
      <c r="Y1572" s="8"/>
      <c r="Z1572" s="8">
        <v>482.68</v>
      </c>
      <c r="AA1572" s="8"/>
      <c r="AB1572" s="8"/>
      <c r="AC1572" s="8"/>
      <c r="AD1572" s="8"/>
      <c r="AE1572" s="8"/>
      <c r="AF1572" s="8">
        <v>114</v>
      </c>
      <c r="AG1572" s="8"/>
      <c r="AH1572" s="8"/>
      <c r="AI1572" s="8"/>
      <c r="AJ1572" s="8"/>
      <c r="AK1572" s="8"/>
      <c r="AL1572" s="8"/>
      <c r="AM1572" s="8"/>
      <c r="AN1572" s="8"/>
      <c r="AO1572" s="8"/>
      <c r="AP1572" s="11"/>
      <c r="AQ1572" s="8">
        <f>1511*22.97/1000</f>
        <v>34.70767</v>
      </c>
      <c r="AR1572" s="8"/>
      <c r="AS1572" s="8"/>
      <c r="AT1572" s="8">
        <v>1573.2</v>
      </c>
      <c r="AU1572" s="8"/>
      <c r="AV1572" s="8"/>
      <c r="AW1572" s="8">
        <v>6.68</v>
      </c>
      <c r="AX1572" s="8"/>
      <c r="AY1572" s="8"/>
      <c r="AZ1572" s="8"/>
      <c r="BA1572" s="8"/>
      <c r="BB1572" s="8"/>
      <c r="BC1572" s="8"/>
      <c r="BD1572" s="8"/>
      <c r="BE1572" s="8"/>
      <c r="BF1572" s="8">
        <v>110.32</v>
      </c>
      <c r="BG1572" s="8">
        <v>114.12</v>
      </c>
      <c r="BH1572" s="9">
        <f t="shared" si="216"/>
        <v>2292.58</v>
      </c>
      <c r="BI1572" s="9">
        <f t="shared" si="217"/>
        <v>5.74</v>
      </c>
      <c r="BJ1572" s="9">
        <f t="shared" si="218"/>
        <v>8.94</v>
      </c>
      <c r="BK1572" s="9">
        <f t="shared" si="219"/>
        <v>34.44</v>
      </c>
      <c r="BL1572" s="9">
        <f t="shared" si="220"/>
        <v>482.68</v>
      </c>
      <c r="BM1572" s="9">
        <f t="shared" si="221"/>
        <v>148.70767000000001</v>
      </c>
      <c r="BN1572" s="9">
        <f t="shared" si="222"/>
        <v>1573.2</v>
      </c>
      <c r="BO1572" s="9">
        <f t="shared" si="223"/>
        <v>6.68</v>
      </c>
      <c r="BP1572" s="9">
        <f t="shared" si="224"/>
        <v>110.32</v>
      </c>
    </row>
    <row r="1573" spans="1:68">
      <c r="A1573" s="6">
        <v>44834</v>
      </c>
      <c r="B1573" s="7">
        <v>3141</v>
      </c>
      <c r="C1573" s="8">
        <v>2334.94</v>
      </c>
      <c r="D1573" s="8">
        <v>429.7</v>
      </c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11">
        <v>7.22</v>
      </c>
      <c r="R1573" s="11"/>
      <c r="S1573" s="8">
        <v>13.48</v>
      </c>
      <c r="T1573" s="8"/>
      <c r="U1573" s="8">
        <v>42.99</v>
      </c>
      <c r="V1573" s="8"/>
      <c r="W1573" s="8"/>
      <c r="X1573" s="8"/>
      <c r="Y1573" s="8"/>
      <c r="Z1573" s="8"/>
      <c r="AA1573" s="8"/>
      <c r="AB1573" s="8"/>
      <c r="AC1573" s="8">
        <v>11.47</v>
      </c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11"/>
      <c r="AQ1573" s="8"/>
      <c r="AR1573" s="8"/>
      <c r="AS1573" s="8"/>
      <c r="AT1573" s="8">
        <v>1897.09</v>
      </c>
      <c r="AU1573" s="8"/>
      <c r="AV1573" s="8"/>
      <c r="AW1573" s="8"/>
      <c r="AX1573" s="8"/>
      <c r="AY1573" s="8"/>
      <c r="AZ1573" s="8"/>
      <c r="BA1573" s="8">
        <v>65.680000000000007</v>
      </c>
      <c r="BB1573" s="8"/>
      <c r="BC1573" s="8"/>
      <c r="BD1573" s="8"/>
      <c r="BE1573" s="8"/>
      <c r="BF1573" s="8">
        <v>200.64</v>
      </c>
      <c r="BG1573" s="8">
        <v>148.91999999999999</v>
      </c>
      <c r="BH1573" s="9">
        <f t="shared" si="216"/>
        <v>2764.64</v>
      </c>
      <c r="BI1573" s="9">
        <f t="shared" si="217"/>
        <v>7.22</v>
      </c>
      <c r="BJ1573" s="9">
        <f t="shared" si="218"/>
        <v>13.48</v>
      </c>
      <c r="BK1573" s="9">
        <f t="shared" si="219"/>
        <v>42.99</v>
      </c>
      <c r="BL1573" s="9">
        <f t="shared" si="220"/>
        <v>0</v>
      </c>
      <c r="BM1573" s="9">
        <f t="shared" si="221"/>
        <v>11.47</v>
      </c>
      <c r="BN1573" s="9">
        <f t="shared" si="222"/>
        <v>1897.09</v>
      </c>
      <c r="BO1573" s="9">
        <f t="shared" si="223"/>
        <v>65.680000000000007</v>
      </c>
      <c r="BP1573" s="9">
        <f t="shared" si="224"/>
        <v>200.64</v>
      </c>
    </row>
    <row r="1574" spans="1:68">
      <c r="A1574" s="6">
        <v>44837</v>
      </c>
      <c r="B1574" s="7">
        <v>3139</v>
      </c>
      <c r="C1574" s="8">
        <v>1556.15</v>
      </c>
      <c r="D1574" s="8"/>
      <c r="E1574" s="8"/>
      <c r="F1574" s="8"/>
      <c r="G1574" s="8"/>
      <c r="H1574" s="8">
        <v>645.95000000000005</v>
      </c>
      <c r="I1574" s="8"/>
      <c r="J1574" s="8"/>
      <c r="K1574" s="8"/>
      <c r="L1574" s="8"/>
      <c r="M1574" s="8"/>
      <c r="N1574" s="8"/>
      <c r="O1574" s="8"/>
      <c r="P1574" s="8"/>
      <c r="Q1574" s="11">
        <v>3.63</v>
      </c>
      <c r="R1574" s="11"/>
      <c r="S1574" s="8">
        <v>6.89</v>
      </c>
      <c r="T1574" s="8"/>
      <c r="U1574" s="8">
        <v>22.98</v>
      </c>
      <c r="V1574" s="8"/>
      <c r="W1574" s="8"/>
      <c r="X1574" s="8"/>
      <c r="Y1574" s="8"/>
      <c r="Z1574" s="8"/>
      <c r="AA1574" s="8"/>
      <c r="AB1574" s="8"/>
      <c r="AC1574" s="8">
        <v>7.67</v>
      </c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11"/>
      <c r="AQ1574" s="8"/>
      <c r="AR1574" s="8"/>
      <c r="AS1574" s="8"/>
      <c r="AT1574" s="8">
        <v>1139.07</v>
      </c>
      <c r="AU1574" s="8"/>
      <c r="AV1574" s="8">
        <v>38.299999999999997</v>
      </c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>
        <v>82.41</v>
      </c>
      <c r="BH1574" s="9">
        <f t="shared" si="216"/>
        <v>2202.1000000000004</v>
      </c>
      <c r="BI1574" s="9">
        <f t="shared" si="217"/>
        <v>3.63</v>
      </c>
      <c r="BJ1574" s="9">
        <f t="shared" si="218"/>
        <v>6.89</v>
      </c>
      <c r="BK1574" s="9">
        <f t="shared" si="219"/>
        <v>22.98</v>
      </c>
      <c r="BL1574" s="9">
        <f t="shared" si="220"/>
        <v>0</v>
      </c>
      <c r="BM1574" s="9">
        <f t="shared" si="221"/>
        <v>7.67</v>
      </c>
      <c r="BN1574" s="9">
        <f t="shared" si="222"/>
        <v>1139.07</v>
      </c>
      <c r="BO1574" s="9">
        <f t="shared" si="223"/>
        <v>38.299999999999997</v>
      </c>
      <c r="BP1574" s="9">
        <f t="shared" si="224"/>
        <v>0</v>
      </c>
    </row>
    <row r="1575" spans="1:68">
      <c r="A1575" s="6">
        <v>44837</v>
      </c>
      <c r="B1575" s="7">
        <v>3703</v>
      </c>
      <c r="C1575" s="8">
        <v>816.65</v>
      </c>
      <c r="D1575" s="8">
        <v>544.38</v>
      </c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11">
        <v>2.71</v>
      </c>
      <c r="R1575" s="11"/>
      <c r="S1575" s="8">
        <v>6.68</v>
      </c>
      <c r="T1575" s="8"/>
      <c r="U1575" s="8">
        <v>10.9</v>
      </c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>
        <f>1502*9.08/1000</f>
        <v>13.638159999999999</v>
      </c>
      <c r="AM1575" s="8"/>
      <c r="AN1575" s="8"/>
      <c r="AO1575" s="8"/>
      <c r="AP1575" s="11"/>
      <c r="AQ1575" s="8"/>
      <c r="AR1575" s="8"/>
      <c r="AS1575" s="8"/>
      <c r="AT1575" s="8">
        <v>332.13</v>
      </c>
      <c r="AU1575" s="8">
        <v>165.78</v>
      </c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>
        <v>34.65</v>
      </c>
      <c r="BH1575" s="9">
        <f t="shared" si="216"/>
        <v>1361.03</v>
      </c>
      <c r="BI1575" s="9">
        <f t="shared" si="217"/>
        <v>2.71</v>
      </c>
      <c r="BJ1575" s="9">
        <f t="shared" si="218"/>
        <v>6.68</v>
      </c>
      <c r="BK1575" s="9">
        <f t="shared" si="219"/>
        <v>10.9</v>
      </c>
      <c r="BL1575" s="9">
        <f t="shared" si="220"/>
        <v>0</v>
      </c>
      <c r="BM1575" s="9">
        <f t="shared" si="221"/>
        <v>13.638159999999999</v>
      </c>
      <c r="BN1575" s="9">
        <f t="shared" si="222"/>
        <v>497.90999999999997</v>
      </c>
      <c r="BO1575" s="9">
        <f t="shared" si="223"/>
        <v>0</v>
      </c>
      <c r="BP1575" s="9">
        <f t="shared" si="224"/>
        <v>0</v>
      </c>
    </row>
    <row r="1576" spans="1:68">
      <c r="A1576" s="6">
        <v>44837</v>
      </c>
      <c r="B1576" s="7">
        <v>3101</v>
      </c>
      <c r="C1576" s="8">
        <v>628.76</v>
      </c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11">
        <v>1.42</v>
      </c>
      <c r="R1576" s="11"/>
      <c r="S1576" s="8">
        <v>3.65</v>
      </c>
      <c r="T1576" s="8"/>
      <c r="U1576" s="8">
        <v>10.07</v>
      </c>
      <c r="V1576" s="8"/>
      <c r="W1576" s="8"/>
      <c r="X1576" s="8"/>
      <c r="Y1576" s="8"/>
      <c r="Z1576" s="8"/>
      <c r="AA1576" s="8"/>
      <c r="AB1576" s="8"/>
      <c r="AC1576" s="8">
        <v>2.52</v>
      </c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11"/>
      <c r="AQ1576" s="8"/>
      <c r="AR1576" s="8"/>
      <c r="AS1576" s="8"/>
      <c r="AT1576" s="8">
        <v>423.6</v>
      </c>
      <c r="AU1576" s="8"/>
      <c r="AV1576" s="8"/>
      <c r="AW1576" s="8">
        <v>13.4</v>
      </c>
      <c r="AX1576" s="8"/>
      <c r="AY1576" s="8"/>
      <c r="AZ1576" s="8"/>
      <c r="BA1576" s="8"/>
      <c r="BB1576" s="8"/>
      <c r="BC1576" s="8"/>
      <c r="BD1576" s="8"/>
      <c r="BE1576" s="8"/>
      <c r="BF1576" s="8">
        <v>81.81</v>
      </c>
      <c r="BG1576" s="8">
        <v>32.43</v>
      </c>
      <c r="BH1576" s="9">
        <f t="shared" si="216"/>
        <v>628.76</v>
      </c>
      <c r="BI1576" s="9">
        <f t="shared" si="217"/>
        <v>1.42</v>
      </c>
      <c r="BJ1576" s="9">
        <f t="shared" si="218"/>
        <v>3.65</v>
      </c>
      <c r="BK1576" s="9">
        <f t="shared" si="219"/>
        <v>10.07</v>
      </c>
      <c r="BL1576" s="9">
        <f t="shared" si="220"/>
        <v>0</v>
      </c>
      <c r="BM1576" s="9">
        <f t="shared" si="221"/>
        <v>2.52</v>
      </c>
      <c r="BN1576" s="9">
        <f t="shared" si="222"/>
        <v>423.6</v>
      </c>
      <c r="BO1576" s="9">
        <f t="shared" si="223"/>
        <v>13.4</v>
      </c>
      <c r="BP1576" s="9">
        <f t="shared" si="224"/>
        <v>81.81</v>
      </c>
    </row>
    <row r="1577" spans="1:68">
      <c r="A1577" s="6">
        <v>44837</v>
      </c>
      <c r="B1577" s="7">
        <v>3409</v>
      </c>
      <c r="C1577" s="8">
        <v>767.93</v>
      </c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11">
        <v>1.86</v>
      </c>
      <c r="R1577" s="11"/>
      <c r="S1577" s="8">
        <v>1.93</v>
      </c>
      <c r="T1577" s="8"/>
      <c r="U1577" s="8"/>
      <c r="V1577" s="8"/>
      <c r="W1577" s="8"/>
      <c r="X1577" s="8">
        <f>998*7.7/1000</f>
        <v>7.6846000000000005</v>
      </c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11"/>
      <c r="AQ1577" s="8"/>
      <c r="AR1577" s="8"/>
      <c r="AS1577" s="8"/>
      <c r="AT1577" s="8">
        <v>396.17</v>
      </c>
      <c r="AU1577" s="8"/>
      <c r="AV1577" s="8">
        <v>23.13</v>
      </c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>
        <v>26.92</v>
      </c>
      <c r="BH1577" s="9">
        <f t="shared" si="216"/>
        <v>767.93</v>
      </c>
      <c r="BI1577" s="9">
        <f t="shared" si="217"/>
        <v>1.86</v>
      </c>
      <c r="BJ1577" s="9">
        <f t="shared" si="218"/>
        <v>1.93</v>
      </c>
      <c r="BK1577" s="9">
        <f t="shared" si="219"/>
        <v>7.6846000000000005</v>
      </c>
      <c r="BL1577" s="9">
        <f t="shared" si="220"/>
        <v>0</v>
      </c>
      <c r="BM1577" s="9">
        <f t="shared" si="221"/>
        <v>0</v>
      </c>
      <c r="BN1577" s="9">
        <f t="shared" si="222"/>
        <v>396.17</v>
      </c>
      <c r="BO1577" s="9">
        <f t="shared" si="223"/>
        <v>23.13</v>
      </c>
      <c r="BP1577" s="9">
        <f t="shared" si="224"/>
        <v>0</v>
      </c>
    </row>
    <row r="1578" spans="1:68">
      <c r="A1578" s="6">
        <v>44837</v>
      </c>
      <c r="B1578" s="7">
        <v>3206</v>
      </c>
      <c r="C1578" s="8">
        <v>281.23</v>
      </c>
      <c r="D1578" s="8">
        <v>507.25</v>
      </c>
      <c r="E1578" s="8">
        <v>338.97</v>
      </c>
      <c r="F1578" s="8"/>
      <c r="G1578" s="8"/>
      <c r="H1578" s="8"/>
      <c r="I1578" s="8"/>
      <c r="J1578" s="8"/>
      <c r="K1578" s="8"/>
      <c r="L1578" s="8"/>
      <c r="M1578" s="8"/>
      <c r="N1578" s="8"/>
      <c r="O1578" s="8">
        <v>2.25</v>
      </c>
      <c r="P1578" s="8"/>
      <c r="Q1578" s="11"/>
      <c r="R1578" s="11"/>
      <c r="S1578" s="8">
        <v>5.62</v>
      </c>
      <c r="T1578" s="8"/>
      <c r="U1578" s="8">
        <v>3.94</v>
      </c>
      <c r="V1578" s="8"/>
      <c r="W1578" s="8"/>
      <c r="X1578" s="8"/>
      <c r="Y1578" s="8"/>
      <c r="Z1578" s="8">
        <v>67.58</v>
      </c>
      <c r="AA1578" s="8"/>
      <c r="AB1578" s="8">
        <f>796*7.03/1000</f>
        <v>5.5958800000000002</v>
      </c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11"/>
      <c r="AQ1578" s="8"/>
      <c r="AR1578" s="8"/>
      <c r="AS1578" s="8"/>
      <c r="AT1578" s="8">
        <v>197.12</v>
      </c>
      <c r="AU1578" s="8">
        <v>98.56</v>
      </c>
      <c r="AV1578" s="8"/>
      <c r="AW1578" s="8">
        <v>4.28</v>
      </c>
      <c r="AX1578" s="8"/>
      <c r="AY1578" s="8"/>
      <c r="AZ1578" s="8"/>
      <c r="BA1578" s="8"/>
      <c r="BB1578" s="8"/>
      <c r="BC1578" s="8"/>
      <c r="BD1578" s="8"/>
      <c r="BE1578" s="8"/>
      <c r="BF1578" s="8"/>
      <c r="BG1578" s="8">
        <v>19.829999999999998</v>
      </c>
      <c r="BH1578" s="9">
        <f t="shared" si="216"/>
        <v>1127.45</v>
      </c>
      <c r="BI1578" s="9">
        <f t="shared" si="217"/>
        <v>2.25</v>
      </c>
      <c r="BJ1578" s="9">
        <f t="shared" si="218"/>
        <v>5.62</v>
      </c>
      <c r="BK1578" s="9">
        <f t="shared" si="219"/>
        <v>3.94</v>
      </c>
      <c r="BL1578" s="9">
        <f t="shared" si="220"/>
        <v>67.58</v>
      </c>
      <c r="BM1578" s="9">
        <f t="shared" si="221"/>
        <v>5.5958800000000002</v>
      </c>
      <c r="BN1578" s="9">
        <f t="shared" si="222"/>
        <v>295.68</v>
      </c>
      <c r="BO1578" s="9">
        <f t="shared" si="223"/>
        <v>4.28</v>
      </c>
      <c r="BP1578" s="9">
        <f t="shared" si="224"/>
        <v>0</v>
      </c>
    </row>
    <row r="1579" spans="1:68">
      <c r="A1579" s="6">
        <v>44837</v>
      </c>
      <c r="B1579" s="7">
        <v>3203</v>
      </c>
      <c r="C1579" s="8">
        <v>1678.82</v>
      </c>
      <c r="D1579" s="8"/>
      <c r="E1579" s="8">
        <v>720.15</v>
      </c>
      <c r="F1579" s="8"/>
      <c r="G1579" s="8"/>
      <c r="H1579" s="8"/>
      <c r="I1579" s="8"/>
      <c r="J1579" s="8"/>
      <c r="K1579" s="8"/>
      <c r="L1579" s="8"/>
      <c r="M1579" s="8"/>
      <c r="N1579" s="8"/>
      <c r="O1579" s="8">
        <v>7.22</v>
      </c>
      <c r="P1579" s="8"/>
      <c r="Q1579" s="11"/>
      <c r="R1579" s="11"/>
      <c r="S1579" s="8">
        <v>9.3800000000000008</v>
      </c>
      <c r="T1579" s="8"/>
      <c r="U1579" s="8">
        <v>29.82</v>
      </c>
      <c r="V1579" s="8"/>
      <c r="W1579" s="8"/>
      <c r="X1579" s="8"/>
      <c r="Y1579" s="8"/>
      <c r="Z1579" s="8">
        <v>379.02</v>
      </c>
      <c r="AA1579" s="8">
        <f>10322*28.28/1000</f>
        <v>291.90616000000006</v>
      </c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11"/>
      <c r="AQ1579" s="8"/>
      <c r="AR1579" s="8"/>
      <c r="AS1579" s="8"/>
      <c r="AT1579" s="8">
        <v>899.4</v>
      </c>
      <c r="AU1579" s="8">
        <v>450.69</v>
      </c>
      <c r="AV1579" s="8"/>
      <c r="AW1579" s="8"/>
      <c r="AX1579" s="8"/>
      <c r="AY1579" s="8"/>
      <c r="AZ1579" s="8"/>
      <c r="BA1579" s="8"/>
      <c r="BB1579" s="8"/>
      <c r="BC1579" s="8">
        <v>6.25</v>
      </c>
      <c r="BD1579" s="8"/>
      <c r="BE1579" s="8"/>
      <c r="BF1579" s="8"/>
      <c r="BG1579" s="8">
        <v>87.77</v>
      </c>
      <c r="BH1579" s="9">
        <f t="shared" si="216"/>
        <v>2398.9699999999998</v>
      </c>
      <c r="BI1579" s="9">
        <f t="shared" si="217"/>
        <v>7.22</v>
      </c>
      <c r="BJ1579" s="9">
        <f t="shared" si="218"/>
        <v>9.3800000000000008</v>
      </c>
      <c r="BK1579" s="9">
        <f t="shared" si="219"/>
        <v>29.82</v>
      </c>
      <c r="BL1579" s="9">
        <f t="shared" si="220"/>
        <v>670.92615999999998</v>
      </c>
      <c r="BM1579" s="9">
        <f t="shared" si="221"/>
        <v>0</v>
      </c>
      <c r="BN1579" s="9">
        <f t="shared" si="222"/>
        <v>1350.09</v>
      </c>
      <c r="BO1579" s="9">
        <f t="shared" si="223"/>
        <v>6.25</v>
      </c>
      <c r="BP1579" s="9">
        <f t="shared" si="224"/>
        <v>0</v>
      </c>
    </row>
    <row r="1580" spans="1:68">
      <c r="A1580" s="6">
        <v>44837</v>
      </c>
      <c r="B1580" s="7">
        <v>3016</v>
      </c>
      <c r="C1580" s="8"/>
      <c r="D1580" s="8">
        <v>2359.84</v>
      </c>
      <c r="E1580" s="8"/>
      <c r="F1580" s="8"/>
      <c r="G1580" s="8"/>
      <c r="H1580" s="8"/>
      <c r="I1580" s="8">
        <v>2174</v>
      </c>
      <c r="J1580" s="8"/>
      <c r="K1580" s="8"/>
      <c r="L1580" s="8"/>
      <c r="M1580" s="8"/>
      <c r="N1580" s="8">
        <v>27.17</v>
      </c>
      <c r="O1580" s="8"/>
      <c r="P1580" s="8"/>
      <c r="Q1580" s="11"/>
      <c r="R1580" s="11"/>
      <c r="S1580" s="8">
        <v>3.16</v>
      </c>
      <c r="T1580" s="8"/>
      <c r="U1580" s="8"/>
      <c r="V1580" s="8"/>
      <c r="W1580" s="8">
        <v>45.39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>
        <v>17.850000000000001</v>
      </c>
      <c r="AN1580" s="8">
        <f>1964*26.68/1000</f>
        <v>52.399519999999995</v>
      </c>
      <c r="AO1580" s="8"/>
      <c r="AP1580" s="11"/>
      <c r="AQ1580" s="8"/>
      <c r="AR1580" s="8">
        <f>4350*26.68/1000</f>
        <v>116.05800000000001</v>
      </c>
      <c r="AS1580" s="8"/>
      <c r="AT1580" s="8">
        <v>1684.44</v>
      </c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>
        <v>123.05</v>
      </c>
      <c r="BH1580" s="9">
        <f t="shared" si="216"/>
        <v>4533.84</v>
      </c>
      <c r="BI1580" s="9">
        <f t="shared" si="217"/>
        <v>27.17</v>
      </c>
      <c r="BJ1580" s="9">
        <f t="shared" si="218"/>
        <v>3.16</v>
      </c>
      <c r="BK1580" s="9">
        <f t="shared" si="219"/>
        <v>45.39</v>
      </c>
      <c r="BL1580" s="9">
        <f t="shared" si="220"/>
        <v>0</v>
      </c>
      <c r="BM1580" s="9">
        <f t="shared" si="221"/>
        <v>186.30752000000001</v>
      </c>
      <c r="BN1580" s="9">
        <f t="shared" si="222"/>
        <v>1684.44</v>
      </c>
      <c r="BO1580" s="9">
        <f t="shared" si="223"/>
        <v>0</v>
      </c>
      <c r="BP1580" s="9">
        <f t="shared" si="224"/>
        <v>0</v>
      </c>
    </row>
    <row r="1581" spans="1:68">
      <c r="A1581" s="6">
        <v>44837</v>
      </c>
      <c r="B1581" s="7">
        <v>3141</v>
      </c>
      <c r="C1581" s="8">
        <v>2427.9</v>
      </c>
      <c r="D1581" s="8">
        <v>428.71</v>
      </c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11">
        <v>7.84</v>
      </c>
      <c r="R1581" s="11"/>
      <c r="S1581" s="8">
        <v>13.45</v>
      </c>
      <c r="T1581" s="8"/>
      <c r="U1581" s="8">
        <v>42.89</v>
      </c>
      <c r="V1581" s="8"/>
      <c r="W1581" s="8"/>
      <c r="X1581" s="8"/>
      <c r="Y1581" s="8"/>
      <c r="Z1581" s="8"/>
      <c r="AA1581" s="8"/>
      <c r="AB1581" s="8"/>
      <c r="AC1581" s="8">
        <v>11.45</v>
      </c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11"/>
      <c r="AQ1581" s="8"/>
      <c r="AR1581" s="8"/>
      <c r="AS1581" s="8"/>
      <c r="AT1581" s="8">
        <v>1883.41</v>
      </c>
      <c r="AU1581" s="8"/>
      <c r="AV1581" s="8"/>
      <c r="AW1581" s="8"/>
      <c r="AX1581" s="8"/>
      <c r="AY1581" s="8"/>
      <c r="AZ1581" s="8"/>
      <c r="BA1581" s="8">
        <v>65.52</v>
      </c>
      <c r="BB1581" s="8"/>
      <c r="BC1581" s="8"/>
      <c r="BD1581" s="8"/>
      <c r="BE1581" s="8"/>
      <c r="BF1581" s="8">
        <v>200.18</v>
      </c>
      <c r="BG1581" s="8">
        <v>148.33000000000001</v>
      </c>
      <c r="BH1581" s="9">
        <f t="shared" si="216"/>
        <v>2856.61</v>
      </c>
      <c r="BI1581" s="9">
        <f t="shared" si="217"/>
        <v>7.84</v>
      </c>
      <c r="BJ1581" s="9">
        <f t="shared" si="218"/>
        <v>13.45</v>
      </c>
      <c r="BK1581" s="9">
        <f t="shared" si="219"/>
        <v>42.89</v>
      </c>
      <c r="BL1581" s="9">
        <f t="shared" si="220"/>
        <v>0</v>
      </c>
      <c r="BM1581" s="9">
        <f t="shared" si="221"/>
        <v>11.45</v>
      </c>
      <c r="BN1581" s="9">
        <f t="shared" si="222"/>
        <v>1883.41</v>
      </c>
      <c r="BO1581" s="9">
        <f t="shared" si="223"/>
        <v>65.52</v>
      </c>
      <c r="BP1581" s="9">
        <f t="shared" si="224"/>
        <v>200.18</v>
      </c>
    </row>
    <row r="1582" spans="1:68">
      <c r="A1582" s="6">
        <v>44837</v>
      </c>
      <c r="B1582" s="7">
        <v>3106</v>
      </c>
      <c r="C1582" s="8">
        <v>4130.16</v>
      </c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11">
        <v>10.76</v>
      </c>
      <c r="R1582" s="11"/>
      <c r="S1582" s="8">
        <v>12.44</v>
      </c>
      <c r="T1582" s="8"/>
      <c r="U1582" s="8">
        <v>52.71</v>
      </c>
      <c r="V1582" s="8"/>
      <c r="W1582" s="8"/>
      <c r="X1582" s="8"/>
      <c r="Y1582" s="8"/>
      <c r="Z1582" s="8"/>
      <c r="AA1582" s="8"/>
      <c r="AB1582" s="8"/>
      <c r="AC1582" s="8">
        <v>10.34</v>
      </c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11"/>
      <c r="AQ1582" s="8"/>
      <c r="AR1582" s="8"/>
      <c r="AS1582" s="8"/>
      <c r="AT1582" s="8">
        <v>2370.41</v>
      </c>
      <c r="AU1582" s="8"/>
      <c r="AV1582" s="8"/>
      <c r="AW1582" s="8"/>
      <c r="AX1582" s="8">
        <v>5.17</v>
      </c>
      <c r="AY1582" s="8"/>
      <c r="AZ1582" s="8"/>
      <c r="BA1582" s="8"/>
      <c r="BB1582" s="8"/>
      <c r="BC1582" s="8"/>
      <c r="BD1582" s="8"/>
      <c r="BE1582" s="8"/>
      <c r="BF1582" s="8"/>
      <c r="BG1582" s="8">
        <v>177.95</v>
      </c>
      <c r="BH1582" s="9">
        <f t="shared" si="216"/>
        <v>4130.16</v>
      </c>
      <c r="BI1582" s="9">
        <f t="shared" si="217"/>
        <v>10.76</v>
      </c>
      <c r="BJ1582" s="9">
        <f t="shared" si="218"/>
        <v>12.44</v>
      </c>
      <c r="BK1582" s="9">
        <f t="shared" si="219"/>
        <v>52.71</v>
      </c>
      <c r="BL1582" s="9">
        <f t="shared" si="220"/>
        <v>0</v>
      </c>
      <c r="BM1582" s="9">
        <f t="shared" si="221"/>
        <v>10.34</v>
      </c>
      <c r="BN1582" s="9">
        <f t="shared" si="222"/>
        <v>2370.41</v>
      </c>
      <c r="BO1582" s="9">
        <f t="shared" si="223"/>
        <v>5.17</v>
      </c>
      <c r="BP1582" s="9">
        <f t="shared" si="224"/>
        <v>0</v>
      </c>
    </row>
    <row r="1583" spans="1:68">
      <c r="A1583" s="6">
        <v>44837</v>
      </c>
      <c r="B1583" s="7">
        <v>3134</v>
      </c>
      <c r="C1583" s="8">
        <v>1038.08</v>
      </c>
      <c r="D1583" s="8">
        <v>147.11000000000001</v>
      </c>
      <c r="E1583" s="8"/>
      <c r="F1583" s="8"/>
      <c r="G1583" s="8"/>
      <c r="H1583" s="8">
        <v>489.01</v>
      </c>
      <c r="I1583" s="8"/>
      <c r="J1583" s="8"/>
      <c r="K1583" s="8"/>
      <c r="L1583" s="8"/>
      <c r="M1583" s="8"/>
      <c r="N1583" s="8"/>
      <c r="O1583" s="8"/>
      <c r="P1583" s="8"/>
      <c r="Q1583" s="11">
        <v>3.09</v>
      </c>
      <c r="R1583" s="11"/>
      <c r="S1583" s="8">
        <v>6.69</v>
      </c>
      <c r="T1583" s="8"/>
      <c r="U1583" s="8">
        <v>18.89</v>
      </c>
      <c r="V1583" s="8"/>
      <c r="W1583" s="8"/>
      <c r="X1583" s="8"/>
      <c r="Y1583" s="8"/>
      <c r="Z1583" s="8"/>
      <c r="AA1583" s="8"/>
      <c r="AB1583" s="8"/>
      <c r="AC1583" s="8">
        <v>5.82</v>
      </c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11"/>
      <c r="AQ1583" s="8"/>
      <c r="AR1583" s="8"/>
      <c r="AS1583" s="8"/>
      <c r="AT1583" s="8">
        <v>1035.67</v>
      </c>
      <c r="AU1583" s="8"/>
      <c r="AV1583" s="8"/>
      <c r="AW1583" s="8"/>
      <c r="AX1583" s="8"/>
      <c r="AY1583" s="8">
        <f>1432*10.4/1000</f>
        <v>14.892800000000001</v>
      </c>
      <c r="AZ1583" s="8"/>
      <c r="BA1583" s="8"/>
      <c r="BB1583" s="8"/>
      <c r="BC1583" s="8"/>
      <c r="BD1583" s="8"/>
      <c r="BE1583" s="8"/>
      <c r="BF1583" s="8">
        <v>65.5</v>
      </c>
      <c r="BG1583" s="8">
        <v>77.069999999999993</v>
      </c>
      <c r="BH1583" s="9">
        <f t="shared" si="216"/>
        <v>1674.2</v>
      </c>
      <c r="BI1583" s="9">
        <f t="shared" si="217"/>
        <v>3.09</v>
      </c>
      <c r="BJ1583" s="9">
        <f t="shared" si="218"/>
        <v>6.69</v>
      </c>
      <c r="BK1583" s="9">
        <f t="shared" si="219"/>
        <v>18.89</v>
      </c>
      <c r="BL1583" s="9">
        <f t="shared" si="220"/>
        <v>0</v>
      </c>
      <c r="BM1583" s="9">
        <f t="shared" si="221"/>
        <v>5.82</v>
      </c>
      <c r="BN1583" s="9">
        <f t="shared" si="222"/>
        <v>1035.67</v>
      </c>
      <c r="BO1583" s="9">
        <f t="shared" si="223"/>
        <v>14.892800000000001</v>
      </c>
      <c r="BP1583" s="9">
        <f t="shared" si="224"/>
        <v>65.5</v>
      </c>
    </row>
    <row r="1584" spans="1:68">
      <c r="A1584" s="6">
        <v>44838</v>
      </c>
      <c r="B1584" s="7">
        <v>3020</v>
      </c>
      <c r="C1584" s="8"/>
      <c r="D1584" s="8">
        <v>318.01</v>
      </c>
      <c r="E1584" s="8"/>
      <c r="F1584" s="8"/>
      <c r="G1584" s="8"/>
      <c r="H1584" s="8"/>
      <c r="I1584" s="8">
        <v>1795.59</v>
      </c>
      <c r="J1584" s="8"/>
      <c r="K1584" s="8"/>
      <c r="L1584" s="8"/>
      <c r="M1584" s="8"/>
      <c r="N1584" s="8">
        <v>12.69</v>
      </c>
      <c r="O1584" s="8"/>
      <c r="P1584" s="8"/>
      <c r="Q1584" s="11"/>
      <c r="R1584" s="11"/>
      <c r="S1584" s="8">
        <v>3.81</v>
      </c>
      <c r="T1584" s="8"/>
      <c r="U1584" s="8"/>
      <c r="V1584" s="8"/>
      <c r="W1584" s="8">
        <v>21.15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>
        <v>21.06</v>
      </c>
      <c r="AN1584" s="8"/>
      <c r="AO1584" s="8"/>
      <c r="AP1584" s="11"/>
      <c r="AQ1584" s="8"/>
      <c r="AR1584" s="8"/>
      <c r="AS1584" s="8">
        <f>3037*17.62/1000</f>
        <v>53.511940000000003</v>
      </c>
      <c r="AT1584" s="8">
        <v>1037.74</v>
      </c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>
        <v>76.05</v>
      </c>
      <c r="BH1584" s="9">
        <f t="shared" si="216"/>
        <v>2113.6</v>
      </c>
      <c r="BI1584" s="9">
        <f t="shared" si="217"/>
        <v>12.69</v>
      </c>
      <c r="BJ1584" s="9">
        <f t="shared" si="218"/>
        <v>3.81</v>
      </c>
      <c r="BK1584" s="9">
        <f t="shared" si="219"/>
        <v>21.15</v>
      </c>
      <c r="BL1584" s="9">
        <f t="shared" si="220"/>
        <v>0</v>
      </c>
      <c r="BM1584" s="9">
        <f t="shared" si="221"/>
        <v>74.571939999999998</v>
      </c>
      <c r="BN1584" s="9">
        <f t="shared" si="222"/>
        <v>1037.74</v>
      </c>
      <c r="BO1584" s="9">
        <f t="shared" si="223"/>
        <v>0</v>
      </c>
      <c r="BP1584" s="9">
        <f t="shared" si="224"/>
        <v>0</v>
      </c>
    </row>
    <row r="1585" spans="1:68">
      <c r="A1585" s="6">
        <v>44838</v>
      </c>
      <c r="B1585" s="7">
        <v>3022</v>
      </c>
      <c r="C1585" s="8"/>
      <c r="D1585" s="8">
        <v>557.01</v>
      </c>
      <c r="E1585" s="8"/>
      <c r="F1585" s="8"/>
      <c r="G1585" s="8"/>
      <c r="H1585" s="8"/>
      <c r="I1585" s="8">
        <v>457.97</v>
      </c>
      <c r="J1585" s="8"/>
      <c r="K1585" s="8"/>
      <c r="L1585" s="8"/>
      <c r="M1585" s="8"/>
      <c r="N1585" s="8">
        <v>5.08</v>
      </c>
      <c r="O1585" s="8"/>
      <c r="P1585" s="8"/>
      <c r="Q1585" s="11"/>
      <c r="R1585" s="11"/>
      <c r="S1585" s="8">
        <v>1.83</v>
      </c>
      <c r="T1585" s="8"/>
      <c r="U1585" s="8"/>
      <c r="V1585" s="8"/>
      <c r="W1585" s="8">
        <v>10.16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>
        <v>13.22</v>
      </c>
      <c r="AN1585" s="8"/>
      <c r="AO1585" s="8"/>
      <c r="AP1585" s="11"/>
      <c r="AQ1585" s="8"/>
      <c r="AR1585" s="8"/>
      <c r="AS1585" s="8">
        <f>3855*9.23/1000</f>
        <v>35.581650000000003</v>
      </c>
      <c r="AT1585" s="8">
        <v>474.06</v>
      </c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>
        <v>36.54</v>
      </c>
      <c r="BH1585" s="9">
        <f t="shared" si="216"/>
        <v>1014.98</v>
      </c>
      <c r="BI1585" s="9">
        <f t="shared" si="217"/>
        <v>5.08</v>
      </c>
      <c r="BJ1585" s="9">
        <f t="shared" si="218"/>
        <v>1.83</v>
      </c>
      <c r="BK1585" s="9">
        <f t="shared" si="219"/>
        <v>10.16</v>
      </c>
      <c r="BL1585" s="9">
        <f t="shared" si="220"/>
        <v>0</v>
      </c>
      <c r="BM1585" s="9">
        <f t="shared" si="221"/>
        <v>48.801650000000002</v>
      </c>
      <c r="BN1585" s="9">
        <f t="shared" si="222"/>
        <v>474.06</v>
      </c>
      <c r="BO1585" s="9">
        <f t="shared" si="223"/>
        <v>0</v>
      </c>
      <c r="BP1585" s="9">
        <f t="shared" si="224"/>
        <v>0</v>
      </c>
    </row>
    <row r="1586" spans="1:68">
      <c r="A1586" s="6">
        <v>44838</v>
      </c>
      <c r="B1586" s="7">
        <v>3021</v>
      </c>
      <c r="C1586" s="8"/>
      <c r="D1586" s="8">
        <v>348.52</v>
      </c>
      <c r="E1586" s="8"/>
      <c r="F1586" s="8"/>
      <c r="G1586" s="8"/>
      <c r="H1586" s="8"/>
      <c r="I1586" s="8">
        <v>643.92999999999995</v>
      </c>
      <c r="J1586" s="8"/>
      <c r="K1586" s="8"/>
      <c r="L1586" s="8"/>
      <c r="M1586" s="8"/>
      <c r="N1586" s="8">
        <v>5.26</v>
      </c>
      <c r="O1586" s="8"/>
      <c r="P1586" s="8"/>
      <c r="Q1586" s="11"/>
      <c r="R1586" s="11"/>
      <c r="S1586" s="8">
        <v>1.79</v>
      </c>
      <c r="T1586" s="8"/>
      <c r="U1586" s="8"/>
      <c r="V1586" s="8"/>
      <c r="W1586" s="8">
        <v>9.91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>
        <v>9.9</v>
      </c>
      <c r="AN1586" s="8"/>
      <c r="AO1586" s="8"/>
      <c r="AP1586" s="11"/>
      <c r="AQ1586" s="8"/>
      <c r="AR1586" s="8"/>
      <c r="AS1586" s="8">
        <f>2633*9.47/1000</f>
        <v>24.934510000000003</v>
      </c>
      <c r="AT1586" s="8">
        <v>467.07</v>
      </c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>
        <v>35.270000000000003</v>
      </c>
      <c r="BH1586" s="9">
        <f t="shared" si="216"/>
        <v>992.44999999999993</v>
      </c>
      <c r="BI1586" s="9">
        <f t="shared" si="217"/>
        <v>5.26</v>
      </c>
      <c r="BJ1586" s="9">
        <f t="shared" si="218"/>
        <v>1.79</v>
      </c>
      <c r="BK1586" s="9">
        <f t="shared" si="219"/>
        <v>9.91</v>
      </c>
      <c r="BL1586" s="9">
        <f t="shared" si="220"/>
        <v>0</v>
      </c>
      <c r="BM1586" s="9">
        <f t="shared" si="221"/>
        <v>34.834510000000002</v>
      </c>
      <c r="BN1586" s="9">
        <f t="shared" si="222"/>
        <v>467.07</v>
      </c>
      <c r="BO1586" s="9">
        <f t="shared" si="223"/>
        <v>0</v>
      </c>
      <c r="BP1586" s="9">
        <f t="shared" si="224"/>
        <v>0</v>
      </c>
    </row>
    <row r="1587" spans="1:68">
      <c r="A1587" s="6">
        <v>44838</v>
      </c>
      <c r="B1587" s="7">
        <v>3200</v>
      </c>
      <c r="C1587" s="8">
        <v>2301.38</v>
      </c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>
        <v>5.76</v>
      </c>
      <c r="P1587" s="8"/>
      <c r="Q1587" s="11"/>
      <c r="R1587" s="11"/>
      <c r="S1587" s="8">
        <v>9.02</v>
      </c>
      <c r="T1587" s="8"/>
      <c r="U1587" s="8">
        <v>34.630000000000003</v>
      </c>
      <c r="V1587" s="8"/>
      <c r="W1587" s="8"/>
      <c r="X1587" s="8"/>
      <c r="Y1587" s="8"/>
      <c r="Z1587" s="8">
        <v>485.08</v>
      </c>
      <c r="AA1587" s="8"/>
      <c r="AB1587" s="8"/>
      <c r="AC1587" s="8"/>
      <c r="AD1587" s="8"/>
      <c r="AE1587" s="8"/>
      <c r="AF1587" s="8">
        <v>114.36</v>
      </c>
      <c r="AG1587" s="8"/>
      <c r="AH1587" s="8"/>
      <c r="AI1587" s="8"/>
      <c r="AJ1587" s="8"/>
      <c r="AK1587" s="8"/>
      <c r="AL1587" s="8"/>
      <c r="AM1587" s="8"/>
      <c r="AN1587" s="8"/>
      <c r="AO1587" s="8"/>
      <c r="AP1587" s="11"/>
      <c r="AQ1587" s="8">
        <f>1493*23.07/1000</f>
        <v>34.443510000000003</v>
      </c>
      <c r="AR1587" s="8"/>
      <c r="AS1587" s="8"/>
      <c r="AT1587" s="8">
        <v>1576.87</v>
      </c>
      <c r="AU1587" s="8"/>
      <c r="AV1587" s="8"/>
      <c r="AW1587" s="8">
        <v>6.77</v>
      </c>
      <c r="AX1587" s="8"/>
      <c r="AY1587" s="8"/>
      <c r="AZ1587" s="8"/>
      <c r="BA1587" s="8"/>
      <c r="BB1587" s="8"/>
      <c r="BC1587" s="8"/>
      <c r="BD1587" s="8"/>
      <c r="BE1587" s="8"/>
      <c r="BF1587" s="8">
        <v>110.85</v>
      </c>
      <c r="BG1587" s="8">
        <v>114.48</v>
      </c>
      <c r="BH1587" s="9">
        <f t="shared" si="216"/>
        <v>2301.38</v>
      </c>
      <c r="BI1587" s="9">
        <f t="shared" si="217"/>
        <v>5.76</v>
      </c>
      <c r="BJ1587" s="9">
        <f t="shared" si="218"/>
        <v>9.02</v>
      </c>
      <c r="BK1587" s="9">
        <f t="shared" si="219"/>
        <v>34.630000000000003</v>
      </c>
      <c r="BL1587" s="9">
        <f t="shared" si="220"/>
        <v>485.08</v>
      </c>
      <c r="BM1587" s="9">
        <f t="shared" si="221"/>
        <v>148.80351000000002</v>
      </c>
      <c r="BN1587" s="9">
        <f t="shared" si="222"/>
        <v>1576.87</v>
      </c>
      <c r="BO1587" s="9">
        <f t="shared" si="223"/>
        <v>6.77</v>
      </c>
      <c r="BP1587" s="9">
        <f t="shared" si="224"/>
        <v>110.85</v>
      </c>
    </row>
    <row r="1588" spans="1:68">
      <c r="A1588" s="6">
        <v>44838</v>
      </c>
      <c r="B1588" s="7">
        <v>3106</v>
      </c>
      <c r="C1588" s="8">
        <v>4140.78</v>
      </c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11">
        <v>10.36</v>
      </c>
      <c r="R1588" s="11"/>
      <c r="S1588" s="8">
        <v>12.44</v>
      </c>
      <c r="T1588" s="8"/>
      <c r="U1588" s="8">
        <v>52.65</v>
      </c>
      <c r="V1588" s="8"/>
      <c r="W1588" s="8"/>
      <c r="X1588" s="8"/>
      <c r="Y1588" s="8"/>
      <c r="Z1588" s="8"/>
      <c r="AA1588" s="8"/>
      <c r="AB1588" s="8"/>
      <c r="AC1588" s="8">
        <v>10.37</v>
      </c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11"/>
      <c r="AQ1588" s="8"/>
      <c r="AR1588" s="8"/>
      <c r="AS1588" s="8"/>
      <c r="AT1588" s="8">
        <v>2370.62</v>
      </c>
      <c r="AU1588" s="8"/>
      <c r="AV1588" s="8"/>
      <c r="AW1588" s="8"/>
      <c r="AX1588" s="8">
        <v>5.18</v>
      </c>
      <c r="AY1588" s="8"/>
      <c r="AZ1588" s="8"/>
      <c r="BA1588" s="8"/>
      <c r="BB1588" s="8"/>
      <c r="BC1588" s="8"/>
      <c r="BD1588" s="8"/>
      <c r="BE1588" s="8"/>
      <c r="BF1588" s="8"/>
      <c r="BG1588" s="8">
        <v>178.51</v>
      </c>
      <c r="BH1588" s="9">
        <f t="shared" si="216"/>
        <v>4140.78</v>
      </c>
      <c r="BI1588" s="9">
        <f t="shared" si="217"/>
        <v>10.36</v>
      </c>
      <c r="BJ1588" s="9">
        <f t="shared" si="218"/>
        <v>12.44</v>
      </c>
      <c r="BK1588" s="9">
        <f t="shared" si="219"/>
        <v>52.65</v>
      </c>
      <c r="BL1588" s="9">
        <f t="shared" si="220"/>
        <v>0</v>
      </c>
      <c r="BM1588" s="9">
        <f t="shared" si="221"/>
        <v>10.37</v>
      </c>
      <c r="BN1588" s="9">
        <f t="shared" si="222"/>
        <v>2370.62</v>
      </c>
      <c r="BO1588" s="9">
        <f t="shared" si="223"/>
        <v>5.18</v>
      </c>
      <c r="BP1588" s="9">
        <f t="shared" si="224"/>
        <v>0</v>
      </c>
    </row>
    <row r="1589" spans="1:68">
      <c r="A1589" s="6">
        <v>44838</v>
      </c>
      <c r="B1589" s="7">
        <v>3601</v>
      </c>
      <c r="C1589" s="8">
        <v>312.24</v>
      </c>
      <c r="D1589" s="8"/>
      <c r="E1589" s="8"/>
      <c r="F1589" s="8"/>
      <c r="G1589" s="8">
        <v>469.19</v>
      </c>
      <c r="H1589" s="8"/>
      <c r="I1589" s="8"/>
      <c r="J1589" s="8"/>
      <c r="K1589" s="8"/>
      <c r="L1589" s="8"/>
      <c r="M1589" s="8">
        <f>532*8.98/1000</f>
        <v>4.7773600000000007</v>
      </c>
      <c r="N1589" s="8"/>
      <c r="O1589" s="8"/>
      <c r="P1589" s="8"/>
      <c r="Q1589" s="11"/>
      <c r="R1589" s="11"/>
      <c r="S1589" s="8">
        <v>3.96</v>
      </c>
      <c r="T1589" s="8"/>
      <c r="U1589" s="8">
        <v>4.72</v>
      </c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11"/>
      <c r="AQ1589" s="8"/>
      <c r="AR1589" s="8"/>
      <c r="AS1589" s="8"/>
      <c r="AT1589" s="8">
        <v>384.93</v>
      </c>
      <c r="AU1589" s="8"/>
      <c r="AV1589" s="8"/>
      <c r="AW1589" s="8">
        <v>23.9</v>
      </c>
      <c r="AX1589" s="8"/>
      <c r="AY1589" s="8"/>
      <c r="AZ1589" s="8"/>
      <c r="BA1589" s="8"/>
      <c r="BB1589" s="8"/>
      <c r="BC1589" s="8"/>
      <c r="BD1589" s="8"/>
      <c r="BE1589" s="8"/>
      <c r="BF1589" s="8">
        <v>43.95</v>
      </c>
      <c r="BG1589" s="8">
        <v>28.05</v>
      </c>
      <c r="BH1589" s="9">
        <f t="shared" si="216"/>
        <v>781.43000000000006</v>
      </c>
      <c r="BI1589" s="9">
        <f t="shared" si="217"/>
        <v>4.7773600000000007</v>
      </c>
      <c r="BJ1589" s="9">
        <f t="shared" si="218"/>
        <v>3.96</v>
      </c>
      <c r="BK1589" s="9">
        <f t="shared" si="219"/>
        <v>4.72</v>
      </c>
      <c r="BL1589" s="9">
        <f t="shared" si="220"/>
        <v>0</v>
      </c>
      <c r="BM1589" s="9">
        <f t="shared" si="221"/>
        <v>0</v>
      </c>
      <c r="BN1589" s="9">
        <f t="shared" si="222"/>
        <v>384.93</v>
      </c>
      <c r="BO1589" s="9">
        <f t="shared" si="223"/>
        <v>23.9</v>
      </c>
      <c r="BP1589" s="9">
        <f t="shared" si="224"/>
        <v>43.95</v>
      </c>
    </row>
    <row r="1590" spans="1:68">
      <c r="A1590" s="6">
        <v>44838</v>
      </c>
      <c r="B1590" s="7">
        <v>3602</v>
      </c>
      <c r="C1590" s="8">
        <v>302.49</v>
      </c>
      <c r="D1590" s="8"/>
      <c r="E1590" s="8"/>
      <c r="F1590" s="8"/>
      <c r="G1590" s="8">
        <v>453.42</v>
      </c>
      <c r="H1590" s="8"/>
      <c r="I1590" s="8"/>
      <c r="J1590" s="8"/>
      <c r="K1590" s="8"/>
      <c r="L1590" s="8"/>
      <c r="M1590" s="8">
        <f>464*8.65/1000</f>
        <v>4.0136000000000003</v>
      </c>
      <c r="N1590" s="8"/>
      <c r="O1590" s="8"/>
      <c r="P1590" s="8"/>
      <c r="Q1590" s="11"/>
      <c r="R1590" s="11"/>
      <c r="S1590" s="8">
        <v>3.63</v>
      </c>
      <c r="T1590" s="8"/>
      <c r="U1590" s="8">
        <v>6.07</v>
      </c>
      <c r="V1590" s="8">
        <f>832*8.65/1000</f>
        <v>7.1968000000000005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11"/>
      <c r="AQ1590" s="8"/>
      <c r="AR1590" s="8"/>
      <c r="AS1590" s="8"/>
      <c r="AT1590" s="8">
        <v>305.27999999999997</v>
      </c>
      <c r="AU1590" s="8"/>
      <c r="AV1590" s="8"/>
      <c r="AW1590" s="8">
        <v>19.55</v>
      </c>
      <c r="AX1590" s="8"/>
      <c r="AY1590" s="8"/>
      <c r="AZ1590" s="8"/>
      <c r="BA1590" s="8"/>
      <c r="BB1590" s="8"/>
      <c r="BC1590" s="8"/>
      <c r="BD1590" s="8"/>
      <c r="BE1590" s="8"/>
      <c r="BF1590" s="8">
        <v>24.26</v>
      </c>
      <c r="BG1590" s="8">
        <v>22.7</v>
      </c>
      <c r="BH1590" s="9">
        <f t="shared" si="216"/>
        <v>755.91000000000008</v>
      </c>
      <c r="BI1590" s="9">
        <f t="shared" si="217"/>
        <v>4.0136000000000003</v>
      </c>
      <c r="BJ1590" s="9">
        <f t="shared" si="218"/>
        <v>3.63</v>
      </c>
      <c r="BK1590" s="9">
        <f t="shared" si="219"/>
        <v>13.2668</v>
      </c>
      <c r="BL1590" s="9">
        <f t="shared" si="220"/>
        <v>0</v>
      </c>
      <c r="BM1590" s="9">
        <f t="shared" si="221"/>
        <v>0</v>
      </c>
      <c r="BN1590" s="9">
        <f t="shared" si="222"/>
        <v>305.27999999999997</v>
      </c>
      <c r="BO1590" s="9">
        <f t="shared" si="223"/>
        <v>19.55</v>
      </c>
      <c r="BP1590" s="9">
        <f t="shared" si="224"/>
        <v>24.26</v>
      </c>
    </row>
    <row r="1591" spans="1:68">
      <c r="A1591" s="6">
        <v>44838</v>
      </c>
      <c r="B1591" s="7">
        <v>3705</v>
      </c>
      <c r="C1591" s="8"/>
      <c r="D1591" s="8">
        <v>1345.47</v>
      </c>
      <c r="E1591" s="8"/>
      <c r="F1591" s="8"/>
      <c r="G1591" s="8"/>
      <c r="H1591" s="8"/>
      <c r="I1591" s="8">
        <v>295.10000000000002</v>
      </c>
      <c r="J1591" s="8"/>
      <c r="K1591" s="8"/>
      <c r="L1591" s="8"/>
      <c r="M1591" s="8"/>
      <c r="N1591" s="8"/>
      <c r="O1591" s="8"/>
      <c r="P1591" s="8"/>
      <c r="Q1591" s="11">
        <v>4.9400000000000004</v>
      </c>
      <c r="R1591" s="11"/>
      <c r="S1591" s="8">
        <v>5.74</v>
      </c>
      <c r="T1591" s="8"/>
      <c r="U1591" s="8">
        <v>11.49</v>
      </c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11"/>
      <c r="AQ1591" s="8"/>
      <c r="AR1591" s="8"/>
      <c r="AS1591" s="8"/>
      <c r="AT1591" s="8">
        <v>97.29</v>
      </c>
      <c r="AU1591" s="8">
        <v>195.35</v>
      </c>
      <c r="AV1591" s="8">
        <v>3.28</v>
      </c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>
        <v>16.100000000000001</v>
      </c>
      <c r="BH1591" s="9">
        <f t="shared" si="216"/>
        <v>1640.5700000000002</v>
      </c>
      <c r="BI1591" s="9">
        <f t="shared" si="217"/>
        <v>4.9400000000000004</v>
      </c>
      <c r="BJ1591" s="9">
        <f t="shared" si="218"/>
        <v>5.74</v>
      </c>
      <c r="BK1591" s="9">
        <f t="shared" si="219"/>
        <v>11.49</v>
      </c>
      <c r="BL1591" s="9">
        <f t="shared" si="220"/>
        <v>0</v>
      </c>
      <c r="BM1591" s="9">
        <f t="shared" si="221"/>
        <v>0</v>
      </c>
      <c r="BN1591" s="9">
        <f t="shared" si="222"/>
        <v>292.64</v>
      </c>
      <c r="BO1591" s="9">
        <f t="shared" si="223"/>
        <v>3.28</v>
      </c>
      <c r="BP1591" s="9">
        <f t="shared" si="224"/>
        <v>0</v>
      </c>
    </row>
    <row r="1592" spans="1:68">
      <c r="A1592" s="6">
        <v>44838</v>
      </c>
      <c r="B1592" s="7">
        <v>8253</v>
      </c>
      <c r="C1592" s="8"/>
      <c r="D1592" s="8">
        <v>1051.1600000000001</v>
      </c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11">
        <v>1.26</v>
      </c>
      <c r="R1592" s="11"/>
      <c r="S1592" s="8">
        <v>6.63</v>
      </c>
      <c r="T1592" s="8"/>
      <c r="U1592" s="8">
        <v>9.4700000000000006</v>
      </c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>
        <v>10.53</v>
      </c>
      <c r="AH1592" s="8"/>
      <c r="AI1592" s="8"/>
      <c r="AJ1592" s="8"/>
      <c r="AK1592" s="8"/>
      <c r="AL1592" s="8"/>
      <c r="AM1592" s="8"/>
      <c r="AN1592" s="8"/>
      <c r="AO1592" s="8"/>
      <c r="AP1592" s="11"/>
      <c r="AQ1592" s="8"/>
      <c r="AR1592" s="8"/>
      <c r="AS1592" s="8"/>
      <c r="AT1592" s="8"/>
      <c r="AU1592" s="8">
        <v>416.49</v>
      </c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>
        <v>29.12</v>
      </c>
      <c r="BH1592" s="9">
        <f t="shared" si="216"/>
        <v>1051.1600000000001</v>
      </c>
      <c r="BI1592" s="9">
        <f t="shared" si="217"/>
        <v>1.26</v>
      </c>
      <c r="BJ1592" s="9">
        <f t="shared" si="218"/>
        <v>6.63</v>
      </c>
      <c r="BK1592" s="9">
        <f t="shared" si="219"/>
        <v>9.4700000000000006</v>
      </c>
      <c r="BL1592" s="9">
        <f t="shared" si="220"/>
        <v>0</v>
      </c>
      <c r="BM1592" s="9">
        <f t="shared" si="221"/>
        <v>10.53</v>
      </c>
      <c r="BN1592" s="9">
        <f t="shared" si="222"/>
        <v>416.49</v>
      </c>
      <c r="BO1592" s="9">
        <f t="shared" si="223"/>
        <v>0</v>
      </c>
      <c r="BP1592" s="9">
        <f t="shared" si="224"/>
        <v>0</v>
      </c>
    </row>
    <row r="1593" spans="1:68">
      <c r="A1593" s="6">
        <v>44839</v>
      </c>
      <c r="B1593" s="7">
        <v>3122</v>
      </c>
      <c r="C1593" s="8">
        <v>1280.6300000000001</v>
      </c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>
        <v>2.2999999999999998</v>
      </c>
      <c r="O1593" s="8"/>
      <c r="P1593" s="8"/>
      <c r="Q1593" s="11">
        <v>2.2999999999999998</v>
      </c>
      <c r="R1593" s="11"/>
      <c r="S1593" s="8">
        <v>5.25</v>
      </c>
      <c r="T1593" s="8"/>
      <c r="U1593" s="8">
        <v>12.81</v>
      </c>
      <c r="V1593" s="8"/>
      <c r="W1593" s="8"/>
      <c r="X1593" s="8"/>
      <c r="Y1593" s="8"/>
      <c r="Z1593" s="8"/>
      <c r="AA1593" s="8"/>
      <c r="AB1593" s="8"/>
      <c r="AC1593" s="8">
        <v>5.12</v>
      </c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11"/>
      <c r="AQ1593" s="8"/>
      <c r="AR1593" s="8"/>
      <c r="AS1593" s="8"/>
      <c r="AT1593" s="8">
        <v>567.44000000000005</v>
      </c>
      <c r="AU1593" s="8"/>
      <c r="AV1593" s="8">
        <v>43.53</v>
      </c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>
        <v>41.64</v>
      </c>
      <c r="BH1593" s="9">
        <f t="shared" si="216"/>
        <v>1280.6300000000001</v>
      </c>
      <c r="BI1593" s="9">
        <f t="shared" si="217"/>
        <v>4.5999999999999996</v>
      </c>
      <c r="BJ1593" s="9">
        <f t="shared" si="218"/>
        <v>5.25</v>
      </c>
      <c r="BK1593" s="9">
        <f t="shared" si="219"/>
        <v>12.81</v>
      </c>
      <c r="BL1593" s="9">
        <f t="shared" si="220"/>
        <v>0</v>
      </c>
      <c r="BM1593" s="9">
        <f t="shared" si="221"/>
        <v>5.12</v>
      </c>
      <c r="BN1593" s="9">
        <f t="shared" si="222"/>
        <v>567.44000000000005</v>
      </c>
      <c r="BO1593" s="9">
        <f t="shared" si="223"/>
        <v>43.53</v>
      </c>
      <c r="BP1593" s="9">
        <f t="shared" si="224"/>
        <v>0</v>
      </c>
    </row>
    <row r="1594" spans="1:68">
      <c r="A1594" s="6">
        <v>44839</v>
      </c>
      <c r="B1594" s="7">
        <v>3117</v>
      </c>
      <c r="C1594" s="8">
        <v>734.19</v>
      </c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11">
        <v>1.83</v>
      </c>
      <c r="R1594" s="11"/>
      <c r="S1594" s="8">
        <v>2.72</v>
      </c>
      <c r="T1594" s="8"/>
      <c r="U1594" s="8">
        <v>7.33</v>
      </c>
      <c r="V1594" s="8"/>
      <c r="W1594" s="8"/>
      <c r="X1594" s="8"/>
      <c r="Y1594" s="8"/>
      <c r="Z1594" s="8"/>
      <c r="AA1594" s="8"/>
      <c r="AB1594" s="8"/>
      <c r="AC1594" s="8">
        <v>2.94</v>
      </c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11"/>
      <c r="AQ1594" s="8"/>
      <c r="AR1594" s="8"/>
      <c r="AS1594" s="8"/>
      <c r="AT1594" s="8">
        <v>465.38</v>
      </c>
      <c r="AU1594" s="8"/>
      <c r="AV1594" s="8">
        <v>18.37</v>
      </c>
      <c r="AW1594" s="8"/>
      <c r="AX1594" s="8"/>
      <c r="AY1594" s="8"/>
      <c r="AZ1594" s="8"/>
      <c r="BA1594" s="8"/>
      <c r="BB1594" s="8"/>
      <c r="BC1594" s="8"/>
      <c r="BD1594" s="8"/>
      <c r="BE1594" s="8"/>
      <c r="BF1594" s="8">
        <v>36.659999999999997</v>
      </c>
      <c r="BG1594" s="8">
        <v>35.18</v>
      </c>
      <c r="BH1594" s="9">
        <f t="shared" si="216"/>
        <v>734.19</v>
      </c>
      <c r="BI1594" s="9">
        <f t="shared" si="217"/>
        <v>1.83</v>
      </c>
      <c r="BJ1594" s="9">
        <f t="shared" si="218"/>
        <v>2.72</v>
      </c>
      <c r="BK1594" s="9">
        <f t="shared" si="219"/>
        <v>7.33</v>
      </c>
      <c r="BL1594" s="9">
        <f t="shared" si="220"/>
        <v>0</v>
      </c>
      <c r="BM1594" s="9">
        <f t="shared" si="221"/>
        <v>2.94</v>
      </c>
      <c r="BN1594" s="9">
        <f t="shared" si="222"/>
        <v>465.38</v>
      </c>
      <c r="BO1594" s="9">
        <f t="shared" si="223"/>
        <v>18.37</v>
      </c>
      <c r="BP1594" s="9">
        <f t="shared" si="224"/>
        <v>36.659999999999997</v>
      </c>
    </row>
    <row r="1595" spans="1:68">
      <c r="A1595" s="6">
        <v>44839</v>
      </c>
      <c r="B1595" s="7">
        <v>3602</v>
      </c>
      <c r="C1595" s="8">
        <v>862.31</v>
      </c>
      <c r="D1595" s="8"/>
      <c r="E1595" s="8"/>
      <c r="F1595" s="8"/>
      <c r="G1595" s="8">
        <v>1291</v>
      </c>
      <c r="H1595" s="8"/>
      <c r="I1595" s="8"/>
      <c r="J1595" s="8"/>
      <c r="K1595" s="8"/>
      <c r="L1595" s="8"/>
      <c r="M1595" s="8">
        <f>460*24.62/1000</f>
        <v>11.325200000000001</v>
      </c>
      <c r="N1595" s="8"/>
      <c r="O1595" s="8"/>
      <c r="P1595" s="8"/>
      <c r="Q1595" s="11"/>
      <c r="R1595" s="11"/>
      <c r="S1595" s="8">
        <v>10.34</v>
      </c>
      <c r="T1595" s="8"/>
      <c r="U1595" s="8">
        <v>17.239999999999998</v>
      </c>
      <c r="V1595" s="8">
        <f>837*24.62/1000</f>
        <v>20.606940000000002</v>
      </c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11"/>
      <c r="AQ1595" s="8"/>
      <c r="AR1595" s="8"/>
      <c r="AS1595" s="8"/>
      <c r="AT1595" s="8">
        <v>869.74</v>
      </c>
      <c r="AU1595" s="8"/>
      <c r="AV1595" s="8"/>
      <c r="AW1595" s="8">
        <v>55.68</v>
      </c>
      <c r="AX1595" s="8"/>
      <c r="AY1595" s="8"/>
      <c r="AZ1595" s="8"/>
      <c r="BA1595" s="8"/>
      <c r="BB1595" s="8"/>
      <c r="BC1595" s="8"/>
      <c r="BD1595" s="8"/>
      <c r="BE1595" s="8"/>
      <c r="BF1595" s="8">
        <v>69.03</v>
      </c>
      <c r="BG1595" s="8">
        <v>64.75</v>
      </c>
      <c r="BH1595" s="9">
        <f t="shared" si="216"/>
        <v>2153.31</v>
      </c>
      <c r="BI1595" s="9">
        <f t="shared" si="217"/>
        <v>11.325200000000001</v>
      </c>
      <c r="BJ1595" s="9">
        <f t="shared" si="218"/>
        <v>10.34</v>
      </c>
      <c r="BK1595" s="9">
        <f t="shared" si="219"/>
        <v>37.846940000000004</v>
      </c>
      <c r="BL1595" s="9">
        <f t="shared" si="220"/>
        <v>0</v>
      </c>
      <c r="BM1595" s="9">
        <f t="shared" si="221"/>
        <v>0</v>
      </c>
      <c r="BN1595" s="9">
        <f t="shared" si="222"/>
        <v>869.74</v>
      </c>
      <c r="BO1595" s="9">
        <f t="shared" si="223"/>
        <v>55.68</v>
      </c>
      <c r="BP1595" s="9">
        <f t="shared" si="224"/>
        <v>69.03</v>
      </c>
    </row>
    <row r="1596" spans="1:68">
      <c r="A1596" s="6">
        <v>44839</v>
      </c>
      <c r="B1596" s="7">
        <v>3406</v>
      </c>
      <c r="C1596" s="8">
        <v>1241.0999999999999</v>
      </c>
      <c r="D1596" s="8">
        <v>309.88</v>
      </c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11">
        <v>3.13</v>
      </c>
      <c r="R1596" s="11"/>
      <c r="S1596" s="8">
        <v>3.57</v>
      </c>
      <c r="T1596" s="8"/>
      <c r="U1596" s="8"/>
      <c r="V1596" s="8"/>
      <c r="W1596" s="8"/>
      <c r="X1596" s="8">
        <f>1204*15.53/1000</f>
        <v>18.698119999999999</v>
      </c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11"/>
      <c r="AQ1596" s="8"/>
      <c r="AR1596" s="8"/>
      <c r="AS1596" s="8"/>
      <c r="AT1596" s="8">
        <v>783.49</v>
      </c>
      <c r="AU1596" s="8"/>
      <c r="AV1596" s="8">
        <v>46.63</v>
      </c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>
        <v>53.01</v>
      </c>
      <c r="BH1596" s="9">
        <f t="shared" si="216"/>
        <v>1550.98</v>
      </c>
      <c r="BI1596" s="9">
        <f t="shared" si="217"/>
        <v>3.13</v>
      </c>
      <c r="BJ1596" s="9">
        <f t="shared" si="218"/>
        <v>3.57</v>
      </c>
      <c r="BK1596" s="9">
        <f t="shared" si="219"/>
        <v>18.698119999999999</v>
      </c>
      <c r="BL1596" s="9">
        <f t="shared" si="220"/>
        <v>0</v>
      </c>
      <c r="BM1596" s="9">
        <f t="shared" si="221"/>
        <v>0</v>
      </c>
      <c r="BN1596" s="9">
        <f t="shared" si="222"/>
        <v>783.49</v>
      </c>
      <c r="BO1596" s="9">
        <f t="shared" si="223"/>
        <v>46.63</v>
      </c>
      <c r="BP1596" s="9">
        <f t="shared" si="224"/>
        <v>0</v>
      </c>
    </row>
    <row r="1597" spans="1:68">
      <c r="A1597" s="6">
        <v>44839</v>
      </c>
      <c r="B1597" s="7">
        <v>3083</v>
      </c>
      <c r="C1597" s="8"/>
      <c r="D1597" s="8">
        <v>745.1</v>
      </c>
      <c r="E1597" s="8"/>
      <c r="F1597" s="8"/>
      <c r="G1597" s="8"/>
      <c r="H1597" s="8"/>
      <c r="I1597" s="8">
        <v>1732.65</v>
      </c>
      <c r="J1597" s="8"/>
      <c r="K1597" s="8"/>
      <c r="L1597" s="8"/>
      <c r="M1597" s="8"/>
      <c r="N1597" s="8">
        <v>15.6</v>
      </c>
      <c r="O1597" s="8"/>
      <c r="P1597" s="8"/>
      <c r="Q1597" s="11"/>
      <c r="R1597" s="11"/>
      <c r="S1597" s="8">
        <v>1.73</v>
      </c>
      <c r="T1597" s="8"/>
      <c r="U1597" s="8"/>
      <c r="V1597" s="8"/>
      <c r="W1597" s="8">
        <v>19.829999999999998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>
        <v>9.85</v>
      </c>
      <c r="AN1597" s="8">
        <f>1891*18.35/1000</f>
        <v>34.699850000000005</v>
      </c>
      <c r="AO1597" s="8"/>
      <c r="AP1597" s="11"/>
      <c r="AQ1597" s="8"/>
      <c r="AR1597" s="8">
        <f>3376*18.35/1000</f>
        <v>61.949600000000004</v>
      </c>
      <c r="AS1597" s="8"/>
      <c r="AT1597" s="8">
        <v>1165.1600000000001</v>
      </c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>
        <v>92.26</v>
      </c>
      <c r="BH1597" s="9">
        <f t="shared" si="216"/>
        <v>2477.75</v>
      </c>
      <c r="BI1597" s="9">
        <f t="shared" si="217"/>
        <v>15.6</v>
      </c>
      <c r="BJ1597" s="9">
        <f t="shared" si="218"/>
        <v>1.73</v>
      </c>
      <c r="BK1597" s="9">
        <f t="shared" si="219"/>
        <v>19.829999999999998</v>
      </c>
      <c r="BL1597" s="9">
        <f t="shared" si="220"/>
        <v>0</v>
      </c>
      <c r="BM1597" s="9">
        <f t="shared" si="221"/>
        <v>106.49945000000001</v>
      </c>
      <c r="BN1597" s="9">
        <f t="shared" si="222"/>
        <v>1165.1600000000001</v>
      </c>
      <c r="BO1597" s="9">
        <f t="shared" si="223"/>
        <v>0</v>
      </c>
      <c r="BP1597" s="9">
        <f t="shared" si="224"/>
        <v>0</v>
      </c>
    </row>
    <row r="1598" spans="1:68">
      <c r="A1598" s="6">
        <v>44839</v>
      </c>
      <c r="B1598" s="7">
        <v>3079</v>
      </c>
      <c r="C1598" s="8"/>
      <c r="D1598" s="8"/>
      <c r="E1598" s="8"/>
      <c r="F1598" s="8">
        <v>342.73</v>
      </c>
      <c r="G1598" s="8"/>
      <c r="H1598" s="8"/>
      <c r="I1598" s="8">
        <v>2769.79</v>
      </c>
      <c r="J1598" s="8"/>
      <c r="K1598" s="8"/>
      <c r="L1598" s="8"/>
      <c r="M1598" s="8"/>
      <c r="N1598" s="8">
        <v>22.12</v>
      </c>
      <c r="O1598" s="8"/>
      <c r="P1598" s="8"/>
      <c r="Q1598" s="11"/>
      <c r="R1598" s="11"/>
      <c r="S1598" s="8">
        <v>1.22</v>
      </c>
      <c r="T1598" s="8"/>
      <c r="U1598" s="8"/>
      <c r="V1598" s="8"/>
      <c r="W1598" s="8">
        <v>31.17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>
        <v>12.41</v>
      </c>
      <c r="AN1598" s="8">
        <f>1698*18.32/1000</f>
        <v>31.10736</v>
      </c>
      <c r="AO1598" s="8"/>
      <c r="AP1598" s="11"/>
      <c r="AQ1598" s="8"/>
      <c r="AR1598" s="8">
        <f>4259*18.32/1000</f>
        <v>78.02488000000001</v>
      </c>
      <c r="AS1598" s="8"/>
      <c r="AT1598" s="8">
        <v>1199.23</v>
      </c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>
        <v>87.46</v>
      </c>
      <c r="BH1598" s="9">
        <f t="shared" si="216"/>
        <v>3112.52</v>
      </c>
      <c r="BI1598" s="9">
        <f t="shared" si="217"/>
        <v>22.12</v>
      </c>
      <c r="BJ1598" s="9">
        <f t="shared" si="218"/>
        <v>1.22</v>
      </c>
      <c r="BK1598" s="9">
        <f t="shared" si="219"/>
        <v>31.17</v>
      </c>
      <c r="BL1598" s="9">
        <f t="shared" si="220"/>
        <v>0</v>
      </c>
      <c r="BM1598" s="9">
        <f t="shared" si="221"/>
        <v>121.54224000000001</v>
      </c>
      <c r="BN1598" s="9">
        <f t="shared" si="222"/>
        <v>1199.23</v>
      </c>
      <c r="BO1598" s="9">
        <f t="shared" si="223"/>
        <v>0</v>
      </c>
      <c r="BP1598" s="9">
        <f t="shared" si="224"/>
        <v>0</v>
      </c>
    </row>
    <row r="1599" spans="1:68">
      <c r="A1599" s="6">
        <v>44839</v>
      </c>
      <c r="B1599" s="7">
        <v>3016</v>
      </c>
      <c r="C1599" s="8"/>
      <c r="D1599" s="8">
        <v>858.8</v>
      </c>
      <c r="E1599" s="8"/>
      <c r="F1599" s="8"/>
      <c r="G1599" s="8"/>
      <c r="H1599" s="8"/>
      <c r="I1599" s="8">
        <v>793.07</v>
      </c>
      <c r="J1599" s="8"/>
      <c r="K1599" s="8"/>
      <c r="L1599" s="8"/>
      <c r="M1599" s="8"/>
      <c r="N1599" s="8">
        <v>9.91</v>
      </c>
      <c r="O1599" s="8"/>
      <c r="P1599" s="8"/>
      <c r="Q1599" s="11"/>
      <c r="R1599" s="11"/>
      <c r="S1599" s="8">
        <v>1.1599999999999999</v>
      </c>
      <c r="T1599" s="8"/>
      <c r="U1599" s="8"/>
      <c r="V1599" s="8"/>
      <c r="W1599" s="8">
        <v>16.510000000000002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>
        <v>6.6</v>
      </c>
      <c r="AN1599" s="8">
        <f>2044*9.72/1000</f>
        <v>19.86768</v>
      </c>
      <c r="AO1599" s="8"/>
      <c r="AP1599" s="11"/>
      <c r="AQ1599" s="8"/>
      <c r="AR1599" s="8">
        <f>4259*9.72/1000</f>
        <v>41.397480000000002</v>
      </c>
      <c r="AS1599" s="8"/>
      <c r="AT1599" s="8">
        <v>614.08000000000004</v>
      </c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>
        <v>44.96</v>
      </c>
      <c r="BH1599" s="9">
        <f t="shared" si="216"/>
        <v>1651.87</v>
      </c>
      <c r="BI1599" s="9">
        <f t="shared" si="217"/>
        <v>9.91</v>
      </c>
      <c r="BJ1599" s="9">
        <f t="shared" si="218"/>
        <v>1.1599999999999999</v>
      </c>
      <c r="BK1599" s="9">
        <f t="shared" si="219"/>
        <v>16.510000000000002</v>
      </c>
      <c r="BL1599" s="9">
        <f t="shared" si="220"/>
        <v>0</v>
      </c>
      <c r="BM1599" s="9">
        <f t="shared" si="221"/>
        <v>67.865160000000003</v>
      </c>
      <c r="BN1599" s="9">
        <f t="shared" si="222"/>
        <v>614.08000000000004</v>
      </c>
      <c r="BO1599" s="9">
        <f t="shared" si="223"/>
        <v>0</v>
      </c>
      <c r="BP1599" s="9">
        <f t="shared" si="224"/>
        <v>0</v>
      </c>
    </row>
    <row r="1600" spans="1:68">
      <c r="A1600" s="6">
        <v>44839</v>
      </c>
      <c r="B1600" s="7">
        <v>3141</v>
      </c>
      <c r="C1600" s="8">
        <v>2453.73</v>
      </c>
      <c r="D1600" s="8">
        <v>433.29</v>
      </c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11">
        <v>7.59</v>
      </c>
      <c r="R1600" s="11"/>
      <c r="S1600" s="8">
        <v>13.59</v>
      </c>
      <c r="T1600" s="8"/>
      <c r="U1600" s="8">
        <v>43.36</v>
      </c>
      <c r="V1600" s="8"/>
      <c r="W1600" s="8"/>
      <c r="X1600" s="8"/>
      <c r="Y1600" s="8"/>
      <c r="Z1600" s="8"/>
      <c r="AA1600" s="8"/>
      <c r="AB1600" s="8"/>
      <c r="AC1600" s="8">
        <v>11.57</v>
      </c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11"/>
      <c r="AQ1600" s="8"/>
      <c r="AR1600" s="8"/>
      <c r="AS1600" s="8"/>
      <c r="AT1600" s="8">
        <v>1924.95</v>
      </c>
      <c r="AU1600" s="8"/>
      <c r="AV1600" s="8"/>
      <c r="AW1600" s="8"/>
      <c r="AX1600" s="8"/>
      <c r="AY1600" s="8"/>
      <c r="AZ1600" s="8"/>
      <c r="BA1600" s="8">
        <v>66.239999999999995</v>
      </c>
      <c r="BB1600" s="8"/>
      <c r="BC1600" s="8"/>
      <c r="BD1600" s="8"/>
      <c r="BE1600" s="8"/>
      <c r="BF1600" s="8">
        <v>202.37</v>
      </c>
      <c r="BG1600" s="8">
        <v>150.61000000000001</v>
      </c>
      <c r="BH1600" s="9">
        <f t="shared" si="216"/>
        <v>2887.02</v>
      </c>
      <c r="BI1600" s="9">
        <f t="shared" si="217"/>
        <v>7.59</v>
      </c>
      <c r="BJ1600" s="9">
        <f t="shared" si="218"/>
        <v>13.59</v>
      </c>
      <c r="BK1600" s="9">
        <f t="shared" si="219"/>
        <v>43.36</v>
      </c>
      <c r="BL1600" s="9">
        <f t="shared" si="220"/>
        <v>0</v>
      </c>
      <c r="BM1600" s="9">
        <f t="shared" si="221"/>
        <v>11.57</v>
      </c>
      <c r="BN1600" s="9">
        <f t="shared" si="222"/>
        <v>1924.95</v>
      </c>
      <c r="BO1600" s="9">
        <f t="shared" si="223"/>
        <v>66.239999999999995</v>
      </c>
      <c r="BP1600" s="9">
        <f t="shared" si="224"/>
        <v>202.37</v>
      </c>
    </row>
    <row r="1601" spans="1:68">
      <c r="A1601" s="6">
        <v>44839</v>
      </c>
      <c r="B1601" s="7">
        <v>3106</v>
      </c>
      <c r="C1601" s="8">
        <v>4104.13</v>
      </c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11">
        <v>10.28</v>
      </c>
      <c r="R1601" s="11"/>
      <c r="S1601" s="8">
        <v>12.34</v>
      </c>
      <c r="T1601" s="8"/>
      <c r="U1601" s="8">
        <v>52.22</v>
      </c>
      <c r="V1601" s="8"/>
      <c r="W1601" s="8"/>
      <c r="X1601" s="8"/>
      <c r="Y1601" s="8"/>
      <c r="Z1601" s="8"/>
      <c r="AA1601" s="8"/>
      <c r="AB1601" s="8"/>
      <c r="AC1601" s="8">
        <v>10.27</v>
      </c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11"/>
      <c r="AQ1601" s="8"/>
      <c r="AR1601" s="8"/>
      <c r="AS1601" s="8"/>
      <c r="AT1601" s="8">
        <v>2349.91</v>
      </c>
      <c r="AU1601" s="8"/>
      <c r="AV1601" s="8"/>
      <c r="AW1601" s="8"/>
      <c r="AX1601" s="8">
        <v>5.14</v>
      </c>
      <c r="AY1601" s="8"/>
      <c r="AZ1601" s="8"/>
      <c r="BA1601" s="8"/>
      <c r="BB1601" s="8"/>
      <c r="BC1601" s="8"/>
      <c r="BD1601" s="8"/>
      <c r="BE1601" s="8"/>
      <c r="BF1601" s="8"/>
      <c r="BG1601" s="8">
        <v>176.47</v>
      </c>
      <c r="BH1601" s="9">
        <f t="shared" si="216"/>
        <v>4104.13</v>
      </c>
      <c r="BI1601" s="9">
        <f t="shared" si="217"/>
        <v>10.28</v>
      </c>
      <c r="BJ1601" s="9">
        <f t="shared" si="218"/>
        <v>12.34</v>
      </c>
      <c r="BK1601" s="9">
        <f t="shared" si="219"/>
        <v>52.22</v>
      </c>
      <c r="BL1601" s="9">
        <f t="shared" si="220"/>
        <v>0</v>
      </c>
      <c r="BM1601" s="9">
        <f t="shared" si="221"/>
        <v>10.27</v>
      </c>
      <c r="BN1601" s="9">
        <f t="shared" si="222"/>
        <v>2349.91</v>
      </c>
      <c r="BO1601" s="9">
        <f t="shared" si="223"/>
        <v>5.14</v>
      </c>
      <c r="BP1601" s="9">
        <f t="shared" si="224"/>
        <v>0</v>
      </c>
    </row>
    <row r="1602" spans="1:68">
      <c r="A1602" s="6">
        <v>44840</v>
      </c>
      <c r="B1602" s="7">
        <v>3409</v>
      </c>
      <c r="C1602" s="8">
        <v>792.62</v>
      </c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11">
        <v>1.7</v>
      </c>
      <c r="R1602" s="11"/>
      <c r="S1602" s="8">
        <v>1.99</v>
      </c>
      <c r="T1602" s="8"/>
      <c r="U1602" s="8"/>
      <c r="V1602" s="8"/>
      <c r="W1602" s="8"/>
      <c r="X1602" s="8">
        <v>8.1199999999999992</v>
      </c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11"/>
      <c r="AQ1602" s="8"/>
      <c r="AR1602" s="8"/>
      <c r="AS1602" s="8"/>
      <c r="AT1602" s="8">
        <v>408.84</v>
      </c>
      <c r="AU1602" s="8"/>
      <c r="AV1602" s="8">
        <v>23.87</v>
      </c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>
        <v>27.77</v>
      </c>
      <c r="BH1602" s="9">
        <f t="shared" si="216"/>
        <v>792.62</v>
      </c>
      <c r="BI1602" s="9">
        <f t="shared" si="217"/>
        <v>1.7</v>
      </c>
      <c r="BJ1602" s="9">
        <f t="shared" si="218"/>
        <v>1.99</v>
      </c>
      <c r="BK1602" s="9">
        <f t="shared" si="219"/>
        <v>8.1199999999999992</v>
      </c>
      <c r="BL1602" s="9">
        <f t="shared" si="220"/>
        <v>0</v>
      </c>
      <c r="BM1602" s="9">
        <f t="shared" si="221"/>
        <v>0</v>
      </c>
      <c r="BN1602" s="9">
        <f t="shared" si="222"/>
        <v>408.84</v>
      </c>
      <c r="BO1602" s="9">
        <f t="shared" si="223"/>
        <v>23.87</v>
      </c>
      <c r="BP1602" s="9">
        <f t="shared" si="224"/>
        <v>0</v>
      </c>
    </row>
    <row r="1603" spans="1:68">
      <c r="A1603" s="6">
        <v>44840</v>
      </c>
      <c r="B1603" s="7">
        <v>3200</v>
      </c>
      <c r="C1603" s="8">
        <v>2274.1799999999998</v>
      </c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>
        <v>5.69</v>
      </c>
      <c r="P1603" s="8"/>
      <c r="Q1603" s="11"/>
      <c r="R1603" s="11"/>
      <c r="S1603" s="8">
        <v>8.8699999999999992</v>
      </c>
      <c r="T1603" s="8"/>
      <c r="U1603" s="8">
        <v>34.14</v>
      </c>
      <c r="V1603" s="8"/>
      <c r="W1603" s="8"/>
      <c r="X1603" s="8"/>
      <c r="Y1603" s="8"/>
      <c r="Z1603" s="8">
        <v>478.32</v>
      </c>
      <c r="AA1603" s="8"/>
      <c r="AB1603" s="8"/>
      <c r="AC1603" s="8"/>
      <c r="AD1603" s="8"/>
      <c r="AE1603" s="8"/>
      <c r="AF1603" s="8">
        <v>113.31</v>
      </c>
      <c r="AG1603" s="8"/>
      <c r="AH1603" s="8"/>
      <c r="AI1603" s="8"/>
      <c r="AJ1603" s="8"/>
      <c r="AK1603" s="8"/>
      <c r="AL1603" s="8"/>
      <c r="AM1603" s="8"/>
      <c r="AN1603" s="8"/>
      <c r="AO1603" s="8"/>
      <c r="AP1603" s="11"/>
      <c r="AQ1603" s="8">
        <v>34.56</v>
      </c>
      <c r="AR1603" s="8"/>
      <c r="AS1603" s="8"/>
      <c r="AT1603" s="8">
        <v>1557.72</v>
      </c>
      <c r="AU1603" s="8"/>
      <c r="AV1603" s="8"/>
      <c r="AW1603" s="8">
        <v>6.7</v>
      </c>
      <c r="AX1603" s="8"/>
      <c r="AY1603" s="8"/>
      <c r="AZ1603" s="8"/>
      <c r="BA1603" s="8"/>
      <c r="BB1603" s="8"/>
      <c r="BC1603" s="8"/>
      <c r="BD1603" s="8"/>
      <c r="BE1603" s="8"/>
      <c r="BF1603" s="8">
        <v>109.44</v>
      </c>
      <c r="BG1603" s="8">
        <v>112.92</v>
      </c>
      <c r="BH1603" s="9">
        <f t="shared" si="216"/>
        <v>2274.1799999999998</v>
      </c>
      <c r="BI1603" s="9">
        <f t="shared" si="217"/>
        <v>5.69</v>
      </c>
      <c r="BJ1603" s="9">
        <f t="shared" si="218"/>
        <v>8.8699999999999992</v>
      </c>
      <c r="BK1603" s="9">
        <f t="shared" si="219"/>
        <v>34.14</v>
      </c>
      <c r="BL1603" s="9">
        <f t="shared" si="220"/>
        <v>478.32</v>
      </c>
      <c r="BM1603" s="9">
        <f t="shared" si="221"/>
        <v>147.87</v>
      </c>
      <c r="BN1603" s="9">
        <f t="shared" si="222"/>
        <v>1557.72</v>
      </c>
      <c r="BO1603" s="9">
        <f t="shared" si="223"/>
        <v>6.7</v>
      </c>
      <c r="BP1603" s="9">
        <f t="shared" si="224"/>
        <v>109.44</v>
      </c>
    </row>
    <row r="1604" spans="1:68">
      <c r="A1604" s="6">
        <v>44840</v>
      </c>
      <c r="B1604" s="7">
        <v>3204</v>
      </c>
      <c r="C1604" s="8"/>
      <c r="D1604" s="8">
        <v>1795.02</v>
      </c>
      <c r="E1604" s="8">
        <v>766.91</v>
      </c>
      <c r="F1604" s="8"/>
      <c r="G1604" s="8"/>
      <c r="H1604" s="8"/>
      <c r="I1604" s="8"/>
      <c r="J1604" s="8"/>
      <c r="K1604" s="8"/>
      <c r="L1604" s="8"/>
      <c r="M1604" s="8"/>
      <c r="N1604" s="8"/>
      <c r="O1604" s="8">
        <v>12.76</v>
      </c>
      <c r="P1604" s="8"/>
      <c r="Q1604" s="11"/>
      <c r="R1604" s="11"/>
      <c r="S1604" s="8">
        <v>8.7200000000000006</v>
      </c>
      <c r="T1604" s="8"/>
      <c r="U1604" s="8">
        <v>28.25</v>
      </c>
      <c r="V1604" s="8"/>
      <c r="W1604" s="8"/>
      <c r="X1604" s="8"/>
      <c r="Y1604" s="8"/>
      <c r="Z1604" s="8">
        <v>385.33</v>
      </c>
      <c r="AA1604" s="8"/>
      <c r="AB1604" s="8">
        <v>13.08</v>
      </c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11"/>
      <c r="AQ1604" s="8"/>
      <c r="AR1604" s="8"/>
      <c r="AS1604" s="8"/>
      <c r="AT1604" s="8">
        <v>1129.01</v>
      </c>
      <c r="AU1604" s="8"/>
      <c r="AV1604" s="8"/>
      <c r="AW1604" s="8">
        <v>8.16</v>
      </c>
      <c r="AX1604" s="8"/>
      <c r="AY1604" s="8"/>
      <c r="AZ1604" s="8"/>
      <c r="BA1604" s="8"/>
      <c r="BB1604" s="8"/>
      <c r="BC1604" s="8"/>
      <c r="BD1604" s="8"/>
      <c r="BE1604" s="8"/>
      <c r="BF1604" s="8"/>
      <c r="BG1604" s="8">
        <v>83.46</v>
      </c>
      <c r="BH1604" s="9">
        <f t="shared" ref="BH1604:BH1667" si="225">SUM(C1604:L1604)</f>
        <v>2561.9299999999998</v>
      </c>
      <c r="BI1604" s="9">
        <f t="shared" ref="BI1604:BI1667" si="226">SUM(M1604:R1604)</f>
        <v>12.76</v>
      </c>
      <c r="BJ1604" s="9">
        <f t="shared" ref="BJ1604:BJ1667" si="227">SUM(S1604)</f>
        <v>8.7200000000000006</v>
      </c>
      <c r="BK1604" s="9">
        <f t="shared" ref="BK1604:BK1667" si="228">SUM(T1604:Y1604)</f>
        <v>28.25</v>
      </c>
      <c r="BL1604" s="9">
        <f t="shared" ref="BL1604:BL1667" si="229">SUM(Z1604:AA1604)</f>
        <v>385.33</v>
      </c>
      <c r="BM1604" s="9">
        <f t="shared" ref="BM1604:BM1667" si="230">SUM(AB1604:AS1604)</f>
        <v>13.08</v>
      </c>
      <c r="BN1604" s="9">
        <f t="shared" ref="BN1604:BN1667" si="231">SUM(AT1604:AU1604)</f>
        <v>1129.01</v>
      </c>
      <c r="BO1604" s="9">
        <f t="shared" ref="BO1604:BO1667" si="232">SUM(AV1604:BE1604)</f>
        <v>8.16</v>
      </c>
      <c r="BP1604" s="9">
        <f t="shared" ref="BP1604:BP1667" si="233">SUM(BF1604)</f>
        <v>0</v>
      </c>
    </row>
    <row r="1605" spans="1:68">
      <c r="A1605" s="6">
        <v>44840</v>
      </c>
      <c r="B1605" s="7">
        <v>3602</v>
      </c>
      <c r="C1605" s="8">
        <v>723.76</v>
      </c>
      <c r="D1605" s="8"/>
      <c r="E1605" s="8"/>
      <c r="F1605" s="8"/>
      <c r="G1605" s="8">
        <v>1087.31</v>
      </c>
      <c r="H1605" s="8"/>
      <c r="I1605" s="8"/>
      <c r="J1605" s="8"/>
      <c r="K1605" s="8"/>
      <c r="L1605" s="8"/>
      <c r="M1605" s="8">
        <v>9.5</v>
      </c>
      <c r="N1605" s="8"/>
      <c r="O1605" s="8"/>
      <c r="P1605" s="8"/>
      <c r="Q1605" s="11"/>
      <c r="R1605" s="11"/>
      <c r="S1605" s="8">
        <v>8.74</v>
      </c>
      <c r="T1605" s="8"/>
      <c r="U1605" s="8">
        <v>14.57</v>
      </c>
      <c r="V1605" s="8">
        <v>17.88</v>
      </c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11"/>
      <c r="AQ1605" s="8"/>
      <c r="AR1605" s="8"/>
      <c r="AS1605" s="8"/>
      <c r="AT1605" s="8">
        <v>734.31</v>
      </c>
      <c r="AU1605" s="8"/>
      <c r="AV1605" s="8"/>
      <c r="AW1605" s="8">
        <v>47.05</v>
      </c>
      <c r="AX1605" s="8"/>
      <c r="AY1605" s="8"/>
      <c r="AZ1605" s="8"/>
      <c r="BA1605" s="8"/>
      <c r="BB1605" s="8"/>
      <c r="BC1605" s="8"/>
      <c r="BD1605" s="8"/>
      <c r="BE1605" s="8"/>
      <c r="BF1605" s="8">
        <v>58.23</v>
      </c>
      <c r="BG1605" s="8">
        <v>54.94</v>
      </c>
      <c r="BH1605" s="9">
        <f t="shared" si="225"/>
        <v>1811.07</v>
      </c>
      <c r="BI1605" s="9">
        <f t="shared" si="226"/>
        <v>9.5</v>
      </c>
      <c r="BJ1605" s="9">
        <f t="shared" si="227"/>
        <v>8.74</v>
      </c>
      <c r="BK1605" s="9">
        <f t="shared" si="228"/>
        <v>32.450000000000003</v>
      </c>
      <c r="BL1605" s="9">
        <f t="shared" si="229"/>
        <v>0</v>
      </c>
      <c r="BM1605" s="9">
        <f t="shared" si="230"/>
        <v>0</v>
      </c>
      <c r="BN1605" s="9">
        <f t="shared" si="231"/>
        <v>734.31</v>
      </c>
      <c r="BO1605" s="9">
        <f t="shared" si="232"/>
        <v>47.05</v>
      </c>
      <c r="BP1605" s="9">
        <f t="shared" si="233"/>
        <v>58.23</v>
      </c>
    </row>
    <row r="1606" spans="1:68">
      <c r="A1606" s="6">
        <v>44840</v>
      </c>
      <c r="B1606" s="7">
        <v>3205</v>
      </c>
      <c r="C1606" s="8">
        <v>663.21</v>
      </c>
      <c r="D1606" s="8">
        <v>370.55</v>
      </c>
      <c r="E1606" s="8">
        <v>442.33</v>
      </c>
      <c r="F1606" s="8"/>
      <c r="G1606" s="8"/>
      <c r="H1606" s="8"/>
      <c r="I1606" s="8"/>
      <c r="J1606" s="8"/>
      <c r="K1606" s="8"/>
      <c r="L1606" s="8"/>
      <c r="M1606" s="8"/>
      <c r="N1606" s="8"/>
      <c r="O1606" s="8">
        <v>5.91</v>
      </c>
      <c r="P1606" s="8"/>
      <c r="Q1606" s="11"/>
      <c r="R1606" s="11"/>
      <c r="S1606" s="8">
        <v>5.47</v>
      </c>
      <c r="T1606" s="8"/>
      <c r="U1606" s="8">
        <v>17.75</v>
      </c>
      <c r="V1606" s="8"/>
      <c r="W1606" s="8"/>
      <c r="X1606" s="8"/>
      <c r="Y1606" s="8"/>
      <c r="Z1606" s="8">
        <v>147.87</v>
      </c>
      <c r="AA1606" s="8"/>
      <c r="AB1606" s="8">
        <v>14.82</v>
      </c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11"/>
      <c r="AQ1606" s="8">
        <v>7.59</v>
      </c>
      <c r="AR1606" s="8"/>
      <c r="AS1606" s="8"/>
      <c r="AT1606" s="8">
        <v>382.76</v>
      </c>
      <c r="AU1606" s="8">
        <v>192.31</v>
      </c>
      <c r="AV1606" s="8"/>
      <c r="AW1606" s="8">
        <v>6.39</v>
      </c>
      <c r="AX1606" s="8"/>
      <c r="AY1606" s="8"/>
      <c r="AZ1606" s="8"/>
      <c r="BA1606" s="8"/>
      <c r="BB1606" s="8"/>
      <c r="BC1606" s="8"/>
      <c r="BD1606" s="8"/>
      <c r="BE1606" s="8"/>
      <c r="BF1606" s="8"/>
      <c r="BG1606" s="8">
        <v>34.659999999999997</v>
      </c>
      <c r="BH1606" s="9">
        <f t="shared" si="225"/>
        <v>1476.09</v>
      </c>
      <c r="BI1606" s="9">
        <f t="shared" si="226"/>
        <v>5.91</v>
      </c>
      <c r="BJ1606" s="9">
        <f t="shared" si="227"/>
        <v>5.47</v>
      </c>
      <c r="BK1606" s="9">
        <f t="shared" si="228"/>
        <v>17.75</v>
      </c>
      <c r="BL1606" s="9">
        <f t="shared" si="229"/>
        <v>147.87</v>
      </c>
      <c r="BM1606" s="9">
        <f t="shared" si="230"/>
        <v>22.41</v>
      </c>
      <c r="BN1606" s="9">
        <f t="shared" si="231"/>
        <v>575.06999999999994</v>
      </c>
      <c r="BO1606" s="9">
        <f t="shared" si="232"/>
        <v>6.39</v>
      </c>
      <c r="BP1606" s="9">
        <f t="shared" si="233"/>
        <v>0</v>
      </c>
    </row>
    <row r="1607" spans="1:68">
      <c r="A1607" s="6">
        <v>44840</v>
      </c>
      <c r="B1607" s="7">
        <v>8253</v>
      </c>
      <c r="C1607" s="8"/>
      <c r="D1607" s="8">
        <v>1033.82</v>
      </c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11">
        <v>1.22</v>
      </c>
      <c r="R1607" s="11"/>
      <c r="S1607" s="8">
        <v>6.52</v>
      </c>
      <c r="T1607" s="8"/>
      <c r="U1607" s="8">
        <v>9.31</v>
      </c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>
        <v>10.37</v>
      </c>
      <c r="AH1607" s="8"/>
      <c r="AI1607" s="8"/>
      <c r="AJ1607" s="8"/>
      <c r="AK1607" s="8"/>
      <c r="AL1607" s="8"/>
      <c r="AM1607" s="8"/>
      <c r="AN1607" s="8"/>
      <c r="AO1607" s="8"/>
      <c r="AP1607" s="11"/>
      <c r="AQ1607" s="8"/>
      <c r="AR1607" s="8"/>
      <c r="AS1607" s="8"/>
      <c r="AT1607" s="8"/>
      <c r="AU1607" s="8">
        <v>409.78</v>
      </c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>
        <v>28.58</v>
      </c>
      <c r="BH1607" s="9">
        <f t="shared" si="225"/>
        <v>1033.82</v>
      </c>
      <c r="BI1607" s="9">
        <f t="shared" si="226"/>
        <v>1.22</v>
      </c>
      <c r="BJ1607" s="9">
        <f t="shared" si="227"/>
        <v>6.52</v>
      </c>
      <c r="BK1607" s="9">
        <f t="shared" si="228"/>
        <v>9.31</v>
      </c>
      <c r="BL1607" s="9">
        <f t="shared" si="229"/>
        <v>0</v>
      </c>
      <c r="BM1607" s="9">
        <f t="shared" si="230"/>
        <v>10.37</v>
      </c>
      <c r="BN1607" s="9">
        <f t="shared" si="231"/>
        <v>409.78</v>
      </c>
      <c r="BO1607" s="9">
        <f t="shared" si="232"/>
        <v>0</v>
      </c>
      <c r="BP1607" s="9">
        <f t="shared" si="233"/>
        <v>0</v>
      </c>
    </row>
    <row r="1608" spans="1:68">
      <c r="A1608" s="6">
        <v>44840</v>
      </c>
      <c r="B1608" s="7">
        <v>3307</v>
      </c>
      <c r="C1608" s="8"/>
      <c r="D1608" s="8">
        <v>1896.17</v>
      </c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11">
        <v>2.4500000000000002</v>
      </c>
      <c r="R1608" s="11"/>
      <c r="S1608" s="8">
        <v>13.84</v>
      </c>
      <c r="T1608" s="8"/>
      <c r="U1608" s="8">
        <v>18.97</v>
      </c>
      <c r="V1608" s="8"/>
      <c r="W1608" s="8"/>
      <c r="X1608" s="8"/>
      <c r="Y1608" s="8"/>
      <c r="Z1608" s="8"/>
      <c r="AA1608" s="8"/>
      <c r="AB1608" s="8"/>
      <c r="AC1608" s="8">
        <v>11.38</v>
      </c>
      <c r="AD1608" s="8"/>
      <c r="AE1608" s="8"/>
      <c r="AF1608" s="8"/>
      <c r="AG1608" s="8">
        <v>18.96</v>
      </c>
      <c r="AH1608" s="8"/>
      <c r="AI1608" s="8"/>
      <c r="AJ1608" s="8"/>
      <c r="AK1608" s="8"/>
      <c r="AL1608" s="8"/>
      <c r="AM1608" s="8"/>
      <c r="AN1608" s="8"/>
      <c r="AO1608" s="8"/>
      <c r="AP1608" s="11"/>
      <c r="AQ1608" s="8"/>
      <c r="AR1608" s="8"/>
      <c r="AS1608" s="8"/>
      <c r="AT1608" s="8"/>
      <c r="AU1608" s="8">
        <v>949.42</v>
      </c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>
        <v>68.16</v>
      </c>
      <c r="BH1608" s="9">
        <f t="shared" si="225"/>
        <v>1896.17</v>
      </c>
      <c r="BI1608" s="9">
        <f t="shared" si="226"/>
        <v>2.4500000000000002</v>
      </c>
      <c r="BJ1608" s="9">
        <f t="shared" si="227"/>
        <v>13.84</v>
      </c>
      <c r="BK1608" s="9">
        <f t="shared" si="228"/>
        <v>18.97</v>
      </c>
      <c r="BL1608" s="9">
        <f t="shared" si="229"/>
        <v>0</v>
      </c>
      <c r="BM1608" s="9">
        <f t="shared" si="230"/>
        <v>30.340000000000003</v>
      </c>
      <c r="BN1608" s="9">
        <f t="shared" si="231"/>
        <v>949.42</v>
      </c>
      <c r="BO1608" s="9">
        <f t="shared" si="232"/>
        <v>0</v>
      </c>
      <c r="BP1608" s="9">
        <f t="shared" si="233"/>
        <v>0</v>
      </c>
    </row>
    <row r="1609" spans="1:68">
      <c r="A1609" s="6">
        <v>44840</v>
      </c>
      <c r="B1609" s="7">
        <v>3106</v>
      </c>
      <c r="C1609" s="8">
        <v>4077.66</v>
      </c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11">
        <v>10.199999999999999</v>
      </c>
      <c r="R1609" s="11"/>
      <c r="S1609" s="8">
        <v>12.26</v>
      </c>
      <c r="T1609" s="8"/>
      <c r="U1609" s="8">
        <v>51.86</v>
      </c>
      <c r="V1609" s="8"/>
      <c r="W1609" s="8"/>
      <c r="X1609" s="8"/>
      <c r="Y1609" s="8"/>
      <c r="Z1609" s="8"/>
      <c r="AA1609" s="8"/>
      <c r="AB1609" s="8"/>
      <c r="AC1609" s="8">
        <v>10.199999999999999</v>
      </c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11"/>
      <c r="AQ1609" s="8"/>
      <c r="AR1609" s="8"/>
      <c r="AS1609" s="8"/>
      <c r="AT1609" s="8">
        <v>2335.3200000000002</v>
      </c>
      <c r="AU1609" s="8"/>
      <c r="AV1609" s="8"/>
      <c r="AW1609" s="8"/>
      <c r="AX1609" s="8">
        <v>5.0999999999999996</v>
      </c>
      <c r="AY1609" s="8"/>
      <c r="AZ1609" s="8"/>
      <c r="BA1609" s="8"/>
      <c r="BB1609" s="8"/>
      <c r="BC1609" s="8"/>
      <c r="BD1609" s="8"/>
      <c r="BE1609" s="8"/>
      <c r="BF1609" s="8"/>
      <c r="BG1609" s="8">
        <v>175.41</v>
      </c>
      <c r="BH1609" s="9">
        <f t="shared" si="225"/>
        <v>4077.66</v>
      </c>
      <c r="BI1609" s="9">
        <f t="shared" si="226"/>
        <v>10.199999999999999</v>
      </c>
      <c r="BJ1609" s="9">
        <f t="shared" si="227"/>
        <v>12.26</v>
      </c>
      <c r="BK1609" s="9">
        <f t="shared" si="228"/>
        <v>51.86</v>
      </c>
      <c r="BL1609" s="9">
        <f t="shared" si="229"/>
        <v>0</v>
      </c>
      <c r="BM1609" s="9">
        <f t="shared" si="230"/>
        <v>10.199999999999999</v>
      </c>
      <c r="BN1609" s="9">
        <f t="shared" si="231"/>
        <v>2335.3200000000002</v>
      </c>
      <c r="BO1609" s="9">
        <f t="shared" si="232"/>
        <v>5.0999999999999996</v>
      </c>
      <c r="BP1609" s="9">
        <f t="shared" si="233"/>
        <v>0</v>
      </c>
    </row>
    <row r="1610" spans="1:68">
      <c r="A1610" s="6">
        <v>44840</v>
      </c>
      <c r="B1610" s="7">
        <v>3141</v>
      </c>
      <c r="C1610" s="8">
        <v>249.69</v>
      </c>
      <c r="D1610" s="8">
        <v>432.23</v>
      </c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11">
        <v>7.42</v>
      </c>
      <c r="R1610" s="11"/>
      <c r="S1610" s="8">
        <v>13.56</v>
      </c>
      <c r="T1610" s="8"/>
      <c r="U1610" s="8">
        <v>43.24</v>
      </c>
      <c r="V1610" s="8"/>
      <c r="W1610" s="8"/>
      <c r="X1610" s="8"/>
      <c r="Y1610" s="8"/>
      <c r="Z1610" s="8"/>
      <c r="AA1610" s="8"/>
      <c r="AB1610" s="8"/>
      <c r="AC1610" s="8">
        <v>11.53</v>
      </c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11"/>
      <c r="AQ1610" s="8"/>
      <c r="AR1610" s="8"/>
      <c r="AS1610" s="8"/>
      <c r="AT1610" s="8">
        <v>1913.32</v>
      </c>
      <c r="AU1610" s="8"/>
      <c r="AV1610" s="8"/>
      <c r="AW1610" s="8"/>
      <c r="AX1610" s="8"/>
      <c r="AY1610" s="8"/>
      <c r="AZ1610" s="8"/>
      <c r="BA1610" s="8">
        <v>66.02</v>
      </c>
      <c r="BB1610" s="8"/>
      <c r="BC1610" s="8"/>
      <c r="BD1610" s="8"/>
      <c r="BE1610" s="8"/>
      <c r="BF1610" s="8">
        <v>201.77</v>
      </c>
      <c r="BG1610" s="8">
        <v>150.61000000000001</v>
      </c>
      <c r="BH1610" s="9">
        <f t="shared" si="225"/>
        <v>681.92000000000007</v>
      </c>
      <c r="BI1610" s="9">
        <f t="shared" si="226"/>
        <v>7.42</v>
      </c>
      <c r="BJ1610" s="9">
        <f t="shared" si="227"/>
        <v>13.56</v>
      </c>
      <c r="BK1610" s="9">
        <f t="shared" si="228"/>
        <v>43.24</v>
      </c>
      <c r="BL1610" s="9">
        <f t="shared" si="229"/>
        <v>0</v>
      </c>
      <c r="BM1610" s="9">
        <f t="shared" si="230"/>
        <v>11.53</v>
      </c>
      <c r="BN1610" s="9">
        <f t="shared" si="231"/>
        <v>1913.32</v>
      </c>
      <c r="BO1610" s="9">
        <f t="shared" si="232"/>
        <v>66.02</v>
      </c>
      <c r="BP1610" s="9">
        <f t="shared" si="233"/>
        <v>201.77</v>
      </c>
    </row>
    <row r="1611" spans="1:68">
      <c r="A1611" s="6">
        <v>44841</v>
      </c>
      <c r="B1611" s="7">
        <v>3083</v>
      </c>
      <c r="C1611" s="8"/>
      <c r="D1611" s="8">
        <f>736.63+103.03</f>
        <v>839.66</v>
      </c>
      <c r="E1611" s="8"/>
      <c r="F1611" s="8"/>
      <c r="G1611" s="8"/>
      <c r="H1611" s="8"/>
      <c r="I1611" s="8">
        <f>1722.39+240.29</f>
        <v>1962.68</v>
      </c>
      <c r="J1611" s="8"/>
      <c r="K1611" s="8"/>
      <c r="L1611" s="8"/>
      <c r="M1611" s="8"/>
      <c r="N1611" s="8">
        <f>2.17+15.52</f>
        <v>17.689999999999998</v>
      </c>
      <c r="O1611" s="8"/>
      <c r="P1611" s="8"/>
      <c r="Q1611" s="11"/>
      <c r="R1611" s="11"/>
      <c r="S1611" s="8">
        <f>1.72+0.24</f>
        <v>1.96</v>
      </c>
      <c r="T1611" s="8"/>
      <c r="U1611" s="8"/>
      <c r="V1611" s="8"/>
      <c r="W1611" s="8">
        <f>19.67+2.75</f>
        <v>22.42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>
        <f>9.79+1.36</f>
        <v>11.149999999999999</v>
      </c>
      <c r="AN1611" s="8">
        <f>1901*19.59/1000</f>
        <v>37.240589999999997</v>
      </c>
      <c r="AO1611" s="8"/>
      <c r="AP1611" s="11"/>
      <c r="AQ1611" s="8"/>
      <c r="AR1611" s="8">
        <f>3367*19.59/1000</f>
        <v>65.959530000000001</v>
      </c>
      <c r="AS1611" s="8"/>
      <c r="AT1611" s="8">
        <f>1157.2+161.56</f>
        <v>1318.76</v>
      </c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>
        <f>12.8+91.7</f>
        <v>104.5</v>
      </c>
      <c r="BH1611" s="9">
        <f t="shared" si="225"/>
        <v>2802.34</v>
      </c>
      <c r="BI1611" s="9">
        <f t="shared" si="226"/>
        <v>17.689999999999998</v>
      </c>
      <c r="BJ1611" s="9">
        <f t="shared" si="227"/>
        <v>1.96</v>
      </c>
      <c r="BK1611" s="9">
        <f t="shared" si="228"/>
        <v>22.42</v>
      </c>
      <c r="BL1611" s="9">
        <f t="shared" si="229"/>
        <v>0</v>
      </c>
      <c r="BM1611" s="9">
        <f t="shared" si="230"/>
        <v>114.35012</v>
      </c>
      <c r="BN1611" s="9">
        <f t="shared" si="231"/>
        <v>1318.76</v>
      </c>
      <c r="BO1611" s="9">
        <f t="shared" si="232"/>
        <v>0</v>
      </c>
      <c r="BP1611" s="9">
        <f t="shared" si="233"/>
        <v>0</v>
      </c>
    </row>
    <row r="1612" spans="1:68">
      <c r="A1612" s="6">
        <v>44841</v>
      </c>
      <c r="B1612" s="7">
        <v>3702</v>
      </c>
      <c r="C1612" s="8">
        <f>437.66+123.93</f>
        <v>561.59</v>
      </c>
      <c r="D1612" s="8">
        <f>291.78+84.18</f>
        <v>375.96</v>
      </c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11">
        <f>0.42+1.46</f>
        <v>1.88</v>
      </c>
      <c r="R1612" s="11"/>
      <c r="S1612" s="8">
        <f>0.91+3.43</f>
        <v>4.34</v>
      </c>
      <c r="T1612" s="8"/>
      <c r="U1612" s="8">
        <f>1.68+5.48</f>
        <v>7.16</v>
      </c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11"/>
      <c r="AQ1612" s="8"/>
      <c r="AR1612" s="8"/>
      <c r="AS1612" s="8"/>
      <c r="AT1612" s="8">
        <f>50.85+178.65</f>
        <v>229.5</v>
      </c>
      <c r="AU1612" s="8">
        <f>89.4+25.6</f>
        <v>115</v>
      </c>
      <c r="AV1612" s="8"/>
      <c r="AW1612" s="8">
        <f>0.45+1.62</f>
        <v>2.0700000000000003</v>
      </c>
      <c r="AX1612" s="8"/>
      <c r="AY1612" s="8"/>
      <c r="AZ1612" s="8"/>
      <c r="BA1612" s="8"/>
      <c r="BB1612" s="8"/>
      <c r="BC1612" s="8"/>
      <c r="BD1612" s="8"/>
      <c r="BE1612" s="8"/>
      <c r="BF1612" s="8"/>
      <c r="BG1612" s="8">
        <f>5.33+18.63</f>
        <v>23.96</v>
      </c>
      <c r="BH1612" s="9">
        <f t="shared" si="225"/>
        <v>937.55</v>
      </c>
      <c r="BI1612" s="9">
        <f t="shared" si="226"/>
        <v>1.88</v>
      </c>
      <c r="BJ1612" s="9">
        <f t="shared" si="227"/>
        <v>4.34</v>
      </c>
      <c r="BK1612" s="9">
        <f t="shared" si="228"/>
        <v>7.16</v>
      </c>
      <c r="BL1612" s="9">
        <f t="shared" si="229"/>
        <v>0</v>
      </c>
      <c r="BM1612" s="9">
        <f t="shared" si="230"/>
        <v>0</v>
      </c>
      <c r="BN1612" s="9">
        <f t="shared" si="231"/>
        <v>344.5</v>
      </c>
      <c r="BO1612" s="9">
        <f t="shared" si="232"/>
        <v>2.0700000000000003</v>
      </c>
      <c r="BP1612" s="9">
        <f t="shared" si="233"/>
        <v>0</v>
      </c>
    </row>
    <row r="1613" spans="1:68">
      <c r="A1613" s="6">
        <v>44841</v>
      </c>
      <c r="B1613" s="7">
        <v>3016</v>
      </c>
      <c r="C1613" s="8"/>
      <c r="D1613" s="8">
        <v>1620.95</v>
      </c>
      <c r="E1613" s="8"/>
      <c r="F1613" s="8"/>
      <c r="G1613" s="8"/>
      <c r="H1613" s="8"/>
      <c r="I1613" s="8">
        <v>1495.76</v>
      </c>
      <c r="J1613" s="8"/>
      <c r="K1613" s="8"/>
      <c r="L1613" s="8"/>
      <c r="M1613" s="8"/>
      <c r="N1613" s="8">
        <v>18.690000000000001</v>
      </c>
      <c r="O1613" s="8"/>
      <c r="P1613" s="8"/>
      <c r="Q1613" s="11"/>
      <c r="R1613" s="11"/>
      <c r="S1613" s="8">
        <v>2.1800000000000002</v>
      </c>
      <c r="T1613" s="8"/>
      <c r="U1613" s="8"/>
      <c r="V1613" s="8"/>
      <c r="W1613" s="8">
        <v>31.21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>
        <v>12.42</v>
      </c>
      <c r="AN1613" s="8">
        <f>2033*18.33/1000</f>
        <v>37.264890000000001</v>
      </c>
      <c r="AO1613" s="8"/>
      <c r="AP1613" s="11"/>
      <c r="AQ1613" s="8"/>
      <c r="AR1613" s="8">
        <f>4269*18.33/1000</f>
        <v>78.250769999999989</v>
      </c>
      <c r="AS1613" s="8"/>
      <c r="AT1613" s="8">
        <v>1156.95</v>
      </c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>
        <v>84.96</v>
      </c>
      <c r="BH1613" s="9">
        <f t="shared" si="225"/>
        <v>3116.71</v>
      </c>
      <c r="BI1613" s="9">
        <f t="shared" si="226"/>
        <v>18.690000000000001</v>
      </c>
      <c r="BJ1613" s="9">
        <f t="shared" si="227"/>
        <v>2.1800000000000002</v>
      </c>
      <c r="BK1613" s="9">
        <f t="shared" si="228"/>
        <v>31.21</v>
      </c>
      <c r="BL1613" s="9">
        <f t="shared" si="229"/>
        <v>0</v>
      </c>
      <c r="BM1613" s="9">
        <f t="shared" si="230"/>
        <v>127.93565999999998</v>
      </c>
      <c r="BN1613" s="9">
        <f t="shared" si="231"/>
        <v>1156.95</v>
      </c>
      <c r="BO1613" s="9">
        <f t="shared" si="232"/>
        <v>0</v>
      </c>
      <c r="BP1613" s="9">
        <f t="shared" si="233"/>
        <v>0</v>
      </c>
    </row>
    <row r="1614" spans="1:68">
      <c r="A1614" s="6">
        <v>44841</v>
      </c>
      <c r="B1614" s="7">
        <v>3141</v>
      </c>
      <c r="C1614" s="8">
        <v>2430.87</v>
      </c>
      <c r="D1614" s="8">
        <v>426.72</v>
      </c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11">
        <v>7.8</v>
      </c>
      <c r="R1614" s="11"/>
      <c r="S1614" s="8">
        <v>13.5</v>
      </c>
      <c r="T1614" s="8"/>
      <c r="U1614" s="8">
        <v>43.12</v>
      </c>
      <c r="V1614" s="8"/>
      <c r="W1614" s="8"/>
      <c r="X1614" s="8"/>
      <c r="Y1614" s="8"/>
      <c r="Z1614" s="8"/>
      <c r="AA1614" s="8"/>
      <c r="AB1614" s="8"/>
      <c r="AC1614" s="8">
        <v>11.5</v>
      </c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11"/>
      <c r="AQ1614" s="8"/>
      <c r="AR1614" s="8"/>
      <c r="AS1614" s="8"/>
      <c r="AT1614" s="8">
        <v>1898.47</v>
      </c>
      <c r="AU1614" s="8"/>
      <c r="AV1614" s="8"/>
      <c r="AW1614" s="8"/>
      <c r="AX1614" s="8"/>
      <c r="AY1614" s="8"/>
      <c r="AZ1614" s="8"/>
      <c r="BA1614" s="8">
        <v>65.81</v>
      </c>
      <c r="BB1614" s="8"/>
      <c r="BC1614" s="8"/>
      <c r="BD1614" s="8"/>
      <c r="BE1614" s="8"/>
      <c r="BF1614" s="8">
        <v>200.72</v>
      </c>
      <c r="BG1614" s="8">
        <v>149.26</v>
      </c>
      <c r="BH1614" s="9">
        <f t="shared" si="225"/>
        <v>2857.59</v>
      </c>
      <c r="BI1614" s="9">
        <f t="shared" si="226"/>
        <v>7.8</v>
      </c>
      <c r="BJ1614" s="9">
        <f t="shared" si="227"/>
        <v>13.5</v>
      </c>
      <c r="BK1614" s="9">
        <f t="shared" si="228"/>
        <v>43.12</v>
      </c>
      <c r="BL1614" s="9">
        <f t="shared" si="229"/>
        <v>0</v>
      </c>
      <c r="BM1614" s="9">
        <f t="shared" si="230"/>
        <v>11.5</v>
      </c>
      <c r="BN1614" s="9">
        <f t="shared" si="231"/>
        <v>1898.47</v>
      </c>
      <c r="BO1614" s="9">
        <f t="shared" si="232"/>
        <v>65.81</v>
      </c>
      <c r="BP1614" s="9">
        <f t="shared" si="233"/>
        <v>200.72</v>
      </c>
    </row>
    <row r="1615" spans="1:68">
      <c r="A1615" s="6">
        <v>44841</v>
      </c>
      <c r="B1615" s="7">
        <v>3134</v>
      </c>
      <c r="C1615" s="8">
        <v>1046.74</v>
      </c>
      <c r="D1615" s="8">
        <v>146.44999999999999</v>
      </c>
      <c r="E1615" s="8"/>
      <c r="F1615" s="8"/>
      <c r="G1615" s="8"/>
      <c r="H1615" s="8">
        <v>493.16</v>
      </c>
      <c r="I1615" s="8"/>
      <c r="J1615" s="8"/>
      <c r="K1615" s="8"/>
      <c r="L1615" s="8"/>
      <c r="M1615" s="8"/>
      <c r="N1615" s="8"/>
      <c r="O1615" s="8"/>
      <c r="P1615" s="8"/>
      <c r="Q1615" s="11">
        <v>3.23</v>
      </c>
      <c r="R1615" s="11"/>
      <c r="S1615" s="8">
        <v>6.76</v>
      </c>
      <c r="T1615" s="8"/>
      <c r="U1615" s="8">
        <v>19.059999999999999</v>
      </c>
      <c r="V1615" s="8"/>
      <c r="W1615" s="8"/>
      <c r="X1615" s="8"/>
      <c r="Y1615" s="8"/>
      <c r="Z1615" s="8"/>
      <c r="AA1615" s="8"/>
      <c r="AB1615" s="8"/>
      <c r="AC1615" s="8">
        <v>5.87</v>
      </c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11"/>
      <c r="AQ1615" s="8"/>
      <c r="AR1615" s="8"/>
      <c r="AS1615" s="8"/>
      <c r="AT1615" s="8">
        <v>1037.07</v>
      </c>
      <c r="AU1615" s="8"/>
      <c r="AV1615" s="8"/>
      <c r="AW1615" s="8"/>
      <c r="AX1615" s="8"/>
      <c r="AY1615" s="8">
        <f>1430*10.48/1000</f>
        <v>14.986400000000001</v>
      </c>
      <c r="AZ1615" s="8"/>
      <c r="BA1615" s="8"/>
      <c r="BB1615" s="8"/>
      <c r="BC1615" s="8"/>
      <c r="BD1615" s="8"/>
      <c r="BE1615" s="8"/>
      <c r="BF1615" s="8">
        <v>66.05</v>
      </c>
      <c r="BG1615" s="8">
        <v>77.69</v>
      </c>
      <c r="BH1615" s="9">
        <f t="shared" si="225"/>
        <v>1686.3500000000001</v>
      </c>
      <c r="BI1615" s="9">
        <f t="shared" si="226"/>
        <v>3.23</v>
      </c>
      <c r="BJ1615" s="9">
        <f t="shared" si="227"/>
        <v>6.76</v>
      </c>
      <c r="BK1615" s="9">
        <f t="shared" si="228"/>
        <v>19.059999999999999</v>
      </c>
      <c r="BL1615" s="9">
        <f t="shared" si="229"/>
        <v>0</v>
      </c>
      <c r="BM1615" s="9">
        <f t="shared" si="230"/>
        <v>5.87</v>
      </c>
      <c r="BN1615" s="9">
        <f t="shared" si="231"/>
        <v>1037.07</v>
      </c>
      <c r="BO1615" s="9">
        <f t="shared" si="232"/>
        <v>14.986400000000001</v>
      </c>
      <c r="BP1615" s="9">
        <f t="shared" si="233"/>
        <v>66.05</v>
      </c>
    </row>
    <row r="1616" spans="1:68">
      <c r="A1616" s="6">
        <v>44841</v>
      </c>
      <c r="B1616" s="7">
        <v>3106</v>
      </c>
      <c r="C1616" s="8">
        <v>4089.85</v>
      </c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11">
        <v>11.04</v>
      </c>
      <c r="R1616" s="11"/>
      <c r="S1616" s="8">
        <v>12.31</v>
      </c>
      <c r="T1616" s="8"/>
      <c r="U1616" s="8">
        <v>52.19</v>
      </c>
      <c r="V1616" s="8"/>
      <c r="W1616" s="8"/>
      <c r="X1616" s="8"/>
      <c r="Y1616" s="8"/>
      <c r="Z1616" s="8"/>
      <c r="AA1616" s="8"/>
      <c r="AB1616" s="8"/>
      <c r="AC1616" s="8">
        <v>10.24</v>
      </c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11"/>
      <c r="AQ1616" s="8"/>
      <c r="AR1616" s="8"/>
      <c r="AS1616" s="8"/>
      <c r="AT1616" s="8">
        <v>2344.23</v>
      </c>
      <c r="AU1616" s="8"/>
      <c r="AV1616" s="8"/>
      <c r="AW1616" s="8"/>
      <c r="AX1616" s="8">
        <v>5.13</v>
      </c>
      <c r="AY1616" s="8"/>
      <c r="AZ1616" s="8"/>
      <c r="BA1616" s="8"/>
      <c r="BB1616" s="8"/>
      <c r="BC1616" s="8"/>
      <c r="BD1616" s="8"/>
      <c r="BE1616" s="8"/>
      <c r="BF1616" s="8"/>
      <c r="BG1616" s="8">
        <v>175.83</v>
      </c>
      <c r="BH1616" s="9">
        <f t="shared" si="225"/>
        <v>4089.85</v>
      </c>
      <c r="BI1616" s="9">
        <f t="shared" si="226"/>
        <v>11.04</v>
      </c>
      <c r="BJ1616" s="9">
        <f t="shared" si="227"/>
        <v>12.31</v>
      </c>
      <c r="BK1616" s="9">
        <f t="shared" si="228"/>
        <v>52.19</v>
      </c>
      <c r="BL1616" s="9">
        <f t="shared" si="229"/>
        <v>0</v>
      </c>
      <c r="BM1616" s="9">
        <f t="shared" si="230"/>
        <v>10.24</v>
      </c>
      <c r="BN1616" s="9">
        <f t="shared" si="231"/>
        <v>2344.23</v>
      </c>
      <c r="BO1616" s="9">
        <f t="shared" si="232"/>
        <v>5.13</v>
      </c>
      <c r="BP1616" s="9">
        <f t="shared" si="233"/>
        <v>0</v>
      </c>
    </row>
    <row r="1617" spans="1:68">
      <c r="A1617" s="6">
        <v>44841</v>
      </c>
      <c r="B1617" s="7">
        <v>3704</v>
      </c>
      <c r="C1617" s="8">
        <v>343.08</v>
      </c>
      <c r="D1617" s="8">
        <v>514.62</v>
      </c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11">
        <v>2.56</v>
      </c>
      <c r="R1617" s="11"/>
      <c r="S1617" s="8">
        <v>3</v>
      </c>
      <c r="T1617" s="8"/>
      <c r="U1617" s="8">
        <v>6.43</v>
      </c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>
        <v>10.29</v>
      </c>
      <c r="AN1617" s="8"/>
      <c r="AO1617" s="8"/>
      <c r="AP1617" s="11"/>
      <c r="AQ1617" s="8"/>
      <c r="AR1617" s="8"/>
      <c r="AS1617" s="8"/>
      <c r="AT1617" s="8">
        <v>150.28</v>
      </c>
      <c r="AU1617" s="8">
        <v>75.31</v>
      </c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>
        <v>13.79</v>
      </c>
      <c r="BH1617" s="9">
        <f t="shared" si="225"/>
        <v>857.7</v>
      </c>
      <c r="BI1617" s="9">
        <f t="shared" si="226"/>
        <v>2.56</v>
      </c>
      <c r="BJ1617" s="9">
        <f t="shared" si="227"/>
        <v>3</v>
      </c>
      <c r="BK1617" s="9">
        <f t="shared" si="228"/>
        <v>6.43</v>
      </c>
      <c r="BL1617" s="9">
        <f t="shared" si="229"/>
        <v>0</v>
      </c>
      <c r="BM1617" s="9">
        <f t="shared" si="230"/>
        <v>10.29</v>
      </c>
      <c r="BN1617" s="9">
        <f t="shared" si="231"/>
        <v>225.59</v>
      </c>
      <c r="BO1617" s="9">
        <f t="shared" si="232"/>
        <v>0</v>
      </c>
      <c r="BP1617" s="9">
        <f t="shared" si="233"/>
        <v>0</v>
      </c>
    </row>
    <row r="1618" spans="1:68">
      <c r="A1618" s="6">
        <v>44841</v>
      </c>
      <c r="B1618" s="7">
        <v>3023</v>
      </c>
      <c r="C1618" s="8"/>
      <c r="D1618" s="8">
        <v>1649.93</v>
      </c>
      <c r="E1618" s="8"/>
      <c r="F1618" s="8"/>
      <c r="G1618" s="8"/>
      <c r="H1618" s="8"/>
      <c r="I1618" s="8">
        <v>888.91</v>
      </c>
      <c r="J1618" s="8"/>
      <c r="K1618" s="8"/>
      <c r="L1618" s="8"/>
      <c r="M1618" s="8"/>
      <c r="N1618" s="8">
        <v>14.19</v>
      </c>
      <c r="O1618" s="8"/>
      <c r="P1618" s="8"/>
      <c r="Q1618" s="11"/>
      <c r="R1618" s="11"/>
      <c r="S1618" s="8">
        <v>4.0599999999999996</v>
      </c>
      <c r="T1618" s="8"/>
      <c r="U1618" s="8"/>
      <c r="V1618" s="8"/>
      <c r="W1618" s="8">
        <v>22.85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>
        <v>25.43</v>
      </c>
      <c r="AN1618" s="8">
        <f>1023*17.52/1000</f>
        <v>17.92296</v>
      </c>
      <c r="AO1618" s="8"/>
      <c r="AP1618" s="11"/>
      <c r="AQ1618" s="8"/>
      <c r="AR1618" s="8"/>
      <c r="AS1618" s="8">
        <f>4788*17.52/1000</f>
        <v>83.885759999999991</v>
      </c>
      <c r="AT1618" s="8">
        <v>1040.95</v>
      </c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>
        <v>78.63</v>
      </c>
      <c r="BH1618" s="9">
        <f t="shared" si="225"/>
        <v>2538.84</v>
      </c>
      <c r="BI1618" s="9">
        <f t="shared" si="226"/>
        <v>14.19</v>
      </c>
      <c r="BJ1618" s="9">
        <f t="shared" si="227"/>
        <v>4.0599999999999996</v>
      </c>
      <c r="BK1618" s="9">
        <f t="shared" si="228"/>
        <v>22.85</v>
      </c>
      <c r="BL1618" s="9">
        <f t="shared" si="229"/>
        <v>0</v>
      </c>
      <c r="BM1618" s="9">
        <f t="shared" si="230"/>
        <v>127.23871999999999</v>
      </c>
      <c r="BN1618" s="9">
        <f t="shared" si="231"/>
        <v>1040.95</v>
      </c>
      <c r="BO1618" s="9">
        <f t="shared" si="232"/>
        <v>0</v>
      </c>
      <c r="BP1618" s="9">
        <f t="shared" si="233"/>
        <v>0</v>
      </c>
    </row>
    <row r="1619" spans="1:68">
      <c r="A1619" s="6">
        <v>44841</v>
      </c>
      <c r="B1619" s="7">
        <v>8004</v>
      </c>
      <c r="C1619" s="8"/>
      <c r="D1619" s="8">
        <v>1000.44</v>
      </c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11">
        <v>1.2</v>
      </c>
      <c r="R1619" s="11"/>
      <c r="S1619" s="8">
        <v>6.31</v>
      </c>
      <c r="T1619" s="8"/>
      <c r="U1619" s="8">
        <v>9</v>
      </c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>
        <v>10</v>
      </c>
      <c r="AH1619" s="8"/>
      <c r="AI1619" s="8"/>
      <c r="AJ1619" s="8"/>
      <c r="AK1619" s="8"/>
      <c r="AL1619" s="8"/>
      <c r="AM1619" s="8"/>
      <c r="AN1619" s="8"/>
      <c r="AO1619" s="8"/>
      <c r="AP1619" s="11"/>
      <c r="AQ1619" s="8"/>
      <c r="AR1619" s="8"/>
      <c r="AS1619" s="8"/>
      <c r="AT1619" s="8"/>
      <c r="AU1619" s="8">
        <v>396.43</v>
      </c>
      <c r="AV1619" s="8"/>
      <c r="AW1619" s="8"/>
      <c r="AX1619" s="8"/>
      <c r="AY1619" s="8">
        <f>890*8.35/1000</f>
        <v>7.4314999999999998</v>
      </c>
      <c r="AZ1619" s="8"/>
      <c r="BA1619" s="8"/>
      <c r="BB1619" s="8"/>
      <c r="BC1619" s="8"/>
      <c r="BD1619" s="8"/>
      <c r="BE1619" s="8"/>
      <c r="BF1619" s="8"/>
      <c r="BG1619" s="8">
        <v>27.79</v>
      </c>
      <c r="BH1619" s="9">
        <f t="shared" si="225"/>
        <v>1000.44</v>
      </c>
      <c r="BI1619" s="9">
        <f t="shared" si="226"/>
        <v>1.2</v>
      </c>
      <c r="BJ1619" s="9">
        <f t="shared" si="227"/>
        <v>6.31</v>
      </c>
      <c r="BK1619" s="9">
        <f t="shared" si="228"/>
        <v>9</v>
      </c>
      <c r="BL1619" s="9">
        <f t="shared" si="229"/>
        <v>0</v>
      </c>
      <c r="BM1619" s="9">
        <f t="shared" si="230"/>
        <v>10</v>
      </c>
      <c r="BN1619" s="9">
        <f t="shared" si="231"/>
        <v>396.43</v>
      </c>
      <c r="BO1619" s="9">
        <f t="shared" si="232"/>
        <v>7.4314999999999998</v>
      </c>
      <c r="BP1619" s="9">
        <f t="shared" si="233"/>
        <v>0</v>
      </c>
    </row>
    <row r="1620" spans="1:68">
      <c r="A1620" s="6">
        <v>44841</v>
      </c>
      <c r="B1620" s="7">
        <v>3302</v>
      </c>
      <c r="C1620" s="8"/>
      <c r="D1620" s="8">
        <v>999.15</v>
      </c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11">
        <v>1.53</v>
      </c>
      <c r="R1620" s="11"/>
      <c r="S1620" s="8">
        <v>7.51</v>
      </c>
      <c r="T1620" s="8"/>
      <c r="U1620" s="8">
        <v>10</v>
      </c>
      <c r="V1620" s="8"/>
      <c r="W1620" s="8"/>
      <c r="X1620" s="8"/>
      <c r="Y1620" s="8"/>
      <c r="Z1620" s="8"/>
      <c r="AA1620" s="8"/>
      <c r="AB1620" s="8"/>
      <c r="AC1620" s="8">
        <v>6</v>
      </c>
      <c r="AD1620" s="8"/>
      <c r="AE1620" s="8"/>
      <c r="AF1620" s="8"/>
      <c r="AG1620" s="8">
        <v>10.039999999999999</v>
      </c>
      <c r="AH1620" s="8"/>
      <c r="AI1620" s="8"/>
      <c r="AJ1620" s="8"/>
      <c r="AK1620" s="8"/>
      <c r="AL1620" s="8"/>
      <c r="AM1620" s="8"/>
      <c r="AN1620" s="8"/>
      <c r="AO1620" s="8"/>
      <c r="AP1620" s="11"/>
      <c r="AQ1620" s="8"/>
      <c r="AR1620" s="8"/>
      <c r="AS1620" s="8"/>
      <c r="AT1620" s="8"/>
      <c r="AU1620" s="8">
        <v>502.57</v>
      </c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>
        <v>35.96</v>
      </c>
      <c r="BH1620" s="9">
        <f t="shared" si="225"/>
        <v>999.15</v>
      </c>
      <c r="BI1620" s="9">
        <f t="shared" si="226"/>
        <v>1.53</v>
      </c>
      <c r="BJ1620" s="9">
        <f t="shared" si="227"/>
        <v>7.51</v>
      </c>
      <c r="BK1620" s="9">
        <f t="shared" si="228"/>
        <v>10</v>
      </c>
      <c r="BL1620" s="9">
        <f t="shared" si="229"/>
        <v>0</v>
      </c>
      <c r="BM1620" s="9">
        <f t="shared" si="230"/>
        <v>16.04</v>
      </c>
      <c r="BN1620" s="9">
        <f t="shared" si="231"/>
        <v>502.57</v>
      </c>
      <c r="BO1620" s="9">
        <f t="shared" si="232"/>
        <v>0</v>
      </c>
      <c r="BP1620" s="9">
        <f t="shared" si="233"/>
        <v>0</v>
      </c>
    </row>
    <row r="1621" spans="1:68">
      <c r="A1621" s="6">
        <v>44841</v>
      </c>
      <c r="B1621" s="7">
        <v>3028</v>
      </c>
      <c r="C1621" s="8"/>
      <c r="D1621" s="8">
        <v>414.23</v>
      </c>
      <c r="E1621" s="8"/>
      <c r="F1621" s="8">
        <v>380.52</v>
      </c>
      <c r="G1621" s="8"/>
      <c r="H1621" s="8"/>
      <c r="I1621" s="8">
        <v>860.33</v>
      </c>
      <c r="J1621" s="8"/>
      <c r="K1621" s="8"/>
      <c r="L1621" s="8"/>
      <c r="M1621" s="8"/>
      <c r="N1621" s="8">
        <v>12.38</v>
      </c>
      <c r="O1621" s="8"/>
      <c r="P1621" s="8"/>
      <c r="Q1621" s="11"/>
      <c r="R1621" s="11"/>
      <c r="S1621" s="8">
        <v>2.31</v>
      </c>
      <c r="T1621" s="8"/>
      <c r="U1621" s="8"/>
      <c r="V1621" s="8"/>
      <c r="W1621" s="8">
        <v>12.4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>
        <v>16.510000000000002</v>
      </c>
      <c r="AN1621" s="8">
        <f>1047*11/1000</f>
        <v>11.516999999999999</v>
      </c>
      <c r="AO1621" s="8"/>
      <c r="AP1621" s="11"/>
      <c r="AQ1621" s="8"/>
      <c r="AR1621" s="8"/>
      <c r="AS1621" s="8">
        <f>4936*11/1000</f>
        <v>54.295999999999999</v>
      </c>
      <c r="AT1621" s="8">
        <v>550.49</v>
      </c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>
        <v>37.450000000000003</v>
      </c>
      <c r="BH1621" s="9">
        <f t="shared" si="225"/>
        <v>1655.08</v>
      </c>
      <c r="BI1621" s="9">
        <f t="shared" si="226"/>
        <v>12.38</v>
      </c>
      <c r="BJ1621" s="9">
        <f t="shared" si="227"/>
        <v>2.31</v>
      </c>
      <c r="BK1621" s="9">
        <f t="shared" si="228"/>
        <v>12.4</v>
      </c>
      <c r="BL1621" s="9">
        <f t="shared" si="229"/>
        <v>0</v>
      </c>
      <c r="BM1621" s="9">
        <f t="shared" si="230"/>
        <v>82.323000000000008</v>
      </c>
      <c r="BN1621" s="9">
        <f t="shared" si="231"/>
        <v>550.49</v>
      </c>
      <c r="BO1621" s="9">
        <f t="shared" si="232"/>
        <v>0</v>
      </c>
      <c r="BP1621" s="9">
        <f t="shared" si="233"/>
        <v>0</v>
      </c>
    </row>
    <row r="1622" spans="1:68">
      <c r="A1622" s="6">
        <v>44844</v>
      </c>
      <c r="B1622" s="7">
        <v>3016</v>
      </c>
      <c r="C1622" s="8"/>
      <c r="D1622" s="8">
        <v>1619.02</v>
      </c>
      <c r="E1622" s="8"/>
      <c r="F1622" s="8"/>
      <c r="G1622" s="8"/>
      <c r="H1622" s="8"/>
      <c r="I1622" s="8">
        <v>1499.01</v>
      </c>
      <c r="J1622" s="8"/>
      <c r="K1622" s="8"/>
      <c r="L1622" s="8"/>
      <c r="M1622" s="8"/>
      <c r="N1622" s="8">
        <v>18.72</v>
      </c>
      <c r="O1622" s="8"/>
      <c r="P1622" s="8"/>
      <c r="Q1622" s="11"/>
      <c r="R1622" s="11"/>
      <c r="S1622" s="8">
        <v>2.1800000000000002</v>
      </c>
      <c r="T1622" s="8"/>
      <c r="U1622" s="8"/>
      <c r="V1622" s="8"/>
      <c r="W1622" s="8">
        <v>31.23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>
        <v>12.46</v>
      </c>
      <c r="AN1622" s="8">
        <f>2038*18.37/1000</f>
        <v>37.438060000000007</v>
      </c>
      <c r="AO1622" s="8"/>
      <c r="AP1622" s="11"/>
      <c r="AQ1622" s="8"/>
      <c r="AR1622" s="8">
        <f>4310*18.37/1000</f>
        <v>79.174700000000001</v>
      </c>
      <c r="AS1622" s="8"/>
      <c r="AT1622" s="8">
        <v>1158.28</v>
      </c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>
        <v>84.78</v>
      </c>
      <c r="BH1622" s="9">
        <f t="shared" si="225"/>
        <v>3118.0299999999997</v>
      </c>
      <c r="BI1622" s="9">
        <f t="shared" si="226"/>
        <v>18.72</v>
      </c>
      <c r="BJ1622" s="9">
        <f t="shared" si="227"/>
        <v>2.1800000000000002</v>
      </c>
      <c r="BK1622" s="9">
        <f t="shared" si="228"/>
        <v>31.23</v>
      </c>
      <c r="BL1622" s="9">
        <f t="shared" si="229"/>
        <v>0</v>
      </c>
      <c r="BM1622" s="9">
        <f t="shared" si="230"/>
        <v>129.07276000000002</v>
      </c>
      <c r="BN1622" s="9">
        <f t="shared" si="231"/>
        <v>1158.28</v>
      </c>
      <c r="BO1622" s="9">
        <f t="shared" si="232"/>
        <v>0</v>
      </c>
      <c r="BP1622" s="9">
        <f t="shared" si="233"/>
        <v>0</v>
      </c>
    </row>
    <row r="1623" spans="1:68">
      <c r="A1623" s="6">
        <v>44844</v>
      </c>
      <c r="B1623" s="7">
        <v>3083</v>
      </c>
      <c r="C1623" s="8"/>
      <c r="D1623" s="8">
        <v>749.29</v>
      </c>
      <c r="E1623" s="8"/>
      <c r="F1623" s="8"/>
      <c r="G1623" s="8"/>
      <c r="H1623" s="8"/>
      <c r="I1623" s="8">
        <v>1748.31</v>
      </c>
      <c r="J1623" s="8"/>
      <c r="K1623" s="8"/>
      <c r="L1623" s="8"/>
      <c r="M1623" s="8"/>
      <c r="N1623" s="8">
        <v>15.76</v>
      </c>
      <c r="O1623" s="8"/>
      <c r="P1623" s="8"/>
      <c r="Q1623" s="11"/>
      <c r="R1623" s="11"/>
      <c r="S1623" s="8">
        <v>1.74</v>
      </c>
      <c r="T1623" s="8"/>
      <c r="U1623" s="8"/>
      <c r="V1623" s="8"/>
      <c r="W1623" s="8">
        <v>20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>
        <v>9.94</v>
      </c>
      <c r="AN1623" s="8">
        <f>1920*18.5/1000</f>
        <v>35.520000000000003</v>
      </c>
      <c r="AO1623" s="8"/>
      <c r="AP1623" s="11"/>
      <c r="AQ1623" s="8"/>
      <c r="AR1623" s="8">
        <f>3440*18.5/1000</f>
        <v>63.64</v>
      </c>
      <c r="AS1623" s="8"/>
      <c r="AT1623" s="8">
        <v>1172.81</v>
      </c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>
        <v>93.09</v>
      </c>
      <c r="BH1623" s="9">
        <f t="shared" si="225"/>
        <v>2497.6</v>
      </c>
      <c r="BI1623" s="9">
        <f t="shared" si="226"/>
        <v>15.76</v>
      </c>
      <c r="BJ1623" s="9">
        <f t="shared" si="227"/>
        <v>1.74</v>
      </c>
      <c r="BK1623" s="9">
        <f t="shared" si="228"/>
        <v>20</v>
      </c>
      <c r="BL1623" s="9">
        <f t="shared" si="229"/>
        <v>0</v>
      </c>
      <c r="BM1623" s="9">
        <f t="shared" si="230"/>
        <v>109.1</v>
      </c>
      <c r="BN1623" s="9">
        <f t="shared" si="231"/>
        <v>1172.81</v>
      </c>
      <c r="BO1623" s="9">
        <f t="shared" si="232"/>
        <v>0</v>
      </c>
      <c r="BP1623" s="9">
        <f t="shared" si="233"/>
        <v>0</v>
      </c>
    </row>
    <row r="1624" spans="1:68">
      <c r="A1624" s="6">
        <v>44844</v>
      </c>
      <c r="B1624" s="7">
        <v>3021</v>
      </c>
      <c r="C1624" s="8"/>
      <c r="D1624" s="8">
        <v>199.21</v>
      </c>
      <c r="E1624" s="8"/>
      <c r="F1624" s="8"/>
      <c r="G1624" s="8"/>
      <c r="H1624" s="8"/>
      <c r="I1624" s="8">
        <v>366.92</v>
      </c>
      <c r="J1624" s="8"/>
      <c r="K1624" s="8"/>
      <c r="L1624" s="8"/>
      <c r="M1624" s="8"/>
      <c r="N1624" s="8">
        <v>3</v>
      </c>
      <c r="O1624" s="8"/>
      <c r="P1624" s="8"/>
      <c r="Q1624" s="11"/>
      <c r="R1624" s="11"/>
      <c r="S1624" s="8">
        <v>1.02</v>
      </c>
      <c r="T1624" s="8"/>
      <c r="U1624" s="8"/>
      <c r="V1624" s="8"/>
      <c r="W1624" s="8">
        <v>5.67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>
        <v>5.62</v>
      </c>
      <c r="AN1624" s="8"/>
      <c r="AO1624" s="8"/>
      <c r="AP1624" s="11"/>
      <c r="AQ1624" s="8"/>
      <c r="AR1624" s="8"/>
      <c r="AS1624" s="8">
        <f>2689*5.38/1000</f>
        <v>14.46682</v>
      </c>
      <c r="AT1624" s="8">
        <v>265.62</v>
      </c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>
        <v>20.059999999999999</v>
      </c>
      <c r="BH1624" s="9">
        <f t="shared" si="225"/>
        <v>566.13</v>
      </c>
      <c r="BI1624" s="9">
        <f t="shared" si="226"/>
        <v>3</v>
      </c>
      <c r="BJ1624" s="9">
        <f t="shared" si="227"/>
        <v>1.02</v>
      </c>
      <c r="BK1624" s="9">
        <f t="shared" si="228"/>
        <v>5.67</v>
      </c>
      <c r="BL1624" s="9">
        <f t="shared" si="229"/>
        <v>0</v>
      </c>
      <c r="BM1624" s="9">
        <f t="shared" si="230"/>
        <v>20.086819999999999</v>
      </c>
      <c r="BN1624" s="9">
        <f t="shared" si="231"/>
        <v>265.62</v>
      </c>
      <c r="BO1624" s="9">
        <f t="shared" si="232"/>
        <v>0</v>
      </c>
      <c r="BP1624" s="9">
        <f t="shared" si="233"/>
        <v>0</v>
      </c>
    </row>
    <row r="1625" spans="1:68">
      <c r="A1625" s="6">
        <v>44844</v>
      </c>
      <c r="B1625" s="7">
        <v>3022</v>
      </c>
      <c r="C1625" s="8"/>
      <c r="D1625" s="8">
        <v>557.70000000000005</v>
      </c>
      <c r="E1625" s="8"/>
      <c r="F1625" s="8"/>
      <c r="G1625" s="8"/>
      <c r="H1625" s="8"/>
      <c r="I1625" s="8">
        <v>458.29</v>
      </c>
      <c r="J1625" s="8"/>
      <c r="K1625" s="8"/>
      <c r="L1625" s="8"/>
      <c r="M1625" s="8"/>
      <c r="N1625" s="8">
        <v>5.08</v>
      </c>
      <c r="O1625" s="8"/>
      <c r="P1625" s="8"/>
      <c r="Q1625" s="11"/>
      <c r="R1625" s="11"/>
      <c r="S1625" s="8">
        <v>1.83</v>
      </c>
      <c r="T1625" s="8"/>
      <c r="U1625" s="8"/>
      <c r="V1625" s="8"/>
      <c r="W1625" s="8">
        <v>10.18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>
        <v>13.21</v>
      </c>
      <c r="AN1625" s="8"/>
      <c r="AO1625" s="8"/>
      <c r="AP1625" s="11"/>
      <c r="AQ1625" s="8"/>
      <c r="AR1625" s="8"/>
      <c r="AS1625" s="8">
        <f>3864*9.25/1000</f>
        <v>35.741999999999997</v>
      </c>
      <c r="AT1625" s="8">
        <v>474.93</v>
      </c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>
        <v>36.590000000000003</v>
      </c>
      <c r="BH1625" s="9">
        <f t="shared" si="225"/>
        <v>1015.99</v>
      </c>
      <c r="BI1625" s="9">
        <f t="shared" si="226"/>
        <v>5.08</v>
      </c>
      <c r="BJ1625" s="9">
        <f t="shared" si="227"/>
        <v>1.83</v>
      </c>
      <c r="BK1625" s="9">
        <f t="shared" si="228"/>
        <v>10.18</v>
      </c>
      <c r="BL1625" s="9">
        <f t="shared" si="229"/>
        <v>0</v>
      </c>
      <c r="BM1625" s="9">
        <f t="shared" si="230"/>
        <v>48.951999999999998</v>
      </c>
      <c r="BN1625" s="9">
        <f t="shared" si="231"/>
        <v>474.93</v>
      </c>
      <c r="BO1625" s="9">
        <f t="shared" si="232"/>
        <v>0</v>
      </c>
      <c r="BP1625" s="9">
        <f t="shared" si="233"/>
        <v>0</v>
      </c>
    </row>
    <row r="1626" spans="1:68">
      <c r="A1626" s="6">
        <v>44844</v>
      </c>
      <c r="B1626" s="7">
        <v>3005</v>
      </c>
      <c r="C1626" s="8">
        <v>455.8</v>
      </c>
      <c r="D1626" s="8">
        <v>305.20999999999998</v>
      </c>
      <c r="E1626" s="8"/>
      <c r="F1626" s="8"/>
      <c r="G1626" s="8"/>
      <c r="H1626" s="8"/>
      <c r="I1626" s="8"/>
      <c r="J1626" s="8"/>
      <c r="K1626" s="8"/>
      <c r="L1626" s="8"/>
      <c r="M1626" s="8"/>
      <c r="N1626" s="8">
        <v>0.76</v>
      </c>
      <c r="O1626" s="8"/>
      <c r="P1626" s="8"/>
      <c r="Q1626" s="11"/>
      <c r="R1626" s="11"/>
      <c r="S1626" s="8">
        <v>2.67</v>
      </c>
      <c r="T1626" s="8"/>
      <c r="U1626" s="8"/>
      <c r="V1626" s="8"/>
      <c r="W1626" s="8">
        <v>8.39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11"/>
      <c r="AQ1626" s="8"/>
      <c r="AR1626" s="8"/>
      <c r="AS1626" s="8"/>
      <c r="AT1626" s="8">
        <v>373.17</v>
      </c>
      <c r="AU1626" s="8"/>
      <c r="AV1626" s="8"/>
      <c r="AW1626" s="8">
        <v>8.4700000000000006</v>
      </c>
      <c r="AX1626" s="8"/>
      <c r="AY1626" s="8"/>
      <c r="AZ1626" s="8"/>
      <c r="BA1626" s="8"/>
      <c r="BB1626" s="8"/>
      <c r="BC1626" s="8"/>
      <c r="BD1626" s="8"/>
      <c r="BE1626" s="8"/>
      <c r="BF1626" s="8"/>
      <c r="BG1626" s="8">
        <v>27.78</v>
      </c>
      <c r="BH1626" s="9">
        <f t="shared" si="225"/>
        <v>761.01</v>
      </c>
      <c r="BI1626" s="9">
        <f t="shared" si="226"/>
        <v>0.76</v>
      </c>
      <c r="BJ1626" s="9">
        <f t="shared" si="227"/>
        <v>2.67</v>
      </c>
      <c r="BK1626" s="9">
        <f t="shared" si="228"/>
        <v>8.39</v>
      </c>
      <c r="BL1626" s="9">
        <f t="shared" si="229"/>
        <v>0</v>
      </c>
      <c r="BM1626" s="9">
        <f t="shared" si="230"/>
        <v>0</v>
      </c>
      <c r="BN1626" s="9">
        <f t="shared" si="231"/>
        <v>373.17</v>
      </c>
      <c r="BO1626" s="9">
        <f t="shared" si="232"/>
        <v>8.4700000000000006</v>
      </c>
      <c r="BP1626" s="9">
        <f t="shared" si="233"/>
        <v>0</v>
      </c>
    </row>
    <row r="1627" spans="1:68">
      <c r="A1627" s="6">
        <v>44844</v>
      </c>
      <c r="B1627" s="7">
        <v>3200</v>
      </c>
      <c r="C1627" s="8">
        <v>2248.2199999999998</v>
      </c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>
        <v>5.62</v>
      </c>
      <c r="P1627" s="8"/>
      <c r="Q1627" s="11"/>
      <c r="R1627" s="11"/>
      <c r="S1627" s="8">
        <v>8.77</v>
      </c>
      <c r="T1627" s="8"/>
      <c r="U1627" s="8">
        <v>33.72</v>
      </c>
      <c r="V1627" s="8"/>
      <c r="W1627" s="8"/>
      <c r="X1627" s="8"/>
      <c r="Y1627" s="8"/>
      <c r="Z1627" s="8">
        <v>472.68</v>
      </c>
      <c r="AA1627" s="8"/>
      <c r="AB1627" s="8"/>
      <c r="AC1627" s="8"/>
      <c r="AD1627" s="8"/>
      <c r="AE1627" s="8"/>
      <c r="AF1627" s="8">
        <v>111.68</v>
      </c>
      <c r="AG1627" s="8"/>
      <c r="AH1627" s="8"/>
      <c r="AI1627" s="8"/>
      <c r="AJ1627" s="8"/>
      <c r="AK1627" s="8"/>
      <c r="AL1627" s="8"/>
      <c r="AM1627" s="8"/>
      <c r="AN1627" s="8"/>
      <c r="AO1627" s="8"/>
      <c r="AP1627" s="11"/>
      <c r="AQ1627" s="8">
        <f>1479*22.48/1000</f>
        <v>33.247920000000001</v>
      </c>
      <c r="AR1627" s="8"/>
      <c r="AS1627" s="8"/>
      <c r="AT1627" s="8">
        <v>1540.67</v>
      </c>
      <c r="AU1627" s="8"/>
      <c r="AV1627" s="8"/>
      <c r="AW1627" s="8">
        <v>6.55</v>
      </c>
      <c r="AX1627" s="8"/>
      <c r="AY1627" s="8"/>
      <c r="AZ1627" s="8"/>
      <c r="BA1627" s="8"/>
      <c r="BB1627" s="8"/>
      <c r="BC1627" s="8"/>
      <c r="BD1627" s="8"/>
      <c r="BE1627" s="8"/>
      <c r="BF1627" s="8">
        <v>108.04</v>
      </c>
      <c r="BG1627" s="8">
        <v>111.29</v>
      </c>
      <c r="BH1627" s="9">
        <f t="shared" si="225"/>
        <v>2248.2199999999998</v>
      </c>
      <c r="BI1627" s="9">
        <f t="shared" si="226"/>
        <v>5.62</v>
      </c>
      <c r="BJ1627" s="9">
        <f t="shared" si="227"/>
        <v>8.77</v>
      </c>
      <c r="BK1627" s="9">
        <f t="shared" si="228"/>
        <v>33.72</v>
      </c>
      <c r="BL1627" s="9">
        <f t="shared" si="229"/>
        <v>472.68</v>
      </c>
      <c r="BM1627" s="9">
        <f t="shared" si="230"/>
        <v>144.92792</v>
      </c>
      <c r="BN1627" s="9">
        <f t="shared" si="231"/>
        <v>1540.67</v>
      </c>
      <c r="BO1627" s="9">
        <f t="shared" si="232"/>
        <v>6.55</v>
      </c>
      <c r="BP1627" s="9">
        <f t="shared" si="233"/>
        <v>108.04</v>
      </c>
    </row>
    <row r="1628" spans="1:68">
      <c r="A1628" s="6">
        <v>44844</v>
      </c>
      <c r="B1628" s="7">
        <v>3141</v>
      </c>
      <c r="C1628" s="8">
        <v>2446.7800000000002</v>
      </c>
      <c r="D1628" s="8">
        <v>431.82</v>
      </c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11">
        <v>7.43</v>
      </c>
      <c r="R1628" s="11"/>
      <c r="S1628" s="8">
        <v>13.54</v>
      </c>
      <c r="T1628" s="8"/>
      <c r="U1628" s="8">
        <v>43.2</v>
      </c>
      <c r="V1628" s="8"/>
      <c r="W1628" s="8"/>
      <c r="X1628" s="8"/>
      <c r="Y1628" s="8"/>
      <c r="Z1628" s="8"/>
      <c r="AA1628" s="8"/>
      <c r="AB1628" s="8"/>
      <c r="AC1628" s="8">
        <v>11.52</v>
      </c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11"/>
      <c r="AQ1628" s="8"/>
      <c r="AR1628" s="8"/>
      <c r="AS1628" s="8"/>
      <c r="AT1628" s="8">
        <v>1905.92</v>
      </c>
      <c r="AU1628" s="8"/>
      <c r="AV1628" s="8"/>
      <c r="AW1628" s="8"/>
      <c r="AX1628" s="8"/>
      <c r="AY1628" s="8"/>
      <c r="AZ1628" s="8"/>
      <c r="BA1628" s="8">
        <v>65.97</v>
      </c>
      <c r="BB1628" s="8"/>
      <c r="BC1628" s="8"/>
      <c r="BD1628" s="8"/>
      <c r="BE1628" s="8"/>
      <c r="BF1628" s="8">
        <v>201.61</v>
      </c>
      <c r="BG1628" s="8">
        <v>149.54</v>
      </c>
      <c r="BH1628" s="9">
        <f t="shared" si="225"/>
        <v>2878.6000000000004</v>
      </c>
      <c r="BI1628" s="9">
        <f t="shared" si="226"/>
        <v>7.43</v>
      </c>
      <c r="BJ1628" s="9">
        <f t="shared" si="227"/>
        <v>13.54</v>
      </c>
      <c r="BK1628" s="9">
        <f t="shared" si="228"/>
        <v>43.2</v>
      </c>
      <c r="BL1628" s="9">
        <f t="shared" si="229"/>
        <v>0</v>
      </c>
      <c r="BM1628" s="9">
        <f t="shared" si="230"/>
        <v>11.52</v>
      </c>
      <c r="BN1628" s="9">
        <f t="shared" si="231"/>
        <v>1905.92</v>
      </c>
      <c r="BO1628" s="9">
        <f t="shared" si="232"/>
        <v>65.97</v>
      </c>
      <c r="BP1628" s="9">
        <f t="shared" si="233"/>
        <v>201.61</v>
      </c>
    </row>
    <row r="1629" spans="1:68">
      <c r="A1629" s="6">
        <v>44844</v>
      </c>
      <c r="B1629" s="7">
        <v>3106</v>
      </c>
      <c r="C1629" s="8">
        <v>4096.1400000000003</v>
      </c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11">
        <v>11.09</v>
      </c>
      <c r="R1629" s="11"/>
      <c r="S1629" s="8">
        <v>12.34</v>
      </c>
      <c r="T1629" s="8"/>
      <c r="U1629" s="8">
        <v>52.22</v>
      </c>
      <c r="V1629" s="8"/>
      <c r="W1629" s="8"/>
      <c r="X1629" s="8"/>
      <c r="Y1629" s="8"/>
      <c r="Z1629" s="8"/>
      <c r="AA1629" s="8"/>
      <c r="AB1629" s="8"/>
      <c r="AC1629" s="8">
        <v>10.26</v>
      </c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11"/>
      <c r="AQ1629" s="8"/>
      <c r="AR1629" s="8"/>
      <c r="AS1629" s="8"/>
      <c r="AT1629" s="8">
        <v>2350.6</v>
      </c>
      <c r="AU1629" s="8"/>
      <c r="AV1629" s="8"/>
      <c r="AW1629" s="8"/>
      <c r="AX1629" s="8">
        <v>5.13</v>
      </c>
      <c r="AY1629" s="8"/>
      <c r="AZ1629" s="8"/>
      <c r="BA1629" s="8"/>
      <c r="BB1629" s="8"/>
      <c r="BC1629" s="8"/>
      <c r="BD1629" s="8"/>
      <c r="BE1629" s="8"/>
      <c r="BF1629" s="8"/>
      <c r="BG1629" s="8">
        <v>176.13</v>
      </c>
      <c r="BH1629" s="9">
        <f t="shared" si="225"/>
        <v>4096.1400000000003</v>
      </c>
      <c r="BI1629" s="9">
        <f t="shared" si="226"/>
        <v>11.09</v>
      </c>
      <c r="BJ1629" s="9">
        <f t="shared" si="227"/>
        <v>12.34</v>
      </c>
      <c r="BK1629" s="9">
        <f t="shared" si="228"/>
        <v>52.22</v>
      </c>
      <c r="BL1629" s="9">
        <f t="shared" si="229"/>
        <v>0</v>
      </c>
      <c r="BM1629" s="9">
        <f t="shared" si="230"/>
        <v>10.26</v>
      </c>
      <c r="BN1629" s="9">
        <f t="shared" si="231"/>
        <v>2350.6</v>
      </c>
      <c r="BO1629" s="9">
        <f t="shared" si="232"/>
        <v>5.13</v>
      </c>
      <c r="BP1629" s="9">
        <f t="shared" si="233"/>
        <v>0</v>
      </c>
    </row>
    <row r="1630" spans="1:68">
      <c r="A1630" s="6">
        <v>44844</v>
      </c>
      <c r="B1630" s="7">
        <v>3705</v>
      </c>
      <c r="C1630" s="8"/>
      <c r="D1630" s="8">
        <v>1363.26</v>
      </c>
      <c r="E1630" s="8"/>
      <c r="F1630" s="8"/>
      <c r="G1630" s="8"/>
      <c r="H1630" s="8"/>
      <c r="I1630" s="8">
        <v>299.66000000000003</v>
      </c>
      <c r="J1630" s="8"/>
      <c r="K1630" s="8"/>
      <c r="L1630" s="8"/>
      <c r="M1630" s="8"/>
      <c r="N1630" s="8"/>
      <c r="O1630" s="8"/>
      <c r="P1630" s="8"/>
      <c r="Q1630" s="11">
        <v>5</v>
      </c>
      <c r="R1630" s="11"/>
      <c r="S1630" s="8">
        <v>5.81</v>
      </c>
      <c r="T1630" s="8"/>
      <c r="U1630" s="8">
        <v>11.64</v>
      </c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11"/>
      <c r="AQ1630" s="8"/>
      <c r="AR1630" s="8"/>
      <c r="AS1630" s="8"/>
      <c r="AT1630" s="8">
        <v>100.05</v>
      </c>
      <c r="AU1630" s="8">
        <v>197.69</v>
      </c>
      <c r="AV1630" s="8">
        <v>3.32</v>
      </c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>
        <v>16.32</v>
      </c>
      <c r="BH1630" s="9">
        <f t="shared" si="225"/>
        <v>1662.92</v>
      </c>
      <c r="BI1630" s="9">
        <f t="shared" si="226"/>
        <v>5</v>
      </c>
      <c r="BJ1630" s="9">
        <f t="shared" si="227"/>
        <v>5.81</v>
      </c>
      <c r="BK1630" s="9">
        <f t="shared" si="228"/>
        <v>11.64</v>
      </c>
      <c r="BL1630" s="9">
        <f t="shared" si="229"/>
        <v>0</v>
      </c>
      <c r="BM1630" s="9">
        <f t="shared" si="230"/>
        <v>0</v>
      </c>
      <c r="BN1630" s="9">
        <f t="shared" si="231"/>
        <v>297.74</v>
      </c>
      <c r="BO1630" s="9">
        <f t="shared" si="232"/>
        <v>3.32</v>
      </c>
      <c r="BP1630" s="9">
        <f t="shared" si="233"/>
        <v>0</v>
      </c>
    </row>
    <row r="1631" spans="1:68">
      <c r="A1631" s="6">
        <v>44844</v>
      </c>
      <c r="B1631" s="7">
        <v>3206</v>
      </c>
      <c r="C1631" s="8">
        <v>278.55</v>
      </c>
      <c r="D1631" s="8">
        <v>502.36</v>
      </c>
      <c r="E1631" s="8">
        <v>335.2</v>
      </c>
      <c r="F1631" s="8"/>
      <c r="G1631" s="8"/>
      <c r="H1631" s="8"/>
      <c r="I1631" s="8"/>
      <c r="J1631" s="8"/>
      <c r="K1631" s="8"/>
      <c r="L1631" s="8"/>
      <c r="M1631" s="8"/>
      <c r="N1631" s="8"/>
      <c r="O1631" s="8">
        <v>2.23</v>
      </c>
      <c r="P1631" s="8"/>
      <c r="Q1631" s="11"/>
      <c r="R1631" s="11"/>
      <c r="S1631" s="8">
        <v>5.59</v>
      </c>
      <c r="T1631" s="8"/>
      <c r="U1631" s="8">
        <v>3.92</v>
      </c>
      <c r="V1631" s="8"/>
      <c r="W1631" s="8"/>
      <c r="X1631" s="8"/>
      <c r="Y1631" s="8"/>
      <c r="Z1631" s="8">
        <v>67.09</v>
      </c>
      <c r="AA1631" s="8"/>
      <c r="AB1631" s="8">
        <f>821*6.98/1000</f>
        <v>5.7305799999999998</v>
      </c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11"/>
      <c r="AQ1631" s="8"/>
      <c r="AR1631" s="8"/>
      <c r="AS1631" s="8"/>
      <c r="AT1631" s="8">
        <v>196.82</v>
      </c>
      <c r="AU1631" s="8">
        <v>97.58</v>
      </c>
      <c r="AV1631" s="8"/>
      <c r="AW1631" s="8">
        <v>4.24</v>
      </c>
      <c r="AX1631" s="8"/>
      <c r="AY1631" s="8"/>
      <c r="AZ1631" s="8"/>
      <c r="BA1631" s="8"/>
      <c r="BB1631" s="8"/>
      <c r="BC1631" s="8"/>
      <c r="BD1631" s="8"/>
      <c r="BE1631" s="8"/>
      <c r="BF1631" s="8"/>
      <c r="BG1631" s="8">
        <v>19.72</v>
      </c>
      <c r="BH1631" s="9">
        <f t="shared" si="225"/>
        <v>1116.1100000000001</v>
      </c>
      <c r="BI1631" s="9">
        <f t="shared" si="226"/>
        <v>2.23</v>
      </c>
      <c r="BJ1631" s="9">
        <f t="shared" si="227"/>
        <v>5.59</v>
      </c>
      <c r="BK1631" s="9">
        <f t="shared" si="228"/>
        <v>3.92</v>
      </c>
      <c r="BL1631" s="9">
        <f t="shared" si="229"/>
        <v>67.09</v>
      </c>
      <c r="BM1631" s="9">
        <f t="shared" si="230"/>
        <v>5.7305799999999998</v>
      </c>
      <c r="BN1631" s="9">
        <f t="shared" si="231"/>
        <v>294.39999999999998</v>
      </c>
      <c r="BO1631" s="9">
        <f t="shared" si="232"/>
        <v>4.24</v>
      </c>
      <c r="BP1631" s="9">
        <f t="shared" si="233"/>
        <v>0</v>
      </c>
    </row>
    <row r="1632" spans="1:68">
      <c r="A1632" s="6">
        <v>44844</v>
      </c>
      <c r="B1632" s="7">
        <v>3601</v>
      </c>
      <c r="C1632" s="8">
        <v>291.24</v>
      </c>
      <c r="D1632" s="8"/>
      <c r="E1632" s="8"/>
      <c r="F1632" s="8"/>
      <c r="G1632" s="8">
        <v>438.52</v>
      </c>
      <c r="H1632" s="8"/>
      <c r="I1632" s="8"/>
      <c r="J1632" s="8"/>
      <c r="K1632" s="8"/>
      <c r="L1632" s="8"/>
      <c r="M1632" s="8">
        <f>535*8.42/1000</f>
        <v>4.5046999999999997</v>
      </c>
      <c r="N1632" s="8"/>
      <c r="O1632" s="8"/>
      <c r="P1632" s="8"/>
      <c r="Q1632" s="11"/>
      <c r="R1632" s="11"/>
      <c r="S1632" s="8">
        <v>3.73</v>
      </c>
      <c r="T1632" s="8"/>
      <c r="U1632" s="8">
        <v>4.4400000000000004</v>
      </c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11"/>
      <c r="AQ1632" s="8"/>
      <c r="AR1632" s="8"/>
      <c r="AS1632" s="8"/>
      <c r="AT1632" s="8">
        <v>360.32</v>
      </c>
      <c r="AU1632" s="8"/>
      <c r="AV1632" s="8"/>
      <c r="AW1632" s="8">
        <v>22.41</v>
      </c>
      <c r="AX1632" s="8"/>
      <c r="AY1632" s="8"/>
      <c r="AZ1632" s="8"/>
      <c r="BA1632" s="8"/>
      <c r="BB1632" s="8"/>
      <c r="BC1632" s="8"/>
      <c r="BD1632" s="8"/>
      <c r="BE1632" s="8"/>
      <c r="BF1632" s="8">
        <v>41.23</v>
      </c>
      <c r="BG1632" s="8">
        <v>26.33</v>
      </c>
      <c r="BH1632" s="9">
        <f t="shared" si="225"/>
        <v>729.76</v>
      </c>
      <c r="BI1632" s="9">
        <f t="shared" si="226"/>
        <v>4.5046999999999997</v>
      </c>
      <c r="BJ1632" s="9">
        <f t="shared" si="227"/>
        <v>3.73</v>
      </c>
      <c r="BK1632" s="9">
        <f t="shared" si="228"/>
        <v>4.4400000000000004</v>
      </c>
      <c r="BL1632" s="9">
        <f t="shared" si="229"/>
        <v>0</v>
      </c>
      <c r="BM1632" s="9">
        <f t="shared" si="230"/>
        <v>0</v>
      </c>
      <c r="BN1632" s="9">
        <f t="shared" si="231"/>
        <v>360.32</v>
      </c>
      <c r="BO1632" s="9">
        <f t="shared" si="232"/>
        <v>22.41</v>
      </c>
      <c r="BP1632" s="9">
        <f t="shared" si="233"/>
        <v>41.23</v>
      </c>
    </row>
    <row r="1633" spans="1:68">
      <c r="A1633" s="6">
        <v>44845</v>
      </c>
      <c r="B1633" s="7">
        <v>3106</v>
      </c>
      <c r="C1633" s="8">
        <v>4123</v>
      </c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11">
        <v>11.13</v>
      </c>
      <c r="R1633" s="11"/>
      <c r="S1633" s="8">
        <v>12.37</v>
      </c>
      <c r="T1633" s="8"/>
      <c r="U1633" s="8">
        <v>52.4</v>
      </c>
      <c r="V1633" s="8"/>
      <c r="W1633" s="8"/>
      <c r="X1633" s="8"/>
      <c r="Y1633" s="8"/>
      <c r="Z1633" s="8"/>
      <c r="AA1633" s="8"/>
      <c r="AB1633" s="8"/>
      <c r="AC1633" s="8">
        <v>10.31</v>
      </c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11"/>
      <c r="AQ1633" s="8"/>
      <c r="AR1633" s="8"/>
      <c r="AS1633" s="8"/>
      <c r="AT1633" s="8">
        <v>2360.4899999999998</v>
      </c>
      <c r="AU1633" s="8"/>
      <c r="AV1633" s="8"/>
      <c r="AW1633" s="8"/>
      <c r="AX1633" s="8">
        <v>5.16</v>
      </c>
      <c r="AY1633" s="8"/>
      <c r="AZ1633" s="8"/>
      <c r="BA1633" s="8"/>
      <c r="BB1633" s="8"/>
      <c r="BC1633" s="8"/>
      <c r="BD1633" s="8"/>
      <c r="BE1633" s="8"/>
      <c r="BF1633" s="8"/>
      <c r="BG1633" s="8">
        <v>176.94</v>
      </c>
      <c r="BH1633" s="9">
        <f t="shared" si="225"/>
        <v>4123</v>
      </c>
      <c r="BI1633" s="9">
        <f t="shared" si="226"/>
        <v>11.13</v>
      </c>
      <c r="BJ1633" s="9">
        <f t="shared" si="227"/>
        <v>12.37</v>
      </c>
      <c r="BK1633" s="9">
        <f t="shared" si="228"/>
        <v>52.4</v>
      </c>
      <c r="BL1633" s="9">
        <f t="shared" si="229"/>
        <v>0</v>
      </c>
      <c r="BM1633" s="9">
        <f t="shared" si="230"/>
        <v>10.31</v>
      </c>
      <c r="BN1633" s="9">
        <f t="shared" si="231"/>
        <v>2360.4899999999998</v>
      </c>
      <c r="BO1633" s="9">
        <f t="shared" si="232"/>
        <v>5.16</v>
      </c>
      <c r="BP1633" s="9">
        <f t="shared" si="233"/>
        <v>0</v>
      </c>
    </row>
    <row r="1634" spans="1:68">
      <c r="A1634" s="6">
        <v>44845</v>
      </c>
      <c r="B1634" s="7">
        <v>3104</v>
      </c>
      <c r="C1634" s="8">
        <v>1509.74</v>
      </c>
      <c r="D1634" s="8"/>
      <c r="E1634" s="8"/>
      <c r="F1634" s="8"/>
      <c r="G1634" s="8"/>
      <c r="H1634" s="8">
        <v>389.32</v>
      </c>
      <c r="I1634" s="8"/>
      <c r="J1634" s="8"/>
      <c r="K1634" s="8"/>
      <c r="L1634" s="8"/>
      <c r="M1634" s="8"/>
      <c r="N1634" s="8"/>
      <c r="O1634" s="8"/>
      <c r="P1634" s="8"/>
      <c r="Q1634" s="11">
        <v>4.33</v>
      </c>
      <c r="R1634" s="11"/>
      <c r="S1634" s="8">
        <v>7.96</v>
      </c>
      <c r="T1634" s="8"/>
      <c r="U1634" s="8">
        <v>19.89</v>
      </c>
      <c r="V1634" s="8"/>
      <c r="W1634" s="8"/>
      <c r="X1634" s="8"/>
      <c r="Y1634" s="8"/>
      <c r="Z1634" s="8"/>
      <c r="AA1634" s="8"/>
      <c r="AB1634" s="8"/>
      <c r="AC1634" s="8">
        <v>6.91</v>
      </c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11"/>
      <c r="AQ1634" s="8"/>
      <c r="AR1634" s="8"/>
      <c r="AS1634" s="8"/>
      <c r="AT1634" s="8">
        <v>1109.1199999999999</v>
      </c>
      <c r="AU1634" s="8"/>
      <c r="AV1634" s="8"/>
      <c r="AW1634" s="8"/>
      <c r="AX1634" s="8"/>
      <c r="AY1634" s="8"/>
      <c r="AZ1634" s="8"/>
      <c r="BA1634" s="8">
        <v>39.42</v>
      </c>
      <c r="BB1634" s="8"/>
      <c r="BC1634" s="8"/>
      <c r="BD1634" s="8"/>
      <c r="BE1634" s="8"/>
      <c r="BF1634" s="8">
        <v>34.590000000000003</v>
      </c>
      <c r="BG1634" s="8">
        <v>85.48</v>
      </c>
      <c r="BH1634" s="9">
        <f t="shared" si="225"/>
        <v>1899.06</v>
      </c>
      <c r="BI1634" s="9">
        <f t="shared" si="226"/>
        <v>4.33</v>
      </c>
      <c r="BJ1634" s="9">
        <f t="shared" si="227"/>
        <v>7.96</v>
      </c>
      <c r="BK1634" s="9">
        <f t="shared" si="228"/>
        <v>19.89</v>
      </c>
      <c r="BL1634" s="9">
        <f t="shared" si="229"/>
        <v>0</v>
      </c>
      <c r="BM1634" s="9">
        <f t="shared" si="230"/>
        <v>6.91</v>
      </c>
      <c r="BN1634" s="9">
        <f t="shared" si="231"/>
        <v>1109.1199999999999</v>
      </c>
      <c r="BO1634" s="9">
        <f t="shared" si="232"/>
        <v>39.42</v>
      </c>
      <c r="BP1634" s="9">
        <f t="shared" si="233"/>
        <v>34.590000000000003</v>
      </c>
    </row>
    <row r="1635" spans="1:68">
      <c r="A1635" s="6">
        <v>44845</v>
      </c>
      <c r="B1635" s="7">
        <v>3309</v>
      </c>
      <c r="C1635" s="8"/>
      <c r="D1635" s="8">
        <v>993.94</v>
      </c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11">
        <v>1.2</v>
      </c>
      <c r="R1635" s="11"/>
      <c r="S1635" s="8">
        <v>6.86</v>
      </c>
      <c r="T1635" s="8"/>
      <c r="U1635" s="8">
        <v>8.9499999999999993</v>
      </c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>
        <v>9.9600000000000009</v>
      </c>
      <c r="AH1635" s="8"/>
      <c r="AI1635" s="8"/>
      <c r="AJ1635" s="8"/>
      <c r="AK1635" s="8"/>
      <c r="AL1635" s="8"/>
      <c r="AM1635" s="8"/>
      <c r="AN1635" s="8"/>
      <c r="AO1635" s="8"/>
      <c r="AP1635" s="11"/>
      <c r="AQ1635" s="8"/>
      <c r="AR1635" s="8"/>
      <c r="AS1635" s="8"/>
      <c r="AT1635" s="8"/>
      <c r="AU1635" s="8">
        <v>394.1</v>
      </c>
      <c r="AV1635" s="8"/>
      <c r="AW1635" s="8"/>
      <c r="AX1635" s="8"/>
      <c r="AY1635" s="8"/>
      <c r="AZ1635" s="8"/>
      <c r="BA1635" s="8"/>
      <c r="BB1635" s="8"/>
      <c r="BC1635" s="8">
        <v>0.92</v>
      </c>
      <c r="BD1635" s="8"/>
      <c r="BE1635" s="8"/>
      <c r="BF1635" s="8"/>
      <c r="BG1635" s="8">
        <v>27.74</v>
      </c>
      <c r="BH1635" s="9">
        <f t="shared" si="225"/>
        <v>993.94</v>
      </c>
      <c r="BI1635" s="9">
        <f t="shared" si="226"/>
        <v>1.2</v>
      </c>
      <c r="BJ1635" s="9">
        <f t="shared" si="227"/>
        <v>6.86</v>
      </c>
      <c r="BK1635" s="9">
        <f t="shared" si="228"/>
        <v>8.9499999999999993</v>
      </c>
      <c r="BL1635" s="9">
        <f t="shared" si="229"/>
        <v>0</v>
      </c>
      <c r="BM1635" s="9">
        <f t="shared" si="230"/>
        <v>9.9600000000000009</v>
      </c>
      <c r="BN1635" s="9">
        <f t="shared" si="231"/>
        <v>394.1</v>
      </c>
      <c r="BO1635" s="9">
        <f t="shared" si="232"/>
        <v>0.92</v>
      </c>
      <c r="BP1635" s="9">
        <f t="shared" si="233"/>
        <v>0</v>
      </c>
    </row>
    <row r="1636" spans="1:68">
      <c r="A1636" s="6">
        <v>44845</v>
      </c>
      <c r="B1636" s="7">
        <v>3101</v>
      </c>
      <c r="C1636" s="8">
        <v>629.41</v>
      </c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11">
        <v>1.44</v>
      </c>
      <c r="R1636" s="11"/>
      <c r="S1636" s="8">
        <v>3.66</v>
      </c>
      <c r="T1636" s="8"/>
      <c r="U1636" s="8">
        <v>10.1</v>
      </c>
      <c r="V1636" s="8"/>
      <c r="W1636" s="8"/>
      <c r="X1636" s="8"/>
      <c r="Y1636" s="8"/>
      <c r="Z1636" s="8"/>
      <c r="AA1636" s="8"/>
      <c r="AB1636" s="8"/>
      <c r="AC1636" s="8">
        <v>2.52</v>
      </c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11"/>
      <c r="AQ1636" s="8"/>
      <c r="AR1636" s="8"/>
      <c r="AS1636" s="8"/>
      <c r="AT1636" s="8">
        <v>424.6</v>
      </c>
      <c r="AU1636" s="8"/>
      <c r="AV1636" s="8"/>
      <c r="AW1636" s="8">
        <v>13.44</v>
      </c>
      <c r="AX1636" s="8"/>
      <c r="AY1636" s="8"/>
      <c r="AZ1636" s="8"/>
      <c r="BA1636" s="8"/>
      <c r="BB1636" s="8"/>
      <c r="BC1636" s="8"/>
      <c r="BD1636" s="8"/>
      <c r="BE1636" s="8"/>
      <c r="BF1636" s="8">
        <v>81.88</v>
      </c>
      <c r="BG1636" s="8">
        <v>32.43</v>
      </c>
      <c r="BH1636" s="9">
        <f t="shared" si="225"/>
        <v>629.41</v>
      </c>
      <c r="BI1636" s="9">
        <f t="shared" si="226"/>
        <v>1.44</v>
      </c>
      <c r="BJ1636" s="9">
        <f t="shared" si="227"/>
        <v>3.66</v>
      </c>
      <c r="BK1636" s="9">
        <f t="shared" si="228"/>
        <v>10.1</v>
      </c>
      <c r="BL1636" s="9">
        <f t="shared" si="229"/>
        <v>0</v>
      </c>
      <c r="BM1636" s="9">
        <f t="shared" si="230"/>
        <v>2.52</v>
      </c>
      <c r="BN1636" s="9">
        <f t="shared" si="231"/>
        <v>424.6</v>
      </c>
      <c r="BO1636" s="9">
        <f t="shared" si="232"/>
        <v>13.44</v>
      </c>
      <c r="BP1636" s="9">
        <f t="shared" si="233"/>
        <v>81.88</v>
      </c>
    </row>
    <row r="1637" spans="1:68">
      <c r="A1637" s="6">
        <v>44845</v>
      </c>
      <c r="B1637" s="7">
        <v>3602</v>
      </c>
      <c r="C1637" s="8">
        <v>585.80999999999995</v>
      </c>
      <c r="D1637" s="8"/>
      <c r="E1637" s="8"/>
      <c r="F1637" s="8"/>
      <c r="G1637" s="8">
        <v>878.26</v>
      </c>
      <c r="H1637" s="8"/>
      <c r="I1637" s="8"/>
      <c r="J1637" s="8"/>
      <c r="K1637" s="8"/>
      <c r="L1637" s="8"/>
      <c r="M1637" s="8">
        <f>462*16.77/1000</f>
        <v>7.7477399999999994</v>
      </c>
      <c r="N1637" s="8"/>
      <c r="O1637" s="8"/>
      <c r="P1637" s="8"/>
      <c r="Q1637" s="11"/>
      <c r="R1637" s="11"/>
      <c r="S1637" s="8">
        <v>7.04</v>
      </c>
      <c r="T1637" s="8"/>
      <c r="U1637" s="8">
        <v>11.74</v>
      </c>
      <c r="V1637" s="8">
        <f>852*16.77/1000</f>
        <v>14.288039999999999</v>
      </c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11"/>
      <c r="AQ1637" s="8"/>
      <c r="AR1637" s="8"/>
      <c r="AS1637" s="8"/>
      <c r="AT1637" s="8">
        <v>590.87</v>
      </c>
      <c r="AU1637" s="8"/>
      <c r="AV1637" s="8"/>
      <c r="AW1637" s="8">
        <v>37.94</v>
      </c>
      <c r="AX1637" s="8"/>
      <c r="AY1637" s="8"/>
      <c r="AZ1637" s="8"/>
      <c r="BA1637" s="8"/>
      <c r="BB1637" s="8"/>
      <c r="BC1637" s="8"/>
      <c r="BD1637" s="8"/>
      <c r="BE1637" s="8"/>
      <c r="BF1637" s="8"/>
      <c r="BG1637" s="8">
        <v>44.07</v>
      </c>
      <c r="BH1637" s="9">
        <f t="shared" si="225"/>
        <v>1464.07</v>
      </c>
      <c r="BI1637" s="9">
        <f t="shared" si="226"/>
        <v>7.7477399999999994</v>
      </c>
      <c r="BJ1637" s="9">
        <f t="shared" si="227"/>
        <v>7.04</v>
      </c>
      <c r="BK1637" s="9">
        <f t="shared" si="228"/>
        <v>26.028039999999997</v>
      </c>
      <c r="BL1637" s="9">
        <f t="shared" si="229"/>
        <v>0</v>
      </c>
      <c r="BM1637" s="9">
        <f t="shared" si="230"/>
        <v>0</v>
      </c>
      <c r="BN1637" s="9">
        <f t="shared" si="231"/>
        <v>590.87</v>
      </c>
      <c r="BO1637" s="9">
        <f t="shared" si="232"/>
        <v>37.94</v>
      </c>
      <c r="BP1637" s="9">
        <f t="shared" si="233"/>
        <v>0</v>
      </c>
    </row>
    <row r="1638" spans="1:68">
      <c r="A1638" s="6">
        <v>44845</v>
      </c>
      <c r="B1638" s="7">
        <v>3603</v>
      </c>
      <c r="C1638" s="8">
        <v>110.75</v>
      </c>
      <c r="D1638" s="8"/>
      <c r="E1638" s="8"/>
      <c r="F1638" s="8"/>
      <c r="G1638" s="8">
        <v>165.48</v>
      </c>
      <c r="H1638" s="8"/>
      <c r="I1638" s="8"/>
      <c r="J1638" s="8"/>
      <c r="K1638" s="8"/>
      <c r="L1638" s="8"/>
      <c r="M1638" s="8"/>
      <c r="N1638" s="8">
        <v>0.44</v>
      </c>
      <c r="O1638" s="8"/>
      <c r="P1638" s="8"/>
      <c r="Q1638" s="11"/>
      <c r="R1638" s="11"/>
      <c r="S1638" s="8">
        <v>1.08</v>
      </c>
      <c r="T1638" s="8"/>
      <c r="U1638" s="8">
        <v>0.89</v>
      </c>
      <c r="V1638" s="8">
        <f>1031*2.58/1000</f>
        <v>2.65998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11"/>
      <c r="AQ1638" s="8"/>
      <c r="AR1638" s="8"/>
      <c r="AS1638" s="8"/>
      <c r="AT1638" s="8">
        <v>99.72</v>
      </c>
      <c r="AU1638" s="8"/>
      <c r="AV1638" s="8"/>
      <c r="AW1638" s="8">
        <v>4.17</v>
      </c>
      <c r="AX1638" s="8"/>
      <c r="AY1638" s="8"/>
      <c r="AZ1638" s="8"/>
      <c r="BA1638" s="8"/>
      <c r="BB1638" s="8"/>
      <c r="BC1638" s="8"/>
      <c r="BD1638" s="8"/>
      <c r="BE1638" s="8"/>
      <c r="BF1638" s="8"/>
      <c r="BG1638" s="8">
        <v>7.02</v>
      </c>
      <c r="BH1638" s="9">
        <f t="shared" si="225"/>
        <v>276.23</v>
      </c>
      <c r="BI1638" s="9">
        <f t="shared" si="226"/>
        <v>0.44</v>
      </c>
      <c r="BJ1638" s="9">
        <f t="shared" si="227"/>
        <v>1.08</v>
      </c>
      <c r="BK1638" s="9">
        <f t="shared" si="228"/>
        <v>3.5499800000000001</v>
      </c>
      <c r="BL1638" s="9">
        <f t="shared" si="229"/>
        <v>0</v>
      </c>
      <c r="BM1638" s="9">
        <f t="shared" si="230"/>
        <v>0</v>
      </c>
      <c r="BN1638" s="9">
        <f t="shared" si="231"/>
        <v>99.72</v>
      </c>
      <c r="BO1638" s="9">
        <f t="shared" si="232"/>
        <v>4.17</v>
      </c>
      <c r="BP1638" s="9">
        <f t="shared" si="233"/>
        <v>0</v>
      </c>
    </row>
    <row r="1639" spans="1:68">
      <c r="A1639" s="6">
        <v>44845</v>
      </c>
      <c r="B1639" s="7">
        <v>8005</v>
      </c>
      <c r="C1639" s="8">
        <f>35000*1.78/1000</f>
        <v>62.3</v>
      </c>
      <c r="D1639" s="8"/>
      <c r="E1639" s="8"/>
      <c r="F1639" s="8"/>
      <c r="G1639" s="8">
        <v>93.21</v>
      </c>
      <c r="H1639" s="8"/>
      <c r="I1639" s="8"/>
      <c r="J1639" s="8"/>
      <c r="K1639" s="8"/>
      <c r="L1639" s="8"/>
      <c r="M1639" s="8">
        <f>450*1.78/1000</f>
        <v>0.80100000000000005</v>
      </c>
      <c r="N1639" s="8"/>
      <c r="O1639" s="8"/>
      <c r="P1639" s="8"/>
      <c r="Q1639" s="11"/>
      <c r="R1639" s="11"/>
      <c r="S1639" s="8">
        <v>0.74</v>
      </c>
      <c r="T1639" s="8"/>
      <c r="U1639" s="8">
        <v>1.27</v>
      </c>
      <c r="V1639" s="8">
        <f>850*1.78/1000</f>
        <v>1.5129999999999999</v>
      </c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11"/>
      <c r="AQ1639" s="8"/>
      <c r="AR1639" s="8"/>
      <c r="AS1639" s="8"/>
      <c r="AT1639" s="8">
        <v>63.07</v>
      </c>
      <c r="AU1639" s="8"/>
      <c r="AV1639" s="8"/>
      <c r="AW1639" s="8">
        <v>4.05</v>
      </c>
      <c r="AX1639" s="8"/>
      <c r="AY1639" s="8"/>
      <c r="AZ1639" s="8"/>
      <c r="BA1639" s="8"/>
      <c r="BB1639" s="8"/>
      <c r="BC1639" s="8"/>
      <c r="BD1639" s="8"/>
      <c r="BE1639" s="8"/>
      <c r="BF1639" s="8">
        <v>5.03</v>
      </c>
      <c r="BG1639" s="8">
        <v>4.6500000000000004</v>
      </c>
      <c r="BH1639" s="9">
        <f t="shared" si="225"/>
        <v>155.51</v>
      </c>
      <c r="BI1639" s="9">
        <f t="shared" si="226"/>
        <v>0.80100000000000005</v>
      </c>
      <c r="BJ1639" s="9">
        <f t="shared" si="227"/>
        <v>0.74</v>
      </c>
      <c r="BK1639" s="9">
        <f t="shared" si="228"/>
        <v>2.7829999999999999</v>
      </c>
      <c r="BL1639" s="9">
        <f t="shared" si="229"/>
        <v>0</v>
      </c>
      <c r="BM1639" s="9">
        <f t="shared" si="230"/>
        <v>0</v>
      </c>
      <c r="BN1639" s="9">
        <f t="shared" si="231"/>
        <v>63.07</v>
      </c>
      <c r="BO1639" s="9">
        <f t="shared" si="232"/>
        <v>4.05</v>
      </c>
      <c r="BP1639" s="9">
        <f t="shared" si="233"/>
        <v>5.03</v>
      </c>
    </row>
    <row r="1640" spans="1:68">
      <c r="A1640" s="6">
        <v>44845</v>
      </c>
      <c r="B1640" s="7">
        <v>3601</v>
      </c>
      <c r="C1640" s="8">
        <f>35000*0.98/1000</f>
        <v>34.299999999999997</v>
      </c>
      <c r="D1640" s="8"/>
      <c r="E1640" s="8"/>
      <c r="F1640" s="8"/>
      <c r="G1640" s="8">
        <v>51.46</v>
      </c>
      <c r="H1640" s="8"/>
      <c r="I1640" s="8"/>
      <c r="J1640" s="8"/>
      <c r="K1640" s="8"/>
      <c r="L1640" s="8"/>
      <c r="M1640" s="8">
        <f>530*0.98/1000</f>
        <v>0.51939999999999997</v>
      </c>
      <c r="N1640" s="8"/>
      <c r="O1640" s="8"/>
      <c r="P1640" s="8"/>
      <c r="Q1640" s="11"/>
      <c r="R1640" s="11"/>
      <c r="S1640" s="8">
        <v>0.43</v>
      </c>
      <c r="T1640" s="8"/>
      <c r="U1640" s="8">
        <v>0.52</v>
      </c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11"/>
      <c r="AQ1640" s="8"/>
      <c r="AR1640" s="8"/>
      <c r="AS1640" s="8"/>
      <c r="AT1640" s="8">
        <v>41.83</v>
      </c>
      <c r="AU1640" s="8"/>
      <c r="AV1640" s="8"/>
      <c r="AW1640" s="8">
        <v>2.61</v>
      </c>
      <c r="AX1640" s="8"/>
      <c r="AY1640" s="8"/>
      <c r="AZ1640" s="8"/>
      <c r="BA1640" s="8"/>
      <c r="BB1640" s="8"/>
      <c r="BC1640" s="8"/>
      <c r="BD1640" s="8"/>
      <c r="BE1640" s="8"/>
      <c r="BF1640" s="8">
        <v>4.75</v>
      </c>
      <c r="BG1640" s="8">
        <v>3.05</v>
      </c>
      <c r="BH1640" s="9">
        <f t="shared" si="225"/>
        <v>85.759999999999991</v>
      </c>
      <c r="BI1640" s="9">
        <f t="shared" si="226"/>
        <v>0.51939999999999997</v>
      </c>
      <c r="BJ1640" s="9">
        <f t="shared" si="227"/>
        <v>0.43</v>
      </c>
      <c r="BK1640" s="9">
        <f t="shared" si="228"/>
        <v>0.52</v>
      </c>
      <c r="BL1640" s="9">
        <f t="shared" si="229"/>
        <v>0</v>
      </c>
      <c r="BM1640" s="9">
        <f t="shared" si="230"/>
        <v>0</v>
      </c>
      <c r="BN1640" s="9">
        <f t="shared" si="231"/>
        <v>41.83</v>
      </c>
      <c r="BO1640" s="9">
        <f t="shared" si="232"/>
        <v>2.61</v>
      </c>
      <c r="BP1640" s="9">
        <f t="shared" si="233"/>
        <v>4.75</v>
      </c>
    </row>
    <row r="1641" spans="1:68">
      <c r="A1641" s="6">
        <v>44845</v>
      </c>
      <c r="B1641" s="7">
        <v>3205</v>
      </c>
      <c r="C1641" s="8">
        <v>682</v>
      </c>
      <c r="D1641" s="8">
        <v>378.82</v>
      </c>
      <c r="E1641" s="8">
        <v>454.91</v>
      </c>
      <c r="F1641" s="8"/>
      <c r="G1641" s="8"/>
      <c r="H1641" s="8"/>
      <c r="I1641" s="8"/>
      <c r="J1641" s="8"/>
      <c r="K1641" s="8"/>
      <c r="L1641" s="8"/>
      <c r="M1641" s="8"/>
      <c r="N1641" s="8"/>
      <c r="O1641" s="8">
        <v>6.06</v>
      </c>
      <c r="P1641" s="8"/>
      <c r="Q1641" s="11"/>
      <c r="R1641" s="11"/>
      <c r="S1641" s="8">
        <v>5.61</v>
      </c>
      <c r="T1641" s="8"/>
      <c r="U1641" s="8">
        <v>18.18</v>
      </c>
      <c r="V1641" s="8"/>
      <c r="W1641" s="8"/>
      <c r="X1641" s="8"/>
      <c r="Y1641" s="8"/>
      <c r="Z1641" s="8">
        <v>151.63999999999999</v>
      </c>
      <c r="AA1641" s="8"/>
      <c r="AB1641" s="8">
        <f>1007*15.13/1000</f>
        <v>15.235910000000002</v>
      </c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11"/>
      <c r="AQ1641" s="8">
        <f>511*15.13/1000</f>
        <v>7.7314300000000005</v>
      </c>
      <c r="AR1641" s="8"/>
      <c r="AS1641" s="8"/>
      <c r="AT1641" s="8">
        <v>394.39</v>
      </c>
      <c r="AU1641" s="8">
        <v>197.53</v>
      </c>
      <c r="AV1641" s="8"/>
      <c r="AW1641" s="8">
        <v>6.5</v>
      </c>
      <c r="AX1641" s="8"/>
      <c r="AY1641" s="8"/>
      <c r="AZ1641" s="8"/>
      <c r="BA1641" s="8"/>
      <c r="BB1641" s="8"/>
      <c r="BC1641" s="8"/>
      <c r="BD1641" s="8"/>
      <c r="BE1641" s="8"/>
      <c r="BF1641" s="8"/>
      <c r="BG1641" s="8">
        <v>35.57</v>
      </c>
      <c r="BH1641" s="9">
        <f t="shared" si="225"/>
        <v>1515.73</v>
      </c>
      <c r="BI1641" s="9">
        <f t="shared" si="226"/>
        <v>6.06</v>
      </c>
      <c r="BJ1641" s="9">
        <f t="shared" si="227"/>
        <v>5.61</v>
      </c>
      <c r="BK1641" s="9">
        <f t="shared" si="228"/>
        <v>18.18</v>
      </c>
      <c r="BL1641" s="9">
        <f t="shared" si="229"/>
        <v>151.63999999999999</v>
      </c>
      <c r="BM1641" s="9">
        <f t="shared" si="230"/>
        <v>22.967340000000004</v>
      </c>
      <c r="BN1641" s="9">
        <f t="shared" si="231"/>
        <v>591.91999999999996</v>
      </c>
      <c r="BO1641" s="9">
        <f t="shared" si="232"/>
        <v>6.5</v>
      </c>
      <c r="BP1641" s="9">
        <f t="shared" si="233"/>
        <v>0</v>
      </c>
    </row>
    <row r="1642" spans="1:68">
      <c r="A1642" s="6">
        <v>44845</v>
      </c>
      <c r="B1642" s="7">
        <v>3221</v>
      </c>
      <c r="C1642" s="8">
        <v>583.76</v>
      </c>
      <c r="D1642" s="8">
        <v>97.77</v>
      </c>
      <c r="E1642" s="8">
        <v>292.11</v>
      </c>
      <c r="F1642" s="8"/>
      <c r="G1642" s="8"/>
      <c r="H1642" s="8"/>
      <c r="I1642" s="8"/>
      <c r="J1642" s="8"/>
      <c r="K1642" s="8"/>
      <c r="L1642" s="8"/>
      <c r="M1642" s="8"/>
      <c r="N1642" s="8"/>
      <c r="O1642" s="8">
        <v>1.95</v>
      </c>
      <c r="P1642" s="8"/>
      <c r="Q1642" s="11"/>
      <c r="R1642" s="11"/>
      <c r="S1642" s="8">
        <v>4.38</v>
      </c>
      <c r="T1642" s="8"/>
      <c r="U1642" s="8">
        <v>14.63</v>
      </c>
      <c r="V1642" s="8"/>
      <c r="W1642" s="8"/>
      <c r="X1642" s="8"/>
      <c r="Y1642" s="8"/>
      <c r="Z1642" s="8"/>
      <c r="AA1642" s="8"/>
      <c r="AB1642" s="8">
        <f>412*12.17/1000</f>
        <v>5.0140399999999996</v>
      </c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11"/>
      <c r="AQ1642" s="8">
        <f>1227*12.17/1000</f>
        <v>14.932589999999999</v>
      </c>
      <c r="AR1642" s="8"/>
      <c r="AS1642" s="8"/>
      <c r="AT1642" s="8">
        <v>553.84</v>
      </c>
      <c r="AU1642" s="8"/>
      <c r="AV1642" s="8"/>
      <c r="AW1642" s="8">
        <v>33.15</v>
      </c>
      <c r="AX1642" s="8"/>
      <c r="AY1642" s="8"/>
      <c r="AZ1642" s="8"/>
      <c r="BA1642" s="8"/>
      <c r="BB1642" s="8"/>
      <c r="BC1642" s="8"/>
      <c r="BD1642" s="8"/>
      <c r="BE1642" s="8"/>
      <c r="BF1642" s="8">
        <v>43.85</v>
      </c>
      <c r="BG1642" s="8">
        <v>40.950000000000003</v>
      </c>
      <c r="BH1642" s="9">
        <f t="shared" si="225"/>
        <v>973.64</v>
      </c>
      <c r="BI1642" s="9">
        <f t="shared" si="226"/>
        <v>1.95</v>
      </c>
      <c r="BJ1642" s="9">
        <f t="shared" si="227"/>
        <v>4.38</v>
      </c>
      <c r="BK1642" s="9">
        <f t="shared" si="228"/>
        <v>14.63</v>
      </c>
      <c r="BL1642" s="9">
        <f t="shared" si="229"/>
        <v>0</v>
      </c>
      <c r="BM1642" s="9">
        <f t="shared" si="230"/>
        <v>19.946629999999999</v>
      </c>
      <c r="BN1642" s="9">
        <f t="shared" si="231"/>
        <v>553.84</v>
      </c>
      <c r="BO1642" s="9">
        <f t="shared" si="232"/>
        <v>33.15</v>
      </c>
      <c r="BP1642" s="9">
        <f t="shared" si="233"/>
        <v>43.85</v>
      </c>
    </row>
    <row r="1643" spans="1:68">
      <c r="A1643" s="6">
        <v>44845</v>
      </c>
      <c r="B1643" s="7">
        <v>3121</v>
      </c>
      <c r="C1643" s="8">
        <v>1153.1099999999999</v>
      </c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11">
        <v>2.58</v>
      </c>
      <c r="R1643" s="11"/>
      <c r="S1643" s="8">
        <v>3.69</v>
      </c>
      <c r="T1643" s="8"/>
      <c r="U1643" s="8">
        <v>11.53</v>
      </c>
      <c r="V1643" s="8"/>
      <c r="W1643" s="8"/>
      <c r="X1643" s="8"/>
      <c r="Y1643" s="8"/>
      <c r="Z1643" s="8"/>
      <c r="AA1643" s="8"/>
      <c r="AB1643" s="8"/>
      <c r="AC1643" s="8">
        <v>4.5999999999999996</v>
      </c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11">
        <f>900*5.23/1000</f>
        <v>4.7069999999999999</v>
      </c>
      <c r="AQ1643" s="8"/>
      <c r="AR1643" s="8"/>
      <c r="AS1643" s="8"/>
      <c r="AT1643" s="8">
        <v>612</v>
      </c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>
        <v>45.07</v>
      </c>
      <c r="BH1643" s="9">
        <f t="shared" si="225"/>
        <v>1153.1099999999999</v>
      </c>
      <c r="BI1643" s="9">
        <f t="shared" si="226"/>
        <v>2.58</v>
      </c>
      <c r="BJ1643" s="9">
        <f t="shared" si="227"/>
        <v>3.69</v>
      </c>
      <c r="BK1643" s="9">
        <f t="shared" si="228"/>
        <v>11.53</v>
      </c>
      <c r="BL1643" s="9">
        <f t="shared" si="229"/>
        <v>0</v>
      </c>
      <c r="BM1643" s="9">
        <f t="shared" si="230"/>
        <v>9.3069999999999986</v>
      </c>
      <c r="BN1643" s="9">
        <f t="shared" si="231"/>
        <v>612</v>
      </c>
      <c r="BO1643" s="9">
        <f t="shared" si="232"/>
        <v>0</v>
      </c>
      <c r="BP1643" s="9">
        <f t="shared" si="233"/>
        <v>0</v>
      </c>
    </row>
    <row r="1644" spans="1:68">
      <c r="A1644" s="6">
        <v>44845</v>
      </c>
      <c r="B1644" s="7">
        <v>3127</v>
      </c>
      <c r="C1644" s="8">
        <v>1082.5</v>
      </c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11">
        <v>3.19</v>
      </c>
      <c r="R1644" s="11"/>
      <c r="S1644" s="8">
        <v>4.9800000000000004</v>
      </c>
      <c r="T1644" s="8"/>
      <c r="U1644" s="8">
        <v>10.83</v>
      </c>
      <c r="V1644" s="8"/>
      <c r="W1644" s="8"/>
      <c r="X1644" s="8"/>
      <c r="Y1644" s="8"/>
      <c r="Z1644" s="8">
        <v>162.15</v>
      </c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11"/>
      <c r="AQ1644" s="8"/>
      <c r="AR1644" s="8"/>
      <c r="AS1644" s="8"/>
      <c r="AT1644" s="8">
        <v>531.16</v>
      </c>
      <c r="AU1644" s="8"/>
      <c r="AV1644" s="8">
        <v>21.65</v>
      </c>
      <c r="AW1644" s="8"/>
      <c r="AX1644" s="8"/>
      <c r="AY1644" s="8"/>
      <c r="AZ1644" s="8"/>
      <c r="BA1644" s="8"/>
      <c r="BB1644" s="8"/>
      <c r="BC1644" s="8"/>
      <c r="BD1644" s="8"/>
      <c r="BE1644" s="8"/>
      <c r="BF1644" s="8">
        <v>54.1</v>
      </c>
      <c r="BG1644" s="8">
        <v>37.909999999999997</v>
      </c>
      <c r="BH1644" s="9">
        <f t="shared" si="225"/>
        <v>1082.5</v>
      </c>
      <c r="BI1644" s="9">
        <f t="shared" si="226"/>
        <v>3.19</v>
      </c>
      <c r="BJ1644" s="9">
        <f t="shared" si="227"/>
        <v>4.9800000000000004</v>
      </c>
      <c r="BK1644" s="9">
        <f t="shared" si="228"/>
        <v>10.83</v>
      </c>
      <c r="BL1644" s="9">
        <f t="shared" si="229"/>
        <v>162.15</v>
      </c>
      <c r="BM1644" s="9">
        <f t="shared" si="230"/>
        <v>0</v>
      </c>
      <c r="BN1644" s="9">
        <f t="shared" si="231"/>
        <v>531.16</v>
      </c>
      <c r="BO1644" s="9">
        <f t="shared" si="232"/>
        <v>21.65</v>
      </c>
      <c r="BP1644" s="9">
        <f t="shared" si="233"/>
        <v>54.1</v>
      </c>
    </row>
    <row r="1645" spans="1:68">
      <c r="A1645" s="6">
        <v>44845</v>
      </c>
      <c r="B1645" s="7">
        <v>3134</v>
      </c>
      <c r="C1645" s="8">
        <v>1061.8499999999999</v>
      </c>
      <c r="D1645" s="8">
        <v>148.97</v>
      </c>
      <c r="E1645" s="8"/>
      <c r="F1645" s="8"/>
      <c r="G1645" s="8"/>
      <c r="H1645" s="8">
        <v>503.06</v>
      </c>
      <c r="I1645" s="8"/>
      <c r="J1645" s="8"/>
      <c r="K1645" s="8"/>
      <c r="L1645" s="8"/>
      <c r="M1645" s="8"/>
      <c r="N1645" s="8"/>
      <c r="O1645" s="8"/>
      <c r="P1645" s="8"/>
      <c r="Q1645" s="11">
        <v>3.28</v>
      </c>
      <c r="R1645" s="11"/>
      <c r="S1645" s="8">
        <v>6.87</v>
      </c>
      <c r="T1645" s="8"/>
      <c r="U1645" s="8">
        <v>19.420000000000002</v>
      </c>
      <c r="V1645" s="8"/>
      <c r="W1645" s="8"/>
      <c r="X1645" s="8"/>
      <c r="Y1645" s="8"/>
      <c r="Z1645" s="8"/>
      <c r="AA1645" s="8"/>
      <c r="AB1645" s="8"/>
      <c r="AC1645" s="8">
        <v>5.97</v>
      </c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11"/>
      <c r="AQ1645" s="8"/>
      <c r="AR1645" s="8"/>
      <c r="AS1645" s="8"/>
      <c r="AT1645" s="8">
        <v>1053.99</v>
      </c>
      <c r="AU1645" s="8"/>
      <c r="AV1645" s="8"/>
      <c r="AW1645" s="8"/>
      <c r="AX1645" s="8"/>
      <c r="AY1645" s="8">
        <f>1439*10.67/1000</f>
        <v>15.35413</v>
      </c>
      <c r="AZ1645" s="8"/>
      <c r="BA1645" s="8"/>
      <c r="BB1645" s="8"/>
      <c r="BC1645" s="8"/>
      <c r="BD1645" s="8"/>
      <c r="BE1645" s="8"/>
      <c r="BF1645" s="8">
        <v>67.209999999999994</v>
      </c>
      <c r="BG1645" s="8">
        <v>79.08</v>
      </c>
      <c r="BH1645" s="9">
        <f t="shared" si="225"/>
        <v>1713.8799999999999</v>
      </c>
      <c r="BI1645" s="9">
        <f t="shared" si="226"/>
        <v>3.28</v>
      </c>
      <c r="BJ1645" s="9">
        <f t="shared" si="227"/>
        <v>6.87</v>
      </c>
      <c r="BK1645" s="9">
        <f t="shared" si="228"/>
        <v>19.420000000000002</v>
      </c>
      <c r="BL1645" s="9">
        <f t="shared" si="229"/>
        <v>0</v>
      </c>
      <c r="BM1645" s="9">
        <f t="shared" si="230"/>
        <v>5.97</v>
      </c>
      <c r="BN1645" s="9">
        <f t="shared" si="231"/>
        <v>1053.99</v>
      </c>
      <c r="BO1645" s="9">
        <f t="shared" si="232"/>
        <v>15.35413</v>
      </c>
      <c r="BP1645" s="9">
        <f t="shared" si="233"/>
        <v>67.209999999999994</v>
      </c>
    </row>
    <row r="1646" spans="1:68">
      <c r="A1646" s="6">
        <v>44846</v>
      </c>
      <c r="B1646" s="7">
        <v>3403</v>
      </c>
      <c r="C1646" s="8">
        <v>501.62</v>
      </c>
      <c r="D1646" s="8">
        <v>501.94</v>
      </c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11">
        <v>2.0299999999999998</v>
      </c>
      <c r="R1646" s="11"/>
      <c r="S1646" s="8">
        <v>2.31</v>
      </c>
      <c r="T1646" s="8"/>
      <c r="U1646" s="8"/>
      <c r="V1646" s="8"/>
      <c r="W1646" s="8"/>
      <c r="X1646" s="8">
        <f>989*10.03/1000</f>
        <v>9.91967</v>
      </c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11"/>
      <c r="AQ1646" s="8"/>
      <c r="AR1646" s="8"/>
      <c r="AS1646" s="8"/>
      <c r="AT1646" s="8">
        <v>468.55</v>
      </c>
      <c r="AU1646" s="8"/>
      <c r="AV1646" s="8">
        <v>30.13</v>
      </c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>
        <v>33.26</v>
      </c>
      <c r="BH1646" s="9">
        <f t="shared" si="225"/>
        <v>1003.56</v>
      </c>
      <c r="BI1646" s="9">
        <f t="shared" si="226"/>
        <v>2.0299999999999998</v>
      </c>
      <c r="BJ1646" s="9">
        <f t="shared" si="227"/>
        <v>2.31</v>
      </c>
      <c r="BK1646" s="9">
        <f t="shared" si="228"/>
        <v>9.91967</v>
      </c>
      <c r="BL1646" s="9">
        <f t="shared" si="229"/>
        <v>0</v>
      </c>
      <c r="BM1646" s="9">
        <f t="shared" si="230"/>
        <v>0</v>
      </c>
      <c r="BN1646" s="9">
        <f t="shared" si="231"/>
        <v>468.55</v>
      </c>
      <c r="BO1646" s="9">
        <f t="shared" si="232"/>
        <v>30.13</v>
      </c>
      <c r="BP1646" s="9">
        <f t="shared" si="233"/>
        <v>0</v>
      </c>
    </row>
    <row r="1647" spans="1:68">
      <c r="A1647" s="6">
        <v>44846</v>
      </c>
      <c r="B1647" s="7">
        <v>3200</v>
      </c>
      <c r="C1647" s="8">
        <v>2267.4899999999998</v>
      </c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>
        <v>5.67</v>
      </c>
      <c r="P1647" s="8"/>
      <c r="Q1647" s="11"/>
      <c r="R1647" s="11"/>
      <c r="S1647" s="8">
        <v>8.85</v>
      </c>
      <c r="T1647" s="8"/>
      <c r="U1647" s="8">
        <v>34.01</v>
      </c>
      <c r="V1647" s="8"/>
      <c r="W1647" s="8"/>
      <c r="X1647" s="8"/>
      <c r="Y1647" s="8"/>
      <c r="Z1647" s="8">
        <v>476.59</v>
      </c>
      <c r="AA1647" s="8"/>
      <c r="AB1647" s="8"/>
      <c r="AC1647" s="8"/>
      <c r="AD1647" s="8"/>
      <c r="AE1647" s="8"/>
      <c r="AF1647" s="8">
        <v>113.33</v>
      </c>
      <c r="AG1647" s="8"/>
      <c r="AH1647" s="8"/>
      <c r="AI1647" s="8"/>
      <c r="AJ1647" s="8"/>
      <c r="AK1647" s="8"/>
      <c r="AL1647" s="8"/>
      <c r="AM1647" s="8"/>
      <c r="AN1647" s="8"/>
      <c r="AO1647" s="8"/>
      <c r="AP1647" s="11"/>
      <c r="AQ1647" s="8"/>
      <c r="AR1647" s="8"/>
      <c r="AS1647" s="8"/>
      <c r="AT1647" s="8">
        <v>1552.41</v>
      </c>
      <c r="AU1647" s="8"/>
      <c r="AV1647" s="8"/>
      <c r="AW1647" s="8">
        <v>6.66</v>
      </c>
      <c r="AX1647" s="8"/>
      <c r="AY1647" s="8"/>
      <c r="AZ1647" s="8"/>
      <c r="BA1647" s="8"/>
      <c r="BB1647" s="8"/>
      <c r="BC1647" s="8"/>
      <c r="BD1647" s="8"/>
      <c r="BE1647" s="8"/>
      <c r="BF1647" s="8">
        <v>109</v>
      </c>
      <c r="BG1647" s="8">
        <v>112.12</v>
      </c>
      <c r="BH1647" s="9">
        <f t="shared" si="225"/>
        <v>2267.4899999999998</v>
      </c>
      <c r="BI1647" s="9">
        <f t="shared" si="226"/>
        <v>5.67</v>
      </c>
      <c r="BJ1647" s="9">
        <f t="shared" si="227"/>
        <v>8.85</v>
      </c>
      <c r="BK1647" s="9">
        <f t="shared" si="228"/>
        <v>34.01</v>
      </c>
      <c r="BL1647" s="9">
        <f t="shared" si="229"/>
        <v>476.59</v>
      </c>
      <c r="BM1647" s="9">
        <f t="shared" si="230"/>
        <v>113.33</v>
      </c>
      <c r="BN1647" s="9">
        <f t="shared" si="231"/>
        <v>1552.41</v>
      </c>
      <c r="BO1647" s="9">
        <f t="shared" si="232"/>
        <v>6.66</v>
      </c>
      <c r="BP1647" s="9">
        <f t="shared" si="233"/>
        <v>109</v>
      </c>
    </row>
    <row r="1648" spans="1:68">
      <c r="A1648" s="6">
        <v>44846</v>
      </c>
      <c r="B1648" s="7">
        <v>3079</v>
      </c>
      <c r="C1648" s="8"/>
      <c r="D1648" s="8"/>
      <c r="E1648" s="8"/>
      <c r="F1648" s="8">
        <v>346.87</v>
      </c>
      <c r="G1648" s="8"/>
      <c r="H1648" s="8"/>
      <c r="I1648" s="8">
        <v>2805.42</v>
      </c>
      <c r="J1648" s="8"/>
      <c r="K1648" s="8"/>
      <c r="L1648" s="8"/>
      <c r="M1648" s="8"/>
      <c r="N1648" s="8">
        <v>22.39</v>
      </c>
      <c r="O1648" s="8"/>
      <c r="P1648" s="8"/>
      <c r="Q1648" s="11"/>
      <c r="R1648" s="11"/>
      <c r="S1648" s="8">
        <v>1.24</v>
      </c>
      <c r="T1648" s="8"/>
      <c r="U1648" s="8"/>
      <c r="V1648" s="8"/>
      <c r="W1648" s="8">
        <v>31.56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>
        <v>12.5</v>
      </c>
      <c r="AN1648" s="8">
        <f>1730*18.55/1000</f>
        <v>32.091500000000003</v>
      </c>
      <c r="AO1648" s="8"/>
      <c r="AP1648" s="11"/>
      <c r="AQ1648" s="8"/>
      <c r="AR1648" s="8">
        <f>4347*18.55/1000</f>
        <v>80.63685000000001</v>
      </c>
      <c r="AS1648" s="8"/>
      <c r="AT1648" s="8">
        <v>1214.8900000000001</v>
      </c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>
        <v>88.17</v>
      </c>
      <c r="BH1648" s="9">
        <f t="shared" si="225"/>
        <v>3152.29</v>
      </c>
      <c r="BI1648" s="9">
        <f t="shared" si="226"/>
        <v>22.39</v>
      </c>
      <c r="BJ1648" s="9">
        <f t="shared" si="227"/>
        <v>1.24</v>
      </c>
      <c r="BK1648" s="9">
        <f t="shared" si="228"/>
        <v>31.56</v>
      </c>
      <c r="BL1648" s="9">
        <f t="shared" si="229"/>
        <v>0</v>
      </c>
      <c r="BM1648" s="9">
        <f t="shared" si="230"/>
        <v>125.22835000000001</v>
      </c>
      <c r="BN1648" s="9">
        <f t="shared" si="231"/>
        <v>1214.8900000000001</v>
      </c>
      <c r="BO1648" s="9">
        <f t="shared" si="232"/>
        <v>0</v>
      </c>
      <c r="BP1648" s="9">
        <f t="shared" si="233"/>
        <v>0</v>
      </c>
    </row>
    <row r="1649" spans="1:68">
      <c r="A1649" s="6">
        <v>44846</v>
      </c>
      <c r="B1649" s="7">
        <v>3027</v>
      </c>
      <c r="C1649" s="8"/>
      <c r="D1649" s="8">
        <v>538.13</v>
      </c>
      <c r="E1649" s="8"/>
      <c r="F1649" s="8"/>
      <c r="G1649" s="8"/>
      <c r="H1649" s="8"/>
      <c r="I1649" s="8">
        <v>439.37</v>
      </c>
      <c r="J1649" s="8"/>
      <c r="K1649" s="8"/>
      <c r="L1649" s="8"/>
      <c r="M1649" s="8"/>
      <c r="N1649" s="8">
        <v>5.38</v>
      </c>
      <c r="O1649" s="8"/>
      <c r="P1649" s="8"/>
      <c r="Q1649" s="11"/>
      <c r="R1649" s="11"/>
      <c r="S1649" s="8">
        <v>1.56</v>
      </c>
      <c r="T1649" s="8"/>
      <c r="U1649" s="8"/>
      <c r="V1649" s="8"/>
      <c r="W1649" s="8">
        <v>7.34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>
        <v>9.7799999999999994</v>
      </c>
      <c r="AN1649" s="8">
        <f>1235*5.58/1000</f>
        <v>6.8913000000000002</v>
      </c>
      <c r="AO1649" s="8"/>
      <c r="AP1649" s="11"/>
      <c r="AQ1649" s="8"/>
      <c r="AR1649" s="8"/>
      <c r="AS1649" s="8">
        <f>5746*5.58/1000</f>
        <v>32.06268</v>
      </c>
      <c r="AT1649" s="8">
        <v>325.45999999999998</v>
      </c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>
        <v>23.02</v>
      </c>
      <c r="BH1649" s="9">
        <f t="shared" si="225"/>
        <v>977.5</v>
      </c>
      <c r="BI1649" s="9">
        <f t="shared" si="226"/>
        <v>5.38</v>
      </c>
      <c r="BJ1649" s="9">
        <f t="shared" si="227"/>
        <v>1.56</v>
      </c>
      <c r="BK1649" s="9">
        <f t="shared" si="228"/>
        <v>7.34</v>
      </c>
      <c r="BL1649" s="9">
        <f t="shared" si="229"/>
        <v>0</v>
      </c>
      <c r="BM1649" s="9">
        <f t="shared" si="230"/>
        <v>48.733980000000003</v>
      </c>
      <c r="BN1649" s="9">
        <f t="shared" si="231"/>
        <v>325.45999999999998</v>
      </c>
      <c r="BO1649" s="9">
        <f t="shared" si="232"/>
        <v>0</v>
      </c>
      <c r="BP1649" s="9">
        <f t="shared" si="233"/>
        <v>0</v>
      </c>
    </row>
    <row r="1650" spans="1:68">
      <c r="A1650" s="6">
        <v>44846</v>
      </c>
      <c r="B1650" s="7">
        <v>3023</v>
      </c>
      <c r="C1650" s="8"/>
      <c r="D1650" s="8">
        <v>868.79</v>
      </c>
      <c r="E1650" s="8"/>
      <c r="F1650" s="8"/>
      <c r="G1650" s="8"/>
      <c r="H1650" s="8"/>
      <c r="I1650" s="8">
        <v>471.57</v>
      </c>
      <c r="J1650" s="8"/>
      <c r="K1650" s="8"/>
      <c r="L1650" s="8"/>
      <c r="M1650" s="8"/>
      <c r="N1650" s="8">
        <v>7.5</v>
      </c>
      <c r="O1650" s="8"/>
      <c r="P1650" s="8"/>
      <c r="Q1650" s="11"/>
      <c r="R1650" s="11"/>
      <c r="S1650" s="8">
        <v>2.15</v>
      </c>
      <c r="T1650" s="8"/>
      <c r="U1650" s="8"/>
      <c r="V1650" s="8"/>
      <c r="W1650" s="8">
        <v>12.08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>
        <v>13.4</v>
      </c>
      <c r="AN1650" s="8">
        <f>1020*9.25/1000</f>
        <v>9.4350000000000005</v>
      </c>
      <c r="AO1650" s="8"/>
      <c r="AP1650" s="11"/>
      <c r="AQ1650" s="8"/>
      <c r="AR1650" s="8"/>
      <c r="AS1650" s="8">
        <f>4755*9.25/1000</f>
        <v>43.983750000000001</v>
      </c>
      <c r="AT1650" s="8">
        <v>549.74</v>
      </c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>
        <v>41.57</v>
      </c>
      <c r="BH1650" s="9">
        <f t="shared" si="225"/>
        <v>1340.36</v>
      </c>
      <c r="BI1650" s="9">
        <f t="shared" si="226"/>
        <v>7.5</v>
      </c>
      <c r="BJ1650" s="9">
        <f t="shared" si="227"/>
        <v>2.15</v>
      </c>
      <c r="BK1650" s="9">
        <f t="shared" si="228"/>
        <v>12.08</v>
      </c>
      <c r="BL1650" s="9">
        <f t="shared" si="229"/>
        <v>0</v>
      </c>
      <c r="BM1650" s="9">
        <f t="shared" si="230"/>
        <v>66.818749999999994</v>
      </c>
      <c r="BN1650" s="9">
        <f t="shared" si="231"/>
        <v>549.74</v>
      </c>
      <c r="BO1650" s="9">
        <f t="shared" si="232"/>
        <v>0</v>
      </c>
      <c r="BP1650" s="9">
        <f t="shared" si="233"/>
        <v>0</v>
      </c>
    </row>
    <row r="1651" spans="1:68">
      <c r="A1651" s="6">
        <v>44846</v>
      </c>
      <c r="B1651" s="7">
        <v>3020</v>
      </c>
      <c r="C1651" s="8"/>
      <c r="D1651" s="8">
        <v>465.34</v>
      </c>
      <c r="E1651" s="8"/>
      <c r="F1651" s="8"/>
      <c r="G1651" s="8"/>
      <c r="H1651" s="8"/>
      <c r="I1651" s="8">
        <v>2635.14</v>
      </c>
      <c r="J1651" s="8"/>
      <c r="K1651" s="8"/>
      <c r="L1651" s="8"/>
      <c r="M1651" s="8"/>
      <c r="N1651" s="8">
        <v>18.600000000000001</v>
      </c>
      <c r="O1651" s="8"/>
      <c r="P1651" s="8"/>
      <c r="Q1651" s="11"/>
      <c r="R1651" s="11"/>
      <c r="S1651" s="8">
        <v>5.57</v>
      </c>
      <c r="T1651" s="8"/>
      <c r="U1651" s="8"/>
      <c r="V1651" s="8"/>
      <c r="W1651" s="8">
        <v>31.02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>
        <v>30.99</v>
      </c>
      <c r="AN1651" s="8"/>
      <c r="AO1651" s="8"/>
      <c r="AP1651" s="11"/>
      <c r="AQ1651" s="8"/>
      <c r="AR1651" s="8"/>
      <c r="AS1651" s="8">
        <f>3039*25.83/1000</f>
        <v>78.497369999999989</v>
      </c>
      <c r="AT1651" s="8">
        <v>1525.43</v>
      </c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>
        <v>111.53</v>
      </c>
      <c r="BH1651" s="9">
        <f t="shared" si="225"/>
        <v>3100.48</v>
      </c>
      <c r="BI1651" s="9">
        <f t="shared" si="226"/>
        <v>18.600000000000001</v>
      </c>
      <c r="BJ1651" s="9">
        <f t="shared" si="227"/>
        <v>5.57</v>
      </c>
      <c r="BK1651" s="9">
        <f t="shared" si="228"/>
        <v>31.02</v>
      </c>
      <c r="BL1651" s="9">
        <f t="shared" si="229"/>
        <v>0</v>
      </c>
      <c r="BM1651" s="9">
        <f t="shared" si="230"/>
        <v>109.48736999999998</v>
      </c>
      <c r="BN1651" s="9">
        <f t="shared" si="231"/>
        <v>1525.43</v>
      </c>
      <c r="BO1651" s="9">
        <f t="shared" si="232"/>
        <v>0</v>
      </c>
      <c r="BP1651" s="9">
        <f t="shared" si="233"/>
        <v>0</v>
      </c>
    </row>
    <row r="1652" spans="1:68">
      <c r="A1652" s="6">
        <v>44846</v>
      </c>
      <c r="B1652" s="7">
        <v>3141</v>
      </c>
      <c r="C1652" s="8">
        <v>2452.7800000000002</v>
      </c>
      <c r="D1652" s="8">
        <v>433.26</v>
      </c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11">
        <v>7.63</v>
      </c>
      <c r="R1652" s="11"/>
      <c r="S1652" s="8">
        <v>13.59</v>
      </c>
      <c r="T1652" s="8"/>
      <c r="U1652" s="8">
        <v>43.36</v>
      </c>
      <c r="V1652" s="8"/>
      <c r="W1652" s="8"/>
      <c r="X1652" s="8"/>
      <c r="Y1652" s="8"/>
      <c r="Z1652" s="8"/>
      <c r="AA1652" s="8"/>
      <c r="AB1652" s="8"/>
      <c r="AC1652" s="8">
        <v>11.56</v>
      </c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11"/>
      <c r="AQ1652" s="8"/>
      <c r="AR1652" s="8"/>
      <c r="AS1652" s="8"/>
      <c r="AT1652" s="8">
        <v>1919.35</v>
      </c>
      <c r="AU1652" s="8"/>
      <c r="AV1652" s="8"/>
      <c r="AW1652" s="8"/>
      <c r="AX1652" s="8"/>
      <c r="AY1652" s="8"/>
      <c r="AZ1652" s="8"/>
      <c r="BA1652" s="8">
        <v>66.25</v>
      </c>
      <c r="BB1652" s="8"/>
      <c r="BC1652" s="8"/>
      <c r="BD1652" s="8"/>
      <c r="BE1652" s="8"/>
      <c r="BF1652" s="8">
        <v>202.37</v>
      </c>
      <c r="BG1652" s="8">
        <v>150.4</v>
      </c>
      <c r="BH1652" s="9">
        <f t="shared" si="225"/>
        <v>2886.04</v>
      </c>
      <c r="BI1652" s="9">
        <f t="shared" si="226"/>
        <v>7.63</v>
      </c>
      <c r="BJ1652" s="9">
        <f t="shared" si="227"/>
        <v>13.59</v>
      </c>
      <c r="BK1652" s="9">
        <f t="shared" si="228"/>
        <v>43.36</v>
      </c>
      <c r="BL1652" s="9">
        <f t="shared" si="229"/>
        <v>0</v>
      </c>
      <c r="BM1652" s="9">
        <f t="shared" si="230"/>
        <v>11.56</v>
      </c>
      <c r="BN1652" s="9">
        <f t="shared" si="231"/>
        <v>1919.35</v>
      </c>
      <c r="BO1652" s="9">
        <f t="shared" si="232"/>
        <v>66.25</v>
      </c>
      <c r="BP1652" s="9">
        <f t="shared" si="233"/>
        <v>202.37</v>
      </c>
    </row>
    <row r="1653" spans="1:68">
      <c r="A1653" s="6">
        <v>44846</v>
      </c>
      <c r="B1653" s="7">
        <v>3108</v>
      </c>
      <c r="C1653" s="8">
        <v>2244.33</v>
      </c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11">
        <v>5.21</v>
      </c>
      <c r="R1653" s="11"/>
      <c r="S1653" s="8">
        <v>7.19</v>
      </c>
      <c r="T1653" s="8"/>
      <c r="U1653" s="8">
        <v>28.5</v>
      </c>
      <c r="V1653" s="8"/>
      <c r="W1653" s="8"/>
      <c r="X1653" s="8"/>
      <c r="Y1653" s="8"/>
      <c r="Z1653" s="8"/>
      <c r="AA1653" s="8"/>
      <c r="AB1653" s="8"/>
      <c r="AC1653" s="8">
        <v>8.9700000000000006</v>
      </c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11"/>
      <c r="AQ1653" s="8"/>
      <c r="AR1653" s="8"/>
      <c r="AS1653" s="8"/>
      <c r="AT1653" s="8">
        <v>1226.8699999999999</v>
      </c>
      <c r="AU1653" s="8"/>
      <c r="AV1653" s="8"/>
      <c r="AW1653" s="8"/>
      <c r="AX1653" s="8"/>
      <c r="AY1653" s="8"/>
      <c r="AZ1653" s="8"/>
      <c r="BA1653" s="8">
        <v>83.48</v>
      </c>
      <c r="BB1653" s="8"/>
      <c r="BC1653" s="8"/>
      <c r="BD1653" s="8"/>
      <c r="BE1653" s="8"/>
      <c r="BF1653" s="8"/>
      <c r="BG1653" s="8">
        <v>90.85</v>
      </c>
      <c r="BH1653" s="9">
        <f t="shared" si="225"/>
        <v>2244.33</v>
      </c>
      <c r="BI1653" s="9">
        <f t="shared" si="226"/>
        <v>5.21</v>
      </c>
      <c r="BJ1653" s="9">
        <f t="shared" si="227"/>
        <v>7.19</v>
      </c>
      <c r="BK1653" s="9">
        <f t="shared" si="228"/>
        <v>28.5</v>
      </c>
      <c r="BL1653" s="9">
        <f t="shared" si="229"/>
        <v>0</v>
      </c>
      <c r="BM1653" s="9">
        <f t="shared" si="230"/>
        <v>8.9700000000000006</v>
      </c>
      <c r="BN1653" s="9">
        <f t="shared" si="231"/>
        <v>1226.8699999999999</v>
      </c>
      <c r="BO1653" s="9">
        <f t="shared" si="232"/>
        <v>83.48</v>
      </c>
      <c r="BP1653" s="9">
        <f t="shared" si="233"/>
        <v>0</v>
      </c>
    </row>
    <row r="1654" spans="1:68">
      <c r="A1654" s="6">
        <v>44846</v>
      </c>
      <c r="B1654" s="7">
        <v>3106</v>
      </c>
      <c r="C1654" s="8">
        <v>4089.91</v>
      </c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11">
        <v>10.98</v>
      </c>
      <c r="R1654" s="11"/>
      <c r="S1654" s="8">
        <v>12.32</v>
      </c>
      <c r="T1654" s="8"/>
      <c r="U1654" s="8">
        <v>52.01</v>
      </c>
      <c r="V1654" s="8"/>
      <c r="W1654" s="8"/>
      <c r="X1654" s="8"/>
      <c r="Y1654" s="8"/>
      <c r="Z1654" s="8"/>
      <c r="AA1654" s="8"/>
      <c r="AB1654" s="8"/>
      <c r="AC1654" s="8">
        <v>10.23</v>
      </c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11"/>
      <c r="AQ1654" s="8"/>
      <c r="AR1654" s="8"/>
      <c r="AS1654" s="8"/>
      <c r="AT1654" s="8">
        <v>2344.92</v>
      </c>
      <c r="AU1654" s="8"/>
      <c r="AV1654" s="8"/>
      <c r="AW1654" s="8"/>
      <c r="AX1654" s="8">
        <v>5.12</v>
      </c>
      <c r="AY1654" s="8"/>
      <c r="AZ1654" s="8"/>
      <c r="BA1654" s="8"/>
      <c r="BB1654" s="8"/>
      <c r="BC1654" s="8"/>
      <c r="BD1654" s="8"/>
      <c r="BE1654" s="8"/>
      <c r="BF1654" s="8"/>
      <c r="BG1654" s="8">
        <v>175.88</v>
      </c>
      <c r="BH1654" s="9">
        <f t="shared" si="225"/>
        <v>4089.91</v>
      </c>
      <c r="BI1654" s="9">
        <f t="shared" si="226"/>
        <v>10.98</v>
      </c>
      <c r="BJ1654" s="9">
        <f t="shared" si="227"/>
        <v>12.32</v>
      </c>
      <c r="BK1654" s="9">
        <f t="shared" si="228"/>
        <v>52.01</v>
      </c>
      <c r="BL1654" s="9">
        <f t="shared" si="229"/>
        <v>0</v>
      </c>
      <c r="BM1654" s="9">
        <f t="shared" si="230"/>
        <v>10.23</v>
      </c>
      <c r="BN1654" s="9">
        <f t="shared" si="231"/>
        <v>2344.92</v>
      </c>
      <c r="BO1654" s="9">
        <f t="shared" si="232"/>
        <v>5.12</v>
      </c>
      <c r="BP1654" s="9">
        <f t="shared" si="233"/>
        <v>0</v>
      </c>
    </row>
    <row r="1655" spans="1:68">
      <c r="A1655" s="6">
        <v>44847</v>
      </c>
      <c r="B1655" s="7">
        <v>8258</v>
      </c>
      <c r="C1655" s="8">
        <v>1096.6199999999999</v>
      </c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11">
        <v>2.75</v>
      </c>
      <c r="R1655" s="11"/>
      <c r="S1655" s="8">
        <v>3.52</v>
      </c>
      <c r="T1655" s="8"/>
      <c r="U1655" s="8">
        <v>14.03</v>
      </c>
      <c r="V1655" s="8"/>
      <c r="W1655" s="8"/>
      <c r="X1655" s="8"/>
      <c r="Y1655" s="8"/>
      <c r="Z1655" s="8"/>
      <c r="AA1655" s="8"/>
      <c r="AB1655" s="8"/>
      <c r="AC1655" s="8">
        <v>2.75</v>
      </c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11">
        <f>2210*5/1000</f>
        <v>11.05</v>
      </c>
      <c r="AQ1655" s="8"/>
      <c r="AR1655" s="8"/>
      <c r="AS1655" s="8"/>
      <c r="AT1655" s="8">
        <v>630.74</v>
      </c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>
        <v>47.17</v>
      </c>
      <c r="BH1655" s="9">
        <f t="shared" si="225"/>
        <v>1096.6199999999999</v>
      </c>
      <c r="BI1655" s="9">
        <f t="shared" si="226"/>
        <v>2.75</v>
      </c>
      <c r="BJ1655" s="9">
        <f t="shared" si="227"/>
        <v>3.52</v>
      </c>
      <c r="BK1655" s="9">
        <f t="shared" si="228"/>
        <v>14.03</v>
      </c>
      <c r="BL1655" s="9">
        <f t="shared" si="229"/>
        <v>0</v>
      </c>
      <c r="BM1655" s="9">
        <f t="shared" si="230"/>
        <v>13.8</v>
      </c>
      <c r="BN1655" s="9">
        <f t="shared" si="231"/>
        <v>630.74</v>
      </c>
      <c r="BO1655" s="9">
        <f t="shared" si="232"/>
        <v>0</v>
      </c>
      <c r="BP1655" s="9">
        <f t="shared" si="233"/>
        <v>0</v>
      </c>
    </row>
    <row r="1656" spans="1:68">
      <c r="A1656" s="6">
        <v>44847</v>
      </c>
      <c r="B1656" s="7">
        <v>3106</v>
      </c>
      <c r="C1656" s="8">
        <v>4090.14</v>
      </c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11">
        <v>10.9</v>
      </c>
      <c r="R1656" s="11"/>
      <c r="S1656" s="8">
        <v>12.29</v>
      </c>
      <c r="T1656" s="8"/>
      <c r="U1656" s="8">
        <v>51.96</v>
      </c>
      <c r="V1656" s="8"/>
      <c r="W1656" s="8"/>
      <c r="X1656" s="8"/>
      <c r="Y1656" s="8"/>
      <c r="Z1656" s="8"/>
      <c r="AA1656" s="8"/>
      <c r="AB1656" s="8"/>
      <c r="AC1656" s="8">
        <v>10.210000000000001</v>
      </c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11"/>
      <c r="AQ1656" s="8"/>
      <c r="AR1656" s="8"/>
      <c r="AS1656" s="8"/>
      <c r="AT1656" s="8">
        <v>2338.39</v>
      </c>
      <c r="AU1656" s="8"/>
      <c r="AV1656" s="8"/>
      <c r="AW1656" s="8"/>
      <c r="AX1656" s="8">
        <v>5.1100000000000003</v>
      </c>
      <c r="AY1656" s="8"/>
      <c r="AZ1656" s="8"/>
      <c r="BA1656" s="8"/>
      <c r="BB1656" s="8"/>
      <c r="BC1656" s="8"/>
      <c r="BD1656" s="8"/>
      <c r="BE1656" s="8"/>
      <c r="BF1656" s="8"/>
      <c r="BG1656" s="8">
        <v>175.52</v>
      </c>
      <c r="BH1656" s="9">
        <f t="shared" si="225"/>
        <v>4090.14</v>
      </c>
      <c r="BI1656" s="9">
        <f t="shared" si="226"/>
        <v>10.9</v>
      </c>
      <c r="BJ1656" s="9">
        <f t="shared" si="227"/>
        <v>12.29</v>
      </c>
      <c r="BK1656" s="9">
        <f t="shared" si="228"/>
        <v>51.96</v>
      </c>
      <c r="BL1656" s="9">
        <f t="shared" si="229"/>
        <v>0</v>
      </c>
      <c r="BM1656" s="9">
        <f t="shared" si="230"/>
        <v>10.210000000000001</v>
      </c>
      <c r="BN1656" s="9">
        <f t="shared" si="231"/>
        <v>2338.39</v>
      </c>
      <c r="BO1656" s="9">
        <f t="shared" si="232"/>
        <v>5.1100000000000003</v>
      </c>
      <c r="BP1656" s="9">
        <f t="shared" si="233"/>
        <v>0</v>
      </c>
    </row>
    <row r="1657" spans="1:68">
      <c r="A1657" s="6">
        <v>44847</v>
      </c>
      <c r="B1657" s="7">
        <v>3029</v>
      </c>
      <c r="C1657" s="8"/>
      <c r="D1657" s="8">
        <v>502.14</v>
      </c>
      <c r="E1657" s="8"/>
      <c r="F1657" s="8">
        <v>353.47</v>
      </c>
      <c r="G1657" s="8"/>
      <c r="H1657" s="8"/>
      <c r="I1657" s="8">
        <v>2093.7800000000002</v>
      </c>
      <c r="J1657" s="8"/>
      <c r="K1657" s="8"/>
      <c r="L1657" s="8"/>
      <c r="M1657" s="8"/>
      <c r="N1657" s="8">
        <v>22.75</v>
      </c>
      <c r="O1657" s="8"/>
      <c r="P1657" s="8"/>
      <c r="Q1657" s="11"/>
      <c r="R1657" s="11"/>
      <c r="S1657" s="8">
        <v>1.77</v>
      </c>
      <c r="T1657" s="8"/>
      <c r="U1657" s="8"/>
      <c r="V1657" s="8"/>
      <c r="W1657" s="8">
        <v>29.57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>
        <v>10.31</v>
      </c>
      <c r="AN1657" s="8">
        <f>751*19.68/1000</f>
        <v>14.779680000000001</v>
      </c>
      <c r="AO1657" s="8"/>
      <c r="AP1657" s="11"/>
      <c r="AQ1657" s="8"/>
      <c r="AR1657" s="8">
        <f>4523*19.68/1000</f>
        <v>89.012640000000005</v>
      </c>
      <c r="AS1657" s="8"/>
      <c r="AT1657" s="8">
        <v>1120.8599999999999</v>
      </c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>
        <v>78.430000000000007</v>
      </c>
      <c r="BH1657" s="9">
        <f t="shared" si="225"/>
        <v>2949.3900000000003</v>
      </c>
      <c r="BI1657" s="9">
        <f t="shared" si="226"/>
        <v>22.75</v>
      </c>
      <c r="BJ1657" s="9">
        <f t="shared" si="227"/>
        <v>1.77</v>
      </c>
      <c r="BK1657" s="9">
        <f t="shared" si="228"/>
        <v>29.57</v>
      </c>
      <c r="BL1657" s="9">
        <f t="shared" si="229"/>
        <v>0</v>
      </c>
      <c r="BM1657" s="9">
        <f t="shared" si="230"/>
        <v>114.10232000000001</v>
      </c>
      <c r="BN1657" s="9">
        <f t="shared" si="231"/>
        <v>1120.8599999999999</v>
      </c>
      <c r="BO1657" s="9">
        <f t="shared" si="232"/>
        <v>0</v>
      </c>
      <c r="BP1657" s="9">
        <f t="shared" si="233"/>
        <v>0</v>
      </c>
    </row>
    <row r="1658" spans="1:68">
      <c r="A1658" s="6">
        <v>44847</v>
      </c>
      <c r="B1658" s="7">
        <v>3136</v>
      </c>
      <c r="C1658" s="8">
        <v>1276.3</v>
      </c>
      <c r="D1658" s="8"/>
      <c r="E1658" s="8"/>
      <c r="F1658" s="8"/>
      <c r="G1658" s="8"/>
      <c r="H1658" s="8">
        <v>534.51</v>
      </c>
      <c r="I1658" s="8"/>
      <c r="J1658" s="8"/>
      <c r="K1658" s="8"/>
      <c r="L1658" s="8"/>
      <c r="M1658" s="8"/>
      <c r="N1658" s="8"/>
      <c r="O1658" s="8"/>
      <c r="P1658" s="8"/>
      <c r="Q1658" s="11">
        <v>2.1</v>
      </c>
      <c r="R1658" s="11"/>
      <c r="S1658" s="8">
        <v>7.85</v>
      </c>
      <c r="T1658" s="8"/>
      <c r="U1658" s="8">
        <v>20.350000000000001</v>
      </c>
      <c r="V1658" s="8"/>
      <c r="W1658" s="8"/>
      <c r="X1658" s="8"/>
      <c r="Y1658" s="8"/>
      <c r="Z1658" s="8"/>
      <c r="AA1658" s="8"/>
      <c r="AB1658" s="8"/>
      <c r="AC1658" s="8">
        <v>6.25</v>
      </c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11"/>
      <c r="AQ1658" s="8"/>
      <c r="AR1658" s="8"/>
      <c r="AS1658" s="8"/>
      <c r="AT1658" s="8">
        <v>1015.82</v>
      </c>
      <c r="AU1658" s="8"/>
      <c r="AV1658" s="8"/>
      <c r="AW1658" s="8"/>
      <c r="AX1658" s="8"/>
      <c r="AY1658" s="8"/>
      <c r="AZ1658" s="8"/>
      <c r="BA1658" s="8">
        <v>15.47</v>
      </c>
      <c r="BB1658" s="8"/>
      <c r="BC1658" s="8"/>
      <c r="BD1658" s="8"/>
      <c r="BE1658" s="8"/>
      <c r="BF1658" s="8">
        <v>62.5</v>
      </c>
      <c r="BG1658" s="8">
        <v>76.290000000000006</v>
      </c>
      <c r="BH1658" s="9">
        <f t="shared" si="225"/>
        <v>1810.81</v>
      </c>
      <c r="BI1658" s="9">
        <f t="shared" si="226"/>
        <v>2.1</v>
      </c>
      <c r="BJ1658" s="9">
        <f t="shared" si="227"/>
        <v>7.85</v>
      </c>
      <c r="BK1658" s="9">
        <f t="shared" si="228"/>
        <v>20.350000000000001</v>
      </c>
      <c r="BL1658" s="9">
        <f t="shared" si="229"/>
        <v>0</v>
      </c>
      <c r="BM1658" s="9">
        <f t="shared" si="230"/>
        <v>6.25</v>
      </c>
      <c r="BN1658" s="9">
        <f t="shared" si="231"/>
        <v>1015.82</v>
      </c>
      <c r="BO1658" s="9">
        <f t="shared" si="232"/>
        <v>15.47</v>
      </c>
      <c r="BP1658" s="9">
        <f t="shared" si="233"/>
        <v>62.5</v>
      </c>
    </row>
    <row r="1659" spans="1:68">
      <c r="A1659" s="6">
        <v>44847</v>
      </c>
      <c r="B1659" s="7">
        <v>3200</v>
      </c>
      <c r="C1659" s="8">
        <v>2300.36</v>
      </c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>
        <v>5.74</v>
      </c>
      <c r="P1659" s="8"/>
      <c r="Q1659" s="11"/>
      <c r="R1659" s="11"/>
      <c r="S1659" s="8">
        <v>8.99</v>
      </c>
      <c r="T1659" s="8"/>
      <c r="U1659" s="8">
        <v>34.6</v>
      </c>
      <c r="V1659" s="8"/>
      <c r="W1659" s="8"/>
      <c r="X1659" s="8"/>
      <c r="Y1659" s="8"/>
      <c r="Z1659" s="8">
        <v>483.98</v>
      </c>
      <c r="AA1659" s="8"/>
      <c r="AB1659" s="8"/>
      <c r="AC1659" s="8"/>
      <c r="AD1659" s="8"/>
      <c r="AE1659" s="8"/>
      <c r="AF1659" s="8">
        <v>114.8</v>
      </c>
      <c r="AG1659" s="8"/>
      <c r="AH1659" s="8"/>
      <c r="AI1659" s="8"/>
      <c r="AJ1659" s="8"/>
      <c r="AK1659" s="8"/>
      <c r="AL1659" s="8"/>
      <c r="AM1659" s="8"/>
      <c r="AN1659" s="8"/>
      <c r="AO1659" s="8"/>
      <c r="AP1659" s="11"/>
      <c r="AQ1659" s="8">
        <f>1526*23.03/1000</f>
        <v>35.14378</v>
      </c>
      <c r="AR1659" s="8"/>
      <c r="AS1659" s="8"/>
      <c r="AT1659" s="8">
        <v>1576.3</v>
      </c>
      <c r="AU1659" s="8"/>
      <c r="AV1659" s="8"/>
      <c r="AW1659" s="8">
        <v>6.78</v>
      </c>
      <c r="AX1659" s="8"/>
      <c r="AY1659" s="8"/>
      <c r="AZ1659" s="8"/>
      <c r="BA1659" s="8"/>
      <c r="BB1659" s="8"/>
      <c r="BC1659" s="8"/>
      <c r="BD1659" s="8"/>
      <c r="BE1659" s="8"/>
      <c r="BF1659" s="8">
        <v>110.59</v>
      </c>
      <c r="BG1659" s="8">
        <v>113.99</v>
      </c>
      <c r="BH1659" s="9">
        <f t="shared" si="225"/>
        <v>2300.36</v>
      </c>
      <c r="BI1659" s="9">
        <f t="shared" si="226"/>
        <v>5.74</v>
      </c>
      <c r="BJ1659" s="9">
        <f t="shared" si="227"/>
        <v>8.99</v>
      </c>
      <c r="BK1659" s="9">
        <f t="shared" si="228"/>
        <v>34.6</v>
      </c>
      <c r="BL1659" s="9">
        <f t="shared" si="229"/>
        <v>483.98</v>
      </c>
      <c r="BM1659" s="9">
        <f t="shared" si="230"/>
        <v>149.94378</v>
      </c>
      <c r="BN1659" s="9">
        <f t="shared" si="231"/>
        <v>1576.3</v>
      </c>
      <c r="BO1659" s="9">
        <f t="shared" si="232"/>
        <v>6.78</v>
      </c>
      <c r="BP1659" s="9">
        <f t="shared" si="233"/>
        <v>110.59</v>
      </c>
    </row>
    <row r="1660" spans="1:68">
      <c r="A1660" s="6">
        <v>44847</v>
      </c>
      <c r="B1660" s="7">
        <v>3310</v>
      </c>
      <c r="C1660" s="8"/>
      <c r="D1660" s="8">
        <v>500.86</v>
      </c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11">
        <v>0.61</v>
      </c>
      <c r="R1660" s="11"/>
      <c r="S1660" s="8">
        <v>3.56</v>
      </c>
      <c r="T1660" s="8"/>
      <c r="U1660" s="8">
        <v>4.5199999999999996</v>
      </c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>
        <v>5.04</v>
      </c>
      <c r="AH1660" s="8"/>
      <c r="AI1660" s="8"/>
      <c r="AJ1660" s="8"/>
      <c r="AK1660" s="8"/>
      <c r="AL1660" s="8"/>
      <c r="AM1660" s="8"/>
      <c r="AN1660" s="8"/>
      <c r="AO1660" s="8"/>
      <c r="AP1660" s="11"/>
      <c r="AQ1660" s="8"/>
      <c r="AR1660" s="8"/>
      <c r="AS1660" s="8"/>
      <c r="AT1660" s="8"/>
      <c r="AU1660" s="8">
        <v>198.63</v>
      </c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>
        <v>13.97</v>
      </c>
      <c r="BH1660" s="9">
        <f t="shared" si="225"/>
        <v>500.86</v>
      </c>
      <c r="BI1660" s="9">
        <f t="shared" si="226"/>
        <v>0.61</v>
      </c>
      <c r="BJ1660" s="9">
        <f t="shared" si="227"/>
        <v>3.56</v>
      </c>
      <c r="BK1660" s="9">
        <f t="shared" si="228"/>
        <v>4.5199999999999996</v>
      </c>
      <c r="BL1660" s="9">
        <f t="shared" si="229"/>
        <v>0</v>
      </c>
      <c r="BM1660" s="9">
        <f t="shared" si="230"/>
        <v>5.04</v>
      </c>
      <c r="BN1660" s="9">
        <f t="shared" si="231"/>
        <v>198.63</v>
      </c>
      <c r="BO1660" s="9">
        <f t="shared" si="232"/>
        <v>0</v>
      </c>
      <c r="BP1660" s="9">
        <f t="shared" si="233"/>
        <v>0</v>
      </c>
    </row>
    <row r="1661" spans="1:68">
      <c r="A1661" s="6">
        <v>44847</v>
      </c>
      <c r="B1661" s="7">
        <v>3602</v>
      </c>
      <c r="C1661" s="8">
        <v>579.26</v>
      </c>
      <c r="D1661" s="8"/>
      <c r="E1661" s="8"/>
      <c r="F1661" s="8"/>
      <c r="G1661" s="8">
        <v>871.24</v>
      </c>
      <c r="H1661" s="8"/>
      <c r="I1661" s="8"/>
      <c r="J1661" s="8"/>
      <c r="K1661" s="8"/>
      <c r="L1661" s="8"/>
      <c r="M1661" s="8">
        <f>456*16.68/1000</f>
        <v>7.6060799999999995</v>
      </c>
      <c r="N1661" s="8"/>
      <c r="O1661" s="8"/>
      <c r="P1661" s="8"/>
      <c r="Q1661" s="11"/>
      <c r="R1661" s="11"/>
      <c r="S1661" s="8">
        <v>7.01</v>
      </c>
      <c r="T1661" s="8"/>
      <c r="U1661" s="8">
        <v>11.68</v>
      </c>
      <c r="V1661" s="8">
        <f>849*16.68/1000</f>
        <v>14.16132</v>
      </c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11"/>
      <c r="AQ1661" s="8"/>
      <c r="AR1661" s="8"/>
      <c r="AS1661" s="8"/>
      <c r="AT1661" s="8">
        <v>588.19000000000005</v>
      </c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>
        <v>46.74</v>
      </c>
      <c r="BG1661" s="8">
        <v>44.02</v>
      </c>
      <c r="BH1661" s="9">
        <f t="shared" si="225"/>
        <v>1450.5</v>
      </c>
      <c r="BI1661" s="9">
        <f t="shared" si="226"/>
        <v>7.6060799999999995</v>
      </c>
      <c r="BJ1661" s="9">
        <f t="shared" si="227"/>
        <v>7.01</v>
      </c>
      <c r="BK1661" s="9">
        <f t="shared" si="228"/>
        <v>25.84132</v>
      </c>
      <c r="BL1661" s="9">
        <f t="shared" si="229"/>
        <v>0</v>
      </c>
      <c r="BM1661" s="9">
        <f t="shared" si="230"/>
        <v>0</v>
      </c>
      <c r="BN1661" s="9">
        <f t="shared" si="231"/>
        <v>588.19000000000005</v>
      </c>
      <c r="BO1661" s="9">
        <f t="shared" si="232"/>
        <v>0</v>
      </c>
      <c r="BP1661" s="9">
        <f t="shared" si="233"/>
        <v>46.74</v>
      </c>
    </row>
    <row r="1662" spans="1:68">
      <c r="A1662" s="6">
        <v>44847</v>
      </c>
      <c r="B1662" s="7">
        <v>3118</v>
      </c>
      <c r="C1662" s="8">
        <v>628.33000000000004</v>
      </c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11">
        <v>2.04</v>
      </c>
      <c r="R1662" s="11"/>
      <c r="S1662" s="8">
        <v>3.46</v>
      </c>
      <c r="T1662" s="8"/>
      <c r="U1662" s="8">
        <v>7.55</v>
      </c>
      <c r="V1662" s="8"/>
      <c r="W1662" s="8"/>
      <c r="X1662" s="8"/>
      <c r="Y1662" s="8"/>
      <c r="Z1662" s="8"/>
      <c r="AA1662" s="8"/>
      <c r="AB1662" s="8"/>
      <c r="AC1662" s="8">
        <v>2.52</v>
      </c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11"/>
      <c r="AQ1662" s="8"/>
      <c r="AR1662" s="8"/>
      <c r="AS1662" s="8"/>
      <c r="AT1662" s="8">
        <v>408.26</v>
      </c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>
        <v>43.96</v>
      </c>
      <c r="BG1662" s="8">
        <v>31.23</v>
      </c>
      <c r="BH1662" s="9">
        <f t="shared" si="225"/>
        <v>628.33000000000004</v>
      </c>
      <c r="BI1662" s="9">
        <f t="shared" si="226"/>
        <v>2.04</v>
      </c>
      <c r="BJ1662" s="9">
        <f t="shared" si="227"/>
        <v>3.46</v>
      </c>
      <c r="BK1662" s="9">
        <f t="shared" si="228"/>
        <v>7.55</v>
      </c>
      <c r="BL1662" s="9">
        <f t="shared" si="229"/>
        <v>0</v>
      </c>
      <c r="BM1662" s="9">
        <f t="shared" si="230"/>
        <v>2.52</v>
      </c>
      <c r="BN1662" s="9">
        <f t="shared" si="231"/>
        <v>408.26</v>
      </c>
      <c r="BO1662" s="9">
        <f t="shared" si="232"/>
        <v>0</v>
      </c>
      <c r="BP1662" s="9">
        <f t="shared" si="233"/>
        <v>43.96</v>
      </c>
    </row>
    <row r="1663" spans="1:68">
      <c r="A1663" s="6">
        <v>44847</v>
      </c>
      <c r="B1663" s="7">
        <v>3100</v>
      </c>
      <c r="C1663" s="8">
        <v>622.55999999999995</v>
      </c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11">
        <v>1.38</v>
      </c>
      <c r="R1663" s="11"/>
      <c r="S1663" s="8">
        <v>3.57</v>
      </c>
      <c r="T1663" s="8"/>
      <c r="U1663" s="8">
        <v>10</v>
      </c>
      <c r="V1663" s="8"/>
      <c r="W1663" s="8"/>
      <c r="X1663" s="8"/>
      <c r="Y1663" s="8"/>
      <c r="Z1663" s="8"/>
      <c r="AA1663" s="8"/>
      <c r="AB1663" s="8"/>
      <c r="AC1663" s="8">
        <v>2.5</v>
      </c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11"/>
      <c r="AQ1663" s="8"/>
      <c r="AR1663" s="8"/>
      <c r="AS1663" s="8"/>
      <c r="AT1663" s="8">
        <v>420.68</v>
      </c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>
        <v>80.92</v>
      </c>
      <c r="BG1663" s="8">
        <v>32.090000000000003</v>
      </c>
      <c r="BH1663" s="9">
        <f t="shared" si="225"/>
        <v>622.55999999999995</v>
      </c>
      <c r="BI1663" s="9">
        <f t="shared" si="226"/>
        <v>1.38</v>
      </c>
      <c r="BJ1663" s="9">
        <f t="shared" si="227"/>
        <v>3.57</v>
      </c>
      <c r="BK1663" s="9">
        <f t="shared" si="228"/>
        <v>10</v>
      </c>
      <c r="BL1663" s="9">
        <f t="shared" si="229"/>
        <v>0</v>
      </c>
      <c r="BM1663" s="9">
        <f t="shared" si="230"/>
        <v>2.5</v>
      </c>
      <c r="BN1663" s="9">
        <f t="shared" si="231"/>
        <v>420.68</v>
      </c>
      <c r="BO1663" s="9">
        <f t="shared" si="232"/>
        <v>0</v>
      </c>
      <c r="BP1663" s="9">
        <f t="shared" si="233"/>
        <v>80.92</v>
      </c>
    </row>
    <row r="1664" spans="1:68">
      <c r="A1664" s="6">
        <v>44847</v>
      </c>
      <c r="B1664" s="7">
        <v>3307</v>
      </c>
      <c r="C1664" s="8"/>
      <c r="D1664" s="8">
        <v>983.19</v>
      </c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11">
        <v>1.29</v>
      </c>
      <c r="R1664" s="11"/>
      <c r="S1664" s="8">
        <v>7.18</v>
      </c>
      <c r="T1664" s="8"/>
      <c r="U1664" s="8">
        <v>9.84</v>
      </c>
      <c r="V1664" s="8"/>
      <c r="W1664" s="8"/>
      <c r="X1664" s="8"/>
      <c r="Y1664" s="8"/>
      <c r="Z1664" s="8"/>
      <c r="AA1664" s="8"/>
      <c r="AB1664" s="8"/>
      <c r="AC1664" s="8">
        <v>5.9</v>
      </c>
      <c r="AD1664" s="8"/>
      <c r="AE1664" s="8"/>
      <c r="AF1664" s="8"/>
      <c r="AG1664" s="8">
        <v>9.85</v>
      </c>
      <c r="AH1664" s="8"/>
      <c r="AI1664" s="8"/>
      <c r="AJ1664" s="8"/>
      <c r="AK1664" s="8"/>
      <c r="AL1664" s="8"/>
      <c r="AM1664" s="8"/>
      <c r="AN1664" s="8"/>
      <c r="AO1664" s="8"/>
      <c r="AP1664" s="11"/>
      <c r="AQ1664" s="8"/>
      <c r="AR1664" s="8"/>
      <c r="AS1664" s="8"/>
      <c r="AT1664" s="8"/>
      <c r="AU1664" s="8">
        <v>493.1</v>
      </c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>
        <v>35.340000000000003</v>
      </c>
      <c r="BH1664" s="9">
        <f t="shared" si="225"/>
        <v>983.19</v>
      </c>
      <c r="BI1664" s="9">
        <f t="shared" si="226"/>
        <v>1.29</v>
      </c>
      <c r="BJ1664" s="9">
        <f t="shared" si="227"/>
        <v>7.18</v>
      </c>
      <c r="BK1664" s="9">
        <f t="shared" si="228"/>
        <v>9.84</v>
      </c>
      <c r="BL1664" s="9">
        <f t="shared" si="229"/>
        <v>0</v>
      </c>
      <c r="BM1664" s="9">
        <f t="shared" si="230"/>
        <v>15.75</v>
      </c>
      <c r="BN1664" s="9">
        <f t="shared" si="231"/>
        <v>493.1</v>
      </c>
      <c r="BO1664" s="9">
        <f t="shared" si="232"/>
        <v>0</v>
      </c>
      <c r="BP1664" s="9">
        <f t="shared" si="233"/>
        <v>0</v>
      </c>
    </row>
    <row r="1665" spans="1:68">
      <c r="A1665" s="6">
        <v>44848</v>
      </c>
      <c r="B1665" s="7">
        <v>3405</v>
      </c>
      <c r="C1665" s="8">
        <v>644.6</v>
      </c>
      <c r="D1665" s="8">
        <v>161.66</v>
      </c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11">
        <v>1.62</v>
      </c>
      <c r="R1665" s="11"/>
      <c r="S1665" s="8">
        <v>1.86</v>
      </c>
      <c r="T1665" s="8"/>
      <c r="U1665" s="8"/>
      <c r="V1665" s="8"/>
      <c r="W1665" s="8"/>
      <c r="X1665" s="8">
        <f>1212*8.12/1000</f>
        <v>9.8414399999999986</v>
      </c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11"/>
      <c r="AQ1665" s="8"/>
      <c r="AR1665" s="8"/>
      <c r="AS1665" s="8"/>
      <c r="AT1665" s="8">
        <v>397.82</v>
      </c>
      <c r="AU1665" s="8"/>
      <c r="AV1665" s="8"/>
      <c r="AW1665" s="8"/>
      <c r="AX1665" s="8"/>
      <c r="AY1665" s="8"/>
      <c r="AZ1665" s="8"/>
      <c r="BA1665" s="8">
        <v>3.65</v>
      </c>
      <c r="BB1665" s="8"/>
      <c r="BC1665" s="8"/>
      <c r="BD1665" s="8"/>
      <c r="BE1665" s="8"/>
      <c r="BF1665" s="8"/>
      <c r="BG1665" s="8">
        <v>26.79</v>
      </c>
      <c r="BH1665" s="9">
        <f t="shared" si="225"/>
        <v>806.26</v>
      </c>
      <c r="BI1665" s="9">
        <f t="shared" si="226"/>
        <v>1.62</v>
      </c>
      <c r="BJ1665" s="9">
        <f t="shared" si="227"/>
        <v>1.86</v>
      </c>
      <c r="BK1665" s="9">
        <f t="shared" si="228"/>
        <v>9.8414399999999986</v>
      </c>
      <c r="BL1665" s="9">
        <f t="shared" si="229"/>
        <v>0</v>
      </c>
      <c r="BM1665" s="9">
        <f t="shared" si="230"/>
        <v>0</v>
      </c>
      <c r="BN1665" s="9">
        <f t="shared" si="231"/>
        <v>397.82</v>
      </c>
      <c r="BO1665" s="9">
        <f t="shared" si="232"/>
        <v>3.65</v>
      </c>
      <c r="BP1665" s="9">
        <f t="shared" si="233"/>
        <v>0</v>
      </c>
    </row>
    <row r="1666" spans="1:68">
      <c r="A1666" s="6">
        <v>44848</v>
      </c>
      <c r="B1666" s="7">
        <v>3203</v>
      </c>
      <c r="C1666" s="8">
        <v>873.71</v>
      </c>
      <c r="D1666" s="8"/>
      <c r="E1666" s="8">
        <v>375.45</v>
      </c>
      <c r="F1666" s="8"/>
      <c r="G1666" s="8"/>
      <c r="H1666" s="8"/>
      <c r="I1666" s="8"/>
      <c r="J1666" s="8"/>
      <c r="K1666" s="8"/>
      <c r="L1666" s="8"/>
      <c r="M1666" s="8"/>
      <c r="N1666" s="8"/>
      <c r="O1666" s="8">
        <v>3.76</v>
      </c>
      <c r="P1666" s="8"/>
      <c r="Q1666" s="11"/>
      <c r="R1666" s="11"/>
      <c r="S1666" s="8">
        <v>4.8899999999999997</v>
      </c>
      <c r="T1666" s="8"/>
      <c r="U1666" s="8">
        <v>15.54</v>
      </c>
      <c r="V1666" s="8"/>
      <c r="W1666" s="8"/>
      <c r="X1666" s="8"/>
      <c r="Y1666" s="8"/>
      <c r="Z1666" s="8">
        <v>197.44</v>
      </c>
      <c r="AA1666" s="8">
        <f>10422*14.73/1000</f>
        <v>153.51606000000001</v>
      </c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11"/>
      <c r="AQ1666" s="8"/>
      <c r="AR1666" s="8"/>
      <c r="AS1666" s="8"/>
      <c r="AT1666" s="8">
        <v>467.9</v>
      </c>
      <c r="AU1666" s="8">
        <v>234.29</v>
      </c>
      <c r="AV1666" s="8"/>
      <c r="AW1666" s="8"/>
      <c r="AX1666" s="8"/>
      <c r="AY1666" s="8"/>
      <c r="AZ1666" s="8"/>
      <c r="BA1666" s="8"/>
      <c r="BB1666" s="8"/>
      <c r="BC1666" s="8">
        <v>3.26</v>
      </c>
      <c r="BD1666" s="8"/>
      <c r="BE1666" s="8"/>
      <c r="BF1666" s="8"/>
      <c r="BG1666" s="8">
        <v>45.51</v>
      </c>
      <c r="BH1666" s="9">
        <f t="shared" si="225"/>
        <v>1249.1600000000001</v>
      </c>
      <c r="BI1666" s="9">
        <f t="shared" si="226"/>
        <v>3.76</v>
      </c>
      <c r="BJ1666" s="9">
        <f t="shared" si="227"/>
        <v>4.8899999999999997</v>
      </c>
      <c r="BK1666" s="9">
        <f t="shared" si="228"/>
        <v>15.54</v>
      </c>
      <c r="BL1666" s="9">
        <f t="shared" si="229"/>
        <v>350.95605999999998</v>
      </c>
      <c r="BM1666" s="9">
        <f t="shared" si="230"/>
        <v>0</v>
      </c>
      <c r="BN1666" s="9">
        <f t="shared" si="231"/>
        <v>702.18999999999994</v>
      </c>
      <c r="BO1666" s="9">
        <f t="shared" si="232"/>
        <v>3.26</v>
      </c>
      <c r="BP1666" s="9">
        <f t="shared" si="233"/>
        <v>0</v>
      </c>
    </row>
    <row r="1667" spans="1:68">
      <c r="A1667" s="6">
        <v>44848</v>
      </c>
      <c r="B1667" s="7">
        <v>3016</v>
      </c>
      <c r="C1667" s="8"/>
      <c r="D1667" s="8">
        <v>1605.52</v>
      </c>
      <c r="E1667" s="8"/>
      <c r="F1667" s="8"/>
      <c r="G1667" s="8"/>
      <c r="H1667" s="8"/>
      <c r="I1667" s="8">
        <v>1482.67</v>
      </c>
      <c r="J1667" s="8"/>
      <c r="K1667" s="8"/>
      <c r="L1667" s="8"/>
      <c r="M1667" s="8"/>
      <c r="N1667" s="8">
        <v>18.53</v>
      </c>
      <c r="O1667" s="8"/>
      <c r="P1667" s="8"/>
      <c r="Q1667" s="11"/>
      <c r="R1667" s="11"/>
      <c r="S1667" s="8">
        <v>2.15</v>
      </c>
      <c r="T1667" s="8"/>
      <c r="U1667" s="8"/>
      <c r="V1667" s="8"/>
      <c r="W1667" s="8">
        <v>30.89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>
        <v>12.31</v>
      </c>
      <c r="AN1667" s="8">
        <f>2044*18.17/1000</f>
        <v>37.139480000000006</v>
      </c>
      <c r="AO1667" s="8"/>
      <c r="AP1667" s="11"/>
      <c r="AQ1667" s="8"/>
      <c r="AR1667" s="8">
        <f>4315*18.17/1000</f>
        <v>78.40355000000001</v>
      </c>
      <c r="AS1667" s="8"/>
      <c r="AT1667" s="8">
        <v>1147.04</v>
      </c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>
        <v>83.91</v>
      </c>
      <c r="BH1667" s="9">
        <f t="shared" si="225"/>
        <v>3088.19</v>
      </c>
      <c r="BI1667" s="9">
        <f t="shared" si="226"/>
        <v>18.53</v>
      </c>
      <c r="BJ1667" s="9">
        <f t="shared" si="227"/>
        <v>2.15</v>
      </c>
      <c r="BK1667" s="9">
        <f t="shared" si="228"/>
        <v>30.89</v>
      </c>
      <c r="BL1667" s="9">
        <f t="shared" si="229"/>
        <v>0</v>
      </c>
      <c r="BM1667" s="9">
        <f t="shared" si="230"/>
        <v>127.85303000000002</v>
      </c>
      <c r="BN1667" s="9">
        <f t="shared" si="231"/>
        <v>1147.04</v>
      </c>
      <c r="BO1667" s="9">
        <f t="shared" si="232"/>
        <v>0</v>
      </c>
      <c r="BP1667" s="9">
        <f t="shared" si="233"/>
        <v>0</v>
      </c>
    </row>
    <row r="1668" spans="1:68">
      <c r="A1668" s="6">
        <v>44848</v>
      </c>
      <c r="B1668" s="7">
        <v>3083</v>
      </c>
      <c r="C1668" s="8"/>
      <c r="D1668" s="8">
        <v>1097.48</v>
      </c>
      <c r="E1668" s="8"/>
      <c r="F1668" s="8"/>
      <c r="G1668" s="8"/>
      <c r="H1668" s="8"/>
      <c r="I1668" s="8">
        <v>2557.44</v>
      </c>
      <c r="J1668" s="8"/>
      <c r="K1668" s="8"/>
      <c r="L1668" s="8"/>
      <c r="M1668" s="8"/>
      <c r="N1668" s="8">
        <v>23.02</v>
      </c>
      <c r="O1668" s="8"/>
      <c r="P1668" s="8"/>
      <c r="Q1668" s="11"/>
      <c r="R1668" s="11"/>
      <c r="S1668" s="8">
        <v>2.5499999999999998</v>
      </c>
      <c r="T1668" s="8"/>
      <c r="U1668" s="8"/>
      <c r="V1668" s="8"/>
      <c r="W1668" s="8">
        <v>29.24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>
        <v>14.64</v>
      </c>
      <c r="AN1668" s="8">
        <f>1902*27.05/1000</f>
        <v>51.449100000000001</v>
      </c>
      <c r="AO1668" s="8"/>
      <c r="AP1668" s="11"/>
      <c r="AQ1668" s="8"/>
      <c r="AR1668" s="8">
        <f>3393*27.05/1000</f>
        <v>91.780650000000009</v>
      </c>
      <c r="AS1668" s="8"/>
      <c r="AT1668" s="8">
        <v>1718.19</v>
      </c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>
        <v>136.58000000000001</v>
      </c>
      <c r="BH1668" s="9">
        <f t="shared" ref="BH1668:BH1731" si="234">SUM(C1668:L1668)</f>
        <v>3654.92</v>
      </c>
      <c r="BI1668" s="9">
        <f t="shared" ref="BI1668:BI1731" si="235">SUM(M1668:R1668)</f>
        <v>23.02</v>
      </c>
      <c r="BJ1668" s="9">
        <f t="shared" ref="BJ1668:BJ1731" si="236">SUM(S1668)</f>
        <v>2.5499999999999998</v>
      </c>
      <c r="BK1668" s="9">
        <f t="shared" ref="BK1668:BK1731" si="237">SUM(T1668:Y1668)</f>
        <v>29.24</v>
      </c>
      <c r="BL1668" s="9">
        <f t="shared" ref="BL1668:BL1731" si="238">SUM(Z1668:AA1668)</f>
        <v>0</v>
      </c>
      <c r="BM1668" s="9">
        <f t="shared" ref="BM1668:BM1731" si="239">SUM(AB1668:AS1668)</f>
        <v>157.86975000000001</v>
      </c>
      <c r="BN1668" s="9">
        <f t="shared" ref="BN1668:BN1731" si="240">SUM(AT1668:AU1668)</f>
        <v>1718.19</v>
      </c>
      <c r="BO1668" s="9">
        <f t="shared" ref="BO1668:BO1731" si="241">SUM(AV1668:BE1668)</f>
        <v>0</v>
      </c>
      <c r="BP1668" s="9">
        <f t="shared" ref="BP1668:BP1731" si="242">SUM(BF1668)</f>
        <v>0</v>
      </c>
    </row>
    <row r="1669" spans="1:68">
      <c r="A1669" s="6">
        <v>44851</v>
      </c>
      <c r="B1669" s="7">
        <v>3141</v>
      </c>
      <c r="C1669" s="8">
        <v>2448.23</v>
      </c>
      <c r="D1669" s="8">
        <v>430.59</v>
      </c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11">
        <v>7.81</v>
      </c>
      <c r="R1669" s="11"/>
      <c r="S1669" s="8">
        <v>13.56</v>
      </c>
      <c r="T1669" s="8"/>
      <c r="U1669" s="8">
        <v>43.25</v>
      </c>
      <c r="V1669" s="8"/>
      <c r="W1669" s="8"/>
      <c r="X1669" s="8"/>
      <c r="Y1669" s="8"/>
      <c r="Z1669" s="8"/>
      <c r="AA1669" s="8"/>
      <c r="AB1669" s="8"/>
      <c r="AC1669" s="8">
        <v>11.54</v>
      </c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11"/>
      <c r="AQ1669" s="8"/>
      <c r="AR1669" s="8"/>
      <c r="AS1669" s="8"/>
      <c r="AT1669" s="8">
        <v>1935.89</v>
      </c>
      <c r="AU1669" s="8"/>
      <c r="AV1669" s="8"/>
      <c r="AW1669" s="8"/>
      <c r="AX1669" s="8"/>
      <c r="AY1669" s="8"/>
      <c r="AZ1669" s="8"/>
      <c r="BA1669" s="8">
        <v>66.08</v>
      </c>
      <c r="BB1669" s="8"/>
      <c r="BC1669" s="8"/>
      <c r="BD1669" s="8"/>
      <c r="BE1669" s="8"/>
      <c r="BF1669" s="8">
        <v>201.35</v>
      </c>
      <c r="BG1669" s="8">
        <v>150.35</v>
      </c>
      <c r="BH1669" s="9">
        <f t="shared" si="234"/>
        <v>2878.82</v>
      </c>
      <c r="BI1669" s="9">
        <f t="shared" si="235"/>
        <v>7.81</v>
      </c>
      <c r="BJ1669" s="9">
        <f t="shared" si="236"/>
        <v>13.56</v>
      </c>
      <c r="BK1669" s="9">
        <f t="shared" si="237"/>
        <v>43.25</v>
      </c>
      <c r="BL1669" s="9">
        <f t="shared" si="238"/>
        <v>0</v>
      </c>
      <c r="BM1669" s="9">
        <f t="shared" si="239"/>
        <v>11.54</v>
      </c>
      <c r="BN1669" s="9">
        <f t="shared" si="240"/>
        <v>1935.89</v>
      </c>
      <c r="BO1669" s="9">
        <f t="shared" si="241"/>
        <v>66.08</v>
      </c>
      <c r="BP1669" s="9">
        <f t="shared" si="242"/>
        <v>201.35</v>
      </c>
    </row>
    <row r="1670" spans="1:68">
      <c r="A1670" s="6">
        <v>44851</v>
      </c>
      <c r="B1670" s="7">
        <v>3106</v>
      </c>
      <c r="C1670" s="8">
        <v>4100.53</v>
      </c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11">
        <v>10.67</v>
      </c>
      <c r="R1670" s="11"/>
      <c r="S1670" s="8">
        <v>12.34</v>
      </c>
      <c r="T1670" s="8"/>
      <c r="U1670" s="8">
        <v>52.21</v>
      </c>
      <c r="V1670" s="8"/>
      <c r="W1670" s="8"/>
      <c r="X1670" s="8"/>
      <c r="Y1670" s="8"/>
      <c r="Z1670" s="8"/>
      <c r="AA1670" s="8"/>
      <c r="AB1670" s="8"/>
      <c r="AC1670" s="8">
        <v>10.26</v>
      </c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11"/>
      <c r="AQ1670" s="8"/>
      <c r="AR1670" s="8"/>
      <c r="AS1670" s="8"/>
      <c r="AT1670" s="8">
        <v>2352.4899999999998</v>
      </c>
      <c r="AU1670" s="8"/>
      <c r="AV1670" s="8"/>
      <c r="AW1670" s="8"/>
      <c r="AX1670" s="8">
        <v>5.14</v>
      </c>
      <c r="AY1670" s="8"/>
      <c r="AZ1670" s="8"/>
      <c r="BA1670" s="8"/>
      <c r="BB1670" s="8"/>
      <c r="BC1670" s="8"/>
      <c r="BD1670" s="8"/>
      <c r="BE1670" s="8"/>
      <c r="BF1670" s="8"/>
      <c r="BG1670" s="8">
        <v>176.72</v>
      </c>
      <c r="BH1670" s="9">
        <f t="shared" si="234"/>
        <v>4100.53</v>
      </c>
      <c r="BI1670" s="9">
        <f t="shared" si="235"/>
        <v>10.67</v>
      </c>
      <c r="BJ1670" s="9">
        <f t="shared" si="236"/>
        <v>12.34</v>
      </c>
      <c r="BK1670" s="9">
        <f t="shared" si="237"/>
        <v>52.21</v>
      </c>
      <c r="BL1670" s="9">
        <f t="shared" si="238"/>
        <v>0</v>
      </c>
      <c r="BM1670" s="9">
        <f t="shared" si="239"/>
        <v>10.26</v>
      </c>
      <c r="BN1670" s="9">
        <f t="shared" si="240"/>
        <v>2352.4899999999998</v>
      </c>
      <c r="BO1670" s="9">
        <f t="shared" si="241"/>
        <v>5.14</v>
      </c>
      <c r="BP1670" s="9">
        <f t="shared" si="242"/>
        <v>0</v>
      </c>
    </row>
    <row r="1671" spans="1:68">
      <c r="A1671" s="6">
        <v>44851</v>
      </c>
      <c r="B1671" s="7">
        <v>3021</v>
      </c>
      <c r="C1671" s="8"/>
      <c r="D1671" s="8">
        <v>201.42</v>
      </c>
      <c r="E1671" s="8"/>
      <c r="F1671" s="8"/>
      <c r="G1671" s="8"/>
      <c r="H1671" s="8"/>
      <c r="I1671" s="8">
        <v>371.25</v>
      </c>
      <c r="J1671" s="8"/>
      <c r="K1671" s="8"/>
      <c r="L1671" s="8"/>
      <c r="M1671" s="8"/>
      <c r="N1671" s="8">
        <v>3.05</v>
      </c>
      <c r="O1671" s="8"/>
      <c r="P1671" s="8"/>
      <c r="Q1671" s="11"/>
      <c r="R1671" s="11"/>
      <c r="S1671" s="8">
        <v>1.03</v>
      </c>
      <c r="T1671" s="8"/>
      <c r="U1671" s="8"/>
      <c r="V1671" s="8"/>
      <c r="W1671" s="8">
        <v>5.75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>
        <v>5.69</v>
      </c>
      <c r="AN1671" s="8"/>
      <c r="AO1671" s="8"/>
      <c r="AP1671" s="11"/>
      <c r="AQ1671" s="8"/>
      <c r="AR1671" s="8"/>
      <c r="AS1671" s="8">
        <f>2605*5.47/1000</f>
        <v>14.249349999999998</v>
      </c>
      <c r="AT1671" s="8">
        <v>270.37</v>
      </c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>
        <v>20.37</v>
      </c>
      <c r="BH1671" s="9">
        <f t="shared" si="234"/>
        <v>572.66999999999996</v>
      </c>
      <c r="BI1671" s="9">
        <f t="shared" si="235"/>
        <v>3.05</v>
      </c>
      <c r="BJ1671" s="9">
        <f t="shared" si="236"/>
        <v>1.03</v>
      </c>
      <c r="BK1671" s="9">
        <f t="shared" si="237"/>
        <v>5.75</v>
      </c>
      <c r="BL1671" s="9">
        <f t="shared" si="238"/>
        <v>0</v>
      </c>
      <c r="BM1671" s="9">
        <f t="shared" si="239"/>
        <v>19.939349999999997</v>
      </c>
      <c r="BN1671" s="9">
        <f t="shared" si="240"/>
        <v>270.37</v>
      </c>
      <c r="BO1671" s="9">
        <f t="shared" si="241"/>
        <v>0</v>
      </c>
      <c r="BP1671" s="9">
        <f t="shared" si="242"/>
        <v>0</v>
      </c>
    </row>
    <row r="1672" spans="1:68">
      <c r="A1672" s="6">
        <v>44851</v>
      </c>
      <c r="B1672" s="7">
        <v>3022</v>
      </c>
      <c r="C1672" s="8"/>
      <c r="D1672" s="8">
        <v>554.15</v>
      </c>
      <c r="E1672" s="8"/>
      <c r="F1672" s="8"/>
      <c r="G1672" s="8"/>
      <c r="H1672" s="8"/>
      <c r="I1672" s="8">
        <v>454.41</v>
      </c>
      <c r="J1672" s="8"/>
      <c r="K1672" s="8"/>
      <c r="L1672" s="8"/>
      <c r="M1672" s="8"/>
      <c r="N1672" s="8">
        <v>5.05</v>
      </c>
      <c r="O1672" s="8"/>
      <c r="P1672" s="8"/>
      <c r="Q1672" s="11"/>
      <c r="R1672" s="11"/>
      <c r="S1672" s="8">
        <v>1.81</v>
      </c>
      <c r="T1672" s="8"/>
      <c r="U1672" s="8"/>
      <c r="V1672" s="8"/>
      <c r="W1672" s="8">
        <v>10.08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>
        <v>13.09</v>
      </c>
      <c r="AN1672" s="8"/>
      <c r="AO1672" s="8"/>
      <c r="AP1672" s="11"/>
      <c r="AQ1672" s="8"/>
      <c r="AR1672" s="8"/>
      <c r="AS1672" s="8">
        <f>3849*9.17/1000</f>
        <v>35.29533</v>
      </c>
      <c r="AT1672" s="8">
        <v>471.79</v>
      </c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>
        <v>36.25</v>
      </c>
      <c r="BH1672" s="9">
        <f t="shared" si="234"/>
        <v>1008.56</v>
      </c>
      <c r="BI1672" s="9">
        <f t="shared" si="235"/>
        <v>5.05</v>
      </c>
      <c r="BJ1672" s="9">
        <f t="shared" si="236"/>
        <v>1.81</v>
      </c>
      <c r="BK1672" s="9">
        <f t="shared" si="237"/>
        <v>10.08</v>
      </c>
      <c r="BL1672" s="9">
        <f t="shared" si="238"/>
        <v>0</v>
      </c>
      <c r="BM1672" s="9">
        <f t="shared" si="239"/>
        <v>48.385329999999996</v>
      </c>
      <c r="BN1672" s="9">
        <f t="shared" si="240"/>
        <v>471.79</v>
      </c>
      <c r="BO1672" s="9">
        <f t="shared" si="241"/>
        <v>0</v>
      </c>
      <c r="BP1672" s="9">
        <f t="shared" si="242"/>
        <v>0</v>
      </c>
    </row>
    <row r="1673" spans="1:68">
      <c r="A1673" s="6">
        <v>44851</v>
      </c>
      <c r="B1673" s="7">
        <v>3023</v>
      </c>
      <c r="C1673" s="8"/>
      <c r="D1673" s="8">
        <v>864.66</v>
      </c>
      <c r="E1673" s="8"/>
      <c r="F1673" s="8"/>
      <c r="G1673" s="8"/>
      <c r="H1673" s="8"/>
      <c r="I1673" s="8">
        <v>466.09</v>
      </c>
      <c r="J1673" s="8"/>
      <c r="K1673" s="8"/>
      <c r="L1673" s="8"/>
      <c r="M1673" s="8"/>
      <c r="N1673" s="8">
        <v>7.45</v>
      </c>
      <c r="O1673" s="8"/>
      <c r="P1673" s="8"/>
      <c r="Q1673" s="11"/>
      <c r="R1673" s="11"/>
      <c r="S1673" s="8">
        <v>2.12</v>
      </c>
      <c r="T1673" s="8"/>
      <c r="U1673" s="8"/>
      <c r="V1673" s="8"/>
      <c r="W1673" s="8">
        <v>11.98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>
        <v>13.29</v>
      </c>
      <c r="AN1673" s="8">
        <f>1037*9.18/1000</f>
        <v>9.51966</v>
      </c>
      <c r="AO1673" s="8"/>
      <c r="AP1673" s="11"/>
      <c r="AQ1673" s="8"/>
      <c r="AR1673" s="8"/>
      <c r="AS1673" s="8">
        <f>4788*9.18/1000</f>
        <v>43.95384</v>
      </c>
      <c r="AT1673" s="8">
        <v>545.57000000000005</v>
      </c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>
        <v>41.23</v>
      </c>
      <c r="BH1673" s="9">
        <f t="shared" si="234"/>
        <v>1330.75</v>
      </c>
      <c r="BI1673" s="9">
        <f t="shared" si="235"/>
        <v>7.45</v>
      </c>
      <c r="BJ1673" s="9">
        <f t="shared" si="236"/>
        <v>2.12</v>
      </c>
      <c r="BK1673" s="9">
        <f t="shared" si="237"/>
        <v>11.98</v>
      </c>
      <c r="BL1673" s="9">
        <f t="shared" si="238"/>
        <v>0</v>
      </c>
      <c r="BM1673" s="9">
        <f t="shared" si="239"/>
        <v>66.763499999999993</v>
      </c>
      <c r="BN1673" s="9">
        <f t="shared" si="240"/>
        <v>545.57000000000005</v>
      </c>
      <c r="BO1673" s="9">
        <f t="shared" si="241"/>
        <v>0</v>
      </c>
      <c r="BP1673" s="9">
        <f t="shared" si="242"/>
        <v>0</v>
      </c>
    </row>
    <row r="1674" spans="1:68">
      <c r="A1674" s="6">
        <v>44851</v>
      </c>
      <c r="B1674" s="7">
        <v>3024</v>
      </c>
      <c r="C1674" s="8"/>
      <c r="D1674" s="8">
        <v>327.12</v>
      </c>
      <c r="E1674" s="8"/>
      <c r="F1674" s="8"/>
      <c r="G1674" s="8"/>
      <c r="H1674" s="8"/>
      <c r="I1674" s="8">
        <v>326.01</v>
      </c>
      <c r="J1674" s="8"/>
      <c r="K1674" s="8"/>
      <c r="L1674" s="8"/>
      <c r="M1674" s="8"/>
      <c r="N1674" s="8">
        <v>3.92</v>
      </c>
      <c r="O1674" s="8"/>
      <c r="P1674" s="8"/>
      <c r="Q1674" s="11"/>
      <c r="R1674" s="11"/>
      <c r="S1674" s="8">
        <v>1.04</v>
      </c>
      <c r="T1674" s="8"/>
      <c r="U1674" s="8"/>
      <c r="V1674" s="8"/>
      <c r="W1674" s="8">
        <v>5.21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>
        <v>6.53</v>
      </c>
      <c r="AN1674" s="8">
        <f>838*5.43/1000</f>
        <v>4.5503400000000003</v>
      </c>
      <c r="AO1674" s="8"/>
      <c r="AP1674" s="11"/>
      <c r="AQ1674" s="8"/>
      <c r="AR1674" s="8"/>
      <c r="AS1674" s="8">
        <f>3924*5.43/1000</f>
        <v>21.307320000000001</v>
      </c>
      <c r="AT1674" s="8">
        <v>250.71</v>
      </c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>
        <v>18.32</v>
      </c>
      <c r="BH1674" s="9">
        <f t="shared" si="234"/>
        <v>653.13</v>
      </c>
      <c r="BI1674" s="9">
        <f t="shared" si="235"/>
        <v>3.92</v>
      </c>
      <c r="BJ1674" s="9">
        <f t="shared" si="236"/>
        <v>1.04</v>
      </c>
      <c r="BK1674" s="9">
        <f t="shared" si="237"/>
        <v>5.21</v>
      </c>
      <c r="BL1674" s="9">
        <f t="shared" si="238"/>
        <v>0</v>
      </c>
      <c r="BM1674" s="9">
        <f t="shared" si="239"/>
        <v>32.387659999999997</v>
      </c>
      <c r="BN1674" s="9">
        <f t="shared" si="240"/>
        <v>250.71</v>
      </c>
      <c r="BO1674" s="9">
        <f t="shared" si="241"/>
        <v>0</v>
      </c>
      <c r="BP1674" s="9">
        <f t="shared" si="242"/>
        <v>0</v>
      </c>
    </row>
    <row r="1675" spans="1:68">
      <c r="A1675" s="6">
        <v>44851</v>
      </c>
      <c r="B1675" s="7">
        <v>3028</v>
      </c>
      <c r="C1675" s="8"/>
      <c r="D1675" s="8">
        <v>406.16</v>
      </c>
      <c r="E1675" s="8"/>
      <c r="F1675" s="8">
        <v>374.45</v>
      </c>
      <c r="G1675" s="8"/>
      <c r="H1675" s="8"/>
      <c r="I1675" s="8">
        <v>845.8</v>
      </c>
      <c r="J1675" s="8"/>
      <c r="K1675" s="8"/>
      <c r="L1675" s="8"/>
      <c r="M1675" s="8"/>
      <c r="N1675" s="8">
        <v>12.2</v>
      </c>
      <c r="O1675" s="8"/>
      <c r="P1675" s="8"/>
      <c r="Q1675" s="11"/>
      <c r="R1675" s="11"/>
      <c r="S1675" s="8">
        <v>2.2799999999999998</v>
      </c>
      <c r="T1675" s="8"/>
      <c r="U1675" s="8"/>
      <c r="V1675" s="8"/>
      <c r="W1675" s="8">
        <v>12.2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>
        <v>16.25</v>
      </c>
      <c r="AN1675" s="8">
        <f>1044*10.85/1000</f>
        <v>11.327399999999999</v>
      </c>
      <c r="AO1675" s="8"/>
      <c r="AP1675" s="11"/>
      <c r="AQ1675" s="8"/>
      <c r="AR1675" s="8"/>
      <c r="AS1675" s="8">
        <f>4921*10.85/1000</f>
        <v>53.392849999999996</v>
      </c>
      <c r="AT1675" s="8">
        <v>543.14</v>
      </c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>
        <v>36.770000000000003</v>
      </c>
      <c r="BH1675" s="9">
        <f t="shared" si="234"/>
        <v>1626.4099999999999</v>
      </c>
      <c r="BI1675" s="9">
        <f t="shared" si="235"/>
        <v>12.2</v>
      </c>
      <c r="BJ1675" s="9">
        <f t="shared" si="236"/>
        <v>2.2799999999999998</v>
      </c>
      <c r="BK1675" s="9">
        <f t="shared" si="237"/>
        <v>12.2</v>
      </c>
      <c r="BL1675" s="9">
        <f t="shared" si="238"/>
        <v>0</v>
      </c>
      <c r="BM1675" s="9">
        <f t="shared" si="239"/>
        <v>80.970249999999993</v>
      </c>
      <c r="BN1675" s="9">
        <f t="shared" si="240"/>
        <v>543.14</v>
      </c>
      <c r="BO1675" s="9">
        <f t="shared" si="241"/>
        <v>0</v>
      </c>
      <c r="BP1675" s="9">
        <f t="shared" si="242"/>
        <v>0</v>
      </c>
    </row>
    <row r="1676" spans="1:68">
      <c r="A1676" s="6">
        <v>44851</v>
      </c>
      <c r="B1676" s="7">
        <v>3200</v>
      </c>
      <c r="C1676" s="8">
        <v>2240.2399999999998</v>
      </c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>
        <v>5.6</v>
      </c>
      <c r="P1676" s="8"/>
      <c r="Q1676" s="11"/>
      <c r="R1676" s="11"/>
      <c r="S1676" s="8">
        <v>8.74</v>
      </c>
      <c r="T1676" s="8"/>
      <c r="U1676" s="8">
        <v>33.6</v>
      </c>
      <c r="V1676" s="8"/>
      <c r="W1676" s="8"/>
      <c r="X1676" s="8"/>
      <c r="Y1676" s="8"/>
      <c r="Z1676" s="8">
        <v>470.58</v>
      </c>
      <c r="AA1676" s="8"/>
      <c r="AB1676" s="8"/>
      <c r="AC1676" s="8"/>
      <c r="AD1676" s="8"/>
      <c r="AE1676" s="8"/>
      <c r="AF1676" s="8">
        <v>111.59</v>
      </c>
      <c r="AG1676" s="8"/>
      <c r="AH1676" s="8"/>
      <c r="AI1676" s="8"/>
      <c r="AJ1676" s="8"/>
      <c r="AK1676" s="8"/>
      <c r="AL1676" s="8"/>
      <c r="AM1676" s="8"/>
      <c r="AN1676" s="8"/>
      <c r="AO1676" s="8"/>
      <c r="AP1676" s="11"/>
      <c r="AQ1676" s="8">
        <f>1528*22.4/1000</f>
        <v>34.227199999999996</v>
      </c>
      <c r="AR1676" s="8"/>
      <c r="AS1676" s="8"/>
      <c r="AT1676" s="8">
        <v>1533.56</v>
      </c>
      <c r="AU1676" s="8"/>
      <c r="AV1676" s="8"/>
      <c r="AW1676" s="8">
        <v>6.5</v>
      </c>
      <c r="AX1676" s="8"/>
      <c r="AY1676" s="8"/>
      <c r="AZ1676" s="8"/>
      <c r="BA1676" s="8"/>
      <c r="BB1676" s="8"/>
      <c r="BC1676" s="8"/>
      <c r="BD1676" s="8"/>
      <c r="BE1676" s="8"/>
      <c r="BF1676" s="8">
        <v>107.6</v>
      </c>
      <c r="BG1676" s="8">
        <v>111.07</v>
      </c>
      <c r="BH1676" s="9">
        <f t="shared" si="234"/>
        <v>2240.2399999999998</v>
      </c>
      <c r="BI1676" s="9">
        <f t="shared" si="235"/>
        <v>5.6</v>
      </c>
      <c r="BJ1676" s="9">
        <f t="shared" si="236"/>
        <v>8.74</v>
      </c>
      <c r="BK1676" s="9">
        <f t="shared" si="237"/>
        <v>33.6</v>
      </c>
      <c r="BL1676" s="9">
        <f t="shared" si="238"/>
        <v>470.58</v>
      </c>
      <c r="BM1676" s="9">
        <f t="shared" si="239"/>
        <v>145.81720000000001</v>
      </c>
      <c r="BN1676" s="9">
        <f t="shared" si="240"/>
        <v>1533.56</v>
      </c>
      <c r="BO1676" s="9">
        <f t="shared" si="241"/>
        <v>6.5</v>
      </c>
      <c r="BP1676" s="9">
        <f t="shared" si="242"/>
        <v>107.6</v>
      </c>
    </row>
    <row r="1677" spans="1:68">
      <c r="A1677" s="6">
        <v>44851</v>
      </c>
      <c r="B1677" s="7">
        <v>3601</v>
      </c>
      <c r="C1677" s="8">
        <v>295.86</v>
      </c>
      <c r="D1677" s="8"/>
      <c r="E1677" s="8"/>
      <c r="F1677" s="8"/>
      <c r="G1677" s="8">
        <v>444.37</v>
      </c>
      <c r="H1677" s="8"/>
      <c r="I1677" s="8"/>
      <c r="J1677" s="8"/>
      <c r="K1677" s="8"/>
      <c r="L1677" s="8"/>
      <c r="M1677" s="8">
        <f>531*8.5/1000</f>
        <v>4.5134999999999996</v>
      </c>
      <c r="N1677" s="8"/>
      <c r="O1677" s="8"/>
      <c r="P1677" s="8"/>
      <c r="Q1677" s="11"/>
      <c r="R1677" s="11"/>
      <c r="S1677" s="8">
        <v>3.75</v>
      </c>
      <c r="T1677" s="8"/>
      <c r="U1677" s="8">
        <v>4.46</v>
      </c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11"/>
      <c r="AQ1677" s="8"/>
      <c r="AR1677" s="8"/>
      <c r="AS1677" s="8"/>
      <c r="AT1677" s="8">
        <v>364.53</v>
      </c>
      <c r="AU1677" s="8"/>
      <c r="AV1677" s="8"/>
      <c r="AW1677" s="8">
        <v>22.6</v>
      </c>
      <c r="AX1677" s="8"/>
      <c r="AY1677" s="8"/>
      <c r="AZ1677" s="8"/>
      <c r="BA1677" s="8"/>
      <c r="BB1677" s="8"/>
      <c r="BC1677" s="8"/>
      <c r="BD1677" s="8"/>
      <c r="BE1677" s="8"/>
      <c r="BF1677" s="8">
        <v>41.67</v>
      </c>
      <c r="BG1677" s="8">
        <v>26.5</v>
      </c>
      <c r="BH1677" s="9">
        <f t="shared" si="234"/>
        <v>740.23</v>
      </c>
      <c r="BI1677" s="9">
        <f t="shared" si="235"/>
        <v>4.5134999999999996</v>
      </c>
      <c r="BJ1677" s="9">
        <f t="shared" si="236"/>
        <v>3.75</v>
      </c>
      <c r="BK1677" s="9">
        <f t="shared" si="237"/>
        <v>4.46</v>
      </c>
      <c r="BL1677" s="9">
        <f t="shared" si="238"/>
        <v>0</v>
      </c>
      <c r="BM1677" s="9">
        <f t="shared" si="239"/>
        <v>0</v>
      </c>
      <c r="BN1677" s="9">
        <f t="shared" si="240"/>
        <v>364.53</v>
      </c>
      <c r="BO1677" s="9">
        <f t="shared" si="241"/>
        <v>22.6</v>
      </c>
      <c r="BP1677" s="9">
        <f t="shared" si="242"/>
        <v>41.67</v>
      </c>
    </row>
    <row r="1678" spans="1:68">
      <c r="A1678" s="6">
        <v>44851</v>
      </c>
      <c r="B1678" s="7">
        <v>3602</v>
      </c>
      <c r="C1678" s="8">
        <v>581.15</v>
      </c>
      <c r="D1678" s="8"/>
      <c r="E1678" s="8"/>
      <c r="F1678" s="8"/>
      <c r="G1678" s="8">
        <v>870.99</v>
      </c>
      <c r="H1678" s="8"/>
      <c r="I1678" s="8"/>
      <c r="J1678" s="8"/>
      <c r="K1678" s="8"/>
      <c r="L1678" s="8"/>
      <c r="M1678" s="8">
        <f>455*16.62/1000</f>
        <v>7.5621</v>
      </c>
      <c r="N1678" s="8"/>
      <c r="O1678" s="8"/>
      <c r="P1678" s="8"/>
      <c r="Q1678" s="11"/>
      <c r="R1678" s="11"/>
      <c r="S1678" s="8">
        <v>6.98</v>
      </c>
      <c r="T1678" s="8"/>
      <c r="U1678" s="8">
        <v>11.65</v>
      </c>
      <c r="V1678" s="8">
        <f>851*16.62/1000</f>
        <v>14.14362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11"/>
      <c r="AQ1678" s="8"/>
      <c r="AR1678" s="8"/>
      <c r="AS1678" s="8"/>
      <c r="AT1678" s="8">
        <v>586.35</v>
      </c>
      <c r="AU1678" s="8"/>
      <c r="AV1678" s="8"/>
      <c r="AW1678" s="8">
        <v>37.57</v>
      </c>
      <c r="AX1678" s="8"/>
      <c r="AY1678" s="8"/>
      <c r="AZ1678" s="8"/>
      <c r="BA1678" s="8"/>
      <c r="BB1678" s="8"/>
      <c r="BC1678" s="8"/>
      <c r="BD1678" s="8"/>
      <c r="BE1678" s="8"/>
      <c r="BF1678" s="8">
        <v>46.61</v>
      </c>
      <c r="BG1678" s="8">
        <v>43.59</v>
      </c>
      <c r="BH1678" s="9">
        <f t="shared" si="234"/>
        <v>1452.1399999999999</v>
      </c>
      <c r="BI1678" s="9">
        <f t="shared" si="235"/>
        <v>7.5621</v>
      </c>
      <c r="BJ1678" s="9">
        <f t="shared" si="236"/>
        <v>6.98</v>
      </c>
      <c r="BK1678" s="9">
        <f t="shared" si="237"/>
        <v>25.793620000000001</v>
      </c>
      <c r="BL1678" s="9">
        <f t="shared" si="238"/>
        <v>0</v>
      </c>
      <c r="BM1678" s="9">
        <f t="shared" si="239"/>
        <v>0</v>
      </c>
      <c r="BN1678" s="9">
        <f t="shared" si="240"/>
        <v>586.35</v>
      </c>
      <c r="BO1678" s="9">
        <f t="shared" si="241"/>
        <v>37.57</v>
      </c>
      <c r="BP1678" s="9">
        <f t="shared" si="242"/>
        <v>46.61</v>
      </c>
    </row>
    <row r="1679" spans="1:68">
      <c r="A1679" s="6">
        <v>44851</v>
      </c>
      <c r="B1679" s="7">
        <v>3312</v>
      </c>
      <c r="C1679" s="8"/>
      <c r="D1679" s="8">
        <v>767.98</v>
      </c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11">
        <v>1.1399999999999999</v>
      </c>
      <c r="R1679" s="11"/>
      <c r="S1679" s="8">
        <v>5.76</v>
      </c>
      <c r="T1679" s="8"/>
      <c r="U1679" s="8">
        <v>7.68</v>
      </c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>
        <v>7.69</v>
      </c>
      <c r="AH1679" s="8"/>
      <c r="AI1679" s="8"/>
      <c r="AJ1679" s="8"/>
      <c r="AK1679" s="8"/>
      <c r="AL1679" s="8"/>
      <c r="AM1679" s="8"/>
      <c r="AN1679" s="8"/>
      <c r="AO1679" s="8"/>
      <c r="AP1679" s="11"/>
      <c r="AQ1679" s="8"/>
      <c r="AR1679" s="8"/>
      <c r="AS1679" s="8"/>
      <c r="AT1679" s="8"/>
      <c r="AU1679" s="8">
        <v>385.88</v>
      </c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>
        <v>27.67</v>
      </c>
      <c r="BH1679" s="9">
        <f t="shared" si="234"/>
        <v>767.98</v>
      </c>
      <c r="BI1679" s="9">
        <f t="shared" si="235"/>
        <v>1.1399999999999999</v>
      </c>
      <c r="BJ1679" s="9">
        <f t="shared" si="236"/>
        <v>5.76</v>
      </c>
      <c r="BK1679" s="9">
        <f t="shared" si="237"/>
        <v>7.68</v>
      </c>
      <c r="BL1679" s="9">
        <f t="shared" si="238"/>
        <v>0</v>
      </c>
      <c r="BM1679" s="9">
        <f t="shared" si="239"/>
        <v>7.69</v>
      </c>
      <c r="BN1679" s="9">
        <f t="shared" si="240"/>
        <v>385.88</v>
      </c>
      <c r="BO1679" s="9">
        <f t="shared" si="241"/>
        <v>0</v>
      </c>
      <c r="BP1679" s="9">
        <f t="shared" si="242"/>
        <v>0</v>
      </c>
    </row>
    <row r="1680" spans="1:68">
      <c r="A1680" s="6">
        <v>44851</v>
      </c>
      <c r="B1680" s="7">
        <v>8253</v>
      </c>
      <c r="C1680" s="8"/>
      <c r="D1680" s="8">
        <v>828.75</v>
      </c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11">
        <v>0.98</v>
      </c>
      <c r="R1680" s="11"/>
      <c r="S1680" s="8">
        <v>5.87</v>
      </c>
      <c r="T1680" s="8"/>
      <c r="U1680" s="8">
        <v>7.46</v>
      </c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>
        <v>8.2799999999999994</v>
      </c>
      <c r="AH1680" s="8"/>
      <c r="AI1680" s="8"/>
      <c r="AJ1680" s="8"/>
      <c r="AK1680" s="8"/>
      <c r="AL1680" s="8"/>
      <c r="AM1680" s="8"/>
      <c r="AN1680" s="8"/>
      <c r="AO1680" s="8"/>
      <c r="AP1680" s="11"/>
      <c r="AQ1680" s="8"/>
      <c r="AR1680" s="8"/>
      <c r="AS1680" s="8"/>
      <c r="AT1680" s="8"/>
      <c r="AU1680" s="8">
        <v>328.58</v>
      </c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>
        <v>22.93</v>
      </c>
      <c r="BH1680" s="9">
        <f t="shared" si="234"/>
        <v>828.75</v>
      </c>
      <c r="BI1680" s="9">
        <f t="shared" si="235"/>
        <v>0.98</v>
      </c>
      <c r="BJ1680" s="9">
        <f t="shared" si="236"/>
        <v>5.87</v>
      </c>
      <c r="BK1680" s="9">
        <f t="shared" si="237"/>
        <v>7.46</v>
      </c>
      <c r="BL1680" s="9">
        <f t="shared" si="238"/>
        <v>0</v>
      </c>
      <c r="BM1680" s="9">
        <f t="shared" si="239"/>
        <v>8.2799999999999994</v>
      </c>
      <c r="BN1680" s="9">
        <f t="shared" si="240"/>
        <v>328.58</v>
      </c>
      <c r="BO1680" s="9">
        <f t="shared" si="241"/>
        <v>0</v>
      </c>
      <c r="BP1680" s="9">
        <f t="shared" si="242"/>
        <v>0</v>
      </c>
    </row>
    <row r="1681" spans="1:68">
      <c r="A1681" s="6">
        <v>44852</v>
      </c>
      <c r="B1681" s="7">
        <v>3117</v>
      </c>
      <c r="C1681" s="8">
        <v>732.47</v>
      </c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11">
        <v>2.12</v>
      </c>
      <c r="R1681" s="11"/>
      <c r="S1681" s="8">
        <v>2.72</v>
      </c>
      <c r="T1681" s="8"/>
      <c r="U1681" s="8">
        <v>7.33</v>
      </c>
      <c r="V1681" s="8"/>
      <c r="W1681" s="8"/>
      <c r="X1681" s="8"/>
      <c r="Y1681" s="8"/>
      <c r="Z1681" s="8"/>
      <c r="AA1681" s="8"/>
      <c r="AB1681" s="8"/>
      <c r="AC1681" s="8">
        <v>2.93</v>
      </c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11"/>
      <c r="AQ1681" s="8"/>
      <c r="AR1681" s="8"/>
      <c r="AS1681" s="8"/>
      <c r="AT1681" s="8">
        <v>462.48</v>
      </c>
      <c r="AU1681" s="8"/>
      <c r="AV1681" s="8">
        <v>18.13</v>
      </c>
      <c r="AW1681" s="8"/>
      <c r="AX1681" s="8"/>
      <c r="AY1681" s="8"/>
      <c r="AZ1681" s="8"/>
      <c r="BA1681" s="8"/>
      <c r="BB1681" s="8"/>
      <c r="BC1681" s="8"/>
      <c r="BD1681" s="8"/>
      <c r="BE1681" s="8"/>
      <c r="BF1681" s="8">
        <v>36.799999999999997</v>
      </c>
      <c r="BG1681" s="8">
        <v>35.159999999999997</v>
      </c>
      <c r="BH1681" s="9">
        <f t="shared" si="234"/>
        <v>732.47</v>
      </c>
      <c r="BI1681" s="9">
        <f t="shared" si="235"/>
        <v>2.12</v>
      </c>
      <c r="BJ1681" s="9">
        <f t="shared" si="236"/>
        <v>2.72</v>
      </c>
      <c r="BK1681" s="9">
        <f t="shared" si="237"/>
        <v>7.33</v>
      </c>
      <c r="BL1681" s="9">
        <f t="shared" si="238"/>
        <v>0</v>
      </c>
      <c r="BM1681" s="9">
        <f t="shared" si="239"/>
        <v>2.93</v>
      </c>
      <c r="BN1681" s="9">
        <f t="shared" si="240"/>
        <v>462.48</v>
      </c>
      <c r="BO1681" s="9">
        <f t="shared" si="241"/>
        <v>18.13</v>
      </c>
      <c r="BP1681" s="9">
        <f t="shared" si="242"/>
        <v>36.799999999999997</v>
      </c>
    </row>
    <row r="1682" spans="1:68">
      <c r="A1682" s="6">
        <v>44852</v>
      </c>
      <c r="B1682" s="7">
        <v>3139</v>
      </c>
      <c r="C1682" s="8">
        <f>316.46+1335.08</f>
        <v>1651.54</v>
      </c>
      <c r="D1682" s="8"/>
      <c r="E1682" s="8"/>
      <c r="F1682" s="8"/>
      <c r="G1682" s="8"/>
      <c r="H1682" s="8">
        <f>553.59+130.83</f>
        <v>684.42000000000007</v>
      </c>
      <c r="I1682" s="8"/>
      <c r="J1682" s="8"/>
      <c r="K1682" s="8"/>
      <c r="L1682" s="8"/>
      <c r="M1682" s="8"/>
      <c r="N1682" s="8"/>
      <c r="O1682" s="8"/>
      <c r="P1682" s="8"/>
      <c r="Q1682" s="11">
        <f>0.73+3.13</f>
        <v>3.86</v>
      </c>
      <c r="R1682" s="11"/>
      <c r="S1682" s="8">
        <f>5.92+1.4</f>
        <v>7.32</v>
      </c>
      <c r="T1682" s="8"/>
      <c r="U1682" s="8">
        <f>4.67+19.73</f>
        <v>24.4</v>
      </c>
      <c r="V1682" s="8"/>
      <c r="W1682" s="8"/>
      <c r="X1682" s="8"/>
      <c r="Y1682" s="8"/>
      <c r="Z1682" s="8"/>
      <c r="AA1682" s="8"/>
      <c r="AB1682" s="8"/>
      <c r="AC1682" s="8">
        <f>6.59+1.56</f>
        <v>8.15</v>
      </c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11"/>
      <c r="AQ1682" s="8"/>
      <c r="AR1682" s="8"/>
      <c r="AS1682" s="8"/>
      <c r="AT1682" s="8">
        <f>231.33+973.46</f>
        <v>1204.79</v>
      </c>
      <c r="AU1682" s="8"/>
      <c r="AV1682" s="8">
        <f>32.84+7.81</f>
        <v>40.650000000000006</v>
      </c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>
        <f>16.77+70.75</f>
        <v>87.52</v>
      </c>
      <c r="BH1682" s="9">
        <f t="shared" si="234"/>
        <v>2335.96</v>
      </c>
      <c r="BI1682" s="9">
        <f t="shared" si="235"/>
        <v>3.86</v>
      </c>
      <c r="BJ1682" s="9">
        <f t="shared" si="236"/>
        <v>7.32</v>
      </c>
      <c r="BK1682" s="9">
        <f t="shared" si="237"/>
        <v>24.4</v>
      </c>
      <c r="BL1682" s="9">
        <f t="shared" si="238"/>
        <v>0</v>
      </c>
      <c r="BM1682" s="9">
        <f t="shared" si="239"/>
        <v>8.15</v>
      </c>
      <c r="BN1682" s="9">
        <f t="shared" si="240"/>
        <v>1204.79</v>
      </c>
      <c r="BO1682" s="9">
        <f t="shared" si="241"/>
        <v>40.650000000000006</v>
      </c>
      <c r="BP1682" s="9">
        <f t="shared" si="242"/>
        <v>0</v>
      </c>
    </row>
    <row r="1683" spans="1:68">
      <c r="A1683" s="6">
        <v>44852</v>
      </c>
      <c r="B1683" s="7">
        <v>3141</v>
      </c>
      <c r="C1683" s="8">
        <v>2452.64</v>
      </c>
      <c r="D1683" s="8">
        <v>432.85</v>
      </c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11">
        <v>7.76</v>
      </c>
      <c r="R1683" s="11"/>
      <c r="S1683" s="8">
        <v>13.58</v>
      </c>
      <c r="T1683" s="8"/>
      <c r="U1683" s="8">
        <v>43.31</v>
      </c>
      <c r="V1683" s="8"/>
      <c r="W1683" s="8"/>
      <c r="X1683" s="8"/>
      <c r="Y1683" s="8"/>
      <c r="Z1683" s="8"/>
      <c r="AA1683" s="8"/>
      <c r="AB1683" s="8"/>
      <c r="AC1683" s="8">
        <v>11.55</v>
      </c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11"/>
      <c r="AQ1683" s="8"/>
      <c r="AR1683" s="8"/>
      <c r="AS1683" s="8"/>
      <c r="AT1683" s="8">
        <v>1897.42</v>
      </c>
      <c r="AU1683" s="8"/>
      <c r="AV1683" s="8"/>
      <c r="AW1683" s="8"/>
      <c r="AX1683" s="8"/>
      <c r="AY1683" s="8"/>
      <c r="AZ1683" s="8"/>
      <c r="BA1683" s="8">
        <v>66.150000000000006</v>
      </c>
      <c r="BB1683" s="8"/>
      <c r="BC1683" s="8"/>
      <c r="BD1683" s="8"/>
      <c r="BE1683" s="8"/>
      <c r="BF1683" s="8">
        <v>201.97</v>
      </c>
      <c r="BG1683" s="8">
        <v>149.94</v>
      </c>
      <c r="BH1683" s="9">
        <f t="shared" si="234"/>
        <v>2885.49</v>
      </c>
      <c r="BI1683" s="9">
        <f t="shared" si="235"/>
        <v>7.76</v>
      </c>
      <c r="BJ1683" s="9">
        <f t="shared" si="236"/>
        <v>13.58</v>
      </c>
      <c r="BK1683" s="9">
        <f t="shared" si="237"/>
        <v>43.31</v>
      </c>
      <c r="BL1683" s="9">
        <f t="shared" si="238"/>
        <v>0</v>
      </c>
      <c r="BM1683" s="9">
        <f t="shared" si="239"/>
        <v>11.55</v>
      </c>
      <c r="BN1683" s="9">
        <f t="shared" si="240"/>
        <v>1897.42</v>
      </c>
      <c r="BO1683" s="9">
        <f t="shared" si="241"/>
        <v>66.150000000000006</v>
      </c>
      <c r="BP1683" s="9">
        <f t="shared" si="242"/>
        <v>201.97</v>
      </c>
    </row>
    <row r="1684" spans="1:68">
      <c r="A1684" s="6">
        <v>44852</v>
      </c>
      <c r="B1684" s="7">
        <v>3134</v>
      </c>
      <c r="C1684" s="8">
        <v>1027.05</v>
      </c>
      <c r="D1684" s="8">
        <v>143.65</v>
      </c>
      <c r="E1684" s="8"/>
      <c r="F1684" s="8"/>
      <c r="G1684" s="8"/>
      <c r="H1684" s="8">
        <v>483.66</v>
      </c>
      <c r="I1684" s="8"/>
      <c r="J1684" s="8"/>
      <c r="K1684" s="8"/>
      <c r="L1684" s="8"/>
      <c r="M1684" s="8"/>
      <c r="N1684" s="8"/>
      <c r="O1684" s="8"/>
      <c r="P1684" s="8"/>
      <c r="Q1684" s="11">
        <v>3.19</v>
      </c>
      <c r="R1684" s="11"/>
      <c r="S1684" s="8">
        <v>6.63</v>
      </c>
      <c r="T1684" s="8"/>
      <c r="U1684" s="8">
        <v>18.7</v>
      </c>
      <c r="V1684" s="8"/>
      <c r="W1684" s="8"/>
      <c r="X1684" s="8"/>
      <c r="Y1684" s="8"/>
      <c r="Z1684" s="8"/>
      <c r="AA1684" s="8"/>
      <c r="AB1684" s="8"/>
      <c r="AC1684" s="8">
        <v>5.75</v>
      </c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11"/>
      <c r="AQ1684" s="8"/>
      <c r="AR1684" s="8"/>
      <c r="AS1684" s="8"/>
      <c r="AT1684" s="8">
        <v>1015.24</v>
      </c>
      <c r="AU1684" s="8"/>
      <c r="AV1684" s="8"/>
      <c r="AW1684" s="8"/>
      <c r="AX1684" s="8"/>
      <c r="AY1684" s="8">
        <f>1422*10.28/1000</f>
        <v>14.61816</v>
      </c>
      <c r="AZ1684" s="8"/>
      <c r="BA1684" s="8"/>
      <c r="BB1684" s="8"/>
      <c r="BC1684" s="8"/>
      <c r="BD1684" s="8"/>
      <c r="BE1684" s="8"/>
      <c r="BF1684" s="8">
        <v>64.83</v>
      </c>
      <c r="BG1684" s="8">
        <v>76.819999999999993</v>
      </c>
      <c r="BH1684" s="9">
        <f t="shared" si="234"/>
        <v>1654.3600000000001</v>
      </c>
      <c r="BI1684" s="9">
        <f t="shared" si="235"/>
        <v>3.19</v>
      </c>
      <c r="BJ1684" s="9">
        <f t="shared" si="236"/>
        <v>6.63</v>
      </c>
      <c r="BK1684" s="9">
        <f t="shared" si="237"/>
        <v>18.7</v>
      </c>
      <c r="BL1684" s="9">
        <f t="shared" si="238"/>
        <v>0</v>
      </c>
      <c r="BM1684" s="9">
        <f t="shared" si="239"/>
        <v>5.75</v>
      </c>
      <c r="BN1684" s="9">
        <f t="shared" si="240"/>
        <v>1015.24</v>
      </c>
      <c r="BO1684" s="9">
        <f t="shared" si="241"/>
        <v>14.61816</v>
      </c>
      <c r="BP1684" s="9">
        <f t="shared" si="242"/>
        <v>64.83</v>
      </c>
    </row>
    <row r="1685" spans="1:68">
      <c r="A1685" s="6">
        <v>44852</v>
      </c>
      <c r="B1685" s="7">
        <v>3106</v>
      </c>
      <c r="C1685" s="8">
        <v>4132.84</v>
      </c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11">
        <v>10.73</v>
      </c>
      <c r="R1685" s="11"/>
      <c r="S1685" s="8">
        <v>12.45</v>
      </c>
      <c r="T1685" s="8"/>
      <c r="U1685" s="8">
        <v>52.76</v>
      </c>
      <c r="V1685" s="8"/>
      <c r="W1685" s="8"/>
      <c r="X1685" s="8"/>
      <c r="Y1685" s="8"/>
      <c r="Z1685" s="8"/>
      <c r="AA1685" s="8"/>
      <c r="AB1685" s="8"/>
      <c r="AC1685" s="8">
        <v>10.35</v>
      </c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11"/>
      <c r="AQ1685" s="8"/>
      <c r="AR1685" s="8"/>
      <c r="AS1685" s="8"/>
      <c r="AT1685" s="8">
        <v>2368.1799999999998</v>
      </c>
      <c r="AU1685" s="8"/>
      <c r="AV1685" s="8"/>
      <c r="AW1685" s="8"/>
      <c r="AX1685" s="8">
        <v>5.18</v>
      </c>
      <c r="AY1685" s="8"/>
      <c r="AZ1685" s="8"/>
      <c r="BA1685" s="8"/>
      <c r="BB1685" s="8"/>
      <c r="BC1685" s="8"/>
      <c r="BD1685" s="8"/>
      <c r="BE1685" s="8"/>
      <c r="BF1685" s="8"/>
      <c r="BG1685" s="8">
        <v>178.71</v>
      </c>
      <c r="BH1685" s="9">
        <f t="shared" si="234"/>
        <v>4132.84</v>
      </c>
      <c r="BI1685" s="9">
        <f t="shared" si="235"/>
        <v>10.73</v>
      </c>
      <c r="BJ1685" s="9">
        <f t="shared" si="236"/>
        <v>12.45</v>
      </c>
      <c r="BK1685" s="9">
        <f t="shared" si="237"/>
        <v>52.76</v>
      </c>
      <c r="BL1685" s="9">
        <f t="shared" si="238"/>
        <v>0</v>
      </c>
      <c r="BM1685" s="9">
        <f t="shared" si="239"/>
        <v>10.35</v>
      </c>
      <c r="BN1685" s="9">
        <f t="shared" si="240"/>
        <v>2368.1799999999998</v>
      </c>
      <c r="BO1685" s="9">
        <f t="shared" si="241"/>
        <v>5.18</v>
      </c>
      <c r="BP1685" s="9">
        <f t="shared" si="242"/>
        <v>0</v>
      </c>
    </row>
    <row r="1686" spans="1:68">
      <c r="A1686" s="6">
        <v>44852</v>
      </c>
      <c r="B1686" s="7">
        <v>3029</v>
      </c>
      <c r="C1686" s="8"/>
      <c r="D1686" s="8">
        <v>466.91</v>
      </c>
      <c r="E1686" s="8"/>
      <c r="F1686" s="8">
        <v>329.5</v>
      </c>
      <c r="G1686" s="8"/>
      <c r="H1686" s="8"/>
      <c r="I1686" s="8">
        <v>1947.92</v>
      </c>
      <c r="J1686" s="8"/>
      <c r="K1686" s="8"/>
      <c r="L1686" s="8"/>
      <c r="M1686" s="8"/>
      <c r="N1686" s="8">
        <v>21.18</v>
      </c>
      <c r="O1686" s="8"/>
      <c r="P1686" s="8"/>
      <c r="Q1686" s="11"/>
      <c r="R1686" s="11"/>
      <c r="S1686" s="8">
        <v>1.65</v>
      </c>
      <c r="T1686" s="8"/>
      <c r="U1686" s="8"/>
      <c r="V1686" s="8"/>
      <c r="W1686" s="8">
        <v>27.55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>
        <v>9.6</v>
      </c>
      <c r="AN1686" s="8">
        <f>762*18.32/1000</f>
        <v>13.95984</v>
      </c>
      <c r="AO1686" s="8"/>
      <c r="AP1686" s="11"/>
      <c r="AQ1686" s="8"/>
      <c r="AR1686" s="8">
        <f>4537*18.32/1000</f>
        <v>83.117840000000001</v>
      </c>
      <c r="AS1686" s="8"/>
      <c r="AT1686" s="8">
        <v>1042.76</v>
      </c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>
        <v>73.19</v>
      </c>
      <c r="BH1686" s="9">
        <f t="shared" si="234"/>
        <v>2744.33</v>
      </c>
      <c r="BI1686" s="9">
        <f t="shared" si="235"/>
        <v>21.18</v>
      </c>
      <c r="BJ1686" s="9">
        <f t="shared" si="236"/>
        <v>1.65</v>
      </c>
      <c r="BK1686" s="9">
        <f t="shared" si="237"/>
        <v>27.55</v>
      </c>
      <c r="BL1686" s="9">
        <f t="shared" si="238"/>
        <v>0</v>
      </c>
      <c r="BM1686" s="9">
        <f t="shared" si="239"/>
        <v>106.67768000000001</v>
      </c>
      <c r="BN1686" s="9">
        <f t="shared" si="240"/>
        <v>1042.76</v>
      </c>
      <c r="BO1686" s="9">
        <f t="shared" si="241"/>
        <v>0</v>
      </c>
      <c r="BP1686" s="9">
        <f t="shared" si="242"/>
        <v>0</v>
      </c>
    </row>
    <row r="1687" spans="1:68">
      <c r="A1687" s="6">
        <v>44852</v>
      </c>
      <c r="B1687" s="7">
        <v>3079</v>
      </c>
      <c r="C1687" s="8"/>
      <c r="D1687" s="8"/>
      <c r="E1687" s="8"/>
      <c r="F1687" s="8">
        <v>347.82</v>
      </c>
      <c r="G1687" s="8"/>
      <c r="H1687" s="8"/>
      <c r="I1687" s="8">
        <v>2811.81</v>
      </c>
      <c r="J1687" s="8"/>
      <c r="K1687" s="8"/>
      <c r="L1687" s="8"/>
      <c r="M1687" s="8"/>
      <c r="N1687" s="8">
        <v>22.44</v>
      </c>
      <c r="O1687" s="8"/>
      <c r="P1687" s="8"/>
      <c r="Q1687" s="11"/>
      <c r="R1687" s="11"/>
      <c r="S1687" s="8">
        <v>1.27</v>
      </c>
      <c r="T1687" s="8"/>
      <c r="U1687" s="8"/>
      <c r="V1687" s="8"/>
      <c r="W1687" s="8">
        <v>31.61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>
        <v>12.63</v>
      </c>
      <c r="AN1687" s="8">
        <f>1721*18.6/1000</f>
        <v>32.010600000000004</v>
      </c>
      <c r="AO1687" s="8"/>
      <c r="AP1687" s="11"/>
      <c r="AQ1687" s="8"/>
      <c r="AR1687" s="8">
        <f>4239*18.6/1000</f>
        <v>78.845400000000012</v>
      </c>
      <c r="AS1687" s="8"/>
      <c r="AT1687" s="8">
        <v>1219.7</v>
      </c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>
        <v>88.25</v>
      </c>
      <c r="BH1687" s="9">
        <f t="shared" si="234"/>
        <v>3159.63</v>
      </c>
      <c r="BI1687" s="9">
        <f t="shared" si="235"/>
        <v>22.44</v>
      </c>
      <c r="BJ1687" s="9">
        <f t="shared" si="236"/>
        <v>1.27</v>
      </c>
      <c r="BK1687" s="9">
        <f t="shared" si="237"/>
        <v>31.61</v>
      </c>
      <c r="BL1687" s="9">
        <f t="shared" si="238"/>
        <v>0</v>
      </c>
      <c r="BM1687" s="9">
        <f t="shared" si="239"/>
        <v>123.48600000000002</v>
      </c>
      <c r="BN1687" s="9">
        <f t="shared" si="240"/>
        <v>1219.7</v>
      </c>
      <c r="BO1687" s="9">
        <f t="shared" si="241"/>
        <v>0</v>
      </c>
      <c r="BP1687" s="9">
        <f t="shared" si="242"/>
        <v>0</v>
      </c>
    </row>
    <row r="1688" spans="1:68">
      <c r="A1688" s="6">
        <v>44852</v>
      </c>
      <c r="B1688" s="7">
        <v>3139</v>
      </c>
      <c r="C1688" s="8">
        <v>853.35</v>
      </c>
      <c r="D1688" s="8"/>
      <c r="E1688" s="8"/>
      <c r="F1688" s="8"/>
      <c r="G1688" s="8"/>
      <c r="H1688" s="8">
        <v>354.25</v>
      </c>
      <c r="I1688" s="8"/>
      <c r="J1688" s="8"/>
      <c r="K1688" s="8"/>
      <c r="L1688" s="8"/>
      <c r="M1688" s="8"/>
      <c r="N1688" s="8"/>
      <c r="O1688" s="8"/>
      <c r="P1688" s="8"/>
      <c r="Q1688" s="11">
        <v>2.0099999999999998</v>
      </c>
      <c r="R1688" s="11"/>
      <c r="S1688" s="8">
        <v>3.78</v>
      </c>
      <c r="T1688" s="8"/>
      <c r="U1688" s="8">
        <v>12.61</v>
      </c>
      <c r="V1688" s="8"/>
      <c r="W1688" s="8"/>
      <c r="X1688" s="8"/>
      <c r="Y1688" s="8"/>
      <c r="Z1688" s="8"/>
      <c r="AA1688" s="8"/>
      <c r="AB1688" s="8"/>
      <c r="AC1688" s="8">
        <v>4.2</v>
      </c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11"/>
      <c r="AQ1688" s="8"/>
      <c r="AR1688" s="8"/>
      <c r="AS1688" s="8"/>
      <c r="AT1688" s="8">
        <v>623.51</v>
      </c>
      <c r="AU1688" s="8"/>
      <c r="AV1688" s="8">
        <v>21</v>
      </c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>
        <v>45.2</v>
      </c>
      <c r="BH1688" s="9">
        <f t="shared" si="234"/>
        <v>1207.5999999999999</v>
      </c>
      <c r="BI1688" s="9">
        <f t="shared" si="235"/>
        <v>2.0099999999999998</v>
      </c>
      <c r="BJ1688" s="9">
        <f t="shared" si="236"/>
        <v>3.78</v>
      </c>
      <c r="BK1688" s="9">
        <f t="shared" si="237"/>
        <v>12.61</v>
      </c>
      <c r="BL1688" s="9">
        <f t="shared" si="238"/>
        <v>0</v>
      </c>
      <c r="BM1688" s="9">
        <f t="shared" si="239"/>
        <v>4.2</v>
      </c>
      <c r="BN1688" s="9">
        <f t="shared" si="240"/>
        <v>623.51</v>
      </c>
      <c r="BO1688" s="9">
        <f t="shared" si="241"/>
        <v>21</v>
      </c>
      <c r="BP1688" s="9">
        <f t="shared" si="242"/>
        <v>0</v>
      </c>
    </row>
    <row r="1689" spans="1:68">
      <c r="A1689" s="6">
        <v>44852</v>
      </c>
      <c r="B1689" s="7">
        <v>3433</v>
      </c>
      <c r="C1689" s="8">
        <f>885.21+262.88</f>
        <v>1148.0900000000001</v>
      </c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11">
        <f>1.71+0.53</f>
        <v>2.2400000000000002</v>
      </c>
      <c r="R1689" s="11"/>
      <c r="S1689" s="8">
        <f>3.54+1.05</f>
        <v>4.59</v>
      </c>
      <c r="T1689" s="8"/>
      <c r="U1689" s="8"/>
      <c r="V1689" s="8"/>
      <c r="W1689" s="8"/>
      <c r="X1689" s="8">
        <f>862*13.52/1000</f>
        <v>11.65424</v>
      </c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11"/>
      <c r="AQ1689" s="8"/>
      <c r="AR1689" s="8"/>
      <c r="AS1689" s="8"/>
      <c r="AT1689" s="8">
        <f>402.79+120.1</f>
        <v>522.89</v>
      </c>
      <c r="AU1689" s="8"/>
      <c r="AV1689" s="8"/>
      <c r="AW1689" s="8"/>
      <c r="AX1689" s="8"/>
      <c r="AY1689" s="8"/>
      <c r="AZ1689" s="8"/>
      <c r="BA1689" s="8">
        <f>3.98+1.18</f>
        <v>5.16</v>
      </c>
      <c r="BB1689" s="8"/>
      <c r="BC1689" s="8"/>
      <c r="BD1689" s="8"/>
      <c r="BE1689" s="8"/>
      <c r="BF1689" s="8">
        <f>44.33+13.19</f>
        <v>57.519999999999996</v>
      </c>
      <c r="BG1689" s="8">
        <f>29.74+8.79</f>
        <v>38.53</v>
      </c>
      <c r="BH1689" s="9">
        <f t="shared" si="234"/>
        <v>1148.0900000000001</v>
      </c>
      <c r="BI1689" s="9">
        <f t="shared" si="235"/>
        <v>2.2400000000000002</v>
      </c>
      <c r="BJ1689" s="9">
        <f t="shared" si="236"/>
        <v>4.59</v>
      </c>
      <c r="BK1689" s="9">
        <f t="shared" si="237"/>
        <v>11.65424</v>
      </c>
      <c r="BL1689" s="9">
        <f t="shared" si="238"/>
        <v>0</v>
      </c>
      <c r="BM1689" s="9">
        <f t="shared" si="239"/>
        <v>0</v>
      </c>
      <c r="BN1689" s="9">
        <f t="shared" si="240"/>
        <v>522.89</v>
      </c>
      <c r="BO1689" s="9">
        <f t="shared" si="241"/>
        <v>5.16</v>
      </c>
      <c r="BP1689" s="9">
        <f t="shared" si="242"/>
        <v>57.519999999999996</v>
      </c>
    </row>
    <row r="1690" spans="1:68">
      <c r="A1690" s="6">
        <v>44853</v>
      </c>
      <c r="B1690" s="7">
        <v>3141</v>
      </c>
      <c r="C1690" s="8">
        <v>3647.21</v>
      </c>
      <c r="D1690" s="8">
        <v>650.62</v>
      </c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11">
        <v>11.56</v>
      </c>
      <c r="R1690" s="11"/>
      <c r="S1690" s="8">
        <v>20.18</v>
      </c>
      <c r="T1690" s="8"/>
      <c r="U1690" s="8">
        <v>64.39</v>
      </c>
      <c r="V1690" s="8"/>
      <c r="W1690" s="8"/>
      <c r="X1690" s="8"/>
      <c r="Y1690" s="8"/>
      <c r="Z1690" s="8"/>
      <c r="AA1690" s="8"/>
      <c r="AB1690" s="8"/>
      <c r="AC1690" s="8">
        <v>17.149999999999999</v>
      </c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11"/>
      <c r="AQ1690" s="8"/>
      <c r="AR1690" s="8"/>
      <c r="AS1690" s="8"/>
      <c r="AT1690" s="8">
        <v>2847.37</v>
      </c>
      <c r="AU1690" s="8"/>
      <c r="AV1690" s="8"/>
      <c r="AW1690" s="8"/>
      <c r="AX1690" s="8"/>
      <c r="AY1690" s="8"/>
      <c r="AZ1690" s="8"/>
      <c r="BA1690" s="8">
        <v>98.29</v>
      </c>
      <c r="BB1690" s="8"/>
      <c r="BC1690" s="8"/>
      <c r="BD1690" s="8"/>
      <c r="BE1690" s="8"/>
      <c r="BF1690" s="8">
        <v>300.54000000000002</v>
      </c>
      <c r="BG1690" s="8">
        <v>223.56</v>
      </c>
      <c r="BH1690" s="9">
        <f t="shared" si="234"/>
        <v>4297.83</v>
      </c>
      <c r="BI1690" s="9">
        <f t="shared" si="235"/>
        <v>11.56</v>
      </c>
      <c r="BJ1690" s="9">
        <f t="shared" si="236"/>
        <v>20.18</v>
      </c>
      <c r="BK1690" s="9">
        <f t="shared" si="237"/>
        <v>64.39</v>
      </c>
      <c r="BL1690" s="9">
        <f t="shared" si="238"/>
        <v>0</v>
      </c>
      <c r="BM1690" s="9">
        <f t="shared" si="239"/>
        <v>17.149999999999999</v>
      </c>
      <c r="BN1690" s="9">
        <f t="shared" si="240"/>
        <v>2847.37</v>
      </c>
      <c r="BO1690" s="9">
        <f t="shared" si="241"/>
        <v>98.29</v>
      </c>
      <c r="BP1690" s="9">
        <f t="shared" si="242"/>
        <v>300.54000000000002</v>
      </c>
    </row>
    <row r="1691" spans="1:68">
      <c r="A1691" s="6">
        <v>44853</v>
      </c>
      <c r="B1691" s="7">
        <v>3106</v>
      </c>
      <c r="C1691" s="8">
        <v>2074.15</v>
      </c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11">
        <v>5.59</v>
      </c>
      <c r="R1691" s="11"/>
      <c r="S1691" s="8">
        <v>6.22</v>
      </c>
      <c r="T1691" s="8"/>
      <c r="U1691" s="8">
        <v>26.4</v>
      </c>
      <c r="V1691" s="8"/>
      <c r="W1691" s="8"/>
      <c r="X1691" s="8"/>
      <c r="Y1691" s="8"/>
      <c r="Z1691" s="8"/>
      <c r="AA1691" s="8"/>
      <c r="AB1691" s="8"/>
      <c r="AC1691" s="8">
        <v>5.19</v>
      </c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11"/>
      <c r="AQ1691" s="8"/>
      <c r="AR1691" s="8"/>
      <c r="AS1691" s="8"/>
      <c r="AT1691" s="8">
        <v>1188.58</v>
      </c>
      <c r="AU1691" s="8"/>
      <c r="AV1691" s="8"/>
      <c r="AW1691" s="8"/>
      <c r="AX1691" s="8">
        <v>2.6</v>
      </c>
      <c r="AY1691" s="8"/>
      <c r="AZ1691" s="8"/>
      <c r="BA1691" s="8"/>
      <c r="BB1691" s="8"/>
      <c r="BC1691" s="8"/>
      <c r="BD1691" s="8"/>
      <c r="BE1691" s="8"/>
      <c r="BF1691" s="8"/>
      <c r="BG1691" s="8">
        <v>89.62</v>
      </c>
      <c r="BH1691" s="9">
        <f t="shared" si="234"/>
        <v>2074.15</v>
      </c>
      <c r="BI1691" s="9">
        <f t="shared" si="235"/>
        <v>5.59</v>
      </c>
      <c r="BJ1691" s="9">
        <f t="shared" si="236"/>
        <v>6.22</v>
      </c>
      <c r="BK1691" s="9">
        <f t="shared" si="237"/>
        <v>26.4</v>
      </c>
      <c r="BL1691" s="9">
        <f t="shared" si="238"/>
        <v>0</v>
      </c>
      <c r="BM1691" s="9">
        <f t="shared" si="239"/>
        <v>5.19</v>
      </c>
      <c r="BN1691" s="9">
        <f t="shared" si="240"/>
        <v>1188.58</v>
      </c>
      <c r="BO1691" s="9">
        <f t="shared" si="241"/>
        <v>2.6</v>
      </c>
      <c r="BP1691" s="9">
        <f t="shared" si="242"/>
        <v>0</v>
      </c>
    </row>
    <row r="1692" spans="1:68">
      <c r="A1692" s="6">
        <v>44853</v>
      </c>
      <c r="B1692" s="7">
        <v>3405</v>
      </c>
      <c r="C1692" s="8">
        <v>1214.25</v>
      </c>
      <c r="D1692" s="8">
        <v>302.5</v>
      </c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11">
        <v>3.03</v>
      </c>
      <c r="R1692" s="11"/>
      <c r="S1692" s="8">
        <v>3.49</v>
      </c>
      <c r="T1692" s="8"/>
      <c r="U1692" s="8"/>
      <c r="V1692" s="8"/>
      <c r="W1692" s="8"/>
      <c r="X1692" s="8">
        <f>1222*15.2/1000</f>
        <v>18.574399999999997</v>
      </c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11"/>
      <c r="AQ1692" s="8"/>
      <c r="AR1692" s="8"/>
      <c r="AS1692" s="8"/>
      <c r="AT1692" s="8">
        <v>747.05</v>
      </c>
      <c r="AU1692" s="8"/>
      <c r="AV1692" s="8"/>
      <c r="AW1692" s="8"/>
      <c r="AX1692" s="8"/>
      <c r="AY1692" s="8"/>
      <c r="AZ1692" s="8"/>
      <c r="BA1692" s="8">
        <v>6.83</v>
      </c>
      <c r="BB1692" s="8"/>
      <c r="BC1692" s="8"/>
      <c r="BD1692" s="8"/>
      <c r="BE1692" s="8"/>
      <c r="BF1692" s="8"/>
      <c r="BG1692" s="8">
        <v>50.18</v>
      </c>
      <c r="BH1692" s="9">
        <f t="shared" si="234"/>
        <v>1516.75</v>
      </c>
      <c r="BI1692" s="9">
        <f t="shared" si="235"/>
        <v>3.03</v>
      </c>
      <c r="BJ1692" s="9">
        <f t="shared" si="236"/>
        <v>3.49</v>
      </c>
      <c r="BK1692" s="9">
        <f t="shared" si="237"/>
        <v>18.574399999999997</v>
      </c>
      <c r="BL1692" s="9">
        <f t="shared" si="238"/>
        <v>0</v>
      </c>
      <c r="BM1692" s="9">
        <f t="shared" si="239"/>
        <v>0</v>
      </c>
      <c r="BN1692" s="9">
        <f t="shared" si="240"/>
        <v>747.05</v>
      </c>
      <c r="BO1692" s="9">
        <f t="shared" si="241"/>
        <v>6.83</v>
      </c>
      <c r="BP1692" s="9">
        <f t="shared" si="242"/>
        <v>0</v>
      </c>
    </row>
    <row r="1693" spans="1:68">
      <c r="A1693" s="6">
        <v>44853</v>
      </c>
      <c r="B1693" s="7">
        <v>3408</v>
      </c>
      <c r="C1693" s="8">
        <v>1053.9100000000001</v>
      </c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11">
        <v>2.64</v>
      </c>
      <c r="R1693" s="11"/>
      <c r="S1693" s="8">
        <v>2.64</v>
      </c>
      <c r="T1693" s="8"/>
      <c r="U1693" s="8"/>
      <c r="V1693" s="8"/>
      <c r="W1693" s="8"/>
      <c r="X1693" s="8">
        <f>1024*10.55/1000</f>
        <v>10.8032</v>
      </c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11"/>
      <c r="AQ1693" s="8"/>
      <c r="AR1693" s="8"/>
      <c r="AS1693" s="8"/>
      <c r="AT1693" s="8">
        <v>527.48</v>
      </c>
      <c r="AU1693" s="8"/>
      <c r="AV1693" s="8"/>
      <c r="AW1693" s="8"/>
      <c r="AX1693" s="8"/>
      <c r="AY1693" s="8"/>
      <c r="AZ1693" s="8"/>
      <c r="BA1693" s="8">
        <v>4.76</v>
      </c>
      <c r="BB1693" s="8"/>
      <c r="BC1693" s="8"/>
      <c r="BD1693" s="8"/>
      <c r="BE1693" s="8"/>
      <c r="BF1693" s="8"/>
      <c r="BG1693" s="8">
        <v>35.909999999999997</v>
      </c>
      <c r="BH1693" s="9">
        <f t="shared" si="234"/>
        <v>1053.9100000000001</v>
      </c>
      <c r="BI1693" s="9">
        <f t="shared" si="235"/>
        <v>2.64</v>
      </c>
      <c r="BJ1693" s="9">
        <f t="shared" si="236"/>
        <v>2.64</v>
      </c>
      <c r="BK1693" s="9">
        <f t="shared" si="237"/>
        <v>10.8032</v>
      </c>
      <c r="BL1693" s="9">
        <f t="shared" si="238"/>
        <v>0</v>
      </c>
      <c r="BM1693" s="9">
        <f t="shared" si="239"/>
        <v>0</v>
      </c>
      <c r="BN1693" s="9">
        <f t="shared" si="240"/>
        <v>527.48</v>
      </c>
      <c r="BO1693" s="9">
        <f t="shared" si="241"/>
        <v>4.76</v>
      </c>
      <c r="BP1693" s="9">
        <f t="shared" si="242"/>
        <v>0</v>
      </c>
    </row>
    <row r="1694" spans="1:68">
      <c r="A1694" s="6">
        <v>44853</v>
      </c>
      <c r="B1694" s="7">
        <v>3433</v>
      </c>
      <c r="C1694" s="8">
        <v>214.45</v>
      </c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11">
        <v>0.45</v>
      </c>
      <c r="R1694" s="11"/>
      <c r="S1694" s="8">
        <v>0.85</v>
      </c>
      <c r="T1694" s="8"/>
      <c r="U1694" s="8"/>
      <c r="V1694" s="8"/>
      <c r="W1694" s="8"/>
      <c r="X1694" s="8">
        <f>862*2.52/1000</f>
        <v>2.1722400000000004</v>
      </c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11"/>
      <c r="AQ1694" s="8"/>
      <c r="AR1694" s="8"/>
      <c r="AS1694" s="8"/>
      <c r="AT1694" s="8">
        <v>97.78</v>
      </c>
      <c r="AU1694" s="8"/>
      <c r="AV1694" s="8"/>
      <c r="AW1694" s="8"/>
      <c r="AX1694" s="8"/>
      <c r="AY1694" s="8"/>
      <c r="AZ1694" s="8"/>
      <c r="BA1694" s="8">
        <v>0.96</v>
      </c>
      <c r="BB1694" s="8"/>
      <c r="BC1694" s="8"/>
      <c r="BD1694" s="8"/>
      <c r="BE1694" s="8"/>
      <c r="BF1694" s="8"/>
      <c r="BG1694" s="8">
        <v>7.18</v>
      </c>
      <c r="BH1694" s="9">
        <f t="shared" si="234"/>
        <v>214.45</v>
      </c>
      <c r="BI1694" s="9">
        <f t="shared" si="235"/>
        <v>0.45</v>
      </c>
      <c r="BJ1694" s="9">
        <f t="shared" si="236"/>
        <v>0.85</v>
      </c>
      <c r="BK1694" s="9">
        <f t="shared" si="237"/>
        <v>2.1722400000000004</v>
      </c>
      <c r="BL1694" s="9">
        <f t="shared" si="238"/>
        <v>0</v>
      </c>
      <c r="BM1694" s="9">
        <f t="shared" si="239"/>
        <v>0</v>
      </c>
      <c r="BN1694" s="9">
        <f t="shared" si="240"/>
        <v>97.78</v>
      </c>
      <c r="BO1694" s="9">
        <f t="shared" si="241"/>
        <v>0.96</v>
      </c>
      <c r="BP1694" s="9">
        <f t="shared" si="242"/>
        <v>0</v>
      </c>
    </row>
    <row r="1695" spans="1:68">
      <c r="A1695" s="6">
        <v>44853</v>
      </c>
      <c r="B1695" s="7">
        <v>3200</v>
      </c>
      <c r="C1695" s="8">
        <v>2312.66</v>
      </c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>
        <v>5.78</v>
      </c>
      <c r="P1695" s="8"/>
      <c r="Q1695" s="11"/>
      <c r="R1695" s="11"/>
      <c r="S1695" s="8">
        <v>9.0399999999999991</v>
      </c>
      <c r="T1695" s="8"/>
      <c r="U1695" s="8">
        <v>34.840000000000003</v>
      </c>
      <c r="V1695" s="8"/>
      <c r="W1695" s="8"/>
      <c r="X1695" s="8"/>
      <c r="Y1695" s="8"/>
      <c r="Z1695" s="8">
        <v>487.44</v>
      </c>
      <c r="AA1695" s="8"/>
      <c r="AB1695" s="8"/>
      <c r="AC1695" s="8"/>
      <c r="AD1695" s="8"/>
      <c r="AE1695" s="8"/>
      <c r="AF1695" s="8">
        <v>114.91</v>
      </c>
      <c r="AG1695" s="8"/>
      <c r="AH1695" s="8"/>
      <c r="AI1695" s="8"/>
      <c r="AJ1695" s="8"/>
      <c r="AK1695" s="8"/>
      <c r="AL1695" s="8"/>
      <c r="AM1695" s="8"/>
      <c r="AN1695" s="8"/>
      <c r="AO1695" s="8"/>
      <c r="AP1695" s="11"/>
      <c r="AQ1695" s="8">
        <f>1512*23.2/1000</f>
        <v>35.078400000000002</v>
      </c>
      <c r="AR1695" s="8"/>
      <c r="AS1695" s="8"/>
      <c r="AT1695" s="8">
        <v>1583.34</v>
      </c>
      <c r="AU1695" s="8"/>
      <c r="AV1695" s="8"/>
      <c r="AW1695" s="8">
        <v>6.64</v>
      </c>
      <c r="AX1695" s="8"/>
      <c r="AY1695" s="8"/>
      <c r="AZ1695" s="8"/>
      <c r="BA1695" s="8"/>
      <c r="BB1695" s="8"/>
      <c r="BC1695" s="8"/>
      <c r="BD1695" s="8"/>
      <c r="BE1695" s="8"/>
      <c r="BF1695" s="8">
        <v>111.46</v>
      </c>
      <c r="BG1695" s="8">
        <v>114.92</v>
      </c>
      <c r="BH1695" s="9">
        <f t="shared" si="234"/>
        <v>2312.66</v>
      </c>
      <c r="BI1695" s="9">
        <f t="shared" si="235"/>
        <v>5.78</v>
      </c>
      <c r="BJ1695" s="9">
        <f t="shared" si="236"/>
        <v>9.0399999999999991</v>
      </c>
      <c r="BK1695" s="9">
        <f t="shared" si="237"/>
        <v>34.840000000000003</v>
      </c>
      <c r="BL1695" s="9">
        <f t="shared" si="238"/>
        <v>487.44</v>
      </c>
      <c r="BM1695" s="9">
        <f t="shared" si="239"/>
        <v>149.98840000000001</v>
      </c>
      <c r="BN1695" s="9">
        <f t="shared" si="240"/>
        <v>1583.34</v>
      </c>
      <c r="BO1695" s="9">
        <f t="shared" si="241"/>
        <v>6.64</v>
      </c>
      <c r="BP1695" s="9">
        <f t="shared" si="242"/>
        <v>111.46</v>
      </c>
    </row>
    <row r="1696" spans="1:68">
      <c r="A1696" s="6">
        <v>44853</v>
      </c>
      <c r="B1696" s="7">
        <v>3022</v>
      </c>
      <c r="C1696" s="8"/>
      <c r="D1696" s="8">
        <v>566.86</v>
      </c>
      <c r="E1696" s="8"/>
      <c r="F1696" s="8"/>
      <c r="G1696" s="8"/>
      <c r="H1696" s="8"/>
      <c r="I1696" s="8">
        <v>463.9</v>
      </c>
      <c r="J1696" s="8"/>
      <c r="K1696" s="8"/>
      <c r="L1696" s="8"/>
      <c r="M1696" s="8"/>
      <c r="N1696" s="8">
        <v>5.15</v>
      </c>
      <c r="O1696" s="8"/>
      <c r="P1696" s="8"/>
      <c r="Q1696" s="11"/>
      <c r="R1696" s="11"/>
      <c r="S1696" s="8">
        <v>1.86</v>
      </c>
      <c r="T1696" s="8"/>
      <c r="U1696" s="8"/>
      <c r="V1696" s="8"/>
      <c r="W1696" s="8">
        <v>10.34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>
        <v>13.39</v>
      </c>
      <c r="AN1696" s="8"/>
      <c r="AO1696" s="8"/>
      <c r="AP1696" s="11"/>
      <c r="AQ1696" s="8"/>
      <c r="AR1696" s="8"/>
      <c r="AS1696" s="8">
        <f>3883*9.38/1000</f>
        <v>36.422539999999998</v>
      </c>
      <c r="AT1696" s="8">
        <v>482.24</v>
      </c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>
        <v>37.159999999999997</v>
      </c>
      <c r="BH1696" s="9">
        <f t="shared" si="234"/>
        <v>1030.76</v>
      </c>
      <c r="BI1696" s="9">
        <f t="shared" si="235"/>
        <v>5.15</v>
      </c>
      <c r="BJ1696" s="9">
        <f t="shared" si="236"/>
        <v>1.86</v>
      </c>
      <c r="BK1696" s="9">
        <f t="shared" si="237"/>
        <v>10.34</v>
      </c>
      <c r="BL1696" s="9">
        <f t="shared" si="238"/>
        <v>0</v>
      </c>
      <c r="BM1696" s="9">
        <f t="shared" si="239"/>
        <v>49.812539999999998</v>
      </c>
      <c r="BN1696" s="9">
        <f t="shared" si="240"/>
        <v>482.24</v>
      </c>
      <c r="BO1696" s="9">
        <f t="shared" si="241"/>
        <v>0</v>
      </c>
      <c r="BP1696" s="9">
        <f t="shared" si="242"/>
        <v>0</v>
      </c>
    </row>
    <row r="1697" spans="1:68">
      <c r="A1697" s="6">
        <v>44853</v>
      </c>
      <c r="B1697" s="7">
        <v>3028</v>
      </c>
      <c r="C1697" s="8"/>
      <c r="D1697" s="8">
        <v>403.82</v>
      </c>
      <c r="E1697" s="8"/>
      <c r="F1697" s="8">
        <v>369.57</v>
      </c>
      <c r="G1697" s="8"/>
      <c r="H1697" s="8"/>
      <c r="I1697" s="8">
        <v>834.79</v>
      </c>
      <c r="J1697" s="8"/>
      <c r="K1697" s="8"/>
      <c r="L1697" s="8"/>
      <c r="M1697" s="8"/>
      <c r="N1697" s="8">
        <v>12.02</v>
      </c>
      <c r="O1697" s="8"/>
      <c r="P1697" s="8"/>
      <c r="Q1697" s="11"/>
      <c r="R1697" s="11"/>
      <c r="S1697" s="8">
        <v>2.25</v>
      </c>
      <c r="T1697" s="8"/>
      <c r="U1697" s="8"/>
      <c r="V1697" s="8"/>
      <c r="W1697" s="8">
        <v>12.06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>
        <v>16.05</v>
      </c>
      <c r="AN1697" s="8">
        <f>1065*10.72/1000</f>
        <v>11.4168</v>
      </c>
      <c r="AO1697" s="8"/>
      <c r="AP1697" s="11"/>
      <c r="AQ1697" s="8"/>
      <c r="AR1697" s="8"/>
      <c r="AS1697" s="8">
        <f>4936*10.72/1000</f>
        <v>52.913920000000005</v>
      </c>
      <c r="AT1697" s="8">
        <v>535.99</v>
      </c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>
        <v>36.49</v>
      </c>
      <c r="BH1697" s="9">
        <f t="shared" si="234"/>
        <v>1608.1799999999998</v>
      </c>
      <c r="BI1697" s="9">
        <f t="shared" si="235"/>
        <v>12.02</v>
      </c>
      <c r="BJ1697" s="9">
        <f t="shared" si="236"/>
        <v>2.25</v>
      </c>
      <c r="BK1697" s="9">
        <f t="shared" si="237"/>
        <v>12.06</v>
      </c>
      <c r="BL1697" s="9">
        <f t="shared" si="238"/>
        <v>0</v>
      </c>
      <c r="BM1697" s="9">
        <f t="shared" si="239"/>
        <v>80.380719999999997</v>
      </c>
      <c r="BN1697" s="9">
        <f t="shared" si="240"/>
        <v>535.99</v>
      </c>
      <c r="BO1697" s="9">
        <f t="shared" si="241"/>
        <v>0</v>
      </c>
      <c r="BP1697" s="9">
        <f t="shared" si="242"/>
        <v>0</v>
      </c>
    </row>
    <row r="1698" spans="1:68">
      <c r="A1698" s="6">
        <v>44853</v>
      </c>
      <c r="B1698" s="7">
        <v>3307</v>
      </c>
      <c r="C1698" s="8"/>
      <c r="D1698" s="8">
        <v>1898.8</v>
      </c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11">
        <v>2.46</v>
      </c>
      <c r="R1698" s="11"/>
      <c r="S1698" s="8">
        <v>13.86</v>
      </c>
      <c r="T1698" s="8"/>
      <c r="U1698" s="8">
        <v>19</v>
      </c>
      <c r="V1698" s="8"/>
      <c r="W1698" s="8"/>
      <c r="X1698" s="8"/>
      <c r="Y1698" s="8"/>
      <c r="Z1698" s="8"/>
      <c r="AA1698" s="8"/>
      <c r="AB1698" s="8"/>
      <c r="AC1698" s="8">
        <v>11.4</v>
      </c>
      <c r="AD1698" s="8"/>
      <c r="AE1698" s="8"/>
      <c r="AF1698" s="8"/>
      <c r="AG1698" s="8">
        <v>19</v>
      </c>
      <c r="AH1698" s="8"/>
      <c r="AI1698" s="8"/>
      <c r="AJ1698" s="8"/>
      <c r="AK1698" s="8"/>
      <c r="AL1698" s="8"/>
      <c r="AM1698" s="8"/>
      <c r="AN1698" s="8"/>
      <c r="AO1698" s="8"/>
      <c r="AP1698" s="11"/>
      <c r="AQ1698" s="8"/>
      <c r="AR1698" s="8"/>
      <c r="AS1698" s="8"/>
      <c r="AT1698" s="8"/>
      <c r="AU1698" s="8">
        <v>951.09</v>
      </c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>
        <v>68.3</v>
      </c>
      <c r="BH1698" s="9">
        <f t="shared" si="234"/>
        <v>1898.8</v>
      </c>
      <c r="BI1698" s="9">
        <f t="shared" si="235"/>
        <v>2.46</v>
      </c>
      <c r="BJ1698" s="9">
        <f t="shared" si="236"/>
        <v>13.86</v>
      </c>
      <c r="BK1698" s="9">
        <f t="shared" si="237"/>
        <v>19</v>
      </c>
      <c r="BL1698" s="9">
        <f t="shared" si="238"/>
        <v>0</v>
      </c>
      <c r="BM1698" s="9">
        <f t="shared" si="239"/>
        <v>30.4</v>
      </c>
      <c r="BN1698" s="9">
        <f t="shared" si="240"/>
        <v>951.09</v>
      </c>
      <c r="BO1698" s="9">
        <f t="shared" si="241"/>
        <v>0</v>
      </c>
      <c r="BP1698" s="9">
        <f t="shared" si="242"/>
        <v>0</v>
      </c>
    </row>
    <row r="1699" spans="1:68">
      <c r="A1699" s="6">
        <v>44853</v>
      </c>
      <c r="B1699" s="7">
        <v>3204</v>
      </c>
      <c r="C1699" s="8"/>
      <c r="D1699" s="8">
        <v>1783</v>
      </c>
      <c r="E1699" s="8">
        <v>764.88</v>
      </c>
      <c r="F1699" s="8"/>
      <c r="G1699" s="8"/>
      <c r="H1699" s="8"/>
      <c r="I1699" s="8"/>
      <c r="J1699" s="8"/>
      <c r="K1699" s="8"/>
      <c r="L1699" s="8"/>
      <c r="M1699" s="8"/>
      <c r="N1699" s="8"/>
      <c r="O1699" s="8">
        <v>12.73</v>
      </c>
      <c r="P1699" s="8"/>
      <c r="Q1699" s="11"/>
      <c r="R1699" s="11"/>
      <c r="S1699" s="8">
        <v>8.66</v>
      </c>
      <c r="T1699" s="8"/>
      <c r="U1699" s="8">
        <v>28.08</v>
      </c>
      <c r="V1699" s="8"/>
      <c r="W1699" s="8"/>
      <c r="X1699" s="8"/>
      <c r="Y1699" s="8"/>
      <c r="Z1699" s="8">
        <v>382.92</v>
      </c>
      <c r="AA1699" s="8"/>
      <c r="AB1699" s="8">
        <f>706*18.22/1000</f>
        <v>12.86332</v>
      </c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11"/>
      <c r="AQ1699" s="8"/>
      <c r="AR1699" s="8"/>
      <c r="AS1699" s="8"/>
      <c r="AT1699" s="8">
        <v>1122.31</v>
      </c>
      <c r="AU1699" s="8"/>
      <c r="AV1699" s="8"/>
      <c r="AW1699" s="8">
        <v>8.18</v>
      </c>
      <c r="AX1699" s="8"/>
      <c r="AY1699" s="8"/>
      <c r="AZ1699" s="8"/>
      <c r="BA1699" s="8"/>
      <c r="BB1699" s="8"/>
      <c r="BC1699" s="8"/>
      <c r="BD1699" s="8"/>
      <c r="BE1699" s="8"/>
      <c r="BF1699" s="8"/>
      <c r="BG1699" s="8">
        <v>82.93</v>
      </c>
      <c r="BH1699" s="9">
        <f t="shared" si="234"/>
        <v>2547.88</v>
      </c>
      <c r="BI1699" s="9">
        <f t="shared" si="235"/>
        <v>12.73</v>
      </c>
      <c r="BJ1699" s="9">
        <f t="shared" si="236"/>
        <v>8.66</v>
      </c>
      <c r="BK1699" s="9">
        <f t="shared" si="237"/>
        <v>28.08</v>
      </c>
      <c r="BL1699" s="9">
        <f t="shared" si="238"/>
        <v>382.92</v>
      </c>
      <c r="BM1699" s="9">
        <f t="shared" si="239"/>
        <v>12.86332</v>
      </c>
      <c r="BN1699" s="9">
        <f t="shared" si="240"/>
        <v>1122.31</v>
      </c>
      <c r="BO1699" s="9">
        <f t="shared" si="241"/>
        <v>8.18</v>
      </c>
      <c r="BP1699" s="9">
        <f t="shared" si="242"/>
        <v>0</v>
      </c>
    </row>
    <row r="1700" spans="1:68">
      <c r="A1700" s="6">
        <v>44853</v>
      </c>
      <c r="B1700" s="7">
        <v>3704</v>
      </c>
      <c r="C1700" s="8">
        <v>658.16</v>
      </c>
      <c r="D1700" s="8">
        <v>984.54</v>
      </c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11">
        <v>4.9400000000000004</v>
      </c>
      <c r="R1700" s="11"/>
      <c r="S1700" s="8">
        <v>5.74</v>
      </c>
      <c r="T1700" s="8"/>
      <c r="U1700" s="8">
        <v>12.31</v>
      </c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>
        <v>19.7</v>
      </c>
      <c r="AN1700" s="8"/>
      <c r="AO1700" s="8"/>
      <c r="AP1700" s="11"/>
      <c r="AQ1700" s="8"/>
      <c r="AR1700" s="8"/>
      <c r="AS1700" s="8"/>
      <c r="AT1700" s="8">
        <v>288.83999999999997</v>
      </c>
      <c r="AU1700" s="8">
        <v>144.19999999999999</v>
      </c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>
        <v>26.46</v>
      </c>
      <c r="BH1700" s="9">
        <f t="shared" si="234"/>
        <v>1642.6999999999998</v>
      </c>
      <c r="BI1700" s="9">
        <f t="shared" si="235"/>
        <v>4.9400000000000004</v>
      </c>
      <c r="BJ1700" s="9">
        <f t="shared" si="236"/>
        <v>5.74</v>
      </c>
      <c r="BK1700" s="9">
        <f t="shared" si="237"/>
        <v>12.31</v>
      </c>
      <c r="BL1700" s="9">
        <f t="shared" si="238"/>
        <v>0</v>
      </c>
      <c r="BM1700" s="9">
        <f t="shared" si="239"/>
        <v>19.7</v>
      </c>
      <c r="BN1700" s="9">
        <f t="shared" si="240"/>
        <v>433.03999999999996</v>
      </c>
      <c r="BO1700" s="9">
        <f t="shared" si="241"/>
        <v>0</v>
      </c>
      <c r="BP1700" s="9">
        <f t="shared" si="242"/>
        <v>0</v>
      </c>
    </row>
    <row r="1701" spans="1:68">
      <c r="A1701" s="6">
        <v>44854</v>
      </c>
      <c r="B1701" s="7">
        <v>3703</v>
      </c>
      <c r="C1701" s="8">
        <v>863.27</v>
      </c>
      <c r="D1701" s="8">
        <v>573.54999999999995</v>
      </c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11">
        <v>2.82</v>
      </c>
      <c r="R1701" s="11"/>
      <c r="S1701" s="8">
        <v>7.02</v>
      </c>
      <c r="T1701" s="8"/>
      <c r="U1701" s="8">
        <v>11.52</v>
      </c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>
        <v>14.29</v>
      </c>
      <c r="AN1701" s="8"/>
      <c r="AO1701" s="8"/>
      <c r="AP1701" s="11"/>
      <c r="AQ1701" s="8"/>
      <c r="AR1701" s="8"/>
      <c r="AS1701" s="8"/>
      <c r="AT1701" s="8">
        <v>347.55</v>
      </c>
      <c r="AU1701" s="8">
        <v>174.55</v>
      </c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>
        <v>36.17</v>
      </c>
      <c r="BH1701" s="9">
        <f t="shared" si="234"/>
        <v>1436.82</v>
      </c>
      <c r="BI1701" s="9">
        <f t="shared" si="235"/>
        <v>2.82</v>
      </c>
      <c r="BJ1701" s="9">
        <f t="shared" si="236"/>
        <v>7.02</v>
      </c>
      <c r="BK1701" s="9">
        <f t="shared" si="237"/>
        <v>11.52</v>
      </c>
      <c r="BL1701" s="9">
        <f t="shared" si="238"/>
        <v>0</v>
      </c>
      <c r="BM1701" s="9">
        <f t="shared" si="239"/>
        <v>14.29</v>
      </c>
      <c r="BN1701" s="9">
        <f t="shared" si="240"/>
        <v>522.1</v>
      </c>
      <c r="BO1701" s="9">
        <f t="shared" si="241"/>
        <v>0</v>
      </c>
      <c r="BP1701" s="9">
        <f t="shared" si="242"/>
        <v>0</v>
      </c>
    </row>
    <row r="1702" spans="1:68">
      <c r="A1702" s="6">
        <v>44854</v>
      </c>
      <c r="B1702" s="7">
        <v>3802</v>
      </c>
      <c r="C1702" s="8">
        <v>233.52</v>
      </c>
      <c r="D1702" s="8"/>
      <c r="E1702" s="8"/>
      <c r="F1702" s="8"/>
      <c r="G1702" s="8"/>
      <c r="H1702" s="8"/>
      <c r="I1702" s="8"/>
      <c r="J1702" s="8"/>
      <c r="K1702" s="8"/>
      <c r="L1702" s="8">
        <f>39137*4.85/1000</f>
        <v>189.81444999999999</v>
      </c>
      <c r="M1702" s="8"/>
      <c r="N1702" s="8">
        <v>0.61</v>
      </c>
      <c r="O1702" s="8"/>
      <c r="P1702" s="8"/>
      <c r="Q1702" s="11"/>
      <c r="R1702" s="11"/>
      <c r="S1702" s="8">
        <v>1.7</v>
      </c>
      <c r="T1702" s="8"/>
      <c r="U1702" s="8">
        <v>3.4</v>
      </c>
      <c r="V1702" s="8"/>
      <c r="W1702" s="8"/>
      <c r="X1702" s="8"/>
      <c r="Y1702" s="8"/>
      <c r="Z1702" s="8">
        <v>51.06</v>
      </c>
      <c r="AA1702" s="8">
        <f>3516*4.85/1000</f>
        <v>17.052599999999998</v>
      </c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11"/>
      <c r="AQ1702" s="8"/>
      <c r="AR1702" s="8"/>
      <c r="AS1702" s="8">
        <f>1421*4.85/1000</f>
        <v>6.8918499999999998</v>
      </c>
      <c r="AT1702" s="8">
        <v>206.56</v>
      </c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>
        <v>15.92</v>
      </c>
      <c r="BH1702" s="9">
        <f t="shared" si="234"/>
        <v>423.33445</v>
      </c>
      <c r="BI1702" s="9">
        <f t="shared" si="235"/>
        <v>0.61</v>
      </c>
      <c r="BJ1702" s="9">
        <f t="shared" si="236"/>
        <v>1.7</v>
      </c>
      <c r="BK1702" s="9">
        <f t="shared" si="237"/>
        <v>3.4</v>
      </c>
      <c r="BL1702" s="9">
        <f t="shared" si="238"/>
        <v>68.1126</v>
      </c>
      <c r="BM1702" s="9">
        <f t="shared" si="239"/>
        <v>6.8918499999999998</v>
      </c>
      <c r="BN1702" s="9">
        <f t="shared" si="240"/>
        <v>206.56</v>
      </c>
      <c r="BO1702" s="9">
        <f t="shared" si="241"/>
        <v>0</v>
      </c>
      <c r="BP1702" s="9">
        <f t="shared" si="242"/>
        <v>0</v>
      </c>
    </row>
    <row r="1703" spans="1:68">
      <c r="A1703" s="6">
        <v>44854</v>
      </c>
      <c r="B1703" s="7">
        <v>3122</v>
      </c>
      <c r="C1703" s="8">
        <v>1269.67</v>
      </c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>
        <v>2.29</v>
      </c>
      <c r="O1703" s="8"/>
      <c r="P1703" s="8"/>
      <c r="Q1703" s="11">
        <v>2.2599999999999998</v>
      </c>
      <c r="R1703" s="11"/>
      <c r="S1703" s="8">
        <v>5.21</v>
      </c>
      <c r="T1703" s="8"/>
      <c r="U1703" s="8">
        <v>12.72</v>
      </c>
      <c r="V1703" s="8"/>
      <c r="W1703" s="8"/>
      <c r="X1703" s="8"/>
      <c r="Y1703" s="8"/>
      <c r="Z1703" s="8"/>
      <c r="AA1703" s="8"/>
      <c r="AB1703" s="8"/>
      <c r="AC1703" s="8">
        <v>5.08</v>
      </c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11"/>
      <c r="AQ1703" s="8"/>
      <c r="AR1703" s="8"/>
      <c r="AS1703" s="8"/>
      <c r="AT1703" s="8">
        <v>562.54</v>
      </c>
      <c r="AU1703" s="8"/>
      <c r="AV1703" s="8">
        <v>43.2</v>
      </c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>
        <v>41.31</v>
      </c>
      <c r="BH1703" s="9">
        <f t="shared" si="234"/>
        <v>1269.67</v>
      </c>
      <c r="BI1703" s="9">
        <f t="shared" si="235"/>
        <v>4.55</v>
      </c>
      <c r="BJ1703" s="9">
        <f t="shared" si="236"/>
        <v>5.21</v>
      </c>
      <c r="BK1703" s="9">
        <f t="shared" si="237"/>
        <v>12.72</v>
      </c>
      <c r="BL1703" s="9">
        <f t="shared" si="238"/>
        <v>0</v>
      </c>
      <c r="BM1703" s="9">
        <f t="shared" si="239"/>
        <v>5.08</v>
      </c>
      <c r="BN1703" s="9">
        <f t="shared" si="240"/>
        <v>562.54</v>
      </c>
      <c r="BO1703" s="9">
        <f t="shared" si="241"/>
        <v>43.2</v>
      </c>
      <c r="BP1703" s="9">
        <f t="shared" si="242"/>
        <v>0</v>
      </c>
    </row>
    <row r="1704" spans="1:68">
      <c r="A1704" s="6">
        <v>44854</v>
      </c>
      <c r="B1704" s="7">
        <v>3117</v>
      </c>
      <c r="C1704" s="8">
        <v>725.72</v>
      </c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11">
        <v>2.1</v>
      </c>
      <c r="R1704" s="11"/>
      <c r="S1704" s="8">
        <v>2.71</v>
      </c>
      <c r="T1704" s="8"/>
      <c r="U1704" s="8">
        <v>7.17</v>
      </c>
      <c r="V1704" s="8"/>
      <c r="W1704" s="8"/>
      <c r="X1704" s="8"/>
      <c r="Y1704" s="8"/>
      <c r="Z1704" s="8"/>
      <c r="AA1704" s="8"/>
      <c r="AB1704" s="8"/>
      <c r="AC1704" s="8">
        <v>2.92</v>
      </c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11"/>
      <c r="AQ1704" s="8"/>
      <c r="AR1704" s="8"/>
      <c r="AS1704" s="8"/>
      <c r="AT1704" s="8">
        <v>460.55</v>
      </c>
      <c r="AU1704" s="8"/>
      <c r="AV1704" s="8">
        <v>18.23</v>
      </c>
      <c r="AW1704" s="8"/>
      <c r="AX1704" s="8"/>
      <c r="AY1704" s="8"/>
      <c r="AZ1704" s="8"/>
      <c r="BA1704" s="8"/>
      <c r="BB1704" s="8"/>
      <c r="BC1704" s="8"/>
      <c r="BD1704" s="8"/>
      <c r="BE1704" s="8"/>
      <c r="BF1704" s="8">
        <v>36.380000000000003</v>
      </c>
      <c r="BG1704" s="8">
        <v>34.97</v>
      </c>
      <c r="BH1704" s="9">
        <f t="shared" si="234"/>
        <v>725.72</v>
      </c>
      <c r="BI1704" s="9">
        <f t="shared" si="235"/>
        <v>2.1</v>
      </c>
      <c r="BJ1704" s="9">
        <f t="shared" si="236"/>
        <v>2.71</v>
      </c>
      <c r="BK1704" s="9">
        <f t="shared" si="237"/>
        <v>7.17</v>
      </c>
      <c r="BL1704" s="9">
        <f t="shared" si="238"/>
        <v>0</v>
      </c>
      <c r="BM1704" s="9">
        <f t="shared" si="239"/>
        <v>2.92</v>
      </c>
      <c r="BN1704" s="9">
        <f t="shared" si="240"/>
        <v>460.55</v>
      </c>
      <c r="BO1704" s="9">
        <f t="shared" si="241"/>
        <v>18.23</v>
      </c>
      <c r="BP1704" s="9">
        <f t="shared" si="242"/>
        <v>36.380000000000003</v>
      </c>
    </row>
    <row r="1705" spans="1:68">
      <c r="A1705" s="6">
        <v>44854</v>
      </c>
      <c r="B1705" s="7">
        <v>3118</v>
      </c>
      <c r="C1705" s="8">
        <v>91.11</v>
      </c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11">
        <v>0.3</v>
      </c>
      <c r="R1705" s="11"/>
      <c r="S1705" s="8">
        <v>0.5</v>
      </c>
      <c r="T1705" s="8"/>
      <c r="U1705" s="8">
        <v>1.0900000000000001</v>
      </c>
      <c r="V1705" s="8"/>
      <c r="W1705" s="8"/>
      <c r="X1705" s="8"/>
      <c r="Y1705" s="8"/>
      <c r="Z1705" s="8"/>
      <c r="AA1705" s="8"/>
      <c r="AB1705" s="8"/>
      <c r="AC1705" s="8">
        <v>0.36</v>
      </c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11"/>
      <c r="AQ1705" s="8">
        <f>703*1.28/1000</f>
        <v>0.89984000000000008</v>
      </c>
      <c r="AR1705" s="8"/>
      <c r="AS1705" s="8"/>
      <c r="AT1705" s="8">
        <v>59.29</v>
      </c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>
        <v>6.38</v>
      </c>
      <c r="BG1705" s="8">
        <v>4.5</v>
      </c>
      <c r="BH1705" s="9">
        <f t="shared" si="234"/>
        <v>91.11</v>
      </c>
      <c r="BI1705" s="9">
        <f t="shared" si="235"/>
        <v>0.3</v>
      </c>
      <c r="BJ1705" s="9">
        <f t="shared" si="236"/>
        <v>0.5</v>
      </c>
      <c r="BK1705" s="9">
        <f t="shared" si="237"/>
        <v>1.0900000000000001</v>
      </c>
      <c r="BL1705" s="9">
        <f t="shared" si="238"/>
        <v>0</v>
      </c>
      <c r="BM1705" s="9">
        <f t="shared" si="239"/>
        <v>1.2598400000000001</v>
      </c>
      <c r="BN1705" s="9">
        <f t="shared" si="240"/>
        <v>59.29</v>
      </c>
      <c r="BO1705" s="9">
        <f t="shared" si="241"/>
        <v>0</v>
      </c>
      <c r="BP1705" s="9">
        <f t="shared" si="242"/>
        <v>6.38</v>
      </c>
    </row>
    <row r="1706" spans="1:68">
      <c r="A1706" s="6">
        <v>44854</v>
      </c>
      <c r="B1706" s="7">
        <v>3141</v>
      </c>
      <c r="C1706" s="8">
        <v>2443.09</v>
      </c>
      <c r="D1706" s="8">
        <v>431.35</v>
      </c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11">
        <v>7.65</v>
      </c>
      <c r="R1706" s="11"/>
      <c r="S1706" s="8">
        <v>13.52</v>
      </c>
      <c r="T1706" s="8"/>
      <c r="U1706" s="8">
        <v>43.17</v>
      </c>
      <c r="V1706" s="8"/>
      <c r="W1706" s="8"/>
      <c r="X1706" s="8"/>
      <c r="Y1706" s="8"/>
      <c r="Z1706" s="8"/>
      <c r="AA1706" s="8"/>
      <c r="AB1706" s="8"/>
      <c r="AC1706" s="8">
        <v>11.51</v>
      </c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11"/>
      <c r="AQ1706" s="8"/>
      <c r="AR1706" s="8"/>
      <c r="AS1706" s="8"/>
      <c r="AT1706" s="8">
        <v>1892.77</v>
      </c>
      <c r="AU1706" s="8"/>
      <c r="AV1706" s="8"/>
      <c r="AW1706" s="8"/>
      <c r="AX1706" s="8"/>
      <c r="AY1706" s="8"/>
      <c r="AZ1706" s="8"/>
      <c r="BA1706" s="8">
        <v>65.94</v>
      </c>
      <c r="BB1706" s="8"/>
      <c r="BC1706" s="8"/>
      <c r="BD1706" s="8"/>
      <c r="BE1706" s="8"/>
      <c r="BF1706" s="8">
        <v>201.27</v>
      </c>
      <c r="BG1706" s="8">
        <v>149.32</v>
      </c>
      <c r="BH1706" s="9">
        <f t="shared" si="234"/>
        <v>2874.44</v>
      </c>
      <c r="BI1706" s="9">
        <f t="shared" si="235"/>
        <v>7.65</v>
      </c>
      <c r="BJ1706" s="9">
        <f t="shared" si="236"/>
        <v>13.52</v>
      </c>
      <c r="BK1706" s="9">
        <f t="shared" si="237"/>
        <v>43.17</v>
      </c>
      <c r="BL1706" s="9">
        <f t="shared" si="238"/>
        <v>0</v>
      </c>
      <c r="BM1706" s="9">
        <f t="shared" si="239"/>
        <v>11.51</v>
      </c>
      <c r="BN1706" s="9">
        <f t="shared" si="240"/>
        <v>1892.77</v>
      </c>
      <c r="BO1706" s="9">
        <f t="shared" si="241"/>
        <v>65.94</v>
      </c>
      <c r="BP1706" s="9">
        <f t="shared" si="242"/>
        <v>201.27</v>
      </c>
    </row>
    <row r="1707" spans="1:68">
      <c r="A1707" s="6">
        <v>44854</v>
      </c>
      <c r="B1707" s="7">
        <v>3106</v>
      </c>
      <c r="C1707" s="8">
        <v>4125.8900000000003</v>
      </c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11">
        <v>11.13</v>
      </c>
      <c r="R1707" s="11"/>
      <c r="S1707" s="8">
        <v>12.38</v>
      </c>
      <c r="T1707" s="8"/>
      <c r="U1707" s="8">
        <v>52.5</v>
      </c>
      <c r="V1707" s="8"/>
      <c r="W1707" s="8"/>
      <c r="X1707" s="8"/>
      <c r="Y1707" s="8"/>
      <c r="Z1707" s="8"/>
      <c r="AA1707" s="8"/>
      <c r="AB1707" s="8"/>
      <c r="AC1707" s="8">
        <v>10.32</v>
      </c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11"/>
      <c r="AQ1707" s="8"/>
      <c r="AR1707" s="8"/>
      <c r="AS1707" s="8"/>
      <c r="AT1707" s="8">
        <v>2365.2399999999998</v>
      </c>
      <c r="AU1707" s="8"/>
      <c r="AV1707" s="8"/>
      <c r="AW1707" s="8"/>
      <c r="AX1707" s="8">
        <v>5.16</v>
      </c>
      <c r="AY1707" s="8"/>
      <c r="AZ1707" s="8"/>
      <c r="BA1707" s="8"/>
      <c r="BB1707" s="8"/>
      <c r="BC1707" s="8"/>
      <c r="BD1707" s="8"/>
      <c r="BE1707" s="8"/>
      <c r="BF1707" s="8"/>
      <c r="BG1707" s="8">
        <v>177.49</v>
      </c>
      <c r="BH1707" s="9">
        <f t="shared" si="234"/>
        <v>4125.8900000000003</v>
      </c>
      <c r="BI1707" s="9">
        <f t="shared" si="235"/>
        <v>11.13</v>
      </c>
      <c r="BJ1707" s="9">
        <f t="shared" si="236"/>
        <v>12.38</v>
      </c>
      <c r="BK1707" s="9">
        <f t="shared" si="237"/>
        <v>52.5</v>
      </c>
      <c r="BL1707" s="9">
        <f t="shared" si="238"/>
        <v>0</v>
      </c>
      <c r="BM1707" s="9">
        <f t="shared" si="239"/>
        <v>10.32</v>
      </c>
      <c r="BN1707" s="9">
        <f t="shared" si="240"/>
        <v>2365.2399999999998</v>
      </c>
      <c r="BO1707" s="9">
        <f t="shared" si="241"/>
        <v>5.16</v>
      </c>
      <c r="BP1707" s="9">
        <f t="shared" si="242"/>
        <v>0</v>
      </c>
    </row>
    <row r="1708" spans="1:68">
      <c r="A1708" s="6">
        <v>44854</v>
      </c>
      <c r="B1708" s="7">
        <v>3083</v>
      </c>
      <c r="C1708" s="8"/>
      <c r="D1708" s="8">
        <v>1083.95</v>
      </c>
      <c r="E1708" s="8"/>
      <c r="F1708" s="8"/>
      <c r="G1708" s="8"/>
      <c r="H1708" s="8"/>
      <c r="I1708" s="8">
        <v>2534.2600000000002</v>
      </c>
      <c r="J1708" s="8"/>
      <c r="K1708" s="8"/>
      <c r="L1708" s="8"/>
      <c r="M1708" s="8"/>
      <c r="N1708" s="8">
        <v>22.82</v>
      </c>
      <c r="O1708" s="8"/>
      <c r="P1708" s="8"/>
      <c r="Q1708" s="11"/>
      <c r="R1708" s="11"/>
      <c r="S1708" s="8">
        <v>2.5299999999999998</v>
      </c>
      <c r="T1708" s="8"/>
      <c r="U1708" s="8"/>
      <c r="V1708" s="8"/>
      <c r="W1708" s="8">
        <v>28.96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>
        <v>14.48</v>
      </c>
      <c r="AN1708" s="8">
        <f>1897*26.82/1000</f>
        <v>50.877540000000003</v>
      </c>
      <c r="AO1708" s="8"/>
      <c r="AP1708" s="11"/>
      <c r="AQ1708" s="8"/>
      <c r="AR1708" s="8">
        <f>3462*26.82/1000</f>
        <v>92.850839999999991</v>
      </c>
      <c r="AS1708" s="8"/>
      <c r="AT1708" s="8">
        <v>1702.09</v>
      </c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>
        <v>134.87</v>
      </c>
      <c r="BH1708" s="9">
        <f t="shared" si="234"/>
        <v>3618.21</v>
      </c>
      <c r="BI1708" s="9">
        <f t="shared" si="235"/>
        <v>22.82</v>
      </c>
      <c r="BJ1708" s="9">
        <f t="shared" si="236"/>
        <v>2.5299999999999998</v>
      </c>
      <c r="BK1708" s="9">
        <f t="shared" si="237"/>
        <v>28.96</v>
      </c>
      <c r="BL1708" s="9">
        <f t="shared" si="238"/>
        <v>0</v>
      </c>
      <c r="BM1708" s="9">
        <f t="shared" si="239"/>
        <v>158.20837999999998</v>
      </c>
      <c r="BN1708" s="9">
        <f t="shared" si="240"/>
        <v>1702.09</v>
      </c>
      <c r="BO1708" s="9">
        <f t="shared" si="241"/>
        <v>0</v>
      </c>
      <c r="BP1708" s="9">
        <f t="shared" si="242"/>
        <v>0</v>
      </c>
    </row>
    <row r="1709" spans="1:68">
      <c r="A1709" s="6">
        <v>44854</v>
      </c>
      <c r="B1709" s="7">
        <v>3139</v>
      </c>
      <c r="C1709" s="8">
        <v>1653.53</v>
      </c>
      <c r="D1709" s="8"/>
      <c r="E1709" s="8"/>
      <c r="F1709" s="8"/>
      <c r="G1709" s="8"/>
      <c r="H1709" s="8">
        <v>686.55</v>
      </c>
      <c r="I1709" s="8"/>
      <c r="J1709" s="8"/>
      <c r="K1709" s="8"/>
      <c r="L1709" s="8"/>
      <c r="M1709" s="8"/>
      <c r="N1709" s="8"/>
      <c r="O1709" s="8"/>
      <c r="P1709" s="8"/>
      <c r="Q1709" s="11">
        <v>3.88</v>
      </c>
      <c r="R1709" s="11"/>
      <c r="S1709" s="8">
        <v>7.32</v>
      </c>
      <c r="T1709" s="8"/>
      <c r="U1709" s="8">
        <v>24.41</v>
      </c>
      <c r="V1709" s="8"/>
      <c r="W1709" s="8"/>
      <c r="X1709" s="8"/>
      <c r="Y1709" s="8"/>
      <c r="Z1709" s="8"/>
      <c r="AA1709" s="8"/>
      <c r="AB1709" s="8"/>
      <c r="AC1709" s="8">
        <v>8.14</v>
      </c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11"/>
      <c r="AQ1709" s="8"/>
      <c r="AR1709" s="8"/>
      <c r="AS1709" s="8"/>
      <c r="AT1709" s="8">
        <v>1207.5999999999999</v>
      </c>
      <c r="AU1709" s="8"/>
      <c r="AV1709" s="8">
        <v>40.700000000000003</v>
      </c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>
        <v>87.52</v>
      </c>
      <c r="BH1709" s="9">
        <f t="shared" si="234"/>
        <v>2340.08</v>
      </c>
      <c r="BI1709" s="9">
        <f t="shared" si="235"/>
        <v>3.88</v>
      </c>
      <c r="BJ1709" s="9">
        <f t="shared" si="236"/>
        <v>7.32</v>
      </c>
      <c r="BK1709" s="9">
        <f t="shared" si="237"/>
        <v>24.41</v>
      </c>
      <c r="BL1709" s="9">
        <f t="shared" si="238"/>
        <v>0</v>
      </c>
      <c r="BM1709" s="9">
        <f t="shared" si="239"/>
        <v>8.14</v>
      </c>
      <c r="BN1709" s="9">
        <f t="shared" si="240"/>
        <v>1207.5999999999999</v>
      </c>
      <c r="BO1709" s="9">
        <f t="shared" si="241"/>
        <v>40.700000000000003</v>
      </c>
      <c r="BP1709" s="9">
        <f t="shared" si="242"/>
        <v>0</v>
      </c>
    </row>
    <row r="1710" spans="1:68">
      <c r="A1710" s="6">
        <v>44854</v>
      </c>
      <c r="B1710" s="7">
        <v>3433</v>
      </c>
      <c r="C1710" s="8">
        <v>1335.52</v>
      </c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11">
        <v>2.97</v>
      </c>
      <c r="R1710" s="11"/>
      <c r="S1710" s="8">
        <v>5.36</v>
      </c>
      <c r="T1710" s="8"/>
      <c r="U1710" s="8"/>
      <c r="V1710" s="8"/>
      <c r="W1710" s="8"/>
      <c r="X1710" s="8">
        <f>867*15.75/1000</f>
        <v>13.655250000000001</v>
      </c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11"/>
      <c r="AQ1710" s="8"/>
      <c r="AR1710" s="8"/>
      <c r="AS1710" s="8"/>
      <c r="AT1710" s="8">
        <v>609.6</v>
      </c>
      <c r="AU1710" s="8"/>
      <c r="AV1710" s="8"/>
      <c r="AW1710" s="8"/>
      <c r="AX1710" s="8"/>
      <c r="AY1710" s="8"/>
      <c r="AZ1710" s="8"/>
      <c r="BA1710" s="8">
        <v>6</v>
      </c>
      <c r="BB1710" s="8"/>
      <c r="BC1710" s="8"/>
      <c r="BD1710" s="8"/>
      <c r="BE1710" s="8"/>
      <c r="BF1710" s="8">
        <v>67.099999999999994</v>
      </c>
      <c r="BG1710" s="8">
        <v>44.89</v>
      </c>
      <c r="BH1710" s="9">
        <f t="shared" si="234"/>
        <v>1335.52</v>
      </c>
      <c r="BI1710" s="9">
        <f t="shared" si="235"/>
        <v>2.97</v>
      </c>
      <c r="BJ1710" s="9">
        <f t="shared" si="236"/>
        <v>5.36</v>
      </c>
      <c r="BK1710" s="9">
        <f t="shared" si="237"/>
        <v>13.655250000000001</v>
      </c>
      <c r="BL1710" s="9">
        <f t="shared" si="238"/>
        <v>0</v>
      </c>
      <c r="BM1710" s="9">
        <f t="shared" si="239"/>
        <v>0</v>
      </c>
      <c r="BN1710" s="9">
        <f t="shared" si="240"/>
        <v>609.6</v>
      </c>
      <c r="BO1710" s="9">
        <f t="shared" si="241"/>
        <v>6</v>
      </c>
      <c r="BP1710" s="9">
        <f t="shared" si="242"/>
        <v>67.099999999999994</v>
      </c>
    </row>
    <row r="1711" spans="1:68">
      <c r="A1711" s="6">
        <v>44855</v>
      </c>
      <c r="B1711" s="7">
        <v>3205</v>
      </c>
      <c r="C1711" s="8">
        <v>676.45</v>
      </c>
      <c r="D1711" s="8">
        <v>378.89</v>
      </c>
      <c r="E1711" s="8">
        <v>452.86</v>
      </c>
      <c r="F1711" s="8"/>
      <c r="G1711" s="8"/>
      <c r="H1711" s="8"/>
      <c r="I1711" s="8"/>
      <c r="J1711" s="8"/>
      <c r="K1711" s="8"/>
      <c r="L1711" s="8"/>
      <c r="M1711" s="8"/>
      <c r="N1711" s="8"/>
      <c r="O1711" s="8">
        <v>6.06</v>
      </c>
      <c r="P1711" s="8"/>
      <c r="Q1711" s="11"/>
      <c r="R1711" s="11"/>
      <c r="S1711" s="8">
        <v>5.61</v>
      </c>
      <c r="T1711" s="8"/>
      <c r="U1711" s="8">
        <v>18.2</v>
      </c>
      <c r="V1711" s="8"/>
      <c r="W1711" s="8"/>
      <c r="X1711" s="8"/>
      <c r="Y1711" s="8"/>
      <c r="Z1711" s="8">
        <v>151.69999999999999</v>
      </c>
      <c r="AA1711" s="8"/>
      <c r="AB1711" s="8">
        <f>1018*15.15/1000</f>
        <v>15.422700000000001</v>
      </c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11"/>
      <c r="AQ1711" s="8">
        <f>502*15.15/1000</f>
        <v>7.6053000000000006</v>
      </c>
      <c r="AR1711" s="8"/>
      <c r="AS1711" s="8"/>
      <c r="AT1711" s="8">
        <v>393.32</v>
      </c>
      <c r="AU1711" s="8">
        <v>197.37</v>
      </c>
      <c r="AV1711" s="8"/>
      <c r="AW1711" s="8">
        <v>5.65</v>
      </c>
      <c r="AX1711" s="8"/>
      <c r="AY1711" s="8"/>
      <c r="AZ1711" s="8"/>
      <c r="BA1711" s="8"/>
      <c r="BB1711" s="8"/>
      <c r="BC1711" s="8"/>
      <c r="BD1711" s="8"/>
      <c r="BE1711" s="8"/>
      <c r="BF1711" s="8"/>
      <c r="BG1711" s="8">
        <v>35.61</v>
      </c>
      <c r="BH1711" s="9">
        <f t="shared" si="234"/>
        <v>1508.2000000000003</v>
      </c>
      <c r="BI1711" s="9">
        <f t="shared" si="235"/>
        <v>6.06</v>
      </c>
      <c r="BJ1711" s="9">
        <f t="shared" si="236"/>
        <v>5.61</v>
      </c>
      <c r="BK1711" s="9">
        <f t="shared" si="237"/>
        <v>18.2</v>
      </c>
      <c r="BL1711" s="9">
        <f t="shared" si="238"/>
        <v>151.69999999999999</v>
      </c>
      <c r="BM1711" s="9">
        <f t="shared" si="239"/>
        <v>23.028000000000002</v>
      </c>
      <c r="BN1711" s="9">
        <f t="shared" si="240"/>
        <v>590.69000000000005</v>
      </c>
      <c r="BO1711" s="9">
        <f t="shared" si="241"/>
        <v>5.65</v>
      </c>
      <c r="BP1711" s="9">
        <f t="shared" si="242"/>
        <v>0</v>
      </c>
    </row>
    <row r="1712" spans="1:68">
      <c r="A1712" s="6">
        <v>44855</v>
      </c>
      <c r="B1712" s="7">
        <v>3017</v>
      </c>
      <c r="C1712" s="8"/>
      <c r="D1712" s="8">
        <v>284.45999999999998</v>
      </c>
      <c r="E1712" s="8"/>
      <c r="F1712" s="8"/>
      <c r="G1712" s="8"/>
      <c r="H1712" s="8"/>
      <c r="I1712" s="8">
        <v>393.15</v>
      </c>
      <c r="J1712" s="8"/>
      <c r="K1712" s="8"/>
      <c r="L1712" s="8"/>
      <c r="M1712" s="8"/>
      <c r="N1712" s="8">
        <v>4.75</v>
      </c>
      <c r="O1712" s="8"/>
      <c r="P1712" s="8"/>
      <c r="Q1712" s="11"/>
      <c r="R1712" s="11"/>
      <c r="S1712" s="8">
        <v>0.47</v>
      </c>
      <c r="T1712" s="8"/>
      <c r="U1712" s="8"/>
      <c r="V1712" s="8"/>
      <c r="W1712" s="8">
        <v>5.09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>
        <v>2.71</v>
      </c>
      <c r="AN1712" s="8">
        <f>1236*5.63/1000</f>
        <v>6.9586800000000002</v>
      </c>
      <c r="AO1712" s="8"/>
      <c r="AP1712" s="11"/>
      <c r="AQ1712" s="8"/>
      <c r="AR1712" s="8">
        <f>4931*5.63/1000</f>
        <v>27.76153</v>
      </c>
      <c r="AS1712" s="8"/>
      <c r="AT1712" s="8">
        <v>291.36</v>
      </c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>
        <v>21.04</v>
      </c>
      <c r="BH1712" s="9">
        <f t="shared" si="234"/>
        <v>677.6099999999999</v>
      </c>
      <c r="BI1712" s="9">
        <f t="shared" si="235"/>
        <v>4.75</v>
      </c>
      <c r="BJ1712" s="9">
        <f t="shared" si="236"/>
        <v>0.47</v>
      </c>
      <c r="BK1712" s="9">
        <f t="shared" si="237"/>
        <v>5.09</v>
      </c>
      <c r="BL1712" s="9">
        <f t="shared" si="238"/>
        <v>0</v>
      </c>
      <c r="BM1712" s="9">
        <f t="shared" si="239"/>
        <v>37.430210000000002</v>
      </c>
      <c r="BN1712" s="9">
        <f t="shared" si="240"/>
        <v>291.36</v>
      </c>
      <c r="BO1712" s="9">
        <f t="shared" si="241"/>
        <v>0</v>
      </c>
      <c r="BP1712" s="9">
        <f t="shared" si="242"/>
        <v>0</v>
      </c>
    </row>
    <row r="1713" spans="1:68">
      <c r="A1713" s="6">
        <v>44855</v>
      </c>
      <c r="B1713" s="7">
        <v>3020</v>
      </c>
      <c r="C1713" s="8"/>
      <c r="D1713" s="8">
        <v>169.65</v>
      </c>
      <c r="E1713" s="8"/>
      <c r="F1713" s="8"/>
      <c r="G1713" s="8"/>
      <c r="H1713" s="8"/>
      <c r="I1713" s="8">
        <v>963.26</v>
      </c>
      <c r="J1713" s="8"/>
      <c r="K1713" s="8"/>
      <c r="L1713" s="8"/>
      <c r="M1713" s="8"/>
      <c r="N1713" s="8">
        <v>6.81</v>
      </c>
      <c r="O1713" s="8"/>
      <c r="P1713" s="8"/>
      <c r="Q1713" s="11"/>
      <c r="R1713" s="11"/>
      <c r="S1713" s="8">
        <v>2.04</v>
      </c>
      <c r="T1713" s="8"/>
      <c r="U1713" s="8"/>
      <c r="V1713" s="8"/>
      <c r="W1713" s="8">
        <v>11.33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>
        <v>11.31</v>
      </c>
      <c r="AN1713" s="8"/>
      <c r="AO1713" s="8"/>
      <c r="AP1713" s="11"/>
      <c r="AQ1713" s="8"/>
      <c r="AR1713" s="8"/>
      <c r="AS1713" s="8">
        <f>3045*9.43/1000</f>
        <v>28.71435</v>
      </c>
      <c r="AT1713" s="8">
        <v>557.29999999999995</v>
      </c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>
        <v>41.08</v>
      </c>
      <c r="BH1713" s="9">
        <f t="shared" si="234"/>
        <v>1132.9100000000001</v>
      </c>
      <c r="BI1713" s="9">
        <f t="shared" si="235"/>
        <v>6.81</v>
      </c>
      <c r="BJ1713" s="9">
        <f t="shared" si="236"/>
        <v>2.04</v>
      </c>
      <c r="BK1713" s="9">
        <f t="shared" si="237"/>
        <v>11.33</v>
      </c>
      <c r="BL1713" s="9">
        <f t="shared" si="238"/>
        <v>0</v>
      </c>
      <c r="BM1713" s="9">
        <f t="shared" si="239"/>
        <v>40.024349999999998</v>
      </c>
      <c r="BN1713" s="9">
        <f t="shared" si="240"/>
        <v>557.29999999999995</v>
      </c>
      <c r="BO1713" s="9">
        <f t="shared" si="241"/>
        <v>0</v>
      </c>
      <c r="BP1713" s="9">
        <f t="shared" si="242"/>
        <v>0</v>
      </c>
    </row>
    <row r="1714" spans="1:68">
      <c r="A1714" s="6">
        <v>44855</v>
      </c>
      <c r="B1714" s="7">
        <v>3023</v>
      </c>
      <c r="C1714" s="8"/>
      <c r="D1714" s="8">
        <v>866.61</v>
      </c>
      <c r="E1714" s="8"/>
      <c r="F1714" s="8"/>
      <c r="G1714" s="8"/>
      <c r="H1714" s="8"/>
      <c r="I1714" s="8">
        <v>470.93</v>
      </c>
      <c r="J1714" s="8"/>
      <c r="K1714" s="8"/>
      <c r="L1714" s="8"/>
      <c r="M1714" s="8"/>
      <c r="N1714" s="8">
        <v>7.51</v>
      </c>
      <c r="O1714" s="8"/>
      <c r="P1714" s="8"/>
      <c r="Q1714" s="11"/>
      <c r="R1714" s="11"/>
      <c r="S1714" s="8">
        <v>2.15</v>
      </c>
      <c r="T1714" s="8"/>
      <c r="U1714" s="8"/>
      <c r="V1714" s="8"/>
      <c r="W1714" s="8">
        <v>12.05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>
        <v>13.38</v>
      </c>
      <c r="AN1714" s="8">
        <f>1024*9.23/1000</f>
        <v>9.4515200000000004</v>
      </c>
      <c r="AO1714" s="8"/>
      <c r="AP1714" s="11"/>
      <c r="AQ1714" s="8"/>
      <c r="AR1714" s="8"/>
      <c r="AS1714" s="8">
        <f>4766*9.23/1000</f>
        <v>43.990180000000002</v>
      </c>
      <c r="AT1714" s="8">
        <v>548.85</v>
      </c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>
        <v>41.45</v>
      </c>
      <c r="BH1714" s="9">
        <f t="shared" si="234"/>
        <v>1337.54</v>
      </c>
      <c r="BI1714" s="9">
        <f t="shared" si="235"/>
        <v>7.51</v>
      </c>
      <c r="BJ1714" s="9">
        <f t="shared" si="236"/>
        <v>2.15</v>
      </c>
      <c r="BK1714" s="9">
        <f t="shared" si="237"/>
        <v>12.05</v>
      </c>
      <c r="BL1714" s="9">
        <f t="shared" si="238"/>
        <v>0</v>
      </c>
      <c r="BM1714" s="9">
        <f t="shared" si="239"/>
        <v>66.821700000000007</v>
      </c>
      <c r="BN1714" s="9">
        <f t="shared" si="240"/>
        <v>548.85</v>
      </c>
      <c r="BO1714" s="9">
        <f t="shared" si="241"/>
        <v>0</v>
      </c>
      <c r="BP1714" s="9">
        <f t="shared" si="242"/>
        <v>0</v>
      </c>
    </row>
    <row r="1715" spans="1:68">
      <c r="A1715" s="6">
        <v>44855</v>
      </c>
      <c r="B1715" s="7">
        <v>3079</v>
      </c>
      <c r="C1715" s="8"/>
      <c r="D1715" s="8"/>
      <c r="E1715" s="8"/>
      <c r="F1715" s="8">
        <v>346.67</v>
      </c>
      <c r="G1715" s="8"/>
      <c r="H1715" s="8"/>
      <c r="I1715" s="8">
        <v>2803.87</v>
      </c>
      <c r="J1715" s="8"/>
      <c r="K1715" s="8"/>
      <c r="L1715" s="8"/>
      <c r="M1715" s="8"/>
      <c r="N1715" s="8">
        <v>22.4</v>
      </c>
      <c r="O1715" s="8"/>
      <c r="P1715" s="8"/>
      <c r="Q1715" s="11"/>
      <c r="R1715" s="11"/>
      <c r="S1715" s="8">
        <v>1.26</v>
      </c>
      <c r="T1715" s="8"/>
      <c r="U1715" s="8"/>
      <c r="V1715" s="8"/>
      <c r="W1715" s="8">
        <v>31.55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>
        <v>12.6</v>
      </c>
      <c r="AN1715" s="8">
        <f>1731*18.53/1000</f>
        <v>32.075429999999997</v>
      </c>
      <c r="AO1715" s="8"/>
      <c r="AP1715" s="11"/>
      <c r="AQ1715" s="8"/>
      <c r="AR1715" s="8">
        <f>4246*18.53/1000</f>
        <v>78.678380000000004</v>
      </c>
      <c r="AS1715" s="8"/>
      <c r="AT1715" s="8">
        <v>1221.24</v>
      </c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>
        <v>88.16</v>
      </c>
      <c r="BH1715" s="9">
        <f t="shared" si="234"/>
        <v>3150.54</v>
      </c>
      <c r="BI1715" s="9">
        <f t="shared" si="235"/>
        <v>22.4</v>
      </c>
      <c r="BJ1715" s="9">
        <f t="shared" si="236"/>
        <v>1.26</v>
      </c>
      <c r="BK1715" s="9">
        <f t="shared" si="237"/>
        <v>31.55</v>
      </c>
      <c r="BL1715" s="9">
        <f t="shared" si="238"/>
        <v>0</v>
      </c>
      <c r="BM1715" s="9">
        <f t="shared" si="239"/>
        <v>123.35381000000001</v>
      </c>
      <c r="BN1715" s="9">
        <f t="shared" si="240"/>
        <v>1221.24</v>
      </c>
      <c r="BO1715" s="9">
        <f t="shared" si="241"/>
        <v>0</v>
      </c>
      <c r="BP1715" s="9">
        <f t="shared" si="242"/>
        <v>0</v>
      </c>
    </row>
    <row r="1716" spans="1:68">
      <c r="A1716" s="6">
        <v>44855</v>
      </c>
      <c r="B1716" s="7">
        <v>3016</v>
      </c>
      <c r="C1716" s="8"/>
      <c r="D1716" s="8">
        <v>2401.58</v>
      </c>
      <c r="E1716" s="8"/>
      <c r="F1716" s="8"/>
      <c r="G1716" s="8"/>
      <c r="H1716" s="8"/>
      <c r="I1716" s="8">
        <v>2215.6799999999998</v>
      </c>
      <c r="J1716" s="8"/>
      <c r="K1716" s="8"/>
      <c r="L1716" s="8"/>
      <c r="M1716" s="8"/>
      <c r="N1716" s="8">
        <v>27.69</v>
      </c>
      <c r="O1716" s="8"/>
      <c r="P1716" s="8"/>
      <c r="Q1716" s="11"/>
      <c r="R1716" s="11"/>
      <c r="S1716" s="8">
        <v>3.23</v>
      </c>
      <c r="T1716" s="8"/>
      <c r="U1716" s="8"/>
      <c r="V1716" s="8"/>
      <c r="W1716" s="8">
        <v>46.18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>
        <v>18.45</v>
      </c>
      <c r="AN1716" s="8">
        <f>2037*27.15/1000</f>
        <v>55.304549999999999</v>
      </c>
      <c r="AO1716" s="8"/>
      <c r="AP1716" s="11"/>
      <c r="AQ1716" s="8"/>
      <c r="AR1716" s="8">
        <f>4246*27.15/1000</f>
        <v>115.27889999999999</v>
      </c>
      <c r="AS1716" s="8"/>
      <c r="AT1716" s="8">
        <v>1713.38</v>
      </c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>
        <v>125.45</v>
      </c>
      <c r="BH1716" s="9">
        <f t="shared" si="234"/>
        <v>4617.26</v>
      </c>
      <c r="BI1716" s="9">
        <f t="shared" si="235"/>
        <v>27.69</v>
      </c>
      <c r="BJ1716" s="9">
        <f t="shared" si="236"/>
        <v>3.23</v>
      </c>
      <c r="BK1716" s="9">
        <f t="shared" si="237"/>
        <v>46.18</v>
      </c>
      <c r="BL1716" s="9">
        <f t="shared" si="238"/>
        <v>0</v>
      </c>
      <c r="BM1716" s="9">
        <f t="shared" si="239"/>
        <v>189.03344999999999</v>
      </c>
      <c r="BN1716" s="9">
        <f t="shared" si="240"/>
        <v>1713.38</v>
      </c>
      <c r="BO1716" s="9">
        <f t="shared" si="241"/>
        <v>0</v>
      </c>
      <c r="BP1716" s="9">
        <f t="shared" si="242"/>
        <v>0</v>
      </c>
    </row>
    <row r="1717" spans="1:68">
      <c r="A1717" s="6">
        <v>44855</v>
      </c>
      <c r="B1717" s="7">
        <v>3602</v>
      </c>
      <c r="C1717" s="8">
        <v>579.85</v>
      </c>
      <c r="D1717" s="8"/>
      <c r="E1717" s="8"/>
      <c r="F1717" s="8"/>
      <c r="G1717" s="8">
        <v>871.48</v>
      </c>
      <c r="H1717" s="8"/>
      <c r="I1717" s="8"/>
      <c r="J1717" s="8"/>
      <c r="K1717" s="8"/>
      <c r="L1717" s="8"/>
      <c r="M1717" s="8">
        <f>460*16.62/1000</f>
        <v>7.6452000000000009</v>
      </c>
      <c r="N1717" s="8"/>
      <c r="O1717" s="8"/>
      <c r="P1717" s="8"/>
      <c r="Q1717" s="11"/>
      <c r="R1717" s="11"/>
      <c r="S1717" s="8">
        <v>6.98</v>
      </c>
      <c r="T1717" s="8"/>
      <c r="U1717" s="8">
        <v>11.63</v>
      </c>
      <c r="V1717" s="8">
        <f>857*16.62/1000</f>
        <v>14.24334</v>
      </c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11"/>
      <c r="AQ1717" s="8"/>
      <c r="AR1717" s="8"/>
      <c r="AS1717" s="8"/>
      <c r="AT1717" s="8">
        <v>587.13</v>
      </c>
      <c r="AU1717" s="8"/>
      <c r="AV1717" s="8"/>
      <c r="AW1717" s="8">
        <v>37.61</v>
      </c>
      <c r="AX1717" s="8"/>
      <c r="AY1717" s="8"/>
      <c r="AZ1717" s="8"/>
      <c r="BA1717" s="8"/>
      <c r="BB1717" s="8"/>
      <c r="BC1717" s="8"/>
      <c r="BD1717" s="8"/>
      <c r="BE1717" s="8"/>
      <c r="BF1717" s="8">
        <v>46.51</v>
      </c>
      <c r="BG1717" s="8">
        <v>43.99</v>
      </c>
      <c r="BH1717" s="9">
        <f t="shared" si="234"/>
        <v>1451.33</v>
      </c>
      <c r="BI1717" s="9">
        <f t="shared" si="235"/>
        <v>7.6452000000000009</v>
      </c>
      <c r="BJ1717" s="9">
        <f t="shared" si="236"/>
        <v>6.98</v>
      </c>
      <c r="BK1717" s="9">
        <f t="shared" si="237"/>
        <v>25.873339999999999</v>
      </c>
      <c r="BL1717" s="9">
        <f t="shared" si="238"/>
        <v>0</v>
      </c>
      <c r="BM1717" s="9">
        <f t="shared" si="239"/>
        <v>0</v>
      </c>
      <c r="BN1717" s="9">
        <f t="shared" si="240"/>
        <v>587.13</v>
      </c>
      <c r="BO1717" s="9">
        <f t="shared" si="241"/>
        <v>37.61</v>
      </c>
      <c r="BP1717" s="9">
        <f t="shared" si="242"/>
        <v>46.51</v>
      </c>
    </row>
    <row r="1718" spans="1:68">
      <c r="A1718" s="6">
        <v>44855</v>
      </c>
      <c r="B1718" s="7">
        <v>3101</v>
      </c>
      <c r="C1718" s="8">
        <v>635.13</v>
      </c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11">
        <v>1.46</v>
      </c>
      <c r="R1718" s="11"/>
      <c r="S1718" s="8">
        <v>3.69</v>
      </c>
      <c r="T1718" s="8"/>
      <c r="U1718" s="8">
        <v>10.17</v>
      </c>
      <c r="V1718" s="8"/>
      <c r="W1718" s="8"/>
      <c r="X1718" s="8"/>
      <c r="Y1718" s="8"/>
      <c r="Z1718" s="8"/>
      <c r="AA1718" s="8"/>
      <c r="AB1718" s="8"/>
      <c r="AC1718" s="8">
        <v>2.54</v>
      </c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11"/>
      <c r="AQ1718" s="8"/>
      <c r="AR1718" s="8"/>
      <c r="AS1718" s="8"/>
      <c r="AT1718" s="8">
        <v>426.9</v>
      </c>
      <c r="AU1718" s="8"/>
      <c r="AV1718" s="8"/>
      <c r="AW1718" s="8">
        <v>13.55</v>
      </c>
      <c r="AX1718" s="8"/>
      <c r="AY1718" s="8"/>
      <c r="AZ1718" s="8"/>
      <c r="BA1718" s="8"/>
      <c r="BB1718" s="8"/>
      <c r="BC1718" s="8"/>
      <c r="BD1718" s="8"/>
      <c r="BE1718" s="8"/>
      <c r="BF1718" s="8">
        <v>82.47</v>
      </c>
      <c r="BG1718" s="8">
        <v>32.69</v>
      </c>
      <c r="BH1718" s="9">
        <f t="shared" si="234"/>
        <v>635.13</v>
      </c>
      <c r="BI1718" s="9">
        <f t="shared" si="235"/>
        <v>1.46</v>
      </c>
      <c r="BJ1718" s="9">
        <f t="shared" si="236"/>
        <v>3.69</v>
      </c>
      <c r="BK1718" s="9">
        <f t="shared" si="237"/>
        <v>10.17</v>
      </c>
      <c r="BL1718" s="9">
        <f t="shared" si="238"/>
        <v>0</v>
      </c>
      <c r="BM1718" s="9">
        <f t="shared" si="239"/>
        <v>2.54</v>
      </c>
      <c r="BN1718" s="9">
        <f t="shared" si="240"/>
        <v>426.9</v>
      </c>
      <c r="BO1718" s="9">
        <f t="shared" si="241"/>
        <v>13.55</v>
      </c>
      <c r="BP1718" s="9">
        <f t="shared" si="242"/>
        <v>82.47</v>
      </c>
    </row>
    <row r="1719" spans="1:68">
      <c r="A1719" s="6">
        <v>44855</v>
      </c>
      <c r="B1719" s="7">
        <v>3139</v>
      </c>
      <c r="C1719" s="8">
        <v>1566.01</v>
      </c>
      <c r="D1719" s="8"/>
      <c r="E1719" s="8"/>
      <c r="F1719" s="8"/>
      <c r="G1719" s="8"/>
      <c r="H1719" s="8">
        <v>654.01</v>
      </c>
      <c r="I1719" s="8"/>
      <c r="J1719" s="8"/>
      <c r="K1719" s="8"/>
      <c r="L1719" s="8"/>
      <c r="M1719" s="8"/>
      <c r="N1719" s="8"/>
      <c r="O1719" s="8"/>
      <c r="P1719" s="8"/>
      <c r="Q1719" s="11">
        <v>3.65</v>
      </c>
      <c r="R1719" s="11"/>
      <c r="S1719" s="8">
        <v>6.92</v>
      </c>
      <c r="T1719" s="8"/>
      <c r="U1719" s="8">
        <v>23.07</v>
      </c>
      <c r="V1719" s="8"/>
      <c r="W1719" s="8"/>
      <c r="X1719" s="8"/>
      <c r="Y1719" s="8"/>
      <c r="Z1719" s="8"/>
      <c r="AA1719" s="8"/>
      <c r="AB1719" s="8"/>
      <c r="AC1719" s="8">
        <v>7.69</v>
      </c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11"/>
      <c r="AQ1719" s="8"/>
      <c r="AR1719" s="8"/>
      <c r="AS1719" s="8"/>
      <c r="AT1719" s="8">
        <v>1138.18</v>
      </c>
      <c r="AU1719" s="8"/>
      <c r="AV1719" s="8">
        <v>38.42</v>
      </c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>
        <v>82.69</v>
      </c>
      <c r="BH1719" s="9">
        <f t="shared" si="234"/>
        <v>2220.02</v>
      </c>
      <c r="BI1719" s="9">
        <f t="shared" si="235"/>
        <v>3.65</v>
      </c>
      <c r="BJ1719" s="9">
        <f t="shared" si="236"/>
        <v>6.92</v>
      </c>
      <c r="BK1719" s="9">
        <f t="shared" si="237"/>
        <v>23.07</v>
      </c>
      <c r="BL1719" s="9">
        <f t="shared" si="238"/>
        <v>0</v>
      </c>
      <c r="BM1719" s="9">
        <f t="shared" si="239"/>
        <v>7.69</v>
      </c>
      <c r="BN1719" s="9">
        <f t="shared" si="240"/>
        <v>1138.18</v>
      </c>
      <c r="BO1719" s="9">
        <f t="shared" si="241"/>
        <v>38.42</v>
      </c>
      <c r="BP1719" s="9">
        <f t="shared" si="242"/>
        <v>0</v>
      </c>
    </row>
    <row r="1720" spans="1:68">
      <c r="A1720" s="6">
        <v>44858</v>
      </c>
      <c r="B1720" s="7">
        <v>3304</v>
      </c>
      <c r="C1720" s="8"/>
      <c r="D1720" s="8">
        <v>1006.76</v>
      </c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11">
        <v>1.19</v>
      </c>
      <c r="R1720" s="11"/>
      <c r="S1720" s="8">
        <v>7.15</v>
      </c>
      <c r="T1720" s="8"/>
      <c r="U1720" s="8">
        <v>9.07</v>
      </c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>
        <v>10.119999999999999</v>
      </c>
      <c r="AH1720" s="8"/>
      <c r="AI1720" s="8"/>
      <c r="AJ1720" s="8"/>
      <c r="AK1720" s="8"/>
      <c r="AL1720" s="8"/>
      <c r="AM1720" s="8"/>
      <c r="AN1720" s="8"/>
      <c r="AO1720" s="8"/>
      <c r="AP1720" s="11"/>
      <c r="AQ1720" s="8"/>
      <c r="AR1720" s="8"/>
      <c r="AS1720" s="8"/>
      <c r="AT1720" s="8"/>
      <c r="AU1720" s="8">
        <v>413.65</v>
      </c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>
        <v>29.19</v>
      </c>
      <c r="BH1720" s="9">
        <f t="shared" si="234"/>
        <v>1006.76</v>
      </c>
      <c r="BI1720" s="9">
        <f t="shared" si="235"/>
        <v>1.19</v>
      </c>
      <c r="BJ1720" s="9">
        <f t="shared" si="236"/>
        <v>7.15</v>
      </c>
      <c r="BK1720" s="9">
        <f t="shared" si="237"/>
        <v>9.07</v>
      </c>
      <c r="BL1720" s="9">
        <f t="shared" si="238"/>
        <v>0</v>
      </c>
      <c r="BM1720" s="9">
        <f t="shared" si="239"/>
        <v>10.119999999999999</v>
      </c>
      <c r="BN1720" s="9">
        <f t="shared" si="240"/>
        <v>413.65</v>
      </c>
      <c r="BO1720" s="9">
        <f t="shared" si="241"/>
        <v>0</v>
      </c>
      <c r="BP1720" s="9">
        <f t="shared" si="242"/>
        <v>0</v>
      </c>
    </row>
    <row r="1721" spans="1:68">
      <c r="A1721" s="6">
        <v>44858</v>
      </c>
      <c r="B1721" s="7">
        <v>3302</v>
      </c>
      <c r="C1721" s="8"/>
      <c r="D1721" s="8">
        <v>982.74</v>
      </c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11">
        <v>1.38</v>
      </c>
      <c r="R1721" s="11"/>
      <c r="S1721" s="8">
        <v>7.32</v>
      </c>
      <c r="T1721" s="8"/>
      <c r="U1721" s="8">
        <v>9.82</v>
      </c>
      <c r="V1721" s="8"/>
      <c r="W1721" s="8"/>
      <c r="X1721" s="8"/>
      <c r="Y1721" s="8"/>
      <c r="Z1721" s="8"/>
      <c r="AA1721" s="8"/>
      <c r="AB1721" s="8"/>
      <c r="AC1721" s="8">
        <v>5.9</v>
      </c>
      <c r="AD1721" s="8"/>
      <c r="AE1721" s="8"/>
      <c r="AF1721" s="8"/>
      <c r="AG1721" s="8">
        <v>9.83</v>
      </c>
      <c r="AH1721" s="8"/>
      <c r="AI1721" s="8"/>
      <c r="AJ1721" s="8"/>
      <c r="AK1721" s="8"/>
      <c r="AL1721" s="8"/>
      <c r="AM1721" s="8"/>
      <c r="AN1721" s="8"/>
      <c r="AO1721" s="8"/>
      <c r="AP1721" s="11"/>
      <c r="AQ1721" s="8"/>
      <c r="AR1721" s="8"/>
      <c r="AS1721" s="8"/>
      <c r="AT1721" s="8"/>
      <c r="AU1721" s="8">
        <v>493.47</v>
      </c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>
        <v>35.299999999999997</v>
      </c>
      <c r="BH1721" s="9">
        <f t="shared" si="234"/>
        <v>982.74</v>
      </c>
      <c r="BI1721" s="9">
        <f t="shared" si="235"/>
        <v>1.38</v>
      </c>
      <c r="BJ1721" s="9">
        <f t="shared" si="236"/>
        <v>7.32</v>
      </c>
      <c r="BK1721" s="9">
        <f t="shared" si="237"/>
        <v>9.82</v>
      </c>
      <c r="BL1721" s="9">
        <f t="shared" si="238"/>
        <v>0</v>
      </c>
      <c r="BM1721" s="9">
        <f t="shared" si="239"/>
        <v>15.73</v>
      </c>
      <c r="BN1721" s="9">
        <f t="shared" si="240"/>
        <v>493.47</v>
      </c>
      <c r="BO1721" s="9">
        <f t="shared" si="241"/>
        <v>0</v>
      </c>
      <c r="BP1721" s="9">
        <f t="shared" si="242"/>
        <v>0</v>
      </c>
    </row>
    <row r="1722" spans="1:68">
      <c r="A1722" s="6">
        <v>44858</v>
      </c>
      <c r="B1722" s="7">
        <v>3307</v>
      </c>
      <c r="C1722" s="8"/>
      <c r="D1722" s="8">
        <v>1902.27</v>
      </c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11">
        <v>2.48</v>
      </c>
      <c r="R1722" s="11"/>
      <c r="S1722" s="8">
        <v>13.88</v>
      </c>
      <c r="T1722" s="8"/>
      <c r="U1722" s="8">
        <v>19.02</v>
      </c>
      <c r="V1722" s="8"/>
      <c r="W1722" s="8"/>
      <c r="X1722" s="8"/>
      <c r="Y1722" s="8"/>
      <c r="Z1722" s="8"/>
      <c r="AA1722" s="8"/>
      <c r="AB1722" s="8"/>
      <c r="AC1722" s="8">
        <v>11.41</v>
      </c>
      <c r="AD1722" s="8"/>
      <c r="AE1722" s="8"/>
      <c r="AF1722" s="8"/>
      <c r="AG1722" s="8">
        <v>19.04</v>
      </c>
      <c r="AH1722" s="8"/>
      <c r="AI1722" s="8"/>
      <c r="AJ1722" s="8"/>
      <c r="AK1722" s="8"/>
      <c r="AL1722" s="8"/>
      <c r="AM1722" s="8"/>
      <c r="AN1722" s="8"/>
      <c r="AO1722" s="8"/>
      <c r="AP1722" s="11"/>
      <c r="AQ1722" s="8"/>
      <c r="AR1722" s="8"/>
      <c r="AS1722" s="8"/>
      <c r="AT1722" s="8"/>
      <c r="AU1722" s="8">
        <v>953.07</v>
      </c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>
        <v>68.42</v>
      </c>
      <c r="BH1722" s="9">
        <f t="shared" si="234"/>
        <v>1902.27</v>
      </c>
      <c r="BI1722" s="9">
        <f t="shared" si="235"/>
        <v>2.48</v>
      </c>
      <c r="BJ1722" s="9">
        <f t="shared" si="236"/>
        <v>13.88</v>
      </c>
      <c r="BK1722" s="9">
        <f t="shared" si="237"/>
        <v>19.02</v>
      </c>
      <c r="BL1722" s="9">
        <f t="shared" si="238"/>
        <v>0</v>
      </c>
      <c r="BM1722" s="9">
        <f t="shared" si="239"/>
        <v>30.45</v>
      </c>
      <c r="BN1722" s="9">
        <f t="shared" si="240"/>
        <v>953.07</v>
      </c>
      <c r="BO1722" s="9">
        <f t="shared" si="241"/>
        <v>0</v>
      </c>
      <c r="BP1722" s="9">
        <f t="shared" si="242"/>
        <v>0</v>
      </c>
    </row>
    <row r="1723" spans="1:68">
      <c r="A1723" s="6">
        <v>44858</v>
      </c>
      <c r="B1723" s="7">
        <v>3141</v>
      </c>
      <c r="C1723" s="8">
        <v>2451.64</v>
      </c>
      <c r="D1723" s="8">
        <v>432.82</v>
      </c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11">
        <v>8.39</v>
      </c>
      <c r="R1723" s="11"/>
      <c r="S1723" s="8">
        <v>13.57</v>
      </c>
      <c r="T1723" s="8"/>
      <c r="U1723" s="8">
        <v>43.31</v>
      </c>
      <c r="V1723" s="8"/>
      <c r="W1723" s="8"/>
      <c r="X1723" s="8"/>
      <c r="Y1723" s="8"/>
      <c r="Z1723" s="8"/>
      <c r="AA1723" s="8"/>
      <c r="AB1723" s="8"/>
      <c r="AC1723" s="8">
        <v>11.55</v>
      </c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11"/>
      <c r="AQ1723" s="8"/>
      <c r="AR1723" s="8"/>
      <c r="AS1723" s="8"/>
      <c r="AT1723" s="8">
        <v>1912.33</v>
      </c>
      <c r="AU1723" s="8"/>
      <c r="AV1723" s="8"/>
      <c r="AW1723" s="8"/>
      <c r="AX1723" s="8"/>
      <c r="AY1723" s="8"/>
      <c r="AZ1723" s="8"/>
      <c r="BA1723" s="8">
        <v>66.12</v>
      </c>
      <c r="BB1723" s="8"/>
      <c r="BC1723" s="8"/>
      <c r="BD1723" s="8"/>
      <c r="BE1723" s="8"/>
      <c r="BF1723" s="8">
        <v>202.03</v>
      </c>
      <c r="BG1723" s="8">
        <v>150.16999999999999</v>
      </c>
      <c r="BH1723" s="9">
        <f t="shared" si="234"/>
        <v>2884.46</v>
      </c>
      <c r="BI1723" s="9">
        <f t="shared" si="235"/>
        <v>8.39</v>
      </c>
      <c r="BJ1723" s="9">
        <f t="shared" si="236"/>
        <v>13.57</v>
      </c>
      <c r="BK1723" s="9">
        <f t="shared" si="237"/>
        <v>43.31</v>
      </c>
      <c r="BL1723" s="9">
        <f t="shared" si="238"/>
        <v>0</v>
      </c>
      <c r="BM1723" s="9">
        <f t="shared" si="239"/>
        <v>11.55</v>
      </c>
      <c r="BN1723" s="9">
        <f t="shared" si="240"/>
        <v>1912.33</v>
      </c>
      <c r="BO1723" s="9">
        <f t="shared" si="241"/>
        <v>66.12</v>
      </c>
      <c r="BP1723" s="9">
        <f t="shared" si="242"/>
        <v>202.03</v>
      </c>
    </row>
    <row r="1724" spans="1:68">
      <c r="A1724" s="6">
        <v>44858</v>
      </c>
      <c r="B1724" s="7">
        <v>3134</v>
      </c>
      <c r="C1724" s="8">
        <v>1047.2</v>
      </c>
      <c r="D1724" s="8">
        <v>146.68</v>
      </c>
      <c r="E1724" s="8"/>
      <c r="F1724" s="8"/>
      <c r="G1724" s="8"/>
      <c r="H1724" s="8">
        <v>495.87</v>
      </c>
      <c r="I1724" s="8"/>
      <c r="J1724" s="8"/>
      <c r="K1724" s="8"/>
      <c r="L1724" s="8"/>
      <c r="M1724" s="8"/>
      <c r="N1724" s="8"/>
      <c r="O1724" s="8"/>
      <c r="P1724" s="8"/>
      <c r="Q1724" s="11">
        <v>3.26</v>
      </c>
      <c r="R1724" s="11"/>
      <c r="S1724" s="8">
        <v>6.76</v>
      </c>
      <c r="T1724" s="8"/>
      <c r="U1724" s="8">
        <v>19.12</v>
      </c>
      <c r="V1724" s="8"/>
      <c r="W1724" s="8"/>
      <c r="X1724" s="8"/>
      <c r="Y1724" s="8"/>
      <c r="Z1724" s="8"/>
      <c r="AA1724" s="8"/>
      <c r="AB1724" s="8"/>
      <c r="AC1724" s="8">
        <v>5.88</v>
      </c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11"/>
      <c r="AQ1724" s="8"/>
      <c r="AR1724" s="8"/>
      <c r="AS1724" s="8"/>
      <c r="AT1724" s="8">
        <v>1037.22</v>
      </c>
      <c r="AU1724" s="8"/>
      <c r="AV1724" s="8"/>
      <c r="AW1724" s="8"/>
      <c r="AX1724" s="8"/>
      <c r="AY1724" s="8">
        <f>1415*10.5/1000</f>
        <v>14.8575</v>
      </c>
      <c r="AZ1724" s="8"/>
      <c r="BA1724" s="8"/>
      <c r="BB1724" s="8"/>
      <c r="BC1724" s="8"/>
      <c r="BD1724" s="8"/>
      <c r="BE1724" s="8"/>
      <c r="BF1724" s="8">
        <v>66.17</v>
      </c>
      <c r="BG1724" s="8">
        <v>77.83</v>
      </c>
      <c r="BH1724" s="9">
        <f t="shared" si="234"/>
        <v>1689.75</v>
      </c>
      <c r="BI1724" s="9">
        <f t="shared" si="235"/>
        <v>3.26</v>
      </c>
      <c r="BJ1724" s="9">
        <f t="shared" si="236"/>
        <v>6.76</v>
      </c>
      <c r="BK1724" s="9">
        <f t="shared" si="237"/>
        <v>19.12</v>
      </c>
      <c r="BL1724" s="9">
        <f t="shared" si="238"/>
        <v>0</v>
      </c>
      <c r="BM1724" s="9">
        <f t="shared" si="239"/>
        <v>5.88</v>
      </c>
      <c r="BN1724" s="9">
        <f t="shared" si="240"/>
        <v>1037.22</v>
      </c>
      <c r="BO1724" s="9">
        <f t="shared" si="241"/>
        <v>14.8575</v>
      </c>
      <c r="BP1724" s="9">
        <f t="shared" si="242"/>
        <v>66.17</v>
      </c>
    </row>
    <row r="1725" spans="1:68">
      <c r="A1725" s="6">
        <v>44858</v>
      </c>
      <c r="B1725" s="7">
        <v>3106</v>
      </c>
      <c r="C1725" s="8">
        <v>4181.7299999999996</v>
      </c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11">
        <v>11.31</v>
      </c>
      <c r="R1725" s="11"/>
      <c r="S1725" s="8">
        <v>12.58</v>
      </c>
      <c r="T1725" s="8"/>
      <c r="U1725" s="8">
        <v>53.18</v>
      </c>
      <c r="V1725" s="8"/>
      <c r="W1725" s="8"/>
      <c r="X1725" s="8"/>
      <c r="Y1725" s="8"/>
      <c r="Z1725" s="8"/>
      <c r="AA1725" s="8"/>
      <c r="AB1725" s="8"/>
      <c r="AC1725" s="8">
        <v>10.46</v>
      </c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11"/>
      <c r="AQ1725" s="8"/>
      <c r="AR1725" s="8"/>
      <c r="AS1725" s="8"/>
      <c r="AT1725" s="8">
        <v>2394.36</v>
      </c>
      <c r="AU1725" s="8"/>
      <c r="AV1725" s="8"/>
      <c r="AW1725" s="8"/>
      <c r="AX1725" s="8">
        <v>5.23</v>
      </c>
      <c r="AY1725" s="8"/>
      <c r="AZ1725" s="8"/>
      <c r="BA1725" s="8"/>
      <c r="BB1725" s="8"/>
      <c r="BC1725" s="8"/>
      <c r="BD1725" s="8"/>
      <c r="BE1725" s="8"/>
      <c r="BF1725" s="8"/>
      <c r="BG1725" s="8">
        <v>180.55</v>
      </c>
      <c r="BH1725" s="9">
        <f t="shared" si="234"/>
        <v>4181.7299999999996</v>
      </c>
      <c r="BI1725" s="9">
        <f t="shared" si="235"/>
        <v>11.31</v>
      </c>
      <c r="BJ1725" s="9">
        <f t="shared" si="236"/>
        <v>12.58</v>
      </c>
      <c r="BK1725" s="9">
        <f t="shared" si="237"/>
        <v>53.18</v>
      </c>
      <c r="BL1725" s="9">
        <f t="shared" si="238"/>
        <v>0</v>
      </c>
      <c r="BM1725" s="9">
        <f t="shared" si="239"/>
        <v>10.46</v>
      </c>
      <c r="BN1725" s="9">
        <f t="shared" si="240"/>
        <v>2394.36</v>
      </c>
      <c r="BO1725" s="9">
        <f t="shared" si="241"/>
        <v>5.23</v>
      </c>
      <c r="BP1725" s="9">
        <f t="shared" si="242"/>
        <v>0</v>
      </c>
    </row>
    <row r="1726" spans="1:68">
      <c r="A1726" s="6">
        <v>44858</v>
      </c>
      <c r="B1726" s="7">
        <v>3121</v>
      </c>
      <c r="C1726" s="8">
        <v>2252.4</v>
      </c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11">
        <v>4.9800000000000004</v>
      </c>
      <c r="R1726" s="11"/>
      <c r="S1726" s="8">
        <v>7.21</v>
      </c>
      <c r="T1726" s="8"/>
      <c r="U1726" s="8">
        <v>22.5</v>
      </c>
      <c r="V1726" s="8"/>
      <c r="W1726" s="8"/>
      <c r="X1726" s="8"/>
      <c r="Y1726" s="8"/>
      <c r="Z1726" s="8"/>
      <c r="AA1726" s="8"/>
      <c r="AB1726" s="8"/>
      <c r="AC1726" s="8">
        <v>9</v>
      </c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11">
        <f>2203*10.23/1000</f>
        <v>22.536690000000004</v>
      </c>
      <c r="AQ1726" s="8"/>
      <c r="AR1726" s="8"/>
      <c r="AS1726" s="8"/>
      <c r="AT1726" s="8">
        <v>1195</v>
      </c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>
        <v>88.07</v>
      </c>
      <c r="BH1726" s="9">
        <f t="shared" si="234"/>
        <v>2252.4</v>
      </c>
      <c r="BI1726" s="9">
        <f t="shared" si="235"/>
        <v>4.9800000000000004</v>
      </c>
      <c r="BJ1726" s="9">
        <f t="shared" si="236"/>
        <v>7.21</v>
      </c>
      <c r="BK1726" s="9">
        <f t="shared" si="237"/>
        <v>22.5</v>
      </c>
      <c r="BL1726" s="9">
        <f t="shared" si="238"/>
        <v>0</v>
      </c>
      <c r="BM1726" s="9">
        <f t="shared" si="239"/>
        <v>31.536690000000004</v>
      </c>
      <c r="BN1726" s="9">
        <f t="shared" si="240"/>
        <v>1195</v>
      </c>
      <c r="BO1726" s="9">
        <f t="shared" si="241"/>
        <v>0</v>
      </c>
      <c r="BP1726" s="9">
        <f t="shared" si="242"/>
        <v>0</v>
      </c>
    </row>
    <row r="1727" spans="1:68">
      <c r="A1727" s="6">
        <v>44858</v>
      </c>
      <c r="B1727" s="7">
        <v>3405</v>
      </c>
      <c r="C1727" s="8">
        <v>671.54</v>
      </c>
      <c r="D1727" s="8">
        <v>167.11</v>
      </c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11">
        <v>1.66</v>
      </c>
      <c r="R1727" s="11"/>
      <c r="S1727" s="8">
        <v>1.93</v>
      </c>
      <c r="T1727" s="8"/>
      <c r="U1727" s="8"/>
      <c r="V1727" s="8"/>
      <c r="W1727" s="8"/>
      <c r="X1727" s="8">
        <f>1188*8.4/1000</f>
        <v>9.9792000000000005</v>
      </c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11"/>
      <c r="AQ1727" s="8"/>
      <c r="AR1727" s="8"/>
      <c r="AS1727" s="8"/>
      <c r="AT1727" s="8">
        <v>412.6</v>
      </c>
      <c r="AU1727" s="8"/>
      <c r="AV1727" s="8"/>
      <c r="AW1727" s="8"/>
      <c r="AX1727" s="8"/>
      <c r="AY1727" s="8"/>
      <c r="AZ1727" s="8"/>
      <c r="BA1727" s="8">
        <v>3.78</v>
      </c>
      <c r="BB1727" s="8"/>
      <c r="BC1727" s="8"/>
      <c r="BD1727" s="8"/>
      <c r="BE1727" s="8"/>
      <c r="BF1727" s="8"/>
      <c r="BG1727" s="8">
        <v>27.73</v>
      </c>
      <c r="BH1727" s="9">
        <f t="shared" si="234"/>
        <v>838.65</v>
      </c>
      <c r="BI1727" s="9">
        <f t="shared" si="235"/>
        <v>1.66</v>
      </c>
      <c r="BJ1727" s="9">
        <f t="shared" si="236"/>
        <v>1.93</v>
      </c>
      <c r="BK1727" s="9">
        <f t="shared" si="237"/>
        <v>9.9792000000000005</v>
      </c>
      <c r="BL1727" s="9">
        <f t="shared" si="238"/>
        <v>0</v>
      </c>
      <c r="BM1727" s="9">
        <f t="shared" si="239"/>
        <v>0</v>
      </c>
      <c r="BN1727" s="9">
        <f t="shared" si="240"/>
        <v>412.6</v>
      </c>
      <c r="BO1727" s="9">
        <f t="shared" si="241"/>
        <v>3.78</v>
      </c>
      <c r="BP1727" s="9">
        <f t="shared" si="242"/>
        <v>0</v>
      </c>
    </row>
    <row r="1728" spans="1:68">
      <c r="A1728" s="6">
        <v>44858</v>
      </c>
      <c r="B1728" s="7">
        <v>3409</v>
      </c>
      <c r="C1728" s="8">
        <v>803.84</v>
      </c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11">
        <v>1.73</v>
      </c>
      <c r="R1728" s="11"/>
      <c r="S1728" s="8">
        <v>2.0099999999999998</v>
      </c>
      <c r="T1728" s="8"/>
      <c r="U1728" s="8"/>
      <c r="V1728" s="8"/>
      <c r="W1728" s="8"/>
      <c r="X1728" s="8">
        <f>1006*8.03/1000</f>
        <v>8.0781799999999997</v>
      </c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11"/>
      <c r="AQ1728" s="8"/>
      <c r="AR1728" s="8"/>
      <c r="AS1728" s="8"/>
      <c r="AT1728" s="8">
        <v>412.75</v>
      </c>
      <c r="AU1728" s="8"/>
      <c r="AV1728" s="8">
        <v>24.12</v>
      </c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>
        <v>28.06</v>
      </c>
      <c r="BH1728" s="9">
        <f t="shared" si="234"/>
        <v>803.84</v>
      </c>
      <c r="BI1728" s="9">
        <f t="shared" si="235"/>
        <v>1.73</v>
      </c>
      <c r="BJ1728" s="9">
        <f t="shared" si="236"/>
        <v>2.0099999999999998</v>
      </c>
      <c r="BK1728" s="9">
        <f t="shared" si="237"/>
        <v>8.0781799999999997</v>
      </c>
      <c r="BL1728" s="9">
        <f t="shared" si="238"/>
        <v>0</v>
      </c>
      <c r="BM1728" s="9">
        <f t="shared" si="239"/>
        <v>0</v>
      </c>
      <c r="BN1728" s="9">
        <f t="shared" si="240"/>
        <v>412.75</v>
      </c>
      <c r="BO1728" s="9">
        <f t="shared" si="241"/>
        <v>24.12</v>
      </c>
      <c r="BP1728" s="9">
        <f t="shared" si="242"/>
        <v>0</v>
      </c>
    </row>
    <row r="1729" spans="1:68">
      <c r="A1729" s="6">
        <v>44858</v>
      </c>
      <c r="B1729" s="7">
        <v>3203</v>
      </c>
      <c r="C1729" s="8">
        <v>1668.41</v>
      </c>
      <c r="D1729" s="8"/>
      <c r="E1729" s="8">
        <v>716.36</v>
      </c>
      <c r="F1729" s="8"/>
      <c r="G1729" s="8"/>
      <c r="H1729" s="8"/>
      <c r="I1729" s="8"/>
      <c r="J1729" s="8"/>
      <c r="K1729" s="8"/>
      <c r="L1729" s="8"/>
      <c r="M1729" s="8"/>
      <c r="N1729" s="8"/>
      <c r="O1729" s="8">
        <v>7.14</v>
      </c>
      <c r="P1729" s="8"/>
      <c r="Q1729" s="11"/>
      <c r="R1729" s="11"/>
      <c r="S1729" s="8">
        <v>9.31</v>
      </c>
      <c r="T1729" s="8"/>
      <c r="U1729" s="8">
        <v>29.59</v>
      </c>
      <c r="V1729" s="8"/>
      <c r="W1729" s="8"/>
      <c r="X1729" s="8"/>
      <c r="Y1729" s="8"/>
      <c r="Z1729" s="8">
        <v>375.93</v>
      </c>
      <c r="AA1729" s="8">
        <f>10379*28.07/1000</f>
        <v>291.33853000000005</v>
      </c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11"/>
      <c r="AQ1729" s="8"/>
      <c r="AR1729" s="8"/>
      <c r="AS1729" s="8"/>
      <c r="AT1729" s="8">
        <v>892.44</v>
      </c>
      <c r="AU1729" s="8">
        <v>446.82</v>
      </c>
      <c r="AV1729" s="8"/>
      <c r="AW1729" s="8"/>
      <c r="AX1729" s="8"/>
      <c r="AY1729" s="8"/>
      <c r="AZ1729" s="8"/>
      <c r="BA1729" s="8"/>
      <c r="BB1729" s="8"/>
      <c r="BC1729" s="8">
        <v>6.2</v>
      </c>
      <c r="BD1729" s="8"/>
      <c r="BE1729" s="8"/>
      <c r="BF1729" s="8"/>
      <c r="BG1729" s="8">
        <v>87.57</v>
      </c>
      <c r="BH1729" s="9">
        <f t="shared" si="234"/>
        <v>2384.77</v>
      </c>
      <c r="BI1729" s="9">
        <f t="shared" si="235"/>
        <v>7.14</v>
      </c>
      <c r="BJ1729" s="9">
        <f t="shared" si="236"/>
        <v>9.31</v>
      </c>
      <c r="BK1729" s="9">
        <f t="shared" si="237"/>
        <v>29.59</v>
      </c>
      <c r="BL1729" s="9">
        <f t="shared" si="238"/>
        <v>667.26853000000006</v>
      </c>
      <c r="BM1729" s="9">
        <f t="shared" si="239"/>
        <v>0</v>
      </c>
      <c r="BN1729" s="9">
        <f t="shared" si="240"/>
        <v>1339.26</v>
      </c>
      <c r="BO1729" s="9">
        <f t="shared" si="241"/>
        <v>6.2</v>
      </c>
      <c r="BP1729" s="9">
        <f t="shared" si="242"/>
        <v>0</v>
      </c>
    </row>
    <row r="1730" spans="1:68">
      <c r="A1730" s="6">
        <v>44858</v>
      </c>
      <c r="B1730" s="7">
        <v>3200</v>
      </c>
      <c r="C1730" s="8">
        <v>1169.48</v>
      </c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>
        <v>2.92</v>
      </c>
      <c r="P1730" s="8"/>
      <c r="Q1730" s="11"/>
      <c r="R1730" s="11"/>
      <c r="S1730" s="8">
        <v>4.58</v>
      </c>
      <c r="T1730" s="8"/>
      <c r="U1730" s="8">
        <v>17.59</v>
      </c>
      <c r="V1730" s="8"/>
      <c r="W1730" s="8"/>
      <c r="X1730" s="8"/>
      <c r="Y1730" s="8"/>
      <c r="Z1730" s="8">
        <v>246.16</v>
      </c>
      <c r="AA1730" s="8"/>
      <c r="AB1730" s="8"/>
      <c r="AC1730" s="8"/>
      <c r="AD1730" s="8"/>
      <c r="AE1730" s="8"/>
      <c r="AF1730" s="8">
        <v>57.99</v>
      </c>
      <c r="AG1730" s="8"/>
      <c r="AH1730" s="8"/>
      <c r="AI1730" s="8"/>
      <c r="AJ1730" s="8"/>
      <c r="AK1730" s="8"/>
      <c r="AL1730" s="8"/>
      <c r="AM1730" s="8"/>
      <c r="AN1730" s="8"/>
      <c r="AO1730" s="8"/>
      <c r="AP1730" s="11"/>
      <c r="AQ1730" s="8">
        <f>1526*11.7/1000</f>
        <v>17.854200000000002</v>
      </c>
      <c r="AR1730" s="8"/>
      <c r="AS1730" s="8"/>
      <c r="AT1730" s="8">
        <v>801.8</v>
      </c>
      <c r="AU1730" s="8"/>
      <c r="AV1730" s="8"/>
      <c r="AW1730" s="8">
        <v>3.46</v>
      </c>
      <c r="AX1730" s="8"/>
      <c r="AY1730" s="8"/>
      <c r="AZ1730" s="8"/>
      <c r="BA1730" s="8"/>
      <c r="BB1730" s="8"/>
      <c r="BC1730" s="8"/>
      <c r="BD1730" s="8"/>
      <c r="BE1730" s="8"/>
      <c r="BF1730" s="8">
        <v>56.22</v>
      </c>
      <c r="BG1730" s="8">
        <v>58.11</v>
      </c>
      <c r="BH1730" s="9">
        <f t="shared" si="234"/>
        <v>1169.48</v>
      </c>
      <c r="BI1730" s="9">
        <f t="shared" si="235"/>
        <v>2.92</v>
      </c>
      <c r="BJ1730" s="9">
        <f t="shared" si="236"/>
        <v>4.58</v>
      </c>
      <c r="BK1730" s="9">
        <f t="shared" si="237"/>
        <v>17.59</v>
      </c>
      <c r="BL1730" s="9">
        <f t="shared" si="238"/>
        <v>246.16</v>
      </c>
      <c r="BM1730" s="9">
        <f t="shared" si="239"/>
        <v>75.844200000000001</v>
      </c>
      <c r="BN1730" s="9">
        <f t="shared" si="240"/>
        <v>801.8</v>
      </c>
      <c r="BO1730" s="9">
        <f t="shared" si="241"/>
        <v>3.46</v>
      </c>
      <c r="BP1730" s="9">
        <f t="shared" si="242"/>
        <v>56.22</v>
      </c>
    </row>
    <row r="1731" spans="1:68">
      <c r="A1731" s="6">
        <v>44859</v>
      </c>
      <c r="B1731" s="7">
        <v>3141</v>
      </c>
      <c r="C1731" s="8">
        <v>3637.23</v>
      </c>
      <c r="D1731" s="8">
        <v>641.55999999999995</v>
      </c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11">
        <v>12.38</v>
      </c>
      <c r="R1731" s="11"/>
      <c r="S1731" s="8">
        <v>20.14</v>
      </c>
      <c r="T1731" s="8"/>
      <c r="U1731" s="8">
        <v>64.23</v>
      </c>
      <c r="V1731" s="8"/>
      <c r="W1731" s="8"/>
      <c r="X1731" s="8"/>
      <c r="Y1731" s="8"/>
      <c r="Z1731" s="8"/>
      <c r="AA1731" s="8"/>
      <c r="AB1731" s="8"/>
      <c r="AC1731" s="8">
        <v>17.11</v>
      </c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11"/>
      <c r="AQ1731" s="8"/>
      <c r="AR1731" s="8"/>
      <c r="AS1731" s="8"/>
      <c r="AT1731" s="8">
        <v>2845.63</v>
      </c>
      <c r="AU1731" s="8"/>
      <c r="AV1731" s="8"/>
      <c r="AW1731" s="8"/>
      <c r="AX1731" s="8"/>
      <c r="AY1731" s="8"/>
      <c r="AZ1731" s="8"/>
      <c r="BA1731" s="8">
        <v>98.11</v>
      </c>
      <c r="BB1731" s="8"/>
      <c r="BC1731" s="8"/>
      <c r="BD1731" s="8"/>
      <c r="BE1731" s="8"/>
      <c r="BF1731" s="8">
        <v>299.56</v>
      </c>
      <c r="BG1731" s="8">
        <v>223.03</v>
      </c>
      <c r="BH1731" s="9">
        <f t="shared" si="234"/>
        <v>4278.79</v>
      </c>
      <c r="BI1731" s="9">
        <f t="shared" si="235"/>
        <v>12.38</v>
      </c>
      <c r="BJ1731" s="9">
        <f t="shared" si="236"/>
        <v>20.14</v>
      </c>
      <c r="BK1731" s="9">
        <f t="shared" si="237"/>
        <v>64.23</v>
      </c>
      <c r="BL1731" s="9">
        <f t="shared" si="238"/>
        <v>0</v>
      </c>
      <c r="BM1731" s="9">
        <f t="shared" si="239"/>
        <v>17.11</v>
      </c>
      <c r="BN1731" s="9">
        <f t="shared" si="240"/>
        <v>2845.63</v>
      </c>
      <c r="BO1731" s="9">
        <f t="shared" si="241"/>
        <v>98.11</v>
      </c>
      <c r="BP1731" s="9">
        <f t="shared" si="242"/>
        <v>299.56</v>
      </c>
    </row>
    <row r="1732" spans="1:68">
      <c r="A1732" s="6">
        <v>44859</v>
      </c>
      <c r="B1732" s="7">
        <v>3121</v>
      </c>
      <c r="C1732" s="8">
        <v>1174.01</v>
      </c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11">
        <v>2.95</v>
      </c>
      <c r="R1732" s="11"/>
      <c r="S1732" s="8">
        <v>3.78</v>
      </c>
      <c r="T1732" s="8"/>
      <c r="U1732" s="8">
        <v>11.8</v>
      </c>
      <c r="V1732" s="8"/>
      <c r="W1732" s="8"/>
      <c r="X1732" s="8"/>
      <c r="Y1732" s="8"/>
      <c r="Z1732" s="8"/>
      <c r="AA1732" s="8"/>
      <c r="AB1732" s="8"/>
      <c r="AC1732" s="8">
        <v>4.71</v>
      </c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11">
        <f>2227*5.35/1000</f>
        <v>11.914449999999999</v>
      </c>
      <c r="AQ1732" s="8"/>
      <c r="AR1732" s="8"/>
      <c r="AS1732" s="8"/>
      <c r="AT1732" s="8">
        <v>624.96</v>
      </c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>
        <v>46.07</v>
      </c>
      <c r="BH1732" s="9">
        <f t="shared" ref="BH1732:BH1795" si="243">SUM(C1732:L1732)</f>
        <v>1174.01</v>
      </c>
      <c r="BI1732" s="9">
        <f t="shared" ref="BI1732:BI1795" si="244">SUM(M1732:R1732)</f>
        <v>2.95</v>
      </c>
      <c r="BJ1732" s="9">
        <f t="shared" ref="BJ1732:BJ1795" si="245">SUM(S1732)</f>
        <v>3.78</v>
      </c>
      <c r="BK1732" s="9">
        <f t="shared" ref="BK1732:BK1795" si="246">SUM(T1732:Y1732)</f>
        <v>11.8</v>
      </c>
      <c r="BL1732" s="9">
        <f t="shared" ref="BL1732:BL1795" si="247">SUM(Z1732:AA1732)</f>
        <v>0</v>
      </c>
      <c r="BM1732" s="9">
        <f t="shared" ref="BM1732:BM1795" si="248">SUM(AB1732:AS1732)</f>
        <v>16.62445</v>
      </c>
      <c r="BN1732" s="9">
        <f t="shared" ref="BN1732:BN1795" si="249">SUM(AT1732:AU1732)</f>
        <v>624.96</v>
      </c>
      <c r="BO1732" s="9">
        <f t="shared" ref="BO1732:BO1795" si="250">SUM(AV1732:BE1732)</f>
        <v>0</v>
      </c>
      <c r="BP1732" s="9">
        <f t="shared" ref="BP1732:BP1795" si="251">SUM(BF1732)</f>
        <v>0</v>
      </c>
    </row>
    <row r="1733" spans="1:68">
      <c r="A1733" s="6">
        <v>44859</v>
      </c>
      <c r="B1733" s="7">
        <v>3022</v>
      </c>
      <c r="C1733" s="8"/>
      <c r="D1733" s="8">
        <v>570.62</v>
      </c>
      <c r="E1733" s="8"/>
      <c r="F1733" s="8"/>
      <c r="G1733" s="8"/>
      <c r="H1733" s="8"/>
      <c r="I1733" s="8">
        <v>466.46</v>
      </c>
      <c r="J1733" s="8"/>
      <c r="K1733" s="8"/>
      <c r="L1733" s="8"/>
      <c r="M1733" s="8"/>
      <c r="N1733" s="8">
        <v>5.19</v>
      </c>
      <c r="O1733" s="8"/>
      <c r="P1733" s="8"/>
      <c r="Q1733" s="11"/>
      <c r="R1733" s="11"/>
      <c r="S1733" s="8">
        <v>1.87</v>
      </c>
      <c r="T1733" s="8"/>
      <c r="U1733" s="8"/>
      <c r="V1733" s="8"/>
      <c r="W1733" s="8">
        <v>10.39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>
        <v>13.49</v>
      </c>
      <c r="AN1733" s="8"/>
      <c r="AO1733" s="8"/>
      <c r="AP1733" s="11"/>
      <c r="AQ1733" s="8"/>
      <c r="AR1733" s="8"/>
      <c r="AS1733" s="8">
        <f>3912*9.43/1000</f>
        <v>36.890159999999995</v>
      </c>
      <c r="AT1733" s="8">
        <v>485.36</v>
      </c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>
        <v>37.36</v>
      </c>
      <c r="BH1733" s="9">
        <f t="shared" si="243"/>
        <v>1037.08</v>
      </c>
      <c r="BI1733" s="9">
        <f t="shared" si="244"/>
        <v>5.19</v>
      </c>
      <c r="BJ1733" s="9">
        <f t="shared" si="245"/>
        <v>1.87</v>
      </c>
      <c r="BK1733" s="9">
        <f t="shared" si="246"/>
        <v>10.39</v>
      </c>
      <c r="BL1733" s="9">
        <f t="shared" si="247"/>
        <v>0</v>
      </c>
      <c r="BM1733" s="9">
        <f t="shared" si="248"/>
        <v>50.380159999999997</v>
      </c>
      <c r="BN1733" s="9">
        <f t="shared" si="249"/>
        <v>485.36</v>
      </c>
      <c r="BO1733" s="9">
        <f t="shared" si="250"/>
        <v>0</v>
      </c>
      <c r="BP1733" s="9">
        <f t="shared" si="251"/>
        <v>0</v>
      </c>
    </row>
    <row r="1734" spans="1:68">
      <c r="A1734" s="6">
        <v>44859</v>
      </c>
      <c r="B1734" s="7">
        <v>3023</v>
      </c>
      <c r="C1734" s="8"/>
      <c r="D1734" s="8">
        <v>872.73</v>
      </c>
      <c r="E1734" s="8"/>
      <c r="F1734" s="8"/>
      <c r="G1734" s="8"/>
      <c r="H1734" s="8"/>
      <c r="I1734" s="8">
        <v>471.06</v>
      </c>
      <c r="J1734" s="8"/>
      <c r="K1734" s="8"/>
      <c r="L1734" s="8"/>
      <c r="M1734" s="8"/>
      <c r="N1734" s="8">
        <v>7.53</v>
      </c>
      <c r="O1734" s="8"/>
      <c r="P1734" s="8"/>
      <c r="Q1734" s="11"/>
      <c r="R1734" s="11"/>
      <c r="S1734" s="8">
        <v>2.15</v>
      </c>
      <c r="T1734" s="8"/>
      <c r="U1734" s="8"/>
      <c r="V1734" s="8"/>
      <c r="W1734" s="8">
        <v>12.11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>
        <v>13.44</v>
      </c>
      <c r="AN1734" s="8">
        <f>1044*9.28/1000</f>
        <v>9.6883199999999992</v>
      </c>
      <c r="AO1734" s="8"/>
      <c r="AP1734" s="11"/>
      <c r="AQ1734" s="8"/>
      <c r="AR1734" s="8"/>
      <c r="AS1734" s="8">
        <f>4772*9.28/1000</f>
        <v>44.284159999999993</v>
      </c>
      <c r="AT1734" s="8">
        <v>550.89</v>
      </c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>
        <v>41.67</v>
      </c>
      <c r="BH1734" s="9">
        <f t="shared" si="243"/>
        <v>1343.79</v>
      </c>
      <c r="BI1734" s="9">
        <f t="shared" si="244"/>
        <v>7.53</v>
      </c>
      <c r="BJ1734" s="9">
        <f t="shared" si="245"/>
        <v>2.15</v>
      </c>
      <c r="BK1734" s="9">
        <f t="shared" si="246"/>
        <v>12.11</v>
      </c>
      <c r="BL1734" s="9">
        <f t="shared" si="247"/>
        <v>0</v>
      </c>
      <c r="BM1734" s="9">
        <f t="shared" si="248"/>
        <v>67.412479999999988</v>
      </c>
      <c r="BN1734" s="9">
        <f t="shared" si="249"/>
        <v>550.89</v>
      </c>
      <c r="BO1734" s="9">
        <f t="shared" si="250"/>
        <v>0</v>
      </c>
      <c r="BP1734" s="9">
        <f t="shared" si="251"/>
        <v>0</v>
      </c>
    </row>
    <row r="1735" spans="1:68">
      <c r="A1735" s="6">
        <v>44859</v>
      </c>
      <c r="B1735" s="7">
        <v>3028</v>
      </c>
      <c r="C1735" s="8"/>
      <c r="D1735" s="8">
        <v>404.68</v>
      </c>
      <c r="E1735" s="8"/>
      <c r="F1735" s="8">
        <v>369.63</v>
      </c>
      <c r="G1735" s="8"/>
      <c r="H1735" s="8"/>
      <c r="I1735" s="8">
        <v>835.47</v>
      </c>
      <c r="J1735" s="8"/>
      <c r="K1735" s="8"/>
      <c r="L1735" s="8"/>
      <c r="M1735" s="8"/>
      <c r="N1735" s="8">
        <v>12.07</v>
      </c>
      <c r="O1735" s="8"/>
      <c r="P1735" s="8"/>
      <c r="Q1735" s="11"/>
      <c r="R1735" s="11"/>
      <c r="S1735" s="8">
        <v>2.25</v>
      </c>
      <c r="T1735" s="8"/>
      <c r="U1735" s="8"/>
      <c r="V1735" s="8"/>
      <c r="W1735" s="8">
        <v>12.06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>
        <v>16.100000000000001</v>
      </c>
      <c r="AN1735" s="8">
        <f>1043*10.72/1000</f>
        <v>11.180960000000001</v>
      </c>
      <c r="AO1735" s="8"/>
      <c r="AP1735" s="11"/>
      <c r="AQ1735" s="8"/>
      <c r="AR1735" s="8"/>
      <c r="AS1735" s="8">
        <f>4937*10.72/1000</f>
        <v>52.924640000000004</v>
      </c>
      <c r="AT1735" s="8">
        <v>537.29999999999995</v>
      </c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>
        <v>36.700000000000003</v>
      </c>
      <c r="BH1735" s="9">
        <f t="shared" si="243"/>
        <v>1609.78</v>
      </c>
      <c r="BI1735" s="9">
        <f t="shared" si="244"/>
        <v>12.07</v>
      </c>
      <c r="BJ1735" s="9">
        <f t="shared" si="245"/>
        <v>2.25</v>
      </c>
      <c r="BK1735" s="9">
        <f t="shared" si="246"/>
        <v>12.06</v>
      </c>
      <c r="BL1735" s="9">
        <f t="shared" si="247"/>
        <v>0</v>
      </c>
      <c r="BM1735" s="9">
        <f t="shared" si="248"/>
        <v>80.205600000000004</v>
      </c>
      <c r="BN1735" s="9">
        <f t="shared" si="249"/>
        <v>537.29999999999995</v>
      </c>
      <c r="BO1735" s="9">
        <f t="shared" si="250"/>
        <v>0</v>
      </c>
      <c r="BP1735" s="9">
        <f t="shared" si="251"/>
        <v>0</v>
      </c>
    </row>
    <row r="1736" spans="1:68">
      <c r="A1736" s="6">
        <v>44859</v>
      </c>
      <c r="B1736" s="7">
        <v>3027</v>
      </c>
      <c r="C1736" s="8"/>
      <c r="D1736" s="8">
        <v>976.62</v>
      </c>
      <c r="E1736" s="8"/>
      <c r="F1736" s="8"/>
      <c r="G1736" s="8"/>
      <c r="H1736" s="8"/>
      <c r="I1736" s="8">
        <v>799.77</v>
      </c>
      <c r="J1736" s="8"/>
      <c r="K1736" s="8"/>
      <c r="L1736" s="8"/>
      <c r="M1736" s="8"/>
      <c r="N1736" s="8">
        <v>9.77</v>
      </c>
      <c r="O1736" s="8"/>
      <c r="P1736" s="8"/>
      <c r="Q1736" s="11"/>
      <c r="R1736" s="11"/>
      <c r="S1736" s="8">
        <v>2.84</v>
      </c>
      <c r="T1736" s="8"/>
      <c r="U1736" s="8"/>
      <c r="V1736" s="8"/>
      <c r="W1736" s="8">
        <v>13.33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>
        <v>17.78</v>
      </c>
      <c r="AN1736" s="8">
        <f>1229*10.15/1000</f>
        <v>12.474350000000001</v>
      </c>
      <c r="AO1736" s="8"/>
      <c r="AP1736" s="11"/>
      <c r="AQ1736" s="8"/>
      <c r="AR1736" s="8"/>
      <c r="AS1736" s="8">
        <f>5763*10.15/1000</f>
        <v>58.494450000000008</v>
      </c>
      <c r="AT1736" s="8">
        <v>591.04</v>
      </c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>
        <v>41.76</v>
      </c>
      <c r="BH1736" s="9">
        <f t="shared" si="243"/>
        <v>1776.3899999999999</v>
      </c>
      <c r="BI1736" s="9">
        <f t="shared" si="244"/>
        <v>9.77</v>
      </c>
      <c r="BJ1736" s="9">
        <f t="shared" si="245"/>
        <v>2.84</v>
      </c>
      <c r="BK1736" s="9">
        <f t="shared" si="246"/>
        <v>13.33</v>
      </c>
      <c r="BL1736" s="9">
        <f t="shared" si="247"/>
        <v>0</v>
      </c>
      <c r="BM1736" s="9">
        <f t="shared" si="248"/>
        <v>88.748800000000017</v>
      </c>
      <c r="BN1736" s="9">
        <f t="shared" si="249"/>
        <v>591.04</v>
      </c>
      <c r="BO1736" s="9">
        <f t="shared" si="250"/>
        <v>0</v>
      </c>
      <c r="BP1736" s="9">
        <f t="shared" si="251"/>
        <v>0</v>
      </c>
    </row>
    <row r="1737" spans="1:68">
      <c r="A1737" s="6">
        <v>44859</v>
      </c>
      <c r="B1737" s="7">
        <v>3005</v>
      </c>
      <c r="C1737" s="8">
        <v>463.96</v>
      </c>
      <c r="D1737" s="8">
        <v>308.02999999999997</v>
      </c>
      <c r="E1737" s="8"/>
      <c r="F1737" s="8"/>
      <c r="G1737" s="8"/>
      <c r="H1737" s="8"/>
      <c r="I1737" s="8"/>
      <c r="J1737" s="8"/>
      <c r="K1737" s="8"/>
      <c r="L1737" s="8"/>
      <c r="M1737" s="8"/>
      <c r="N1737" s="8">
        <v>0.77</v>
      </c>
      <c r="O1737" s="8"/>
      <c r="P1737" s="8"/>
      <c r="Q1737" s="11"/>
      <c r="R1737" s="11"/>
      <c r="S1737" s="8">
        <v>2.7</v>
      </c>
      <c r="T1737" s="8"/>
      <c r="U1737" s="8"/>
      <c r="V1737" s="8"/>
      <c r="W1737" s="8">
        <v>8.5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11"/>
      <c r="AQ1737" s="8"/>
      <c r="AR1737" s="8"/>
      <c r="AS1737" s="8"/>
      <c r="AT1737" s="8">
        <v>378.13</v>
      </c>
      <c r="AU1737" s="8"/>
      <c r="AV1737" s="8"/>
      <c r="AW1737" s="8">
        <v>8.58</v>
      </c>
      <c r="AX1737" s="8"/>
      <c r="AY1737" s="8"/>
      <c r="AZ1737" s="8"/>
      <c r="BA1737" s="8"/>
      <c r="BB1737" s="8"/>
      <c r="BC1737" s="8"/>
      <c r="BD1737" s="8"/>
      <c r="BE1737" s="8"/>
      <c r="BF1737" s="8"/>
      <c r="BG1737" s="8">
        <v>28.15</v>
      </c>
      <c r="BH1737" s="9">
        <f t="shared" si="243"/>
        <v>771.99</v>
      </c>
      <c r="BI1737" s="9">
        <f t="shared" si="244"/>
        <v>0.77</v>
      </c>
      <c r="BJ1737" s="9">
        <f t="shared" si="245"/>
        <v>2.7</v>
      </c>
      <c r="BK1737" s="9">
        <f t="shared" si="246"/>
        <v>8.5</v>
      </c>
      <c r="BL1737" s="9">
        <f t="shared" si="247"/>
        <v>0</v>
      </c>
      <c r="BM1737" s="9">
        <f t="shared" si="248"/>
        <v>0</v>
      </c>
      <c r="BN1737" s="9">
        <f t="shared" si="249"/>
        <v>378.13</v>
      </c>
      <c r="BO1737" s="9">
        <f t="shared" si="250"/>
        <v>8.58</v>
      </c>
      <c r="BP1737" s="9">
        <f t="shared" si="251"/>
        <v>0</v>
      </c>
    </row>
    <row r="1738" spans="1:68">
      <c r="A1738" s="6">
        <v>44859</v>
      </c>
      <c r="B1738" s="7">
        <v>3118</v>
      </c>
      <c r="C1738" s="8">
        <v>628.48</v>
      </c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11">
        <v>2.0699999999999998</v>
      </c>
      <c r="R1738" s="11"/>
      <c r="S1738" s="8">
        <v>3.46</v>
      </c>
      <c r="T1738" s="8"/>
      <c r="U1738" s="8">
        <v>7.54</v>
      </c>
      <c r="V1738" s="8"/>
      <c r="W1738" s="8"/>
      <c r="X1738" s="8"/>
      <c r="Y1738" s="8"/>
      <c r="Z1738" s="8"/>
      <c r="AA1738" s="8"/>
      <c r="AB1738" s="8"/>
      <c r="AC1738" s="8">
        <v>2.5099999999999998</v>
      </c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11"/>
      <c r="AQ1738" s="8">
        <f>714*8.97/1000</f>
        <v>6.404580000000001</v>
      </c>
      <c r="AR1738" s="8"/>
      <c r="AS1738" s="8"/>
      <c r="AT1738" s="8">
        <v>407.39</v>
      </c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>
        <v>44.02</v>
      </c>
      <c r="BG1738" s="8">
        <v>31.13</v>
      </c>
      <c r="BH1738" s="9">
        <f t="shared" si="243"/>
        <v>628.48</v>
      </c>
      <c r="BI1738" s="9">
        <f t="shared" si="244"/>
        <v>2.0699999999999998</v>
      </c>
      <c r="BJ1738" s="9">
        <f t="shared" si="245"/>
        <v>3.46</v>
      </c>
      <c r="BK1738" s="9">
        <f t="shared" si="246"/>
        <v>7.54</v>
      </c>
      <c r="BL1738" s="9">
        <f t="shared" si="247"/>
        <v>0</v>
      </c>
      <c r="BM1738" s="9">
        <f t="shared" si="248"/>
        <v>8.9145800000000008</v>
      </c>
      <c r="BN1738" s="9">
        <f t="shared" si="249"/>
        <v>407.39</v>
      </c>
      <c r="BO1738" s="9">
        <f t="shared" si="250"/>
        <v>0</v>
      </c>
      <c r="BP1738" s="9">
        <f t="shared" si="251"/>
        <v>44.02</v>
      </c>
    </row>
    <row r="1739" spans="1:68">
      <c r="A1739" s="6">
        <v>44859</v>
      </c>
      <c r="B1739" s="7">
        <v>3602</v>
      </c>
      <c r="C1739" s="8">
        <v>577.86</v>
      </c>
      <c r="D1739" s="8"/>
      <c r="E1739" s="8"/>
      <c r="F1739" s="8"/>
      <c r="G1739" s="8">
        <v>869.8</v>
      </c>
      <c r="H1739" s="8"/>
      <c r="I1739" s="8"/>
      <c r="J1739" s="8"/>
      <c r="K1739" s="8"/>
      <c r="L1739" s="8"/>
      <c r="M1739" s="8">
        <f>466*16.67/1000</f>
        <v>7.7682200000000012</v>
      </c>
      <c r="N1739" s="8"/>
      <c r="O1739" s="8"/>
      <c r="P1739" s="8"/>
      <c r="Q1739" s="11"/>
      <c r="R1739" s="11"/>
      <c r="S1739" s="8">
        <v>7</v>
      </c>
      <c r="T1739" s="8"/>
      <c r="U1739" s="8">
        <v>11.68</v>
      </c>
      <c r="V1739" s="8">
        <f>854*16.67/1000</f>
        <v>14.236180000000003</v>
      </c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11"/>
      <c r="AQ1739" s="8"/>
      <c r="AR1739" s="8"/>
      <c r="AS1739" s="8"/>
      <c r="AT1739" s="8">
        <v>586.91999999999996</v>
      </c>
      <c r="AU1739" s="8"/>
      <c r="AV1739" s="8"/>
      <c r="AW1739" s="8">
        <v>37.71</v>
      </c>
      <c r="AX1739" s="8"/>
      <c r="AY1739" s="8"/>
      <c r="AZ1739" s="8"/>
      <c r="BA1739" s="8"/>
      <c r="BB1739" s="8"/>
      <c r="BC1739" s="8"/>
      <c r="BD1739" s="8"/>
      <c r="BE1739" s="8"/>
      <c r="BF1739" s="8">
        <v>46.71</v>
      </c>
      <c r="BG1739" s="8">
        <v>43.76</v>
      </c>
      <c r="BH1739" s="9">
        <f t="shared" si="243"/>
        <v>1447.6599999999999</v>
      </c>
      <c r="BI1739" s="9">
        <f t="shared" si="244"/>
        <v>7.7682200000000012</v>
      </c>
      <c r="BJ1739" s="9">
        <f t="shared" si="245"/>
        <v>7</v>
      </c>
      <c r="BK1739" s="9">
        <f t="shared" si="246"/>
        <v>25.916180000000004</v>
      </c>
      <c r="BL1739" s="9">
        <f t="shared" si="247"/>
        <v>0</v>
      </c>
      <c r="BM1739" s="9">
        <f t="shared" si="248"/>
        <v>0</v>
      </c>
      <c r="BN1739" s="9">
        <f t="shared" si="249"/>
        <v>586.91999999999996</v>
      </c>
      <c r="BO1739" s="9">
        <f t="shared" si="250"/>
        <v>37.71</v>
      </c>
      <c r="BP1739" s="9">
        <f t="shared" si="251"/>
        <v>46.71</v>
      </c>
    </row>
    <row r="1740" spans="1:68">
      <c r="A1740" s="6">
        <v>44860</v>
      </c>
      <c r="B1740" s="7">
        <v>3110</v>
      </c>
      <c r="C1740" s="8">
        <v>1301.21</v>
      </c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11">
        <v>2.25</v>
      </c>
      <c r="R1740" s="11"/>
      <c r="S1740" s="8">
        <v>4.43</v>
      </c>
      <c r="T1740" s="8"/>
      <c r="U1740" s="8">
        <v>13.02</v>
      </c>
      <c r="V1740" s="8"/>
      <c r="W1740" s="8"/>
      <c r="X1740" s="8"/>
      <c r="Y1740" s="8"/>
      <c r="Z1740" s="8"/>
      <c r="AA1740" s="8"/>
      <c r="AB1740" s="8"/>
      <c r="AC1740" s="8">
        <v>5.2</v>
      </c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11"/>
      <c r="AQ1740" s="8"/>
      <c r="AR1740" s="8"/>
      <c r="AS1740" s="8"/>
      <c r="AT1740" s="8">
        <v>680.36</v>
      </c>
      <c r="AU1740" s="8"/>
      <c r="AV1740" s="8">
        <v>22.08</v>
      </c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>
        <v>50.04</v>
      </c>
      <c r="BH1740" s="9">
        <f t="shared" si="243"/>
        <v>1301.21</v>
      </c>
      <c r="BI1740" s="9">
        <f t="shared" si="244"/>
        <v>2.25</v>
      </c>
      <c r="BJ1740" s="9">
        <f t="shared" si="245"/>
        <v>4.43</v>
      </c>
      <c r="BK1740" s="9">
        <f t="shared" si="246"/>
        <v>13.02</v>
      </c>
      <c r="BL1740" s="9">
        <f t="shared" si="247"/>
        <v>0</v>
      </c>
      <c r="BM1740" s="9">
        <f t="shared" si="248"/>
        <v>5.2</v>
      </c>
      <c r="BN1740" s="9">
        <f t="shared" si="249"/>
        <v>680.36</v>
      </c>
      <c r="BO1740" s="9">
        <f t="shared" si="250"/>
        <v>22.08</v>
      </c>
      <c r="BP1740" s="9">
        <f t="shared" si="251"/>
        <v>0</v>
      </c>
    </row>
    <row r="1741" spans="1:68">
      <c r="A1741" s="6">
        <v>44860</v>
      </c>
      <c r="B1741" s="7">
        <v>3119</v>
      </c>
      <c r="C1741" s="8">
        <v>2629.57</v>
      </c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11">
        <v>8.92</v>
      </c>
      <c r="R1741" s="11"/>
      <c r="S1741" s="8">
        <v>12.11</v>
      </c>
      <c r="T1741" s="8"/>
      <c r="U1741" s="8">
        <v>26.33</v>
      </c>
      <c r="V1741" s="8"/>
      <c r="W1741" s="8"/>
      <c r="X1741" s="8"/>
      <c r="Y1741" s="8"/>
      <c r="Z1741" s="8"/>
      <c r="AA1741" s="8"/>
      <c r="AB1741" s="8"/>
      <c r="AC1741" s="8">
        <v>6.57</v>
      </c>
      <c r="AD1741" s="8"/>
      <c r="AE1741" s="8"/>
      <c r="AF1741" s="8"/>
      <c r="AG1741" s="8">
        <v>7.9</v>
      </c>
      <c r="AH1741" s="8"/>
      <c r="AI1741" s="8"/>
      <c r="AJ1741" s="8"/>
      <c r="AK1741" s="8"/>
      <c r="AL1741" s="8"/>
      <c r="AM1741" s="8"/>
      <c r="AN1741" s="8"/>
      <c r="AO1741" s="8"/>
      <c r="AP1741" s="11"/>
      <c r="AQ1741" s="8"/>
      <c r="AR1741" s="8"/>
      <c r="AS1741" s="8"/>
      <c r="AT1741" s="8">
        <v>1002.61</v>
      </c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>
        <v>184.07</v>
      </c>
      <c r="BG1741" s="8">
        <v>69.59</v>
      </c>
      <c r="BH1741" s="9">
        <f t="shared" si="243"/>
        <v>2629.57</v>
      </c>
      <c r="BI1741" s="9">
        <f t="shared" si="244"/>
        <v>8.92</v>
      </c>
      <c r="BJ1741" s="9">
        <f t="shared" si="245"/>
        <v>12.11</v>
      </c>
      <c r="BK1741" s="9">
        <f t="shared" si="246"/>
        <v>26.33</v>
      </c>
      <c r="BL1741" s="9">
        <f t="shared" si="247"/>
        <v>0</v>
      </c>
      <c r="BM1741" s="9">
        <f t="shared" si="248"/>
        <v>14.47</v>
      </c>
      <c r="BN1741" s="9">
        <f t="shared" si="249"/>
        <v>1002.61</v>
      </c>
      <c r="BO1741" s="9">
        <f t="shared" si="250"/>
        <v>0</v>
      </c>
      <c r="BP1741" s="9">
        <f t="shared" si="251"/>
        <v>184.07</v>
      </c>
    </row>
    <row r="1742" spans="1:68">
      <c r="A1742" s="6">
        <v>44860</v>
      </c>
      <c r="B1742" s="7">
        <v>3083</v>
      </c>
      <c r="C1742" s="8"/>
      <c r="D1742" s="8">
        <v>1087.73</v>
      </c>
      <c r="E1742" s="8"/>
      <c r="F1742" s="8"/>
      <c r="G1742" s="8"/>
      <c r="H1742" s="8"/>
      <c r="I1742" s="8">
        <v>2527.9699999999998</v>
      </c>
      <c r="J1742" s="8"/>
      <c r="K1742" s="8"/>
      <c r="L1742" s="8"/>
      <c r="M1742" s="8"/>
      <c r="N1742" s="8">
        <v>22.83</v>
      </c>
      <c r="O1742" s="8"/>
      <c r="P1742" s="8"/>
      <c r="Q1742" s="11"/>
      <c r="R1742" s="11"/>
      <c r="S1742" s="8">
        <v>2.54</v>
      </c>
      <c r="T1742" s="8"/>
      <c r="U1742" s="8"/>
      <c r="V1742" s="8"/>
      <c r="W1742" s="8">
        <v>29.03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>
        <v>14.42</v>
      </c>
      <c r="AN1742" s="8">
        <f>1898*26.85/1000</f>
        <v>50.961300000000001</v>
      </c>
      <c r="AO1742" s="8"/>
      <c r="AP1742" s="11"/>
      <c r="AQ1742" s="8"/>
      <c r="AR1742" s="8">
        <f>3391*26.85/1000</f>
        <v>91.048349999999999</v>
      </c>
      <c r="AS1742" s="8"/>
      <c r="AT1742" s="8">
        <v>1704.05</v>
      </c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>
        <v>135</v>
      </c>
      <c r="BH1742" s="9">
        <f t="shared" si="243"/>
        <v>3615.7</v>
      </c>
      <c r="BI1742" s="9">
        <f t="shared" si="244"/>
        <v>22.83</v>
      </c>
      <c r="BJ1742" s="9">
        <f t="shared" si="245"/>
        <v>2.54</v>
      </c>
      <c r="BK1742" s="9">
        <f t="shared" si="246"/>
        <v>29.03</v>
      </c>
      <c r="BL1742" s="9">
        <f t="shared" si="247"/>
        <v>0</v>
      </c>
      <c r="BM1742" s="9">
        <f t="shared" si="248"/>
        <v>156.42964999999998</v>
      </c>
      <c r="BN1742" s="9">
        <f t="shared" si="249"/>
        <v>1704.05</v>
      </c>
      <c r="BO1742" s="9">
        <f t="shared" si="250"/>
        <v>0</v>
      </c>
      <c r="BP1742" s="9">
        <f t="shared" si="251"/>
        <v>0</v>
      </c>
    </row>
    <row r="1743" spans="1:68">
      <c r="A1743" s="6">
        <v>44860</v>
      </c>
      <c r="B1743" s="7">
        <v>3029</v>
      </c>
      <c r="C1743" s="8"/>
      <c r="D1743" s="8">
        <v>468.48</v>
      </c>
      <c r="E1743" s="8"/>
      <c r="F1743" s="8">
        <v>330.85</v>
      </c>
      <c r="G1743" s="8"/>
      <c r="H1743" s="8"/>
      <c r="I1743" s="8">
        <v>1957.27</v>
      </c>
      <c r="J1743" s="8"/>
      <c r="K1743" s="8"/>
      <c r="L1743" s="8"/>
      <c r="M1743" s="8"/>
      <c r="N1743" s="8">
        <v>21.23</v>
      </c>
      <c r="O1743" s="8"/>
      <c r="P1743" s="8"/>
      <c r="Q1743" s="11"/>
      <c r="R1743" s="11"/>
      <c r="S1743" s="8">
        <v>1.65</v>
      </c>
      <c r="T1743" s="8"/>
      <c r="U1743" s="8"/>
      <c r="V1743" s="8"/>
      <c r="W1743" s="8">
        <v>27.59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>
        <v>9.61</v>
      </c>
      <c r="AN1743" s="8">
        <f>754*18.37/1000</f>
        <v>13.850980000000002</v>
      </c>
      <c r="AO1743" s="8"/>
      <c r="AP1743" s="11"/>
      <c r="AQ1743" s="8"/>
      <c r="AR1743" s="8">
        <f>4521*18.37/1000</f>
        <v>83.05077</v>
      </c>
      <c r="AS1743" s="8"/>
      <c r="AT1743" s="8">
        <v>1047.2</v>
      </c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>
        <v>72.97</v>
      </c>
      <c r="BH1743" s="9">
        <f t="shared" si="243"/>
        <v>2756.6</v>
      </c>
      <c r="BI1743" s="9">
        <f t="shared" si="244"/>
        <v>21.23</v>
      </c>
      <c r="BJ1743" s="9">
        <f t="shared" si="245"/>
        <v>1.65</v>
      </c>
      <c r="BK1743" s="9">
        <f t="shared" si="246"/>
        <v>27.59</v>
      </c>
      <c r="BL1743" s="9">
        <f t="shared" si="247"/>
        <v>0</v>
      </c>
      <c r="BM1743" s="9">
        <f t="shared" si="248"/>
        <v>106.51175000000001</v>
      </c>
      <c r="BN1743" s="9">
        <f t="shared" si="249"/>
        <v>1047.2</v>
      </c>
      <c r="BO1743" s="9">
        <f t="shared" si="250"/>
        <v>0</v>
      </c>
      <c r="BP1743" s="9">
        <f t="shared" si="251"/>
        <v>0</v>
      </c>
    </row>
    <row r="1744" spans="1:68">
      <c r="A1744" s="6">
        <v>44860</v>
      </c>
      <c r="B1744" s="7">
        <v>3200</v>
      </c>
      <c r="C1744" s="8">
        <v>2277.2600000000002</v>
      </c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>
        <v>5.7</v>
      </c>
      <c r="P1744" s="8"/>
      <c r="Q1744" s="11"/>
      <c r="R1744" s="11"/>
      <c r="S1744" s="8">
        <v>8.89</v>
      </c>
      <c r="T1744" s="8"/>
      <c r="U1744" s="8">
        <v>34.17</v>
      </c>
      <c r="V1744" s="8"/>
      <c r="W1744" s="8"/>
      <c r="X1744" s="8"/>
      <c r="Y1744" s="8"/>
      <c r="Z1744" s="8">
        <v>478.75</v>
      </c>
      <c r="AA1744" s="8"/>
      <c r="AB1744" s="8"/>
      <c r="AC1744" s="8"/>
      <c r="AD1744" s="8"/>
      <c r="AE1744" s="8"/>
      <c r="AF1744" s="8">
        <v>113.54</v>
      </c>
      <c r="AG1744" s="8"/>
      <c r="AH1744" s="8"/>
      <c r="AI1744" s="8"/>
      <c r="AJ1744" s="8"/>
      <c r="AK1744" s="8"/>
      <c r="AL1744" s="8"/>
      <c r="AM1744" s="8"/>
      <c r="AN1744" s="8"/>
      <c r="AO1744" s="8"/>
      <c r="AP1744" s="11"/>
      <c r="AQ1744" s="8">
        <f>1511*22.78/1000</f>
        <v>34.420580000000001</v>
      </c>
      <c r="AR1744" s="8"/>
      <c r="AS1744" s="8"/>
      <c r="AT1744" s="8">
        <v>1560.98</v>
      </c>
      <c r="AU1744" s="8"/>
      <c r="AV1744" s="8"/>
      <c r="AW1744" s="8">
        <v>6.66</v>
      </c>
      <c r="AX1744" s="8"/>
      <c r="AY1744" s="8"/>
      <c r="AZ1744" s="8"/>
      <c r="BA1744" s="8"/>
      <c r="BB1744" s="8"/>
      <c r="BC1744" s="8"/>
      <c r="BD1744" s="8"/>
      <c r="BE1744" s="8"/>
      <c r="BF1744" s="8">
        <v>109.47</v>
      </c>
      <c r="BG1744" s="8">
        <v>112.77</v>
      </c>
      <c r="BH1744" s="9">
        <f t="shared" si="243"/>
        <v>2277.2600000000002</v>
      </c>
      <c r="BI1744" s="9">
        <f t="shared" si="244"/>
        <v>5.7</v>
      </c>
      <c r="BJ1744" s="9">
        <f t="shared" si="245"/>
        <v>8.89</v>
      </c>
      <c r="BK1744" s="9">
        <f t="shared" si="246"/>
        <v>34.17</v>
      </c>
      <c r="BL1744" s="9">
        <f t="shared" si="247"/>
        <v>478.75</v>
      </c>
      <c r="BM1744" s="9">
        <f t="shared" si="248"/>
        <v>147.96057999999999</v>
      </c>
      <c r="BN1744" s="9">
        <f t="shared" si="249"/>
        <v>1560.98</v>
      </c>
      <c r="BO1744" s="9">
        <f t="shared" si="250"/>
        <v>6.66</v>
      </c>
      <c r="BP1744" s="9">
        <f t="shared" si="251"/>
        <v>109.47</v>
      </c>
    </row>
    <row r="1745" spans="1:68">
      <c r="A1745" s="6">
        <v>44861</v>
      </c>
      <c r="B1745" s="7">
        <v>3106</v>
      </c>
      <c r="C1745" s="8">
        <v>6204.38</v>
      </c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11">
        <v>15.57</v>
      </c>
      <c r="R1745" s="11"/>
      <c r="S1745" s="8">
        <v>18.670000000000002</v>
      </c>
      <c r="T1745" s="8"/>
      <c r="U1745" s="8">
        <v>79.05</v>
      </c>
      <c r="V1745" s="8"/>
      <c r="W1745" s="8"/>
      <c r="X1745" s="8"/>
      <c r="Y1745" s="8"/>
      <c r="Z1745" s="8"/>
      <c r="AA1745" s="8"/>
      <c r="AB1745" s="8"/>
      <c r="AC1745" s="8">
        <v>15.56</v>
      </c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11"/>
      <c r="AQ1745" s="8"/>
      <c r="AR1745" s="8"/>
      <c r="AS1745" s="8"/>
      <c r="AT1745" s="8">
        <v>3545.69</v>
      </c>
      <c r="AU1745" s="8"/>
      <c r="AV1745" s="8"/>
      <c r="AW1745" s="8"/>
      <c r="AX1745" s="8">
        <v>7.77</v>
      </c>
      <c r="AY1745" s="8"/>
      <c r="AZ1745" s="8"/>
      <c r="BA1745" s="8"/>
      <c r="BB1745" s="8"/>
      <c r="BC1745" s="8"/>
      <c r="BD1745" s="8"/>
      <c r="BE1745" s="8"/>
      <c r="BF1745" s="8"/>
      <c r="BG1745" s="8">
        <v>266.98</v>
      </c>
      <c r="BH1745" s="9">
        <f t="shared" si="243"/>
        <v>6204.38</v>
      </c>
      <c r="BI1745" s="9">
        <f t="shared" si="244"/>
        <v>15.57</v>
      </c>
      <c r="BJ1745" s="9">
        <f t="shared" si="245"/>
        <v>18.670000000000002</v>
      </c>
      <c r="BK1745" s="9">
        <f t="shared" si="246"/>
        <v>79.05</v>
      </c>
      <c r="BL1745" s="9">
        <f t="shared" si="247"/>
        <v>0</v>
      </c>
      <c r="BM1745" s="9">
        <f t="shared" si="248"/>
        <v>15.56</v>
      </c>
      <c r="BN1745" s="9">
        <f t="shared" si="249"/>
        <v>3545.69</v>
      </c>
      <c r="BO1745" s="9">
        <f t="shared" si="250"/>
        <v>7.77</v>
      </c>
      <c r="BP1745" s="9">
        <f t="shared" si="251"/>
        <v>0</v>
      </c>
    </row>
    <row r="1746" spans="1:68">
      <c r="A1746" s="6">
        <v>44861</v>
      </c>
      <c r="B1746" s="7">
        <v>3108</v>
      </c>
      <c r="C1746" s="8">
        <v>2274.0500000000002</v>
      </c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11">
        <v>5.24</v>
      </c>
      <c r="R1746" s="11"/>
      <c r="S1746" s="8">
        <v>7.28</v>
      </c>
      <c r="T1746" s="8"/>
      <c r="U1746" s="8">
        <v>28.91</v>
      </c>
      <c r="V1746" s="8"/>
      <c r="W1746" s="8"/>
      <c r="X1746" s="8"/>
      <c r="Y1746" s="8"/>
      <c r="Z1746" s="8"/>
      <c r="AA1746" s="8"/>
      <c r="AB1746" s="8"/>
      <c r="AC1746" s="8">
        <v>9.08</v>
      </c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11"/>
      <c r="AQ1746" s="8"/>
      <c r="AR1746" s="8"/>
      <c r="AS1746" s="8"/>
      <c r="AT1746" s="8">
        <v>1242.75</v>
      </c>
      <c r="AU1746" s="8"/>
      <c r="AV1746" s="8"/>
      <c r="AW1746" s="8"/>
      <c r="AX1746" s="8"/>
      <c r="AY1746" s="8"/>
      <c r="AZ1746" s="8"/>
      <c r="BA1746" s="8">
        <v>84.56</v>
      </c>
      <c r="BB1746" s="8"/>
      <c r="BC1746" s="8"/>
      <c r="BD1746" s="8"/>
      <c r="BE1746" s="8"/>
      <c r="BF1746" s="8"/>
      <c r="BG1746" s="8">
        <v>92.2</v>
      </c>
      <c r="BH1746" s="9">
        <f t="shared" si="243"/>
        <v>2274.0500000000002</v>
      </c>
      <c r="BI1746" s="9">
        <f t="shared" si="244"/>
        <v>5.24</v>
      </c>
      <c r="BJ1746" s="9">
        <f t="shared" si="245"/>
        <v>7.28</v>
      </c>
      <c r="BK1746" s="9">
        <f t="shared" si="246"/>
        <v>28.91</v>
      </c>
      <c r="BL1746" s="9">
        <f t="shared" si="247"/>
        <v>0</v>
      </c>
      <c r="BM1746" s="9">
        <f t="shared" si="248"/>
        <v>9.08</v>
      </c>
      <c r="BN1746" s="9">
        <f t="shared" si="249"/>
        <v>1242.75</v>
      </c>
      <c r="BO1746" s="9">
        <f t="shared" si="250"/>
        <v>84.56</v>
      </c>
      <c r="BP1746" s="9">
        <f t="shared" si="251"/>
        <v>0</v>
      </c>
    </row>
    <row r="1747" spans="1:68">
      <c r="A1747" s="6">
        <v>44861</v>
      </c>
      <c r="B1747" s="7">
        <v>3405</v>
      </c>
      <c r="C1747" s="8">
        <v>1890.11</v>
      </c>
      <c r="D1747" s="8">
        <v>472.53</v>
      </c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11">
        <v>4.7300000000000004</v>
      </c>
      <c r="R1747" s="11"/>
      <c r="S1747" s="8">
        <v>5.43</v>
      </c>
      <c r="T1747" s="8"/>
      <c r="U1747" s="8"/>
      <c r="V1747" s="8"/>
      <c r="W1747" s="8"/>
      <c r="X1747" s="8">
        <f>1220*23.62/1000</f>
        <v>28.816400000000002</v>
      </c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11"/>
      <c r="AQ1747" s="8"/>
      <c r="AR1747" s="8"/>
      <c r="AS1747" s="8"/>
      <c r="AT1747" s="8">
        <v>1160.5</v>
      </c>
      <c r="AU1747" s="8"/>
      <c r="AV1747" s="8"/>
      <c r="AW1747" s="8"/>
      <c r="AX1747" s="8"/>
      <c r="AY1747" s="8"/>
      <c r="AZ1747" s="8"/>
      <c r="BA1747" s="8">
        <v>10.69</v>
      </c>
      <c r="BB1747" s="8"/>
      <c r="BC1747" s="8"/>
      <c r="BD1747" s="8"/>
      <c r="BE1747" s="8"/>
      <c r="BF1747" s="8"/>
      <c r="BG1747" s="8">
        <v>77.989999999999995</v>
      </c>
      <c r="BH1747" s="9">
        <f t="shared" si="243"/>
        <v>2362.64</v>
      </c>
      <c r="BI1747" s="9">
        <f t="shared" si="244"/>
        <v>4.7300000000000004</v>
      </c>
      <c r="BJ1747" s="9">
        <f t="shared" si="245"/>
        <v>5.43</v>
      </c>
      <c r="BK1747" s="9">
        <f t="shared" si="246"/>
        <v>28.816400000000002</v>
      </c>
      <c r="BL1747" s="9">
        <f t="shared" si="247"/>
        <v>0</v>
      </c>
      <c r="BM1747" s="9">
        <f t="shared" si="248"/>
        <v>0</v>
      </c>
      <c r="BN1747" s="9">
        <f t="shared" si="249"/>
        <v>1160.5</v>
      </c>
      <c r="BO1747" s="9">
        <f t="shared" si="250"/>
        <v>10.69</v>
      </c>
      <c r="BP1747" s="9">
        <f t="shared" si="251"/>
        <v>0</v>
      </c>
    </row>
    <row r="1748" spans="1:68">
      <c r="A1748" s="6">
        <v>44861</v>
      </c>
      <c r="B1748" s="7">
        <v>3021</v>
      </c>
      <c r="C1748" s="8"/>
      <c r="D1748" s="8">
        <v>198.34</v>
      </c>
      <c r="E1748" s="8"/>
      <c r="F1748" s="8"/>
      <c r="G1748" s="8"/>
      <c r="H1748" s="8"/>
      <c r="I1748" s="8">
        <v>367.24</v>
      </c>
      <c r="J1748" s="8"/>
      <c r="K1748" s="8"/>
      <c r="L1748" s="8"/>
      <c r="M1748" s="8"/>
      <c r="N1748" s="8">
        <v>3</v>
      </c>
      <c r="O1748" s="8"/>
      <c r="P1748" s="8"/>
      <c r="Q1748" s="11"/>
      <c r="R1748" s="11"/>
      <c r="S1748" s="8">
        <v>1.02</v>
      </c>
      <c r="T1748" s="8"/>
      <c r="U1748" s="8"/>
      <c r="V1748" s="8"/>
      <c r="W1748" s="8">
        <v>5.67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>
        <v>5.62</v>
      </c>
      <c r="AN1748" s="8"/>
      <c r="AO1748" s="8"/>
      <c r="AP1748" s="11"/>
      <c r="AQ1748" s="8"/>
      <c r="AR1748" s="8"/>
      <c r="AS1748" s="8">
        <f>2629*5.38/1000</f>
        <v>14.144020000000001</v>
      </c>
      <c r="AT1748" s="8">
        <v>266.89</v>
      </c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>
        <v>20.059999999999999</v>
      </c>
      <c r="BH1748" s="9">
        <f t="shared" si="243"/>
        <v>565.58000000000004</v>
      </c>
      <c r="BI1748" s="9">
        <f t="shared" si="244"/>
        <v>3</v>
      </c>
      <c r="BJ1748" s="9">
        <f t="shared" si="245"/>
        <v>1.02</v>
      </c>
      <c r="BK1748" s="9">
        <f t="shared" si="246"/>
        <v>5.67</v>
      </c>
      <c r="BL1748" s="9">
        <f t="shared" si="247"/>
        <v>0</v>
      </c>
      <c r="BM1748" s="9">
        <f t="shared" si="248"/>
        <v>19.764020000000002</v>
      </c>
      <c r="BN1748" s="9">
        <f t="shared" si="249"/>
        <v>266.89</v>
      </c>
      <c r="BO1748" s="9">
        <f t="shared" si="250"/>
        <v>0</v>
      </c>
      <c r="BP1748" s="9">
        <f t="shared" si="251"/>
        <v>0</v>
      </c>
    </row>
    <row r="1749" spans="1:68">
      <c r="A1749" s="6">
        <v>44861</v>
      </c>
      <c r="B1749" s="7">
        <v>3022</v>
      </c>
      <c r="C1749" s="8"/>
      <c r="D1749" s="8">
        <v>561.57000000000005</v>
      </c>
      <c r="E1749" s="8"/>
      <c r="F1749" s="8"/>
      <c r="G1749" s="8"/>
      <c r="H1749" s="8"/>
      <c r="I1749" s="8">
        <v>461.43</v>
      </c>
      <c r="J1749" s="8"/>
      <c r="K1749" s="8"/>
      <c r="L1749" s="8"/>
      <c r="M1749" s="8"/>
      <c r="N1749" s="8">
        <v>5.13</v>
      </c>
      <c r="O1749" s="8"/>
      <c r="P1749" s="8"/>
      <c r="Q1749" s="11"/>
      <c r="R1749" s="11"/>
      <c r="S1749" s="8">
        <v>1.84</v>
      </c>
      <c r="T1749" s="8"/>
      <c r="U1749" s="8"/>
      <c r="V1749" s="8"/>
      <c r="W1749" s="8">
        <v>10.25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>
        <v>13.27</v>
      </c>
      <c r="AN1749" s="8"/>
      <c r="AO1749" s="8"/>
      <c r="AP1749" s="11"/>
      <c r="AQ1749" s="8"/>
      <c r="AR1749" s="8"/>
      <c r="AS1749" s="8">
        <f>3831*9.3/1000</f>
        <v>35.628300000000003</v>
      </c>
      <c r="AT1749" s="8">
        <v>479.16</v>
      </c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>
        <v>36.83</v>
      </c>
      <c r="BH1749" s="9">
        <f t="shared" si="243"/>
        <v>1023</v>
      </c>
      <c r="BI1749" s="9">
        <f t="shared" si="244"/>
        <v>5.13</v>
      </c>
      <c r="BJ1749" s="9">
        <f t="shared" si="245"/>
        <v>1.84</v>
      </c>
      <c r="BK1749" s="9">
        <f t="shared" si="246"/>
        <v>10.25</v>
      </c>
      <c r="BL1749" s="9">
        <f t="shared" si="247"/>
        <v>0</v>
      </c>
      <c r="BM1749" s="9">
        <f t="shared" si="248"/>
        <v>48.898300000000006</v>
      </c>
      <c r="BN1749" s="9">
        <f t="shared" si="249"/>
        <v>479.16</v>
      </c>
      <c r="BO1749" s="9">
        <f t="shared" si="250"/>
        <v>0</v>
      </c>
      <c r="BP1749" s="9">
        <f t="shared" si="251"/>
        <v>0</v>
      </c>
    </row>
    <row r="1750" spans="1:68">
      <c r="A1750" s="6">
        <v>44861</v>
      </c>
      <c r="B1750" s="7">
        <v>3023</v>
      </c>
      <c r="C1750" s="8"/>
      <c r="D1750" s="8">
        <v>868.68</v>
      </c>
      <c r="E1750" s="8"/>
      <c r="F1750" s="8"/>
      <c r="G1750" s="8"/>
      <c r="H1750" s="8"/>
      <c r="I1750" s="8">
        <v>468.37</v>
      </c>
      <c r="J1750" s="8"/>
      <c r="K1750" s="8"/>
      <c r="L1750" s="8"/>
      <c r="M1750" s="8"/>
      <c r="N1750" s="8">
        <v>7.47</v>
      </c>
      <c r="O1750" s="8"/>
      <c r="P1750" s="8"/>
      <c r="Q1750" s="11"/>
      <c r="R1750" s="11"/>
      <c r="S1750" s="8">
        <v>2.13</v>
      </c>
      <c r="T1750" s="8"/>
      <c r="U1750" s="8"/>
      <c r="V1750" s="8"/>
      <c r="W1750" s="8">
        <v>12.05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>
        <v>13.32</v>
      </c>
      <c r="AN1750" s="8">
        <f>1009*9.22/1000</f>
        <v>9.3029800000000016</v>
      </c>
      <c r="AO1750" s="8"/>
      <c r="AP1750" s="11"/>
      <c r="AQ1750" s="8"/>
      <c r="AR1750" s="8"/>
      <c r="AS1750" s="8">
        <f>4771*9.22/1000</f>
        <v>43.988620000000004</v>
      </c>
      <c r="AT1750" s="8">
        <v>547.5</v>
      </c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>
        <v>41.34</v>
      </c>
      <c r="BH1750" s="9">
        <f t="shared" si="243"/>
        <v>1337.05</v>
      </c>
      <c r="BI1750" s="9">
        <f t="shared" si="244"/>
        <v>7.47</v>
      </c>
      <c r="BJ1750" s="9">
        <f t="shared" si="245"/>
        <v>2.13</v>
      </c>
      <c r="BK1750" s="9">
        <f t="shared" si="246"/>
        <v>12.05</v>
      </c>
      <c r="BL1750" s="9">
        <f t="shared" si="247"/>
        <v>0</v>
      </c>
      <c r="BM1750" s="9">
        <f t="shared" si="248"/>
        <v>66.61160000000001</v>
      </c>
      <c r="BN1750" s="9">
        <f t="shared" si="249"/>
        <v>547.5</v>
      </c>
      <c r="BO1750" s="9">
        <f t="shared" si="250"/>
        <v>0</v>
      </c>
      <c r="BP1750" s="9">
        <f t="shared" si="251"/>
        <v>0</v>
      </c>
    </row>
    <row r="1751" spans="1:68">
      <c r="A1751" s="6">
        <v>44861</v>
      </c>
      <c r="B1751" s="7">
        <v>3028</v>
      </c>
      <c r="C1751" s="8"/>
      <c r="D1751" s="8">
        <v>405.49</v>
      </c>
      <c r="E1751" s="8"/>
      <c r="F1751" s="8">
        <v>371.01</v>
      </c>
      <c r="G1751" s="8"/>
      <c r="H1751" s="8"/>
      <c r="I1751" s="8">
        <v>837.28</v>
      </c>
      <c r="J1751" s="8"/>
      <c r="K1751" s="8"/>
      <c r="L1751" s="8"/>
      <c r="M1751" s="8"/>
      <c r="N1751" s="8">
        <v>12.09</v>
      </c>
      <c r="O1751" s="8"/>
      <c r="P1751" s="8"/>
      <c r="Q1751" s="11"/>
      <c r="R1751" s="11"/>
      <c r="S1751" s="8">
        <v>2.2599999999999998</v>
      </c>
      <c r="T1751" s="8"/>
      <c r="U1751" s="8"/>
      <c r="V1751" s="8"/>
      <c r="W1751" s="8">
        <v>12.09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>
        <v>16.12</v>
      </c>
      <c r="AN1751" s="8">
        <f>1044*10.75/1000</f>
        <v>11.223000000000001</v>
      </c>
      <c r="AO1751" s="8"/>
      <c r="AP1751" s="11"/>
      <c r="AQ1751" s="8"/>
      <c r="AR1751" s="8"/>
      <c r="AS1751" s="8">
        <f>4952*10.75/1000</f>
        <v>53.234000000000002</v>
      </c>
      <c r="AT1751" s="8">
        <v>537.73</v>
      </c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>
        <v>36.64</v>
      </c>
      <c r="BH1751" s="9">
        <f t="shared" si="243"/>
        <v>1613.78</v>
      </c>
      <c r="BI1751" s="9">
        <f t="shared" si="244"/>
        <v>12.09</v>
      </c>
      <c r="BJ1751" s="9">
        <f t="shared" si="245"/>
        <v>2.2599999999999998</v>
      </c>
      <c r="BK1751" s="9">
        <f t="shared" si="246"/>
        <v>12.09</v>
      </c>
      <c r="BL1751" s="9">
        <f t="shared" si="247"/>
        <v>0</v>
      </c>
      <c r="BM1751" s="9">
        <f t="shared" si="248"/>
        <v>80.576999999999998</v>
      </c>
      <c r="BN1751" s="9">
        <f t="shared" si="249"/>
        <v>537.73</v>
      </c>
      <c r="BO1751" s="9">
        <f t="shared" si="250"/>
        <v>0</v>
      </c>
      <c r="BP1751" s="9">
        <f t="shared" si="251"/>
        <v>0</v>
      </c>
    </row>
    <row r="1752" spans="1:68">
      <c r="A1752" s="6">
        <v>44861</v>
      </c>
      <c r="B1752" s="7">
        <v>3024</v>
      </c>
      <c r="C1752" s="8"/>
      <c r="D1752" s="8">
        <v>330.22</v>
      </c>
      <c r="E1752" s="8"/>
      <c r="F1752" s="8"/>
      <c r="G1752" s="8"/>
      <c r="H1752" s="8"/>
      <c r="I1752" s="8">
        <v>329.6</v>
      </c>
      <c r="J1752" s="8"/>
      <c r="K1752" s="8"/>
      <c r="L1752" s="8"/>
      <c r="M1752" s="8"/>
      <c r="N1752" s="8">
        <v>3.98</v>
      </c>
      <c r="O1752" s="8"/>
      <c r="P1752" s="8"/>
      <c r="Q1752" s="11"/>
      <c r="R1752" s="11"/>
      <c r="S1752" s="8">
        <v>1.06</v>
      </c>
      <c r="T1752" s="8"/>
      <c r="U1752" s="8"/>
      <c r="V1752" s="8"/>
      <c r="W1752" s="8">
        <v>5.28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>
        <v>6.63</v>
      </c>
      <c r="AN1752" s="8">
        <f>844*5.52/1000</f>
        <v>4.658879999999999</v>
      </c>
      <c r="AO1752" s="8"/>
      <c r="AP1752" s="11"/>
      <c r="AQ1752" s="8"/>
      <c r="AR1752" s="8"/>
      <c r="AS1752" s="8">
        <f>3971*5.52/1000</f>
        <v>21.919919999999998</v>
      </c>
      <c r="AT1752" s="8">
        <v>254.36</v>
      </c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>
        <v>18.54</v>
      </c>
      <c r="BH1752" s="9">
        <f t="shared" si="243"/>
        <v>659.82</v>
      </c>
      <c r="BI1752" s="9">
        <f t="shared" si="244"/>
        <v>3.98</v>
      </c>
      <c r="BJ1752" s="9">
        <f t="shared" si="245"/>
        <v>1.06</v>
      </c>
      <c r="BK1752" s="9">
        <f t="shared" si="246"/>
        <v>5.28</v>
      </c>
      <c r="BL1752" s="9">
        <f t="shared" si="247"/>
        <v>0</v>
      </c>
      <c r="BM1752" s="9">
        <f t="shared" si="248"/>
        <v>33.208799999999997</v>
      </c>
      <c r="BN1752" s="9">
        <f t="shared" si="249"/>
        <v>254.36</v>
      </c>
      <c r="BO1752" s="9">
        <f t="shared" si="250"/>
        <v>0</v>
      </c>
      <c r="BP1752" s="9">
        <f t="shared" si="251"/>
        <v>0</v>
      </c>
    </row>
    <row r="1753" spans="1:68">
      <c r="A1753" s="6">
        <v>44861</v>
      </c>
      <c r="B1753" s="7">
        <v>3200</v>
      </c>
      <c r="C1753" s="8">
        <v>2297.25</v>
      </c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>
        <v>5.77</v>
      </c>
      <c r="P1753" s="8"/>
      <c r="Q1753" s="11"/>
      <c r="R1753" s="11"/>
      <c r="S1753" s="8">
        <v>8.9600000000000009</v>
      </c>
      <c r="T1753" s="8"/>
      <c r="U1753" s="8">
        <v>34.520000000000003</v>
      </c>
      <c r="V1753" s="8"/>
      <c r="W1753" s="8"/>
      <c r="X1753" s="8"/>
      <c r="Y1753" s="8"/>
      <c r="Z1753" s="8">
        <v>483.05</v>
      </c>
      <c r="AA1753" s="8"/>
      <c r="AB1753" s="8"/>
      <c r="AC1753" s="8"/>
      <c r="AD1753" s="8"/>
      <c r="AE1753" s="8"/>
      <c r="AF1753" s="8">
        <v>113.61</v>
      </c>
      <c r="AG1753" s="8"/>
      <c r="AH1753" s="8"/>
      <c r="AI1753" s="8"/>
      <c r="AJ1753" s="8"/>
      <c r="AK1753" s="8"/>
      <c r="AL1753" s="8"/>
      <c r="AM1753" s="8"/>
      <c r="AN1753" s="8"/>
      <c r="AO1753" s="8"/>
      <c r="AP1753" s="11"/>
      <c r="AQ1753" s="8">
        <f>1514*22.98/1000</f>
        <v>34.791719999999998</v>
      </c>
      <c r="AR1753" s="8"/>
      <c r="AS1753" s="8"/>
      <c r="AT1753" s="8">
        <v>1571.12</v>
      </c>
      <c r="AU1753" s="8"/>
      <c r="AV1753" s="8"/>
      <c r="AW1753" s="8">
        <v>6.69</v>
      </c>
      <c r="AX1753" s="8"/>
      <c r="AY1753" s="8"/>
      <c r="AZ1753" s="8"/>
      <c r="BA1753" s="8"/>
      <c r="BB1753" s="8"/>
      <c r="BC1753" s="8"/>
      <c r="BD1753" s="8"/>
      <c r="BE1753" s="8"/>
      <c r="BF1753" s="8">
        <v>110.54</v>
      </c>
      <c r="BG1753" s="8">
        <v>113.78</v>
      </c>
      <c r="BH1753" s="9">
        <f t="shared" si="243"/>
        <v>2297.25</v>
      </c>
      <c r="BI1753" s="9">
        <f t="shared" si="244"/>
        <v>5.77</v>
      </c>
      <c r="BJ1753" s="9">
        <f t="shared" si="245"/>
        <v>8.9600000000000009</v>
      </c>
      <c r="BK1753" s="9">
        <f t="shared" si="246"/>
        <v>34.520000000000003</v>
      </c>
      <c r="BL1753" s="9">
        <f t="shared" si="247"/>
        <v>483.05</v>
      </c>
      <c r="BM1753" s="9">
        <f t="shared" si="248"/>
        <v>148.40172000000001</v>
      </c>
      <c r="BN1753" s="9">
        <f t="shared" si="249"/>
        <v>1571.12</v>
      </c>
      <c r="BO1753" s="9">
        <f t="shared" si="250"/>
        <v>6.69</v>
      </c>
      <c r="BP1753" s="9">
        <f t="shared" si="251"/>
        <v>110.54</v>
      </c>
    </row>
    <row r="1754" spans="1:68">
      <c r="A1754" s="6">
        <v>44861</v>
      </c>
      <c r="B1754" s="7">
        <v>3601</v>
      </c>
      <c r="C1754" s="8">
        <v>299.7</v>
      </c>
      <c r="D1754" s="8"/>
      <c r="E1754" s="8"/>
      <c r="F1754" s="8"/>
      <c r="G1754" s="8">
        <v>451.09</v>
      </c>
      <c r="H1754" s="8"/>
      <c r="I1754" s="8"/>
      <c r="J1754" s="8"/>
      <c r="K1754" s="8"/>
      <c r="L1754" s="8"/>
      <c r="M1754" s="8">
        <f>522*8.62/1000</f>
        <v>4.4996399999999994</v>
      </c>
      <c r="N1754" s="8"/>
      <c r="O1754" s="8"/>
      <c r="P1754" s="8"/>
      <c r="Q1754" s="11"/>
      <c r="R1754" s="11"/>
      <c r="S1754" s="8">
        <v>3.81</v>
      </c>
      <c r="T1754" s="8"/>
      <c r="U1754" s="8">
        <v>4.54</v>
      </c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11"/>
      <c r="AQ1754" s="8"/>
      <c r="AR1754" s="8"/>
      <c r="AS1754" s="8"/>
      <c r="AT1754" s="8">
        <v>370.41</v>
      </c>
      <c r="AU1754" s="8"/>
      <c r="AV1754" s="8"/>
      <c r="AW1754" s="8">
        <v>22.96</v>
      </c>
      <c r="AX1754" s="8"/>
      <c r="AY1754" s="8"/>
      <c r="AZ1754" s="8"/>
      <c r="BA1754" s="8"/>
      <c r="BB1754" s="8"/>
      <c r="BC1754" s="8"/>
      <c r="BD1754" s="8"/>
      <c r="BE1754" s="8"/>
      <c r="BF1754" s="8">
        <v>42.26</v>
      </c>
      <c r="BG1754" s="8">
        <v>26.95</v>
      </c>
      <c r="BH1754" s="9">
        <f t="shared" si="243"/>
        <v>750.79</v>
      </c>
      <c r="BI1754" s="9">
        <f t="shared" si="244"/>
        <v>4.4996399999999994</v>
      </c>
      <c r="BJ1754" s="9">
        <f t="shared" si="245"/>
        <v>3.81</v>
      </c>
      <c r="BK1754" s="9">
        <f t="shared" si="246"/>
        <v>4.54</v>
      </c>
      <c r="BL1754" s="9">
        <f t="shared" si="247"/>
        <v>0</v>
      </c>
      <c r="BM1754" s="9">
        <f t="shared" si="248"/>
        <v>0</v>
      </c>
      <c r="BN1754" s="9">
        <f t="shared" si="249"/>
        <v>370.41</v>
      </c>
      <c r="BO1754" s="9">
        <f t="shared" si="250"/>
        <v>22.96</v>
      </c>
      <c r="BP1754" s="9">
        <f t="shared" si="251"/>
        <v>42.26</v>
      </c>
    </row>
    <row r="1755" spans="1:68">
      <c r="A1755" s="6">
        <v>44861</v>
      </c>
      <c r="B1755" s="7">
        <v>3602</v>
      </c>
      <c r="C1755" s="8">
        <v>577.65</v>
      </c>
      <c r="D1755" s="8"/>
      <c r="E1755" s="8"/>
      <c r="F1755" s="8"/>
      <c r="G1755" s="8">
        <v>865.36</v>
      </c>
      <c r="H1755" s="8"/>
      <c r="I1755" s="8"/>
      <c r="J1755" s="8"/>
      <c r="K1755" s="8"/>
      <c r="L1755" s="8"/>
      <c r="M1755" s="8">
        <f>461*16.48/1000</f>
        <v>7.5972799999999996</v>
      </c>
      <c r="N1755" s="8"/>
      <c r="O1755" s="8"/>
      <c r="P1755" s="8"/>
      <c r="Q1755" s="11"/>
      <c r="R1755" s="11"/>
      <c r="S1755" s="8">
        <v>6.92</v>
      </c>
      <c r="T1755" s="8"/>
      <c r="U1755" s="8">
        <v>11.54</v>
      </c>
      <c r="V1755" s="8">
        <f>866*16.48/1000</f>
        <v>14.27168</v>
      </c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11"/>
      <c r="AQ1755" s="8"/>
      <c r="AR1755" s="8"/>
      <c r="AS1755" s="8"/>
      <c r="AT1755" s="8">
        <v>581.92999999999995</v>
      </c>
      <c r="AU1755" s="8"/>
      <c r="AV1755" s="8"/>
      <c r="AW1755" s="8">
        <v>37.32</v>
      </c>
      <c r="AX1755" s="8"/>
      <c r="AY1755" s="8"/>
      <c r="AZ1755" s="8"/>
      <c r="BA1755" s="8"/>
      <c r="BB1755" s="8"/>
      <c r="BC1755" s="8"/>
      <c r="BD1755" s="8"/>
      <c r="BE1755" s="8"/>
      <c r="BF1755" s="8">
        <v>46.26</v>
      </c>
      <c r="BG1755" s="8">
        <v>42.94</v>
      </c>
      <c r="BH1755" s="9">
        <f t="shared" si="243"/>
        <v>1443.01</v>
      </c>
      <c r="BI1755" s="9">
        <f t="shared" si="244"/>
        <v>7.5972799999999996</v>
      </c>
      <c r="BJ1755" s="9">
        <f t="shared" si="245"/>
        <v>6.92</v>
      </c>
      <c r="BK1755" s="9">
        <f t="shared" si="246"/>
        <v>25.811679999999999</v>
      </c>
      <c r="BL1755" s="9">
        <f t="shared" si="247"/>
        <v>0</v>
      </c>
      <c r="BM1755" s="9">
        <f t="shared" si="248"/>
        <v>0</v>
      </c>
      <c r="BN1755" s="9">
        <f t="shared" si="249"/>
        <v>581.92999999999995</v>
      </c>
      <c r="BO1755" s="9">
        <f t="shared" si="250"/>
        <v>37.32</v>
      </c>
      <c r="BP1755" s="9">
        <f t="shared" si="251"/>
        <v>46.26</v>
      </c>
    </row>
    <row r="1756" spans="1:68">
      <c r="A1756" s="6">
        <v>44862</v>
      </c>
      <c r="B1756" s="7">
        <v>3100</v>
      </c>
      <c r="C1756" s="8">
        <v>644.62</v>
      </c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11">
        <v>1.41</v>
      </c>
      <c r="R1756" s="11"/>
      <c r="S1756" s="8">
        <v>3.68</v>
      </c>
      <c r="T1756" s="8"/>
      <c r="U1756" s="8">
        <v>10.32</v>
      </c>
      <c r="V1756" s="8"/>
      <c r="W1756" s="8"/>
      <c r="X1756" s="8"/>
      <c r="Y1756" s="8"/>
      <c r="Z1756" s="8"/>
      <c r="AA1756" s="8"/>
      <c r="AB1756" s="8"/>
      <c r="AC1756" s="8">
        <v>2.58</v>
      </c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11"/>
      <c r="AQ1756" s="8"/>
      <c r="AR1756" s="8"/>
      <c r="AS1756" s="8"/>
      <c r="AT1756" s="8">
        <v>434.64</v>
      </c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>
        <v>83.84</v>
      </c>
      <c r="BG1756" s="8">
        <v>33.18</v>
      </c>
      <c r="BH1756" s="9">
        <f t="shared" si="243"/>
        <v>644.62</v>
      </c>
      <c r="BI1756" s="9">
        <f t="shared" si="244"/>
        <v>1.41</v>
      </c>
      <c r="BJ1756" s="9">
        <f t="shared" si="245"/>
        <v>3.68</v>
      </c>
      <c r="BK1756" s="9">
        <f t="shared" si="246"/>
        <v>10.32</v>
      </c>
      <c r="BL1756" s="9">
        <f t="shared" si="247"/>
        <v>0</v>
      </c>
      <c r="BM1756" s="9">
        <f t="shared" si="248"/>
        <v>2.58</v>
      </c>
      <c r="BN1756" s="9">
        <f t="shared" si="249"/>
        <v>434.64</v>
      </c>
      <c r="BO1756" s="9">
        <f t="shared" si="250"/>
        <v>0</v>
      </c>
      <c r="BP1756" s="9">
        <f t="shared" si="251"/>
        <v>83.84</v>
      </c>
    </row>
    <row r="1757" spans="1:68">
      <c r="A1757" s="6">
        <v>44862</v>
      </c>
      <c r="B1757" s="7">
        <v>3204</v>
      </c>
      <c r="C1757" s="8"/>
      <c r="D1757" s="8">
        <v>945.88</v>
      </c>
      <c r="E1757" s="8">
        <v>403.74</v>
      </c>
      <c r="F1757" s="8"/>
      <c r="G1757" s="8"/>
      <c r="H1757" s="8"/>
      <c r="I1757" s="8"/>
      <c r="J1757" s="8"/>
      <c r="K1757" s="8"/>
      <c r="L1757" s="8"/>
      <c r="M1757" s="8"/>
      <c r="N1757" s="8"/>
      <c r="O1757" s="8">
        <v>6.76</v>
      </c>
      <c r="P1757" s="8"/>
      <c r="Q1757" s="11"/>
      <c r="R1757" s="11"/>
      <c r="S1757" s="8">
        <v>4.59</v>
      </c>
      <c r="T1757" s="8"/>
      <c r="U1757" s="8">
        <v>14.87</v>
      </c>
      <c r="V1757" s="8"/>
      <c r="W1757" s="8"/>
      <c r="X1757" s="8"/>
      <c r="Y1757" s="8"/>
      <c r="Z1757" s="8">
        <v>202.87</v>
      </c>
      <c r="AA1757" s="8"/>
      <c r="AB1757" s="8">
        <f>721*9.65/1000</f>
        <v>6.9576500000000001</v>
      </c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11"/>
      <c r="AQ1757" s="8"/>
      <c r="AR1757" s="8"/>
      <c r="AS1757" s="8"/>
      <c r="AT1757" s="8">
        <v>593.99</v>
      </c>
      <c r="AU1757" s="8"/>
      <c r="AV1757" s="8"/>
      <c r="AW1757" s="8">
        <v>4.32</v>
      </c>
      <c r="AX1757" s="8"/>
      <c r="AY1757" s="8"/>
      <c r="AZ1757" s="8"/>
      <c r="BA1757" s="8"/>
      <c r="BB1757" s="8"/>
      <c r="BC1757" s="8"/>
      <c r="BD1757" s="8"/>
      <c r="BE1757" s="8"/>
      <c r="BF1757" s="8"/>
      <c r="BG1757" s="8">
        <v>43.95</v>
      </c>
      <c r="BH1757" s="9">
        <f t="shared" si="243"/>
        <v>1349.62</v>
      </c>
      <c r="BI1757" s="9">
        <f t="shared" si="244"/>
        <v>6.76</v>
      </c>
      <c r="BJ1757" s="9">
        <f t="shared" si="245"/>
        <v>4.59</v>
      </c>
      <c r="BK1757" s="9">
        <f t="shared" si="246"/>
        <v>14.87</v>
      </c>
      <c r="BL1757" s="9">
        <f t="shared" si="247"/>
        <v>202.87</v>
      </c>
      <c r="BM1757" s="9">
        <f t="shared" si="248"/>
        <v>6.9576500000000001</v>
      </c>
      <c r="BN1757" s="9">
        <f t="shared" si="249"/>
        <v>593.99</v>
      </c>
      <c r="BO1757" s="9">
        <f t="shared" si="250"/>
        <v>4.32</v>
      </c>
      <c r="BP1757" s="9">
        <f t="shared" si="251"/>
        <v>0</v>
      </c>
    </row>
    <row r="1758" spans="1:68">
      <c r="A1758" s="6">
        <v>44862</v>
      </c>
      <c r="B1758" s="7">
        <v>3204</v>
      </c>
      <c r="C1758" s="8"/>
      <c r="D1758" s="8">
        <v>974.11</v>
      </c>
      <c r="E1758" s="8">
        <v>416.78</v>
      </c>
      <c r="F1758" s="8"/>
      <c r="G1758" s="8"/>
      <c r="H1758" s="8"/>
      <c r="I1758" s="8"/>
      <c r="J1758" s="8"/>
      <c r="K1758" s="8"/>
      <c r="L1758" s="8"/>
      <c r="M1758" s="8"/>
      <c r="N1758" s="8"/>
      <c r="O1758" s="8">
        <v>6.96</v>
      </c>
      <c r="P1758" s="8"/>
      <c r="Q1758" s="11"/>
      <c r="R1758" s="11"/>
      <c r="S1758" s="8">
        <v>4.74</v>
      </c>
      <c r="T1758" s="8"/>
      <c r="U1758" s="8">
        <v>15.35</v>
      </c>
      <c r="V1758" s="8"/>
      <c r="W1758" s="8"/>
      <c r="X1758" s="8"/>
      <c r="Y1758" s="8"/>
      <c r="Z1758" s="8">
        <v>209.37</v>
      </c>
      <c r="AA1758" s="8"/>
      <c r="AB1758" s="27">
        <f>721*9.95/1000</f>
        <v>7.1739499999999996</v>
      </c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11"/>
      <c r="AQ1758" s="8"/>
      <c r="AR1758" s="8"/>
      <c r="AS1758" s="8"/>
      <c r="AT1758" s="8">
        <v>614.62</v>
      </c>
      <c r="AU1758" s="8"/>
      <c r="AV1758" s="8"/>
      <c r="AW1758" s="8">
        <v>4.45</v>
      </c>
      <c r="AX1758" s="8"/>
      <c r="AY1758" s="8"/>
      <c r="AZ1758" s="8"/>
      <c r="BA1758" s="8"/>
      <c r="BB1758" s="8"/>
      <c r="BC1758" s="8"/>
      <c r="BD1758" s="8"/>
      <c r="BE1758" s="8"/>
      <c r="BF1758" s="8"/>
      <c r="BG1758" s="8">
        <v>45.36</v>
      </c>
      <c r="BH1758" s="9">
        <f t="shared" si="243"/>
        <v>1390.8899999999999</v>
      </c>
      <c r="BI1758" s="9">
        <f t="shared" si="244"/>
        <v>6.96</v>
      </c>
      <c r="BJ1758" s="9">
        <f t="shared" si="245"/>
        <v>4.74</v>
      </c>
      <c r="BK1758" s="9">
        <f t="shared" si="246"/>
        <v>15.35</v>
      </c>
      <c r="BL1758" s="9">
        <f t="shared" si="247"/>
        <v>209.37</v>
      </c>
      <c r="BM1758" s="9">
        <f t="shared" si="248"/>
        <v>7.1739499999999996</v>
      </c>
      <c r="BN1758" s="9">
        <f t="shared" si="249"/>
        <v>614.62</v>
      </c>
      <c r="BO1758" s="9">
        <f t="shared" si="250"/>
        <v>4.45</v>
      </c>
      <c r="BP1758" s="9">
        <f t="shared" si="251"/>
        <v>0</v>
      </c>
    </row>
    <row r="1759" spans="1:68">
      <c r="A1759" s="6">
        <v>44862</v>
      </c>
      <c r="B1759" s="7">
        <v>3201</v>
      </c>
      <c r="C1759" s="8">
        <v>1177.8499999999999</v>
      </c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>
        <v>2.97</v>
      </c>
      <c r="P1759" s="8"/>
      <c r="Q1759" s="11"/>
      <c r="R1759" s="11"/>
      <c r="S1759" s="8">
        <v>4.4800000000000004</v>
      </c>
      <c r="T1759" s="8"/>
      <c r="U1759" s="8">
        <v>17.72</v>
      </c>
      <c r="V1759" s="8"/>
      <c r="W1759" s="8"/>
      <c r="X1759" s="8"/>
      <c r="Y1759" s="8"/>
      <c r="Z1759" s="8">
        <v>247.96</v>
      </c>
      <c r="AA1759" s="8"/>
      <c r="AB1759" s="8"/>
      <c r="AC1759" s="8"/>
      <c r="AD1759" s="8"/>
      <c r="AE1759" s="8"/>
      <c r="AF1759" s="8">
        <v>53.49</v>
      </c>
      <c r="AG1759" s="8"/>
      <c r="AH1759" s="8"/>
      <c r="AI1759" s="8"/>
      <c r="AJ1759" s="8"/>
      <c r="AK1759" s="8"/>
      <c r="AL1759" s="8"/>
      <c r="AM1759" s="8"/>
      <c r="AN1759" s="8"/>
      <c r="AO1759" s="8"/>
      <c r="AP1759" s="11"/>
      <c r="AQ1759" s="8">
        <f>1511*11.8/1000</f>
        <v>17.829799999999999</v>
      </c>
      <c r="AR1759" s="8"/>
      <c r="AS1759" s="8"/>
      <c r="AT1759" s="8">
        <v>807.31</v>
      </c>
      <c r="AU1759" s="8"/>
      <c r="AV1759" s="8"/>
      <c r="AW1759" s="8"/>
      <c r="AX1759" s="8"/>
      <c r="AY1759" s="8"/>
      <c r="AZ1759" s="8"/>
      <c r="BA1759" s="8"/>
      <c r="BB1759" s="8"/>
      <c r="BC1759" s="8">
        <v>3.07</v>
      </c>
      <c r="BD1759" s="8"/>
      <c r="BE1759" s="8"/>
      <c r="BF1759" s="8">
        <v>56.63</v>
      </c>
      <c r="BG1759" s="8">
        <v>58.61</v>
      </c>
      <c r="BH1759" s="9">
        <f t="shared" si="243"/>
        <v>1177.8499999999999</v>
      </c>
      <c r="BI1759" s="9">
        <f t="shared" si="244"/>
        <v>2.97</v>
      </c>
      <c r="BJ1759" s="9">
        <f t="shared" si="245"/>
        <v>4.4800000000000004</v>
      </c>
      <c r="BK1759" s="9">
        <f t="shared" si="246"/>
        <v>17.72</v>
      </c>
      <c r="BL1759" s="9">
        <f t="shared" si="247"/>
        <v>247.96</v>
      </c>
      <c r="BM1759" s="9">
        <f t="shared" si="248"/>
        <v>71.319800000000001</v>
      </c>
      <c r="BN1759" s="9">
        <f t="shared" si="249"/>
        <v>807.31</v>
      </c>
      <c r="BO1759" s="9">
        <f t="shared" si="250"/>
        <v>3.07</v>
      </c>
      <c r="BP1759" s="9">
        <f t="shared" si="251"/>
        <v>56.63</v>
      </c>
    </row>
    <row r="1760" spans="1:68">
      <c r="A1760" s="6">
        <v>44862</v>
      </c>
      <c r="B1760" s="7">
        <v>3141</v>
      </c>
      <c r="C1760" s="8">
        <v>2455.7800000000002</v>
      </c>
      <c r="D1760" s="8">
        <v>433.15</v>
      </c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11">
        <v>8.3000000000000007</v>
      </c>
      <c r="R1760" s="11"/>
      <c r="S1760" s="8">
        <v>13.59</v>
      </c>
      <c r="T1760" s="8"/>
      <c r="U1760" s="8">
        <v>43.34</v>
      </c>
      <c r="V1760" s="8"/>
      <c r="W1760" s="8"/>
      <c r="X1760" s="8"/>
      <c r="Y1760" s="8"/>
      <c r="Z1760" s="8"/>
      <c r="AA1760" s="8"/>
      <c r="AB1760" s="8"/>
      <c r="AC1760" s="8">
        <v>11.56</v>
      </c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11"/>
      <c r="AQ1760" s="8"/>
      <c r="AR1760" s="8"/>
      <c r="AS1760" s="8"/>
      <c r="AT1760" s="8">
        <v>1913.58</v>
      </c>
      <c r="AU1760" s="8"/>
      <c r="AV1760" s="8"/>
      <c r="AW1760" s="8"/>
      <c r="AX1760" s="8"/>
      <c r="AY1760" s="8"/>
      <c r="AZ1760" s="8"/>
      <c r="BA1760" s="8">
        <v>66.22</v>
      </c>
      <c r="BB1760" s="8"/>
      <c r="BC1760" s="8"/>
      <c r="BD1760" s="8"/>
      <c r="BE1760" s="8"/>
      <c r="BF1760" s="8">
        <v>202.17</v>
      </c>
      <c r="BG1760" s="8">
        <v>150.47</v>
      </c>
      <c r="BH1760" s="9">
        <f t="shared" si="243"/>
        <v>2888.9300000000003</v>
      </c>
      <c r="BI1760" s="9">
        <f t="shared" si="244"/>
        <v>8.3000000000000007</v>
      </c>
      <c r="BJ1760" s="9">
        <f t="shared" si="245"/>
        <v>13.59</v>
      </c>
      <c r="BK1760" s="9">
        <f t="shared" si="246"/>
        <v>43.34</v>
      </c>
      <c r="BL1760" s="9">
        <f t="shared" si="247"/>
        <v>0</v>
      </c>
      <c r="BM1760" s="9">
        <f t="shared" si="248"/>
        <v>11.56</v>
      </c>
      <c r="BN1760" s="9">
        <f t="shared" si="249"/>
        <v>1913.58</v>
      </c>
      <c r="BO1760" s="9">
        <f t="shared" si="250"/>
        <v>66.22</v>
      </c>
      <c r="BP1760" s="9">
        <f t="shared" si="251"/>
        <v>202.17</v>
      </c>
    </row>
    <row r="1761" spans="1:68">
      <c r="A1761" s="6">
        <v>44862</v>
      </c>
      <c r="B1761" s="7">
        <v>3106</v>
      </c>
      <c r="C1761" s="8">
        <v>4114.8900000000003</v>
      </c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11">
        <v>11.12</v>
      </c>
      <c r="R1761" s="11"/>
      <c r="S1761" s="8">
        <v>12.33</v>
      </c>
      <c r="T1761" s="8"/>
      <c r="U1761" s="8">
        <v>52.37</v>
      </c>
      <c r="V1761" s="8"/>
      <c r="W1761" s="8"/>
      <c r="X1761" s="8"/>
      <c r="Y1761" s="8"/>
      <c r="Z1761" s="8"/>
      <c r="AA1761" s="8"/>
      <c r="AB1761" s="8"/>
      <c r="AC1761" s="8">
        <v>10.3</v>
      </c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11"/>
      <c r="AQ1761" s="8"/>
      <c r="AR1761" s="8"/>
      <c r="AS1761" s="8"/>
      <c r="AT1761" s="8">
        <v>2361.1799999999998</v>
      </c>
      <c r="AU1761" s="8"/>
      <c r="AV1761" s="8"/>
      <c r="AW1761" s="8"/>
      <c r="AX1761" s="8">
        <v>5.15</v>
      </c>
      <c r="AY1761" s="8"/>
      <c r="AZ1761" s="8"/>
      <c r="BA1761" s="8"/>
      <c r="BB1761" s="8"/>
      <c r="BC1761" s="8"/>
      <c r="BD1761" s="8"/>
      <c r="BE1761" s="8"/>
      <c r="BF1761" s="8"/>
      <c r="BG1761" s="8">
        <v>176.72</v>
      </c>
      <c r="BH1761" s="9">
        <f t="shared" si="243"/>
        <v>4114.8900000000003</v>
      </c>
      <c r="BI1761" s="9">
        <f t="shared" si="244"/>
        <v>11.12</v>
      </c>
      <c r="BJ1761" s="9">
        <f t="shared" si="245"/>
        <v>12.33</v>
      </c>
      <c r="BK1761" s="9">
        <f t="shared" si="246"/>
        <v>52.37</v>
      </c>
      <c r="BL1761" s="9">
        <f t="shared" si="247"/>
        <v>0</v>
      </c>
      <c r="BM1761" s="9">
        <f t="shared" si="248"/>
        <v>10.3</v>
      </c>
      <c r="BN1761" s="9">
        <f t="shared" si="249"/>
        <v>2361.1799999999998</v>
      </c>
      <c r="BO1761" s="9">
        <f t="shared" si="250"/>
        <v>5.15</v>
      </c>
      <c r="BP1761" s="9">
        <f t="shared" si="251"/>
        <v>0</v>
      </c>
    </row>
    <row r="1762" spans="1:68">
      <c r="A1762" s="6">
        <v>44862</v>
      </c>
      <c r="B1762" s="7">
        <v>3029</v>
      </c>
      <c r="C1762" s="8"/>
      <c r="D1762" s="8">
        <v>467.58</v>
      </c>
      <c r="E1762" s="8"/>
      <c r="F1762" s="8">
        <v>329.72</v>
      </c>
      <c r="G1762" s="8"/>
      <c r="H1762" s="8"/>
      <c r="I1762" s="8">
        <v>1951.77</v>
      </c>
      <c r="J1762" s="8"/>
      <c r="K1762" s="8"/>
      <c r="L1762" s="8"/>
      <c r="M1762" s="8"/>
      <c r="N1762" s="8">
        <v>21.2</v>
      </c>
      <c r="O1762" s="8"/>
      <c r="P1762" s="8"/>
      <c r="Q1762" s="11"/>
      <c r="R1762" s="11"/>
      <c r="S1762" s="8">
        <v>1.64</v>
      </c>
      <c r="T1762" s="8"/>
      <c r="U1762" s="8"/>
      <c r="V1762" s="8"/>
      <c r="W1762" s="8">
        <v>27.56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>
        <v>9.57</v>
      </c>
      <c r="AN1762" s="8">
        <f>766*18.35/1000</f>
        <v>14.056100000000001</v>
      </c>
      <c r="AO1762" s="8"/>
      <c r="AP1762" s="11"/>
      <c r="AQ1762" s="8"/>
      <c r="AR1762" s="8">
        <f>4529*18.35/1000</f>
        <v>83.107150000000004</v>
      </c>
      <c r="AS1762" s="8"/>
      <c r="AT1762" s="8">
        <v>1045.6600000000001</v>
      </c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>
        <v>73.34</v>
      </c>
      <c r="BH1762" s="9">
        <f t="shared" si="243"/>
        <v>2749.0699999999997</v>
      </c>
      <c r="BI1762" s="9">
        <f t="shared" si="244"/>
        <v>21.2</v>
      </c>
      <c r="BJ1762" s="9">
        <f t="shared" si="245"/>
        <v>1.64</v>
      </c>
      <c r="BK1762" s="9">
        <f t="shared" si="246"/>
        <v>27.56</v>
      </c>
      <c r="BL1762" s="9">
        <f t="shared" si="247"/>
        <v>0</v>
      </c>
      <c r="BM1762" s="9">
        <f t="shared" si="248"/>
        <v>106.73325</v>
      </c>
      <c r="BN1762" s="9">
        <f t="shared" si="249"/>
        <v>1045.6600000000001</v>
      </c>
      <c r="BO1762" s="9">
        <f t="shared" si="250"/>
        <v>0</v>
      </c>
      <c r="BP1762" s="9">
        <f t="shared" si="251"/>
        <v>0</v>
      </c>
    </row>
    <row r="1763" spans="1:68">
      <c r="A1763" s="6">
        <v>44862</v>
      </c>
      <c r="B1763" s="7">
        <v>3079</v>
      </c>
      <c r="C1763" s="8"/>
      <c r="D1763" s="8"/>
      <c r="E1763" s="8"/>
      <c r="F1763" s="8">
        <v>346.91</v>
      </c>
      <c r="G1763" s="8"/>
      <c r="H1763" s="8"/>
      <c r="I1763" s="8">
        <v>2808.3</v>
      </c>
      <c r="J1763" s="8"/>
      <c r="K1763" s="8"/>
      <c r="L1763" s="8"/>
      <c r="M1763" s="8"/>
      <c r="N1763" s="8">
        <v>22.41</v>
      </c>
      <c r="O1763" s="8"/>
      <c r="P1763" s="8"/>
      <c r="Q1763" s="11"/>
      <c r="R1763" s="11"/>
      <c r="S1763" s="8">
        <v>1.26</v>
      </c>
      <c r="T1763" s="8"/>
      <c r="U1763" s="8"/>
      <c r="V1763" s="8"/>
      <c r="W1763" s="8">
        <v>31.59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>
        <v>12.57</v>
      </c>
      <c r="AN1763" s="8">
        <f>1719*18.57/1000</f>
        <v>31.921830000000003</v>
      </c>
      <c r="AO1763" s="8"/>
      <c r="AP1763" s="11"/>
      <c r="AQ1763" s="8"/>
      <c r="AR1763" s="8">
        <f>4263*18.57/1000</f>
        <v>79.163910000000001</v>
      </c>
      <c r="AS1763" s="8"/>
      <c r="AT1763" s="8">
        <v>1220.0899999999999</v>
      </c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>
        <v>88.36</v>
      </c>
      <c r="BH1763" s="9">
        <f t="shared" si="243"/>
        <v>3155.21</v>
      </c>
      <c r="BI1763" s="9">
        <f t="shared" si="244"/>
        <v>22.41</v>
      </c>
      <c r="BJ1763" s="9">
        <f t="shared" si="245"/>
        <v>1.26</v>
      </c>
      <c r="BK1763" s="9">
        <f t="shared" si="246"/>
        <v>31.59</v>
      </c>
      <c r="BL1763" s="9">
        <f t="shared" si="247"/>
        <v>0</v>
      </c>
      <c r="BM1763" s="9">
        <f t="shared" si="248"/>
        <v>123.65574000000001</v>
      </c>
      <c r="BN1763" s="9">
        <f t="shared" si="249"/>
        <v>1220.0899999999999</v>
      </c>
      <c r="BO1763" s="9">
        <f t="shared" si="250"/>
        <v>0</v>
      </c>
      <c r="BP1763" s="9">
        <f t="shared" si="251"/>
        <v>0</v>
      </c>
    </row>
    <row r="1764" spans="1:68">
      <c r="A1764" s="6">
        <v>44865</v>
      </c>
      <c r="B1764" s="7">
        <v>3083</v>
      </c>
      <c r="C1764" s="8"/>
      <c r="D1764" s="8">
        <v>743.14</v>
      </c>
      <c r="E1764" s="8"/>
      <c r="F1764" s="8"/>
      <c r="G1764" s="8"/>
      <c r="H1764" s="8"/>
      <c r="I1764" s="8">
        <v>1727.19</v>
      </c>
      <c r="J1764" s="8"/>
      <c r="K1764" s="8"/>
      <c r="L1764" s="8"/>
      <c r="M1764" s="8"/>
      <c r="N1764" s="8">
        <v>15.54</v>
      </c>
      <c r="O1764" s="8"/>
      <c r="P1764" s="8"/>
      <c r="Q1764" s="11"/>
      <c r="R1764" s="11"/>
      <c r="S1764" s="8">
        <v>1.73</v>
      </c>
      <c r="T1764" s="8"/>
      <c r="U1764" s="8"/>
      <c r="V1764" s="8"/>
      <c r="W1764" s="8">
        <v>19.77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>
        <v>9.86</v>
      </c>
      <c r="AN1764" s="8">
        <f>1875*18.28/1000</f>
        <v>34.274999999999999</v>
      </c>
      <c r="AO1764" s="8"/>
      <c r="AP1764" s="11"/>
      <c r="AQ1764" s="8"/>
      <c r="AR1764" s="8">
        <f>3365*18.28/1000</f>
        <v>61.512200000000007</v>
      </c>
      <c r="AS1764" s="8"/>
      <c r="AT1764" s="8">
        <v>1160.1400000000001</v>
      </c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>
        <v>92.08</v>
      </c>
      <c r="BH1764" s="9">
        <f t="shared" si="243"/>
        <v>2470.33</v>
      </c>
      <c r="BI1764" s="9">
        <f t="shared" si="244"/>
        <v>15.54</v>
      </c>
      <c r="BJ1764" s="9">
        <f t="shared" si="245"/>
        <v>1.73</v>
      </c>
      <c r="BK1764" s="9">
        <f t="shared" si="246"/>
        <v>19.77</v>
      </c>
      <c r="BL1764" s="9">
        <f t="shared" si="247"/>
        <v>0</v>
      </c>
      <c r="BM1764" s="9">
        <f t="shared" si="248"/>
        <v>105.6472</v>
      </c>
      <c r="BN1764" s="9">
        <f t="shared" si="249"/>
        <v>1160.1400000000001</v>
      </c>
      <c r="BO1764" s="9">
        <f t="shared" si="250"/>
        <v>0</v>
      </c>
      <c r="BP1764" s="9">
        <f t="shared" si="251"/>
        <v>0</v>
      </c>
    </row>
    <row r="1765" spans="1:68">
      <c r="A1765" s="6">
        <v>44865</v>
      </c>
      <c r="B1765" s="7">
        <v>3016</v>
      </c>
      <c r="C1765" s="8"/>
      <c r="D1765" s="8">
        <v>1623.13</v>
      </c>
      <c r="E1765" s="8"/>
      <c r="F1765" s="8"/>
      <c r="G1765" s="8"/>
      <c r="H1765" s="8"/>
      <c r="I1765" s="8">
        <v>1497.18</v>
      </c>
      <c r="J1765" s="8"/>
      <c r="K1765" s="8"/>
      <c r="L1765" s="8"/>
      <c r="M1765" s="8"/>
      <c r="N1765" s="8">
        <v>18.7</v>
      </c>
      <c r="O1765" s="8"/>
      <c r="P1765" s="8"/>
      <c r="Q1765" s="11"/>
      <c r="R1765" s="11"/>
      <c r="S1765" s="8">
        <v>2.19</v>
      </c>
      <c r="T1765" s="8"/>
      <c r="U1765" s="8"/>
      <c r="V1765" s="8"/>
      <c r="W1765" s="8">
        <v>31.23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>
        <v>12.47</v>
      </c>
      <c r="AN1765" s="8">
        <f>2039*18.35/1000</f>
        <v>37.415649999999999</v>
      </c>
      <c r="AO1765" s="8"/>
      <c r="AP1765" s="11"/>
      <c r="AQ1765" s="8"/>
      <c r="AR1765" s="8">
        <f>4247*18.35/1000</f>
        <v>77.932450000000017</v>
      </c>
      <c r="AS1765" s="8"/>
      <c r="AT1765" s="8">
        <v>1157.49</v>
      </c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>
        <v>84.88</v>
      </c>
      <c r="BH1765" s="9">
        <f t="shared" si="243"/>
        <v>3120.3100000000004</v>
      </c>
      <c r="BI1765" s="9">
        <f t="shared" si="244"/>
        <v>18.7</v>
      </c>
      <c r="BJ1765" s="9">
        <f t="shared" si="245"/>
        <v>2.19</v>
      </c>
      <c r="BK1765" s="9">
        <f t="shared" si="246"/>
        <v>31.23</v>
      </c>
      <c r="BL1765" s="9">
        <f t="shared" si="247"/>
        <v>0</v>
      </c>
      <c r="BM1765" s="9">
        <f t="shared" si="248"/>
        <v>127.81810000000002</v>
      </c>
      <c r="BN1765" s="9">
        <f t="shared" si="249"/>
        <v>1157.49</v>
      </c>
      <c r="BO1765" s="9">
        <f t="shared" si="250"/>
        <v>0</v>
      </c>
      <c r="BP1765" s="9">
        <f t="shared" si="251"/>
        <v>0</v>
      </c>
    </row>
    <row r="1766" spans="1:68">
      <c r="A1766" s="6">
        <v>44865</v>
      </c>
      <c r="B1766" s="7">
        <v>3031</v>
      </c>
      <c r="C1766" s="8"/>
      <c r="D1766" s="8"/>
      <c r="E1766" s="8"/>
      <c r="F1766" s="8"/>
      <c r="G1766" s="8"/>
      <c r="H1766" s="8"/>
      <c r="I1766" s="8">
        <v>646.57000000000005</v>
      </c>
      <c r="J1766" s="8"/>
      <c r="K1766" s="8"/>
      <c r="L1766" s="8"/>
      <c r="M1766" s="8"/>
      <c r="N1766" s="8">
        <v>4.6100000000000003</v>
      </c>
      <c r="O1766" s="8"/>
      <c r="P1766" s="8"/>
      <c r="Q1766" s="11"/>
      <c r="R1766" s="11"/>
      <c r="S1766" s="8">
        <v>0.45</v>
      </c>
      <c r="T1766" s="8"/>
      <c r="U1766" s="8"/>
      <c r="V1766" s="8"/>
      <c r="W1766" s="8">
        <v>6.52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>
        <f>1808*5.4/1000</f>
        <v>9.7632000000000012</v>
      </c>
      <c r="AJ1766" s="8"/>
      <c r="AK1766" s="8"/>
      <c r="AL1766" s="8"/>
      <c r="AM1766" s="8"/>
      <c r="AN1766" s="8">
        <f>1206*5.4/1000</f>
        <v>6.5124000000000004</v>
      </c>
      <c r="AO1766" s="8"/>
      <c r="AP1766" s="11"/>
      <c r="AQ1766" s="8"/>
      <c r="AR1766" s="8">
        <f>3612*5.4/1000</f>
        <v>19.504800000000003</v>
      </c>
      <c r="AS1766" s="8"/>
      <c r="AT1766" s="8">
        <v>308.38</v>
      </c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>
        <v>21.08</v>
      </c>
      <c r="BH1766" s="9">
        <f t="shared" si="243"/>
        <v>646.57000000000005</v>
      </c>
      <c r="BI1766" s="9">
        <f t="shared" si="244"/>
        <v>4.6100000000000003</v>
      </c>
      <c r="BJ1766" s="9">
        <f t="shared" si="245"/>
        <v>0.45</v>
      </c>
      <c r="BK1766" s="9">
        <f t="shared" si="246"/>
        <v>6.52</v>
      </c>
      <c r="BL1766" s="9">
        <f t="shared" si="247"/>
        <v>0</v>
      </c>
      <c r="BM1766" s="9">
        <f t="shared" si="248"/>
        <v>35.7804</v>
      </c>
      <c r="BN1766" s="9">
        <f t="shared" si="249"/>
        <v>308.38</v>
      </c>
      <c r="BO1766" s="9">
        <f t="shared" si="250"/>
        <v>0</v>
      </c>
      <c r="BP1766" s="9">
        <f t="shared" si="251"/>
        <v>0</v>
      </c>
    </row>
    <row r="1767" spans="1:68">
      <c r="A1767" s="6">
        <v>44865</v>
      </c>
      <c r="B1767" s="7">
        <v>3601</v>
      </c>
      <c r="C1767" s="8">
        <f>561.01+9.61</f>
        <v>570.62</v>
      </c>
      <c r="D1767" s="8"/>
      <c r="E1767" s="8"/>
      <c r="F1767" s="8"/>
      <c r="G1767" s="8">
        <f>839.75+14.42</f>
        <v>854.17</v>
      </c>
      <c r="H1767" s="8"/>
      <c r="I1767" s="8"/>
      <c r="J1767" s="8"/>
      <c r="K1767" s="8"/>
      <c r="L1767" s="8"/>
      <c r="M1767" s="8">
        <f>532*16.32/1000</f>
        <v>8.6822400000000002</v>
      </c>
      <c r="N1767" s="8"/>
      <c r="O1767" s="8"/>
      <c r="P1767" s="8"/>
      <c r="Q1767" s="11"/>
      <c r="R1767" s="11"/>
      <c r="S1767" s="8">
        <f>6.79+0.12</f>
        <v>6.91</v>
      </c>
      <c r="T1767" s="8"/>
      <c r="U1767" s="8">
        <f>8.45+0.15</f>
        <v>8.6</v>
      </c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11"/>
      <c r="AQ1767" s="8"/>
      <c r="AR1767" s="8"/>
      <c r="AS1767" s="8"/>
      <c r="AT1767" s="8">
        <f>688.19+11.71</f>
        <v>699.90000000000009</v>
      </c>
      <c r="AU1767" s="8"/>
      <c r="AV1767" s="8"/>
      <c r="AW1767" s="8">
        <f>42.74+0.73</f>
        <v>43.47</v>
      </c>
      <c r="AX1767" s="8"/>
      <c r="AY1767" s="8"/>
      <c r="AZ1767" s="8"/>
      <c r="BA1767" s="8"/>
      <c r="BB1767" s="8"/>
      <c r="BC1767" s="8"/>
      <c r="BD1767" s="8"/>
      <c r="BE1767" s="8"/>
      <c r="BF1767" s="8">
        <f>78.71+1.34</f>
        <v>80.05</v>
      </c>
      <c r="BG1767" s="8">
        <f>50.06+0.87</f>
        <v>50.93</v>
      </c>
      <c r="BH1767" s="9">
        <f t="shared" si="243"/>
        <v>1424.79</v>
      </c>
      <c r="BI1767" s="9">
        <f t="shared" si="244"/>
        <v>8.6822400000000002</v>
      </c>
      <c r="BJ1767" s="9">
        <f t="shared" si="245"/>
        <v>6.91</v>
      </c>
      <c r="BK1767" s="9">
        <f t="shared" si="246"/>
        <v>8.6</v>
      </c>
      <c r="BL1767" s="9">
        <f t="shared" si="247"/>
        <v>0</v>
      </c>
      <c r="BM1767" s="9">
        <f t="shared" si="248"/>
        <v>0</v>
      </c>
      <c r="BN1767" s="9">
        <f t="shared" si="249"/>
        <v>699.90000000000009</v>
      </c>
      <c r="BO1767" s="9">
        <f t="shared" si="250"/>
        <v>43.47</v>
      </c>
      <c r="BP1767" s="9">
        <f t="shared" si="251"/>
        <v>80.05</v>
      </c>
    </row>
    <row r="1768" spans="1:68">
      <c r="A1768" s="6">
        <v>44865</v>
      </c>
      <c r="B1768" s="7">
        <v>3602</v>
      </c>
      <c r="C1768" s="8">
        <v>566.4</v>
      </c>
      <c r="D1768" s="8"/>
      <c r="E1768" s="8"/>
      <c r="F1768" s="8"/>
      <c r="G1768" s="8">
        <v>850.5</v>
      </c>
      <c r="H1768" s="8"/>
      <c r="I1768" s="8"/>
      <c r="J1768" s="8"/>
      <c r="K1768" s="8"/>
      <c r="L1768" s="8"/>
      <c r="M1768" s="8">
        <f>461*16.25/1000</f>
        <v>7.49125</v>
      </c>
      <c r="N1768" s="8"/>
      <c r="O1768" s="8"/>
      <c r="P1768" s="8"/>
      <c r="Q1768" s="11"/>
      <c r="R1768" s="11"/>
      <c r="S1768" s="8">
        <v>6.82</v>
      </c>
      <c r="T1768" s="8"/>
      <c r="U1768" s="8">
        <v>11.48</v>
      </c>
      <c r="V1768" s="8">
        <f>863*16.25/1000</f>
        <v>14.02375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11"/>
      <c r="AQ1768" s="8"/>
      <c r="AR1768" s="8"/>
      <c r="AS1768" s="8"/>
      <c r="AT1768" s="8">
        <v>573.12</v>
      </c>
      <c r="AU1768" s="8"/>
      <c r="AV1768" s="8"/>
      <c r="AW1768" s="8">
        <v>36.76</v>
      </c>
      <c r="AX1768" s="8"/>
      <c r="AY1768" s="8"/>
      <c r="AZ1768" s="8"/>
      <c r="BA1768" s="8"/>
      <c r="BB1768" s="8"/>
      <c r="BC1768" s="8"/>
      <c r="BD1768" s="8"/>
      <c r="BE1768" s="8"/>
      <c r="BF1768" s="8">
        <v>45.63</v>
      </c>
      <c r="BG1768" s="8">
        <v>43.02</v>
      </c>
      <c r="BH1768" s="9">
        <f t="shared" si="243"/>
        <v>1416.9</v>
      </c>
      <c r="BI1768" s="9">
        <f t="shared" si="244"/>
        <v>7.49125</v>
      </c>
      <c r="BJ1768" s="9">
        <f t="shared" si="245"/>
        <v>6.82</v>
      </c>
      <c r="BK1768" s="9">
        <f t="shared" si="246"/>
        <v>25.50375</v>
      </c>
      <c r="BL1768" s="9">
        <f t="shared" si="247"/>
        <v>0</v>
      </c>
      <c r="BM1768" s="9">
        <f t="shared" si="248"/>
        <v>0</v>
      </c>
      <c r="BN1768" s="9">
        <f t="shared" si="249"/>
        <v>573.12</v>
      </c>
      <c r="BO1768" s="9">
        <f t="shared" si="250"/>
        <v>36.76</v>
      </c>
      <c r="BP1768" s="9">
        <f t="shared" si="251"/>
        <v>45.63</v>
      </c>
    </row>
    <row r="1769" spans="1:68">
      <c r="A1769" s="6">
        <v>44865</v>
      </c>
      <c r="B1769" s="7">
        <v>3304</v>
      </c>
      <c r="C1769" s="8"/>
      <c r="D1769" s="8">
        <v>1016.25</v>
      </c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11">
        <v>1.24</v>
      </c>
      <c r="R1769" s="11"/>
      <c r="S1769" s="8">
        <v>7.23</v>
      </c>
      <c r="T1769" s="8"/>
      <c r="U1769" s="8">
        <v>9.17</v>
      </c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>
        <v>10.210000000000001</v>
      </c>
      <c r="AH1769" s="8"/>
      <c r="AI1769" s="8"/>
      <c r="AJ1769" s="8"/>
      <c r="AK1769" s="8"/>
      <c r="AL1769" s="8"/>
      <c r="AM1769" s="8"/>
      <c r="AN1769" s="8"/>
      <c r="AO1769" s="8"/>
      <c r="AP1769" s="11"/>
      <c r="AQ1769" s="8"/>
      <c r="AR1769" s="8"/>
      <c r="AS1769" s="8"/>
      <c r="AT1769" s="8"/>
      <c r="AU1769" s="8">
        <v>417.93</v>
      </c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>
        <v>29.67</v>
      </c>
      <c r="BH1769" s="9">
        <f t="shared" si="243"/>
        <v>1016.25</v>
      </c>
      <c r="BI1769" s="9">
        <f t="shared" si="244"/>
        <v>1.24</v>
      </c>
      <c r="BJ1769" s="9">
        <f t="shared" si="245"/>
        <v>7.23</v>
      </c>
      <c r="BK1769" s="9">
        <f t="shared" si="246"/>
        <v>9.17</v>
      </c>
      <c r="BL1769" s="9">
        <f t="shared" si="247"/>
        <v>0</v>
      </c>
      <c r="BM1769" s="9">
        <f t="shared" si="248"/>
        <v>10.210000000000001</v>
      </c>
      <c r="BN1769" s="9">
        <f t="shared" si="249"/>
        <v>417.93</v>
      </c>
      <c r="BO1769" s="9">
        <f t="shared" si="250"/>
        <v>0</v>
      </c>
      <c r="BP1769" s="9">
        <f t="shared" si="251"/>
        <v>0</v>
      </c>
    </row>
    <row r="1770" spans="1:68">
      <c r="A1770" s="6">
        <v>44866</v>
      </c>
      <c r="B1770" s="7">
        <v>3141</v>
      </c>
      <c r="C1770" s="8">
        <v>2443.31</v>
      </c>
      <c r="D1770" s="8">
        <v>431.24</v>
      </c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11">
        <v>7.61</v>
      </c>
      <c r="R1770" s="11"/>
      <c r="S1770" s="8">
        <v>13.53</v>
      </c>
      <c r="T1770" s="8"/>
      <c r="U1770" s="8">
        <v>43.15</v>
      </c>
      <c r="V1770" s="8"/>
      <c r="W1770" s="8"/>
      <c r="X1770" s="8"/>
      <c r="Y1770" s="8"/>
      <c r="Z1770" s="8"/>
      <c r="AA1770" s="8"/>
      <c r="AB1770" s="8"/>
      <c r="AC1770" s="8">
        <v>11.5</v>
      </c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11"/>
      <c r="AQ1770" s="8"/>
      <c r="AR1770" s="8"/>
      <c r="AS1770" s="8"/>
      <c r="AT1770" s="8">
        <v>1905.95</v>
      </c>
      <c r="AU1770" s="8"/>
      <c r="AV1770" s="8"/>
      <c r="AW1770" s="8"/>
      <c r="AX1770" s="8"/>
      <c r="AY1770" s="8"/>
      <c r="AZ1770" s="8"/>
      <c r="BA1770" s="8">
        <v>65.900000000000006</v>
      </c>
      <c r="BB1770" s="8"/>
      <c r="BC1770" s="8"/>
      <c r="BD1770" s="8"/>
      <c r="BE1770" s="8"/>
      <c r="BF1770" s="8">
        <v>201.25</v>
      </c>
      <c r="BG1770" s="8">
        <v>149.03</v>
      </c>
      <c r="BH1770" s="9">
        <f t="shared" si="243"/>
        <v>2874.55</v>
      </c>
      <c r="BI1770" s="9">
        <f t="shared" si="244"/>
        <v>7.61</v>
      </c>
      <c r="BJ1770" s="9">
        <f t="shared" si="245"/>
        <v>13.53</v>
      </c>
      <c r="BK1770" s="9">
        <f t="shared" si="246"/>
        <v>43.15</v>
      </c>
      <c r="BL1770" s="9">
        <f t="shared" si="247"/>
        <v>0</v>
      </c>
      <c r="BM1770" s="9">
        <f t="shared" si="248"/>
        <v>11.5</v>
      </c>
      <c r="BN1770" s="9">
        <f t="shared" si="249"/>
        <v>1905.95</v>
      </c>
      <c r="BO1770" s="9">
        <f t="shared" si="250"/>
        <v>65.900000000000006</v>
      </c>
      <c r="BP1770" s="9">
        <f t="shared" si="251"/>
        <v>201.25</v>
      </c>
    </row>
    <row r="1771" spans="1:68">
      <c r="A1771" s="6">
        <v>44866</v>
      </c>
      <c r="B1771" s="7">
        <v>3134</v>
      </c>
      <c r="C1771" s="8">
        <v>1044.1099999999999</v>
      </c>
      <c r="D1771" s="8">
        <v>146.02000000000001</v>
      </c>
      <c r="E1771" s="8"/>
      <c r="F1771" s="8"/>
      <c r="G1771" s="8"/>
      <c r="H1771" s="8">
        <v>493.65</v>
      </c>
      <c r="I1771" s="8"/>
      <c r="J1771" s="8"/>
      <c r="K1771" s="8"/>
      <c r="L1771" s="8"/>
      <c r="M1771" s="8"/>
      <c r="N1771" s="8"/>
      <c r="O1771" s="8"/>
      <c r="P1771" s="8"/>
      <c r="Q1771" s="11">
        <v>3.1</v>
      </c>
      <c r="R1771" s="11"/>
      <c r="S1771" s="8">
        <v>6.73</v>
      </c>
      <c r="T1771" s="8"/>
      <c r="U1771" s="8">
        <v>19.02</v>
      </c>
      <c r="V1771" s="8"/>
      <c r="W1771" s="8"/>
      <c r="X1771" s="8"/>
      <c r="Y1771" s="8"/>
      <c r="Z1771" s="8"/>
      <c r="AA1771" s="8"/>
      <c r="AB1771" s="8"/>
      <c r="AC1771" s="8">
        <v>5.85</v>
      </c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11"/>
      <c r="AQ1771" s="8"/>
      <c r="AR1771" s="8"/>
      <c r="AS1771" s="8"/>
      <c r="AT1771" s="8">
        <v>1033.95</v>
      </c>
      <c r="AU1771" s="8"/>
      <c r="AV1771" s="8"/>
      <c r="AW1771" s="8"/>
      <c r="AX1771" s="8"/>
      <c r="AY1771" s="8">
        <f>1407*10.45/1000</f>
        <v>14.703149999999999</v>
      </c>
      <c r="AZ1771" s="8"/>
      <c r="BA1771" s="8"/>
      <c r="BB1771" s="8"/>
      <c r="BC1771" s="8"/>
      <c r="BD1771" s="8"/>
      <c r="BE1771" s="8"/>
      <c r="BF1771" s="8">
        <v>65.900000000000006</v>
      </c>
      <c r="BG1771" s="8">
        <v>77.489999999999995</v>
      </c>
      <c r="BH1771" s="9">
        <f t="shared" si="243"/>
        <v>1683.7799999999997</v>
      </c>
      <c r="BI1771" s="9">
        <f t="shared" si="244"/>
        <v>3.1</v>
      </c>
      <c r="BJ1771" s="9">
        <f t="shared" si="245"/>
        <v>6.73</v>
      </c>
      <c r="BK1771" s="9">
        <f t="shared" si="246"/>
        <v>19.02</v>
      </c>
      <c r="BL1771" s="9">
        <f t="shared" si="247"/>
        <v>0</v>
      </c>
      <c r="BM1771" s="9">
        <f t="shared" si="248"/>
        <v>5.85</v>
      </c>
      <c r="BN1771" s="9">
        <f t="shared" si="249"/>
        <v>1033.95</v>
      </c>
      <c r="BO1771" s="9">
        <f t="shared" si="250"/>
        <v>14.703149999999999</v>
      </c>
      <c r="BP1771" s="9">
        <f t="shared" si="251"/>
        <v>65.900000000000006</v>
      </c>
    </row>
    <row r="1772" spans="1:68">
      <c r="A1772" s="6">
        <v>44866</v>
      </c>
      <c r="B1772" s="7">
        <v>3106</v>
      </c>
      <c r="C1772" s="8">
        <v>4139.8500000000004</v>
      </c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11">
        <v>11.19</v>
      </c>
      <c r="R1772" s="11"/>
      <c r="S1772" s="8">
        <v>12.47</v>
      </c>
      <c r="T1772" s="8"/>
      <c r="U1772" s="8">
        <v>52.85</v>
      </c>
      <c r="V1772" s="8"/>
      <c r="W1772" s="8"/>
      <c r="X1772" s="8"/>
      <c r="Y1772" s="8"/>
      <c r="Z1772" s="8"/>
      <c r="AA1772" s="8"/>
      <c r="AB1772" s="8"/>
      <c r="AC1772" s="8">
        <v>10.37</v>
      </c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11"/>
      <c r="AQ1772" s="8"/>
      <c r="AR1772" s="8"/>
      <c r="AS1772" s="8"/>
      <c r="AT1772" s="8">
        <v>2373.98</v>
      </c>
      <c r="AU1772" s="8"/>
      <c r="AV1772" s="8"/>
      <c r="AW1772" s="8"/>
      <c r="AX1772" s="8">
        <v>5.19</v>
      </c>
      <c r="AY1772" s="8"/>
      <c r="AZ1772" s="8"/>
      <c r="BA1772" s="8"/>
      <c r="BB1772" s="8"/>
      <c r="BC1772" s="8"/>
      <c r="BD1772" s="8"/>
      <c r="BE1772" s="8"/>
      <c r="BF1772" s="8"/>
      <c r="BG1772" s="8">
        <v>178.39</v>
      </c>
      <c r="BH1772" s="9">
        <f t="shared" si="243"/>
        <v>4139.8500000000004</v>
      </c>
      <c r="BI1772" s="9">
        <f t="shared" si="244"/>
        <v>11.19</v>
      </c>
      <c r="BJ1772" s="9">
        <f t="shared" si="245"/>
        <v>12.47</v>
      </c>
      <c r="BK1772" s="9">
        <f t="shared" si="246"/>
        <v>52.85</v>
      </c>
      <c r="BL1772" s="9">
        <f t="shared" si="247"/>
        <v>0</v>
      </c>
      <c r="BM1772" s="9">
        <f t="shared" si="248"/>
        <v>10.37</v>
      </c>
      <c r="BN1772" s="9">
        <f t="shared" si="249"/>
        <v>2373.98</v>
      </c>
      <c r="BO1772" s="9">
        <f t="shared" si="250"/>
        <v>5.19</v>
      </c>
      <c r="BP1772" s="9">
        <f t="shared" si="251"/>
        <v>0</v>
      </c>
    </row>
    <row r="1773" spans="1:68">
      <c r="A1773" s="6">
        <v>44866</v>
      </c>
      <c r="B1773" s="7">
        <v>3119</v>
      </c>
      <c r="C1773" s="8">
        <v>1316.73</v>
      </c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11">
        <v>4.16</v>
      </c>
      <c r="R1773" s="11"/>
      <c r="S1773" s="8">
        <v>5.95</v>
      </c>
      <c r="T1773" s="8"/>
      <c r="U1773" s="8">
        <v>13.12</v>
      </c>
      <c r="V1773" s="8"/>
      <c r="W1773" s="8"/>
      <c r="X1773" s="8"/>
      <c r="Y1773" s="8"/>
      <c r="Z1773" s="8"/>
      <c r="AA1773" s="8"/>
      <c r="AB1773" s="8"/>
      <c r="AC1773" s="8">
        <v>3.29</v>
      </c>
      <c r="AD1773" s="8"/>
      <c r="AE1773" s="8"/>
      <c r="AF1773" s="8"/>
      <c r="AG1773" s="8">
        <v>3.95</v>
      </c>
      <c r="AH1773" s="8"/>
      <c r="AI1773" s="8"/>
      <c r="AJ1773" s="8"/>
      <c r="AK1773" s="8"/>
      <c r="AL1773" s="8"/>
      <c r="AM1773" s="8"/>
      <c r="AN1773" s="8"/>
      <c r="AO1773" s="8"/>
      <c r="AP1773" s="11"/>
      <c r="AQ1773" s="8"/>
      <c r="AR1773" s="8"/>
      <c r="AS1773" s="8"/>
      <c r="AT1773" s="8">
        <v>500.49</v>
      </c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>
        <v>91.88</v>
      </c>
      <c r="BG1773" s="8">
        <v>35.21</v>
      </c>
      <c r="BH1773" s="9">
        <f t="shared" si="243"/>
        <v>1316.73</v>
      </c>
      <c r="BI1773" s="9">
        <f t="shared" si="244"/>
        <v>4.16</v>
      </c>
      <c r="BJ1773" s="9">
        <f t="shared" si="245"/>
        <v>5.95</v>
      </c>
      <c r="BK1773" s="9">
        <f t="shared" si="246"/>
        <v>13.12</v>
      </c>
      <c r="BL1773" s="9">
        <f t="shared" si="247"/>
        <v>0</v>
      </c>
      <c r="BM1773" s="9">
        <f t="shared" si="248"/>
        <v>7.24</v>
      </c>
      <c r="BN1773" s="9">
        <f t="shared" si="249"/>
        <v>500.49</v>
      </c>
      <c r="BO1773" s="9">
        <f t="shared" si="250"/>
        <v>0</v>
      </c>
      <c r="BP1773" s="9">
        <f t="shared" si="251"/>
        <v>91.88</v>
      </c>
    </row>
    <row r="1774" spans="1:68">
      <c r="A1774" s="6">
        <v>44866</v>
      </c>
      <c r="B1774" s="7">
        <v>3023</v>
      </c>
      <c r="C1774" s="8"/>
      <c r="D1774" s="8">
        <v>1650.44</v>
      </c>
      <c r="E1774" s="8"/>
      <c r="F1774" s="8"/>
      <c r="G1774" s="8"/>
      <c r="H1774" s="8"/>
      <c r="I1774" s="8">
        <v>887.75</v>
      </c>
      <c r="J1774" s="8"/>
      <c r="K1774" s="8"/>
      <c r="L1774" s="8"/>
      <c r="M1774" s="8"/>
      <c r="N1774" s="8">
        <v>14.21</v>
      </c>
      <c r="O1774" s="8"/>
      <c r="P1774" s="8"/>
      <c r="Q1774" s="11"/>
      <c r="R1774" s="11"/>
      <c r="S1774" s="8">
        <v>4.05</v>
      </c>
      <c r="T1774" s="8"/>
      <c r="U1774" s="8"/>
      <c r="V1774" s="8"/>
      <c r="W1774" s="8">
        <v>22.84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>
        <v>25.33</v>
      </c>
      <c r="AN1774" s="8">
        <f>1028*17.5/1000</f>
        <v>17.989999999999998</v>
      </c>
      <c r="AO1774" s="8"/>
      <c r="AP1774" s="11"/>
      <c r="AQ1774" s="8"/>
      <c r="AR1774" s="8"/>
      <c r="AS1774" s="8">
        <f>4752*17.5/1000</f>
        <v>83.16</v>
      </c>
      <c r="AT1774" s="8">
        <v>1040.73</v>
      </c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>
        <v>78.650000000000006</v>
      </c>
      <c r="BH1774" s="9">
        <f t="shared" si="243"/>
        <v>2538.19</v>
      </c>
      <c r="BI1774" s="9">
        <f t="shared" si="244"/>
        <v>14.21</v>
      </c>
      <c r="BJ1774" s="9">
        <f t="shared" si="245"/>
        <v>4.05</v>
      </c>
      <c r="BK1774" s="9">
        <f t="shared" si="246"/>
        <v>22.84</v>
      </c>
      <c r="BL1774" s="9">
        <f t="shared" si="247"/>
        <v>0</v>
      </c>
      <c r="BM1774" s="9">
        <f t="shared" si="248"/>
        <v>126.47999999999999</v>
      </c>
      <c r="BN1774" s="9">
        <f t="shared" si="249"/>
        <v>1040.73</v>
      </c>
      <c r="BO1774" s="9">
        <f t="shared" si="250"/>
        <v>0</v>
      </c>
      <c r="BP1774" s="9">
        <f t="shared" si="251"/>
        <v>0</v>
      </c>
    </row>
    <row r="1775" spans="1:68">
      <c r="A1775" s="6">
        <v>44866</v>
      </c>
      <c r="B1775" s="7">
        <v>3704</v>
      </c>
      <c r="C1775" s="8">
        <v>648.91</v>
      </c>
      <c r="D1775" s="8">
        <v>973.83</v>
      </c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11">
        <v>4.87</v>
      </c>
      <c r="R1775" s="11"/>
      <c r="S1775" s="8">
        <v>5.68</v>
      </c>
      <c r="T1775" s="8"/>
      <c r="U1775" s="8">
        <v>12.18</v>
      </c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>
        <v>19.47</v>
      </c>
      <c r="AN1775" s="8"/>
      <c r="AO1775" s="8"/>
      <c r="AP1775" s="11"/>
      <c r="AQ1775" s="8"/>
      <c r="AR1775" s="8"/>
      <c r="AS1775" s="8"/>
      <c r="AT1775" s="8">
        <v>284.55</v>
      </c>
      <c r="AU1775" s="8">
        <v>142.38</v>
      </c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>
        <v>25.94</v>
      </c>
      <c r="BH1775" s="9">
        <f t="shared" si="243"/>
        <v>1622.74</v>
      </c>
      <c r="BI1775" s="9">
        <f t="shared" si="244"/>
        <v>4.87</v>
      </c>
      <c r="BJ1775" s="9">
        <f t="shared" si="245"/>
        <v>5.68</v>
      </c>
      <c r="BK1775" s="9">
        <f t="shared" si="246"/>
        <v>12.18</v>
      </c>
      <c r="BL1775" s="9">
        <f t="shared" si="247"/>
        <v>0</v>
      </c>
      <c r="BM1775" s="9">
        <f t="shared" si="248"/>
        <v>19.47</v>
      </c>
      <c r="BN1775" s="9">
        <f t="shared" si="249"/>
        <v>426.93</v>
      </c>
      <c r="BO1775" s="9">
        <f t="shared" si="250"/>
        <v>0</v>
      </c>
      <c r="BP1775" s="9">
        <f t="shared" si="251"/>
        <v>0</v>
      </c>
    </row>
    <row r="1776" spans="1:68">
      <c r="A1776" s="6">
        <v>44866</v>
      </c>
      <c r="B1776" s="7">
        <v>3703</v>
      </c>
      <c r="C1776" s="8">
        <v>820.33</v>
      </c>
      <c r="D1776" s="8">
        <v>548.41</v>
      </c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11">
        <v>2.75</v>
      </c>
      <c r="R1776" s="11"/>
      <c r="S1776" s="8">
        <v>6.72</v>
      </c>
      <c r="T1776" s="8"/>
      <c r="U1776" s="8">
        <v>10.98</v>
      </c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>
        <v>13.7</v>
      </c>
      <c r="AN1776" s="8"/>
      <c r="AO1776" s="8"/>
      <c r="AP1776" s="11"/>
      <c r="AQ1776" s="8"/>
      <c r="AR1776" s="8"/>
      <c r="AS1776" s="8"/>
      <c r="AT1776" s="8">
        <v>334.02</v>
      </c>
      <c r="AU1776" s="8">
        <v>167.03</v>
      </c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>
        <v>34.99</v>
      </c>
      <c r="BH1776" s="9">
        <f t="shared" si="243"/>
        <v>1368.74</v>
      </c>
      <c r="BI1776" s="9">
        <f t="shared" si="244"/>
        <v>2.75</v>
      </c>
      <c r="BJ1776" s="9">
        <f t="shared" si="245"/>
        <v>6.72</v>
      </c>
      <c r="BK1776" s="9">
        <f t="shared" si="246"/>
        <v>10.98</v>
      </c>
      <c r="BL1776" s="9">
        <f t="shared" si="247"/>
        <v>0</v>
      </c>
      <c r="BM1776" s="9">
        <f t="shared" si="248"/>
        <v>13.7</v>
      </c>
      <c r="BN1776" s="9">
        <f t="shared" si="249"/>
        <v>501.04999999999995</v>
      </c>
      <c r="BO1776" s="9">
        <f t="shared" si="250"/>
        <v>0</v>
      </c>
      <c r="BP1776" s="9">
        <f t="shared" si="251"/>
        <v>0</v>
      </c>
    </row>
    <row r="1777" spans="1:68">
      <c r="A1777" s="6">
        <v>44866</v>
      </c>
      <c r="B1777" s="7">
        <v>3702</v>
      </c>
      <c r="C1777" s="8">
        <v>821.49</v>
      </c>
      <c r="D1777" s="8">
        <v>547.07000000000005</v>
      </c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11">
        <v>2.73</v>
      </c>
      <c r="R1777" s="11"/>
      <c r="S1777" s="8">
        <v>6.44</v>
      </c>
      <c r="T1777" s="8"/>
      <c r="U1777" s="8">
        <v>10.27</v>
      </c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11"/>
      <c r="AQ1777" s="8"/>
      <c r="AR1777" s="8"/>
      <c r="AS1777" s="8"/>
      <c r="AT1777" s="8">
        <v>334.82</v>
      </c>
      <c r="AU1777" s="8">
        <v>167.39</v>
      </c>
      <c r="AV1777" s="8"/>
      <c r="AW1777" s="8">
        <v>3.01</v>
      </c>
      <c r="AX1777" s="8"/>
      <c r="AY1777" s="8"/>
      <c r="AZ1777" s="8"/>
      <c r="BA1777" s="8"/>
      <c r="BB1777" s="8"/>
      <c r="BC1777" s="8"/>
      <c r="BD1777" s="8"/>
      <c r="BE1777" s="8"/>
      <c r="BF1777" s="8"/>
      <c r="BG1777" s="8">
        <v>34.92</v>
      </c>
      <c r="BH1777" s="9">
        <f t="shared" si="243"/>
        <v>1368.56</v>
      </c>
      <c r="BI1777" s="9">
        <f t="shared" si="244"/>
        <v>2.73</v>
      </c>
      <c r="BJ1777" s="9">
        <f t="shared" si="245"/>
        <v>6.44</v>
      </c>
      <c r="BK1777" s="9">
        <f t="shared" si="246"/>
        <v>10.27</v>
      </c>
      <c r="BL1777" s="9">
        <f t="shared" si="247"/>
        <v>0</v>
      </c>
      <c r="BM1777" s="9">
        <f t="shared" si="248"/>
        <v>0</v>
      </c>
      <c r="BN1777" s="9">
        <f t="shared" si="249"/>
        <v>502.21</v>
      </c>
      <c r="BO1777" s="9">
        <f t="shared" si="250"/>
        <v>3.01</v>
      </c>
      <c r="BP1777" s="9">
        <f t="shared" si="251"/>
        <v>0</v>
      </c>
    </row>
    <row r="1778" spans="1:68">
      <c r="A1778" s="6">
        <v>44866</v>
      </c>
      <c r="B1778" s="7">
        <v>3705</v>
      </c>
      <c r="C1778" s="8"/>
      <c r="D1778" s="8">
        <v>709.22</v>
      </c>
      <c r="E1778" s="8"/>
      <c r="F1778" s="8"/>
      <c r="G1778" s="8"/>
      <c r="H1778" s="8"/>
      <c r="I1778" s="8">
        <v>156.06</v>
      </c>
      <c r="J1778" s="8"/>
      <c r="K1778" s="8"/>
      <c r="L1778" s="8"/>
      <c r="M1778" s="8"/>
      <c r="N1778" s="8"/>
      <c r="O1778" s="8"/>
      <c r="P1778" s="8"/>
      <c r="Q1778" s="11">
        <v>2.58</v>
      </c>
      <c r="R1778" s="11"/>
      <c r="S1778" s="8">
        <v>3.02</v>
      </c>
      <c r="T1778" s="8"/>
      <c r="U1778" s="8">
        <v>6.05</v>
      </c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11"/>
      <c r="AQ1778" s="8"/>
      <c r="AR1778" s="8"/>
      <c r="AS1778" s="8"/>
      <c r="AT1778" s="8">
        <v>51.65</v>
      </c>
      <c r="AU1778" s="8">
        <v>102.64</v>
      </c>
      <c r="AV1778" s="8">
        <v>1.73</v>
      </c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>
        <v>8.48</v>
      </c>
      <c r="BH1778" s="9">
        <f t="shared" si="243"/>
        <v>865.28</v>
      </c>
      <c r="BI1778" s="9">
        <f t="shared" si="244"/>
        <v>2.58</v>
      </c>
      <c r="BJ1778" s="9">
        <f t="shared" si="245"/>
        <v>3.02</v>
      </c>
      <c r="BK1778" s="9">
        <f t="shared" si="246"/>
        <v>6.05</v>
      </c>
      <c r="BL1778" s="9">
        <f t="shared" si="247"/>
        <v>0</v>
      </c>
      <c r="BM1778" s="9">
        <f t="shared" si="248"/>
        <v>0</v>
      </c>
      <c r="BN1778" s="9">
        <f t="shared" si="249"/>
        <v>154.29</v>
      </c>
      <c r="BO1778" s="9">
        <f t="shared" si="250"/>
        <v>1.73</v>
      </c>
      <c r="BP1778" s="9">
        <f t="shared" si="251"/>
        <v>0</v>
      </c>
    </row>
    <row r="1779" spans="1:68">
      <c r="A1779" s="6">
        <v>44866</v>
      </c>
      <c r="B1779" s="7">
        <v>3122</v>
      </c>
      <c r="C1779" s="8">
        <v>1283.4100000000001</v>
      </c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>
        <v>2.31</v>
      </c>
      <c r="O1779" s="8"/>
      <c r="P1779" s="8"/>
      <c r="Q1779" s="11">
        <v>2.31</v>
      </c>
      <c r="R1779" s="11"/>
      <c r="S1779" s="8">
        <v>5.27</v>
      </c>
      <c r="T1779" s="8"/>
      <c r="U1779" s="8">
        <v>12.86</v>
      </c>
      <c r="V1779" s="8"/>
      <c r="W1779" s="8"/>
      <c r="X1779" s="8"/>
      <c r="Y1779" s="8"/>
      <c r="Z1779" s="8"/>
      <c r="AA1779" s="8"/>
      <c r="AB1779" s="8"/>
      <c r="AC1779" s="8">
        <v>5.15</v>
      </c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11"/>
      <c r="AQ1779" s="8"/>
      <c r="AR1779" s="8"/>
      <c r="AS1779" s="8"/>
      <c r="AT1779" s="8">
        <v>569.19000000000005</v>
      </c>
      <c r="AU1779" s="8"/>
      <c r="AV1779" s="8">
        <v>43.76</v>
      </c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>
        <v>41.79</v>
      </c>
      <c r="BH1779" s="9">
        <f t="shared" si="243"/>
        <v>1283.4100000000001</v>
      </c>
      <c r="BI1779" s="9">
        <f t="shared" si="244"/>
        <v>4.62</v>
      </c>
      <c r="BJ1779" s="9">
        <f t="shared" si="245"/>
        <v>5.27</v>
      </c>
      <c r="BK1779" s="9">
        <f t="shared" si="246"/>
        <v>12.86</v>
      </c>
      <c r="BL1779" s="9">
        <f t="shared" si="247"/>
        <v>0</v>
      </c>
      <c r="BM1779" s="9">
        <f t="shared" si="248"/>
        <v>5.15</v>
      </c>
      <c r="BN1779" s="9">
        <f t="shared" si="249"/>
        <v>569.19000000000005</v>
      </c>
      <c r="BO1779" s="9">
        <f t="shared" si="250"/>
        <v>43.76</v>
      </c>
      <c r="BP1779" s="9">
        <f t="shared" si="251"/>
        <v>0</v>
      </c>
    </row>
    <row r="1780" spans="1:68">
      <c r="A1780" s="6">
        <v>44866</v>
      </c>
      <c r="B1780" s="7">
        <v>3117</v>
      </c>
      <c r="C1780" s="8">
        <v>735.62</v>
      </c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11">
        <v>2.08</v>
      </c>
      <c r="R1780" s="11"/>
      <c r="S1780" s="8">
        <v>2.73</v>
      </c>
      <c r="T1780" s="8"/>
      <c r="U1780" s="8">
        <v>7.35</v>
      </c>
      <c r="V1780" s="8"/>
      <c r="W1780" s="8"/>
      <c r="X1780" s="8"/>
      <c r="Y1780" s="8"/>
      <c r="Z1780" s="8"/>
      <c r="AA1780" s="8"/>
      <c r="AB1780" s="8"/>
      <c r="AC1780" s="8">
        <v>2.95</v>
      </c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11"/>
      <c r="AQ1780" s="8"/>
      <c r="AR1780" s="8"/>
      <c r="AS1780" s="8"/>
      <c r="AT1780" s="8">
        <v>465.38</v>
      </c>
      <c r="AU1780" s="8"/>
      <c r="AV1780" s="8">
        <v>18.440000000000001</v>
      </c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>
        <v>35.29</v>
      </c>
      <c r="BH1780" s="9">
        <f t="shared" si="243"/>
        <v>735.62</v>
      </c>
      <c r="BI1780" s="9">
        <f t="shared" si="244"/>
        <v>2.08</v>
      </c>
      <c r="BJ1780" s="9">
        <f t="shared" si="245"/>
        <v>2.73</v>
      </c>
      <c r="BK1780" s="9">
        <f t="shared" si="246"/>
        <v>7.35</v>
      </c>
      <c r="BL1780" s="9">
        <f t="shared" si="247"/>
        <v>0</v>
      </c>
      <c r="BM1780" s="9">
        <f t="shared" si="248"/>
        <v>2.95</v>
      </c>
      <c r="BN1780" s="9">
        <f t="shared" si="249"/>
        <v>465.38</v>
      </c>
      <c r="BO1780" s="9">
        <f t="shared" si="250"/>
        <v>18.440000000000001</v>
      </c>
      <c r="BP1780" s="9">
        <f t="shared" si="251"/>
        <v>0</v>
      </c>
    </row>
    <row r="1781" spans="1:68">
      <c r="A1781" s="6">
        <v>44866</v>
      </c>
      <c r="B1781" s="7">
        <v>3139</v>
      </c>
      <c r="C1781" s="8">
        <v>1562.92</v>
      </c>
      <c r="D1781" s="8"/>
      <c r="E1781" s="8"/>
      <c r="F1781" s="8"/>
      <c r="G1781" s="8"/>
      <c r="H1781" s="8">
        <v>654.49</v>
      </c>
      <c r="I1781" s="8"/>
      <c r="J1781" s="8"/>
      <c r="K1781" s="8"/>
      <c r="L1781" s="8"/>
      <c r="M1781" s="8"/>
      <c r="N1781" s="8"/>
      <c r="O1781" s="8"/>
      <c r="P1781" s="8"/>
      <c r="Q1781" s="11">
        <v>3.54</v>
      </c>
      <c r="R1781" s="11"/>
      <c r="S1781" s="8">
        <v>6.89</v>
      </c>
      <c r="T1781" s="8"/>
      <c r="U1781" s="8">
        <v>23.2</v>
      </c>
      <c r="V1781" s="8"/>
      <c r="W1781" s="8"/>
      <c r="X1781" s="8"/>
      <c r="Y1781" s="8"/>
      <c r="Z1781" s="8"/>
      <c r="AA1781" s="8"/>
      <c r="AB1781" s="8"/>
      <c r="AC1781" s="8">
        <v>7.67</v>
      </c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11"/>
      <c r="AQ1781" s="8"/>
      <c r="AR1781" s="8"/>
      <c r="AS1781" s="8"/>
      <c r="AT1781" s="8">
        <v>1135.6099999999999</v>
      </c>
      <c r="AU1781" s="8"/>
      <c r="AV1781" s="8">
        <v>38.35</v>
      </c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>
        <v>82.46</v>
      </c>
      <c r="BH1781" s="9">
        <f t="shared" si="243"/>
        <v>2217.41</v>
      </c>
      <c r="BI1781" s="9">
        <f t="shared" si="244"/>
        <v>3.54</v>
      </c>
      <c r="BJ1781" s="9">
        <f t="shared" si="245"/>
        <v>6.89</v>
      </c>
      <c r="BK1781" s="9">
        <f t="shared" si="246"/>
        <v>23.2</v>
      </c>
      <c r="BL1781" s="9">
        <f t="shared" si="247"/>
        <v>0</v>
      </c>
      <c r="BM1781" s="9">
        <f t="shared" si="248"/>
        <v>7.67</v>
      </c>
      <c r="BN1781" s="9">
        <f t="shared" si="249"/>
        <v>1135.6099999999999</v>
      </c>
      <c r="BO1781" s="9">
        <f t="shared" si="250"/>
        <v>38.35</v>
      </c>
      <c r="BP1781" s="9">
        <f t="shared" si="251"/>
        <v>0</v>
      </c>
    </row>
    <row r="1782" spans="1:68">
      <c r="A1782" s="6">
        <v>44867</v>
      </c>
      <c r="B1782" s="7">
        <v>3602</v>
      </c>
      <c r="C1782" s="8">
        <v>570.41999999999996</v>
      </c>
      <c r="D1782" s="8"/>
      <c r="E1782" s="8"/>
      <c r="F1782" s="8"/>
      <c r="G1782" s="8">
        <v>860.34</v>
      </c>
      <c r="H1782" s="8"/>
      <c r="I1782" s="8"/>
      <c r="J1782" s="8"/>
      <c r="K1782" s="8"/>
      <c r="L1782" s="8"/>
      <c r="M1782" s="8">
        <f>469*16.62/1000</f>
        <v>7.7947800000000003</v>
      </c>
      <c r="N1782" s="8"/>
      <c r="O1782" s="8"/>
      <c r="P1782" s="8"/>
      <c r="Q1782" s="11"/>
      <c r="R1782" s="11"/>
      <c r="S1782" s="8">
        <v>6.97</v>
      </c>
      <c r="T1782" s="8"/>
      <c r="U1782" s="8">
        <v>11.66</v>
      </c>
      <c r="V1782" s="8">
        <f>855*16.62/1000</f>
        <v>14.210100000000001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11"/>
      <c r="AQ1782" s="8"/>
      <c r="AR1782" s="8"/>
      <c r="AS1782" s="8"/>
      <c r="AT1782" s="8">
        <v>582.94000000000005</v>
      </c>
      <c r="AU1782" s="8"/>
      <c r="AV1782" s="8"/>
      <c r="AW1782" s="8">
        <v>37.590000000000003</v>
      </c>
      <c r="AX1782" s="8"/>
      <c r="AY1782" s="8"/>
      <c r="AZ1782" s="8"/>
      <c r="BA1782" s="8"/>
      <c r="BB1782" s="8"/>
      <c r="BC1782" s="8"/>
      <c r="BD1782" s="8"/>
      <c r="BE1782" s="8"/>
      <c r="BF1782" s="8">
        <v>46.56</v>
      </c>
      <c r="BG1782" s="8">
        <v>43.97</v>
      </c>
      <c r="BH1782" s="9">
        <f t="shared" si="243"/>
        <v>1430.76</v>
      </c>
      <c r="BI1782" s="9">
        <f t="shared" si="244"/>
        <v>7.7947800000000003</v>
      </c>
      <c r="BJ1782" s="9">
        <f t="shared" si="245"/>
        <v>6.97</v>
      </c>
      <c r="BK1782" s="9">
        <f t="shared" si="246"/>
        <v>25.870100000000001</v>
      </c>
      <c r="BL1782" s="9">
        <f t="shared" si="247"/>
        <v>0</v>
      </c>
      <c r="BM1782" s="9">
        <f t="shared" si="248"/>
        <v>0</v>
      </c>
      <c r="BN1782" s="9">
        <f t="shared" si="249"/>
        <v>582.94000000000005</v>
      </c>
      <c r="BO1782" s="9">
        <f t="shared" si="250"/>
        <v>37.590000000000003</v>
      </c>
      <c r="BP1782" s="9">
        <f t="shared" si="251"/>
        <v>46.56</v>
      </c>
    </row>
    <row r="1783" spans="1:68">
      <c r="A1783" s="6">
        <v>44867</v>
      </c>
      <c r="B1783" s="7">
        <v>3101</v>
      </c>
      <c r="C1783" s="8">
        <v>158.27000000000001</v>
      </c>
      <c r="D1783" s="8"/>
      <c r="E1783" s="8"/>
      <c r="F1783" s="8"/>
      <c r="G1783" s="8"/>
      <c r="H1783" s="8"/>
      <c r="I1783" s="8"/>
      <c r="J1783" s="8"/>
      <c r="K1783" s="8"/>
      <c r="L1783" s="8"/>
      <c r="M1783" s="8">
        <v>0.36</v>
      </c>
      <c r="N1783" s="8"/>
      <c r="O1783" s="8"/>
      <c r="P1783" s="8"/>
      <c r="Q1783" s="11"/>
      <c r="R1783" s="11"/>
      <c r="S1783" s="8">
        <v>0.95</v>
      </c>
      <c r="T1783" s="8"/>
      <c r="U1783" s="8">
        <v>2.54</v>
      </c>
      <c r="V1783" s="8"/>
      <c r="W1783" s="8"/>
      <c r="X1783" s="8"/>
      <c r="Y1783" s="8"/>
      <c r="Z1783" s="8"/>
      <c r="AA1783" s="8"/>
      <c r="AB1783" s="8"/>
      <c r="AC1783" s="8">
        <v>0.63</v>
      </c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11"/>
      <c r="AQ1783" s="8"/>
      <c r="AR1783" s="8"/>
      <c r="AS1783" s="8"/>
      <c r="AT1783" s="8">
        <v>106.48</v>
      </c>
      <c r="AU1783" s="8"/>
      <c r="AV1783" s="8"/>
      <c r="AW1783" s="8">
        <v>3.38</v>
      </c>
      <c r="AX1783" s="8"/>
      <c r="AY1783" s="8"/>
      <c r="AZ1783" s="8"/>
      <c r="BA1783" s="8"/>
      <c r="BB1783" s="8"/>
      <c r="BC1783" s="8"/>
      <c r="BD1783" s="8"/>
      <c r="BE1783" s="8"/>
      <c r="BF1783" s="8">
        <v>20.62</v>
      </c>
      <c r="BG1783" s="8">
        <v>8.16</v>
      </c>
      <c r="BH1783" s="9">
        <f t="shared" si="243"/>
        <v>158.27000000000001</v>
      </c>
      <c r="BI1783" s="9">
        <f t="shared" si="244"/>
        <v>0.36</v>
      </c>
      <c r="BJ1783" s="9">
        <f t="shared" si="245"/>
        <v>0.95</v>
      </c>
      <c r="BK1783" s="9">
        <f t="shared" si="246"/>
        <v>2.54</v>
      </c>
      <c r="BL1783" s="9">
        <f t="shared" si="247"/>
        <v>0</v>
      </c>
      <c r="BM1783" s="9">
        <f t="shared" si="248"/>
        <v>0.63</v>
      </c>
      <c r="BN1783" s="9">
        <f t="shared" si="249"/>
        <v>106.48</v>
      </c>
      <c r="BO1783" s="9">
        <f t="shared" si="250"/>
        <v>3.38</v>
      </c>
      <c r="BP1783" s="9">
        <f t="shared" si="251"/>
        <v>20.62</v>
      </c>
    </row>
    <row r="1784" spans="1:68">
      <c r="A1784" s="6">
        <v>44867</v>
      </c>
      <c r="B1784" s="7">
        <v>3141</v>
      </c>
      <c r="C1784" s="8">
        <v>1264.81</v>
      </c>
      <c r="D1784" s="8">
        <v>222.84</v>
      </c>
      <c r="E1784" s="8"/>
      <c r="F1784" s="8"/>
      <c r="G1784" s="8"/>
      <c r="H1784" s="8"/>
      <c r="I1784" s="8"/>
      <c r="J1784" s="8"/>
      <c r="K1784" s="8"/>
      <c r="L1784" s="8"/>
      <c r="M1784" s="8">
        <v>4.0599999999999996</v>
      </c>
      <c r="N1784" s="8"/>
      <c r="O1784" s="8"/>
      <c r="P1784" s="8"/>
      <c r="Q1784" s="11"/>
      <c r="R1784" s="11"/>
      <c r="S1784" s="8">
        <v>6.99</v>
      </c>
      <c r="T1784" s="8"/>
      <c r="U1784" s="8">
        <v>22.3</v>
      </c>
      <c r="V1784" s="8"/>
      <c r="W1784" s="8"/>
      <c r="X1784" s="8"/>
      <c r="Y1784" s="8"/>
      <c r="Z1784" s="8"/>
      <c r="AA1784" s="8"/>
      <c r="AB1784" s="8"/>
      <c r="AC1784" s="8">
        <v>5.95</v>
      </c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11"/>
      <c r="AQ1784" s="8"/>
      <c r="AR1784" s="8"/>
      <c r="AS1784" s="8"/>
      <c r="AT1784" s="8">
        <v>983.28</v>
      </c>
      <c r="AU1784" s="8"/>
      <c r="AV1784" s="8"/>
      <c r="AW1784" s="8"/>
      <c r="AX1784" s="8"/>
      <c r="AY1784" s="8"/>
      <c r="AZ1784" s="8"/>
      <c r="BA1784" s="8">
        <v>34.04</v>
      </c>
      <c r="BB1784" s="8"/>
      <c r="BC1784" s="8"/>
      <c r="BD1784" s="8"/>
      <c r="BE1784" s="8"/>
      <c r="BF1784" s="8">
        <v>103.9</v>
      </c>
      <c r="BG1784" s="8">
        <v>77.260000000000005</v>
      </c>
      <c r="BH1784" s="9">
        <f t="shared" si="243"/>
        <v>1487.6499999999999</v>
      </c>
      <c r="BI1784" s="9">
        <f t="shared" si="244"/>
        <v>4.0599999999999996</v>
      </c>
      <c r="BJ1784" s="9">
        <f t="shared" si="245"/>
        <v>6.99</v>
      </c>
      <c r="BK1784" s="9">
        <f t="shared" si="246"/>
        <v>22.3</v>
      </c>
      <c r="BL1784" s="9">
        <f t="shared" si="247"/>
        <v>0</v>
      </c>
      <c r="BM1784" s="9">
        <f t="shared" si="248"/>
        <v>5.95</v>
      </c>
      <c r="BN1784" s="9">
        <f t="shared" si="249"/>
        <v>983.28</v>
      </c>
      <c r="BO1784" s="9">
        <f t="shared" si="250"/>
        <v>34.04</v>
      </c>
      <c r="BP1784" s="9">
        <f t="shared" si="251"/>
        <v>103.9</v>
      </c>
    </row>
    <row r="1785" spans="1:68">
      <c r="A1785" s="6">
        <v>44867</v>
      </c>
      <c r="B1785" s="7">
        <v>3134</v>
      </c>
      <c r="C1785" s="8">
        <v>2042.71</v>
      </c>
      <c r="D1785" s="8">
        <v>287.19</v>
      </c>
      <c r="E1785" s="8"/>
      <c r="F1785" s="8"/>
      <c r="G1785" s="8"/>
      <c r="H1785" s="8">
        <v>966.2</v>
      </c>
      <c r="I1785" s="8"/>
      <c r="J1785" s="8"/>
      <c r="K1785" s="8"/>
      <c r="L1785" s="8"/>
      <c r="M1785" s="8">
        <v>5.8</v>
      </c>
      <c r="N1785" s="8"/>
      <c r="O1785" s="8"/>
      <c r="P1785" s="8"/>
      <c r="Q1785" s="11"/>
      <c r="R1785" s="11"/>
      <c r="S1785" s="8">
        <v>13.19</v>
      </c>
      <c r="T1785" s="8"/>
      <c r="U1785" s="8">
        <v>37.25</v>
      </c>
      <c r="V1785" s="8"/>
      <c r="W1785" s="8"/>
      <c r="X1785" s="8"/>
      <c r="Y1785" s="8"/>
      <c r="Z1785" s="8"/>
      <c r="AA1785" s="8"/>
      <c r="AB1785" s="8"/>
      <c r="AC1785" s="8">
        <v>11.46</v>
      </c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11"/>
      <c r="AQ1785" s="8"/>
      <c r="AR1785" s="8"/>
      <c r="AS1785" s="8"/>
      <c r="AT1785" s="8">
        <v>2024.49</v>
      </c>
      <c r="AU1785" s="8"/>
      <c r="AV1785" s="8"/>
      <c r="AW1785" s="8"/>
      <c r="AX1785" s="8"/>
      <c r="AY1785" s="8">
        <f>1416*20.48/1000</f>
        <v>28.999680000000001</v>
      </c>
      <c r="AZ1785" s="8"/>
      <c r="BA1785" s="8"/>
      <c r="BB1785" s="8"/>
      <c r="BC1785" s="8"/>
      <c r="BD1785" s="8"/>
      <c r="BE1785" s="8"/>
      <c r="BF1785" s="8">
        <v>129.01</v>
      </c>
      <c r="BG1785" s="8">
        <v>152</v>
      </c>
      <c r="BH1785" s="9">
        <f t="shared" si="243"/>
        <v>3296.1000000000004</v>
      </c>
      <c r="BI1785" s="9">
        <f t="shared" si="244"/>
        <v>5.8</v>
      </c>
      <c r="BJ1785" s="9">
        <f t="shared" si="245"/>
        <v>13.19</v>
      </c>
      <c r="BK1785" s="9">
        <f t="shared" si="246"/>
        <v>37.25</v>
      </c>
      <c r="BL1785" s="9">
        <f t="shared" si="247"/>
        <v>0</v>
      </c>
      <c r="BM1785" s="9">
        <f t="shared" si="248"/>
        <v>11.46</v>
      </c>
      <c r="BN1785" s="9">
        <f t="shared" si="249"/>
        <v>2024.49</v>
      </c>
      <c r="BO1785" s="9">
        <f t="shared" si="250"/>
        <v>28.999680000000001</v>
      </c>
      <c r="BP1785" s="9">
        <f t="shared" si="251"/>
        <v>129.01</v>
      </c>
    </row>
    <row r="1786" spans="1:68">
      <c r="A1786" s="6">
        <v>44867</v>
      </c>
      <c r="B1786" s="7">
        <v>3136</v>
      </c>
      <c r="C1786" s="8">
        <v>1222.55</v>
      </c>
      <c r="D1786" s="8"/>
      <c r="E1786" s="8"/>
      <c r="F1786" s="8"/>
      <c r="G1786" s="8"/>
      <c r="H1786" s="8">
        <v>507.97</v>
      </c>
      <c r="I1786" s="8"/>
      <c r="J1786" s="8"/>
      <c r="K1786" s="8"/>
      <c r="L1786" s="8"/>
      <c r="M1786" s="8">
        <v>1.84</v>
      </c>
      <c r="N1786" s="8"/>
      <c r="O1786" s="8"/>
      <c r="P1786" s="8"/>
      <c r="Q1786" s="11"/>
      <c r="R1786" s="11"/>
      <c r="S1786" s="8">
        <v>7.55</v>
      </c>
      <c r="T1786" s="8"/>
      <c r="U1786" s="8">
        <v>19.57</v>
      </c>
      <c r="V1786" s="8"/>
      <c r="W1786" s="8"/>
      <c r="X1786" s="8"/>
      <c r="Y1786" s="8"/>
      <c r="Z1786" s="8"/>
      <c r="AA1786" s="8"/>
      <c r="AB1786" s="8"/>
      <c r="AC1786" s="8">
        <v>6.02</v>
      </c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11"/>
      <c r="AQ1786" s="8"/>
      <c r="AR1786" s="8"/>
      <c r="AS1786" s="8"/>
      <c r="AT1786" s="8">
        <v>977.58</v>
      </c>
      <c r="AU1786" s="8"/>
      <c r="AV1786" s="8"/>
      <c r="AW1786" s="8"/>
      <c r="AX1786" s="8"/>
      <c r="AY1786" s="8"/>
      <c r="AZ1786" s="8"/>
      <c r="BA1786" s="8">
        <v>14.89</v>
      </c>
      <c r="BB1786" s="8"/>
      <c r="BC1786" s="8"/>
      <c r="BD1786" s="8"/>
      <c r="BE1786" s="8"/>
      <c r="BF1786" s="8">
        <v>60.26</v>
      </c>
      <c r="BG1786" s="8">
        <v>73.790000000000006</v>
      </c>
      <c r="BH1786" s="9">
        <f t="shared" si="243"/>
        <v>1730.52</v>
      </c>
      <c r="BI1786" s="9">
        <f t="shared" si="244"/>
        <v>1.84</v>
      </c>
      <c r="BJ1786" s="9">
        <f t="shared" si="245"/>
        <v>7.55</v>
      </c>
      <c r="BK1786" s="9">
        <f t="shared" si="246"/>
        <v>19.57</v>
      </c>
      <c r="BL1786" s="9">
        <f t="shared" si="247"/>
        <v>0</v>
      </c>
      <c r="BM1786" s="9">
        <f t="shared" si="248"/>
        <v>6.02</v>
      </c>
      <c r="BN1786" s="9">
        <f t="shared" si="249"/>
        <v>977.58</v>
      </c>
      <c r="BO1786" s="9">
        <f t="shared" si="250"/>
        <v>14.89</v>
      </c>
      <c r="BP1786" s="9">
        <f t="shared" si="251"/>
        <v>60.26</v>
      </c>
    </row>
    <row r="1787" spans="1:68">
      <c r="A1787" s="6">
        <v>44867</v>
      </c>
      <c r="B1787" s="7">
        <v>3106</v>
      </c>
      <c r="C1787" s="8">
        <v>6193.49</v>
      </c>
      <c r="D1787" s="8"/>
      <c r="E1787" s="8"/>
      <c r="F1787" s="8"/>
      <c r="G1787" s="8"/>
      <c r="H1787" s="8"/>
      <c r="I1787" s="8"/>
      <c r="J1787" s="8"/>
      <c r="K1787" s="8"/>
      <c r="L1787" s="8"/>
      <c r="M1787" s="8">
        <v>15.49</v>
      </c>
      <c r="N1787" s="8"/>
      <c r="O1787" s="8"/>
      <c r="P1787" s="8"/>
      <c r="Q1787" s="11"/>
      <c r="R1787" s="11"/>
      <c r="S1787" s="8">
        <v>18.63</v>
      </c>
      <c r="T1787" s="8"/>
      <c r="U1787" s="8">
        <v>78.81</v>
      </c>
      <c r="V1787" s="8"/>
      <c r="W1787" s="8"/>
      <c r="X1787" s="8"/>
      <c r="Y1787" s="8"/>
      <c r="Z1787" s="8"/>
      <c r="AA1787" s="8"/>
      <c r="AB1787" s="8"/>
      <c r="AC1787" s="8">
        <v>15.49</v>
      </c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11"/>
      <c r="AQ1787" s="8"/>
      <c r="AR1787" s="8"/>
      <c r="AS1787" s="8"/>
      <c r="AT1787" s="8">
        <v>3524.46</v>
      </c>
      <c r="AU1787" s="8"/>
      <c r="AV1787" s="8"/>
      <c r="AW1787" s="8"/>
      <c r="AX1787" s="8">
        <v>7.75</v>
      </c>
      <c r="AY1787" s="8"/>
      <c r="AZ1787" s="8"/>
      <c r="BA1787" s="8"/>
      <c r="BB1787" s="8"/>
      <c r="BC1787" s="8"/>
      <c r="BD1787" s="8"/>
      <c r="BE1787" s="8"/>
      <c r="BF1787" s="8"/>
      <c r="BG1787" s="8">
        <v>265.99</v>
      </c>
      <c r="BH1787" s="9">
        <f t="shared" si="243"/>
        <v>6193.49</v>
      </c>
      <c r="BI1787" s="9">
        <f t="shared" si="244"/>
        <v>15.49</v>
      </c>
      <c r="BJ1787" s="9">
        <f t="shared" si="245"/>
        <v>18.63</v>
      </c>
      <c r="BK1787" s="9">
        <f t="shared" si="246"/>
        <v>78.81</v>
      </c>
      <c r="BL1787" s="9">
        <f t="shared" si="247"/>
        <v>0</v>
      </c>
      <c r="BM1787" s="9">
        <f t="shared" si="248"/>
        <v>15.49</v>
      </c>
      <c r="BN1787" s="9">
        <f t="shared" si="249"/>
        <v>3524.46</v>
      </c>
      <c r="BO1787" s="9">
        <f t="shared" si="250"/>
        <v>7.75</v>
      </c>
      <c r="BP1787" s="9">
        <f t="shared" si="251"/>
        <v>0</v>
      </c>
    </row>
    <row r="1788" spans="1:68">
      <c r="A1788" s="6">
        <v>44867</v>
      </c>
      <c r="B1788" s="7">
        <v>3083</v>
      </c>
      <c r="C1788" s="8"/>
      <c r="D1788" s="8">
        <v>739.07</v>
      </c>
      <c r="E1788" s="8"/>
      <c r="F1788" s="8"/>
      <c r="G1788" s="8"/>
      <c r="H1788" s="8"/>
      <c r="I1788" s="8">
        <v>1723.04</v>
      </c>
      <c r="J1788" s="8"/>
      <c r="K1788" s="8"/>
      <c r="L1788" s="8"/>
      <c r="M1788" s="8"/>
      <c r="N1788" s="8">
        <v>15.52</v>
      </c>
      <c r="O1788" s="8"/>
      <c r="P1788" s="8"/>
      <c r="Q1788" s="11"/>
      <c r="R1788" s="11"/>
      <c r="S1788" s="8">
        <v>1.72</v>
      </c>
      <c r="T1788" s="8"/>
      <c r="U1788" s="8"/>
      <c r="V1788" s="8"/>
      <c r="W1788" s="8">
        <v>19.72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>
        <v>9.83</v>
      </c>
      <c r="AN1788" s="8">
        <f>1924*18.23/1000</f>
        <v>35.074520000000007</v>
      </c>
      <c r="AO1788" s="8"/>
      <c r="AP1788" s="11"/>
      <c r="AQ1788" s="8"/>
      <c r="AR1788" s="8">
        <f>3384*18.23/1000</f>
        <v>61.69032</v>
      </c>
      <c r="AS1788" s="8"/>
      <c r="AT1788" s="8">
        <v>1156.57</v>
      </c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>
        <v>91.85</v>
      </c>
      <c r="BH1788" s="9">
        <f t="shared" si="243"/>
        <v>2462.11</v>
      </c>
      <c r="BI1788" s="9">
        <f t="shared" si="244"/>
        <v>15.52</v>
      </c>
      <c r="BJ1788" s="9">
        <f t="shared" si="245"/>
        <v>1.72</v>
      </c>
      <c r="BK1788" s="9">
        <f t="shared" si="246"/>
        <v>19.72</v>
      </c>
      <c r="BL1788" s="9">
        <f t="shared" si="247"/>
        <v>0</v>
      </c>
      <c r="BM1788" s="9">
        <f t="shared" si="248"/>
        <v>106.59484</v>
      </c>
      <c r="BN1788" s="9">
        <f t="shared" si="249"/>
        <v>1156.57</v>
      </c>
      <c r="BO1788" s="9">
        <f t="shared" si="250"/>
        <v>0</v>
      </c>
      <c r="BP1788" s="9">
        <f t="shared" si="251"/>
        <v>0</v>
      </c>
    </row>
    <row r="1789" spans="1:68">
      <c r="A1789" s="6">
        <v>44867</v>
      </c>
      <c r="B1789" s="7">
        <v>3029</v>
      </c>
      <c r="C1789" s="8"/>
      <c r="D1789" s="8">
        <v>463.1</v>
      </c>
      <c r="E1789" s="8"/>
      <c r="F1789" s="8">
        <v>326.98</v>
      </c>
      <c r="G1789" s="8"/>
      <c r="H1789" s="8"/>
      <c r="I1789" s="8">
        <v>1935.09</v>
      </c>
      <c r="J1789" s="8"/>
      <c r="K1789" s="8"/>
      <c r="L1789" s="8"/>
      <c r="M1789" s="8"/>
      <c r="N1789" s="8">
        <v>21</v>
      </c>
      <c r="O1789" s="8"/>
      <c r="P1789" s="8"/>
      <c r="Q1789" s="11"/>
      <c r="R1789" s="11"/>
      <c r="S1789" s="8">
        <v>1.64</v>
      </c>
      <c r="T1789" s="8"/>
      <c r="U1789" s="8"/>
      <c r="V1789" s="8"/>
      <c r="W1789" s="8">
        <v>27.31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>
        <v>9.52</v>
      </c>
      <c r="AN1789" s="8">
        <f>753*18.18/1000</f>
        <v>13.689539999999999</v>
      </c>
      <c r="AO1789" s="8"/>
      <c r="AP1789" s="11"/>
      <c r="AQ1789" s="8"/>
      <c r="AR1789" s="8">
        <f>4510*18.18/1000</f>
        <v>81.991799999999998</v>
      </c>
      <c r="AS1789" s="8"/>
      <c r="AT1789" s="8">
        <v>1037</v>
      </c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>
        <v>72.42</v>
      </c>
      <c r="BH1789" s="9">
        <f t="shared" si="243"/>
        <v>2725.17</v>
      </c>
      <c r="BI1789" s="9">
        <f t="shared" si="244"/>
        <v>21</v>
      </c>
      <c r="BJ1789" s="9">
        <f t="shared" si="245"/>
        <v>1.64</v>
      </c>
      <c r="BK1789" s="9">
        <f t="shared" si="246"/>
        <v>27.31</v>
      </c>
      <c r="BL1789" s="9">
        <f t="shared" si="247"/>
        <v>0</v>
      </c>
      <c r="BM1789" s="9">
        <f t="shared" si="248"/>
        <v>105.20133999999999</v>
      </c>
      <c r="BN1789" s="9">
        <f t="shared" si="249"/>
        <v>1037</v>
      </c>
      <c r="BO1789" s="9">
        <f t="shared" si="250"/>
        <v>0</v>
      </c>
      <c r="BP1789" s="9">
        <f t="shared" si="251"/>
        <v>0</v>
      </c>
    </row>
    <row r="1790" spans="1:68">
      <c r="A1790" s="6">
        <v>44867</v>
      </c>
      <c r="B1790" s="7">
        <v>3200</v>
      </c>
      <c r="C1790" s="8">
        <v>2292.16</v>
      </c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>
        <v>5.72</v>
      </c>
      <c r="P1790" s="8"/>
      <c r="Q1790" s="11"/>
      <c r="R1790" s="11"/>
      <c r="S1790" s="8">
        <v>8.94</v>
      </c>
      <c r="T1790" s="8"/>
      <c r="U1790" s="8">
        <v>34.380000000000003</v>
      </c>
      <c r="V1790" s="8"/>
      <c r="W1790" s="8"/>
      <c r="X1790" s="8"/>
      <c r="Y1790" s="8"/>
      <c r="Z1790" s="8">
        <v>481.58</v>
      </c>
      <c r="AA1790" s="8"/>
      <c r="AB1790" s="8"/>
      <c r="AC1790" s="8"/>
      <c r="AD1790" s="8"/>
      <c r="AE1790" s="8"/>
      <c r="AF1790" s="8">
        <v>114.04</v>
      </c>
      <c r="AG1790" s="8"/>
      <c r="AH1790" s="8"/>
      <c r="AI1790" s="8"/>
      <c r="AJ1790" s="8"/>
      <c r="AK1790" s="8"/>
      <c r="AL1790" s="8"/>
      <c r="AM1790" s="8"/>
      <c r="AN1790" s="8"/>
      <c r="AO1790" s="8"/>
      <c r="AP1790" s="11"/>
      <c r="AQ1790" s="8">
        <f>1478*22.93/1000</f>
        <v>33.890540000000001</v>
      </c>
      <c r="AR1790" s="8"/>
      <c r="AS1790" s="8"/>
      <c r="AT1790" s="8">
        <v>1569.04</v>
      </c>
      <c r="AU1790" s="8"/>
      <c r="AV1790" s="8"/>
      <c r="AW1790" s="8">
        <v>6.68</v>
      </c>
      <c r="AX1790" s="8"/>
      <c r="AY1790" s="8"/>
      <c r="AZ1790" s="8"/>
      <c r="BA1790" s="8"/>
      <c r="BB1790" s="8"/>
      <c r="BC1790" s="8"/>
      <c r="BD1790" s="8"/>
      <c r="BE1790" s="8"/>
      <c r="BF1790" s="8">
        <v>110.08</v>
      </c>
      <c r="BG1790" s="8">
        <v>113.6</v>
      </c>
      <c r="BH1790" s="9">
        <f t="shared" si="243"/>
        <v>2292.16</v>
      </c>
      <c r="BI1790" s="9">
        <f t="shared" si="244"/>
        <v>5.72</v>
      </c>
      <c r="BJ1790" s="9">
        <f t="shared" si="245"/>
        <v>8.94</v>
      </c>
      <c r="BK1790" s="9">
        <f t="shared" si="246"/>
        <v>34.380000000000003</v>
      </c>
      <c r="BL1790" s="9">
        <f t="shared" si="247"/>
        <v>481.58</v>
      </c>
      <c r="BM1790" s="9">
        <f t="shared" si="248"/>
        <v>147.93054000000001</v>
      </c>
      <c r="BN1790" s="9">
        <f t="shared" si="249"/>
        <v>1569.04</v>
      </c>
      <c r="BO1790" s="9">
        <f t="shared" si="250"/>
        <v>6.68</v>
      </c>
      <c r="BP1790" s="9">
        <f t="shared" si="251"/>
        <v>110.08</v>
      </c>
    </row>
    <row r="1791" spans="1:68">
      <c r="A1791" s="6">
        <v>44868</v>
      </c>
      <c r="B1791" s="7">
        <v>3141</v>
      </c>
      <c r="C1791" s="8">
        <v>2496.14</v>
      </c>
      <c r="D1791" s="8">
        <v>438.85</v>
      </c>
      <c r="E1791" s="8"/>
      <c r="F1791" s="8"/>
      <c r="G1791" s="8"/>
      <c r="H1791" s="8"/>
      <c r="I1791" s="8"/>
      <c r="J1791" s="8"/>
      <c r="K1791" s="8"/>
      <c r="L1791" s="8"/>
      <c r="M1791" s="8">
        <v>7.92</v>
      </c>
      <c r="N1791" s="8"/>
      <c r="O1791" s="8"/>
      <c r="P1791" s="8"/>
      <c r="Q1791" s="11"/>
      <c r="R1791" s="11"/>
      <c r="S1791" s="8">
        <v>13.74</v>
      </c>
      <c r="T1791" s="8"/>
      <c r="U1791" s="8">
        <v>43.87</v>
      </c>
      <c r="V1791" s="8"/>
      <c r="W1791" s="8"/>
      <c r="X1791" s="8"/>
      <c r="Y1791" s="8"/>
      <c r="Z1791" s="8"/>
      <c r="AA1791" s="8"/>
      <c r="AB1791" s="8"/>
      <c r="AC1791" s="8">
        <v>11.7</v>
      </c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11"/>
      <c r="AQ1791" s="8"/>
      <c r="AR1791" s="8"/>
      <c r="AS1791" s="8"/>
      <c r="AT1791" s="8">
        <v>1925.38</v>
      </c>
      <c r="AU1791" s="8"/>
      <c r="AV1791" s="8"/>
      <c r="AW1791" s="8"/>
      <c r="AX1791" s="8"/>
      <c r="AY1791" s="8"/>
      <c r="AZ1791" s="8"/>
      <c r="BA1791" s="8">
        <v>66.94</v>
      </c>
      <c r="BB1791" s="8"/>
      <c r="BC1791" s="8"/>
      <c r="BD1791" s="8"/>
      <c r="BE1791" s="8"/>
      <c r="BF1791" s="8">
        <v>204.38</v>
      </c>
      <c r="BG1791" s="8">
        <v>151.58000000000001</v>
      </c>
      <c r="BH1791" s="9">
        <f t="shared" si="243"/>
        <v>2934.99</v>
      </c>
      <c r="BI1791" s="9">
        <f t="shared" si="244"/>
        <v>7.92</v>
      </c>
      <c r="BJ1791" s="9">
        <f t="shared" si="245"/>
        <v>13.74</v>
      </c>
      <c r="BK1791" s="9">
        <f t="shared" si="246"/>
        <v>43.87</v>
      </c>
      <c r="BL1791" s="9">
        <f t="shared" si="247"/>
        <v>0</v>
      </c>
      <c r="BM1791" s="9">
        <f t="shared" si="248"/>
        <v>11.7</v>
      </c>
      <c r="BN1791" s="9">
        <f t="shared" si="249"/>
        <v>1925.38</v>
      </c>
      <c r="BO1791" s="9">
        <f t="shared" si="250"/>
        <v>66.94</v>
      </c>
      <c r="BP1791" s="9">
        <f t="shared" si="251"/>
        <v>204.38</v>
      </c>
    </row>
    <row r="1792" spans="1:68">
      <c r="A1792" s="6">
        <v>44868</v>
      </c>
      <c r="B1792" s="7">
        <v>3106</v>
      </c>
      <c r="C1792" s="8">
        <v>4072.49</v>
      </c>
      <c r="D1792" s="8"/>
      <c r="E1792" s="8"/>
      <c r="F1792" s="8"/>
      <c r="G1792" s="8"/>
      <c r="H1792" s="8"/>
      <c r="I1792" s="8"/>
      <c r="J1792" s="8"/>
      <c r="K1792" s="8"/>
      <c r="L1792" s="8"/>
      <c r="M1792" s="8">
        <v>10.220000000000001</v>
      </c>
      <c r="N1792" s="8"/>
      <c r="O1792" s="8"/>
      <c r="P1792" s="8"/>
      <c r="Q1792" s="11"/>
      <c r="R1792" s="11"/>
      <c r="S1792" s="8">
        <v>12.21</v>
      </c>
      <c r="T1792" s="8"/>
      <c r="U1792" s="8">
        <v>51.83</v>
      </c>
      <c r="V1792" s="8"/>
      <c r="W1792" s="8"/>
      <c r="X1792" s="8"/>
      <c r="Y1792" s="8"/>
      <c r="Z1792" s="8"/>
      <c r="AA1792" s="8"/>
      <c r="AB1792" s="8"/>
      <c r="AC1792" s="8">
        <v>10.19</v>
      </c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11"/>
      <c r="AQ1792" s="8"/>
      <c r="AR1792" s="8"/>
      <c r="AS1792" s="8"/>
      <c r="AT1792" s="8">
        <v>2322.89</v>
      </c>
      <c r="AU1792" s="8"/>
      <c r="AV1792" s="8"/>
      <c r="AW1792" s="8"/>
      <c r="AX1792" s="8">
        <v>5.09</v>
      </c>
      <c r="AY1792" s="8"/>
      <c r="AZ1792" s="8"/>
      <c r="BA1792" s="8"/>
      <c r="BB1792" s="8"/>
      <c r="BC1792" s="8"/>
      <c r="BD1792" s="8"/>
      <c r="BE1792" s="8"/>
      <c r="BF1792" s="8"/>
      <c r="BG1792" s="8">
        <v>175.24</v>
      </c>
      <c r="BH1792" s="9">
        <f t="shared" si="243"/>
        <v>4072.49</v>
      </c>
      <c r="BI1792" s="9">
        <f t="shared" si="244"/>
        <v>10.220000000000001</v>
      </c>
      <c r="BJ1792" s="9">
        <f t="shared" si="245"/>
        <v>12.21</v>
      </c>
      <c r="BK1792" s="9">
        <f t="shared" si="246"/>
        <v>51.83</v>
      </c>
      <c r="BL1792" s="9">
        <f t="shared" si="247"/>
        <v>0</v>
      </c>
      <c r="BM1792" s="9">
        <f t="shared" si="248"/>
        <v>10.19</v>
      </c>
      <c r="BN1792" s="9">
        <f t="shared" si="249"/>
        <v>2322.89</v>
      </c>
      <c r="BO1792" s="9">
        <f t="shared" si="250"/>
        <v>5.09</v>
      </c>
      <c r="BP1792" s="9">
        <f t="shared" si="251"/>
        <v>0</v>
      </c>
    </row>
    <row r="1793" spans="1:68">
      <c r="A1793" s="6">
        <v>44868</v>
      </c>
      <c r="B1793" s="7">
        <v>3409</v>
      </c>
      <c r="C1793" s="8">
        <v>814.72</v>
      </c>
      <c r="D1793" s="8"/>
      <c r="E1793" s="8"/>
      <c r="F1793" s="8"/>
      <c r="G1793" s="8"/>
      <c r="H1793" s="8"/>
      <c r="I1793" s="8"/>
      <c r="J1793" s="8"/>
      <c r="K1793" s="8"/>
      <c r="L1793" s="8"/>
      <c r="M1793" s="8">
        <v>1.77</v>
      </c>
      <c r="N1793" s="8"/>
      <c r="O1793" s="8"/>
      <c r="P1793" s="8"/>
      <c r="Q1793" s="11"/>
      <c r="R1793" s="11"/>
      <c r="S1793" s="8">
        <v>2.04</v>
      </c>
      <c r="T1793" s="8"/>
      <c r="U1793" s="8"/>
      <c r="V1793" s="8"/>
      <c r="W1793" s="8"/>
      <c r="X1793" s="8">
        <f>978*8.18/1000</f>
        <v>8.0000400000000003</v>
      </c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11"/>
      <c r="AQ1793" s="8"/>
      <c r="AR1793" s="8"/>
      <c r="AS1793" s="8"/>
      <c r="AT1793" s="8">
        <v>418.98</v>
      </c>
      <c r="AU1793" s="8"/>
      <c r="AV1793" s="8">
        <v>24.57</v>
      </c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>
        <v>28.82</v>
      </c>
      <c r="BH1793" s="9">
        <f t="shared" si="243"/>
        <v>814.72</v>
      </c>
      <c r="BI1793" s="9">
        <f t="shared" si="244"/>
        <v>1.77</v>
      </c>
      <c r="BJ1793" s="9">
        <f t="shared" si="245"/>
        <v>2.04</v>
      </c>
      <c r="BK1793" s="9">
        <f t="shared" si="246"/>
        <v>8.0000400000000003</v>
      </c>
      <c r="BL1793" s="9">
        <f t="shared" si="247"/>
        <v>0</v>
      </c>
      <c r="BM1793" s="9">
        <f t="shared" si="248"/>
        <v>0</v>
      </c>
      <c r="BN1793" s="9">
        <f t="shared" si="249"/>
        <v>418.98</v>
      </c>
      <c r="BO1793" s="9">
        <f t="shared" si="250"/>
        <v>24.57</v>
      </c>
      <c r="BP1793" s="9">
        <f t="shared" si="251"/>
        <v>0</v>
      </c>
    </row>
    <row r="1794" spans="1:68">
      <c r="A1794" s="6">
        <v>44868</v>
      </c>
      <c r="B1794" s="7">
        <v>3406</v>
      </c>
      <c r="C1794" s="8">
        <v>628.73</v>
      </c>
      <c r="D1794" s="8">
        <v>156.28</v>
      </c>
      <c r="E1794" s="8"/>
      <c r="F1794" s="8"/>
      <c r="G1794" s="8"/>
      <c r="H1794" s="8"/>
      <c r="I1794" s="8"/>
      <c r="J1794" s="8"/>
      <c r="K1794" s="8"/>
      <c r="L1794" s="8"/>
      <c r="M1794" s="8">
        <v>1.61</v>
      </c>
      <c r="N1794" s="8"/>
      <c r="O1794" s="8"/>
      <c r="P1794" s="8"/>
      <c r="Q1794" s="11"/>
      <c r="R1794" s="11"/>
      <c r="S1794" s="8">
        <v>1.81</v>
      </c>
      <c r="T1794" s="8"/>
      <c r="U1794" s="8"/>
      <c r="V1794" s="8"/>
      <c r="W1794" s="8"/>
      <c r="X1794" s="8">
        <f>1204*7.85/1000</f>
        <v>9.4513999999999996</v>
      </c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11"/>
      <c r="AQ1794" s="8"/>
      <c r="AR1794" s="8"/>
      <c r="AS1794" s="8"/>
      <c r="AT1794" s="8">
        <v>394.91</v>
      </c>
      <c r="AU1794" s="8"/>
      <c r="AV1794" s="8">
        <v>23.56</v>
      </c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>
        <v>26.78</v>
      </c>
      <c r="BH1794" s="9">
        <f t="shared" si="243"/>
        <v>785.01</v>
      </c>
      <c r="BI1794" s="9">
        <f t="shared" si="244"/>
        <v>1.61</v>
      </c>
      <c r="BJ1794" s="9">
        <f t="shared" si="245"/>
        <v>1.81</v>
      </c>
      <c r="BK1794" s="9">
        <f t="shared" si="246"/>
        <v>9.4513999999999996</v>
      </c>
      <c r="BL1794" s="9">
        <f t="shared" si="247"/>
        <v>0</v>
      </c>
      <c r="BM1794" s="9">
        <f t="shared" si="248"/>
        <v>0</v>
      </c>
      <c r="BN1794" s="9">
        <f t="shared" si="249"/>
        <v>394.91</v>
      </c>
      <c r="BO1794" s="9">
        <f t="shared" si="250"/>
        <v>23.56</v>
      </c>
      <c r="BP1794" s="9">
        <f t="shared" si="251"/>
        <v>0</v>
      </c>
    </row>
    <row r="1795" spans="1:68">
      <c r="A1795" s="6">
        <v>44868</v>
      </c>
      <c r="B1795" s="7">
        <v>3020</v>
      </c>
      <c r="C1795" s="8"/>
      <c r="D1795" s="8">
        <v>170.41</v>
      </c>
      <c r="E1795" s="8"/>
      <c r="F1795" s="8"/>
      <c r="G1795" s="8"/>
      <c r="H1795" s="8"/>
      <c r="I1795" s="8">
        <v>961.79</v>
      </c>
      <c r="J1795" s="8"/>
      <c r="K1795" s="8"/>
      <c r="L1795" s="8"/>
      <c r="M1795" s="8"/>
      <c r="N1795" s="8">
        <v>6.79</v>
      </c>
      <c r="O1795" s="8"/>
      <c r="P1795" s="8"/>
      <c r="Q1795" s="11"/>
      <c r="R1795" s="11"/>
      <c r="S1795" s="8">
        <v>2.04</v>
      </c>
      <c r="T1795" s="8"/>
      <c r="U1795" s="8"/>
      <c r="V1795" s="8"/>
      <c r="W1795" s="8">
        <v>11.35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>
        <v>11.32</v>
      </c>
      <c r="AN1795" s="8"/>
      <c r="AO1795" s="8"/>
      <c r="AP1795" s="11"/>
      <c r="AQ1795" s="8"/>
      <c r="AR1795" s="8"/>
      <c r="AS1795" s="8">
        <f>2974*9.43/1000</f>
        <v>28.044820000000001</v>
      </c>
      <c r="AT1795" s="8">
        <v>556.20000000000005</v>
      </c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>
        <v>40.75</v>
      </c>
      <c r="BH1795" s="9">
        <f t="shared" si="243"/>
        <v>1132.2</v>
      </c>
      <c r="BI1795" s="9">
        <f t="shared" si="244"/>
        <v>6.79</v>
      </c>
      <c r="BJ1795" s="9">
        <f t="shared" si="245"/>
        <v>2.04</v>
      </c>
      <c r="BK1795" s="9">
        <f t="shared" si="246"/>
        <v>11.35</v>
      </c>
      <c r="BL1795" s="9">
        <f t="shared" si="247"/>
        <v>0</v>
      </c>
      <c r="BM1795" s="9">
        <f t="shared" si="248"/>
        <v>39.364820000000002</v>
      </c>
      <c r="BN1795" s="9">
        <f t="shared" si="249"/>
        <v>556.20000000000005</v>
      </c>
      <c r="BO1795" s="9">
        <f t="shared" si="250"/>
        <v>0</v>
      </c>
      <c r="BP1795" s="9">
        <f t="shared" si="251"/>
        <v>0</v>
      </c>
    </row>
    <row r="1796" spans="1:68">
      <c r="A1796" s="6">
        <v>44868</v>
      </c>
      <c r="B1796" s="7">
        <v>3022</v>
      </c>
      <c r="C1796" s="8"/>
      <c r="D1796" s="8">
        <v>1066.9000000000001</v>
      </c>
      <c r="E1796" s="8"/>
      <c r="F1796" s="8"/>
      <c r="G1796" s="8"/>
      <c r="H1796" s="8"/>
      <c r="I1796" s="8">
        <v>873.54</v>
      </c>
      <c r="J1796" s="8"/>
      <c r="K1796" s="8"/>
      <c r="L1796" s="8"/>
      <c r="M1796" s="8"/>
      <c r="N1796" s="8">
        <v>9.6999999999999993</v>
      </c>
      <c r="O1796" s="8"/>
      <c r="P1796" s="8"/>
      <c r="Q1796" s="11"/>
      <c r="R1796" s="11"/>
      <c r="S1796" s="8">
        <v>3.49</v>
      </c>
      <c r="T1796" s="8"/>
      <c r="U1796" s="8"/>
      <c r="V1796" s="8"/>
      <c r="W1796" s="8">
        <v>19.39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>
        <v>25.22</v>
      </c>
      <c r="AN1796" s="8"/>
      <c r="AO1796" s="8"/>
      <c r="AP1796" s="11"/>
      <c r="AQ1796" s="8"/>
      <c r="AR1796" s="8"/>
      <c r="AS1796" s="8">
        <f>3842*17.63/1000</f>
        <v>67.734459999999999</v>
      </c>
      <c r="AT1796" s="8">
        <v>908.16</v>
      </c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>
        <v>69.760000000000005</v>
      </c>
      <c r="BH1796" s="9">
        <f t="shared" ref="BH1796:BH1859" si="252">SUM(C1796:L1796)</f>
        <v>1940.44</v>
      </c>
      <c r="BI1796" s="9">
        <f t="shared" ref="BI1796:BI1859" si="253">SUM(M1796:R1796)</f>
        <v>9.6999999999999993</v>
      </c>
      <c r="BJ1796" s="9">
        <f t="shared" ref="BJ1796:BJ1859" si="254">SUM(S1796)</f>
        <v>3.49</v>
      </c>
      <c r="BK1796" s="9">
        <f t="shared" ref="BK1796:BK1859" si="255">SUM(T1796:Y1796)</f>
        <v>19.39</v>
      </c>
      <c r="BL1796" s="9">
        <f t="shared" ref="BL1796:BL1859" si="256">SUM(Z1796:AA1796)</f>
        <v>0</v>
      </c>
      <c r="BM1796" s="9">
        <f t="shared" ref="BM1796:BM1859" si="257">SUM(AB1796:AS1796)</f>
        <v>92.954459999999997</v>
      </c>
      <c r="BN1796" s="9">
        <f t="shared" ref="BN1796:BN1859" si="258">SUM(AT1796:AU1796)</f>
        <v>908.16</v>
      </c>
      <c r="BO1796" s="9">
        <f t="shared" ref="BO1796:BO1859" si="259">SUM(AV1796:BE1796)</f>
        <v>0</v>
      </c>
      <c r="BP1796" s="9">
        <f t="shared" ref="BP1796:BP1859" si="260">SUM(BF1796)</f>
        <v>0</v>
      </c>
    </row>
    <row r="1797" spans="1:68">
      <c r="A1797" s="6">
        <v>44868</v>
      </c>
      <c r="B1797" s="7">
        <v>3016</v>
      </c>
      <c r="C1797" s="8"/>
      <c r="D1797" s="8">
        <v>1618.06</v>
      </c>
      <c r="E1797" s="8"/>
      <c r="F1797" s="8"/>
      <c r="G1797" s="8"/>
      <c r="H1797" s="8"/>
      <c r="I1797" s="8">
        <v>1490.48</v>
      </c>
      <c r="J1797" s="8"/>
      <c r="K1797" s="8"/>
      <c r="L1797" s="8"/>
      <c r="M1797" s="8"/>
      <c r="N1797" s="8">
        <v>18.66</v>
      </c>
      <c r="O1797" s="8"/>
      <c r="P1797" s="8"/>
      <c r="Q1797" s="11"/>
      <c r="R1797" s="11"/>
      <c r="S1797" s="8">
        <v>2.17</v>
      </c>
      <c r="T1797" s="8"/>
      <c r="U1797" s="8"/>
      <c r="V1797" s="8"/>
      <c r="W1797" s="8">
        <v>31.12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>
        <v>12.44</v>
      </c>
      <c r="AN1797" s="8">
        <f>2030*18.28/1000</f>
        <v>37.108400000000003</v>
      </c>
      <c r="AO1797" s="8"/>
      <c r="AP1797" s="11"/>
      <c r="AQ1797" s="8"/>
      <c r="AR1797" s="8">
        <f>4322*18.28/1000</f>
        <v>79.006160000000008</v>
      </c>
      <c r="AS1797" s="8"/>
      <c r="AT1797" s="8">
        <v>1153.4100000000001</v>
      </c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>
        <v>84.48</v>
      </c>
      <c r="BH1797" s="9">
        <f t="shared" si="252"/>
        <v>3108.54</v>
      </c>
      <c r="BI1797" s="9">
        <f t="shared" si="253"/>
        <v>18.66</v>
      </c>
      <c r="BJ1797" s="9">
        <f t="shared" si="254"/>
        <v>2.17</v>
      </c>
      <c r="BK1797" s="9">
        <f t="shared" si="255"/>
        <v>31.12</v>
      </c>
      <c r="BL1797" s="9">
        <f t="shared" si="256"/>
        <v>0</v>
      </c>
      <c r="BM1797" s="9">
        <f t="shared" si="257"/>
        <v>128.55456000000001</v>
      </c>
      <c r="BN1797" s="9">
        <f t="shared" si="258"/>
        <v>1153.4100000000001</v>
      </c>
      <c r="BO1797" s="9">
        <f t="shared" si="259"/>
        <v>0</v>
      </c>
      <c r="BP1797" s="9">
        <f t="shared" si="260"/>
        <v>0</v>
      </c>
    </row>
    <row r="1798" spans="1:68">
      <c r="A1798" s="6">
        <v>44868</v>
      </c>
      <c r="B1798" s="7">
        <v>3081</v>
      </c>
      <c r="C1798" s="8"/>
      <c r="D1798" s="8">
        <v>287.85000000000002</v>
      </c>
      <c r="E1798" s="8"/>
      <c r="F1798" s="8">
        <v>319.69</v>
      </c>
      <c r="G1798" s="8"/>
      <c r="H1798" s="8"/>
      <c r="I1798" s="8">
        <v>1175.71</v>
      </c>
      <c r="J1798" s="8"/>
      <c r="K1798" s="8"/>
      <c r="L1798" s="8"/>
      <c r="M1798" s="8"/>
      <c r="N1798" s="8">
        <v>13.16</v>
      </c>
      <c r="O1798" s="8"/>
      <c r="P1798" s="8"/>
      <c r="Q1798" s="11"/>
      <c r="R1798" s="11"/>
      <c r="S1798" s="8">
        <v>1.25</v>
      </c>
      <c r="T1798" s="8"/>
      <c r="U1798" s="8"/>
      <c r="V1798" s="8"/>
      <c r="W1798" s="8">
        <v>18.100000000000001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11"/>
      <c r="AQ1798" s="8">
        <f>1537*11.63/1000</f>
        <v>17.875310000000002</v>
      </c>
      <c r="AR1798" s="8">
        <f>5429*11.63/1000</f>
        <v>63.139270000000003</v>
      </c>
      <c r="AS1798" s="8">
        <f>617*11.63/1000</f>
        <v>7.1757100000000005</v>
      </c>
      <c r="AT1798" s="8">
        <v>565.97</v>
      </c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>
        <v>37.770000000000003</v>
      </c>
      <c r="BH1798" s="9">
        <f t="shared" si="252"/>
        <v>1783.25</v>
      </c>
      <c r="BI1798" s="9">
        <f t="shared" si="253"/>
        <v>13.16</v>
      </c>
      <c r="BJ1798" s="9">
        <f t="shared" si="254"/>
        <v>1.25</v>
      </c>
      <c r="BK1798" s="9">
        <f t="shared" si="255"/>
        <v>18.100000000000001</v>
      </c>
      <c r="BL1798" s="9">
        <f t="shared" si="256"/>
        <v>0</v>
      </c>
      <c r="BM1798" s="9">
        <f t="shared" si="257"/>
        <v>88.190290000000005</v>
      </c>
      <c r="BN1798" s="9">
        <f t="shared" si="258"/>
        <v>565.97</v>
      </c>
      <c r="BO1798" s="9">
        <f t="shared" si="259"/>
        <v>0</v>
      </c>
      <c r="BP1798" s="9">
        <f t="shared" si="260"/>
        <v>0</v>
      </c>
    </row>
    <row r="1799" spans="1:68">
      <c r="A1799" s="6">
        <v>44868</v>
      </c>
      <c r="B1799" s="7">
        <v>3204</v>
      </c>
      <c r="C1799" s="8"/>
      <c r="D1799" s="8">
        <v>1781.9</v>
      </c>
      <c r="E1799" s="8">
        <v>763.3</v>
      </c>
      <c r="F1799" s="8"/>
      <c r="G1799" s="8"/>
      <c r="H1799" s="8"/>
      <c r="I1799" s="8"/>
      <c r="J1799" s="8"/>
      <c r="K1799" s="8"/>
      <c r="L1799" s="8"/>
      <c r="M1799" s="8"/>
      <c r="N1799" s="8"/>
      <c r="O1799" s="8">
        <v>12.71</v>
      </c>
      <c r="P1799" s="8"/>
      <c r="Q1799" s="11"/>
      <c r="R1799" s="11"/>
      <c r="S1799" s="8">
        <v>8.66</v>
      </c>
      <c r="T1799" s="8"/>
      <c r="U1799" s="8">
        <v>28.01</v>
      </c>
      <c r="V1799" s="8"/>
      <c r="W1799" s="8"/>
      <c r="X1799" s="8"/>
      <c r="Y1799" s="8"/>
      <c r="Z1799" s="8">
        <v>382.25</v>
      </c>
      <c r="AA1799" s="8"/>
      <c r="AB1799" s="8">
        <f>717*18.2/1000</f>
        <v>13.0494</v>
      </c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11"/>
      <c r="AQ1799" s="8"/>
      <c r="AR1799" s="8"/>
      <c r="AS1799" s="8"/>
      <c r="AT1799" s="8">
        <v>1122.3699999999999</v>
      </c>
      <c r="AU1799" s="8"/>
      <c r="AV1799" s="8"/>
      <c r="AW1799" s="8">
        <v>8.14</v>
      </c>
      <c r="AX1799" s="8"/>
      <c r="AY1799" s="8"/>
      <c r="AZ1799" s="8"/>
      <c r="BA1799" s="8"/>
      <c r="BB1799" s="8"/>
      <c r="BC1799" s="8"/>
      <c r="BD1799" s="8"/>
      <c r="BE1799" s="8"/>
      <c r="BF1799" s="8"/>
      <c r="BG1799" s="8">
        <v>82.85</v>
      </c>
      <c r="BH1799" s="9">
        <f t="shared" si="252"/>
        <v>2545.1999999999998</v>
      </c>
      <c r="BI1799" s="9">
        <f t="shared" si="253"/>
        <v>12.71</v>
      </c>
      <c r="BJ1799" s="9">
        <f t="shared" si="254"/>
        <v>8.66</v>
      </c>
      <c r="BK1799" s="9">
        <f t="shared" si="255"/>
        <v>28.01</v>
      </c>
      <c r="BL1799" s="9">
        <f t="shared" si="256"/>
        <v>382.25</v>
      </c>
      <c r="BM1799" s="9">
        <f t="shared" si="257"/>
        <v>13.0494</v>
      </c>
      <c r="BN1799" s="9">
        <f t="shared" si="258"/>
        <v>1122.3699999999999</v>
      </c>
      <c r="BO1799" s="9">
        <f t="shared" si="259"/>
        <v>8.14</v>
      </c>
      <c r="BP1799" s="9">
        <f t="shared" si="260"/>
        <v>0</v>
      </c>
    </row>
    <row r="1800" spans="1:68">
      <c r="A1800" s="6">
        <v>44868</v>
      </c>
      <c r="B1800" s="7">
        <v>8224</v>
      </c>
      <c r="C1800" s="8">
        <v>114.78</v>
      </c>
      <c r="D1800" s="8">
        <v>173.02</v>
      </c>
      <c r="E1800" s="8"/>
      <c r="F1800" s="8"/>
      <c r="G1800" s="8"/>
      <c r="H1800" s="8"/>
      <c r="I1800" s="8"/>
      <c r="J1800" s="8"/>
      <c r="K1800" s="8"/>
      <c r="L1800" s="8"/>
      <c r="M1800" s="8"/>
      <c r="N1800" s="8">
        <v>0.52</v>
      </c>
      <c r="O1800" s="8"/>
      <c r="P1800" s="8"/>
      <c r="Q1800" s="11"/>
      <c r="R1800" s="11"/>
      <c r="S1800" s="8">
        <v>0.86</v>
      </c>
      <c r="T1800" s="8"/>
      <c r="U1800" s="8"/>
      <c r="V1800" s="8"/>
      <c r="W1800" s="8"/>
      <c r="X1800" s="8">
        <f>1096*3.2/1000</f>
        <v>3.5072000000000001</v>
      </c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11"/>
      <c r="AQ1800" s="8"/>
      <c r="AR1800" s="8"/>
      <c r="AS1800" s="8"/>
      <c r="AT1800" s="8">
        <v>116.84</v>
      </c>
      <c r="AU1800" s="8"/>
      <c r="AV1800" s="8"/>
      <c r="AW1800" s="8">
        <v>5.62</v>
      </c>
      <c r="AX1800" s="8"/>
      <c r="AY1800" s="8"/>
      <c r="AZ1800" s="8"/>
      <c r="BA1800" s="8"/>
      <c r="BB1800" s="8"/>
      <c r="BC1800" s="8"/>
      <c r="BD1800" s="8"/>
      <c r="BE1800" s="8"/>
      <c r="BF1800" s="8"/>
      <c r="BG1800" s="8">
        <v>8.9</v>
      </c>
      <c r="BH1800" s="9">
        <f t="shared" si="252"/>
        <v>287.8</v>
      </c>
      <c r="BI1800" s="9">
        <f t="shared" si="253"/>
        <v>0.52</v>
      </c>
      <c r="BJ1800" s="9">
        <f t="shared" si="254"/>
        <v>0.86</v>
      </c>
      <c r="BK1800" s="9">
        <f t="shared" si="255"/>
        <v>3.5072000000000001</v>
      </c>
      <c r="BL1800" s="9">
        <f t="shared" si="256"/>
        <v>0</v>
      </c>
      <c r="BM1800" s="9">
        <f t="shared" si="257"/>
        <v>0</v>
      </c>
      <c r="BN1800" s="9">
        <f t="shared" si="258"/>
        <v>116.84</v>
      </c>
      <c r="BO1800" s="9">
        <f t="shared" si="259"/>
        <v>5.62</v>
      </c>
      <c r="BP1800" s="9">
        <f t="shared" si="260"/>
        <v>0</v>
      </c>
    </row>
    <row r="1801" spans="1:68">
      <c r="A1801" s="6">
        <v>44869</v>
      </c>
      <c r="B1801" s="7">
        <v>3602</v>
      </c>
      <c r="C1801" s="8">
        <v>572.62</v>
      </c>
      <c r="D1801" s="8"/>
      <c r="E1801" s="8"/>
      <c r="F1801" s="8"/>
      <c r="G1801" s="8">
        <v>860.15</v>
      </c>
      <c r="H1801" s="8"/>
      <c r="I1801" s="8"/>
      <c r="J1801" s="8"/>
      <c r="K1801" s="8"/>
      <c r="L1801" s="8"/>
      <c r="M1801" s="8">
        <f>462*16.48/1000</f>
        <v>7.6137600000000001</v>
      </c>
      <c r="N1801" s="8"/>
      <c r="O1801" s="8"/>
      <c r="P1801" s="8"/>
      <c r="Q1801" s="11"/>
      <c r="R1801" s="11"/>
      <c r="S1801" s="8">
        <v>6.92</v>
      </c>
      <c r="T1801" s="8"/>
      <c r="U1801" s="8">
        <v>11.57</v>
      </c>
      <c r="V1801" s="8">
        <f>852*16.48/1000</f>
        <v>14.04096</v>
      </c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11"/>
      <c r="AQ1801" s="8"/>
      <c r="AR1801" s="8"/>
      <c r="AS1801" s="8"/>
      <c r="AT1801" s="8">
        <v>581.51</v>
      </c>
      <c r="AU1801" s="8"/>
      <c r="AV1801" s="8"/>
      <c r="AW1801" s="8">
        <v>37.25</v>
      </c>
      <c r="AX1801" s="8"/>
      <c r="AY1801" s="8"/>
      <c r="AZ1801" s="8"/>
      <c r="BA1801" s="8"/>
      <c r="BB1801" s="8"/>
      <c r="BC1801" s="8"/>
      <c r="BD1801" s="8"/>
      <c r="BE1801" s="8"/>
      <c r="BF1801" s="8">
        <v>46.21</v>
      </c>
      <c r="BG1801" s="8">
        <v>43.15</v>
      </c>
      <c r="BH1801" s="9">
        <f t="shared" si="252"/>
        <v>1432.77</v>
      </c>
      <c r="BI1801" s="9">
        <f t="shared" si="253"/>
        <v>7.6137600000000001</v>
      </c>
      <c r="BJ1801" s="9">
        <f t="shared" si="254"/>
        <v>6.92</v>
      </c>
      <c r="BK1801" s="9">
        <f t="shared" si="255"/>
        <v>25.610959999999999</v>
      </c>
      <c r="BL1801" s="9">
        <f t="shared" si="256"/>
        <v>0</v>
      </c>
      <c r="BM1801" s="9">
        <f t="shared" si="257"/>
        <v>0</v>
      </c>
      <c r="BN1801" s="9">
        <f t="shared" si="258"/>
        <v>581.51</v>
      </c>
      <c r="BO1801" s="9">
        <f t="shared" si="259"/>
        <v>37.25</v>
      </c>
      <c r="BP1801" s="9">
        <f t="shared" si="260"/>
        <v>46.21</v>
      </c>
    </row>
    <row r="1802" spans="1:68">
      <c r="A1802" s="6">
        <v>44869</v>
      </c>
      <c r="B1802" s="7">
        <v>3005</v>
      </c>
      <c r="C1802" s="8">
        <v>445.31</v>
      </c>
      <c r="D1802" s="8">
        <v>296.61</v>
      </c>
      <c r="E1802" s="8"/>
      <c r="F1802" s="8"/>
      <c r="G1802" s="8"/>
      <c r="H1802" s="8"/>
      <c r="I1802" s="8"/>
      <c r="J1802" s="8"/>
      <c r="K1802" s="8"/>
      <c r="L1802" s="8"/>
      <c r="M1802" s="8"/>
      <c r="N1802" s="8">
        <v>0.74</v>
      </c>
      <c r="O1802" s="8"/>
      <c r="P1802" s="8"/>
      <c r="Q1802" s="11"/>
      <c r="R1802" s="11"/>
      <c r="S1802" s="8">
        <v>2.63</v>
      </c>
      <c r="T1802" s="8"/>
      <c r="U1802" s="8"/>
      <c r="V1802" s="8"/>
      <c r="W1802" s="8">
        <v>8.16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11"/>
      <c r="AQ1802" s="8"/>
      <c r="AR1802" s="8"/>
      <c r="AS1802" s="8"/>
      <c r="AT1802" s="8">
        <v>362.27</v>
      </c>
      <c r="AU1802" s="8"/>
      <c r="AV1802" s="8"/>
      <c r="AW1802" s="8">
        <v>8.2100000000000009</v>
      </c>
      <c r="AX1802" s="8"/>
      <c r="AY1802" s="8"/>
      <c r="AZ1802" s="8"/>
      <c r="BA1802" s="8"/>
      <c r="BB1802" s="8"/>
      <c r="BC1802" s="8"/>
      <c r="BD1802" s="8"/>
      <c r="BE1802" s="8"/>
      <c r="BF1802" s="8"/>
      <c r="BG1802" s="8">
        <v>26.99</v>
      </c>
      <c r="BH1802" s="9">
        <f t="shared" si="252"/>
        <v>741.92000000000007</v>
      </c>
      <c r="BI1802" s="9">
        <f t="shared" si="253"/>
        <v>0.74</v>
      </c>
      <c r="BJ1802" s="9">
        <f t="shared" si="254"/>
        <v>2.63</v>
      </c>
      <c r="BK1802" s="9">
        <f t="shared" si="255"/>
        <v>8.16</v>
      </c>
      <c r="BL1802" s="9">
        <f t="shared" si="256"/>
        <v>0</v>
      </c>
      <c r="BM1802" s="9">
        <f t="shared" si="257"/>
        <v>0</v>
      </c>
      <c r="BN1802" s="9">
        <f t="shared" si="258"/>
        <v>362.27</v>
      </c>
      <c r="BO1802" s="9">
        <f t="shared" si="259"/>
        <v>8.2100000000000009</v>
      </c>
      <c r="BP1802" s="9">
        <f t="shared" si="260"/>
        <v>0</v>
      </c>
    </row>
    <row r="1803" spans="1:68">
      <c r="A1803" s="6">
        <v>44869</v>
      </c>
      <c r="B1803" s="7">
        <v>3004</v>
      </c>
      <c r="C1803" s="8">
        <v>673.05</v>
      </c>
      <c r="D1803" s="8">
        <v>362.65</v>
      </c>
      <c r="E1803" s="8"/>
      <c r="F1803" s="8"/>
      <c r="G1803" s="8"/>
      <c r="H1803" s="8"/>
      <c r="I1803" s="8"/>
      <c r="J1803" s="8"/>
      <c r="K1803" s="8"/>
      <c r="L1803" s="8"/>
      <c r="M1803" s="8"/>
      <c r="N1803" s="8">
        <v>1.54</v>
      </c>
      <c r="O1803" s="8"/>
      <c r="P1803" s="8"/>
      <c r="Q1803" s="11"/>
      <c r="R1803" s="11"/>
      <c r="S1803" s="8">
        <v>4.6399999999999997</v>
      </c>
      <c r="T1803" s="8"/>
      <c r="U1803" s="8"/>
      <c r="V1803" s="8"/>
      <c r="W1803" s="8">
        <v>7.74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11"/>
      <c r="AQ1803" s="8"/>
      <c r="AR1803" s="8"/>
      <c r="AS1803" s="8"/>
      <c r="AT1803" s="8">
        <v>359.38</v>
      </c>
      <c r="AU1803" s="8"/>
      <c r="AV1803" s="8"/>
      <c r="AW1803" s="8">
        <v>11.47</v>
      </c>
      <c r="AX1803" s="8"/>
      <c r="AY1803" s="8"/>
      <c r="AZ1803" s="8"/>
      <c r="BA1803" s="8"/>
      <c r="BB1803" s="8"/>
      <c r="BC1803" s="8"/>
      <c r="BD1803" s="8"/>
      <c r="BE1803" s="8"/>
      <c r="BF1803" s="8"/>
      <c r="BG1803" s="8">
        <v>28.09</v>
      </c>
      <c r="BH1803" s="9">
        <f t="shared" si="252"/>
        <v>1035.6999999999998</v>
      </c>
      <c r="BI1803" s="9">
        <f t="shared" si="253"/>
        <v>1.54</v>
      </c>
      <c r="BJ1803" s="9">
        <f t="shared" si="254"/>
        <v>4.6399999999999997</v>
      </c>
      <c r="BK1803" s="9">
        <f t="shared" si="255"/>
        <v>7.74</v>
      </c>
      <c r="BL1803" s="9">
        <f t="shared" si="256"/>
        <v>0</v>
      </c>
      <c r="BM1803" s="9">
        <f t="shared" si="257"/>
        <v>0</v>
      </c>
      <c r="BN1803" s="9">
        <f t="shared" si="258"/>
        <v>359.38</v>
      </c>
      <c r="BO1803" s="9">
        <f t="shared" si="259"/>
        <v>11.47</v>
      </c>
      <c r="BP1803" s="9">
        <f t="shared" si="260"/>
        <v>0</v>
      </c>
    </row>
    <row r="1804" spans="1:68">
      <c r="A1804" s="6">
        <v>44869</v>
      </c>
      <c r="B1804" s="7">
        <v>3203</v>
      </c>
      <c r="C1804" s="8">
        <v>1665.88</v>
      </c>
      <c r="D1804" s="8"/>
      <c r="E1804" s="8">
        <v>714.01</v>
      </c>
      <c r="F1804" s="8"/>
      <c r="G1804" s="8"/>
      <c r="H1804" s="8"/>
      <c r="I1804" s="8"/>
      <c r="J1804" s="8"/>
      <c r="K1804" s="8"/>
      <c r="L1804" s="8"/>
      <c r="M1804" s="8"/>
      <c r="N1804" s="8"/>
      <c r="O1804" s="8">
        <v>7.16</v>
      </c>
      <c r="P1804" s="8"/>
      <c r="Q1804" s="11"/>
      <c r="R1804" s="11"/>
      <c r="S1804" s="8">
        <v>9.32</v>
      </c>
      <c r="T1804" s="8"/>
      <c r="U1804" s="8">
        <v>29.64</v>
      </c>
      <c r="V1804" s="8"/>
      <c r="W1804" s="8"/>
      <c r="X1804" s="8"/>
      <c r="Y1804" s="8"/>
      <c r="Z1804" s="8">
        <v>376.19</v>
      </c>
      <c r="AA1804" s="8">
        <f>10374*28.08/1000</f>
        <v>291.30192</v>
      </c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11"/>
      <c r="AQ1804" s="8"/>
      <c r="AR1804" s="8"/>
      <c r="AS1804" s="8"/>
      <c r="AT1804" s="8">
        <v>897.34</v>
      </c>
      <c r="AU1804" s="8">
        <v>446.23</v>
      </c>
      <c r="AV1804" s="8"/>
      <c r="AW1804" s="8"/>
      <c r="AX1804" s="8"/>
      <c r="AY1804" s="8"/>
      <c r="AZ1804" s="8"/>
      <c r="BA1804" s="8"/>
      <c r="BB1804" s="8"/>
      <c r="BC1804" s="8">
        <v>6.21</v>
      </c>
      <c r="BD1804" s="8"/>
      <c r="BE1804" s="8"/>
      <c r="BF1804" s="8"/>
      <c r="BG1804" s="8">
        <v>86.97</v>
      </c>
      <c r="BH1804" s="9">
        <f t="shared" si="252"/>
        <v>2379.8900000000003</v>
      </c>
      <c r="BI1804" s="9">
        <f t="shared" si="253"/>
        <v>7.16</v>
      </c>
      <c r="BJ1804" s="9">
        <f t="shared" si="254"/>
        <v>9.32</v>
      </c>
      <c r="BK1804" s="9">
        <f t="shared" si="255"/>
        <v>29.64</v>
      </c>
      <c r="BL1804" s="9">
        <f t="shared" si="256"/>
        <v>667.49191999999994</v>
      </c>
      <c r="BM1804" s="9">
        <f t="shared" si="257"/>
        <v>0</v>
      </c>
      <c r="BN1804" s="9">
        <f t="shared" si="258"/>
        <v>1343.5700000000002</v>
      </c>
      <c r="BO1804" s="9">
        <f t="shared" si="259"/>
        <v>6.21</v>
      </c>
      <c r="BP1804" s="9">
        <f t="shared" si="260"/>
        <v>0</v>
      </c>
    </row>
    <row r="1805" spans="1:68">
      <c r="A1805" s="6">
        <v>44869</v>
      </c>
      <c r="B1805" s="7">
        <v>3141</v>
      </c>
      <c r="C1805" s="8">
        <v>2415.0500000000002</v>
      </c>
      <c r="D1805" s="8">
        <v>425.62</v>
      </c>
      <c r="E1805" s="8"/>
      <c r="F1805" s="8"/>
      <c r="G1805" s="8"/>
      <c r="H1805" s="8"/>
      <c r="I1805" s="8"/>
      <c r="J1805" s="8"/>
      <c r="K1805" s="8"/>
      <c r="L1805" s="8"/>
      <c r="M1805" s="8">
        <v>7.02</v>
      </c>
      <c r="N1805" s="8"/>
      <c r="O1805" s="8"/>
      <c r="P1805" s="8"/>
      <c r="Q1805" s="11"/>
      <c r="R1805" s="11"/>
      <c r="S1805" s="8">
        <v>13.39</v>
      </c>
      <c r="T1805" s="8"/>
      <c r="U1805" s="8">
        <v>42.72</v>
      </c>
      <c r="V1805" s="8"/>
      <c r="W1805" s="8"/>
      <c r="X1805" s="8"/>
      <c r="Y1805" s="8"/>
      <c r="Z1805" s="8"/>
      <c r="AA1805" s="8"/>
      <c r="AB1805" s="8"/>
      <c r="AC1805" s="8">
        <v>11.4</v>
      </c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11"/>
      <c r="AQ1805" s="8"/>
      <c r="AR1805" s="8"/>
      <c r="AS1805" s="8"/>
      <c r="AT1805" s="8">
        <v>1869.67</v>
      </c>
      <c r="AU1805" s="8"/>
      <c r="AV1805" s="8"/>
      <c r="AW1805" s="8"/>
      <c r="AX1805" s="8"/>
      <c r="AY1805" s="8"/>
      <c r="AZ1805" s="8"/>
      <c r="BA1805" s="8">
        <v>65.16</v>
      </c>
      <c r="BB1805" s="8"/>
      <c r="BC1805" s="8"/>
      <c r="BD1805" s="8"/>
      <c r="BE1805" s="8"/>
      <c r="BF1805" s="8">
        <v>199.13</v>
      </c>
      <c r="BG1805" s="8">
        <v>148.15</v>
      </c>
      <c r="BH1805" s="9">
        <f t="shared" si="252"/>
        <v>2840.67</v>
      </c>
      <c r="BI1805" s="9">
        <f t="shared" si="253"/>
        <v>7.02</v>
      </c>
      <c r="BJ1805" s="9">
        <f t="shared" si="254"/>
        <v>13.39</v>
      </c>
      <c r="BK1805" s="9">
        <f t="shared" si="255"/>
        <v>42.72</v>
      </c>
      <c r="BL1805" s="9">
        <f t="shared" si="256"/>
        <v>0</v>
      </c>
      <c r="BM1805" s="9">
        <f t="shared" si="257"/>
        <v>11.4</v>
      </c>
      <c r="BN1805" s="9">
        <f t="shared" si="258"/>
        <v>1869.67</v>
      </c>
      <c r="BO1805" s="9">
        <f t="shared" si="259"/>
        <v>65.16</v>
      </c>
      <c r="BP1805" s="9">
        <f t="shared" si="260"/>
        <v>199.13</v>
      </c>
    </row>
    <row r="1806" spans="1:68">
      <c r="A1806" s="6">
        <v>44869</v>
      </c>
      <c r="B1806" s="7">
        <v>3106</v>
      </c>
      <c r="C1806" s="8">
        <v>4102.05</v>
      </c>
      <c r="D1806" s="8"/>
      <c r="E1806" s="8"/>
      <c r="F1806" s="8"/>
      <c r="G1806" s="8"/>
      <c r="H1806" s="8"/>
      <c r="I1806" s="8"/>
      <c r="J1806" s="8"/>
      <c r="K1806" s="8"/>
      <c r="L1806" s="8"/>
      <c r="M1806" s="8">
        <v>10.24</v>
      </c>
      <c r="N1806" s="8"/>
      <c r="O1806" s="8"/>
      <c r="P1806" s="8"/>
      <c r="Q1806" s="11"/>
      <c r="R1806" s="11"/>
      <c r="S1806" s="8">
        <v>12.34</v>
      </c>
      <c r="T1806" s="8"/>
      <c r="U1806" s="8">
        <v>52.27</v>
      </c>
      <c r="V1806" s="8"/>
      <c r="W1806" s="8"/>
      <c r="X1806" s="8"/>
      <c r="Y1806" s="8"/>
      <c r="Z1806" s="8"/>
      <c r="AA1806" s="8"/>
      <c r="AB1806" s="8"/>
      <c r="AC1806" s="8">
        <v>9.51</v>
      </c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11"/>
      <c r="AQ1806" s="8"/>
      <c r="AR1806" s="8"/>
      <c r="AS1806" s="8"/>
      <c r="AT1806" s="8">
        <v>2336.9299999999998</v>
      </c>
      <c r="AU1806" s="8"/>
      <c r="AV1806" s="8"/>
      <c r="AW1806" s="8"/>
      <c r="AX1806" s="8">
        <v>5.14</v>
      </c>
      <c r="AY1806" s="8"/>
      <c r="AZ1806" s="8"/>
      <c r="BA1806" s="8"/>
      <c r="BB1806" s="8"/>
      <c r="BC1806" s="8"/>
      <c r="BD1806" s="8"/>
      <c r="BE1806" s="8"/>
      <c r="BF1806" s="8"/>
      <c r="BG1806" s="8">
        <v>176.52</v>
      </c>
      <c r="BH1806" s="9">
        <f t="shared" si="252"/>
        <v>4102.05</v>
      </c>
      <c r="BI1806" s="9">
        <f t="shared" si="253"/>
        <v>10.24</v>
      </c>
      <c r="BJ1806" s="9">
        <f t="shared" si="254"/>
        <v>12.34</v>
      </c>
      <c r="BK1806" s="9">
        <f t="shared" si="255"/>
        <v>52.27</v>
      </c>
      <c r="BL1806" s="9">
        <f t="shared" si="256"/>
        <v>0</v>
      </c>
      <c r="BM1806" s="9">
        <f t="shared" si="257"/>
        <v>9.51</v>
      </c>
      <c r="BN1806" s="9">
        <f t="shared" si="258"/>
        <v>2336.9299999999998</v>
      </c>
      <c r="BO1806" s="9">
        <f t="shared" si="259"/>
        <v>5.14</v>
      </c>
      <c r="BP1806" s="9">
        <f t="shared" si="260"/>
        <v>0</v>
      </c>
    </row>
    <row r="1807" spans="1:68">
      <c r="A1807" s="6">
        <v>44869</v>
      </c>
      <c r="B1807" s="7">
        <v>3079</v>
      </c>
      <c r="C1807" s="8"/>
      <c r="D1807" s="8"/>
      <c r="E1807" s="8"/>
      <c r="F1807" s="8">
        <v>341.74</v>
      </c>
      <c r="G1807" s="8"/>
      <c r="H1807" s="8"/>
      <c r="I1807" s="8">
        <v>2779.18</v>
      </c>
      <c r="J1807" s="8"/>
      <c r="K1807" s="8"/>
      <c r="L1807" s="8"/>
      <c r="M1807" s="8"/>
      <c r="N1807" s="8">
        <v>22.23</v>
      </c>
      <c r="O1807" s="8"/>
      <c r="P1807" s="8"/>
      <c r="Q1807" s="11"/>
      <c r="R1807" s="11"/>
      <c r="S1807" s="8">
        <v>1.26</v>
      </c>
      <c r="T1807" s="8"/>
      <c r="U1807" s="8"/>
      <c r="V1807" s="8"/>
      <c r="W1807" s="8">
        <v>31.35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>
        <v>12.44</v>
      </c>
      <c r="AN1807" s="8">
        <f>1736*18.4/1000</f>
        <v>31.942399999999999</v>
      </c>
      <c r="AO1807" s="8"/>
      <c r="AP1807" s="11"/>
      <c r="AQ1807" s="8"/>
      <c r="AR1807" s="8">
        <f>4335*18.4/1000</f>
        <v>79.763999999999996</v>
      </c>
      <c r="AS1807" s="8"/>
      <c r="AT1807" s="8">
        <v>1209.75</v>
      </c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>
        <v>87.95</v>
      </c>
      <c r="BH1807" s="9">
        <f t="shared" si="252"/>
        <v>3120.92</v>
      </c>
      <c r="BI1807" s="9">
        <f t="shared" si="253"/>
        <v>22.23</v>
      </c>
      <c r="BJ1807" s="9">
        <f t="shared" si="254"/>
        <v>1.26</v>
      </c>
      <c r="BK1807" s="9">
        <f t="shared" si="255"/>
        <v>31.35</v>
      </c>
      <c r="BL1807" s="9">
        <f t="shared" si="256"/>
        <v>0</v>
      </c>
      <c r="BM1807" s="9">
        <f t="shared" si="257"/>
        <v>124.1464</v>
      </c>
      <c r="BN1807" s="9">
        <f t="shared" si="258"/>
        <v>1209.75</v>
      </c>
      <c r="BO1807" s="9">
        <f t="shared" si="259"/>
        <v>0</v>
      </c>
      <c r="BP1807" s="9">
        <f t="shared" si="260"/>
        <v>0</v>
      </c>
    </row>
    <row r="1808" spans="1:68">
      <c r="A1808" s="6">
        <v>44869</v>
      </c>
      <c r="B1808" s="7">
        <v>8220</v>
      </c>
      <c r="C1808" s="8"/>
      <c r="D1808" s="8">
        <v>415.8</v>
      </c>
      <c r="E1808" s="8"/>
      <c r="F1808" s="8">
        <v>232.12</v>
      </c>
      <c r="G1808" s="8"/>
      <c r="H1808" s="8"/>
      <c r="I1808" s="8">
        <v>214.87</v>
      </c>
      <c r="J1808" s="8"/>
      <c r="K1808" s="8"/>
      <c r="L1808" s="8"/>
      <c r="M1808" s="8"/>
      <c r="N1808" s="8">
        <v>6.25</v>
      </c>
      <c r="O1808" s="8"/>
      <c r="P1808" s="8"/>
      <c r="Q1808" s="11"/>
      <c r="R1808" s="11"/>
      <c r="S1808" s="8">
        <v>0.52</v>
      </c>
      <c r="T1808" s="8"/>
      <c r="U1808" s="8"/>
      <c r="V1808" s="8"/>
      <c r="W1808" s="8">
        <v>7.05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>
        <v>3.01</v>
      </c>
      <c r="AN1808" s="8">
        <f>1524*5.78/1000</f>
        <v>8.808720000000001</v>
      </c>
      <c r="AO1808" s="8"/>
      <c r="AP1808" s="11"/>
      <c r="AQ1808" s="8"/>
      <c r="AR1808" s="8">
        <f>5263*5.78/1000</f>
        <v>30.420140000000004</v>
      </c>
      <c r="AS1808" s="8"/>
      <c r="AT1808" s="8">
        <v>325.93</v>
      </c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>
        <v>23.94</v>
      </c>
      <c r="BH1808" s="9">
        <f t="shared" si="252"/>
        <v>862.79000000000008</v>
      </c>
      <c r="BI1808" s="9">
        <f t="shared" si="253"/>
        <v>6.25</v>
      </c>
      <c r="BJ1808" s="9">
        <f t="shared" si="254"/>
        <v>0.52</v>
      </c>
      <c r="BK1808" s="9">
        <f t="shared" si="255"/>
        <v>7.05</v>
      </c>
      <c r="BL1808" s="9">
        <f t="shared" si="256"/>
        <v>0</v>
      </c>
      <c r="BM1808" s="9">
        <f t="shared" si="257"/>
        <v>42.238860000000003</v>
      </c>
      <c r="BN1808" s="9">
        <f t="shared" si="258"/>
        <v>325.93</v>
      </c>
      <c r="BO1808" s="9">
        <f t="shared" si="259"/>
        <v>0</v>
      </c>
      <c r="BP1808" s="9">
        <f t="shared" si="260"/>
        <v>0</v>
      </c>
    </row>
    <row r="1809" spans="1:68">
      <c r="A1809" s="6">
        <v>44869</v>
      </c>
      <c r="B1809" s="7">
        <v>3028</v>
      </c>
      <c r="C1809" s="8"/>
      <c r="D1809" s="8">
        <v>405.14</v>
      </c>
      <c r="E1809" s="8"/>
      <c r="F1809" s="8">
        <v>373.83</v>
      </c>
      <c r="G1809" s="8"/>
      <c r="H1809" s="8"/>
      <c r="I1809" s="8">
        <v>843.94</v>
      </c>
      <c r="J1809" s="8"/>
      <c r="K1809" s="8"/>
      <c r="L1809" s="8"/>
      <c r="M1809" s="8"/>
      <c r="N1809" s="8">
        <v>12.18</v>
      </c>
      <c r="O1809" s="8"/>
      <c r="P1809" s="8"/>
      <c r="Q1809" s="11"/>
      <c r="R1809" s="11"/>
      <c r="S1809" s="8">
        <v>2.27</v>
      </c>
      <c r="T1809" s="8"/>
      <c r="U1809" s="8"/>
      <c r="V1809" s="8"/>
      <c r="W1809" s="8">
        <v>12.19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>
        <v>16.22</v>
      </c>
      <c r="AN1809" s="8">
        <f>1077*10.82/1000</f>
        <v>11.653139999999999</v>
      </c>
      <c r="AO1809" s="8"/>
      <c r="AP1809" s="11"/>
      <c r="AQ1809" s="8"/>
      <c r="AR1809" s="8"/>
      <c r="AS1809" s="8">
        <f>4947*10.82/1000</f>
        <v>53.526540000000004</v>
      </c>
      <c r="AT1809" s="8">
        <v>541.29</v>
      </c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>
        <v>36.979999999999997</v>
      </c>
      <c r="BH1809" s="9">
        <f t="shared" si="252"/>
        <v>1622.91</v>
      </c>
      <c r="BI1809" s="9">
        <f t="shared" si="253"/>
        <v>12.18</v>
      </c>
      <c r="BJ1809" s="9">
        <f t="shared" si="254"/>
        <v>2.27</v>
      </c>
      <c r="BK1809" s="9">
        <f t="shared" si="255"/>
        <v>12.19</v>
      </c>
      <c r="BL1809" s="9">
        <f t="shared" si="256"/>
        <v>0</v>
      </c>
      <c r="BM1809" s="9">
        <f t="shared" si="257"/>
        <v>81.399680000000004</v>
      </c>
      <c r="BN1809" s="9">
        <f t="shared" si="258"/>
        <v>541.29</v>
      </c>
      <c r="BO1809" s="9">
        <f t="shared" si="259"/>
        <v>0</v>
      </c>
      <c r="BP1809" s="9">
        <f t="shared" si="260"/>
        <v>0</v>
      </c>
    </row>
    <row r="1810" spans="1:68">
      <c r="A1810" s="6">
        <v>44869</v>
      </c>
      <c r="B1810" s="7">
        <v>3017</v>
      </c>
      <c r="C1810" s="8"/>
      <c r="D1810" s="8">
        <v>285.27</v>
      </c>
      <c r="E1810" s="8"/>
      <c r="F1810" s="8"/>
      <c r="G1810" s="8"/>
      <c r="H1810" s="8"/>
      <c r="I1810" s="8">
        <v>393.48</v>
      </c>
      <c r="J1810" s="8"/>
      <c r="K1810" s="8"/>
      <c r="L1810" s="8"/>
      <c r="M1810" s="8"/>
      <c r="N1810" s="8">
        <v>4.76</v>
      </c>
      <c r="O1810" s="8"/>
      <c r="P1810" s="8"/>
      <c r="Q1810" s="11"/>
      <c r="R1810" s="11"/>
      <c r="S1810" s="8">
        <v>0.47</v>
      </c>
      <c r="T1810" s="8"/>
      <c r="U1810" s="8"/>
      <c r="V1810" s="8"/>
      <c r="W1810" s="8">
        <v>5.1100000000000003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>
        <v>2.71</v>
      </c>
      <c r="AN1810" s="8">
        <f>1209*5.67/1000</f>
        <v>6.8550300000000002</v>
      </c>
      <c r="AO1810" s="8"/>
      <c r="AP1810" s="11"/>
      <c r="AQ1810" s="8"/>
      <c r="AR1810" s="8">
        <f>4811*5.67/1000</f>
        <v>27.278369999999999</v>
      </c>
      <c r="AS1810" s="8"/>
      <c r="AT1810" s="8">
        <v>292.54000000000002</v>
      </c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>
        <v>21.31</v>
      </c>
      <c r="BH1810" s="9">
        <f t="shared" si="252"/>
        <v>678.75</v>
      </c>
      <c r="BI1810" s="9">
        <f t="shared" si="253"/>
        <v>4.76</v>
      </c>
      <c r="BJ1810" s="9">
        <f t="shared" si="254"/>
        <v>0.47</v>
      </c>
      <c r="BK1810" s="9">
        <f t="shared" si="255"/>
        <v>5.1100000000000003</v>
      </c>
      <c r="BL1810" s="9">
        <f t="shared" si="256"/>
        <v>0</v>
      </c>
      <c r="BM1810" s="9">
        <f t="shared" si="257"/>
        <v>36.843400000000003</v>
      </c>
      <c r="BN1810" s="9">
        <f t="shared" si="258"/>
        <v>292.54000000000002</v>
      </c>
      <c r="BO1810" s="9">
        <f t="shared" si="259"/>
        <v>0</v>
      </c>
      <c r="BP1810" s="9">
        <f t="shared" si="260"/>
        <v>0</v>
      </c>
    </row>
    <row r="1811" spans="1:68">
      <c r="A1811" s="6">
        <v>44872</v>
      </c>
      <c r="B1811" s="7">
        <v>3141</v>
      </c>
      <c r="C1811" s="8">
        <v>2417.7800000000002</v>
      </c>
      <c r="D1811" s="8">
        <v>426.73</v>
      </c>
      <c r="E1811" s="8"/>
      <c r="F1811" s="8"/>
      <c r="G1811" s="8"/>
      <c r="H1811" s="8"/>
      <c r="I1811" s="8"/>
      <c r="J1811" s="8"/>
      <c r="K1811" s="8"/>
      <c r="L1811" s="8"/>
      <c r="M1811" s="8">
        <v>7.77</v>
      </c>
      <c r="N1811" s="8"/>
      <c r="O1811" s="8"/>
      <c r="P1811" s="8"/>
      <c r="Q1811" s="11"/>
      <c r="R1811" s="11"/>
      <c r="S1811" s="8">
        <v>13.38</v>
      </c>
      <c r="T1811" s="8"/>
      <c r="U1811" s="8">
        <v>42.69</v>
      </c>
      <c r="V1811" s="8"/>
      <c r="W1811" s="8"/>
      <c r="X1811" s="8"/>
      <c r="Y1811" s="8"/>
      <c r="Z1811" s="8"/>
      <c r="AA1811" s="8"/>
      <c r="AB1811" s="8"/>
      <c r="AC1811" s="8">
        <v>11.39</v>
      </c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11"/>
      <c r="AQ1811" s="8"/>
      <c r="AR1811" s="8"/>
      <c r="AS1811" s="8"/>
      <c r="AT1811" s="8">
        <v>1878.47</v>
      </c>
      <c r="AU1811" s="8"/>
      <c r="AV1811" s="8"/>
      <c r="AW1811" s="8"/>
      <c r="AX1811" s="8"/>
      <c r="AY1811" s="8"/>
      <c r="AZ1811" s="8"/>
      <c r="BA1811" s="8">
        <v>65.19</v>
      </c>
      <c r="BB1811" s="8"/>
      <c r="BC1811" s="8"/>
      <c r="BD1811" s="8"/>
      <c r="BE1811" s="8"/>
      <c r="BF1811" s="8">
        <v>199.2</v>
      </c>
      <c r="BG1811" s="8">
        <v>148.04</v>
      </c>
      <c r="BH1811" s="9">
        <f t="shared" si="252"/>
        <v>2844.51</v>
      </c>
      <c r="BI1811" s="9">
        <f t="shared" si="253"/>
        <v>7.77</v>
      </c>
      <c r="BJ1811" s="9">
        <f t="shared" si="254"/>
        <v>13.38</v>
      </c>
      <c r="BK1811" s="9">
        <f t="shared" si="255"/>
        <v>42.69</v>
      </c>
      <c r="BL1811" s="9">
        <f t="shared" si="256"/>
        <v>0</v>
      </c>
      <c r="BM1811" s="9">
        <f t="shared" si="257"/>
        <v>11.39</v>
      </c>
      <c r="BN1811" s="9">
        <f t="shared" si="258"/>
        <v>1878.47</v>
      </c>
      <c r="BO1811" s="9">
        <f t="shared" si="259"/>
        <v>65.19</v>
      </c>
      <c r="BP1811" s="9">
        <f t="shared" si="260"/>
        <v>199.2</v>
      </c>
    </row>
    <row r="1812" spans="1:68">
      <c r="A1812" s="6">
        <v>44872</v>
      </c>
      <c r="B1812" s="7">
        <v>3106</v>
      </c>
      <c r="C1812" s="8">
        <v>4097.88</v>
      </c>
      <c r="D1812" s="8"/>
      <c r="E1812" s="8"/>
      <c r="F1812" s="8"/>
      <c r="G1812" s="8"/>
      <c r="H1812" s="8"/>
      <c r="I1812" s="8"/>
      <c r="J1812" s="8"/>
      <c r="K1812" s="8"/>
      <c r="L1812" s="8"/>
      <c r="M1812" s="8">
        <v>10.26</v>
      </c>
      <c r="N1812" s="8"/>
      <c r="O1812" s="8"/>
      <c r="P1812" s="8"/>
      <c r="Q1812" s="11"/>
      <c r="R1812" s="11"/>
      <c r="S1812" s="8">
        <v>12.33</v>
      </c>
      <c r="T1812" s="8"/>
      <c r="U1812" s="8">
        <v>52.15</v>
      </c>
      <c r="V1812" s="8"/>
      <c r="W1812" s="8"/>
      <c r="X1812" s="8"/>
      <c r="Y1812" s="8"/>
      <c r="Z1812" s="8"/>
      <c r="AA1812" s="8"/>
      <c r="AB1812" s="8"/>
      <c r="AC1812" s="8">
        <v>10.25</v>
      </c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11"/>
      <c r="AQ1812" s="8"/>
      <c r="AR1812" s="8"/>
      <c r="AS1812" s="8"/>
      <c r="AT1812" s="8">
        <v>2338.2800000000002</v>
      </c>
      <c r="AU1812" s="8"/>
      <c r="AV1812" s="8"/>
      <c r="AW1812" s="8"/>
      <c r="AX1812" s="8">
        <v>5.12</v>
      </c>
      <c r="AY1812" s="8"/>
      <c r="AZ1812" s="8"/>
      <c r="BA1812" s="8"/>
      <c r="BB1812" s="8"/>
      <c r="BC1812" s="8"/>
      <c r="BD1812" s="8"/>
      <c r="BE1812" s="8"/>
      <c r="BF1812" s="8"/>
      <c r="BG1812" s="8">
        <v>176.53</v>
      </c>
      <c r="BH1812" s="9">
        <f t="shared" si="252"/>
        <v>4097.88</v>
      </c>
      <c r="BI1812" s="9">
        <f t="shared" si="253"/>
        <v>10.26</v>
      </c>
      <c r="BJ1812" s="9">
        <f t="shared" si="254"/>
        <v>12.33</v>
      </c>
      <c r="BK1812" s="9">
        <f t="shared" si="255"/>
        <v>52.15</v>
      </c>
      <c r="BL1812" s="9">
        <f t="shared" si="256"/>
        <v>0</v>
      </c>
      <c r="BM1812" s="9">
        <f t="shared" si="257"/>
        <v>10.25</v>
      </c>
      <c r="BN1812" s="9">
        <f t="shared" si="258"/>
        <v>2338.2800000000002</v>
      </c>
      <c r="BO1812" s="9">
        <f t="shared" si="259"/>
        <v>5.12</v>
      </c>
      <c r="BP1812" s="9">
        <f t="shared" si="260"/>
        <v>0</v>
      </c>
    </row>
    <row r="1813" spans="1:68">
      <c r="A1813" s="6">
        <v>44872</v>
      </c>
      <c r="B1813" s="7">
        <v>3126</v>
      </c>
      <c r="C1813" s="8">
        <v>944.97</v>
      </c>
      <c r="D1813" s="8">
        <v>404.58</v>
      </c>
      <c r="E1813" s="8"/>
      <c r="F1813" s="8"/>
      <c r="G1813" s="8"/>
      <c r="H1813" s="8"/>
      <c r="I1813" s="8"/>
      <c r="J1813" s="8"/>
      <c r="K1813" s="8"/>
      <c r="L1813" s="8"/>
      <c r="M1813" s="8"/>
      <c r="N1813" s="8">
        <v>2.37</v>
      </c>
      <c r="O1813" s="8"/>
      <c r="P1813" s="8"/>
      <c r="Q1813" s="11"/>
      <c r="R1813" s="11"/>
      <c r="S1813" s="8">
        <v>4.05</v>
      </c>
      <c r="T1813" s="8"/>
      <c r="U1813" s="8">
        <v>13.49</v>
      </c>
      <c r="V1813" s="8"/>
      <c r="W1813" s="8"/>
      <c r="X1813" s="8"/>
      <c r="Y1813" s="8"/>
      <c r="Z1813" s="8"/>
      <c r="AA1813" s="8"/>
      <c r="AB1813" s="8"/>
      <c r="AC1813" s="8">
        <v>3.37</v>
      </c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11"/>
      <c r="AQ1813" s="8"/>
      <c r="AR1813" s="8"/>
      <c r="AS1813" s="8"/>
      <c r="AT1813" s="8">
        <v>589.83000000000004</v>
      </c>
      <c r="AU1813" s="8"/>
      <c r="AV1813" s="8"/>
      <c r="AW1813" s="8"/>
      <c r="AX1813" s="8"/>
      <c r="AY1813" s="8"/>
      <c r="AZ1813" s="8"/>
      <c r="BA1813" s="8">
        <v>10.31</v>
      </c>
      <c r="BB1813" s="8"/>
      <c r="BC1813" s="8"/>
      <c r="BD1813" s="8"/>
      <c r="BE1813" s="8"/>
      <c r="BF1813" s="8"/>
      <c r="BG1813" s="8">
        <v>41.84</v>
      </c>
      <c r="BH1813" s="9">
        <f t="shared" si="252"/>
        <v>1349.55</v>
      </c>
      <c r="BI1813" s="9">
        <f t="shared" si="253"/>
        <v>2.37</v>
      </c>
      <c r="BJ1813" s="9">
        <f t="shared" si="254"/>
        <v>4.05</v>
      </c>
      <c r="BK1813" s="9">
        <f t="shared" si="255"/>
        <v>13.49</v>
      </c>
      <c r="BL1813" s="9">
        <f t="shared" si="256"/>
        <v>0</v>
      </c>
      <c r="BM1813" s="9">
        <f t="shared" si="257"/>
        <v>3.37</v>
      </c>
      <c r="BN1813" s="9">
        <f t="shared" si="258"/>
        <v>589.83000000000004</v>
      </c>
      <c r="BO1813" s="9">
        <f t="shared" si="259"/>
        <v>10.31</v>
      </c>
      <c r="BP1813" s="9">
        <f t="shared" si="260"/>
        <v>0</v>
      </c>
    </row>
    <row r="1814" spans="1:68">
      <c r="A1814" s="6">
        <v>44872</v>
      </c>
      <c r="B1814" s="7">
        <v>3112</v>
      </c>
      <c r="C1814" s="8">
        <v>3231.02</v>
      </c>
      <c r="D1814" s="8"/>
      <c r="E1814" s="8"/>
      <c r="F1814" s="8"/>
      <c r="G1814" s="8"/>
      <c r="H1814" s="8"/>
      <c r="I1814" s="8"/>
      <c r="J1814" s="8"/>
      <c r="K1814" s="8"/>
      <c r="L1814" s="8"/>
      <c r="M1814" s="8">
        <v>3.07</v>
      </c>
      <c r="N1814" s="8">
        <v>3.08</v>
      </c>
      <c r="O1814" s="8"/>
      <c r="P1814" s="8"/>
      <c r="Q1814" s="11"/>
      <c r="R1814" s="11"/>
      <c r="S1814" s="8">
        <v>9.7100000000000009</v>
      </c>
      <c r="T1814" s="8"/>
      <c r="U1814" s="8">
        <v>32.369999999999997</v>
      </c>
      <c r="V1814" s="8"/>
      <c r="W1814" s="8"/>
      <c r="X1814" s="8"/>
      <c r="Y1814" s="8"/>
      <c r="Z1814" s="8"/>
      <c r="AA1814" s="8"/>
      <c r="AB1814" s="8"/>
      <c r="AC1814" s="8">
        <v>12.92</v>
      </c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11"/>
      <c r="AQ1814" s="8"/>
      <c r="AR1814" s="8"/>
      <c r="AS1814" s="8"/>
      <c r="AT1814" s="8">
        <v>1352.82</v>
      </c>
      <c r="AU1814" s="8"/>
      <c r="AV1814" s="8"/>
      <c r="AW1814" s="8"/>
      <c r="AX1814" s="8"/>
      <c r="AY1814" s="8"/>
      <c r="AZ1814" s="8"/>
      <c r="BA1814" s="8">
        <v>42.69</v>
      </c>
      <c r="BB1814" s="8"/>
      <c r="BC1814" s="8"/>
      <c r="BD1814" s="8"/>
      <c r="BE1814" s="8"/>
      <c r="BF1814" s="8"/>
      <c r="BG1814" s="8">
        <v>97.2</v>
      </c>
      <c r="BH1814" s="9">
        <f t="shared" si="252"/>
        <v>3231.02</v>
      </c>
      <c r="BI1814" s="9">
        <f t="shared" si="253"/>
        <v>6.15</v>
      </c>
      <c r="BJ1814" s="9">
        <f t="shared" si="254"/>
        <v>9.7100000000000009</v>
      </c>
      <c r="BK1814" s="9">
        <f t="shared" si="255"/>
        <v>32.369999999999997</v>
      </c>
      <c r="BL1814" s="9">
        <f t="shared" si="256"/>
        <v>0</v>
      </c>
      <c r="BM1814" s="9">
        <f t="shared" si="257"/>
        <v>12.92</v>
      </c>
      <c r="BN1814" s="9">
        <f t="shared" si="258"/>
        <v>1352.82</v>
      </c>
      <c r="BO1814" s="9">
        <f t="shared" si="259"/>
        <v>42.69</v>
      </c>
      <c r="BP1814" s="9">
        <f t="shared" si="260"/>
        <v>0</v>
      </c>
    </row>
    <row r="1815" spans="1:68">
      <c r="A1815" s="6">
        <v>44872</v>
      </c>
      <c r="B1815" s="7">
        <v>3125</v>
      </c>
      <c r="C1815" s="8">
        <v>1092.6099999999999</v>
      </c>
      <c r="D1815" s="8"/>
      <c r="E1815" s="8"/>
      <c r="F1815" s="8"/>
      <c r="G1815" s="8"/>
      <c r="H1815" s="8"/>
      <c r="I1815" s="8"/>
      <c r="J1815" s="8"/>
      <c r="K1815" s="8"/>
      <c r="L1815" s="8"/>
      <c r="M1815" s="8">
        <v>2.72</v>
      </c>
      <c r="N1815" s="8"/>
      <c r="O1815" s="8"/>
      <c r="P1815" s="8"/>
      <c r="Q1815" s="11"/>
      <c r="R1815" s="11"/>
      <c r="S1815" s="8">
        <v>3.29</v>
      </c>
      <c r="T1815" s="8"/>
      <c r="U1815" s="8">
        <v>13.89</v>
      </c>
      <c r="V1815" s="8"/>
      <c r="W1815" s="8"/>
      <c r="X1815" s="8"/>
      <c r="Y1815" s="8"/>
      <c r="Z1815" s="8"/>
      <c r="AA1815" s="8"/>
      <c r="AB1815" s="8"/>
      <c r="AC1815" s="8">
        <v>4.37</v>
      </c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11"/>
      <c r="AQ1815" s="8"/>
      <c r="AR1815" s="8"/>
      <c r="AS1815" s="8"/>
      <c r="AT1815" s="8">
        <v>624.1</v>
      </c>
      <c r="AU1815" s="8"/>
      <c r="AV1815" s="8">
        <v>16.420000000000002</v>
      </c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>
        <v>46.83</v>
      </c>
      <c r="BH1815" s="9">
        <f t="shared" si="252"/>
        <v>1092.6099999999999</v>
      </c>
      <c r="BI1815" s="9">
        <f t="shared" si="253"/>
        <v>2.72</v>
      </c>
      <c r="BJ1815" s="9">
        <f t="shared" si="254"/>
        <v>3.29</v>
      </c>
      <c r="BK1815" s="9">
        <f t="shared" si="255"/>
        <v>13.89</v>
      </c>
      <c r="BL1815" s="9">
        <f t="shared" si="256"/>
        <v>0</v>
      </c>
      <c r="BM1815" s="9">
        <f t="shared" si="257"/>
        <v>4.37</v>
      </c>
      <c r="BN1815" s="9">
        <f t="shared" si="258"/>
        <v>624.1</v>
      </c>
      <c r="BO1815" s="9">
        <f t="shared" si="259"/>
        <v>16.420000000000002</v>
      </c>
      <c r="BP1815" s="9">
        <f t="shared" si="260"/>
        <v>0</v>
      </c>
    </row>
    <row r="1816" spans="1:68">
      <c r="A1816" s="6">
        <v>44872</v>
      </c>
      <c r="B1816" s="7">
        <v>3083</v>
      </c>
      <c r="C1816" s="8"/>
      <c r="D1816" s="8">
        <v>1087.42</v>
      </c>
      <c r="E1816" s="8"/>
      <c r="F1816" s="8"/>
      <c r="G1816" s="8"/>
      <c r="H1816" s="8"/>
      <c r="I1816" s="8">
        <v>2534.7199999999998</v>
      </c>
      <c r="J1816" s="8"/>
      <c r="K1816" s="8"/>
      <c r="L1816" s="8"/>
      <c r="M1816" s="8"/>
      <c r="N1816" s="8">
        <v>22.82</v>
      </c>
      <c r="O1816" s="8"/>
      <c r="P1816" s="8"/>
      <c r="Q1816" s="11"/>
      <c r="R1816" s="11"/>
      <c r="S1816" s="8">
        <v>2.5299999999999998</v>
      </c>
      <c r="T1816" s="8"/>
      <c r="U1816" s="8"/>
      <c r="V1816" s="8"/>
      <c r="W1816" s="8">
        <v>28.98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>
        <v>14.45</v>
      </c>
      <c r="AN1816" s="8">
        <f>1898*26.82/1000</f>
        <v>50.904360000000004</v>
      </c>
      <c r="AO1816" s="8"/>
      <c r="AP1816" s="11"/>
      <c r="AQ1816" s="8"/>
      <c r="AR1816" s="8">
        <f>3411*26.82/1000</f>
        <v>91.48302000000001</v>
      </c>
      <c r="AS1816" s="8"/>
      <c r="AT1816" s="8">
        <v>1703.21</v>
      </c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>
        <v>135.03</v>
      </c>
      <c r="BH1816" s="9">
        <f t="shared" si="252"/>
        <v>3622.14</v>
      </c>
      <c r="BI1816" s="9">
        <f t="shared" si="253"/>
        <v>22.82</v>
      </c>
      <c r="BJ1816" s="9">
        <f t="shared" si="254"/>
        <v>2.5299999999999998</v>
      </c>
      <c r="BK1816" s="9">
        <f t="shared" si="255"/>
        <v>28.98</v>
      </c>
      <c r="BL1816" s="9">
        <f t="shared" si="256"/>
        <v>0</v>
      </c>
      <c r="BM1816" s="9">
        <f t="shared" si="257"/>
        <v>156.83738</v>
      </c>
      <c r="BN1816" s="9">
        <f t="shared" si="258"/>
        <v>1703.21</v>
      </c>
      <c r="BO1816" s="9">
        <f t="shared" si="259"/>
        <v>0</v>
      </c>
      <c r="BP1816" s="9">
        <f t="shared" si="260"/>
        <v>0</v>
      </c>
    </row>
    <row r="1817" spans="1:68">
      <c r="A1817" s="6">
        <v>44872</v>
      </c>
      <c r="B1817" s="7">
        <v>3023</v>
      </c>
      <c r="C1817" s="8"/>
      <c r="D1817" s="8">
        <v>1644.93</v>
      </c>
      <c r="E1817" s="8"/>
      <c r="F1817" s="8"/>
      <c r="G1817" s="8"/>
      <c r="H1817" s="8"/>
      <c r="I1817" s="8">
        <v>886.13</v>
      </c>
      <c r="J1817" s="8"/>
      <c r="K1817" s="8"/>
      <c r="L1817" s="8"/>
      <c r="M1817" s="8"/>
      <c r="N1817" s="8">
        <v>14.18</v>
      </c>
      <c r="O1817" s="8"/>
      <c r="P1817" s="8"/>
      <c r="Q1817" s="11"/>
      <c r="R1817" s="11"/>
      <c r="S1817" s="8">
        <v>4.05</v>
      </c>
      <c r="T1817" s="8"/>
      <c r="U1817" s="8"/>
      <c r="V1817" s="8"/>
      <c r="W1817" s="8">
        <v>22.79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>
        <v>25.32</v>
      </c>
      <c r="AN1817" s="8">
        <f>1022*17.45/1000</f>
        <v>17.833899999999996</v>
      </c>
      <c r="AO1817" s="8"/>
      <c r="AP1817" s="11"/>
      <c r="AQ1817" s="8"/>
      <c r="AR1817" s="8"/>
      <c r="AS1817" s="8">
        <f>4777*17.45/1000</f>
        <v>83.358649999999997</v>
      </c>
      <c r="AT1817" s="8">
        <v>1037.83</v>
      </c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>
        <v>78.45</v>
      </c>
      <c r="BH1817" s="9">
        <f t="shared" si="252"/>
        <v>2531.06</v>
      </c>
      <c r="BI1817" s="9">
        <f t="shared" si="253"/>
        <v>14.18</v>
      </c>
      <c r="BJ1817" s="9">
        <f t="shared" si="254"/>
        <v>4.05</v>
      </c>
      <c r="BK1817" s="9">
        <f t="shared" si="255"/>
        <v>22.79</v>
      </c>
      <c r="BL1817" s="9">
        <f t="shared" si="256"/>
        <v>0</v>
      </c>
      <c r="BM1817" s="9">
        <f t="shared" si="257"/>
        <v>126.51254999999999</v>
      </c>
      <c r="BN1817" s="9">
        <f t="shared" si="258"/>
        <v>1037.83</v>
      </c>
      <c r="BO1817" s="9">
        <f t="shared" si="259"/>
        <v>0</v>
      </c>
      <c r="BP1817" s="9">
        <f t="shared" si="260"/>
        <v>0</v>
      </c>
    </row>
    <row r="1818" spans="1:68">
      <c r="A1818" s="6">
        <v>44872</v>
      </c>
      <c r="B1818" s="7">
        <v>3205</v>
      </c>
      <c r="C1818" s="8">
        <v>687.21</v>
      </c>
      <c r="D1818" s="8">
        <v>382.21</v>
      </c>
      <c r="E1818" s="8">
        <v>457.83</v>
      </c>
      <c r="F1818" s="8"/>
      <c r="G1818" s="8"/>
      <c r="H1818" s="8"/>
      <c r="I1818" s="8"/>
      <c r="J1818" s="8"/>
      <c r="K1818" s="8"/>
      <c r="L1818" s="8"/>
      <c r="M1818" s="8"/>
      <c r="N1818" s="8"/>
      <c r="O1818" s="8">
        <v>6.1</v>
      </c>
      <c r="P1818" s="8"/>
      <c r="Q1818" s="11"/>
      <c r="R1818" s="11"/>
      <c r="S1818" s="8">
        <v>5.65</v>
      </c>
      <c r="T1818" s="8"/>
      <c r="U1818" s="8">
        <v>18.32</v>
      </c>
      <c r="V1818" s="8"/>
      <c r="W1818" s="8"/>
      <c r="X1818" s="8"/>
      <c r="Y1818" s="8"/>
      <c r="Z1818" s="8">
        <v>152.77000000000001</v>
      </c>
      <c r="AA1818" s="8"/>
      <c r="AB1818" s="8">
        <f>1022*15.25/1000</f>
        <v>15.5855</v>
      </c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11"/>
      <c r="AQ1818" s="8">
        <f>513*15.25/1000</f>
        <v>7.8232499999999998</v>
      </c>
      <c r="AR1818" s="8"/>
      <c r="AS1818" s="8"/>
      <c r="AT1818" s="8">
        <v>397.48</v>
      </c>
      <c r="AU1818" s="8">
        <v>198.88</v>
      </c>
      <c r="AV1818" s="8"/>
      <c r="AW1818" s="8">
        <v>6.55</v>
      </c>
      <c r="AX1818" s="8"/>
      <c r="AY1818" s="8"/>
      <c r="AZ1818" s="8"/>
      <c r="BA1818" s="8"/>
      <c r="BB1818" s="8"/>
      <c r="BC1818" s="8"/>
      <c r="BD1818" s="8"/>
      <c r="BE1818" s="8"/>
      <c r="BF1818" s="8"/>
      <c r="BG1818" s="8">
        <v>35.89</v>
      </c>
      <c r="BH1818" s="9">
        <f t="shared" si="252"/>
        <v>1527.25</v>
      </c>
      <c r="BI1818" s="9">
        <f t="shared" si="253"/>
        <v>6.1</v>
      </c>
      <c r="BJ1818" s="9">
        <f t="shared" si="254"/>
        <v>5.65</v>
      </c>
      <c r="BK1818" s="9">
        <f t="shared" si="255"/>
        <v>18.32</v>
      </c>
      <c r="BL1818" s="9">
        <f t="shared" si="256"/>
        <v>152.77000000000001</v>
      </c>
      <c r="BM1818" s="9">
        <f t="shared" si="257"/>
        <v>23.408749999999998</v>
      </c>
      <c r="BN1818" s="9">
        <f t="shared" si="258"/>
        <v>596.36</v>
      </c>
      <c r="BO1818" s="9">
        <f t="shared" si="259"/>
        <v>6.55</v>
      </c>
      <c r="BP1818" s="9">
        <f t="shared" si="260"/>
        <v>0</v>
      </c>
    </row>
    <row r="1819" spans="1:68">
      <c r="A1819" s="6">
        <v>44872</v>
      </c>
      <c r="B1819" s="7">
        <v>3200</v>
      </c>
      <c r="C1819" s="8">
        <v>1217.58</v>
      </c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>
        <v>3.05</v>
      </c>
      <c r="P1819" s="8"/>
      <c r="Q1819" s="11"/>
      <c r="R1819" s="11"/>
      <c r="S1819" s="8">
        <v>4.7699999999999996</v>
      </c>
      <c r="T1819" s="8"/>
      <c r="U1819" s="8">
        <v>18.36</v>
      </c>
      <c r="V1819" s="8"/>
      <c r="W1819" s="8"/>
      <c r="X1819" s="8"/>
      <c r="Y1819" s="8"/>
      <c r="Z1819" s="8">
        <v>256.64</v>
      </c>
      <c r="AA1819" s="8"/>
      <c r="AB1819" s="8"/>
      <c r="AC1819" s="8"/>
      <c r="AD1819" s="8"/>
      <c r="AE1819" s="8"/>
      <c r="AF1819" s="8">
        <v>61.05</v>
      </c>
      <c r="AG1819" s="8"/>
      <c r="AH1819" s="8"/>
      <c r="AI1819" s="8"/>
      <c r="AJ1819" s="8"/>
      <c r="AK1819" s="8"/>
      <c r="AL1819" s="8"/>
      <c r="AM1819" s="8"/>
      <c r="AN1819" s="8"/>
      <c r="AO1819" s="8"/>
      <c r="AP1819" s="11"/>
      <c r="AQ1819" s="8">
        <f>1533*12.22/1000</f>
        <v>18.733260000000001</v>
      </c>
      <c r="AR1819" s="8"/>
      <c r="AS1819" s="8"/>
      <c r="AT1819" s="8">
        <v>834.73</v>
      </c>
      <c r="AU1819" s="8"/>
      <c r="AV1819" s="8"/>
      <c r="AW1819" s="8">
        <v>3.57</v>
      </c>
      <c r="AX1819" s="8"/>
      <c r="AY1819" s="8"/>
      <c r="AZ1819" s="8"/>
      <c r="BA1819" s="8"/>
      <c r="BB1819" s="8"/>
      <c r="BC1819" s="8"/>
      <c r="BD1819" s="8"/>
      <c r="BE1819" s="8"/>
      <c r="BF1819" s="8">
        <v>58.64</v>
      </c>
      <c r="BG1819" s="8">
        <v>60.7</v>
      </c>
      <c r="BH1819" s="9">
        <f t="shared" si="252"/>
        <v>1217.58</v>
      </c>
      <c r="BI1819" s="9">
        <f t="shared" si="253"/>
        <v>3.05</v>
      </c>
      <c r="BJ1819" s="9">
        <f t="shared" si="254"/>
        <v>4.7699999999999996</v>
      </c>
      <c r="BK1819" s="9">
        <f t="shared" si="255"/>
        <v>18.36</v>
      </c>
      <c r="BL1819" s="9">
        <f t="shared" si="256"/>
        <v>256.64</v>
      </c>
      <c r="BM1819" s="9">
        <f t="shared" si="257"/>
        <v>79.783259999999999</v>
      </c>
      <c r="BN1819" s="9">
        <f t="shared" si="258"/>
        <v>834.73</v>
      </c>
      <c r="BO1819" s="9">
        <f t="shared" si="259"/>
        <v>3.57</v>
      </c>
      <c r="BP1819" s="9">
        <f t="shared" si="260"/>
        <v>58.64</v>
      </c>
    </row>
    <row r="1820" spans="1:68">
      <c r="A1820" s="6">
        <v>44872</v>
      </c>
      <c r="B1820" s="7">
        <v>3405</v>
      </c>
      <c r="C1820" s="8">
        <v>1201.99</v>
      </c>
      <c r="D1820" s="8">
        <v>302.8</v>
      </c>
      <c r="E1820" s="8"/>
      <c r="F1820" s="8"/>
      <c r="G1820" s="8"/>
      <c r="H1820" s="8"/>
      <c r="I1820" s="8"/>
      <c r="J1820" s="8"/>
      <c r="K1820" s="8"/>
      <c r="L1820" s="8"/>
      <c r="M1820" s="8">
        <v>3.04</v>
      </c>
      <c r="N1820" s="8"/>
      <c r="O1820" s="8"/>
      <c r="P1820" s="8"/>
      <c r="Q1820" s="11"/>
      <c r="R1820" s="11"/>
      <c r="S1820" s="8">
        <v>3.49</v>
      </c>
      <c r="T1820" s="8"/>
      <c r="U1820" s="8"/>
      <c r="V1820" s="8"/>
      <c r="W1820" s="8"/>
      <c r="X1820" s="8">
        <f>1186*15.15/1000</f>
        <v>17.9679</v>
      </c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11"/>
      <c r="AQ1820" s="8"/>
      <c r="AR1820" s="8"/>
      <c r="AS1820" s="8"/>
      <c r="AT1820" s="8">
        <v>741.76</v>
      </c>
      <c r="AU1820" s="8"/>
      <c r="AV1820" s="8"/>
      <c r="AW1820" s="8"/>
      <c r="AX1820" s="8"/>
      <c r="AY1820" s="8"/>
      <c r="AZ1820" s="8"/>
      <c r="BA1820" s="8">
        <v>6.75</v>
      </c>
      <c r="BB1820" s="8"/>
      <c r="BC1820" s="8"/>
      <c r="BD1820" s="8"/>
      <c r="BE1820" s="8"/>
      <c r="BF1820" s="8"/>
      <c r="BG1820" s="8">
        <v>50.1</v>
      </c>
      <c r="BH1820" s="9">
        <f t="shared" si="252"/>
        <v>1504.79</v>
      </c>
      <c r="BI1820" s="9">
        <f t="shared" si="253"/>
        <v>3.04</v>
      </c>
      <c r="BJ1820" s="9">
        <f t="shared" si="254"/>
        <v>3.49</v>
      </c>
      <c r="BK1820" s="9">
        <f t="shared" si="255"/>
        <v>17.9679</v>
      </c>
      <c r="BL1820" s="9">
        <f t="shared" si="256"/>
        <v>0</v>
      </c>
      <c r="BM1820" s="9">
        <f t="shared" si="257"/>
        <v>0</v>
      </c>
      <c r="BN1820" s="9">
        <f t="shared" si="258"/>
        <v>741.76</v>
      </c>
      <c r="BO1820" s="9">
        <f t="shared" si="259"/>
        <v>6.75</v>
      </c>
      <c r="BP1820" s="9">
        <f t="shared" si="260"/>
        <v>0</v>
      </c>
    </row>
    <row r="1821" spans="1:68">
      <c r="A1821" s="6">
        <v>44872</v>
      </c>
      <c r="B1821" s="7">
        <v>3101</v>
      </c>
      <c r="C1821" s="8">
        <v>636.27</v>
      </c>
      <c r="D1821" s="8"/>
      <c r="E1821" s="8"/>
      <c r="F1821" s="8"/>
      <c r="G1821" s="8"/>
      <c r="H1821" s="8"/>
      <c r="I1821" s="8"/>
      <c r="J1821" s="8"/>
      <c r="K1821" s="8"/>
      <c r="L1821" s="8"/>
      <c r="M1821" s="8">
        <v>1.46</v>
      </c>
      <c r="N1821" s="8"/>
      <c r="O1821" s="8"/>
      <c r="P1821" s="8"/>
      <c r="Q1821" s="11"/>
      <c r="R1821" s="11"/>
      <c r="S1821" s="8">
        <v>3.7</v>
      </c>
      <c r="T1821" s="8"/>
      <c r="U1821" s="8">
        <v>10.199999999999999</v>
      </c>
      <c r="V1821" s="8"/>
      <c r="W1821" s="8"/>
      <c r="X1821" s="8"/>
      <c r="Y1821" s="8"/>
      <c r="Z1821" s="8"/>
      <c r="AA1821" s="8"/>
      <c r="AB1821" s="8"/>
      <c r="AC1821" s="8">
        <v>2.5499999999999998</v>
      </c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11"/>
      <c r="AQ1821" s="8"/>
      <c r="AR1821" s="8"/>
      <c r="AS1821" s="8"/>
      <c r="AT1821" s="8">
        <v>427.71</v>
      </c>
      <c r="AU1821" s="8"/>
      <c r="AV1821" s="8"/>
      <c r="AW1821" s="8">
        <v>13.59</v>
      </c>
      <c r="AX1821" s="8"/>
      <c r="AY1821" s="8"/>
      <c r="AZ1821" s="8"/>
      <c r="BA1821" s="8"/>
      <c r="BB1821" s="8"/>
      <c r="BC1821" s="8"/>
      <c r="BD1821" s="8"/>
      <c r="BE1821" s="8"/>
      <c r="BF1821" s="8">
        <v>82.88</v>
      </c>
      <c r="BG1821" s="8">
        <v>32.81</v>
      </c>
      <c r="BH1821" s="9">
        <f t="shared" si="252"/>
        <v>636.27</v>
      </c>
      <c r="BI1821" s="9">
        <f t="shared" si="253"/>
        <v>1.46</v>
      </c>
      <c r="BJ1821" s="9">
        <f t="shared" si="254"/>
        <v>3.7</v>
      </c>
      <c r="BK1821" s="9">
        <f t="shared" si="255"/>
        <v>10.199999999999999</v>
      </c>
      <c r="BL1821" s="9">
        <f t="shared" si="256"/>
        <v>0</v>
      </c>
      <c r="BM1821" s="9">
        <f t="shared" si="257"/>
        <v>2.5499999999999998</v>
      </c>
      <c r="BN1821" s="9">
        <f t="shared" si="258"/>
        <v>427.71</v>
      </c>
      <c r="BO1821" s="9">
        <f t="shared" si="259"/>
        <v>13.59</v>
      </c>
      <c r="BP1821" s="9">
        <f t="shared" si="260"/>
        <v>82.88</v>
      </c>
    </row>
    <row r="1822" spans="1:68">
      <c r="A1822" s="6">
        <v>44873</v>
      </c>
      <c r="B1822" s="7">
        <v>3100</v>
      </c>
      <c r="C1822" s="8">
        <v>632.52</v>
      </c>
      <c r="D1822" s="8"/>
      <c r="E1822" s="8"/>
      <c r="F1822" s="8"/>
      <c r="G1822" s="8"/>
      <c r="H1822" s="8"/>
      <c r="I1822" s="8"/>
      <c r="J1822" s="8"/>
      <c r="K1822" s="8"/>
      <c r="L1822" s="8"/>
      <c r="M1822" s="8">
        <v>1.41</v>
      </c>
      <c r="N1822" s="8"/>
      <c r="O1822" s="8"/>
      <c r="P1822" s="8"/>
      <c r="Q1822" s="11"/>
      <c r="R1822" s="11"/>
      <c r="S1822" s="8">
        <v>3.62</v>
      </c>
      <c r="T1822" s="8"/>
      <c r="U1822" s="8">
        <v>10.17</v>
      </c>
      <c r="V1822" s="8"/>
      <c r="W1822" s="8"/>
      <c r="X1822" s="8"/>
      <c r="Y1822" s="8"/>
      <c r="Z1822" s="8"/>
      <c r="AA1822" s="8"/>
      <c r="AB1822" s="8"/>
      <c r="AC1822" s="8">
        <v>2.54</v>
      </c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11"/>
      <c r="AQ1822" s="8"/>
      <c r="AR1822" s="8"/>
      <c r="AS1822" s="8"/>
      <c r="AT1822" s="8">
        <v>425.08</v>
      </c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>
        <v>82.52</v>
      </c>
      <c r="BG1822" s="8">
        <v>32.659999999999997</v>
      </c>
      <c r="BH1822" s="9">
        <f t="shared" si="252"/>
        <v>632.52</v>
      </c>
      <c r="BI1822" s="9">
        <f t="shared" si="253"/>
        <v>1.41</v>
      </c>
      <c r="BJ1822" s="9">
        <f t="shared" si="254"/>
        <v>3.62</v>
      </c>
      <c r="BK1822" s="9">
        <f t="shared" si="255"/>
        <v>10.17</v>
      </c>
      <c r="BL1822" s="9">
        <f t="shared" si="256"/>
        <v>0</v>
      </c>
      <c r="BM1822" s="9">
        <f t="shared" si="257"/>
        <v>2.54</v>
      </c>
      <c r="BN1822" s="9">
        <f t="shared" si="258"/>
        <v>425.08</v>
      </c>
      <c r="BO1822" s="9">
        <f t="shared" si="259"/>
        <v>0</v>
      </c>
      <c r="BP1822" s="9">
        <f t="shared" si="260"/>
        <v>82.52</v>
      </c>
    </row>
    <row r="1823" spans="1:68">
      <c r="A1823" s="6">
        <v>44873</v>
      </c>
      <c r="B1823" s="7">
        <v>3117</v>
      </c>
      <c r="C1823" s="8">
        <v>722.37</v>
      </c>
      <c r="D1823" s="8"/>
      <c r="E1823" s="8"/>
      <c r="F1823" s="8"/>
      <c r="G1823" s="8"/>
      <c r="H1823" s="8"/>
      <c r="I1823" s="8"/>
      <c r="J1823" s="8"/>
      <c r="K1823" s="8"/>
      <c r="L1823" s="8"/>
      <c r="M1823" s="8">
        <v>2.08</v>
      </c>
      <c r="N1823" s="8"/>
      <c r="O1823" s="8"/>
      <c r="P1823" s="8"/>
      <c r="Q1823" s="11"/>
      <c r="R1823" s="11"/>
      <c r="S1823" s="8">
        <v>2.68</v>
      </c>
      <c r="T1823" s="8"/>
      <c r="U1823" s="8">
        <v>7.19</v>
      </c>
      <c r="V1823" s="8"/>
      <c r="W1823" s="8"/>
      <c r="X1823" s="8"/>
      <c r="Y1823" s="8"/>
      <c r="Z1823" s="8"/>
      <c r="AA1823" s="8"/>
      <c r="AB1823" s="8"/>
      <c r="AC1823" s="8">
        <v>2.89</v>
      </c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11"/>
      <c r="AQ1823" s="8"/>
      <c r="AR1823" s="8"/>
      <c r="AS1823" s="8"/>
      <c r="AT1823" s="8">
        <v>455.36</v>
      </c>
      <c r="AU1823" s="8"/>
      <c r="AV1823" s="8">
        <v>18.079999999999998</v>
      </c>
      <c r="AW1823" s="8"/>
      <c r="AX1823" s="8"/>
      <c r="AY1823" s="8"/>
      <c r="AZ1823" s="8"/>
      <c r="BA1823" s="8"/>
      <c r="BB1823" s="8"/>
      <c r="BC1823" s="8"/>
      <c r="BD1823" s="8"/>
      <c r="BE1823" s="8"/>
      <c r="BF1823" s="8">
        <v>36.119999999999997</v>
      </c>
      <c r="BG1823" s="8">
        <v>34.6</v>
      </c>
      <c r="BH1823" s="9">
        <f t="shared" si="252"/>
        <v>722.37</v>
      </c>
      <c r="BI1823" s="9">
        <f t="shared" si="253"/>
        <v>2.08</v>
      </c>
      <c r="BJ1823" s="9">
        <f t="shared" si="254"/>
        <v>2.68</v>
      </c>
      <c r="BK1823" s="9">
        <f t="shared" si="255"/>
        <v>7.19</v>
      </c>
      <c r="BL1823" s="9">
        <f t="shared" si="256"/>
        <v>0</v>
      </c>
      <c r="BM1823" s="9">
        <f t="shared" si="257"/>
        <v>2.89</v>
      </c>
      <c r="BN1823" s="9">
        <f t="shared" si="258"/>
        <v>455.36</v>
      </c>
      <c r="BO1823" s="9">
        <f t="shared" si="259"/>
        <v>18.079999999999998</v>
      </c>
      <c r="BP1823" s="9">
        <f t="shared" si="260"/>
        <v>36.119999999999997</v>
      </c>
    </row>
    <row r="1824" spans="1:68">
      <c r="A1824" s="6">
        <v>44873</v>
      </c>
      <c r="B1824" s="7">
        <v>3601</v>
      </c>
      <c r="C1824" s="8">
        <v>294.95</v>
      </c>
      <c r="D1824" s="8"/>
      <c r="E1824" s="8"/>
      <c r="F1824" s="8"/>
      <c r="G1824" s="8">
        <v>444.79</v>
      </c>
      <c r="H1824" s="8"/>
      <c r="I1824" s="8"/>
      <c r="J1824" s="8"/>
      <c r="K1824" s="8"/>
      <c r="L1824" s="8"/>
      <c r="M1824" s="8">
        <f>527*8.52/1000</f>
        <v>4.4900399999999996</v>
      </c>
      <c r="N1824" s="8"/>
      <c r="O1824" s="8"/>
      <c r="P1824" s="8"/>
      <c r="Q1824" s="11"/>
      <c r="R1824" s="11"/>
      <c r="S1824" s="8">
        <v>3.58</v>
      </c>
      <c r="T1824" s="8"/>
      <c r="U1824" s="8">
        <v>4.47</v>
      </c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11"/>
      <c r="AQ1824" s="8"/>
      <c r="AR1824" s="8"/>
      <c r="AS1824" s="8"/>
      <c r="AT1824" s="8">
        <v>364.59</v>
      </c>
      <c r="AU1824" s="8"/>
      <c r="AV1824" s="8"/>
      <c r="AW1824" s="8">
        <v>22.67</v>
      </c>
      <c r="AX1824" s="8"/>
      <c r="AY1824" s="8"/>
      <c r="AZ1824" s="8"/>
      <c r="BA1824" s="8"/>
      <c r="BB1824" s="8"/>
      <c r="BC1824" s="8"/>
      <c r="BD1824" s="8"/>
      <c r="BE1824" s="8"/>
      <c r="BF1824" s="8">
        <v>41.76</v>
      </c>
      <c r="BG1824" s="8">
        <v>26.61</v>
      </c>
      <c r="BH1824" s="9">
        <f t="shared" si="252"/>
        <v>739.74</v>
      </c>
      <c r="BI1824" s="9">
        <f t="shared" si="253"/>
        <v>4.4900399999999996</v>
      </c>
      <c r="BJ1824" s="9">
        <f t="shared" si="254"/>
        <v>3.58</v>
      </c>
      <c r="BK1824" s="9">
        <f t="shared" si="255"/>
        <v>4.47</v>
      </c>
      <c r="BL1824" s="9">
        <f t="shared" si="256"/>
        <v>0</v>
      </c>
      <c r="BM1824" s="9">
        <f t="shared" si="257"/>
        <v>0</v>
      </c>
      <c r="BN1824" s="9">
        <f t="shared" si="258"/>
        <v>364.59</v>
      </c>
      <c r="BO1824" s="9">
        <f t="shared" si="259"/>
        <v>22.67</v>
      </c>
      <c r="BP1824" s="9">
        <f t="shared" si="260"/>
        <v>41.76</v>
      </c>
    </row>
    <row r="1825" spans="1:68">
      <c r="A1825" s="6">
        <v>44873</v>
      </c>
      <c r="B1825" s="7">
        <v>3602</v>
      </c>
      <c r="C1825" s="8">
        <v>296.44</v>
      </c>
      <c r="D1825" s="8"/>
      <c r="E1825" s="8"/>
      <c r="F1825" s="8"/>
      <c r="G1825" s="8">
        <v>445.26</v>
      </c>
      <c r="H1825" s="8"/>
      <c r="I1825" s="8"/>
      <c r="J1825" s="8"/>
      <c r="K1825" s="8"/>
      <c r="L1825" s="8"/>
      <c r="M1825" s="8">
        <f>459*8.52/1000</f>
        <v>3.9106799999999997</v>
      </c>
      <c r="N1825" s="8"/>
      <c r="O1825" s="8"/>
      <c r="P1825" s="8"/>
      <c r="Q1825" s="11"/>
      <c r="R1825" s="11"/>
      <c r="S1825" s="8">
        <v>3.57</v>
      </c>
      <c r="T1825" s="8"/>
      <c r="U1825" s="8">
        <v>5.98</v>
      </c>
      <c r="V1825" s="8">
        <f>854*8.52/1000</f>
        <v>7.2760800000000003</v>
      </c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11"/>
      <c r="AQ1825" s="8"/>
      <c r="AR1825" s="8"/>
      <c r="AS1825" s="8"/>
      <c r="AT1825" s="8">
        <v>299.89999999999998</v>
      </c>
      <c r="AU1825" s="8"/>
      <c r="AV1825" s="8"/>
      <c r="AW1825" s="8">
        <v>19.260000000000002</v>
      </c>
      <c r="AX1825" s="8"/>
      <c r="AY1825" s="8"/>
      <c r="AZ1825" s="8"/>
      <c r="BA1825" s="8"/>
      <c r="BB1825" s="8"/>
      <c r="BC1825" s="8"/>
      <c r="BD1825" s="8"/>
      <c r="BE1825" s="8"/>
      <c r="BF1825" s="8">
        <v>23.89</v>
      </c>
      <c r="BG1825" s="8">
        <v>22.11</v>
      </c>
      <c r="BH1825" s="9">
        <f t="shared" si="252"/>
        <v>741.7</v>
      </c>
      <c r="BI1825" s="9">
        <f t="shared" si="253"/>
        <v>3.9106799999999997</v>
      </c>
      <c r="BJ1825" s="9">
        <f t="shared" si="254"/>
        <v>3.57</v>
      </c>
      <c r="BK1825" s="9">
        <f t="shared" si="255"/>
        <v>13.256080000000001</v>
      </c>
      <c r="BL1825" s="9">
        <f t="shared" si="256"/>
        <v>0</v>
      </c>
      <c r="BM1825" s="9">
        <f t="shared" si="257"/>
        <v>0</v>
      </c>
      <c r="BN1825" s="9">
        <f t="shared" si="258"/>
        <v>299.89999999999998</v>
      </c>
      <c r="BO1825" s="9">
        <f t="shared" si="259"/>
        <v>19.260000000000002</v>
      </c>
      <c r="BP1825" s="9">
        <f t="shared" si="260"/>
        <v>23.89</v>
      </c>
    </row>
    <row r="1826" spans="1:68">
      <c r="A1826" s="6">
        <v>44873</v>
      </c>
      <c r="B1826" s="7">
        <v>3141</v>
      </c>
      <c r="C1826" s="8">
        <v>2453.15</v>
      </c>
      <c r="D1826" s="8">
        <v>433.05</v>
      </c>
      <c r="E1826" s="8"/>
      <c r="F1826" s="8"/>
      <c r="G1826" s="8"/>
      <c r="H1826" s="8"/>
      <c r="I1826" s="8"/>
      <c r="J1826" s="8"/>
      <c r="K1826" s="8"/>
      <c r="L1826" s="8"/>
      <c r="M1826" s="8">
        <v>7.8</v>
      </c>
      <c r="N1826" s="8"/>
      <c r="O1826" s="8"/>
      <c r="P1826" s="8"/>
      <c r="Q1826" s="11"/>
      <c r="R1826" s="11"/>
      <c r="S1826" s="8">
        <v>13.58</v>
      </c>
      <c r="T1826" s="8"/>
      <c r="U1826" s="8">
        <v>43.33</v>
      </c>
      <c r="V1826" s="8"/>
      <c r="W1826" s="8"/>
      <c r="X1826" s="8"/>
      <c r="Y1826" s="8"/>
      <c r="Z1826" s="8"/>
      <c r="AA1826" s="8"/>
      <c r="AB1826" s="8"/>
      <c r="AC1826" s="8">
        <v>11.55</v>
      </c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11"/>
      <c r="AQ1826" s="8"/>
      <c r="AR1826" s="8"/>
      <c r="AS1826" s="8"/>
      <c r="AT1826" s="8">
        <v>1899.57</v>
      </c>
      <c r="AU1826" s="8"/>
      <c r="AV1826" s="8"/>
      <c r="AW1826" s="8"/>
      <c r="AX1826" s="8"/>
      <c r="AY1826" s="8"/>
      <c r="AZ1826" s="8"/>
      <c r="BA1826" s="8">
        <v>66.17</v>
      </c>
      <c r="BB1826" s="8"/>
      <c r="BC1826" s="8"/>
      <c r="BD1826" s="8"/>
      <c r="BE1826" s="8"/>
      <c r="BF1826" s="8">
        <v>202.18</v>
      </c>
      <c r="BG1826" s="8">
        <v>150.08000000000001</v>
      </c>
      <c r="BH1826" s="9">
        <f t="shared" si="252"/>
        <v>2886.2000000000003</v>
      </c>
      <c r="BI1826" s="9">
        <f t="shared" si="253"/>
        <v>7.8</v>
      </c>
      <c r="BJ1826" s="9">
        <f t="shared" si="254"/>
        <v>13.58</v>
      </c>
      <c r="BK1826" s="9">
        <f t="shared" si="255"/>
        <v>43.33</v>
      </c>
      <c r="BL1826" s="9">
        <f t="shared" si="256"/>
        <v>0</v>
      </c>
      <c r="BM1826" s="9">
        <f t="shared" si="257"/>
        <v>11.55</v>
      </c>
      <c r="BN1826" s="9">
        <f t="shared" si="258"/>
        <v>1899.57</v>
      </c>
      <c r="BO1826" s="9">
        <f t="shared" si="259"/>
        <v>66.17</v>
      </c>
      <c r="BP1826" s="9">
        <f t="shared" si="260"/>
        <v>202.18</v>
      </c>
    </row>
    <row r="1827" spans="1:68">
      <c r="A1827" s="6">
        <v>44873</v>
      </c>
      <c r="B1827" s="7">
        <v>3106</v>
      </c>
      <c r="C1827" s="8">
        <v>4109.05</v>
      </c>
      <c r="D1827" s="8"/>
      <c r="E1827" s="8"/>
      <c r="F1827" s="8"/>
      <c r="G1827" s="8"/>
      <c r="H1827" s="8"/>
      <c r="I1827" s="8"/>
      <c r="J1827" s="8"/>
      <c r="K1827" s="8"/>
      <c r="L1827" s="8"/>
      <c r="M1827" s="8">
        <v>10.28</v>
      </c>
      <c r="N1827" s="8"/>
      <c r="O1827" s="8"/>
      <c r="P1827" s="8"/>
      <c r="Q1827" s="11"/>
      <c r="R1827" s="11"/>
      <c r="S1827" s="8">
        <v>12.35</v>
      </c>
      <c r="T1827" s="8"/>
      <c r="U1827" s="8">
        <v>52.29</v>
      </c>
      <c r="V1827" s="8"/>
      <c r="W1827" s="8"/>
      <c r="X1827" s="8"/>
      <c r="Y1827" s="8"/>
      <c r="Z1827" s="8"/>
      <c r="AA1827" s="8"/>
      <c r="AB1827" s="8"/>
      <c r="AC1827" s="8">
        <v>10.28</v>
      </c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11"/>
      <c r="AQ1827" s="8"/>
      <c r="AR1827" s="8"/>
      <c r="AS1827" s="8"/>
      <c r="AT1827" s="8">
        <v>2343.2800000000002</v>
      </c>
      <c r="AU1827" s="8"/>
      <c r="AV1827" s="8"/>
      <c r="AW1827" s="8"/>
      <c r="AX1827" s="8">
        <v>5.15</v>
      </c>
      <c r="AY1827" s="8"/>
      <c r="AZ1827" s="8"/>
      <c r="BA1827" s="8"/>
      <c r="BB1827" s="8"/>
      <c r="BC1827" s="8"/>
      <c r="BD1827" s="8"/>
      <c r="BE1827" s="8"/>
      <c r="BF1827" s="8"/>
      <c r="BG1827" s="8">
        <v>177.13</v>
      </c>
      <c r="BH1827" s="9">
        <f t="shared" si="252"/>
        <v>4109.05</v>
      </c>
      <c r="BI1827" s="9">
        <f t="shared" si="253"/>
        <v>10.28</v>
      </c>
      <c r="BJ1827" s="9">
        <f t="shared" si="254"/>
        <v>12.35</v>
      </c>
      <c r="BK1827" s="9">
        <f t="shared" si="255"/>
        <v>52.29</v>
      </c>
      <c r="BL1827" s="9">
        <f t="shared" si="256"/>
        <v>0</v>
      </c>
      <c r="BM1827" s="9">
        <f t="shared" si="257"/>
        <v>10.28</v>
      </c>
      <c r="BN1827" s="9">
        <f t="shared" si="258"/>
        <v>2343.2800000000002</v>
      </c>
      <c r="BO1827" s="9">
        <f t="shared" si="259"/>
        <v>5.15</v>
      </c>
      <c r="BP1827" s="9">
        <f t="shared" si="260"/>
        <v>0</v>
      </c>
    </row>
    <row r="1828" spans="1:68">
      <c r="A1828" s="6">
        <v>44873</v>
      </c>
      <c r="B1828" s="7">
        <v>3029</v>
      </c>
      <c r="C1828" s="8"/>
      <c r="D1828" s="8">
        <v>467.81</v>
      </c>
      <c r="E1828" s="8"/>
      <c r="F1828" s="8">
        <v>329.56</v>
      </c>
      <c r="G1828" s="8"/>
      <c r="H1828" s="8"/>
      <c r="I1828" s="8">
        <v>1951.89</v>
      </c>
      <c r="J1828" s="8"/>
      <c r="K1828" s="8"/>
      <c r="L1828" s="8"/>
      <c r="M1828" s="8"/>
      <c r="N1828" s="8">
        <v>21.21</v>
      </c>
      <c r="O1828" s="8"/>
      <c r="P1828" s="8"/>
      <c r="Q1828" s="11"/>
      <c r="R1828" s="11"/>
      <c r="S1828" s="8">
        <v>1.65</v>
      </c>
      <c r="T1828" s="8"/>
      <c r="U1828" s="8"/>
      <c r="V1828" s="8"/>
      <c r="W1828" s="8">
        <v>27.56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>
        <v>9.61</v>
      </c>
      <c r="AN1828" s="8">
        <f>767*18.37/1000</f>
        <v>14.089790000000001</v>
      </c>
      <c r="AO1828" s="8"/>
      <c r="AP1828" s="11"/>
      <c r="AQ1828" s="8"/>
      <c r="AR1828" s="8">
        <f>4667*18.37/1000</f>
        <v>85.732790000000008</v>
      </c>
      <c r="AS1828" s="8"/>
      <c r="AT1828" s="8">
        <v>1046.23</v>
      </c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>
        <v>72.86</v>
      </c>
      <c r="BH1828" s="9">
        <f t="shared" si="252"/>
        <v>2749.26</v>
      </c>
      <c r="BI1828" s="9">
        <f t="shared" si="253"/>
        <v>21.21</v>
      </c>
      <c r="BJ1828" s="9">
        <f t="shared" si="254"/>
        <v>1.65</v>
      </c>
      <c r="BK1828" s="9">
        <f t="shared" si="255"/>
        <v>27.56</v>
      </c>
      <c r="BL1828" s="9">
        <f t="shared" si="256"/>
        <v>0</v>
      </c>
      <c r="BM1828" s="9">
        <f t="shared" si="257"/>
        <v>109.43258</v>
      </c>
      <c r="BN1828" s="9">
        <f t="shared" si="258"/>
        <v>1046.23</v>
      </c>
      <c r="BO1828" s="9">
        <f t="shared" si="259"/>
        <v>0</v>
      </c>
      <c r="BP1828" s="9">
        <f t="shared" si="260"/>
        <v>0</v>
      </c>
    </row>
    <row r="1829" spans="1:68">
      <c r="A1829" s="6">
        <v>44873</v>
      </c>
      <c r="B1829" s="7">
        <v>3079</v>
      </c>
      <c r="C1829" s="8"/>
      <c r="D1829" s="8"/>
      <c r="E1829" s="8"/>
      <c r="F1829" s="8">
        <v>345.58</v>
      </c>
      <c r="G1829" s="8"/>
      <c r="H1829" s="8"/>
      <c r="I1829" s="8">
        <v>2807.16</v>
      </c>
      <c r="J1829" s="8"/>
      <c r="K1829" s="8"/>
      <c r="L1829" s="8"/>
      <c r="M1829" s="8"/>
      <c r="N1829" s="8">
        <v>22.38</v>
      </c>
      <c r="O1829" s="8"/>
      <c r="P1829" s="8"/>
      <c r="Q1829" s="11"/>
      <c r="R1829" s="11"/>
      <c r="S1829" s="8">
        <v>1.26</v>
      </c>
      <c r="T1829" s="8"/>
      <c r="U1829" s="8"/>
      <c r="V1829" s="8"/>
      <c r="W1829" s="8">
        <v>31.6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>
        <v>12.57</v>
      </c>
      <c r="AN1829" s="8">
        <f>1694*18.55/1000</f>
        <v>31.4237</v>
      </c>
      <c r="AO1829" s="8"/>
      <c r="AP1829" s="11"/>
      <c r="AQ1829" s="8"/>
      <c r="AR1829" s="8">
        <f>4255*18.55/1000</f>
        <v>78.930250000000001</v>
      </c>
      <c r="AS1829" s="8"/>
      <c r="AT1829" s="8">
        <v>1219.21</v>
      </c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>
        <v>88.54</v>
      </c>
      <c r="BH1829" s="9">
        <f t="shared" si="252"/>
        <v>3152.74</v>
      </c>
      <c r="BI1829" s="9">
        <f t="shared" si="253"/>
        <v>22.38</v>
      </c>
      <c r="BJ1829" s="9">
        <f t="shared" si="254"/>
        <v>1.26</v>
      </c>
      <c r="BK1829" s="9">
        <f t="shared" si="255"/>
        <v>31.6</v>
      </c>
      <c r="BL1829" s="9">
        <f t="shared" si="256"/>
        <v>0</v>
      </c>
      <c r="BM1829" s="9">
        <f t="shared" si="257"/>
        <v>122.92395</v>
      </c>
      <c r="BN1829" s="9">
        <f t="shared" si="258"/>
        <v>1219.21</v>
      </c>
      <c r="BO1829" s="9">
        <f t="shared" si="259"/>
        <v>0</v>
      </c>
      <c r="BP1829" s="9">
        <f t="shared" si="260"/>
        <v>0</v>
      </c>
    </row>
    <row r="1830" spans="1:68">
      <c r="A1830" s="6">
        <v>44873</v>
      </c>
      <c r="B1830" s="7">
        <v>3016</v>
      </c>
      <c r="C1830" s="8"/>
      <c r="D1830" s="8">
        <v>1595.44</v>
      </c>
      <c r="E1830" s="8"/>
      <c r="F1830" s="8"/>
      <c r="G1830" s="8"/>
      <c r="H1830" s="8"/>
      <c r="I1830" s="8">
        <v>1474.81</v>
      </c>
      <c r="J1830" s="8"/>
      <c r="K1830" s="8"/>
      <c r="L1830" s="8"/>
      <c r="M1830" s="8"/>
      <c r="N1830" s="8">
        <v>18.43</v>
      </c>
      <c r="O1830" s="8"/>
      <c r="P1830" s="8"/>
      <c r="Q1830" s="11"/>
      <c r="R1830" s="11"/>
      <c r="S1830" s="8">
        <v>2.13</v>
      </c>
      <c r="T1830" s="8"/>
      <c r="U1830" s="8"/>
      <c r="V1830" s="8"/>
      <c r="W1830" s="8">
        <v>30.72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>
        <v>12.27</v>
      </c>
      <c r="AN1830" s="8">
        <f>2033*18.07/1000</f>
        <v>36.736309999999996</v>
      </c>
      <c r="AO1830" s="8"/>
      <c r="AP1830" s="11"/>
      <c r="AQ1830" s="8"/>
      <c r="AR1830" s="8">
        <f>4255*18.07/1000</f>
        <v>76.88785</v>
      </c>
      <c r="AS1830" s="8"/>
      <c r="AT1830" s="8">
        <v>1142.27</v>
      </c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>
        <v>83.3</v>
      </c>
      <c r="BH1830" s="9">
        <f t="shared" si="252"/>
        <v>3070.25</v>
      </c>
      <c r="BI1830" s="9">
        <f t="shared" si="253"/>
        <v>18.43</v>
      </c>
      <c r="BJ1830" s="9">
        <f t="shared" si="254"/>
        <v>2.13</v>
      </c>
      <c r="BK1830" s="9">
        <f t="shared" si="255"/>
        <v>30.72</v>
      </c>
      <c r="BL1830" s="9">
        <f t="shared" si="256"/>
        <v>0</v>
      </c>
      <c r="BM1830" s="9">
        <f t="shared" si="257"/>
        <v>125.89416</v>
      </c>
      <c r="BN1830" s="9">
        <f t="shared" si="258"/>
        <v>1142.27</v>
      </c>
      <c r="BO1830" s="9">
        <f t="shared" si="259"/>
        <v>0</v>
      </c>
      <c r="BP1830" s="9">
        <f t="shared" si="260"/>
        <v>0</v>
      </c>
    </row>
    <row r="1831" spans="1:68">
      <c r="A1831" s="6">
        <v>44873</v>
      </c>
      <c r="B1831" s="7">
        <v>3433</v>
      </c>
      <c r="C1831" s="8">
        <v>1259.71</v>
      </c>
      <c r="D1831" s="8"/>
      <c r="E1831" s="8"/>
      <c r="F1831" s="8"/>
      <c r="G1831" s="8"/>
      <c r="H1831" s="8"/>
      <c r="I1831" s="8"/>
      <c r="J1831" s="8"/>
      <c r="K1831" s="8"/>
      <c r="L1831" s="8"/>
      <c r="M1831" s="8">
        <v>3.16</v>
      </c>
      <c r="N1831" s="8"/>
      <c r="O1831" s="8"/>
      <c r="P1831" s="8"/>
      <c r="Q1831" s="11"/>
      <c r="R1831" s="11"/>
      <c r="S1831" s="8">
        <v>5.03</v>
      </c>
      <c r="T1831" s="8"/>
      <c r="U1831" s="8"/>
      <c r="V1831" s="8"/>
      <c r="W1831" s="8"/>
      <c r="X1831" s="8">
        <f>862*14.82/1000</f>
        <v>12.774839999999999</v>
      </c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11"/>
      <c r="AQ1831" s="8"/>
      <c r="AR1831" s="8"/>
      <c r="AS1831" s="8"/>
      <c r="AT1831" s="8">
        <v>570.36</v>
      </c>
      <c r="AU1831" s="8"/>
      <c r="AV1831" s="8"/>
      <c r="AW1831" s="8"/>
      <c r="AX1831" s="8"/>
      <c r="AY1831" s="8"/>
      <c r="AZ1831" s="8"/>
      <c r="BA1831" s="8">
        <v>5.7</v>
      </c>
      <c r="BB1831" s="8"/>
      <c r="BC1831" s="8"/>
      <c r="BD1831" s="8"/>
      <c r="BE1831" s="8"/>
      <c r="BF1831" s="8"/>
      <c r="BG1831" s="8">
        <v>42.4</v>
      </c>
      <c r="BH1831" s="9">
        <f t="shared" si="252"/>
        <v>1259.71</v>
      </c>
      <c r="BI1831" s="9">
        <f t="shared" si="253"/>
        <v>3.16</v>
      </c>
      <c r="BJ1831" s="9">
        <f t="shared" si="254"/>
        <v>5.03</v>
      </c>
      <c r="BK1831" s="9">
        <f t="shared" si="255"/>
        <v>12.774839999999999</v>
      </c>
      <c r="BL1831" s="9">
        <f t="shared" si="256"/>
        <v>0</v>
      </c>
      <c r="BM1831" s="9">
        <f t="shared" si="257"/>
        <v>0</v>
      </c>
      <c r="BN1831" s="9">
        <f t="shared" si="258"/>
        <v>570.36</v>
      </c>
      <c r="BO1831" s="9">
        <f t="shared" si="259"/>
        <v>5.7</v>
      </c>
      <c r="BP1831" s="9">
        <f t="shared" si="260"/>
        <v>0</v>
      </c>
    </row>
    <row r="1832" spans="1:68">
      <c r="A1832" s="6">
        <v>44874</v>
      </c>
      <c r="B1832" s="7">
        <v>3106</v>
      </c>
      <c r="C1832" s="8">
        <v>4133.5600000000004</v>
      </c>
      <c r="D1832" s="8"/>
      <c r="E1832" s="8"/>
      <c r="F1832" s="8"/>
      <c r="G1832" s="8"/>
      <c r="H1832" s="8"/>
      <c r="I1832" s="8"/>
      <c r="J1832" s="8"/>
      <c r="K1832" s="8"/>
      <c r="L1832" s="8"/>
      <c r="M1832" s="8">
        <v>10.32</v>
      </c>
      <c r="N1832" s="8"/>
      <c r="O1832" s="8"/>
      <c r="P1832" s="8"/>
      <c r="Q1832" s="11"/>
      <c r="R1832" s="11"/>
      <c r="S1832" s="8">
        <v>12.38</v>
      </c>
      <c r="T1832" s="8"/>
      <c r="U1832" s="8">
        <v>52.44</v>
      </c>
      <c r="V1832" s="8"/>
      <c r="W1832" s="8"/>
      <c r="X1832" s="8"/>
      <c r="Y1832" s="8"/>
      <c r="Z1832" s="8"/>
      <c r="AA1832" s="8"/>
      <c r="AB1832" s="8"/>
      <c r="AC1832" s="8">
        <v>10.31</v>
      </c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11"/>
      <c r="AQ1832" s="8"/>
      <c r="AR1832" s="8"/>
      <c r="AS1832" s="8"/>
      <c r="AT1832" s="8">
        <v>2349.36</v>
      </c>
      <c r="AU1832" s="8"/>
      <c r="AV1832" s="8"/>
      <c r="AW1832" s="8"/>
      <c r="AX1832" s="8">
        <v>5.16</v>
      </c>
      <c r="AY1832" s="8"/>
      <c r="AZ1832" s="8"/>
      <c r="BA1832" s="8"/>
      <c r="BB1832" s="8"/>
      <c r="BC1832" s="8"/>
      <c r="BD1832" s="8"/>
      <c r="BE1832" s="8"/>
      <c r="BF1832" s="8"/>
      <c r="BG1832" s="8">
        <v>177.45</v>
      </c>
      <c r="BH1832" s="9">
        <f t="shared" si="252"/>
        <v>4133.5600000000004</v>
      </c>
      <c r="BI1832" s="9">
        <f t="shared" si="253"/>
        <v>10.32</v>
      </c>
      <c r="BJ1832" s="9">
        <f t="shared" si="254"/>
        <v>12.38</v>
      </c>
      <c r="BK1832" s="9">
        <f t="shared" si="255"/>
        <v>52.44</v>
      </c>
      <c r="BL1832" s="9">
        <f t="shared" si="256"/>
        <v>0</v>
      </c>
      <c r="BM1832" s="9">
        <f t="shared" si="257"/>
        <v>10.31</v>
      </c>
      <c r="BN1832" s="9">
        <f t="shared" si="258"/>
        <v>2349.36</v>
      </c>
      <c r="BO1832" s="9">
        <f t="shared" si="259"/>
        <v>5.16</v>
      </c>
      <c r="BP1832" s="9">
        <f t="shared" si="260"/>
        <v>0</v>
      </c>
    </row>
    <row r="1833" spans="1:68">
      <c r="A1833" s="6">
        <v>44874</v>
      </c>
      <c r="B1833" s="7">
        <v>3083</v>
      </c>
      <c r="C1833" s="8"/>
      <c r="D1833" s="8">
        <v>1091.1199999999999</v>
      </c>
      <c r="E1833" s="8"/>
      <c r="F1833" s="8"/>
      <c r="G1833" s="8"/>
      <c r="H1833" s="8"/>
      <c r="I1833" s="8">
        <v>2538.2800000000002</v>
      </c>
      <c r="J1833" s="8"/>
      <c r="K1833" s="8"/>
      <c r="L1833" s="8"/>
      <c r="M1833" s="8"/>
      <c r="N1833" s="8">
        <v>22.86</v>
      </c>
      <c r="O1833" s="8"/>
      <c r="P1833" s="8"/>
      <c r="Q1833" s="11"/>
      <c r="R1833" s="11"/>
      <c r="S1833" s="8">
        <v>2.5299999999999998</v>
      </c>
      <c r="T1833" s="8"/>
      <c r="U1833" s="8"/>
      <c r="V1833" s="8"/>
      <c r="W1833" s="8">
        <v>29.08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>
        <v>14.46</v>
      </c>
      <c r="AN1833" s="8">
        <f>1883*26.9/1000</f>
        <v>50.652699999999996</v>
      </c>
      <c r="AO1833" s="8"/>
      <c r="AP1833" s="11"/>
      <c r="AQ1833" s="8"/>
      <c r="AR1833" s="8">
        <f>3352*26.9/1000</f>
        <v>90.16879999999999</v>
      </c>
      <c r="AS1833" s="8"/>
      <c r="AT1833" s="8">
        <v>1707.42</v>
      </c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>
        <v>135.31</v>
      </c>
      <c r="BH1833" s="9">
        <f t="shared" si="252"/>
        <v>3629.4</v>
      </c>
      <c r="BI1833" s="9">
        <f t="shared" si="253"/>
        <v>22.86</v>
      </c>
      <c r="BJ1833" s="9">
        <f t="shared" si="254"/>
        <v>2.5299999999999998</v>
      </c>
      <c r="BK1833" s="9">
        <f t="shared" si="255"/>
        <v>29.08</v>
      </c>
      <c r="BL1833" s="9">
        <f t="shared" si="256"/>
        <v>0</v>
      </c>
      <c r="BM1833" s="9">
        <f t="shared" si="257"/>
        <v>155.28149999999999</v>
      </c>
      <c r="BN1833" s="9">
        <f t="shared" si="258"/>
        <v>1707.42</v>
      </c>
      <c r="BO1833" s="9">
        <f t="shared" si="259"/>
        <v>0</v>
      </c>
      <c r="BP1833" s="9">
        <f t="shared" si="260"/>
        <v>0</v>
      </c>
    </row>
    <row r="1834" spans="1:68">
      <c r="A1834" s="6">
        <v>44874</v>
      </c>
      <c r="B1834" s="7">
        <v>3020</v>
      </c>
      <c r="C1834" s="8"/>
      <c r="D1834" s="8">
        <v>169.12</v>
      </c>
      <c r="E1834" s="8"/>
      <c r="F1834" s="8"/>
      <c r="G1834" s="8"/>
      <c r="H1834" s="8"/>
      <c r="I1834" s="8">
        <v>965.37</v>
      </c>
      <c r="J1834" s="8"/>
      <c r="K1834" s="8"/>
      <c r="L1834" s="8"/>
      <c r="M1834" s="8"/>
      <c r="N1834" s="8">
        <v>6.81</v>
      </c>
      <c r="O1834" s="8"/>
      <c r="P1834" s="8"/>
      <c r="Q1834" s="11"/>
      <c r="R1834" s="11"/>
      <c r="S1834" s="8">
        <v>2.0499999999999998</v>
      </c>
      <c r="T1834" s="8"/>
      <c r="U1834" s="8"/>
      <c r="V1834" s="8"/>
      <c r="W1834" s="8">
        <v>11.37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>
        <v>11.33</v>
      </c>
      <c r="AN1834" s="8"/>
      <c r="AO1834" s="8"/>
      <c r="AP1834" s="11"/>
      <c r="AQ1834" s="8"/>
      <c r="AR1834" s="8"/>
      <c r="AS1834" s="8">
        <f>3017*9.45/1000</f>
        <v>28.510649999999998</v>
      </c>
      <c r="AT1834" s="8">
        <v>557</v>
      </c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>
        <v>40.85</v>
      </c>
      <c r="BH1834" s="9">
        <f t="shared" si="252"/>
        <v>1134.49</v>
      </c>
      <c r="BI1834" s="9">
        <f t="shared" si="253"/>
        <v>6.81</v>
      </c>
      <c r="BJ1834" s="9">
        <f t="shared" si="254"/>
        <v>2.0499999999999998</v>
      </c>
      <c r="BK1834" s="9">
        <f t="shared" si="255"/>
        <v>11.37</v>
      </c>
      <c r="BL1834" s="9">
        <f t="shared" si="256"/>
        <v>0</v>
      </c>
      <c r="BM1834" s="9">
        <f t="shared" si="257"/>
        <v>39.840649999999997</v>
      </c>
      <c r="BN1834" s="9">
        <f t="shared" si="258"/>
        <v>557</v>
      </c>
      <c r="BO1834" s="9">
        <f t="shared" si="259"/>
        <v>0</v>
      </c>
      <c r="BP1834" s="9">
        <f t="shared" si="260"/>
        <v>0</v>
      </c>
    </row>
    <row r="1835" spans="1:68">
      <c r="A1835" s="6">
        <v>44874</v>
      </c>
      <c r="B1835" s="7">
        <v>3022</v>
      </c>
      <c r="C1835" s="8"/>
      <c r="D1835" s="8">
        <v>572.46</v>
      </c>
      <c r="E1835" s="8"/>
      <c r="F1835" s="8"/>
      <c r="G1835" s="8"/>
      <c r="H1835" s="8"/>
      <c r="I1835" s="8">
        <v>471</v>
      </c>
      <c r="J1835" s="8"/>
      <c r="K1835" s="8"/>
      <c r="L1835" s="8"/>
      <c r="M1835" s="8"/>
      <c r="N1835" s="8">
        <v>5.22</v>
      </c>
      <c r="O1835" s="8"/>
      <c r="P1835" s="8"/>
      <c r="Q1835" s="11"/>
      <c r="R1835" s="11"/>
      <c r="S1835" s="8">
        <v>1.88</v>
      </c>
      <c r="T1835" s="8"/>
      <c r="U1835" s="8"/>
      <c r="V1835" s="8"/>
      <c r="W1835" s="8">
        <v>10.44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>
        <v>13.58</v>
      </c>
      <c r="AN1835" s="8"/>
      <c r="AO1835" s="8"/>
      <c r="AP1835" s="11"/>
      <c r="AQ1835" s="8"/>
      <c r="AR1835" s="8"/>
      <c r="AS1835" s="8">
        <f>3866*9.48/1000</f>
        <v>36.649680000000004</v>
      </c>
      <c r="AT1835" s="8">
        <v>488.33</v>
      </c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>
        <v>37.549999999999997</v>
      </c>
      <c r="BH1835" s="9">
        <f t="shared" si="252"/>
        <v>1043.46</v>
      </c>
      <c r="BI1835" s="9">
        <f t="shared" si="253"/>
        <v>5.22</v>
      </c>
      <c r="BJ1835" s="9">
        <f t="shared" si="254"/>
        <v>1.88</v>
      </c>
      <c r="BK1835" s="9">
        <f t="shared" si="255"/>
        <v>10.44</v>
      </c>
      <c r="BL1835" s="9">
        <f t="shared" si="256"/>
        <v>0</v>
      </c>
      <c r="BM1835" s="9">
        <f t="shared" si="257"/>
        <v>50.229680000000002</v>
      </c>
      <c r="BN1835" s="9">
        <f t="shared" si="258"/>
        <v>488.33</v>
      </c>
      <c r="BO1835" s="9">
        <f t="shared" si="259"/>
        <v>0</v>
      </c>
      <c r="BP1835" s="9">
        <f t="shared" si="260"/>
        <v>0</v>
      </c>
    </row>
    <row r="1836" spans="1:68">
      <c r="A1836" s="6">
        <v>44874</v>
      </c>
      <c r="B1836" s="7">
        <v>3027</v>
      </c>
      <c r="C1836" s="8"/>
      <c r="D1836" s="8">
        <v>531.37</v>
      </c>
      <c r="E1836" s="8"/>
      <c r="F1836" s="8"/>
      <c r="G1836" s="8"/>
      <c r="H1836" s="8"/>
      <c r="I1836" s="8">
        <v>434.93</v>
      </c>
      <c r="J1836" s="8"/>
      <c r="K1836" s="8"/>
      <c r="L1836" s="8"/>
      <c r="M1836" s="8"/>
      <c r="N1836" s="8">
        <v>5.31</v>
      </c>
      <c r="O1836" s="8"/>
      <c r="P1836" s="8"/>
      <c r="Q1836" s="11"/>
      <c r="R1836" s="11"/>
      <c r="S1836" s="8">
        <v>1.55</v>
      </c>
      <c r="T1836" s="8"/>
      <c r="U1836" s="8"/>
      <c r="V1836" s="8"/>
      <c r="W1836" s="8">
        <v>7.25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>
        <v>9.66</v>
      </c>
      <c r="AN1836" s="8">
        <f>1233*5.53/1000</f>
        <v>6.8184900000000006</v>
      </c>
      <c r="AO1836" s="8"/>
      <c r="AP1836" s="11"/>
      <c r="AQ1836" s="8"/>
      <c r="AR1836" s="8"/>
      <c r="AS1836" s="8">
        <f>5769*5.53/1000</f>
        <v>31.902570000000001</v>
      </c>
      <c r="AT1836" s="8">
        <v>321.08999999999997</v>
      </c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>
        <v>22.74</v>
      </c>
      <c r="BH1836" s="9">
        <f t="shared" si="252"/>
        <v>966.3</v>
      </c>
      <c r="BI1836" s="9">
        <f t="shared" si="253"/>
        <v>5.31</v>
      </c>
      <c r="BJ1836" s="9">
        <f t="shared" si="254"/>
        <v>1.55</v>
      </c>
      <c r="BK1836" s="9">
        <f t="shared" si="255"/>
        <v>7.25</v>
      </c>
      <c r="BL1836" s="9">
        <f t="shared" si="256"/>
        <v>0</v>
      </c>
      <c r="BM1836" s="9">
        <f t="shared" si="257"/>
        <v>48.381060000000005</v>
      </c>
      <c r="BN1836" s="9">
        <f t="shared" si="258"/>
        <v>321.08999999999997</v>
      </c>
      <c r="BO1836" s="9">
        <f t="shared" si="259"/>
        <v>0</v>
      </c>
      <c r="BP1836" s="9">
        <f t="shared" si="260"/>
        <v>0</v>
      </c>
    </row>
    <row r="1837" spans="1:68">
      <c r="A1837" s="6">
        <v>44874</v>
      </c>
      <c r="B1837" s="7">
        <v>3200</v>
      </c>
      <c r="C1837" s="8">
        <v>2207.23</v>
      </c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>
        <v>5.51</v>
      </c>
      <c r="P1837" s="8"/>
      <c r="Q1837" s="11"/>
      <c r="R1837" s="11"/>
      <c r="S1837" s="8">
        <v>8.6199999999999992</v>
      </c>
      <c r="T1837" s="8"/>
      <c r="U1837" s="8">
        <v>33.119999999999997</v>
      </c>
      <c r="V1837" s="8"/>
      <c r="W1837" s="8"/>
      <c r="X1837" s="8"/>
      <c r="Y1837" s="8"/>
      <c r="Z1837" s="8">
        <v>464.12</v>
      </c>
      <c r="AA1837" s="8"/>
      <c r="AB1837" s="8"/>
      <c r="AC1837" s="8"/>
      <c r="AD1837" s="8"/>
      <c r="AE1837" s="8"/>
      <c r="AF1837" s="8">
        <v>109.86</v>
      </c>
      <c r="AG1837" s="8"/>
      <c r="AH1837" s="8"/>
      <c r="AI1837" s="8"/>
      <c r="AJ1837" s="8"/>
      <c r="AK1837" s="8"/>
      <c r="AL1837" s="8"/>
      <c r="AM1837" s="8"/>
      <c r="AN1837" s="8"/>
      <c r="AO1837" s="8"/>
      <c r="AP1837" s="11"/>
      <c r="AQ1837" s="8">
        <f>1497*22.07/1000</f>
        <v>33.038789999999999</v>
      </c>
      <c r="AR1837" s="8"/>
      <c r="AS1837" s="8"/>
      <c r="AT1837" s="8">
        <v>1511.55</v>
      </c>
      <c r="AU1837" s="8"/>
      <c r="AV1837" s="8"/>
      <c r="AW1837" s="8">
        <v>6.38</v>
      </c>
      <c r="AX1837" s="8"/>
      <c r="AY1837" s="8"/>
      <c r="AZ1837" s="8"/>
      <c r="BA1837" s="8"/>
      <c r="BB1837" s="8"/>
      <c r="BC1837" s="8"/>
      <c r="BD1837" s="8"/>
      <c r="BE1837" s="8"/>
      <c r="BF1837" s="8">
        <v>105.99</v>
      </c>
      <c r="BG1837" s="8">
        <v>109.13</v>
      </c>
      <c r="BH1837" s="9">
        <f t="shared" si="252"/>
        <v>2207.23</v>
      </c>
      <c r="BI1837" s="9">
        <f t="shared" si="253"/>
        <v>5.51</v>
      </c>
      <c r="BJ1837" s="9">
        <f t="shared" si="254"/>
        <v>8.6199999999999992</v>
      </c>
      <c r="BK1837" s="9">
        <f t="shared" si="255"/>
        <v>33.119999999999997</v>
      </c>
      <c r="BL1837" s="9">
        <f t="shared" si="256"/>
        <v>464.12</v>
      </c>
      <c r="BM1837" s="9">
        <f t="shared" si="257"/>
        <v>142.89878999999999</v>
      </c>
      <c r="BN1837" s="9">
        <f t="shared" si="258"/>
        <v>1511.55</v>
      </c>
      <c r="BO1837" s="9">
        <f t="shared" si="259"/>
        <v>6.38</v>
      </c>
      <c r="BP1837" s="9">
        <f t="shared" si="260"/>
        <v>105.99</v>
      </c>
    </row>
    <row r="1838" spans="1:68">
      <c r="A1838" s="6">
        <v>44874</v>
      </c>
      <c r="B1838" s="7">
        <v>3403</v>
      </c>
      <c r="C1838" s="8">
        <v>392.73</v>
      </c>
      <c r="D1838" s="8">
        <v>393.45</v>
      </c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11">
        <v>1.59</v>
      </c>
      <c r="R1838" s="11"/>
      <c r="S1838" s="8">
        <v>1.81</v>
      </c>
      <c r="T1838" s="8"/>
      <c r="U1838" s="8"/>
      <c r="V1838" s="8"/>
      <c r="W1838" s="8"/>
      <c r="X1838" s="8">
        <f>986*7.87/1000</f>
        <v>7.7598199999999995</v>
      </c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11"/>
      <c r="AQ1838" s="8"/>
      <c r="AR1838" s="8"/>
      <c r="AS1838" s="8"/>
      <c r="AT1838" s="8">
        <v>367.32</v>
      </c>
      <c r="AU1838" s="8"/>
      <c r="AV1838" s="8">
        <v>23.61</v>
      </c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>
        <v>26.02</v>
      </c>
      <c r="BH1838" s="9">
        <f t="shared" si="252"/>
        <v>786.18000000000006</v>
      </c>
      <c r="BI1838" s="9">
        <f t="shared" si="253"/>
        <v>1.59</v>
      </c>
      <c r="BJ1838" s="9">
        <f t="shared" si="254"/>
        <v>1.81</v>
      </c>
      <c r="BK1838" s="9">
        <f t="shared" si="255"/>
        <v>7.7598199999999995</v>
      </c>
      <c r="BL1838" s="9">
        <f t="shared" si="256"/>
        <v>0</v>
      </c>
      <c r="BM1838" s="9">
        <f t="shared" si="257"/>
        <v>0</v>
      </c>
      <c r="BN1838" s="9">
        <f t="shared" si="258"/>
        <v>367.32</v>
      </c>
      <c r="BO1838" s="9">
        <f t="shared" si="259"/>
        <v>23.61</v>
      </c>
      <c r="BP1838" s="9">
        <f t="shared" si="260"/>
        <v>0</v>
      </c>
    </row>
    <row r="1839" spans="1:68">
      <c r="A1839" s="6">
        <v>44874</v>
      </c>
      <c r="B1839" s="7">
        <v>3701</v>
      </c>
      <c r="C1839" s="8">
        <v>200.87</v>
      </c>
      <c r="D1839" s="8"/>
      <c r="E1839" s="8"/>
      <c r="F1839" s="8"/>
      <c r="G1839" s="8"/>
      <c r="H1839" s="8"/>
      <c r="I1839" s="8"/>
      <c r="J1839" s="8">
        <f>48320*6.82/1000</f>
        <v>329.54240000000004</v>
      </c>
      <c r="K1839" s="8"/>
      <c r="L1839" s="8"/>
      <c r="M1839" s="8"/>
      <c r="N1839" s="8">
        <v>1.26</v>
      </c>
      <c r="O1839" s="8"/>
      <c r="P1839" s="8"/>
      <c r="Q1839" s="11"/>
      <c r="R1839" s="11"/>
      <c r="S1839" s="8">
        <v>1.47</v>
      </c>
      <c r="T1839" s="8"/>
      <c r="U1839" s="8">
        <v>3.28</v>
      </c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>
        <v>10.99</v>
      </c>
      <c r="AH1839" s="8"/>
      <c r="AI1839" s="8"/>
      <c r="AJ1839" s="8">
        <v>16.78</v>
      </c>
      <c r="AK1839" s="8"/>
      <c r="AL1839" s="8"/>
      <c r="AM1839" s="8"/>
      <c r="AN1839" s="8"/>
      <c r="AO1839" s="8"/>
      <c r="AP1839" s="11"/>
      <c r="AQ1839" s="8"/>
      <c r="AR1839" s="8"/>
      <c r="AS1839" s="8"/>
      <c r="AT1839" s="8"/>
      <c r="AU1839" s="8">
        <v>192.79</v>
      </c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>
        <v>13.21</v>
      </c>
      <c r="BH1839" s="9">
        <f t="shared" si="252"/>
        <v>530.41240000000005</v>
      </c>
      <c r="BI1839" s="9">
        <f t="shared" si="253"/>
        <v>1.26</v>
      </c>
      <c r="BJ1839" s="9">
        <f t="shared" si="254"/>
        <v>1.47</v>
      </c>
      <c r="BK1839" s="9">
        <f t="shared" si="255"/>
        <v>3.28</v>
      </c>
      <c r="BL1839" s="9">
        <f t="shared" si="256"/>
        <v>0</v>
      </c>
      <c r="BM1839" s="9">
        <f t="shared" si="257"/>
        <v>27.770000000000003</v>
      </c>
      <c r="BN1839" s="9">
        <f t="shared" si="258"/>
        <v>192.79</v>
      </c>
      <c r="BO1839" s="9">
        <f t="shared" si="259"/>
        <v>0</v>
      </c>
      <c r="BP1839" s="9">
        <f t="shared" si="260"/>
        <v>0</v>
      </c>
    </row>
    <row r="1840" spans="1:68">
      <c r="A1840" s="6">
        <v>44874</v>
      </c>
      <c r="B1840" s="7">
        <v>8250</v>
      </c>
      <c r="C1840" s="8"/>
      <c r="D1840" s="8">
        <v>997.85</v>
      </c>
      <c r="E1840" s="8"/>
      <c r="F1840" s="8"/>
      <c r="G1840" s="8"/>
      <c r="H1840" s="8"/>
      <c r="I1840" s="8"/>
      <c r="J1840" s="8"/>
      <c r="K1840" s="8"/>
      <c r="L1840" s="8"/>
      <c r="M1840" s="8">
        <v>2</v>
      </c>
      <c r="N1840" s="8"/>
      <c r="O1840" s="8"/>
      <c r="P1840" s="8"/>
      <c r="Q1840" s="11"/>
      <c r="R1840" s="11"/>
      <c r="S1840" s="8">
        <v>1.5</v>
      </c>
      <c r="T1840" s="8"/>
      <c r="U1840" s="8">
        <v>8.99</v>
      </c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>
        <v>10.01</v>
      </c>
      <c r="AH1840" s="8"/>
      <c r="AI1840" s="8"/>
      <c r="AJ1840" s="8"/>
      <c r="AK1840" s="8"/>
      <c r="AL1840" s="8"/>
      <c r="AM1840" s="8"/>
      <c r="AN1840" s="8"/>
      <c r="AO1840" s="8"/>
      <c r="AP1840" s="11"/>
      <c r="AQ1840" s="8"/>
      <c r="AR1840" s="8"/>
      <c r="AS1840" s="8"/>
      <c r="AT1840" s="8">
        <v>267.16000000000003</v>
      </c>
      <c r="AU1840" s="8">
        <v>133.55000000000001</v>
      </c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>
        <v>27.78</v>
      </c>
      <c r="BH1840" s="9">
        <f t="shared" si="252"/>
        <v>997.85</v>
      </c>
      <c r="BI1840" s="9">
        <f t="shared" si="253"/>
        <v>2</v>
      </c>
      <c r="BJ1840" s="9">
        <f t="shared" si="254"/>
        <v>1.5</v>
      </c>
      <c r="BK1840" s="9">
        <f t="shared" si="255"/>
        <v>8.99</v>
      </c>
      <c r="BL1840" s="9">
        <f t="shared" si="256"/>
        <v>0</v>
      </c>
      <c r="BM1840" s="9">
        <f t="shared" si="257"/>
        <v>10.01</v>
      </c>
      <c r="BN1840" s="9">
        <f t="shared" si="258"/>
        <v>400.71000000000004</v>
      </c>
      <c r="BO1840" s="9">
        <f t="shared" si="259"/>
        <v>0</v>
      </c>
      <c r="BP1840" s="9">
        <f t="shared" si="260"/>
        <v>0</v>
      </c>
    </row>
    <row r="1841" spans="1:68">
      <c r="A1841" s="6">
        <v>44874</v>
      </c>
      <c r="B1841" s="7">
        <v>3602</v>
      </c>
      <c r="C1841" s="8">
        <v>298.74</v>
      </c>
      <c r="D1841" s="8"/>
      <c r="E1841" s="8"/>
      <c r="F1841" s="8"/>
      <c r="G1841" s="8">
        <v>447.77</v>
      </c>
      <c r="H1841" s="8"/>
      <c r="I1841" s="8"/>
      <c r="J1841" s="8"/>
      <c r="K1841" s="8"/>
      <c r="L1841" s="8"/>
      <c r="M1841" s="8">
        <f>459*8.55/1000</f>
        <v>3.9244500000000002</v>
      </c>
      <c r="N1841" s="8"/>
      <c r="O1841" s="8"/>
      <c r="P1841" s="8"/>
      <c r="Q1841" s="11"/>
      <c r="R1841" s="11"/>
      <c r="S1841" s="8">
        <v>3.59</v>
      </c>
      <c r="T1841" s="8"/>
      <c r="U1841" s="8">
        <v>6.01</v>
      </c>
      <c r="V1841" s="8">
        <f>866*8.55/1000</f>
        <v>7.4043000000000001</v>
      </c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11"/>
      <c r="AQ1841" s="8"/>
      <c r="AR1841" s="8"/>
      <c r="AS1841" s="8"/>
      <c r="AT1841" s="8">
        <v>300.66000000000003</v>
      </c>
      <c r="AU1841" s="8"/>
      <c r="AV1841" s="8"/>
      <c r="AW1841" s="8">
        <v>19.36</v>
      </c>
      <c r="AX1841" s="8"/>
      <c r="AY1841" s="8"/>
      <c r="AZ1841" s="8"/>
      <c r="BA1841" s="8"/>
      <c r="BB1841" s="8"/>
      <c r="BC1841" s="8"/>
      <c r="BD1841" s="8"/>
      <c r="BE1841" s="8"/>
      <c r="BF1841" s="8">
        <v>23.99</v>
      </c>
      <c r="BG1841" s="8">
        <v>22.66</v>
      </c>
      <c r="BH1841" s="9">
        <f t="shared" si="252"/>
        <v>746.51</v>
      </c>
      <c r="BI1841" s="9">
        <f t="shared" si="253"/>
        <v>3.9244500000000002</v>
      </c>
      <c r="BJ1841" s="9">
        <f t="shared" si="254"/>
        <v>3.59</v>
      </c>
      <c r="BK1841" s="9">
        <f t="shared" si="255"/>
        <v>13.414300000000001</v>
      </c>
      <c r="BL1841" s="9">
        <f t="shared" si="256"/>
        <v>0</v>
      </c>
      <c r="BM1841" s="9">
        <f t="shared" si="257"/>
        <v>0</v>
      </c>
      <c r="BN1841" s="9">
        <f t="shared" si="258"/>
        <v>300.66000000000003</v>
      </c>
      <c r="BO1841" s="9">
        <f t="shared" si="259"/>
        <v>19.36</v>
      </c>
      <c r="BP1841" s="9">
        <f t="shared" si="260"/>
        <v>23.99</v>
      </c>
    </row>
    <row r="1842" spans="1:68">
      <c r="A1842" s="6">
        <v>44875</v>
      </c>
      <c r="B1842" s="7">
        <v>3704</v>
      </c>
      <c r="C1842" s="8">
        <v>640.52</v>
      </c>
      <c r="D1842" s="8">
        <v>963.16</v>
      </c>
      <c r="E1842" s="8"/>
      <c r="F1842" s="8"/>
      <c r="G1842" s="8"/>
      <c r="H1842" s="8"/>
      <c r="I1842" s="8"/>
      <c r="J1842" s="8"/>
      <c r="K1842" s="8"/>
      <c r="L1842" s="8"/>
      <c r="M1842" s="8">
        <v>4.8099999999999996</v>
      </c>
      <c r="N1842" s="8"/>
      <c r="O1842" s="8"/>
      <c r="P1842" s="8"/>
      <c r="Q1842" s="11"/>
      <c r="R1842" s="11"/>
      <c r="S1842" s="8">
        <v>5.61</v>
      </c>
      <c r="T1842" s="8"/>
      <c r="U1842" s="8">
        <v>12.03</v>
      </c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>
        <v>19.23</v>
      </c>
      <c r="AN1842" s="8"/>
      <c r="AO1842" s="8"/>
      <c r="AP1842" s="11"/>
      <c r="AQ1842" s="8"/>
      <c r="AR1842" s="8"/>
      <c r="AS1842" s="8"/>
      <c r="AT1842" s="8">
        <v>277.94</v>
      </c>
      <c r="AU1842" s="8">
        <v>139.26</v>
      </c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>
        <v>25.84</v>
      </c>
      <c r="BH1842" s="9">
        <f t="shared" si="252"/>
        <v>1603.6799999999998</v>
      </c>
      <c r="BI1842" s="9">
        <f t="shared" si="253"/>
        <v>4.8099999999999996</v>
      </c>
      <c r="BJ1842" s="9">
        <f t="shared" si="254"/>
        <v>5.61</v>
      </c>
      <c r="BK1842" s="9">
        <f t="shared" si="255"/>
        <v>12.03</v>
      </c>
      <c r="BL1842" s="9">
        <f t="shared" si="256"/>
        <v>0</v>
      </c>
      <c r="BM1842" s="9">
        <f t="shared" si="257"/>
        <v>19.23</v>
      </c>
      <c r="BN1842" s="9">
        <f t="shared" si="258"/>
        <v>417.2</v>
      </c>
      <c r="BO1842" s="9">
        <f t="shared" si="259"/>
        <v>0</v>
      </c>
      <c r="BP1842" s="9">
        <f t="shared" si="260"/>
        <v>0</v>
      </c>
    </row>
    <row r="1843" spans="1:68">
      <c r="A1843" s="6">
        <v>44875</v>
      </c>
      <c r="B1843" s="7">
        <v>3702</v>
      </c>
      <c r="C1843" s="8">
        <v>427.94</v>
      </c>
      <c r="D1843" s="8">
        <v>285.98</v>
      </c>
      <c r="E1843" s="8"/>
      <c r="F1843" s="8"/>
      <c r="G1843" s="8"/>
      <c r="H1843" s="8"/>
      <c r="I1843" s="8"/>
      <c r="J1843" s="8"/>
      <c r="K1843" s="8"/>
      <c r="L1843" s="8"/>
      <c r="M1843" s="8">
        <v>1.43</v>
      </c>
      <c r="N1843" s="8"/>
      <c r="O1843" s="8"/>
      <c r="P1843" s="8"/>
      <c r="Q1843" s="11"/>
      <c r="R1843" s="11"/>
      <c r="S1843" s="8">
        <v>3.36</v>
      </c>
      <c r="T1843" s="8"/>
      <c r="U1843" s="8">
        <v>5.37</v>
      </c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11"/>
      <c r="AQ1843" s="8"/>
      <c r="AR1843" s="8"/>
      <c r="AS1843" s="8"/>
      <c r="AT1843" s="8">
        <v>174.06</v>
      </c>
      <c r="AU1843" s="8">
        <v>87.01</v>
      </c>
      <c r="AV1843" s="8"/>
      <c r="AW1843" s="8">
        <v>1.55</v>
      </c>
      <c r="AX1843" s="8"/>
      <c r="AY1843" s="8"/>
      <c r="AZ1843" s="8"/>
      <c r="BA1843" s="8"/>
      <c r="BB1843" s="8"/>
      <c r="BC1843" s="8"/>
      <c r="BD1843" s="8"/>
      <c r="BE1843" s="8"/>
      <c r="BF1843" s="8"/>
      <c r="BG1843" s="8">
        <v>18.29</v>
      </c>
      <c r="BH1843" s="9">
        <f t="shared" si="252"/>
        <v>713.92000000000007</v>
      </c>
      <c r="BI1843" s="9">
        <f t="shared" si="253"/>
        <v>1.43</v>
      </c>
      <c r="BJ1843" s="9">
        <f t="shared" si="254"/>
        <v>3.36</v>
      </c>
      <c r="BK1843" s="9">
        <f t="shared" si="255"/>
        <v>5.37</v>
      </c>
      <c r="BL1843" s="9">
        <f t="shared" si="256"/>
        <v>0</v>
      </c>
      <c r="BM1843" s="9">
        <f t="shared" si="257"/>
        <v>0</v>
      </c>
      <c r="BN1843" s="9">
        <f t="shared" si="258"/>
        <v>261.07</v>
      </c>
      <c r="BO1843" s="9">
        <f t="shared" si="259"/>
        <v>1.55</v>
      </c>
      <c r="BP1843" s="9">
        <f t="shared" si="260"/>
        <v>0</v>
      </c>
    </row>
    <row r="1844" spans="1:68">
      <c r="A1844" s="6">
        <v>44875</v>
      </c>
      <c r="B1844" s="7">
        <v>3205</v>
      </c>
      <c r="C1844" s="8">
        <v>673.04</v>
      </c>
      <c r="D1844" s="8">
        <v>375.18</v>
      </c>
      <c r="E1844" s="8">
        <v>448.86</v>
      </c>
      <c r="F1844" s="8"/>
      <c r="G1844" s="8"/>
      <c r="H1844" s="8"/>
      <c r="I1844" s="8"/>
      <c r="J1844" s="8"/>
      <c r="K1844" s="8"/>
      <c r="L1844" s="8"/>
      <c r="M1844" s="8"/>
      <c r="N1844" s="8"/>
      <c r="O1844" s="8">
        <v>6.01</v>
      </c>
      <c r="P1844" s="8"/>
      <c r="Q1844" s="11"/>
      <c r="R1844" s="11"/>
      <c r="S1844" s="8">
        <v>5.55</v>
      </c>
      <c r="T1844" s="8"/>
      <c r="U1844" s="8">
        <v>17.989999999999998</v>
      </c>
      <c r="V1844" s="8"/>
      <c r="W1844" s="8"/>
      <c r="X1844" s="8"/>
      <c r="Y1844" s="8"/>
      <c r="Z1844" s="8">
        <v>149.91</v>
      </c>
      <c r="AA1844" s="8"/>
      <c r="AB1844" s="8">
        <f>1002*14.97/1000</f>
        <v>14.99994</v>
      </c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11"/>
      <c r="AQ1844" s="8">
        <f>512*14.97/1000</f>
        <v>7.6646400000000003</v>
      </c>
      <c r="AR1844" s="8"/>
      <c r="AS1844" s="8"/>
      <c r="AT1844" s="8">
        <v>389.76</v>
      </c>
      <c r="AU1844" s="8">
        <v>195.09</v>
      </c>
      <c r="AV1844" s="8"/>
      <c r="AW1844" s="8">
        <v>6.45</v>
      </c>
      <c r="AX1844" s="8"/>
      <c r="AY1844" s="8"/>
      <c r="AZ1844" s="8"/>
      <c r="BA1844" s="8"/>
      <c r="BB1844" s="8"/>
      <c r="BC1844" s="8"/>
      <c r="BD1844" s="8"/>
      <c r="BE1844" s="8"/>
      <c r="BF1844" s="8"/>
      <c r="BG1844" s="8">
        <v>35.21</v>
      </c>
      <c r="BH1844" s="9">
        <f t="shared" si="252"/>
        <v>1497.08</v>
      </c>
      <c r="BI1844" s="9">
        <f t="shared" si="253"/>
        <v>6.01</v>
      </c>
      <c r="BJ1844" s="9">
        <f t="shared" si="254"/>
        <v>5.55</v>
      </c>
      <c r="BK1844" s="9">
        <f t="shared" si="255"/>
        <v>17.989999999999998</v>
      </c>
      <c r="BL1844" s="9">
        <f t="shared" si="256"/>
        <v>149.91</v>
      </c>
      <c r="BM1844" s="9">
        <f t="shared" si="257"/>
        <v>22.664580000000001</v>
      </c>
      <c r="BN1844" s="9">
        <f t="shared" si="258"/>
        <v>584.85</v>
      </c>
      <c r="BO1844" s="9">
        <f t="shared" si="259"/>
        <v>6.45</v>
      </c>
      <c r="BP1844" s="9">
        <f t="shared" si="260"/>
        <v>0</v>
      </c>
    </row>
    <row r="1845" spans="1:68">
      <c r="A1845" s="6">
        <v>44875</v>
      </c>
      <c r="B1845" s="7">
        <v>3104</v>
      </c>
      <c r="C1845" s="8">
        <v>1543.31</v>
      </c>
      <c r="D1845" s="8"/>
      <c r="E1845" s="8"/>
      <c r="F1845" s="8"/>
      <c r="G1845" s="8"/>
      <c r="H1845" s="8">
        <v>393.8</v>
      </c>
      <c r="I1845" s="8"/>
      <c r="J1845" s="8"/>
      <c r="K1845" s="8"/>
      <c r="L1845" s="8"/>
      <c r="M1845" s="8">
        <v>4.1399999999999997</v>
      </c>
      <c r="N1845" s="8"/>
      <c r="O1845" s="8"/>
      <c r="P1845" s="8"/>
      <c r="Q1845" s="11"/>
      <c r="R1845" s="11"/>
      <c r="S1845" s="8">
        <v>8.14</v>
      </c>
      <c r="T1845" s="8"/>
      <c r="U1845" s="8">
        <v>20.37</v>
      </c>
      <c r="V1845" s="8"/>
      <c r="W1845" s="8"/>
      <c r="X1845" s="8"/>
      <c r="Y1845" s="8"/>
      <c r="Z1845" s="8"/>
      <c r="AA1845" s="8"/>
      <c r="AB1845" s="8"/>
      <c r="AC1845" s="8">
        <v>7.08</v>
      </c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11"/>
      <c r="AQ1845" s="8"/>
      <c r="AR1845" s="8"/>
      <c r="AS1845" s="8"/>
      <c r="AT1845" s="8">
        <v>1130.53</v>
      </c>
      <c r="AU1845" s="8"/>
      <c r="AV1845" s="8"/>
      <c r="AW1845" s="8"/>
      <c r="AX1845" s="8"/>
      <c r="AY1845" s="8"/>
      <c r="AZ1845" s="8"/>
      <c r="BA1845" s="8">
        <v>40.409999999999997</v>
      </c>
      <c r="BB1845" s="8"/>
      <c r="BC1845" s="8"/>
      <c r="BD1845" s="8"/>
      <c r="BE1845" s="8"/>
      <c r="BF1845" s="8">
        <v>35.369999999999997</v>
      </c>
      <c r="BG1845" s="8">
        <v>87.6</v>
      </c>
      <c r="BH1845" s="9">
        <f t="shared" si="252"/>
        <v>1937.11</v>
      </c>
      <c r="BI1845" s="9">
        <f t="shared" si="253"/>
        <v>4.1399999999999997</v>
      </c>
      <c r="BJ1845" s="9">
        <f t="shared" si="254"/>
        <v>8.14</v>
      </c>
      <c r="BK1845" s="9">
        <f t="shared" si="255"/>
        <v>20.37</v>
      </c>
      <c r="BL1845" s="9">
        <f t="shared" si="256"/>
        <v>0</v>
      </c>
      <c r="BM1845" s="9">
        <f t="shared" si="257"/>
        <v>7.08</v>
      </c>
      <c r="BN1845" s="9">
        <f t="shared" si="258"/>
        <v>1130.53</v>
      </c>
      <c r="BO1845" s="9">
        <f t="shared" si="259"/>
        <v>40.409999999999997</v>
      </c>
      <c r="BP1845" s="9">
        <f t="shared" si="260"/>
        <v>35.369999999999997</v>
      </c>
    </row>
    <row r="1846" spans="1:68">
      <c r="A1846" s="6">
        <v>44875</v>
      </c>
      <c r="B1846" s="7">
        <v>3106</v>
      </c>
      <c r="C1846" s="8">
        <v>4097.54</v>
      </c>
      <c r="D1846" s="8"/>
      <c r="E1846" s="8"/>
      <c r="F1846" s="8"/>
      <c r="G1846" s="8"/>
      <c r="H1846" s="8"/>
      <c r="I1846" s="8"/>
      <c r="J1846" s="8"/>
      <c r="K1846" s="8"/>
      <c r="L1846" s="8"/>
      <c r="M1846" s="8">
        <v>10.23</v>
      </c>
      <c r="N1846" s="8"/>
      <c r="O1846" s="8"/>
      <c r="P1846" s="8"/>
      <c r="Q1846" s="11"/>
      <c r="R1846" s="11"/>
      <c r="S1846" s="8">
        <v>12.32</v>
      </c>
      <c r="T1846" s="8"/>
      <c r="U1846" s="8">
        <v>52.21</v>
      </c>
      <c r="V1846" s="8"/>
      <c r="W1846" s="8"/>
      <c r="X1846" s="8"/>
      <c r="Y1846" s="8"/>
      <c r="Z1846" s="8"/>
      <c r="AA1846" s="8"/>
      <c r="AB1846" s="8"/>
      <c r="AC1846" s="8">
        <v>10.25</v>
      </c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11"/>
      <c r="AQ1846" s="8"/>
      <c r="AR1846" s="8"/>
      <c r="AS1846" s="8"/>
      <c r="AT1846" s="8">
        <v>2334.21</v>
      </c>
      <c r="AU1846" s="8"/>
      <c r="AV1846" s="8"/>
      <c r="AW1846" s="8"/>
      <c r="AX1846" s="8">
        <v>5.13</v>
      </c>
      <c r="AY1846" s="8"/>
      <c r="AZ1846" s="8"/>
      <c r="BA1846" s="8"/>
      <c r="BB1846" s="8"/>
      <c r="BC1846" s="8"/>
      <c r="BD1846" s="8"/>
      <c r="BE1846" s="8"/>
      <c r="BF1846" s="8"/>
      <c r="BG1846" s="8">
        <v>176.09</v>
      </c>
      <c r="BH1846" s="9">
        <f t="shared" si="252"/>
        <v>4097.54</v>
      </c>
      <c r="BI1846" s="9">
        <f t="shared" si="253"/>
        <v>10.23</v>
      </c>
      <c r="BJ1846" s="9">
        <f t="shared" si="254"/>
        <v>12.32</v>
      </c>
      <c r="BK1846" s="9">
        <f t="shared" si="255"/>
        <v>52.21</v>
      </c>
      <c r="BL1846" s="9">
        <f t="shared" si="256"/>
        <v>0</v>
      </c>
      <c r="BM1846" s="9">
        <f t="shared" si="257"/>
        <v>10.25</v>
      </c>
      <c r="BN1846" s="9">
        <f t="shared" si="258"/>
        <v>2334.21</v>
      </c>
      <c r="BO1846" s="9">
        <f t="shared" si="259"/>
        <v>5.13</v>
      </c>
      <c r="BP1846" s="9">
        <f t="shared" si="260"/>
        <v>0</v>
      </c>
    </row>
    <row r="1847" spans="1:68">
      <c r="A1847" s="6">
        <v>44875</v>
      </c>
      <c r="B1847" s="7">
        <v>3121</v>
      </c>
      <c r="C1847" s="8">
        <v>1176.08</v>
      </c>
      <c r="D1847" s="8"/>
      <c r="E1847" s="8"/>
      <c r="F1847" s="8"/>
      <c r="G1847" s="8"/>
      <c r="H1847" s="8"/>
      <c r="I1847" s="8"/>
      <c r="J1847" s="8"/>
      <c r="K1847" s="8"/>
      <c r="L1847" s="8"/>
      <c r="M1847" s="8">
        <v>2.77</v>
      </c>
      <c r="N1847" s="8"/>
      <c r="O1847" s="8"/>
      <c r="P1847" s="8"/>
      <c r="Q1847" s="11"/>
      <c r="R1847" s="11"/>
      <c r="S1847" s="8">
        <v>3.77</v>
      </c>
      <c r="T1847" s="8"/>
      <c r="U1847" s="8">
        <v>11.77</v>
      </c>
      <c r="V1847" s="8"/>
      <c r="W1847" s="8"/>
      <c r="X1847" s="8"/>
      <c r="Y1847" s="8"/>
      <c r="Z1847" s="8"/>
      <c r="AA1847" s="8"/>
      <c r="AB1847" s="8"/>
      <c r="AC1847" s="8">
        <v>4.7</v>
      </c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11">
        <f>2220*5.35/1000</f>
        <v>11.877000000000001</v>
      </c>
      <c r="AQ1847" s="8"/>
      <c r="AR1847" s="8"/>
      <c r="AS1847" s="8"/>
      <c r="AT1847" s="8">
        <v>622.05999999999995</v>
      </c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>
        <v>45.97</v>
      </c>
      <c r="BH1847" s="9">
        <f t="shared" si="252"/>
        <v>1176.08</v>
      </c>
      <c r="BI1847" s="9">
        <f t="shared" si="253"/>
        <v>2.77</v>
      </c>
      <c r="BJ1847" s="9">
        <f t="shared" si="254"/>
        <v>3.77</v>
      </c>
      <c r="BK1847" s="9">
        <f t="shared" si="255"/>
        <v>11.77</v>
      </c>
      <c r="BL1847" s="9">
        <f t="shared" si="256"/>
        <v>0</v>
      </c>
      <c r="BM1847" s="9">
        <f t="shared" si="257"/>
        <v>16.577000000000002</v>
      </c>
      <c r="BN1847" s="9">
        <f t="shared" si="258"/>
        <v>622.05999999999995</v>
      </c>
      <c r="BO1847" s="9">
        <f t="shared" si="259"/>
        <v>0</v>
      </c>
      <c r="BP1847" s="9">
        <f t="shared" si="260"/>
        <v>0</v>
      </c>
    </row>
    <row r="1848" spans="1:68">
      <c r="A1848" s="6">
        <v>44875</v>
      </c>
      <c r="B1848" s="7">
        <v>3119</v>
      </c>
      <c r="C1848" s="8">
        <v>1100.01</v>
      </c>
      <c r="D1848" s="8"/>
      <c r="E1848" s="8"/>
      <c r="F1848" s="8"/>
      <c r="G1848" s="8"/>
      <c r="H1848" s="8"/>
      <c r="I1848" s="8"/>
      <c r="J1848" s="8"/>
      <c r="K1848" s="8"/>
      <c r="L1848" s="8"/>
      <c r="M1848" s="8">
        <v>3.41</v>
      </c>
      <c r="N1848" s="8"/>
      <c r="O1848" s="8"/>
      <c r="P1848" s="8"/>
      <c r="Q1848" s="11"/>
      <c r="R1848" s="11"/>
      <c r="S1848" s="8">
        <v>5.01</v>
      </c>
      <c r="T1848" s="8"/>
      <c r="U1848" s="8">
        <v>11.01</v>
      </c>
      <c r="V1848" s="8"/>
      <c r="W1848" s="8"/>
      <c r="X1848" s="8"/>
      <c r="Y1848" s="8"/>
      <c r="Z1848" s="8"/>
      <c r="AA1848" s="8"/>
      <c r="AB1848" s="8"/>
      <c r="AC1848" s="8">
        <v>2.76</v>
      </c>
      <c r="AD1848" s="8"/>
      <c r="AE1848" s="8"/>
      <c r="AF1848" s="8"/>
      <c r="AG1848" s="8">
        <v>3.3</v>
      </c>
      <c r="AH1848" s="8"/>
      <c r="AI1848" s="8"/>
      <c r="AJ1848" s="8"/>
      <c r="AK1848" s="8"/>
      <c r="AL1848" s="8"/>
      <c r="AM1848" s="8"/>
      <c r="AN1848" s="8"/>
      <c r="AO1848" s="8"/>
      <c r="AP1848" s="11"/>
      <c r="AQ1848" s="8"/>
      <c r="AR1848" s="8"/>
      <c r="AS1848" s="8"/>
      <c r="AT1848" s="8">
        <v>416.18</v>
      </c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>
        <v>76.81</v>
      </c>
      <c r="BG1848" s="8">
        <v>29.31</v>
      </c>
      <c r="BH1848" s="9">
        <f t="shared" si="252"/>
        <v>1100.01</v>
      </c>
      <c r="BI1848" s="9">
        <f t="shared" si="253"/>
        <v>3.41</v>
      </c>
      <c r="BJ1848" s="9">
        <f t="shared" si="254"/>
        <v>5.01</v>
      </c>
      <c r="BK1848" s="9">
        <f t="shared" si="255"/>
        <v>11.01</v>
      </c>
      <c r="BL1848" s="9">
        <f t="shared" si="256"/>
        <v>0</v>
      </c>
      <c r="BM1848" s="9">
        <f t="shared" si="257"/>
        <v>6.06</v>
      </c>
      <c r="BN1848" s="9">
        <f t="shared" si="258"/>
        <v>416.18</v>
      </c>
      <c r="BO1848" s="9">
        <f t="shared" si="259"/>
        <v>0</v>
      </c>
      <c r="BP1848" s="9">
        <f t="shared" si="260"/>
        <v>76.81</v>
      </c>
    </row>
    <row r="1849" spans="1:68">
      <c r="A1849" s="6">
        <v>44875</v>
      </c>
      <c r="B1849" s="7">
        <v>3016</v>
      </c>
      <c r="C1849" s="8"/>
      <c r="D1849" s="8">
        <f>2325.03+57.13</f>
        <v>2382.1600000000003</v>
      </c>
      <c r="E1849" s="8"/>
      <c r="F1849" s="8"/>
      <c r="G1849" s="8"/>
      <c r="H1849" s="8"/>
      <c r="I1849" s="8">
        <f>2146.49+52.4</f>
        <v>2198.89</v>
      </c>
      <c r="J1849" s="8"/>
      <c r="K1849" s="8"/>
      <c r="L1849" s="8"/>
      <c r="M1849" s="8"/>
      <c r="N1849" s="8">
        <f>0.66+26.86</f>
        <v>27.52</v>
      </c>
      <c r="O1849" s="8"/>
      <c r="P1849" s="8"/>
      <c r="Q1849" s="11"/>
      <c r="R1849" s="11"/>
      <c r="S1849" s="8">
        <f>3.12+0.08</f>
        <v>3.2</v>
      </c>
      <c r="T1849" s="8"/>
      <c r="U1849" s="8"/>
      <c r="V1849" s="8"/>
      <c r="W1849" s="8">
        <f>44.79+1.1</f>
        <v>45.89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>
        <f>0.44+17.76</f>
        <v>18.200000000000003</v>
      </c>
      <c r="AN1849" s="8">
        <f>1993*26.93/1000</f>
        <v>53.671489999999999</v>
      </c>
      <c r="AO1849" s="8"/>
      <c r="AP1849" s="11"/>
      <c r="AQ1849" s="8"/>
      <c r="AR1849" s="8">
        <f>4293*26.93/1000</f>
        <v>115.61049</v>
      </c>
      <c r="AS1849" s="8"/>
      <c r="AT1849" s="8">
        <f>40.87+1660.72</f>
        <v>1701.59</v>
      </c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>
        <f>121.47+2.9</f>
        <v>124.37</v>
      </c>
      <c r="BH1849" s="9">
        <f t="shared" si="252"/>
        <v>4581.05</v>
      </c>
      <c r="BI1849" s="9">
        <f t="shared" si="253"/>
        <v>27.52</v>
      </c>
      <c r="BJ1849" s="9">
        <f t="shared" si="254"/>
        <v>3.2</v>
      </c>
      <c r="BK1849" s="9">
        <f t="shared" si="255"/>
        <v>45.89</v>
      </c>
      <c r="BL1849" s="9">
        <f t="shared" si="256"/>
        <v>0</v>
      </c>
      <c r="BM1849" s="9">
        <f t="shared" si="257"/>
        <v>187.48197999999999</v>
      </c>
      <c r="BN1849" s="9">
        <f t="shared" si="258"/>
        <v>1701.59</v>
      </c>
      <c r="BO1849" s="9">
        <f t="shared" si="259"/>
        <v>0</v>
      </c>
      <c r="BP1849" s="9">
        <f t="shared" si="260"/>
        <v>0</v>
      </c>
    </row>
    <row r="1850" spans="1:68">
      <c r="A1850" s="6">
        <v>44875</v>
      </c>
      <c r="B1850" s="7">
        <v>3200</v>
      </c>
      <c r="C1850" s="8">
        <v>2264.27</v>
      </c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>
        <v>5.67</v>
      </c>
      <c r="P1850" s="8"/>
      <c r="Q1850" s="11"/>
      <c r="R1850" s="11"/>
      <c r="S1850" s="8">
        <v>8.82</v>
      </c>
      <c r="T1850" s="8"/>
      <c r="U1850" s="8">
        <v>33.97</v>
      </c>
      <c r="V1850" s="8"/>
      <c r="W1850" s="8"/>
      <c r="X1850" s="8"/>
      <c r="Y1850" s="8"/>
      <c r="Z1850" s="8">
        <v>475.84</v>
      </c>
      <c r="AA1850" s="8"/>
      <c r="AB1850" s="8"/>
      <c r="AC1850" s="8"/>
      <c r="AD1850" s="8"/>
      <c r="AE1850" s="8"/>
      <c r="AF1850" s="8">
        <v>112.25</v>
      </c>
      <c r="AG1850" s="8"/>
      <c r="AH1850" s="8"/>
      <c r="AI1850" s="8"/>
      <c r="AJ1850" s="8"/>
      <c r="AK1850" s="8"/>
      <c r="AL1850" s="8"/>
      <c r="AM1850" s="8"/>
      <c r="AN1850" s="8"/>
      <c r="AO1850" s="8"/>
      <c r="AP1850" s="11"/>
      <c r="AQ1850" s="8">
        <f>1521*22.67/1000</f>
        <v>34.481070000000003</v>
      </c>
      <c r="AR1850" s="8"/>
      <c r="AS1850" s="8"/>
      <c r="AT1850" s="8">
        <v>1549.38</v>
      </c>
      <c r="AU1850" s="8"/>
      <c r="AV1850" s="8"/>
      <c r="AW1850" s="8">
        <v>6.66</v>
      </c>
      <c r="AX1850" s="8"/>
      <c r="AY1850" s="8"/>
      <c r="AZ1850" s="8"/>
      <c r="BA1850" s="8"/>
      <c r="BB1850" s="8"/>
      <c r="BC1850" s="8"/>
      <c r="BD1850" s="8"/>
      <c r="BE1850" s="8"/>
      <c r="BF1850" s="8">
        <v>108.76</v>
      </c>
      <c r="BG1850" s="8">
        <v>112.37</v>
      </c>
      <c r="BH1850" s="9">
        <f t="shared" si="252"/>
        <v>2264.27</v>
      </c>
      <c r="BI1850" s="9">
        <f t="shared" si="253"/>
        <v>5.67</v>
      </c>
      <c r="BJ1850" s="9">
        <f t="shared" si="254"/>
        <v>8.82</v>
      </c>
      <c r="BK1850" s="9">
        <f t="shared" si="255"/>
        <v>33.97</v>
      </c>
      <c r="BL1850" s="9">
        <f t="shared" si="256"/>
        <v>475.84</v>
      </c>
      <c r="BM1850" s="9">
        <f t="shared" si="257"/>
        <v>146.73106999999999</v>
      </c>
      <c r="BN1850" s="9">
        <f t="shared" si="258"/>
        <v>1549.38</v>
      </c>
      <c r="BO1850" s="9">
        <f t="shared" si="259"/>
        <v>6.66</v>
      </c>
      <c r="BP1850" s="9">
        <f t="shared" si="260"/>
        <v>108.76</v>
      </c>
    </row>
    <row r="1851" spans="1:68">
      <c r="A1851" s="6">
        <v>44875</v>
      </c>
      <c r="B1851" s="7">
        <v>3405</v>
      </c>
      <c r="C1851" s="8">
        <v>1210.77</v>
      </c>
      <c r="D1851" s="8">
        <v>303.37</v>
      </c>
      <c r="E1851" s="8"/>
      <c r="F1851" s="8"/>
      <c r="G1851" s="8"/>
      <c r="H1851" s="8"/>
      <c r="I1851" s="8"/>
      <c r="J1851" s="8"/>
      <c r="K1851" s="8"/>
      <c r="L1851" s="8"/>
      <c r="M1851" s="8">
        <v>3</v>
      </c>
      <c r="N1851" s="8"/>
      <c r="O1851" s="8"/>
      <c r="P1851" s="8"/>
      <c r="Q1851" s="11"/>
      <c r="R1851" s="11"/>
      <c r="S1851" s="8">
        <v>3.48</v>
      </c>
      <c r="T1851" s="8"/>
      <c r="U1851" s="8"/>
      <c r="V1851" s="8"/>
      <c r="W1851" s="8"/>
      <c r="X1851" s="8">
        <f>1236*15.12/1000</f>
        <v>18.688320000000001</v>
      </c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11"/>
      <c r="AQ1851" s="8"/>
      <c r="AR1851" s="8"/>
      <c r="AS1851" s="8"/>
      <c r="AT1851" s="8">
        <v>739.76</v>
      </c>
      <c r="AU1851" s="8"/>
      <c r="AV1851" s="8"/>
      <c r="AW1851" s="8"/>
      <c r="AX1851" s="8"/>
      <c r="AY1851" s="8"/>
      <c r="AZ1851" s="8"/>
      <c r="BA1851" s="8">
        <v>6.76</v>
      </c>
      <c r="BB1851" s="8"/>
      <c r="BC1851" s="8"/>
      <c r="BD1851" s="8"/>
      <c r="BE1851" s="8"/>
      <c r="BF1851" s="8"/>
      <c r="BG1851" s="8">
        <v>49.96</v>
      </c>
      <c r="BH1851" s="9">
        <f t="shared" si="252"/>
        <v>1514.1399999999999</v>
      </c>
      <c r="BI1851" s="9">
        <f t="shared" si="253"/>
        <v>3</v>
      </c>
      <c r="BJ1851" s="9">
        <f t="shared" si="254"/>
        <v>3.48</v>
      </c>
      <c r="BK1851" s="9">
        <f t="shared" si="255"/>
        <v>18.688320000000001</v>
      </c>
      <c r="BL1851" s="9">
        <f t="shared" si="256"/>
        <v>0</v>
      </c>
      <c r="BM1851" s="9">
        <f t="shared" si="257"/>
        <v>0</v>
      </c>
      <c r="BN1851" s="9">
        <f t="shared" si="258"/>
        <v>739.76</v>
      </c>
      <c r="BO1851" s="9">
        <f t="shared" si="259"/>
        <v>6.76</v>
      </c>
      <c r="BP1851" s="9">
        <f t="shared" si="260"/>
        <v>0</v>
      </c>
    </row>
    <row r="1852" spans="1:68">
      <c r="A1852" s="6">
        <v>44875</v>
      </c>
      <c r="B1852" s="7">
        <v>3408</v>
      </c>
      <c r="C1852" s="8">
        <v>1130.19</v>
      </c>
      <c r="D1852" s="8"/>
      <c r="E1852" s="8"/>
      <c r="F1852" s="8"/>
      <c r="G1852" s="8"/>
      <c r="H1852" s="8"/>
      <c r="I1852" s="8"/>
      <c r="J1852" s="8"/>
      <c r="K1852" s="8"/>
      <c r="L1852" s="8"/>
      <c r="M1852" s="8">
        <v>2.63</v>
      </c>
      <c r="N1852" s="8"/>
      <c r="O1852" s="8"/>
      <c r="P1852" s="8"/>
      <c r="Q1852" s="11"/>
      <c r="R1852" s="11"/>
      <c r="S1852" s="8">
        <v>2.83</v>
      </c>
      <c r="T1852" s="8"/>
      <c r="U1852" s="8"/>
      <c r="V1852" s="8"/>
      <c r="W1852" s="8"/>
      <c r="X1852" s="8">
        <f>1006*11.32/1000</f>
        <v>11.387919999999999</v>
      </c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11"/>
      <c r="AQ1852" s="8"/>
      <c r="AR1852" s="8"/>
      <c r="AS1852" s="8"/>
      <c r="AT1852" s="8">
        <v>562.04999999999995</v>
      </c>
      <c r="AU1852" s="8"/>
      <c r="AV1852" s="8"/>
      <c r="AW1852" s="8"/>
      <c r="AX1852" s="8"/>
      <c r="AY1852" s="8"/>
      <c r="AZ1852" s="8"/>
      <c r="BA1852" s="8">
        <v>5.08</v>
      </c>
      <c r="BB1852" s="8"/>
      <c r="BC1852" s="8"/>
      <c r="BD1852" s="8"/>
      <c r="BE1852" s="8"/>
      <c r="BF1852" s="8"/>
      <c r="BG1852" s="8">
        <v>38.68</v>
      </c>
      <c r="BH1852" s="9">
        <f t="shared" si="252"/>
        <v>1130.19</v>
      </c>
      <c r="BI1852" s="9">
        <f t="shared" si="253"/>
        <v>2.63</v>
      </c>
      <c r="BJ1852" s="9">
        <f t="shared" si="254"/>
        <v>2.83</v>
      </c>
      <c r="BK1852" s="9">
        <f t="shared" si="255"/>
        <v>11.387919999999999</v>
      </c>
      <c r="BL1852" s="9">
        <f t="shared" si="256"/>
        <v>0</v>
      </c>
      <c r="BM1852" s="9">
        <f t="shared" si="257"/>
        <v>0</v>
      </c>
      <c r="BN1852" s="9">
        <f t="shared" si="258"/>
        <v>562.04999999999995</v>
      </c>
      <c r="BO1852" s="9">
        <f t="shared" si="259"/>
        <v>5.08</v>
      </c>
      <c r="BP1852" s="9">
        <f t="shared" si="260"/>
        <v>0</v>
      </c>
    </row>
    <row r="1853" spans="1:68">
      <c r="A1853" s="6">
        <v>44876</v>
      </c>
      <c r="B1853" s="7">
        <v>3139</v>
      </c>
      <c r="C1853" s="8">
        <v>1665.45</v>
      </c>
      <c r="D1853" s="8"/>
      <c r="E1853" s="8"/>
      <c r="F1853" s="8"/>
      <c r="G1853" s="8"/>
      <c r="H1853" s="8">
        <v>689.96</v>
      </c>
      <c r="I1853" s="8"/>
      <c r="J1853" s="8"/>
      <c r="K1853" s="8"/>
      <c r="L1853" s="8"/>
      <c r="M1853" s="8">
        <v>3.88</v>
      </c>
      <c r="N1853" s="8"/>
      <c r="O1853" s="8"/>
      <c r="P1853" s="8"/>
      <c r="Q1853" s="11"/>
      <c r="R1853" s="11"/>
      <c r="S1853" s="8">
        <v>7.36</v>
      </c>
      <c r="T1853" s="8"/>
      <c r="U1853" s="8">
        <v>24.6</v>
      </c>
      <c r="V1853" s="8"/>
      <c r="W1853" s="8"/>
      <c r="X1853" s="8"/>
      <c r="Y1853" s="8"/>
      <c r="Z1853" s="8"/>
      <c r="AA1853" s="8"/>
      <c r="AB1853" s="8"/>
      <c r="AC1853" s="8">
        <v>8.19</v>
      </c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11"/>
      <c r="AQ1853" s="8"/>
      <c r="AR1853" s="8"/>
      <c r="AS1853" s="8"/>
      <c r="AT1853" s="8">
        <v>1208.97</v>
      </c>
      <c r="AU1853" s="8"/>
      <c r="AV1853" s="8">
        <v>40.840000000000003</v>
      </c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>
        <v>88</v>
      </c>
      <c r="BH1853" s="9">
        <f t="shared" si="252"/>
        <v>2355.41</v>
      </c>
      <c r="BI1853" s="9">
        <f t="shared" si="253"/>
        <v>3.88</v>
      </c>
      <c r="BJ1853" s="9">
        <f t="shared" si="254"/>
        <v>7.36</v>
      </c>
      <c r="BK1853" s="9">
        <f t="shared" si="255"/>
        <v>24.6</v>
      </c>
      <c r="BL1853" s="9">
        <f t="shared" si="256"/>
        <v>0</v>
      </c>
      <c r="BM1853" s="9">
        <f t="shared" si="257"/>
        <v>8.19</v>
      </c>
      <c r="BN1853" s="9">
        <f t="shared" si="258"/>
        <v>1208.97</v>
      </c>
      <c r="BO1853" s="9">
        <f t="shared" si="259"/>
        <v>40.840000000000003</v>
      </c>
      <c r="BP1853" s="9">
        <f t="shared" si="260"/>
        <v>0</v>
      </c>
    </row>
    <row r="1854" spans="1:68">
      <c r="A1854" s="6">
        <v>44876</v>
      </c>
      <c r="B1854" s="7">
        <v>3127</v>
      </c>
      <c r="C1854" s="8">
        <v>1148.52</v>
      </c>
      <c r="D1854" s="8"/>
      <c r="E1854" s="8"/>
      <c r="F1854" s="8"/>
      <c r="G1854" s="8"/>
      <c r="H1854" s="8"/>
      <c r="I1854" s="8"/>
      <c r="J1854" s="8"/>
      <c r="K1854" s="8"/>
      <c r="L1854" s="8"/>
      <c r="M1854" s="8">
        <v>3.44</v>
      </c>
      <c r="N1854" s="8"/>
      <c r="O1854" s="8"/>
      <c r="P1854" s="8"/>
      <c r="Q1854" s="11"/>
      <c r="R1854" s="11"/>
      <c r="S1854" s="8">
        <v>5.27</v>
      </c>
      <c r="T1854" s="8"/>
      <c r="U1854" s="8">
        <v>11.45</v>
      </c>
      <c r="V1854" s="8"/>
      <c r="W1854" s="8"/>
      <c r="X1854" s="8"/>
      <c r="Y1854" s="8"/>
      <c r="Z1854" s="8">
        <v>171.71</v>
      </c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11"/>
      <c r="AQ1854" s="8"/>
      <c r="AR1854" s="8"/>
      <c r="AS1854" s="8"/>
      <c r="AT1854" s="8">
        <v>557.99</v>
      </c>
      <c r="AU1854" s="8"/>
      <c r="AV1854" s="8">
        <v>22.89</v>
      </c>
      <c r="AW1854" s="8"/>
      <c r="AX1854" s="8"/>
      <c r="AY1854" s="8"/>
      <c r="AZ1854" s="8"/>
      <c r="BA1854" s="8"/>
      <c r="BB1854" s="8"/>
      <c r="BC1854" s="8"/>
      <c r="BD1854" s="8"/>
      <c r="BE1854" s="8"/>
      <c r="BF1854" s="8">
        <v>57.22</v>
      </c>
      <c r="BG1854" s="8">
        <v>40.020000000000003</v>
      </c>
      <c r="BH1854" s="9">
        <f t="shared" si="252"/>
        <v>1148.52</v>
      </c>
      <c r="BI1854" s="9">
        <f t="shared" si="253"/>
        <v>3.44</v>
      </c>
      <c r="BJ1854" s="9">
        <f t="shared" si="254"/>
        <v>5.27</v>
      </c>
      <c r="BK1854" s="9">
        <f t="shared" si="255"/>
        <v>11.45</v>
      </c>
      <c r="BL1854" s="9">
        <f t="shared" si="256"/>
        <v>171.71</v>
      </c>
      <c r="BM1854" s="9">
        <f t="shared" si="257"/>
        <v>0</v>
      </c>
      <c r="BN1854" s="9">
        <f t="shared" si="258"/>
        <v>557.99</v>
      </c>
      <c r="BO1854" s="9">
        <f t="shared" si="259"/>
        <v>22.89</v>
      </c>
      <c r="BP1854" s="9">
        <f t="shared" si="260"/>
        <v>57.22</v>
      </c>
    </row>
    <row r="1855" spans="1:68">
      <c r="A1855" s="6">
        <v>44876</v>
      </c>
      <c r="B1855" s="7">
        <v>3029</v>
      </c>
      <c r="C1855" s="8"/>
      <c r="D1855" s="8">
        <v>470.34</v>
      </c>
      <c r="E1855" s="8"/>
      <c r="F1855" s="8">
        <v>331.59</v>
      </c>
      <c r="G1855" s="8"/>
      <c r="H1855" s="8"/>
      <c r="I1855" s="8">
        <v>1962.26</v>
      </c>
      <c r="J1855" s="8"/>
      <c r="K1855" s="8"/>
      <c r="L1855" s="8"/>
      <c r="M1855" s="8"/>
      <c r="N1855" s="8">
        <v>21.29</v>
      </c>
      <c r="O1855" s="8"/>
      <c r="P1855" s="8"/>
      <c r="Q1855" s="11"/>
      <c r="R1855" s="11"/>
      <c r="S1855" s="8">
        <v>1.65</v>
      </c>
      <c r="T1855" s="8"/>
      <c r="U1855" s="8"/>
      <c r="V1855" s="8"/>
      <c r="W1855" s="8">
        <v>27.67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>
        <v>9.67</v>
      </c>
      <c r="AN1855" s="8">
        <f>758*18.43/1000</f>
        <v>13.969940000000001</v>
      </c>
      <c r="AO1855" s="8"/>
      <c r="AP1855" s="11"/>
      <c r="AQ1855" s="8"/>
      <c r="AR1855" s="8">
        <f>4526*18.43/1000</f>
        <v>83.414179999999988</v>
      </c>
      <c r="AS1855" s="8"/>
      <c r="AT1855" s="8">
        <v>1049.05</v>
      </c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>
        <v>73.36</v>
      </c>
      <c r="BH1855" s="9">
        <f t="shared" si="252"/>
        <v>2764.19</v>
      </c>
      <c r="BI1855" s="9">
        <f t="shared" si="253"/>
        <v>21.29</v>
      </c>
      <c r="BJ1855" s="9">
        <f t="shared" si="254"/>
        <v>1.65</v>
      </c>
      <c r="BK1855" s="9">
        <f t="shared" si="255"/>
        <v>27.67</v>
      </c>
      <c r="BL1855" s="9">
        <f t="shared" si="256"/>
        <v>0</v>
      </c>
      <c r="BM1855" s="9">
        <f t="shared" si="257"/>
        <v>107.05411999999998</v>
      </c>
      <c r="BN1855" s="9">
        <f t="shared" si="258"/>
        <v>1049.05</v>
      </c>
      <c r="BO1855" s="9">
        <f t="shared" si="259"/>
        <v>0</v>
      </c>
      <c r="BP1855" s="9">
        <f t="shared" si="260"/>
        <v>0</v>
      </c>
    </row>
    <row r="1856" spans="1:68">
      <c r="A1856" s="6">
        <v>44876</v>
      </c>
      <c r="B1856" s="7">
        <v>3083</v>
      </c>
      <c r="C1856" s="8"/>
      <c r="D1856" s="8">
        <v>740.76</v>
      </c>
      <c r="E1856" s="8"/>
      <c r="F1856" s="8"/>
      <c r="G1856" s="8"/>
      <c r="H1856" s="8"/>
      <c r="I1856" s="8">
        <v>1719.34</v>
      </c>
      <c r="J1856" s="8"/>
      <c r="K1856" s="8"/>
      <c r="L1856" s="8"/>
      <c r="M1856" s="8"/>
      <c r="N1856" s="8">
        <v>15.49</v>
      </c>
      <c r="O1856" s="8"/>
      <c r="P1856" s="8"/>
      <c r="Q1856" s="11"/>
      <c r="R1856" s="11"/>
      <c r="S1856" s="8">
        <v>1.71</v>
      </c>
      <c r="T1856" s="8"/>
      <c r="U1856" s="8"/>
      <c r="V1856" s="8"/>
      <c r="W1856" s="8">
        <v>19.7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>
        <v>9.81</v>
      </c>
      <c r="AN1856" s="8">
        <f>1922*18.22/1000</f>
        <v>35.018839999999997</v>
      </c>
      <c r="AO1856" s="8"/>
      <c r="AP1856" s="11"/>
      <c r="AQ1856" s="8"/>
      <c r="AR1856" s="8">
        <f>3449*18.22/1000</f>
        <v>62.840780000000002</v>
      </c>
      <c r="AS1856" s="8"/>
      <c r="AT1856" s="8">
        <v>1159.3499999999999</v>
      </c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>
        <v>91.64</v>
      </c>
      <c r="BH1856" s="9">
        <f t="shared" si="252"/>
        <v>2460.1</v>
      </c>
      <c r="BI1856" s="9">
        <f t="shared" si="253"/>
        <v>15.49</v>
      </c>
      <c r="BJ1856" s="9">
        <f t="shared" si="254"/>
        <v>1.71</v>
      </c>
      <c r="BK1856" s="9">
        <f t="shared" si="255"/>
        <v>19.7</v>
      </c>
      <c r="BL1856" s="9">
        <f t="shared" si="256"/>
        <v>0</v>
      </c>
      <c r="BM1856" s="9">
        <f t="shared" si="257"/>
        <v>107.66962000000001</v>
      </c>
      <c r="BN1856" s="9">
        <f t="shared" si="258"/>
        <v>1159.3499999999999</v>
      </c>
      <c r="BO1856" s="9">
        <f t="shared" si="259"/>
        <v>0</v>
      </c>
      <c r="BP1856" s="9">
        <f t="shared" si="260"/>
        <v>0</v>
      </c>
    </row>
    <row r="1857" spans="1:68">
      <c r="A1857" s="6">
        <v>44876</v>
      </c>
      <c r="B1857" s="7">
        <v>3016</v>
      </c>
      <c r="C1857" s="8"/>
      <c r="D1857" s="8">
        <v>1592.31</v>
      </c>
      <c r="E1857" s="8"/>
      <c r="F1857" s="8"/>
      <c r="G1857" s="8"/>
      <c r="H1857" s="8"/>
      <c r="I1857" s="8">
        <v>1474.82</v>
      </c>
      <c r="J1857" s="8"/>
      <c r="K1857" s="8"/>
      <c r="L1857" s="8"/>
      <c r="M1857" s="8"/>
      <c r="N1857" s="8">
        <v>18.41</v>
      </c>
      <c r="O1857" s="8"/>
      <c r="P1857" s="8"/>
      <c r="Q1857" s="11"/>
      <c r="R1857" s="11"/>
      <c r="S1857" s="8">
        <v>2.14</v>
      </c>
      <c r="T1857" s="8"/>
      <c r="U1857" s="8"/>
      <c r="V1857" s="8"/>
      <c r="W1857" s="8">
        <v>30.88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>
        <v>12.29</v>
      </c>
      <c r="AN1857" s="8">
        <f>2045*18.07/1000</f>
        <v>36.953150000000001</v>
      </c>
      <c r="AO1857" s="8"/>
      <c r="AP1857" s="11"/>
      <c r="AQ1857" s="8"/>
      <c r="AR1857" s="8">
        <f>4246*18.07/1000</f>
        <v>76.725220000000007</v>
      </c>
      <c r="AS1857" s="8"/>
      <c r="AT1857" s="8">
        <v>1142.17</v>
      </c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>
        <v>83.37</v>
      </c>
      <c r="BH1857" s="9">
        <f t="shared" si="252"/>
        <v>3067.13</v>
      </c>
      <c r="BI1857" s="9">
        <f t="shared" si="253"/>
        <v>18.41</v>
      </c>
      <c r="BJ1857" s="9">
        <f t="shared" si="254"/>
        <v>2.14</v>
      </c>
      <c r="BK1857" s="9">
        <f t="shared" si="255"/>
        <v>30.88</v>
      </c>
      <c r="BL1857" s="9">
        <f t="shared" si="256"/>
        <v>0</v>
      </c>
      <c r="BM1857" s="9">
        <f t="shared" si="257"/>
        <v>125.96837000000001</v>
      </c>
      <c r="BN1857" s="9">
        <f t="shared" si="258"/>
        <v>1142.17</v>
      </c>
      <c r="BO1857" s="9">
        <f t="shared" si="259"/>
        <v>0</v>
      </c>
      <c r="BP1857" s="9">
        <f t="shared" si="260"/>
        <v>0</v>
      </c>
    </row>
    <row r="1858" spans="1:68">
      <c r="A1858" s="6">
        <v>44876</v>
      </c>
      <c r="B1858" s="7">
        <v>3705</v>
      </c>
      <c r="C1858" s="8"/>
      <c r="D1858" s="8">
        <f>622.32+754.85</f>
        <v>1377.17</v>
      </c>
      <c r="E1858" s="8"/>
      <c r="F1858" s="8"/>
      <c r="G1858" s="8"/>
      <c r="H1858" s="8"/>
      <c r="I1858" s="8">
        <f>136.52+165.6</f>
        <v>302.12</v>
      </c>
      <c r="J1858" s="8"/>
      <c r="K1858" s="8"/>
      <c r="L1858" s="8"/>
      <c r="M1858" s="8">
        <f>2.27+2.76</f>
        <v>5.0299999999999994</v>
      </c>
      <c r="N1858" s="8"/>
      <c r="O1858" s="8"/>
      <c r="P1858" s="8"/>
      <c r="Q1858" s="11"/>
      <c r="R1858" s="11"/>
      <c r="S1858" s="8">
        <f>2.65+3.22</f>
        <v>5.87</v>
      </c>
      <c r="T1858" s="8"/>
      <c r="U1858" s="8">
        <f>5.3+6.45</f>
        <v>11.75</v>
      </c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11"/>
      <c r="AQ1858" s="8"/>
      <c r="AR1858" s="8"/>
      <c r="AS1858" s="8"/>
      <c r="AT1858" s="8">
        <f>44.65+53.33</f>
        <v>97.97999999999999</v>
      </c>
      <c r="AU1858" s="8">
        <f>88.74+107.87</f>
        <v>196.61</v>
      </c>
      <c r="AV1858" s="8">
        <f>1.51+1.84</f>
        <v>3.35</v>
      </c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>
        <f>7.44+9.04</f>
        <v>16.48</v>
      </c>
      <c r="BH1858" s="9">
        <f t="shared" si="252"/>
        <v>1679.29</v>
      </c>
      <c r="BI1858" s="9">
        <f t="shared" si="253"/>
        <v>5.0299999999999994</v>
      </c>
      <c r="BJ1858" s="9">
        <f t="shared" si="254"/>
        <v>5.87</v>
      </c>
      <c r="BK1858" s="9">
        <f t="shared" si="255"/>
        <v>11.75</v>
      </c>
      <c r="BL1858" s="9">
        <f t="shared" si="256"/>
        <v>0</v>
      </c>
      <c r="BM1858" s="9">
        <f t="shared" si="257"/>
        <v>0</v>
      </c>
      <c r="BN1858" s="9">
        <f t="shared" si="258"/>
        <v>294.59000000000003</v>
      </c>
      <c r="BO1858" s="9">
        <f t="shared" si="259"/>
        <v>3.35</v>
      </c>
      <c r="BP1858" s="9">
        <f t="shared" si="260"/>
        <v>0</v>
      </c>
    </row>
    <row r="1859" spans="1:68">
      <c r="A1859" s="6">
        <v>44876</v>
      </c>
      <c r="B1859" s="7">
        <v>3601</v>
      </c>
      <c r="C1859" s="8">
        <v>299.8</v>
      </c>
      <c r="D1859" s="8"/>
      <c r="E1859" s="8"/>
      <c r="F1859" s="8"/>
      <c r="G1859" s="8">
        <v>451.68</v>
      </c>
      <c r="H1859" s="8"/>
      <c r="I1859" s="8"/>
      <c r="J1859" s="8"/>
      <c r="K1859" s="8"/>
      <c r="L1859" s="8"/>
      <c r="M1859" s="8">
        <v>0.91</v>
      </c>
      <c r="N1859" s="8"/>
      <c r="O1859" s="8"/>
      <c r="P1859" s="8"/>
      <c r="Q1859" s="11"/>
      <c r="R1859" s="11"/>
      <c r="S1859" s="8">
        <v>3.63</v>
      </c>
      <c r="T1859" s="8"/>
      <c r="U1859" s="8">
        <v>4.54</v>
      </c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11"/>
      <c r="AQ1859" s="8"/>
      <c r="AR1859" s="8"/>
      <c r="AS1859" s="8"/>
      <c r="AT1859" s="8">
        <v>370.02</v>
      </c>
      <c r="AU1859" s="8"/>
      <c r="AV1859" s="8"/>
      <c r="AW1859" s="8">
        <v>22.99</v>
      </c>
      <c r="AX1859" s="8"/>
      <c r="AY1859" s="8"/>
      <c r="AZ1859" s="8"/>
      <c r="BA1859" s="8"/>
      <c r="BB1859" s="8"/>
      <c r="BC1859" s="8"/>
      <c r="BD1859" s="8"/>
      <c r="BE1859" s="8"/>
      <c r="BF1859" s="8">
        <v>42.38</v>
      </c>
      <c r="BG1859" s="8">
        <v>26.97</v>
      </c>
      <c r="BH1859" s="9">
        <f t="shared" si="252"/>
        <v>751.48</v>
      </c>
      <c r="BI1859" s="9">
        <f t="shared" si="253"/>
        <v>0.91</v>
      </c>
      <c r="BJ1859" s="9">
        <f t="shared" si="254"/>
        <v>3.63</v>
      </c>
      <c r="BK1859" s="9">
        <f t="shared" si="255"/>
        <v>4.54</v>
      </c>
      <c r="BL1859" s="9">
        <f t="shared" si="256"/>
        <v>0</v>
      </c>
      <c r="BM1859" s="9">
        <f t="shared" si="257"/>
        <v>0</v>
      </c>
      <c r="BN1859" s="9">
        <f t="shared" si="258"/>
        <v>370.02</v>
      </c>
      <c r="BO1859" s="9">
        <f t="shared" si="259"/>
        <v>22.99</v>
      </c>
      <c r="BP1859" s="9">
        <f t="shared" si="260"/>
        <v>42.38</v>
      </c>
    </row>
    <row r="1860" spans="1:68">
      <c r="A1860" s="6">
        <v>44876</v>
      </c>
      <c r="B1860" s="7">
        <v>3602</v>
      </c>
      <c r="C1860" s="8">
        <v>563.34</v>
      </c>
      <c r="D1860" s="8"/>
      <c r="E1860" s="8"/>
      <c r="F1860" s="8"/>
      <c r="G1860" s="8">
        <v>844.25</v>
      </c>
      <c r="H1860" s="8"/>
      <c r="I1860" s="8"/>
      <c r="J1860" s="8"/>
      <c r="K1860" s="8"/>
      <c r="L1860" s="8"/>
      <c r="M1860" s="8">
        <v>1.46</v>
      </c>
      <c r="N1860" s="8"/>
      <c r="O1860" s="8"/>
      <c r="P1860" s="8"/>
      <c r="Q1860" s="11"/>
      <c r="R1860" s="11"/>
      <c r="S1860" s="8">
        <v>6.76</v>
      </c>
      <c r="T1860" s="8"/>
      <c r="U1860" s="8">
        <v>11.26</v>
      </c>
      <c r="V1860" s="8">
        <f>854*16.1/1000</f>
        <v>13.749400000000001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11"/>
      <c r="AQ1860" s="8"/>
      <c r="AR1860" s="8"/>
      <c r="AS1860" s="8"/>
      <c r="AT1860" s="8">
        <v>567.72</v>
      </c>
      <c r="AU1860" s="8"/>
      <c r="AV1860" s="8"/>
      <c r="AW1860" s="8">
        <v>36.409999999999997</v>
      </c>
      <c r="AX1860" s="8"/>
      <c r="AY1860" s="8"/>
      <c r="AZ1860" s="8"/>
      <c r="BA1860" s="8"/>
      <c r="BB1860" s="8"/>
      <c r="BC1860" s="8"/>
      <c r="BD1860" s="8"/>
      <c r="BE1860" s="8"/>
      <c r="BF1860" s="8">
        <v>45.12</v>
      </c>
      <c r="BG1860" s="8">
        <v>42.28</v>
      </c>
      <c r="BH1860" s="9">
        <f t="shared" ref="BH1860:BH1923" si="261">SUM(C1860:L1860)</f>
        <v>1407.5900000000001</v>
      </c>
      <c r="BI1860" s="9">
        <f t="shared" ref="BI1860:BI1923" si="262">SUM(M1860:R1860)</f>
        <v>1.46</v>
      </c>
      <c r="BJ1860" s="9">
        <f t="shared" ref="BJ1860:BJ1923" si="263">SUM(S1860)</f>
        <v>6.76</v>
      </c>
      <c r="BK1860" s="9">
        <f t="shared" ref="BK1860:BK1923" si="264">SUM(T1860:Y1860)</f>
        <v>25.009399999999999</v>
      </c>
      <c r="BL1860" s="9">
        <f t="shared" ref="BL1860:BL1923" si="265">SUM(Z1860:AA1860)</f>
        <v>0</v>
      </c>
      <c r="BM1860" s="9">
        <f t="shared" ref="BM1860:BM1923" si="266">SUM(AB1860:AS1860)</f>
        <v>0</v>
      </c>
      <c r="BN1860" s="9">
        <f t="shared" ref="BN1860:BN1923" si="267">SUM(AT1860:AU1860)</f>
        <v>567.72</v>
      </c>
      <c r="BO1860" s="9">
        <f t="shared" ref="BO1860:BO1923" si="268">SUM(AV1860:BE1860)</f>
        <v>36.409999999999997</v>
      </c>
      <c r="BP1860" s="9">
        <f t="shared" ref="BP1860:BP1923" si="269">SUM(BF1860)</f>
        <v>45.12</v>
      </c>
    </row>
    <row r="1861" spans="1:68">
      <c r="A1861" s="6">
        <v>44876</v>
      </c>
      <c r="B1861" s="7">
        <v>3139</v>
      </c>
      <c r="C1861" s="8">
        <v>808.92</v>
      </c>
      <c r="D1861" s="8"/>
      <c r="E1861" s="8"/>
      <c r="F1861" s="8"/>
      <c r="G1861" s="8"/>
      <c r="H1861" s="8">
        <v>336.45</v>
      </c>
      <c r="I1861" s="8"/>
      <c r="J1861" s="8"/>
      <c r="K1861" s="8"/>
      <c r="L1861" s="8"/>
      <c r="M1861" s="8">
        <v>1.89</v>
      </c>
      <c r="N1861" s="8"/>
      <c r="O1861" s="8"/>
      <c r="P1861" s="8"/>
      <c r="Q1861" s="11"/>
      <c r="R1861" s="11"/>
      <c r="S1861" s="8">
        <v>3.58</v>
      </c>
      <c r="T1861" s="8"/>
      <c r="U1861" s="8">
        <v>11.95</v>
      </c>
      <c r="V1861" s="8"/>
      <c r="W1861" s="8"/>
      <c r="X1861" s="8"/>
      <c r="Y1861" s="8"/>
      <c r="Z1861" s="8"/>
      <c r="AA1861" s="8"/>
      <c r="AB1861" s="8"/>
      <c r="AC1861" s="8">
        <v>3.98</v>
      </c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11"/>
      <c r="AQ1861" s="8"/>
      <c r="AR1861" s="8"/>
      <c r="AS1861" s="8"/>
      <c r="AT1861" s="8">
        <v>588.70000000000005</v>
      </c>
      <c r="AU1861" s="8"/>
      <c r="AV1861" s="8">
        <v>19.95</v>
      </c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>
        <v>42.8</v>
      </c>
      <c r="BH1861" s="9">
        <f t="shared" si="261"/>
        <v>1145.3699999999999</v>
      </c>
      <c r="BI1861" s="9">
        <f t="shared" si="262"/>
        <v>1.89</v>
      </c>
      <c r="BJ1861" s="9">
        <f t="shared" si="263"/>
        <v>3.58</v>
      </c>
      <c r="BK1861" s="9">
        <f t="shared" si="264"/>
        <v>11.95</v>
      </c>
      <c r="BL1861" s="9">
        <f t="shared" si="265"/>
        <v>0</v>
      </c>
      <c r="BM1861" s="9">
        <f t="shared" si="266"/>
        <v>3.98</v>
      </c>
      <c r="BN1861" s="9">
        <f t="shared" si="267"/>
        <v>588.70000000000005</v>
      </c>
      <c r="BO1861" s="9">
        <f t="shared" si="268"/>
        <v>19.95</v>
      </c>
      <c r="BP1861" s="9">
        <f t="shared" si="269"/>
        <v>0</v>
      </c>
    </row>
    <row r="1862" spans="1:68">
      <c r="A1862" s="6">
        <v>44879</v>
      </c>
      <c r="B1862" s="7">
        <v>3139</v>
      </c>
      <c r="C1862" s="8">
        <v>1571.4</v>
      </c>
      <c r="D1862" s="8"/>
      <c r="E1862" s="8"/>
      <c r="F1862" s="8"/>
      <c r="G1862" s="8"/>
      <c r="H1862" s="8">
        <v>650.66999999999996</v>
      </c>
      <c r="I1862" s="8"/>
      <c r="J1862" s="8"/>
      <c r="K1862" s="8"/>
      <c r="L1862" s="8"/>
      <c r="M1862" s="8">
        <v>3.69</v>
      </c>
      <c r="N1862" s="8"/>
      <c r="O1862" s="8"/>
      <c r="P1862" s="8"/>
      <c r="Q1862" s="11"/>
      <c r="R1862" s="11"/>
      <c r="S1862" s="8">
        <v>6.97</v>
      </c>
      <c r="T1862" s="8"/>
      <c r="U1862" s="8">
        <v>23.28</v>
      </c>
      <c r="V1862" s="8"/>
      <c r="W1862" s="8"/>
      <c r="X1862" s="8"/>
      <c r="Y1862" s="8"/>
      <c r="Z1862" s="8"/>
      <c r="AA1862" s="8"/>
      <c r="AB1862" s="8"/>
      <c r="AC1862" s="8">
        <v>7.76</v>
      </c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11"/>
      <c r="AQ1862" s="8"/>
      <c r="AR1862" s="8"/>
      <c r="AS1862" s="8"/>
      <c r="AT1862" s="8">
        <v>1144.76</v>
      </c>
      <c r="AU1862" s="8"/>
      <c r="AV1862" s="8">
        <v>38.75</v>
      </c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>
        <v>83.37</v>
      </c>
      <c r="BH1862" s="9">
        <f t="shared" si="261"/>
        <v>2222.0700000000002</v>
      </c>
      <c r="BI1862" s="9">
        <f t="shared" si="262"/>
        <v>3.69</v>
      </c>
      <c r="BJ1862" s="9">
        <f t="shared" si="263"/>
        <v>6.97</v>
      </c>
      <c r="BK1862" s="9">
        <f t="shared" si="264"/>
        <v>23.28</v>
      </c>
      <c r="BL1862" s="9">
        <f t="shared" si="265"/>
        <v>0</v>
      </c>
      <c r="BM1862" s="9">
        <f t="shared" si="266"/>
        <v>7.76</v>
      </c>
      <c r="BN1862" s="9">
        <f t="shared" si="267"/>
        <v>1144.76</v>
      </c>
      <c r="BO1862" s="9">
        <f t="shared" si="268"/>
        <v>38.75</v>
      </c>
      <c r="BP1862" s="9">
        <f t="shared" si="269"/>
        <v>0</v>
      </c>
    </row>
    <row r="1863" spans="1:68">
      <c r="A1863" s="6">
        <v>44879</v>
      </c>
      <c r="B1863" s="7">
        <v>3117</v>
      </c>
      <c r="C1863" s="8">
        <v>729.71</v>
      </c>
      <c r="D1863" s="8"/>
      <c r="E1863" s="8"/>
      <c r="F1863" s="8"/>
      <c r="G1863" s="8"/>
      <c r="H1863" s="8"/>
      <c r="I1863" s="8"/>
      <c r="J1863" s="8"/>
      <c r="K1863" s="8"/>
      <c r="L1863" s="8"/>
      <c r="M1863" s="8">
        <v>2.13</v>
      </c>
      <c r="N1863" s="8"/>
      <c r="O1863" s="8"/>
      <c r="P1863" s="8"/>
      <c r="Q1863" s="11"/>
      <c r="R1863" s="11"/>
      <c r="S1863" s="8">
        <v>2.7</v>
      </c>
      <c r="T1863" s="8"/>
      <c r="U1863" s="8">
        <v>7.31</v>
      </c>
      <c r="V1863" s="8"/>
      <c r="W1863" s="8"/>
      <c r="X1863" s="8"/>
      <c r="Y1863" s="8"/>
      <c r="Z1863" s="8"/>
      <c r="AA1863" s="8"/>
      <c r="AB1863" s="8"/>
      <c r="AC1863" s="8">
        <v>2.92</v>
      </c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11"/>
      <c r="AQ1863" s="8"/>
      <c r="AR1863" s="8"/>
      <c r="AS1863" s="8"/>
      <c r="AT1863" s="8">
        <v>460.2</v>
      </c>
      <c r="AU1863" s="8"/>
      <c r="AV1863" s="8">
        <v>18.29</v>
      </c>
      <c r="AW1863" s="8"/>
      <c r="AX1863" s="8"/>
      <c r="AY1863" s="8"/>
      <c r="AZ1863" s="8"/>
      <c r="BA1863" s="8"/>
      <c r="BB1863" s="8"/>
      <c r="BC1863" s="8"/>
      <c r="BD1863" s="8"/>
      <c r="BE1863" s="8"/>
      <c r="BF1863" s="8">
        <v>36.57</v>
      </c>
      <c r="BG1863" s="8">
        <v>35.06</v>
      </c>
      <c r="BH1863" s="9">
        <f t="shared" si="261"/>
        <v>729.71</v>
      </c>
      <c r="BI1863" s="9">
        <f t="shared" si="262"/>
        <v>2.13</v>
      </c>
      <c r="BJ1863" s="9">
        <f t="shared" si="263"/>
        <v>2.7</v>
      </c>
      <c r="BK1863" s="9">
        <f t="shared" si="264"/>
        <v>7.31</v>
      </c>
      <c r="BL1863" s="9">
        <f t="shared" si="265"/>
        <v>0</v>
      </c>
      <c r="BM1863" s="9">
        <f t="shared" si="266"/>
        <v>2.92</v>
      </c>
      <c r="BN1863" s="9">
        <f t="shared" si="267"/>
        <v>460.2</v>
      </c>
      <c r="BO1863" s="9">
        <f t="shared" si="268"/>
        <v>18.29</v>
      </c>
      <c r="BP1863" s="9">
        <f t="shared" si="269"/>
        <v>36.57</v>
      </c>
    </row>
    <row r="1864" spans="1:68">
      <c r="A1864" s="6">
        <v>44879</v>
      </c>
      <c r="B1864" s="7">
        <v>3118</v>
      </c>
      <c r="C1864" s="8">
        <v>640.41</v>
      </c>
      <c r="D1864" s="8"/>
      <c r="E1864" s="8"/>
      <c r="F1864" s="8"/>
      <c r="G1864" s="8"/>
      <c r="H1864" s="8"/>
      <c r="I1864" s="8"/>
      <c r="J1864" s="8"/>
      <c r="K1864" s="8"/>
      <c r="L1864" s="8"/>
      <c r="M1864" s="8">
        <v>2.12</v>
      </c>
      <c r="N1864" s="8"/>
      <c r="O1864" s="8"/>
      <c r="P1864" s="8"/>
      <c r="Q1864" s="11"/>
      <c r="R1864" s="11"/>
      <c r="S1864" s="8">
        <v>3.52</v>
      </c>
      <c r="T1864" s="8"/>
      <c r="U1864" s="8">
        <v>7.7</v>
      </c>
      <c r="V1864" s="8"/>
      <c r="W1864" s="8"/>
      <c r="X1864" s="8"/>
      <c r="Y1864" s="8"/>
      <c r="Z1864" s="8"/>
      <c r="AA1864" s="8"/>
      <c r="AB1864" s="8"/>
      <c r="AC1864" s="8">
        <v>2.57</v>
      </c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11"/>
      <c r="AQ1864" s="8">
        <f>715*9.15/1000</f>
        <v>6.5422500000000001</v>
      </c>
      <c r="AR1864" s="8"/>
      <c r="AS1864" s="8"/>
      <c r="AT1864" s="8">
        <v>414.04</v>
      </c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>
        <v>44.86</v>
      </c>
      <c r="BG1864" s="8">
        <v>31.52</v>
      </c>
      <c r="BH1864" s="9">
        <f t="shared" si="261"/>
        <v>640.41</v>
      </c>
      <c r="BI1864" s="9">
        <f t="shared" si="262"/>
        <v>2.12</v>
      </c>
      <c r="BJ1864" s="9">
        <f t="shared" si="263"/>
        <v>3.52</v>
      </c>
      <c r="BK1864" s="9">
        <f t="shared" si="264"/>
        <v>7.7</v>
      </c>
      <c r="BL1864" s="9">
        <f t="shared" si="265"/>
        <v>0</v>
      </c>
      <c r="BM1864" s="9">
        <f t="shared" si="266"/>
        <v>9.1122499999999995</v>
      </c>
      <c r="BN1864" s="9">
        <f t="shared" si="267"/>
        <v>414.04</v>
      </c>
      <c r="BO1864" s="9">
        <f t="shared" si="268"/>
        <v>0</v>
      </c>
      <c r="BP1864" s="9">
        <f t="shared" si="269"/>
        <v>44.86</v>
      </c>
    </row>
    <row r="1865" spans="1:68">
      <c r="A1865" s="6">
        <v>44879</v>
      </c>
      <c r="B1865" s="7">
        <v>3113</v>
      </c>
      <c r="C1865" s="8">
        <v>1654.01</v>
      </c>
      <c r="D1865" s="8"/>
      <c r="E1865" s="8"/>
      <c r="F1865" s="8"/>
      <c r="G1865" s="8"/>
      <c r="H1865" s="8"/>
      <c r="I1865" s="8"/>
      <c r="J1865" s="8"/>
      <c r="K1865" s="8"/>
      <c r="L1865" s="8"/>
      <c r="M1865" s="8">
        <v>1.67</v>
      </c>
      <c r="N1865" s="8">
        <v>1.66</v>
      </c>
      <c r="O1865" s="8"/>
      <c r="P1865" s="8"/>
      <c r="Q1865" s="11"/>
      <c r="R1865" s="11"/>
      <c r="S1865" s="8">
        <v>4.9800000000000004</v>
      </c>
      <c r="T1865" s="8"/>
      <c r="U1865" s="8">
        <v>16.600000000000001</v>
      </c>
      <c r="V1865" s="8"/>
      <c r="W1865" s="8"/>
      <c r="X1865" s="8"/>
      <c r="Y1865" s="8"/>
      <c r="Z1865" s="8"/>
      <c r="AA1865" s="8"/>
      <c r="AB1865" s="8"/>
      <c r="AC1865" s="8">
        <v>6.63</v>
      </c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11"/>
      <c r="AQ1865" s="8"/>
      <c r="AR1865" s="8"/>
      <c r="AS1865" s="8"/>
      <c r="AT1865" s="8">
        <v>693.43</v>
      </c>
      <c r="AU1865" s="8"/>
      <c r="AV1865" s="8">
        <v>56.37</v>
      </c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>
        <v>49.7</v>
      </c>
      <c r="BH1865" s="9">
        <f t="shared" si="261"/>
        <v>1654.01</v>
      </c>
      <c r="BI1865" s="9">
        <f t="shared" si="262"/>
        <v>3.33</v>
      </c>
      <c r="BJ1865" s="9">
        <f t="shared" si="263"/>
        <v>4.9800000000000004</v>
      </c>
      <c r="BK1865" s="9">
        <f t="shared" si="264"/>
        <v>16.600000000000001</v>
      </c>
      <c r="BL1865" s="9">
        <f t="shared" si="265"/>
        <v>0</v>
      </c>
      <c r="BM1865" s="9">
        <f t="shared" si="266"/>
        <v>6.63</v>
      </c>
      <c r="BN1865" s="9">
        <f t="shared" si="267"/>
        <v>693.43</v>
      </c>
      <c r="BO1865" s="9">
        <f t="shared" si="268"/>
        <v>56.37</v>
      </c>
      <c r="BP1865" s="9">
        <f t="shared" si="269"/>
        <v>0</v>
      </c>
    </row>
    <row r="1866" spans="1:68">
      <c r="A1866" s="6">
        <v>44879</v>
      </c>
      <c r="B1866" s="7">
        <v>3020</v>
      </c>
      <c r="C1866" s="8"/>
      <c r="D1866" s="8">
        <v>171.7</v>
      </c>
      <c r="E1866" s="8"/>
      <c r="F1866" s="8"/>
      <c r="G1866" s="8"/>
      <c r="H1866" s="8"/>
      <c r="I1866" s="8">
        <v>970.39</v>
      </c>
      <c r="J1866" s="8"/>
      <c r="K1866" s="8"/>
      <c r="L1866" s="8"/>
      <c r="M1866" s="8"/>
      <c r="N1866" s="8">
        <v>6.85</v>
      </c>
      <c r="O1866" s="8"/>
      <c r="P1866" s="8"/>
      <c r="Q1866" s="11"/>
      <c r="R1866" s="11"/>
      <c r="S1866" s="8">
        <v>2.06</v>
      </c>
      <c r="T1866" s="8"/>
      <c r="U1866" s="8"/>
      <c r="V1866" s="8"/>
      <c r="W1866" s="8">
        <v>11.43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>
        <v>11.4</v>
      </c>
      <c r="AN1866" s="8"/>
      <c r="AO1866" s="8"/>
      <c r="AP1866" s="11"/>
      <c r="AQ1866" s="8"/>
      <c r="AR1866" s="8"/>
      <c r="AS1866" s="8">
        <f>3014*9.5/1000</f>
        <v>28.632999999999999</v>
      </c>
      <c r="AT1866" s="8">
        <v>560.99</v>
      </c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>
        <v>41.06</v>
      </c>
      <c r="BH1866" s="9">
        <f t="shared" si="261"/>
        <v>1142.0899999999999</v>
      </c>
      <c r="BI1866" s="9">
        <f t="shared" si="262"/>
        <v>6.85</v>
      </c>
      <c r="BJ1866" s="9">
        <f t="shared" si="263"/>
        <v>2.06</v>
      </c>
      <c r="BK1866" s="9">
        <f t="shared" si="264"/>
        <v>11.43</v>
      </c>
      <c r="BL1866" s="9">
        <f t="shared" si="265"/>
        <v>0</v>
      </c>
      <c r="BM1866" s="9">
        <f t="shared" si="266"/>
        <v>40.033000000000001</v>
      </c>
      <c r="BN1866" s="9">
        <f t="shared" si="267"/>
        <v>560.99</v>
      </c>
      <c r="BO1866" s="9">
        <f t="shared" si="268"/>
        <v>0</v>
      </c>
      <c r="BP1866" s="9">
        <f t="shared" si="269"/>
        <v>0</v>
      </c>
    </row>
    <row r="1867" spans="1:68">
      <c r="A1867" s="6">
        <v>44879</v>
      </c>
      <c r="B1867" s="7">
        <v>3021</v>
      </c>
      <c r="C1867" s="8"/>
      <c r="D1867" s="8">
        <v>348.41</v>
      </c>
      <c r="E1867" s="8"/>
      <c r="F1867" s="8"/>
      <c r="G1867" s="8"/>
      <c r="H1867" s="8"/>
      <c r="I1867" s="8">
        <v>643.65</v>
      </c>
      <c r="J1867" s="8"/>
      <c r="K1867" s="8"/>
      <c r="L1867" s="8"/>
      <c r="M1867" s="8"/>
      <c r="N1867" s="8">
        <v>5.27</v>
      </c>
      <c r="O1867" s="8"/>
      <c r="P1867" s="8"/>
      <c r="Q1867" s="11"/>
      <c r="R1867" s="11"/>
      <c r="S1867" s="8">
        <v>1.79</v>
      </c>
      <c r="T1867" s="8"/>
      <c r="U1867" s="8"/>
      <c r="V1867" s="8"/>
      <c r="W1867" s="8">
        <v>9.91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>
        <v>9.93</v>
      </c>
      <c r="AN1867" s="8"/>
      <c r="AO1867" s="8"/>
      <c r="AP1867" s="11"/>
      <c r="AQ1867" s="8"/>
      <c r="AR1867" s="8"/>
      <c r="AS1867" s="8">
        <f>2631*9.45/1000</f>
        <v>24.862949999999998</v>
      </c>
      <c r="AT1867" s="8">
        <v>466.82</v>
      </c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>
        <v>35.49</v>
      </c>
      <c r="BH1867" s="9">
        <f t="shared" si="261"/>
        <v>992.06</v>
      </c>
      <c r="BI1867" s="9">
        <f t="shared" si="262"/>
        <v>5.27</v>
      </c>
      <c r="BJ1867" s="9">
        <f t="shared" si="263"/>
        <v>1.79</v>
      </c>
      <c r="BK1867" s="9">
        <f t="shared" si="264"/>
        <v>9.91</v>
      </c>
      <c r="BL1867" s="9">
        <f t="shared" si="265"/>
        <v>0</v>
      </c>
      <c r="BM1867" s="9">
        <f t="shared" si="266"/>
        <v>34.792949999999998</v>
      </c>
      <c r="BN1867" s="9">
        <f t="shared" si="267"/>
        <v>466.82</v>
      </c>
      <c r="BO1867" s="9">
        <f t="shared" si="268"/>
        <v>0</v>
      </c>
      <c r="BP1867" s="9">
        <f t="shared" si="269"/>
        <v>0</v>
      </c>
    </row>
    <row r="1868" spans="1:68">
      <c r="A1868" s="6">
        <v>44879</v>
      </c>
      <c r="B1868" s="7">
        <v>3023</v>
      </c>
      <c r="C1868" s="8"/>
      <c r="D1868" s="8">
        <v>1634.97</v>
      </c>
      <c r="E1868" s="8"/>
      <c r="F1868" s="8"/>
      <c r="G1868" s="8"/>
      <c r="H1868" s="8"/>
      <c r="I1868" s="8">
        <v>882.51</v>
      </c>
      <c r="J1868" s="8"/>
      <c r="K1868" s="8"/>
      <c r="L1868" s="8"/>
      <c r="M1868" s="8"/>
      <c r="N1868" s="8">
        <v>14.09</v>
      </c>
      <c r="O1868" s="8"/>
      <c r="P1868" s="8"/>
      <c r="Q1868" s="11"/>
      <c r="R1868" s="11"/>
      <c r="S1868" s="8">
        <v>4.03</v>
      </c>
      <c r="T1868" s="8"/>
      <c r="U1868" s="8"/>
      <c r="V1868" s="8"/>
      <c r="W1868" s="8">
        <v>22.68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>
        <v>25.15</v>
      </c>
      <c r="AN1868" s="8">
        <f>1022*17.37/1000</f>
        <v>17.752140000000001</v>
      </c>
      <c r="AO1868" s="8"/>
      <c r="AP1868" s="11"/>
      <c r="AQ1868" s="8"/>
      <c r="AR1868" s="8"/>
      <c r="AS1868" s="8">
        <f>4788*17.37/1000</f>
        <v>83.167559999999995</v>
      </c>
      <c r="AT1868" s="8">
        <v>1031.81</v>
      </c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>
        <v>78.02</v>
      </c>
      <c r="BH1868" s="9">
        <f t="shared" si="261"/>
        <v>2517.48</v>
      </c>
      <c r="BI1868" s="9">
        <f t="shared" si="262"/>
        <v>14.09</v>
      </c>
      <c r="BJ1868" s="9">
        <f t="shared" si="263"/>
        <v>4.03</v>
      </c>
      <c r="BK1868" s="9">
        <f t="shared" si="264"/>
        <v>22.68</v>
      </c>
      <c r="BL1868" s="9">
        <f t="shared" si="265"/>
        <v>0</v>
      </c>
      <c r="BM1868" s="9">
        <f t="shared" si="266"/>
        <v>126.0697</v>
      </c>
      <c r="BN1868" s="9">
        <f t="shared" si="267"/>
        <v>1031.81</v>
      </c>
      <c r="BO1868" s="9">
        <f t="shared" si="268"/>
        <v>0</v>
      </c>
      <c r="BP1868" s="9">
        <f t="shared" si="269"/>
        <v>0</v>
      </c>
    </row>
    <row r="1869" spans="1:68">
      <c r="A1869" s="6">
        <v>44879</v>
      </c>
      <c r="B1869" s="7">
        <v>3201</v>
      </c>
      <c r="C1869" s="8">
        <v>1171.5999999999999</v>
      </c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>
        <v>2.94</v>
      </c>
      <c r="P1869" s="8"/>
      <c r="Q1869" s="11"/>
      <c r="R1869" s="11"/>
      <c r="S1869" s="8">
        <v>4.46</v>
      </c>
      <c r="T1869" s="8"/>
      <c r="U1869" s="8">
        <v>17.600000000000001</v>
      </c>
      <c r="V1869" s="8"/>
      <c r="W1869" s="8"/>
      <c r="X1869" s="8"/>
      <c r="Y1869" s="8"/>
      <c r="Z1869" s="8">
        <v>246.38</v>
      </c>
      <c r="AA1869" s="8"/>
      <c r="AB1869" s="8"/>
      <c r="AC1869" s="8"/>
      <c r="AD1869" s="8"/>
      <c r="AE1869" s="8"/>
      <c r="AF1869" s="8">
        <v>58.37</v>
      </c>
      <c r="AG1869" s="8"/>
      <c r="AH1869" s="8"/>
      <c r="AI1869" s="8"/>
      <c r="AJ1869" s="8"/>
      <c r="AK1869" s="8"/>
      <c r="AL1869" s="8"/>
      <c r="AM1869" s="8"/>
      <c r="AN1869" s="8"/>
      <c r="AO1869" s="8"/>
      <c r="AP1869" s="11"/>
      <c r="AQ1869" s="8">
        <f>1525*11.72/1000</f>
        <v>17.873000000000001</v>
      </c>
      <c r="AR1869" s="8"/>
      <c r="AS1869" s="8"/>
      <c r="AT1869" s="8">
        <v>804.78</v>
      </c>
      <c r="AU1869" s="8"/>
      <c r="AV1869" s="8"/>
      <c r="AW1869" s="8"/>
      <c r="AX1869" s="8"/>
      <c r="AY1869" s="8"/>
      <c r="AZ1869" s="8"/>
      <c r="BA1869" s="8"/>
      <c r="BB1869" s="8"/>
      <c r="BC1869" s="8">
        <v>3.05</v>
      </c>
      <c r="BD1869" s="8"/>
      <c r="BE1869" s="8"/>
      <c r="BF1869" s="8">
        <v>56.31</v>
      </c>
      <c r="BG1869" s="8">
        <v>57.91</v>
      </c>
      <c r="BH1869" s="9">
        <f t="shared" si="261"/>
        <v>1171.5999999999999</v>
      </c>
      <c r="BI1869" s="9">
        <f t="shared" si="262"/>
        <v>2.94</v>
      </c>
      <c r="BJ1869" s="9">
        <f t="shared" si="263"/>
        <v>4.46</v>
      </c>
      <c r="BK1869" s="9">
        <f t="shared" si="264"/>
        <v>17.600000000000001</v>
      </c>
      <c r="BL1869" s="9">
        <f t="shared" si="265"/>
        <v>246.38</v>
      </c>
      <c r="BM1869" s="9">
        <f t="shared" si="266"/>
        <v>76.242999999999995</v>
      </c>
      <c r="BN1869" s="9">
        <f t="shared" si="267"/>
        <v>804.78</v>
      </c>
      <c r="BO1869" s="9">
        <f t="shared" si="268"/>
        <v>3.05</v>
      </c>
      <c r="BP1869" s="9">
        <f t="shared" si="269"/>
        <v>56.31</v>
      </c>
    </row>
    <row r="1870" spans="1:68">
      <c r="A1870" s="6">
        <v>44880</v>
      </c>
      <c r="B1870" s="7">
        <v>3141</v>
      </c>
      <c r="C1870" s="8">
        <v>2474.34</v>
      </c>
      <c r="D1870" s="8">
        <v>436.66</v>
      </c>
      <c r="E1870" s="8"/>
      <c r="F1870" s="8"/>
      <c r="G1870" s="8"/>
      <c r="H1870" s="8"/>
      <c r="I1870" s="8"/>
      <c r="J1870" s="8"/>
      <c r="K1870" s="8"/>
      <c r="L1870" s="8"/>
      <c r="M1870" s="8">
        <v>7.65</v>
      </c>
      <c r="N1870" s="8"/>
      <c r="O1870" s="8"/>
      <c r="P1870" s="8"/>
      <c r="Q1870" s="11"/>
      <c r="R1870" s="11"/>
      <c r="S1870" s="8">
        <v>13.7</v>
      </c>
      <c r="T1870" s="8"/>
      <c r="U1870" s="8">
        <v>43.69</v>
      </c>
      <c r="V1870" s="8"/>
      <c r="W1870" s="8"/>
      <c r="X1870" s="8"/>
      <c r="Y1870" s="8"/>
      <c r="Z1870" s="8"/>
      <c r="AA1870" s="8"/>
      <c r="AB1870" s="8"/>
      <c r="AC1870" s="8">
        <v>11.64</v>
      </c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11"/>
      <c r="AQ1870" s="8"/>
      <c r="AR1870" s="8"/>
      <c r="AS1870" s="8"/>
      <c r="AT1870" s="8">
        <v>1925.77</v>
      </c>
      <c r="AU1870" s="8"/>
      <c r="AV1870" s="8"/>
      <c r="AW1870" s="8"/>
      <c r="AX1870" s="8"/>
      <c r="AY1870" s="8"/>
      <c r="AZ1870" s="8"/>
      <c r="BA1870" s="8">
        <v>66.73</v>
      </c>
      <c r="BB1870" s="8"/>
      <c r="BC1870" s="8"/>
      <c r="BD1870" s="8"/>
      <c r="BE1870" s="8"/>
      <c r="BF1870" s="8">
        <v>203.68</v>
      </c>
      <c r="BG1870" s="8">
        <v>151.41999999999999</v>
      </c>
      <c r="BH1870" s="9">
        <f t="shared" si="261"/>
        <v>2911</v>
      </c>
      <c r="BI1870" s="9">
        <f t="shared" si="262"/>
        <v>7.65</v>
      </c>
      <c r="BJ1870" s="9">
        <f t="shared" si="263"/>
        <v>13.7</v>
      </c>
      <c r="BK1870" s="9">
        <f t="shared" si="264"/>
        <v>43.69</v>
      </c>
      <c r="BL1870" s="9">
        <f t="shared" si="265"/>
        <v>0</v>
      </c>
      <c r="BM1870" s="9">
        <f t="shared" si="266"/>
        <v>11.64</v>
      </c>
      <c r="BN1870" s="9">
        <f t="shared" si="267"/>
        <v>1925.77</v>
      </c>
      <c r="BO1870" s="9">
        <f t="shared" si="268"/>
        <v>66.73</v>
      </c>
      <c r="BP1870" s="9">
        <f t="shared" si="269"/>
        <v>203.68</v>
      </c>
    </row>
    <row r="1871" spans="1:68">
      <c r="A1871" s="6">
        <v>44880</v>
      </c>
      <c r="B1871" s="7">
        <v>3134</v>
      </c>
      <c r="C1871" s="8">
        <v>1051.3699999999999</v>
      </c>
      <c r="D1871" s="8">
        <v>147.09</v>
      </c>
      <c r="E1871" s="8"/>
      <c r="F1871" s="8"/>
      <c r="G1871" s="8"/>
      <c r="H1871" s="8">
        <v>496.98</v>
      </c>
      <c r="I1871" s="8"/>
      <c r="J1871" s="8"/>
      <c r="K1871" s="8"/>
      <c r="L1871" s="8"/>
      <c r="M1871" s="8">
        <v>2.94</v>
      </c>
      <c r="N1871" s="8"/>
      <c r="O1871" s="8"/>
      <c r="P1871" s="8"/>
      <c r="Q1871" s="11"/>
      <c r="R1871" s="11"/>
      <c r="S1871" s="8">
        <v>6.78</v>
      </c>
      <c r="T1871" s="8"/>
      <c r="U1871" s="8">
        <v>19.16</v>
      </c>
      <c r="V1871" s="8"/>
      <c r="W1871" s="8"/>
      <c r="X1871" s="8"/>
      <c r="Y1871" s="8"/>
      <c r="Z1871" s="8"/>
      <c r="AA1871" s="8"/>
      <c r="AB1871" s="8"/>
      <c r="AC1871" s="8">
        <v>5.89</v>
      </c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11"/>
      <c r="AQ1871" s="8"/>
      <c r="AR1871" s="8"/>
      <c r="AS1871" s="8"/>
      <c r="AT1871" s="8">
        <v>1038.5</v>
      </c>
      <c r="AU1871" s="8"/>
      <c r="AV1871" s="8"/>
      <c r="AW1871" s="8"/>
      <c r="AX1871" s="8"/>
      <c r="AY1871" s="8">
        <f>1398*10.52/1000</f>
        <v>14.706959999999999</v>
      </c>
      <c r="AZ1871" s="8"/>
      <c r="BA1871" s="8"/>
      <c r="BB1871" s="8"/>
      <c r="BC1871" s="8"/>
      <c r="BD1871" s="8"/>
      <c r="BE1871" s="8"/>
      <c r="BF1871" s="8">
        <v>66.38</v>
      </c>
      <c r="BG1871" s="8">
        <v>78.040000000000006</v>
      </c>
      <c r="BH1871" s="9">
        <f t="shared" si="261"/>
        <v>1695.4399999999998</v>
      </c>
      <c r="BI1871" s="9">
        <f t="shared" si="262"/>
        <v>2.94</v>
      </c>
      <c r="BJ1871" s="9">
        <f t="shared" si="263"/>
        <v>6.78</v>
      </c>
      <c r="BK1871" s="9">
        <f t="shared" si="264"/>
        <v>19.16</v>
      </c>
      <c r="BL1871" s="9">
        <f t="shared" si="265"/>
        <v>0</v>
      </c>
      <c r="BM1871" s="9">
        <f t="shared" si="266"/>
        <v>5.89</v>
      </c>
      <c r="BN1871" s="9">
        <f t="shared" si="267"/>
        <v>1038.5</v>
      </c>
      <c r="BO1871" s="9">
        <f t="shared" si="268"/>
        <v>14.706959999999999</v>
      </c>
      <c r="BP1871" s="9">
        <f t="shared" si="269"/>
        <v>66.38</v>
      </c>
    </row>
    <row r="1872" spans="1:68">
      <c r="A1872" s="6">
        <v>44880</v>
      </c>
      <c r="B1872" s="7">
        <v>3106</v>
      </c>
      <c r="C1872" s="8">
        <v>8126.76</v>
      </c>
      <c r="D1872" s="8"/>
      <c r="E1872" s="8"/>
      <c r="F1872" s="8"/>
      <c r="G1872" s="8"/>
      <c r="H1872" s="8"/>
      <c r="I1872" s="8"/>
      <c r="J1872" s="8"/>
      <c r="K1872" s="8"/>
      <c r="L1872" s="8"/>
      <c r="M1872" s="8">
        <v>21.9</v>
      </c>
      <c r="N1872" s="8"/>
      <c r="O1872" s="8"/>
      <c r="P1872" s="8"/>
      <c r="Q1872" s="11"/>
      <c r="R1872" s="11"/>
      <c r="S1872" s="8">
        <v>24.45</v>
      </c>
      <c r="T1872" s="8"/>
      <c r="U1872" s="8">
        <v>103.4</v>
      </c>
      <c r="V1872" s="8"/>
      <c r="W1872" s="8"/>
      <c r="X1872" s="8"/>
      <c r="Y1872" s="8"/>
      <c r="Z1872" s="8"/>
      <c r="AA1872" s="8"/>
      <c r="AB1872" s="8"/>
      <c r="AC1872" s="8">
        <v>20.329999999999998</v>
      </c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11"/>
      <c r="AQ1872" s="8"/>
      <c r="AR1872" s="8"/>
      <c r="AS1872" s="8"/>
      <c r="AT1872" s="8">
        <v>4637.7</v>
      </c>
      <c r="AU1872" s="8"/>
      <c r="AV1872" s="8"/>
      <c r="AW1872" s="8"/>
      <c r="AX1872" s="8">
        <v>10.17</v>
      </c>
      <c r="AY1872" s="8"/>
      <c r="AZ1872" s="8"/>
      <c r="BA1872" s="8"/>
      <c r="BB1872" s="8"/>
      <c r="BC1872" s="8"/>
      <c r="BD1872" s="8"/>
      <c r="BE1872" s="8"/>
      <c r="BF1872" s="8"/>
      <c r="BG1872" s="8">
        <v>350.33</v>
      </c>
      <c r="BH1872" s="9">
        <f t="shared" si="261"/>
        <v>8126.76</v>
      </c>
      <c r="BI1872" s="9">
        <f t="shared" si="262"/>
        <v>21.9</v>
      </c>
      <c r="BJ1872" s="9">
        <f t="shared" si="263"/>
        <v>24.45</v>
      </c>
      <c r="BK1872" s="9">
        <f t="shared" si="264"/>
        <v>103.4</v>
      </c>
      <c r="BL1872" s="9">
        <f t="shared" si="265"/>
        <v>0</v>
      </c>
      <c r="BM1872" s="9">
        <f t="shared" si="266"/>
        <v>20.329999999999998</v>
      </c>
      <c r="BN1872" s="9">
        <f t="shared" si="267"/>
        <v>4637.7</v>
      </c>
      <c r="BO1872" s="9">
        <f t="shared" si="268"/>
        <v>10.17</v>
      </c>
      <c r="BP1872" s="9">
        <f t="shared" si="269"/>
        <v>0</v>
      </c>
    </row>
    <row r="1873" spans="1:68">
      <c r="A1873" s="6">
        <v>44880</v>
      </c>
      <c r="B1873" s="7">
        <v>3108</v>
      </c>
      <c r="C1873" s="8">
        <v>2263.4299999999998</v>
      </c>
      <c r="D1873" s="8"/>
      <c r="E1873" s="8"/>
      <c r="F1873" s="8"/>
      <c r="G1873" s="8"/>
      <c r="H1873" s="8"/>
      <c r="I1873" s="8"/>
      <c r="J1873" s="8"/>
      <c r="K1873" s="8"/>
      <c r="L1873" s="8"/>
      <c r="M1873" s="8">
        <v>5.23</v>
      </c>
      <c r="N1873" s="8"/>
      <c r="O1873" s="8"/>
      <c r="P1873" s="8"/>
      <c r="Q1873" s="11"/>
      <c r="R1873" s="11"/>
      <c r="S1873" s="8">
        <v>7.26</v>
      </c>
      <c r="T1873" s="8"/>
      <c r="U1873" s="8">
        <v>28.79</v>
      </c>
      <c r="V1873" s="8"/>
      <c r="W1873" s="8"/>
      <c r="X1873" s="8"/>
      <c r="Y1873" s="8"/>
      <c r="Z1873" s="8"/>
      <c r="AA1873" s="8"/>
      <c r="AB1873" s="8"/>
      <c r="AC1873" s="8">
        <v>9.0500000000000007</v>
      </c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11"/>
      <c r="AQ1873" s="8"/>
      <c r="AR1873" s="8"/>
      <c r="AS1873" s="8"/>
      <c r="AT1873" s="8">
        <v>1231.31</v>
      </c>
      <c r="AU1873" s="8"/>
      <c r="AV1873" s="8"/>
      <c r="AW1873" s="8"/>
      <c r="AX1873" s="8"/>
      <c r="AY1873" s="8"/>
      <c r="AZ1873" s="8"/>
      <c r="BA1873" s="8">
        <v>84.28</v>
      </c>
      <c r="BB1873" s="8"/>
      <c r="BC1873" s="8"/>
      <c r="BD1873" s="8"/>
      <c r="BE1873" s="8"/>
      <c r="BF1873" s="8"/>
      <c r="BG1873" s="8">
        <v>91.67</v>
      </c>
      <c r="BH1873" s="9">
        <f t="shared" si="261"/>
        <v>2263.4299999999998</v>
      </c>
      <c r="BI1873" s="9">
        <f t="shared" si="262"/>
        <v>5.23</v>
      </c>
      <c r="BJ1873" s="9">
        <f t="shared" si="263"/>
        <v>7.26</v>
      </c>
      <c r="BK1873" s="9">
        <f t="shared" si="264"/>
        <v>28.79</v>
      </c>
      <c r="BL1873" s="9">
        <f t="shared" si="265"/>
        <v>0</v>
      </c>
      <c r="BM1873" s="9">
        <f t="shared" si="266"/>
        <v>9.0500000000000007</v>
      </c>
      <c r="BN1873" s="9">
        <f t="shared" si="267"/>
        <v>1231.31</v>
      </c>
      <c r="BO1873" s="9">
        <f t="shared" si="268"/>
        <v>84.28</v>
      </c>
      <c r="BP1873" s="9">
        <f t="shared" si="269"/>
        <v>0</v>
      </c>
    </row>
    <row r="1874" spans="1:68">
      <c r="A1874" s="6">
        <v>44880</v>
      </c>
      <c r="B1874" s="7">
        <v>3140</v>
      </c>
      <c r="C1874" s="8">
        <v>646.04999999999995</v>
      </c>
      <c r="D1874" s="8">
        <v>197.87</v>
      </c>
      <c r="E1874" s="8"/>
      <c r="F1874" s="8">
        <v>148.41</v>
      </c>
      <c r="G1874" s="8"/>
      <c r="H1874" s="8"/>
      <c r="I1874" s="8"/>
      <c r="J1874" s="8"/>
      <c r="K1874" s="8"/>
      <c r="L1874" s="8"/>
      <c r="M1874" s="8">
        <v>1.38</v>
      </c>
      <c r="N1874" s="8"/>
      <c r="O1874" s="8"/>
      <c r="P1874" s="8"/>
      <c r="Q1874" s="11"/>
      <c r="R1874" s="11"/>
      <c r="S1874" s="8">
        <v>3.66</v>
      </c>
      <c r="T1874" s="8"/>
      <c r="U1874" s="8">
        <v>9.91</v>
      </c>
      <c r="V1874" s="8"/>
      <c r="W1874" s="8"/>
      <c r="X1874" s="8"/>
      <c r="Y1874" s="8"/>
      <c r="Z1874" s="8"/>
      <c r="AA1874" s="8"/>
      <c r="AB1874" s="8"/>
      <c r="AC1874" s="8">
        <v>2.48</v>
      </c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11"/>
      <c r="AQ1874" s="8"/>
      <c r="AR1874" s="8"/>
      <c r="AS1874" s="8"/>
      <c r="AT1874" s="8">
        <v>426.32</v>
      </c>
      <c r="AU1874" s="8"/>
      <c r="AV1874" s="8"/>
      <c r="AW1874" s="8"/>
      <c r="AX1874" s="8"/>
      <c r="AY1874" s="8"/>
      <c r="AZ1874" s="8"/>
      <c r="BA1874" s="8">
        <v>10.45</v>
      </c>
      <c r="BB1874" s="8"/>
      <c r="BC1874" s="8"/>
      <c r="BD1874" s="8"/>
      <c r="BE1874" s="8"/>
      <c r="BF1874" s="8"/>
      <c r="BG1874" s="8">
        <v>31.28</v>
      </c>
      <c r="BH1874" s="9">
        <f t="shared" si="261"/>
        <v>992.32999999999993</v>
      </c>
      <c r="BI1874" s="9">
        <f t="shared" si="262"/>
        <v>1.38</v>
      </c>
      <c r="BJ1874" s="9">
        <f t="shared" si="263"/>
        <v>3.66</v>
      </c>
      <c r="BK1874" s="9">
        <f t="shared" si="264"/>
        <v>9.91</v>
      </c>
      <c r="BL1874" s="9">
        <f t="shared" si="265"/>
        <v>0</v>
      </c>
      <c r="BM1874" s="9">
        <f t="shared" si="266"/>
        <v>2.48</v>
      </c>
      <c r="BN1874" s="9">
        <f t="shared" si="267"/>
        <v>426.32</v>
      </c>
      <c r="BO1874" s="9">
        <f t="shared" si="268"/>
        <v>10.45</v>
      </c>
      <c r="BP1874" s="9">
        <f t="shared" si="269"/>
        <v>0</v>
      </c>
    </row>
    <row r="1875" spans="1:68">
      <c r="A1875" s="6">
        <v>44880</v>
      </c>
      <c r="B1875" s="7">
        <v>3200</v>
      </c>
      <c r="C1875" s="8">
        <v>2268.2199999999998</v>
      </c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>
        <v>5.67</v>
      </c>
      <c r="P1875" s="8"/>
      <c r="Q1875" s="11"/>
      <c r="R1875" s="11"/>
      <c r="S1875" s="8">
        <v>8.85</v>
      </c>
      <c r="T1875" s="8"/>
      <c r="U1875" s="8">
        <v>34.020000000000003</v>
      </c>
      <c r="V1875" s="8"/>
      <c r="W1875" s="8"/>
      <c r="X1875" s="8"/>
      <c r="Y1875" s="8"/>
      <c r="Z1875" s="8">
        <v>476.46</v>
      </c>
      <c r="AA1875" s="8"/>
      <c r="AB1875" s="8"/>
      <c r="AC1875" s="8"/>
      <c r="AD1875" s="8"/>
      <c r="AE1875" s="8"/>
      <c r="AF1875" s="8">
        <v>112.96</v>
      </c>
      <c r="AG1875" s="8"/>
      <c r="AH1875" s="8"/>
      <c r="AI1875" s="8"/>
      <c r="AJ1875" s="8"/>
      <c r="AK1875" s="8"/>
      <c r="AL1875" s="8"/>
      <c r="AM1875" s="8"/>
      <c r="AN1875" s="8"/>
      <c r="AO1875" s="8"/>
      <c r="AP1875" s="11"/>
      <c r="AQ1875" s="8">
        <f>1399*22.68/1000</f>
        <v>31.729320000000001</v>
      </c>
      <c r="AR1875" s="8"/>
      <c r="AS1875" s="8"/>
      <c r="AT1875" s="8">
        <v>1553.43</v>
      </c>
      <c r="AU1875" s="8"/>
      <c r="AV1875" s="8"/>
      <c r="AW1875" s="8">
        <v>6.58</v>
      </c>
      <c r="AX1875" s="8"/>
      <c r="AY1875" s="8"/>
      <c r="AZ1875" s="8"/>
      <c r="BA1875" s="8"/>
      <c r="BB1875" s="8"/>
      <c r="BC1875" s="8"/>
      <c r="BD1875" s="8"/>
      <c r="BE1875" s="8"/>
      <c r="BF1875" s="8">
        <v>108.92</v>
      </c>
      <c r="BG1875" s="8">
        <v>112.72</v>
      </c>
      <c r="BH1875" s="9">
        <f t="shared" si="261"/>
        <v>2268.2199999999998</v>
      </c>
      <c r="BI1875" s="9">
        <f t="shared" si="262"/>
        <v>5.67</v>
      </c>
      <c r="BJ1875" s="9">
        <f t="shared" si="263"/>
        <v>8.85</v>
      </c>
      <c r="BK1875" s="9">
        <f t="shared" si="264"/>
        <v>34.020000000000003</v>
      </c>
      <c r="BL1875" s="9">
        <f t="shared" si="265"/>
        <v>476.46</v>
      </c>
      <c r="BM1875" s="9">
        <f t="shared" si="266"/>
        <v>144.68932000000001</v>
      </c>
      <c r="BN1875" s="9">
        <f t="shared" si="267"/>
        <v>1553.43</v>
      </c>
      <c r="BO1875" s="9">
        <f t="shared" si="268"/>
        <v>6.58</v>
      </c>
      <c r="BP1875" s="9">
        <f t="shared" si="269"/>
        <v>108.92</v>
      </c>
    </row>
    <row r="1876" spans="1:68">
      <c r="A1876" s="6">
        <v>44880</v>
      </c>
      <c r="B1876" s="7">
        <v>3204</v>
      </c>
      <c r="C1876" s="8"/>
      <c r="D1876" s="8">
        <v>1800.98</v>
      </c>
      <c r="E1876" s="8">
        <v>770.88</v>
      </c>
      <c r="F1876" s="8"/>
      <c r="G1876" s="8"/>
      <c r="H1876" s="8"/>
      <c r="I1876" s="8"/>
      <c r="J1876" s="8"/>
      <c r="K1876" s="8"/>
      <c r="L1876" s="8"/>
      <c r="M1876" s="8"/>
      <c r="N1876" s="8"/>
      <c r="O1876" s="8">
        <v>12.83</v>
      </c>
      <c r="P1876" s="8"/>
      <c r="Q1876" s="11"/>
      <c r="R1876" s="11"/>
      <c r="S1876" s="8">
        <v>8.75</v>
      </c>
      <c r="T1876" s="8"/>
      <c r="U1876" s="8">
        <v>28.34</v>
      </c>
      <c r="V1876" s="8"/>
      <c r="W1876" s="8"/>
      <c r="X1876" s="8"/>
      <c r="Y1876" s="8"/>
      <c r="Z1876" s="8">
        <v>386.32</v>
      </c>
      <c r="AA1876" s="8"/>
      <c r="AB1876" s="8">
        <f>709*18.38/1000</f>
        <v>13.031420000000001</v>
      </c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11"/>
      <c r="AQ1876" s="8"/>
      <c r="AR1876" s="8"/>
      <c r="AS1876" s="8"/>
      <c r="AT1876" s="8">
        <v>1134.46</v>
      </c>
      <c r="AU1876" s="8"/>
      <c r="AV1876" s="8"/>
      <c r="AW1876" s="8">
        <v>8.23</v>
      </c>
      <c r="AX1876" s="8"/>
      <c r="AY1876" s="8"/>
      <c r="AZ1876" s="8"/>
      <c r="BA1876" s="8"/>
      <c r="BB1876" s="8"/>
      <c r="BC1876" s="8"/>
      <c r="BD1876" s="8"/>
      <c r="BE1876" s="8"/>
      <c r="BF1876" s="8"/>
      <c r="BG1876" s="8">
        <v>83.73</v>
      </c>
      <c r="BH1876" s="9">
        <f t="shared" si="261"/>
        <v>2571.86</v>
      </c>
      <c r="BI1876" s="9">
        <f t="shared" si="262"/>
        <v>12.83</v>
      </c>
      <c r="BJ1876" s="9">
        <f t="shared" si="263"/>
        <v>8.75</v>
      </c>
      <c r="BK1876" s="9">
        <f t="shared" si="264"/>
        <v>28.34</v>
      </c>
      <c r="BL1876" s="9">
        <f t="shared" si="265"/>
        <v>386.32</v>
      </c>
      <c r="BM1876" s="9">
        <f t="shared" si="266"/>
        <v>13.031420000000001</v>
      </c>
      <c r="BN1876" s="9">
        <f t="shared" si="267"/>
        <v>1134.46</v>
      </c>
      <c r="BO1876" s="9">
        <f t="shared" si="268"/>
        <v>8.23</v>
      </c>
      <c r="BP1876" s="9">
        <f t="shared" si="269"/>
        <v>0</v>
      </c>
    </row>
    <row r="1877" spans="1:68">
      <c r="A1877" s="6">
        <v>44881</v>
      </c>
      <c r="B1877" s="7">
        <v>3027</v>
      </c>
      <c r="C1877" s="8"/>
      <c r="D1877" s="8">
        <v>619.82000000000005</v>
      </c>
      <c r="E1877" s="8"/>
      <c r="F1877" s="8"/>
      <c r="G1877" s="8"/>
      <c r="H1877" s="8"/>
      <c r="I1877" s="8">
        <v>508.58</v>
      </c>
      <c r="J1877" s="8"/>
      <c r="K1877" s="8"/>
      <c r="L1877" s="8"/>
      <c r="M1877" s="8"/>
      <c r="N1877" s="8">
        <v>6.21</v>
      </c>
      <c r="O1877" s="8"/>
      <c r="P1877" s="8"/>
      <c r="Q1877" s="11"/>
      <c r="R1877" s="11"/>
      <c r="S1877" s="8">
        <v>1.81</v>
      </c>
      <c r="T1877" s="8"/>
      <c r="U1877" s="8"/>
      <c r="V1877" s="8"/>
      <c r="W1877" s="8">
        <v>8.48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>
        <v>11.3</v>
      </c>
      <c r="AN1877" s="8">
        <v>8</v>
      </c>
      <c r="AO1877" s="8"/>
      <c r="AP1877" s="11"/>
      <c r="AQ1877" s="8"/>
      <c r="AR1877" s="8"/>
      <c r="AS1877" s="8">
        <v>37.4</v>
      </c>
      <c r="AT1877" s="8">
        <v>376.27</v>
      </c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>
        <v>26.58</v>
      </c>
      <c r="BH1877" s="9">
        <f t="shared" si="261"/>
        <v>1128.4000000000001</v>
      </c>
      <c r="BI1877" s="9">
        <f t="shared" si="262"/>
        <v>6.21</v>
      </c>
      <c r="BJ1877" s="9">
        <f t="shared" si="263"/>
        <v>1.81</v>
      </c>
      <c r="BK1877" s="9">
        <f t="shared" si="264"/>
        <v>8.48</v>
      </c>
      <c r="BL1877" s="9">
        <f t="shared" si="265"/>
        <v>0</v>
      </c>
      <c r="BM1877" s="9">
        <f t="shared" si="266"/>
        <v>56.7</v>
      </c>
      <c r="BN1877" s="9">
        <f t="shared" si="267"/>
        <v>376.27</v>
      </c>
      <c r="BO1877" s="9">
        <f t="shared" si="268"/>
        <v>0</v>
      </c>
      <c r="BP1877" s="9">
        <f t="shared" si="269"/>
        <v>0</v>
      </c>
    </row>
    <row r="1878" spans="1:68">
      <c r="A1878" s="6">
        <v>44881</v>
      </c>
      <c r="B1878" s="7">
        <v>3028</v>
      </c>
      <c r="C1878" s="8"/>
      <c r="D1878" s="8">
        <v>402.77</v>
      </c>
      <c r="E1878" s="8"/>
      <c r="F1878" s="8">
        <v>368.4</v>
      </c>
      <c r="G1878" s="8"/>
      <c r="H1878" s="8"/>
      <c r="I1878" s="8">
        <v>831</v>
      </c>
      <c r="J1878" s="8"/>
      <c r="K1878" s="8"/>
      <c r="L1878" s="8"/>
      <c r="M1878" s="8"/>
      <c r="N1878" s="8">
        <v>12.01</v>
      </c>
      <c r="O1878" s="8"/>
      <c r="P1878" s="8"/>
      <c r="Q1878" s="11"/>
      <c r="R1878" s="11"/>
      <c r="S1878" s="8">
        <v>2.25</v>
      </c>
      <c r="T1878" s="8"/>
      <c r="U1878" s="8"/>
      <c r="V1878" s="8"/>
      <c r="W1878" s="8">
        <v>12.01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>
        <v>16.03</v>
      </c>
      <c r="AN1878" s="8">
        <v>11.18</v>
      </c>
      <c r="AO1878" s="8"/>
      <c r="AP1878" s="11"/>
      <c r="AQ1878" s="8"/>
      <c r="AR1878" s="8"/>
      <c r="AS1878" s="8">
        <v>52.87</v>
      </c>
      <c r="AT1878" s="8">
        <v>534.78</v>
      </c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>
        <v>36.56</v>
      </c>
      <c r="BH1878" s="9">
        <f t="shared" si="261"/>
        <v>1602.17</v>
      </c>
      <c r="BI1878" s="9">
        <f t="shared" si="262"/>
        <v>12.01</v>
      </c>
      <c r="BJ1878" s="9">
        <f t="shared" si="263"/>
        <v>2.25</v>
      </c>
      <c r="BK1878" s="9">
        <f t="shared" si="264"/>
        <v>12.01</v>
      </c>
      <c r="BL1878" s="9">
        <f t="shared" si="265"/>
        <v>0</v>
      </c>
      <c r="BM1878" s="9">
        <f t="shared" si="266"/>
        <v>80.08</v>
      </c>
      <c r="BN1878" s="9">
        <f t="shared" si="267"/>
        <v>534.78</v>
      </c>
      <c r="BO1878" s="9">
        <f t="shared" si="268"/>
        <v>0</v>
      </c>
      <c r="BP1878" s="9">
        <f t="shared" si="269"/>
        <v>0</v>
      </c>
    </row>
    <row r="1879" spans="1:68">
      <c r="A1879" s="6">
        <v>44881</v>
      </c>
      <c r="B1879" s="7">
        <v>3023</v>
      </c>
      <c r="C1879" s="8"/>
      <c r="D1879" s="8">
        <v>1636.83</v>
      </c>
      <c r="E1879" s="8"/>
      <c r="F1879" s="8"/>
      <c r="G1879" s="8"/>
      <c r="H1879" s="8"/>
      <c r="I1879" s="8">
        <v>883.65</v>
      </c>
      <c r="J1879" s="8"/>
      <c r="K1879" s="8"/>
      <c r="L1879" s="8"/>
      <c r="M1879" s="8"/>
      <c r="N1879" s="8">
        <v>14.13</v>
      </c>
      <c r="O1879" s="8"/>
      <c r="P1879" s="8"/>
      <c r="Q1879" s="11"/>
      <c r="R1879" s="11"/>
      <c r="S1879" s="8">
        <v>4.03</v>
      </c>
      <c r="T1879" s="8"/>
      <c r="U1879" s="8"/>
      <c r="V1879" s="8"/>
      <c r="W1879" s="8">
        <v>22.71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>
        <v>25.21</v>
      </c>
      <c r="AN1879" s="8">
        <v>17.64</v>
      </c>
      <c r="AO1879" s="8"/>
      <c r="AP1879" s="11"/>
      <c r="AQ1879" s="8"/>
      <c r="AR1879" s="8"/>
      <c r="AS1879" s="8">
        <v>83.1</v>
      </c>
      <c r="AT1879" s="8">
        <v>1035.71</v>
      </c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>
        <v>78.16</v>
      </c>
      <c r="BH1879" s="9">
        <f t="shared" si="261"/>
        <v>2520.48</v>
      </c>
      <c r="BI1879" s="9">
        <f t="shared" si="262"/>
        <v>14.13</v>
      </c>
      <c r="BJ1879" s="9">
        <f t="shared" si="263"/>
        <v>4.03</v>
      </c>
      <c r="BK1879" s="9">
        <f t="shared" si="264"/>
        <v>22.71</v>
      </c>
      <c r="BL1879" s="9">
        <f t="shared" si="265"/>
        <v>0</v>
      </c>
      <c r="BM1879" s="9">
        <f t="shared" si="266"/>
        <v>125.94999999999999</v>
      </c>
      <c r="BN1879" s="9">
        <f t="shared" si="267"/>
        <v>1035.71</v>
      </c>
      <c r="BO1879" s="9">
        <f t="shared" si="268"/>
        <v>0</v>
      </c>
      <c r="BP1879" s="9">
        <f t="shared" si="269"/>
        <v>0</v>
      </c>
    </row>
    <row r="1880" spans="1:68">
      <c r="A1880" s="6">
        <v>44881</v>
      </c>
      <c r="B1880" s="7">
        <v>3022</v>
      </c>
      <c r="C1880" s="8"/>
      <c r="D1880" s="8">
        <v>570.44000000000005</v>
      </c>
      <c r="E1880" s="8"/>
      <c r="F1880" s="8"/>
      <c r="G1880" s="8"/>
      <c r="H1880" s="8"/>
      <c r="I1880" s="8">
        <v>465.94</v>
      </c>
      <c r="J1880" s="8"/>
      <c r="K1880" s="8"/>
      <c r="L1880" s="8"/>
      <c r="M1880" s="8"/>
      <c r="N1880" s="8">
        <v>5.2</v>
      </c>
      <c r="O1880" s="8"/>
      <c r="P1880" s="8"/>
      <c r="Q1880" s="11"/>
      <c r="R1880" s="11"/>
      <c r="S1880" s="8">
        <v>1.87</v>
      </c>
      <c r="T1880" s="8"/>
      <c r="U1880" s="8"/>
      <c r="V1880" s="8"/>
      <c r="W1880" s="8">
        <v>10.41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>
        <v>13.46</v>
      </c>
      <c r="AN1880" s="8"/>
      <c r="AO1880" s="8"/>
      <c r="AP1880" s="11"/>
      <c r="AQ1880" s="8"/>
      <c r="AR1880" s="8"/>
      <c r="AS1880" s="8">
        <v>36.229999999999997</v>
      </c>
      <c r="AT1880" s="8">
        <v>485.15</v>
      </c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>
        <v>37.369999999999997</v>
      </c>
      <c r="BH1880" s="9">
        <f t="shared" si="261"/>
        <v>1036.3800000000001</v>
      </c>
      <c r="BI1880" s="9">
        <f t="shared" si="262"/>
        <v>5.2</v>
      </c>
      <c r="BJ1880" s="9">
        <f t="shared" si="263"/>
        <v>1.87</v>
      </c>
      <c r="BK1880" s="9">
        <f t="shared" si="264"/>
        <v>10.41</v>
      </c>
      <c r="BL1880" s="9">
        <f t="shared" si="265"/>
        <v>0</v>
      </c>
      <c r="BM1880" s="9">
        <f t="shared" si="266"/>
        <v>49.69</v>
      </c>
      <c r="BN1880" s="9">
        <f t="shared" si="267"/>
        <v>485.15</v>
      </c>
      <c r="BO1880" s="9">
        <f t="shared" si="268"/>
        <v>0</v>
      </c>
      <c r="BP1880" s="9">
        <f t="shared" si="269"/>
        <v>0</v>
      </c>
    </row>
    <row r="1881" spans="1:68">
      <c r="A1881" s="6">
        <v>44881</v>
      </c>
      <c r="B1881" s="7">
        <v>3005</v>
      </c>
      <c r="C1881" s="8">
        <v>429.01</v>
      </c>
      <c r="D1881" s="8">
        <v>287.55</v>
      </c>
      <c r="E1881" s="8"/>
      <c r="F1881" s="8"/>
      <c r="G1881" s="8"/>
      <c r="H1881" s="8"/>
      <c r="I1881" s="8"/>
      <c r="J1881" s="8"/>
      <c r="K1881" s="8"/>
      <c r="L1881" s="8"/>
      <c r="M1881" s="8"/>
      <c r="N1881" s="8">
        <v>0.72</v>
      </c>
      <c r="O1881" s="8"/>
      <c r="P1881" s="8"/>
      <c r="Q1881" s="11"/>
      <c r="R1881" s="11"/>
      <c r="S1881" s="8">
        <v>2.5099999999999998</v>
      </c>
      <c r="T1881" s="8"/>
      <c r="U1881" s="8"/>
      <c r="V1881" s="8"/>
      <c r="W1881" s="8">
        <v>7.92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11"/>
      <c r="AQ1881" s="8"/>
      <c r="AR1881" s="8"/>
      <c r="AS1881" s="8"/>
      <c r="AT1881" s="8">
        <v>350.34</v>
      </c>
      <c r="AU1881" s="8"/>
      <c r="AV1881" s="8"/>
      <c r="AW1881" s="8">
        <v>7.97</v>
      </c>
      <c r="AX1881" s="8"/>
      <c r="AY1881" s="8"/>
      <c r="AZ1881" s="8"/>
      <c r="BA1881" s="8"/>
      <c r="BB1881" s="8"/>
      <c r="BC1881" s="8"/>
      <c r="BD1881" s="8"/>
      <c r="BE1881" s="8"/>
      <c r="BF1881" s="8"/>
      <c r="BG1881" s="8">
        <v>26.16</v>
      </c>
      <c r="BH1881" s="9">
        <f t="shared" si="261"/>
        <v>716.56</v>
      </c>
      <c r="BI1881" s="9">
        <f t="shared" si="262"/>
        <v>0.72</v>
      </c>
      <c r="BJ1881" s="9">
        <f t="shared" si="263"/>
        <v>2.5099999999999998</v>
      </c>
      <c r="BK1881" s="9">
        <f t="shared" si="264"/>
        <v>7.92</v>
      </c>
      <c r="BL1881" s="9">
        <f t="shared" si="265"/>
        <v>0</v>
      </c>
      <c r="BM1881" s="9">
        <f t="shared" si="266"/>
        <v>0</v>
      </c>
      <c r="BN1881" s="9">
        <f t="shared" si="267"/>
        <v>350.34</v>
      </c>
      <c r="BO1881" s="9">
        <f t="shared" si="268"/>
        <v>7.97</v>
      </c>
      <c r="BP1881" s="9">
        <f t="shared" si="269"/>
        <v>0</v>
      </c>
    </row>
    <row r="1882" spans="1:68">
      <c r="A1882" s="6">
        <v>44881</v>
      </c>
      <c r="B1882" s="7">
        <v>3025</v>
      </c>
      <c r="C1882" s="8"/>
      <c r="D1882" s="8">
        <v>35.92</v>
      </c>
      <c r="E1882" s="8"/>
      <c r="F1882" s="8"/>
      <c r="G1882" s="8"/>
      <c r="H1882" s="8"/>
      <c r="I1882" s="8">
        <v>189.94</v>
      </c>
      <c r="J1882" s="8"/>
      <c r="K1882" s="8"/>
      <c r="L1882" s="8"/>
      <c r="M1882" s="8"/>
      <c r="N1882" s="8"/>
      <c r="O1882" s="8"/>
      <c r="P1882" s="8"/>
      <c r="Q1882" s="11"/>
      <c r="R1882" s="11"/>
      <c r="S1882" s="8">
        <v>0.36</v>
      </c>
      <c r="T1882" s="8"/>
      <c r="U1882" s="8"/>
      <c r="V1882" s="8"/>
      <c r="W1882" s="8">
        <v>2.0099999999999998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>
        <v>2.2400000000000002</v>
      </c>
      <c r="AN1882" s="8">
        <v>1.56</v>
      </c>
      <c r="AO1882" s="8"/>
      <c r="AP1882" s="11"/>
      <c r="AQ1882" s="8"/>
      <c r="AR1882" s="8"/>
      <c r="AS1882" s="8">
        <v>7.38</v>
      </c>
      <c r="AT1882" s="8">
        <v>77.87</v>
      </c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>
        <v>5.16</v>
      </c>
      <c r="BH1882" s="9">
        <f t="shared" si="261"/>
        <v>225.86</v>
      </c>
      <c r="BI1882" s="9">
        <f t="shared" si="262"/>
        <v>0</v>
      </c>
      <c r="BJ1882" s="9">
        <f t="shared" si="263"/>
        <v>0.36</v>
      </c>
      <c r="BK1882" s="9">
        <f t="shared" si="264"/>
        <v>2.0099999999999998</v>
      </c>
      <c r="BL1882" s="9">
        <f t="shared" si="265"/>
        <v>0</v>
      </c>
      <c r="BM1882" s="9">
        <f t="shared" si="266"/>
        <v>11.18</v>
      </c>
      <c r="BN1882" s="9">
        <f t="shared" si="267"/>
        <v>77.87</v>
      </c>
      <c r="BO1882" s="9">
        <f t="shared" si="268"/>
        <v>0</v>
      </c>
      <c r="BP1882" s="9">
        <f t="shared" si="269"/>
        <v>0</v>
      </c>
    </row>
    <row r="1883" spans="1:68">
      <c r="A1883" s="6">
        <v>44881</v>
      </c>
      <c r="B1883" s="7">
        <v>3010</v>
      </c>
      <c r="C1883" s="8">
        <v>644.64</v>
      </c>
      <c r="D1883" s="8">
        <v>429.44</v>
      </c>
      <c r="E1883" s="8"/>
      <c r="F1883" s="8"/>
      <c r="G1883" s="8"/>
      <c r="H1883" s="8"/>
      <c r="I1883" s="8"/>
      <c r="J1883" s="8"/>
      <c r="K1883" s="8"/>
      <c r="L1883" s="8"/>
      <c r="M1883" s="8"/>
      <c r="N1883" s="8">
        <v>2.15</v>
      </c>
      <c r="O1883" s="8"/>
      <c r="P1883" s="8"/>
      <c r="Q1883" s="11"/>
      <c r="R1883" s="11"/>
      <c r="S1883" s="8">
        <v>2.88</v>
      </c>
      <c r="T1883" s="8"/>
      <c r="U1883" s="8"/>
      <c r="V1883" s="8"/>
      <c r="W1883" s="8">
        <v>10.74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11"/>
      <c r="AQ1883" s="8"/>
      <c r="AR1883" s="8"/>
      <c r="AS1883" s="8"/>
      <c r="AT1883" s="8">
        <v>360.98</v>
      </c>
      <c r="AU1883" s="8"/>
      <c r="AV1883" s="8"/>
      <c r="AW1883" s="8">
        <v>11.93</v>
      </c>
      <c r="AX1883" s="8"/>
      <c r="AY1883" s="8"/>
      <c r="AZ1883" s="8"/>
      <c r="BA1883" s="8"/>
      <c r="BB1883" s="8"/>
      <c r="BC1883" s="8"/>
      <c r="BD1883" s="8"/>
      <c r="BE1883" s="8"/>
      <c r="BF1883" s="8"/>
      <c r="BG1883" s="8">
        <v>23.73</v>
      </c>
      <c r="BH1883" s="9">
        <f t="shared" si="261"/>
        <v>1074.08</v>
      </c>
      <c r="BI1883" s="9">
        <f t="shared" si="262"/>
        <v>2.15</v>
      </c>
      <c r="BJ1883" s="9">
        <f t="shared" si="263"/>
        <v>2.88</v>
      </c>
      <c r="BK1883" s="9">
        <f t="shared" si="264"/>
        <v>10.74</v>
      </c>
      <c r="BL1883" s="9">
        <f t="shared" si="265"/>
        <v>0</v>
      </c>
      <c r="BM1883" s="9">
        <f t="shared" si="266"/>
        <v>0</v>
      </c>
      <c r="BN1883" s="9">
        <f t="shared" si="267"/>
        <v>360.98</v>
      </c>
      <c r="BO1883" s="9">
        <f t="shared" si="268"/>
        <v>11.93</v>
      </c>
      <c r="BP1883" s="9">
        <f t="shared" si="269"/>
        <v>0</v>
      </c>
    </row>
    <row r="1884" spans="1:68">
      <c r="A1884" s="6">
        <v>44881</v>
      </c>
      <c r="B1884" s="7">
        <v>3106</v>
      </c>
      <c r="C1884" s="8">
        <v>6064.27</v>
      </c>
      <c r="D1884" s="8"/>
      <c r="E1884" s="8"/>
      <c r="F1884" s="8"/>
      <c r="G1884" s="8"/>
      <c r="H1884" s="8"/>
      <c r="I1884" s="8"/>
      <c r="J1884" s="8"/>
      <c r="K1884" s="8"/>
      <c r="L1884" s="8"/>
      <c r="M1884" s="8">
        <v>14.92</v>
      </c>
      <c r="N1884" s="8"/>
      <c r="O1884" s="8"/>
      <c r="P1884" s="8"/>
      <c r="Q1884" s="11"/>
      <c r="R1884" s="11"/>
      <c r="S1884" s="8">
        <v>19.420000000000002</v>
      </c>
      <c r="T1884" s="8"/>
      <c r="U1884" s="8">
        <v>77.180000000000007</v>
      </c>
      <c r="V1884" s="8"/>
      <c r="W1884" s="8"/>
      <c r="X1884" s="8"/>
      <c r="Y1884" s="8"/>
      <c r="Z1884" s="8"/>
      <c r="AA1884" s="8"/>
      <c r="AB1884" s="8"/>
      <c r="AC1884" s="8">
        <v>15.16</v>
      </c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11"/>
      <c r="AQ1884" s="8"/>
      <c r="AR1884" s="8"/>
      <c r="AS1884" s="8"/>
      <c r="AT1884" s="8">
        <v>3457.59</v>
      </c>
      <c r="AU1884" s="8"/>
      <c r="AV1884" s="8"/>
      <c r="AW1884" s="8"/>
      <c r="AX1884" s="8">
        <v>7.59</v>
      </c>
      <c r="AY1884" s="8"/>
      <c r="AZ1884" s="8"/>
      <c r="BA1884" s="8"/>
      <c r="BB1884" s="8"/>
      <c r="BC1884" s="8"/>
      <c r="BD1884" s="8"/>
      <c r="BE1884" s="8"/>
      <c r="BF1884" s="8"/>
      <c r="BG1884" s="8">
        <v>260.54000000000002</v>
      </c>
      <c r="BH1884" s="9">
        <f t="shared" si="261"/>
        <v>6064.27</v>
      </c>
      <c r="BI1884" s="9">
        <f t="shared" si="262"/>
        <v>14.92</v>
      </c>
      <c r="BJ1884" s="9">
        <f t="shared" si="263"/>
        <v>19.420000000000002</v>
      </c>
      <c r="BK1884" s="9">
        <f t="shared" si="264"/>
        <v>77.180000000000007</v>
      </c>
      <c r="BL1884" s="9">
        <f t="shared" si="265"/>
        <v>0</v>
      </c>
      <c r="BM1884" s="9">
        <f t="shared" si="266"/>
        <v>15.16</v>
      </c>
      <c r="BN1884" s="9">
        <f t="shared" si="267"/>
        <v>3457.59</v>
      </c>
      <c r="BO1884" s="9">
        <f t="shared" si="268"/>
        <v>7.59</v>
      </c>
      <c r="BP1884" s="9">
        <f t="shared" si="269"/>
        <v>0</v>
      </c>
    </row>
    <row r="1885" spans="1:68">
      <c r="A1885" s="6">
        <v>44881</v>
      </c>
      <c r="B1885" s="7">
        <v>3141</v>
      </c>
      <c r="C1885" s="8">
        <v>2436.11</v>
      </c>
      <c r="D1885" s="8">
        <v>428.92</v>
      </c>
      <c r="E1885" s="8"/>
      <c r="F1885" s="8"/>
      <c r="G1885" s="8"/>
      <c r="H1885" s="8"/>
      <c r="I1885" s="8"/>
      <c r="J1885" s="8"/>
      <c r="K1885" s="8"/>
      <c r="L1885" s="8"/>
      <c r="M1885" s="8">
        <v>7.76</v>
      </c>
      <c r="N1885" s="8"/>
      <c r="O1885" s="8"/>
      <c r="P1885" s="8"/>
      <c r="Q1885" s="11"/>
      <c r="R1885" s="11"/>
      <c r="S1885" s="8">
        <v>13.52</v>
      </c>
      <c r="T1885" s="8"/>
      <c r="U1885" s="8">
        <v>43.16</v>
      </c>
      <c r="V1885" s="8"/>
      <c r="W1885" s="8"/>
      <c r="X1885" s="8"/>
      <c r="Y1885" s="8"/>
      <c r="Z1885" s="8"/>
      <c r="AA1885" s="8"/>
      <c r="AB1885" s="8"/>
      <c r="AC1885" s="8">
        <v>11.51</v>
      </c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11"/>
      <c r="AQ1885" s="8"/>
      <c r="AR1885" s="8"/>
      <c r="AS1885" s="8"/>
      <c r="AT1885" s="8">
        <v>1894.1</v>
      </c>
      <c r="AU1885" s="8"/>
      <c r="AV1885" s="8"/>
      <c r="AW1885" s="8"/>
      <c r="AX1885" s="8"/>
      <c r="AY1885" s="8"/>
      <c r="AZ1885" s="8"/>
      <c r="BA1885" s="8">
        <v>65.960999999999999</v>
      </c>
      <c r="BB1885" s="8"/>
      <c r="BC1885" s="8"/>
      <c r="BD1885" s="8"/>
      <c r="BE1885" s="8"/>
      <c r="BF1885" s="8">
        <v>149.27000000000001</v>
      </c>
      <c r="BG1885" s="8">
        <v>151.41999999999999</v>
      </c>
      <c r="BH1885" s="9">
        <f t="shared" si="261"/>
        <v>2865.03</v>
      </c>
      <c r="BI1885" s="9">
        <f t="shared" si="262"/>
        <v>7.76</v>
      </c>
      <c r="BJ1885" s="9">
        <f t="shared" si="263"/>
        <v>13.52</v>
      </c>
      <c r="BK1885" s="9">
        <f t="shared" si="264"/>
        <v>43.16</v>
      </c>
      <c r="BL1885" s="9">
        <f t="shared" si="265"/>
        <v>0</v>
      </c>
      <c r="BM1885" s="9">
        <f t="shared" si="266"/>
        <v>11.51</v>
      </c>
      <c r="BN1885" s="9">
        <f t="shared" si="267"/>
        <v>1894.1</v>
      </c>
      <c r="BO1885" s="9">
        <f t="shared" si="268"/>
        <v>65.960999999999999</v>
      </c>
      <c r="BP1885" s="9">
        <f t="shared" si="269"/>
        <v>149.27000000000001</v>
      </c>
    </row>
    <row r="1886" spans="1:68">
      <c r="A1886" s="6">
        <v>44881</v>
      </c>
      <c r="B1886" s="7">
        <v>3304</v>
      </c>
      <c r="C1886" s="8"/>
      <c r="D1886" s="8">
        <v>2101.7800000000002</v>
      </c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11">
        <v>4.1900000000000004</v>
      </c>
      <c r="R1886" s="11"/>
      <c r="S1886" s="8">
        <v>3.15</v>
      </c>
      <c r="T1886" s="8"/>
      <c r="U1886" s="8">
        <v>18.91</v>
      </c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>
        <v>21.06</v>
      </c>
      <c r="AH1886" s="8"/>
      <c r="AI1886" s="8"/>
      <c r="AJ1886" s="8"/>
      <c r="AK1886" s="8"/>
      <c r="AL1886" s="8"/>
      <c r="AM1886" s="8"/>
      <c r="AN1886" s="8"/>
      <c r="AO1886" s="8"/>
      <c r="AP1886" s="11"/>
      <c r="AQ1886" s="8"/>
      <c r="AR1886" s="8"/>
      <c r="AS1886" s="8"/>
      <c r="AT1886" s="8"/>
      <c r="AU1886" s="8">
        <v>281.14999999999998</v>
      </c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>
        <v>58.29</v>
      </c>
      <c r="BH1886" s="9">
        <f t="shared" si="261"/>
        <v>2101.7800000000002</v>
      </c>
      <c r="BI1886" s="9">
        <f t="shared" si="262"/>
        <v>4.1900000000000004</v>
      </c>
      <c r="BJ1886" s="9">
        <f t="shared" si="263"/>
        <v>3.15</v>
      </c>
      <c r="BK1886" s="9">
        <f t="shared" si="264"/>
        <v>18.91</v>
      </c>
      <c r="BL1886" s="9">
        <f t="shared" si="265"/>
        <v>0</v>
      </c>
      <c r="BM1886" s="9">
        <f t="shared" si="266"/>
        <v>21.06</v>
      </c>
      <c r="BN1886" s="9">
        <f t="shared" si="267"/>
        <v>281.14999999999998</v>
      </c>
      <c r="BO1886" s="9">
        <f t="shared" si="268"/>
        <v>0</v>
      </c>
      <c r="BP1886" s="9">
        <f t="shared" si="269"/>
        <v>0</v>
      </c>
    </row>
    <row r="1887" spans="1:68">
      <c r="A1887" s="6">
        <v>44881</v>
      </c>
      <c r="B1887" s="7">
        <v>3200</v>
      </c>
      <c r="C1887" s="8">
        <f>2173.99+291.8</f>
        <v>2465.79</v>
      </c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>
        <f>5.47+0.73</f>
        <v>6.1999999999999993</v>
      </c>
      <c r="P1887" s="8"/>
      <c r="Q1887" s="11"/>
      <c r="R1887" s="11"/>
      <c r="S1887" s="8">
        <f>8.52+1.14</f>
        <v>9.66</v>
      </c>
      <c r="T1887" s="8"/>
      <c r="U1887" s="8">
        <f>32.77+4.38</f>
        <v>37.150000000000006</v>
      </c>
      <c r="V1887" s="8"/>
      <c r="W1887" s="8"/>
      <c r="X1887" s="8"/>
      <c r="Y1887" s="8"/>
      <c r="Z1887" s="8">
        <f>61.38+458.72</f>
        <v>520.1</v>
      </c>
      <c r="AA1887" s="8"/>
      <c r="AB1887" s="8"/>
      <c r="AC1887" s="8"/>
      <c r="AD1887" s="8"/>
      <c r="AE1887" s="8"/>
      <c r="AF1887" s="8">
        <f>108.7+14.56</f>
        <v>123.26</v>
      </c>
      <c r="AG1887" s="8"/>
      <c r="AH1887" s="8"/>
      <c r="AI1887" s="8"/>
      <c r="AJ1887" s="8"/>
      <c r="AK1887" s="8"/>
      <c r="AL1887" s="8"/>
      <c r="AM1887" s="8"/>
      <c r="AN1887" s="8"/>
      <c r="AO1887" s="8"/>
      <c r="AP1887" s="11"/>
      <c r="AQ1887" s="8">
        <v>33.51</v>
      </c>
      <c r="AR1887" s="8"/>
      <c r="AS1887" s="8"/>
      <c r="AT1887" s="8">
        <f>1488.14+199.87</f>
        <v>1688.0100000000002</v>
      </c>
      <c r="AU1887" s="8"/>
      <c r="AV1887" s="8"/>
      <c r="AW1887" s="8">
        <f>6.39+0.84</f>
        <v>7.2299999999999995</v>
      </c>
      <c r="AX1887" s="8"/>
      <c r="AY1887" s="8"/>
      <c r="AZ1887" s="8"/>
      <c r="BA1887" s="8"/>
      <c r="BB1887" s="8"/>
      <c r="BC1887" s="8"/>
      <c r="BD1887" s="8"/>
      <c r="BE1887" s="8"/>
      <c r="BF1887" s="8">
        <f>13.97+104.7</f>
        <v>118.67</v>
      </c>
      <c r="BG1887" s="8">
        <f>108.9+14.46</f>
        <v>123.36000000000001</v>
      </c>
      <c r="BH1887" s="9">
        <f t="shared" si="261"/>
        <v>2465.79</v>
      </c>
      <c r="BI1887" s="9">
        <f t="shared" si="262"/>
        <v>6.1999999999999993</v>
      </c>
      <c r="BJ1887" s="9">
        <f t="shared" si="263"/>
        <v>9.66</v>
      </c>
      <c r="BK1887" s="9">
        <f t="shared" si="264"/>
        <v>37.150000000000006</v>
      </c>
      <c r="BL1887" s="9">
        <f t="shared" si="265"/>
        <v>520.1</v>
      </c>
      <c r="BM1887" s="9">
        <f t="shared" si="266"/>
        <v>156.77000000000001</v>
      </c>
      <c r="BN1887" s="9">
        <f t="shared" si="267"/>
        <v>1688.0100000000002</v>
      </c>
      <c r="BO1887" s="9">
        <f t="shared" si="268"/>
        <v>7.2299999999999995</v>
      </c>
      <c r="BP1887" s="9">
        <f t="shared" si="269"/>
        <v>118.67</v>
      </c>
    </row>
    <row r="1888" spans="1:68">
      <c r="A1888" s="6">
        <v>44882</v>
      </c>
      <c r="B1888" s="7">
        <v>3100</v>
      </c>
      <c r="C1888" s="8">
        <v>632.26</v>
      </c>
      <c r="D1888" s="8"/>
      <c r="E1888" s="8"/>
      <c r="F1888" s="8"/>
      <c r="G1888" s="8"/>
      <c r="H1888" s="8"/>
      <c r="I1888" s="8"/>
      <c r="J1888" s="8"/>
      <c r="K1888" s="8"/>
      <c r="L1888" s="8"/>
      <c r="M1888" s="8">
        <v>1.4</v>
      </c>
      <c r="N1888" s="8"/>
      <c r="O1888" s="8"/>
      <c r="P1888" s="8"/>
      <c r="Q1888" s="11"/>
      <c r="R1888" s="11"/>
      <c r="S1888" s="8">
        <v>3.61</v>
      </c>
      <c r="T1888" s="8"/>
      <c r="U1888" s="8">
        <v>10.14</v>
      </c>
      <c r="V1888" s="8"/>
      <c r="W1888" s="8"/>
      <c r="X1888" s="8"/>
      <c r="Y1888" s="8"/>
      <c r="Z1888" s="8"/>
      <c r="AA1888" s="8"/>
      <c r="AB1888" s="8"/>
      <c r="AC1888" s="8">
        <v>2.5299999999999998</v>
      </c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11"/>
      <c r="AQ1888" s="8"/>
      <c r="AR1888" s="8"/>
      <c r="AS1888" s="8"/>
      <c r="AT1888" s="8">
        <v>424.54</v>
      </c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>
        <v>81.88</v>
      </c>
      <c r="BG1888" s="8">
        <v>32.56</v>
      </c>
      <c r="BH1888" s="9">
        <f t="shared" si="261"/>
        <v>632.26</v>
      </c>
      <c r="BI1888" s="9">
        <f t="shared" si="262"/>
        <v>1.4</v>
      </c>
      <c r="BJ1888" s="9">
        <f t="shared" si="263"/>
        <v>3.61</v>
      </c>
      <c r="BK1888" s="9">
        <f t="shared" si="264"/>
        <v>10.14</v>
      </c>
      <c r="BL1888" s="9">
        <f t="shared" si="265"/>
        <v>0</v>
      </c>
      <c r="BM1888" s="9">
        <f t="shared" si="266"/>
        <v>2.5299999999999998</v>
      </c>
      <c r="BN1888" s="9">
        <f t="shared" si="267"/>
        <v>424.54</v>
      </c>
      <c r="BO1888" s="9">
        <f t="shared" si="268"/>
        <v>0</v>
      </c>
      <c r="BP1888" s="9">
        <f t="shared" si="269"/>
        <v>81.88</v>
      </c>
    </row>
    <row r="1889" spans="1:68">
      <c r="A1889" s="6">
        <v>44882</v>
      </c>
      <c r="B1889" s="7">
        <v>3139</v>
      </c>
      <c r="C1889" s="8">
        <v>1576.37</v>
      </c>
      <c r="D1889" s="8"/>
      <c r="E1889" s="8"/>
      <c r="F1889" s="8"/>
      <c r="G1889" s="8"/>
      <c r="H1889" s="8">
        <v>665.03</v>
      </c>
      <c r="I1889" s="8"/>
      <c r="J1889" s="8"/>
      <c r="K1889" s="8"/>
      <c r="L1889" s="8"/>
      <c r="M1889" s="8">
        <v>3.69</v>
      </c>
      <c r="N1889" s="8"/>
      <c r="O1889" s="8"/>
      <c r="P1889" s="8"/>
      <c r="Q1889" s="11"/>
      <c r="R1889" s="11"/>
      <c r="S1889" s="8">
        <v>6.95</v>
      </c>
      <c r="T1889" s="8"/>
      <c r="U1889" s="8">
        <v>23.21</v>
      </c>
      <c r="V1889" s="8"/>
      <c r="W1889" s="8"/>
      <c r="X1889" s="8"/>
      <c r="Y1889" s="8"/>
      <c r="Z1889" s="8"/>
      <c r="AA1889" s="8"/>
      <c r="AB1889" s="8"/>
      <c r="AC1889" s="8">
        <v>7.73</v>
      </c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11"/>
      <c r="AQ1889" s="8"/>
      <c r="AR1889" s="8"/>
      <c r="AS1889" s="8"/>
      <c r="AT1889" s="8">
        <v>1140.26</v>
      </c>
      <c r="AU1889" s="8"/>
      <c r="AV1889" s="8">
        <v>38.659999999999997</v>
      </c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>
        <v>83.09</v>
      </c>
      <c r="BH1889" s="9">
        <f t="shared" si="261"/>
        <v>2241.3999999999996</v>
      </c>
      <c r="BI1889" s="9">
        <f t="shared" si="262"/>
        <v>3.69</v>
      </c>
      <c r="BJ1889" s="9">
        <f t="shared" si="263"/>
        <v>6.95</v>
      </c>
      <c r="BK1889" s="9">
        <f t="shared" si="264"/>
        <v>23.21</v>
      </c>
      <c r="BL1889" s="9">
        <f t="shared" si="265"/>
        <v>0</v>
      </c>
      <c r="BM1889" s="9">
        <f t="shared" si="266"/>
        <v>7.73</v>
      </c>
      <c r="BN1889" s="9">
        <f t="shared" si="267"/>
        <v>1140.26</v>
      </c>
      <c r="BO1889" s="9">
        <f t="shared" si="268"/>
        <v>38.659999999999997</v>
      </c>
      <c r="BP1889" s="9">
        <f t="shared" si="269"/>
        <v>0</v>
      </c>
    </row>
    <row r="1890" spans="1:68">
      <c r="A1890" s="6">
        <v>44882</v>
      </c>
      <c r="B1890" s="7">
        <v>3307</v>
      </c>
      <c r="C1890" s="8"/>
      <c r="D1890" s="8">
        <v>993.23</v>
      </c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11">
        <v>1.31</v>
      </c>
      <c r="R1890" s="11"/>
      <c r="S1890" s="8">
        <v>7.28</v>
      </c>
      <c r="T1890" s="8"/>
      <c r="U1890" s="8">
        <v>9.99</v>
      </c>
      <c r="V1890" s="8"/>
      <c r="W1890" s="8"/>
      <c r="X1890" s="8"/>
      <c r="Y1890" s="8"/>
      <c r="Z1890" s="8"/>
      <c r="AA1890" s="8"/>
      <c r="AB1890" s="8"/>
      <c r="AC1890" s="8">
        <v>5.98</v>
      </c>
      <c r="AD1890" s="8"/>
      <c r="AE1890" s="8"/>
      <c r="AF1890" s="8"/>
      <c r="AG1890" s="8">
        <v>10.039999999999999</v>
      </c>
      <c r="AH1890" s="8"/>
      <c r="AI1890" s="8"/>
      <c r="AJ1890" s="8"/>
      <c r="AK1890" s="8"/>
      <c r="AL1890" s="8"/>
      <c r="AM1890" s="8"/>
      <c r="AN1890" s="8"/>
      <c r="AO1890" s="8"/>
      <c r="AP1890" s="11"/>
      <c r="AQ1890" s="8"/>
      <c r="AR1890" s="8"/>
      <c r="AS1890" s="8"/>
      <c r="AT1890" s="8"/>
      <c r="AU1890" s="8">
        <v>498.3</v>
      </c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>
        <v>35.799999999999997</v>
      </c>
      <c r="BH1890" s="9">
        <f t="shared" si="261"/>
        <v>993.23</v>
      </c>
      <c r="BI1890" s="9">
        <f t="shared" si="262"/>
        <v>1.31</v>
      </c>
      <c r="BJ1890" s="9">
        <f t="shared" si="263"/>
        <v>7.28</v>
      </c>
      <c r="BK1890" s="9">
        <f t="shared" si="264"/>
        <v>9.99</v>
      </c>
      <c r="BL1890" s="9">
        <f t="shared" si="265"/>
        <v>0</v>
      </c>
      <c r="BM1890" s="9">
        <f t="shared" si="266"/>
        <v>16.02</v>
      </c>
      <c r="BN1890" s="9">
        <f t="shared" si="267"/>
        <v>498.3</v>
      </c>
      <c r="BO1890" s="9">
        <f t="shared" si="268"/>
        <v>0</v>
      </c>
      <c r="BP1890" s="9">
        <f t="shared" si="269"/>
        <v>0</v>
      </c>
    </row>
    <row r="1891" spans="1:68">
      <c r="A1891" s="6">
        <v>44882</v>
      </c>
      <c r="B1891" s="7">
        <v>3141</v>
      </c>
      <c r="C1891" s="8">
        <v>2470.5700000000002</v>
      </c>
      <c r="D1891" s="8">
        <v>435.19</v>
      </c>
      <c r="E1891" s="8"/>
      <c r="F1891" s="8"/>
      <c r="G1891" s="8"/>
      <c r="H1891" s="8"/>
      <c r="I1891" s="8"/>
      <c r="J1891" s="8"/>
      <c r="K1891" s="8"/>
      <c r="L1891" s="8"/>
      <c r="M1891" s="8">
        <v>7.93</v>
      </c>
      <c r="N1891" s="8"/>
      <c r="O1891" s="8"/>
      <c r="P1891" s="8"/>
      <c r="Q1891" s="11"/>
      <c r="R1891" s="11"/>
      <c r="S1891" s="8">
        <v>13.65</v>
      </c>
      <c r="T1891" s="8"/>
      <c r="U1891" s="8">
        <v>43.54</v>
      </c>
      <c r="V1891" s="8"/>
      <c r="W1891" s="8"/>
      <c r="X1891" s="8"/>
      <c r="Y1891" s="8"/>
      <c r="Z1891" s="8"/>
      <c r="AA1891" s="8"/>
      <c r="AB1891" s="8"/>
      <c r="AC1891" s="8">
        <v>11.61</v>
      </c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11"/>
      <c r="AQ1891" s="8"/>
      <c r="AR1891" s="8"/>
      <c r="AS1891" s="8"/>
      <c r="AT1891" s="8">
        <v>1910.07</v>
      </c>
      <c r="AU1891" s="8"/>
      <c r="AV1891" s="8"/>
      <c r="AW1891" s="8"/>
      <c r="AX1891" s="8"/>
      <c r="AY1891" s="8"/>
      <c r="AZ1891" s="8"/>
      <c r="BA1891" s="8">
        <v>66.56</v>
      </c>
      <c r="BB1891" s="8"/>
      <c r="BC1891" s="8"/>
      <c r="BD1891" s="8"/>
      <c r="BE1891" s="8"/>
      <c r="BF1891" s="8">
        <v>203.52</v>
      </c>
      <c r="BG1891" s="8">
        <v>150.9</v>
      </c>
      <c r="BH1891" s="9">
        <f t="shared" si="261"/>
        <v>2905.76</v>
      </c>
      <c r="BI1891" s="9">
        <f t="shared" si="262"/>
        <v>7.93</v>
      </c>
      <c r="BJ1891" s="9">
        <f t="shared" si="263"/>
        <v>13.65</v>
      </c>
      <c r="BK1891" s="9">
        <f t="shared" si="264"/>
        <v>43.54</v>
      </c>
      <c r="BL1891" s="9">
        <f t="shared" si="265"/>
        <v>0</v>
      </c>
      <c r="BM1891" s="9">
        <f t="shared" si="266"/>
        <v>11.61</v>
      </c>
      <c r="BN1891" s="9">
        <f t="shared" si="267"/>
        <v>1910.07</v>
      </c>
      <c r="BO1891" s="9">
        <f t="shared" si="268"/>
        <v>66.56</v>
      </c>
      <c r="BP1891" s="9">
        <f t="shared" si="269"/>
        <v>203.52</v>
      </c>
    </row>
    <row r="1892" spans="1:68">
      <c r="A1892" s="6">
        <v>44882</v>
      </c>
      <c r="B1892" s="7">
        <v>3106</v>
      </c>
      <c r="C1892" s="8">
        <v>6105.3</v>
      </c>
      <c r="D1892" s="8"/>
      <c r="E1892" s="8"/>
      <c r="F1892" s="8"/>
      <c r="G1892" s="8"/>
      <c r="H1892" s="8"/>
      <c r="I1892" s="8"/>
      <c r="J1892" s="8"/>
      <c r="K1892" s="8"/>
      <c r="L1892" s="8"/>
      <c r="M1892" s="8">
        <v>15.26</v>
      </c>
      <c r="N1892" s="8"/>
      <c r="O1892" s="8"/>
      <c r="P1892" s="8"/>
      <c r="Q1892" s="11"/>
      <c r="R1892" s="11"/>
      <c r="S1892" s="8">
        <v>18.71</v>
      </c>
      <c r="T1892" s="8"/>
      <c r="U1892" s="8">
        <v>77.62</v>
      </c>
      <c r="V1892" s="8"/>
      <c r="W1892" s="8"/>
      <c r="X1892" s="8"/>
      <c r="Y1892" s="8"/>
      <c r="Z1892" s="8"/>
      <c r="AA1892" s="8"/>
      <c r="AB1892" s="8"/>
      <c r="AC1892" s="8">
        <v>15.27</v>
      </c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11"/>
      <c r="AQ1892" s="8"/>
      <c r="AR1892" s="8"/>
      <c r="AS1892" s="8"/>
      <c r="AT1892" s="8">
        <v>3475.56</v>
      </c>
      <c r="AU1892" s="8"/>
      <c r="AV1892" s="8"/>
      <c r="AW1892" s="8"/>
      <c r="AX1892" s="8">
        <v>7.63</v>
      </c>
      <c r="AY1892" s="8"/>
      <c r="AZ1892" s="8"/>
      <c r="BA1892" s="8"/>
      <c r="BB1892" s="8"/>
      <c r="BC1892" s="8"/>
      <c r="BD1892" s="8"/>
      <c r="BE1892" s="8"/>
      <c r="BF1892" s="8"/>
      <c r="BG1892" s="8">
        <v>262.56</v>
      </c>
      <c r="BH1892" s="9">
        <f t="shared" si="261"/>
        <v>6105.3</v>
      </c>
      <c r="BI1892" s="9">
        <f t="shared" si="262"/>
        <v>15.26</v>
      </c>
      <c r="BJ1892" s="9">
        <f t="shared" si="263"/>
        <v>18.71</v>
      </c>
      <c r="BK1892" s="9">
        <f t="shared" si="264"/>
        <v>77.62</v>
      </c>
      <c r="BL1892" s="9">
        <f t="shared" si="265"/>
        <v>0</v>
      </c>
      <c r="BM1892" s="9">
        <f t="shared" si="266"/>
        <v>15.27</v>
      </c>
      <c r="BN1892" s="9">
        <f t="shared" si="267"/>
        <v>3475.56</v>
      </c>
      <c r="BO1892" s="9">
        <f t="shared" si="268"/>
        <v>7.63</v>
      </c>
      <c r="BP1892" s="9">
        <f t="shared" si="269"/>
        <v>0</v>
      </c>
    </row>
    <row r="1893" spans="1:68">
      <c r="A1893" s="6">
        <v>44882</v>
      </c>
      <c r="B1893" s="7">
        <v>3136</v>
      </c>
      <c r="C1893" s="8">
        <v>1207.44</v>
      </c>
      <c r="D1893" s="8"/>
      <c r="E1893" s="8"/>
      <c r="F1893" s="8"/>
      <c r="G1893" s="8"/>
      <c r="H1893" s="8">
        <v>500.58</v>
      </c>
      <c r="I1893" s="8"/>
      <c r="J1893" s="8"/>
      <c r="K1893" s="8"/>
      <c r="L1893" s="8"/>
      <c r="M1893" s="8">
        <v>1.83</v>
      </c>
      <c r="N1893" s="8"/>
      <c r="O1893" s="8"/>
      <c r="P1893" s="8"/>
      <c r="Q1893" s="11"/>
      <c r="R1893" s="11"/>
      <c r="S1893" s="8">
        <v>7.44</v>
      </c>
      <c r="T1893" s="8"/>
      <c r="U1893" s="8">
        <v>19.3</v>
      </c>
      <c r="V1893" s="8"/>
      <c r="W1893" s="8"/>
      <c r="X1893" s="8"/>
      <c r="Y1893" s="8"/>
      <c r="Z1893" s="8"/>
      <c r="AA1893" s="8"/>
      <c r="AB1893" s="8"/>
      <c r="AC1893" s="8">
        <v>5.93</v>
      </c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11"/>
      <c r="AQ1893" s="8"/>
      <c r="AR1893" s="8"/>
      <c r="AS1893" s="8"/>
      <c r="AT1893" s="8">
        <v>966.23</v>
      </c>
      <c r="AU1893" s="8"/>
      <c r="AV1893" s="8"/>
      <c r="AW1893" s="8"/>
      <c r="AX1893" s="8"/>
      <c r="AY1893" s="8"/>
      <c r="AZ1893" s="8"/>
      <c r="BA1893" s="8">
        <v>14.75</v>
      </c>
      <c r="BB1893" s="8"/>
      <c r="BC1893" s="8"/>
      <c r="BD1893" s="8"/>
      <c r="BE1893" s="8"/>
      <c r="BF1893" s="8">
        <v>58.12</v>
      </c>
      <c r="BG1893" s="8">
        <v>72.67</v>
      </c>
      <c r="BH1893" s="9">
        <f t="shared" si="261"/>
        <v>1708.02</v>
      </c>
      <c r="BI1893" s="9">
        <f t="shared" si="262"/>
        <v>1.83</v>
      </c>
      <c r="BJ1893" s="9">
        <f t="shared" si="263"/>
        <v>7.44</v>
      </c>
      <c r="BK1893" s="9">
        <f t="shared" si="264"/>
        <v>19.3</v>
      </c>
      <c r="BL1893" s="9">
        <f t="shared" si="265"/>
        <v>0</v>
      </c>
      <c r="BM1893" s="9">
        <f t="shared" si="266"/>
        <v>5.93</v>
      </c>
      <c r="BN1893" s="9">
        <f t="shared" si="267"/>
        <v>966.23</v>
      </c>
      <c r="BO1893" s="9">
        <f t="shared" si="268"/>
        <v>14.75</v>
      </c>
      <c r="BP1893" s="9">
        <f t="shared" si="269"/>
        <v>58.12</v>
      </c>
    </row>
    <row r="1894" spans="1:68">
      <c r="A1894" s="6">
        <v>44882</v>
      </c>
      <c r="B1894" s="7">
        <v>3104</v>
      </c>
      <c r="C1894" s="8">
        <v>1520.7</v>
      </c>
      <c r="D1894" s="8"/>
      <c r="E1894" s="8"/>
      <c r="F1894" s="8"/>
      <c r="G1894" s="8"/>
      <c r="H1894" s="8">
        <v>392.16</v>
      </c>
      <c r="I1894" s="8"/>
      <c r="J1894" s="8"/>
      <c r="K1894" s="8"/>
      <c r="L1894" s="8"/>
      <c r="M1894" s="8"/>
      <c r="N1894" s="8"/>
      <c r="O1894" s="8"/>
      <c r="P1894" s="8"/>
      <c r="Q1894" s="11">
        <v>4.01</v>
      </c>
      <c r="R1894" s="11"/>
      <c r="S1894" s="8">
        <v>8.01</v>
      </c>
      <c r="T1894" s="8"/>
      <c r="U1894" s="8">
        <v>20</v>
      </c>
      <c r="V1894" s="8"/>
      <c r="W1894" s="8"/>
      <c r="X1894" s="8"/>
      <c r="Y1894" s="8"/>
      <c r="Z1894" s="8"/>
      <c r="AA1894" s="8"/>
      <c r="AB1894" s="8"/>
      <c r="AC1894" s="8">
        <v>6.96</v>
      </c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11"/>
      <c r="AQ1894" s="8"/>
      <c r="AR1894" s="8"/>
      <c r="AS1894" s="8"/>
      <c r="AT1894" s="8">
        <v>1111.68</v>
      </c>
      <c r="AU1894" s="8"/>
      <c r="AV1894" s="8"/>
      <c r="AW1894" s="8"/>
      <c r="AX1894" s="8"/>
      <c r="AY1894" s="8"/>
      <c r="AZ1894" s="8"/>
      <c r="BA1894" s="8">
        <v>39.590000000000003</v>
      </c>
      <c r="BB1894" s="8"/>
      <c r="BC1894" s="8"/>
      <c r="BD1894" s="8"/>
      <c r="BE1894" s="8"/>
      <c r="BF1894" s="8">
        <v>34.200000000000003</v>
      </c>
      <c r="BG1894" s="8">
        <v>85.98</v>
      </c>
      <c r="BH1894" s="9">
        <f t="shared" si="261"/>
        <v>1912.8600000000001</v>
      </c>
      <c r="BI1894" s="9">
        <f t="shared" si="262"/>
        <v>4.01</v>
      </c>
      <c r="BJ1894" s="9">
        <f t="shared" si="263"/>
        <v>8.01</v>
      </c>
      <c r="BK1894" s="9">
        <f t="shared" si="264"/>
        <v>20</v>
      </c>
      <c r="BL1894" s="9">
        <f t="shared" si="265"/>
        <v>0</v>
      </c>
      <c r="BM1894" s="9">
        <f t="shared" si="266"/>
        <v>6.96</v>
      </c>
      <c r="BN1894" s="9">
        <f t="shared" si="267"/>
        <v>1111.68</v>
      </c>
      <c r="BO1894" s="9">
        <f t="shared" si="268"/>
        <v>39.590000000000003</v>
      </c>
      <c r="BP1894" s="9">
        <f t="shared" si="269"/>
        <v>34.200000000000003</v>
      </c>
    </row>
    <row r="1895" spans="1:68">
      <c r="A1895" s="6">
        <v>44883</v>
      </c>
      <c r="B1895" s="7">
        <v>3106</v>
      </c>
      <c r="C1895" s="8">
        <v>4163.3599999999997</v>
      </c>
      <c r="D1895" s="8"/>
      <c r="E1895" s="8"/>
      <c r="F1895" s="8"/>
      <c r="G1895" s="8"/>
      <c r="H1895" s="8"/>
      <c r="I1895" s="8"/>
      <c r="J1895" s="8"/>
      <c r="K1895" s="8"/>
      <c r="L1895" s="8"/>
      <c r="M1895" s="8">
        <v>10.41</v>
      </c>
      <c r="N1895" s="8"/>
      <c r="O1895" s="8"/>
      <c r="P1895" s="8"/>
      <c r="Q1895" s="11"/>
      <c r="R1895" s="11"/>
      <c r="S1895" s="8">
        <v>13.34</v>
      </c>
      <c r="T1895" s="8"/>
      <c r="U1895" s="8">
        <v>53.02</v>
      </c>
      <c r="V1895" s="8"/>
      <c r="W1895" s="8"/>
      <c r="X1895" s="8"/>
      <c r="Y1895" s="8"/>
      <c r="Z1895" s="8"/>
      <c r="AA1895" s="8"/>
      <c r="AB1895" s="8"/>
      <c r="AC1895" s="8">
        <v>10.43</v>
      </c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11"/>
      <c r="AQ1895" s="8"/>
      <c r="AR1895" s="8"/>
      <c r="AS1895" s="8"/>
      <c r="AT1895" s="8">
        <v>2369.33</v>
      </c>
      <c r="AU1895" s="8"/>
      <c r="AV1895" s="8"/>
      <c r="AW1895" s="8"/>
      <c r="AX1895" s="8">
        <v>5.21</v>
      </c>
      <c r="AY1895" s="8"/>
      <c r="AZ1895" s="8"/>
      <c r="BA1895" s="8"/>
      <c r="BB1895" s="8"/>
      <c r="BC1895" s="8"/>
      <c r="BD1895" s="8"/>
      <c r="BE1895" s="8"/>
      <c r="BF1895" s="8"/>
      <c r="BG1895" s="8">
        <v>179.58</v>
      </c>
      <c r="BH1895" s="9">
        <f t="shared" si="261"/>
        <v>4163.3599999999997</v>
      </c>
      <c r="BI1895" s="9">
        <f t="shared" si="262"/>
        <v>10.41</v>
      </c>
      <c r="BJ1895" s="9">
        <f t="shared" si="263"/>
        <v>13.34</v>
      </c>
      <c r="BK1895" s="9">
        <f t="shared" si="264"/>
        <v>53.02</v>
      </c>
      <c r="BL1895" s="9">
        <f t="shared" si="265"/>
        <v>0</v>
      </c>
      <c r="BM1895" s="9">
        <f t="shared" si="266"/>
        <v>10.43</v>
      </c>
      <c r="BN1895" s="9">
        <f t="shared" si="267"/>
        <v>2369.33</v>
      </c>
      <c r="BO1895" s="9">
        <f t="shared" si="268"/>
        <v>5.21</v>
      </c>
      <c r="BP1895" s="9">
        <f t="shared" si="269"/>
        <v>0</v>
      </c>
    </row>
    <row r="1896" spans="1:68">
      <c r="A1896" s="6">
        <v>44883</v>
      </c>
      <c r="B1896" s="7">
        <v>8272</v>
      </c>
      <c r="C1896" s="8">
        <v>1240.97</v>
      </c>
      <c r="D1896" s="8">
        <v>219.34</v>
      </c>
      <c r="E1896" s="8"/>
      <c r="F1896" s="8"/>
      <c r="G1896" s="8"/>
      <c r="H1896" s="8"/>
      <c r="I1896" s="8"/>
      <c r="J1896" s="8"/>
      <c r="K1896" s="8"/>
      <c r="L1896" s="8"/>
      <c r="M1896" s="8">
        <v>4.25</v>
      </c>
      <c r="N1896" s="8"/>
      <c r="O1896" s="8"/>
      <c r="P1896" s="8"/>
      <c r="Q1896" s="11"/>
      <c r="R1896" s="11"/>
      <c r="S1896" s="8">
        <v>6.88</v>
      </c>
      <c r="T1896" s="8"/>
      <c r="U1896" s="8">
        <v>21.88</v>
      </c>
      <c r="V1896" s="8"/>
      <c r="W1896" s="8"/>
      <c r="X1896" s="8"/>
      <c r="Y1896" s="8"/>
      <c r="Z1896" s="8"/>
      <c r="AA1896" s="8"/>
      <c r="AB1896" s="8"/>
      <c r="AC1896" s="8">
        <v>5.85</v>
      </c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11">
        <f>1200*9.75/1000</f>
        <v>11.7</v>
      </c>
      <c r="AQ1896" s="8"/>
      <c r="AR1896" s="8"/>
      <c r="AS1896" s="8"/>
      <c r="AT1896" s="8">
        <v>962.91</v>
      </c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>
        <v>102.72</v>
      </c>
      <c r="BG1896" s="8">
        <v>76.12</v>
      </c>
      <c r="BH1896" s="9">
        <f t="shared" si="261"/>
        <v>1460.31</v>
      </c>
      <c r="BI1896" s="9">
        <f t="shared" si="262"/>
        <v>4.25</v>
      </c>
      <c r="BJ1896" s="9">
        <f t="shared" si="263"/>
        <v>6.88</v>
      </c>
      <c r="BK1896" s="9">
        <f t="shared" si="264"/>
        <v>21.88</v>
      </c>
      <c r="BL1896" s="9">
        <f t="shared" si="265"/>
        <v>0</v>
      </c>
      <c r="BM1896" s="9">
        <f t="shared" si="266"/>
        <v>17.549999999999997</v>
      </c>
      <c r="BN1896" s="9">
        <f t="shared" si="267"/>
        <v>962.91</v>
      </c>
      <c r="BO1896" s="9">
        <f t="shared" si="268"/>
        <v>0</v>
      </c>
      <c r="BP1896" s="9">
        <f t="shared" si="269"/>
        <v>102.72</v>
      </c>
    </row>
    <row r="1897" spans="1:68">
      <c r="A1897" s="6">
        <v>44883</v>
      </c>
      <c r="B1897" s="7">
        <v>3029</v>
      </c>
      <c r="C1897" s="8"/>
      <c r="D1897" s="8">
        <v>470.21</v>
      </c>
      <c r="E1897" s="8"/>
      <c r="F1897" s="8">
        <v>330.19</v>
      </c>
      <c r="G1897" s="8"/>
      <c r="H1897" s="8"/>
      <c r="I1897" s="8">
        <v>1960.38</v>
      </c>
      <c r="J1897" s="8"/>
      <c r="K1897" s="8"/>
      <c r="L1897" s="8"/>
      <c r="M1897" s="8"/>
      <c r="N1897" s="8">
        <v>21.36</v>
      </c>
      <c r="O1897" s="8"/>
      <c r="P1897" s="8"/>
      <c r="Q1897" s="11"/>
      <c r="R1897" s="11"/>
      <c r="S1897" s="8">
        <v>1.64</v>
      </c>
      <c r="T1897" s="8"/>
      <c r="U1897" s="8"/>
      <c r="V1897" s="8"/>
      <c r="W1897" s="8">
        <v>27.77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>
        <v>9.5299999999999994</v>
      </c>
      <c r="AN1897" s="8">
        <f>769*18.45/1000</f>
        <v>14.188049999999999</v>
      </c>
      <c r="AO1897" s="8"/>
      <c r="AP1897" s="11"/>
      <c r="AQ1897" s="8"/>
      <c r="AR1897" s="8">
        <f>4487*18.45/1000</f>
        <v>82.785149999999987</v>
      </c>
      <c r="AS1897" s="8"/>
      <c r="AT1897" s="8">
        <v>1048.83</v>
      </c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>
        <v>73.349999999999994</v>
      </c>
      <c r="BH1897" s="9">
        <f t="shared" si="261"/>
        <v>2760.78</v>
      </c>
      <c r="BI1897" s="9">
        <f t="shared" si="262"/>
        <v>21.36</v>
      </c>
      <c r="BJ1897" s="9">
        <f t="shared" si="263"/>
        <v>1.64</v>
      </c>
      <c r="BK1897" s="9">
        <f t="shared" si="264"/>
        <v>27.77</v>
      </c>
      <c r="BL1897" s="9">
        <f t="shared" si="265"/>
        <v>0</v>
      </c>
      <c r="BM1897" s="9">
        <f t="shared" si="266"/>
        <v>106.50319999999999</v>
      </c>
      <c r="BN1897" s="9">
        <f t="shared" si="267"/>
        <v>1048.83</v>
      </c>
      <c r="BO1897" s="9">
        <f t="shared" si="268"/>
        <v>0</v>
      </c>
      <c r="BP1897" s="9">
        <f t="shared" si="269"/>
        <v>0</v>
      </c>
    </row>
    <row r="1898" spans="1:68">
      <c r="A1898" s="6">
        <v>44883</v>
      </c>
      <c r="B1898" s="7">
        <v>3081</v>
      </c>
      <c r="C1898" s="8"/>
      <c r="D1898" s="8">
        <v>260.43</v>
      </c>
      <c r="E1898" s="8"/>
      <c r="F1898" s="8">
        <v>293.35000000000002</v>
      </c>
      <c r="G1898" s="8"/>
      <c r="H1898" s="8"/>
      <c r="I1898" s="8">
        <v>1068.74</v>
      </c>
      <c r="J1898" s="8"/>
      <c r="K1898" s="8"/>
      <c r="L1898" s="8"/>
      <c r="M1898" s="8"/>
      <c r="N1898" s="8">
        <v>11.93</v>
      </c>
      <c r="O1898" s="8"/>
      <c r="P1898" s="8"/>
      <c r="Q1898" s="11"/>
      <c r="R1898" s="11"/>
      <c r="S1898" s="8">
        <v>1.1399999999999999</v>
      </c>
      <c r="T1898" s="8"/>
      <c r="U1898" s="8"/>
      <c r="V1898" s="8"/>
      <c r="W1898" s="8">
        <v>16.37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11"/>
      <c r="AQ1898" s="8">
        <f>1554*10.53/1000</f>
        <v>16.363619999999997</v>
      </c>
      <c r="AR1898" s="8">
        <f>5461*10.53/1000</f>
        <v>57.504329999999996</v>
      </c>
      <c r="AS1898" s="8">
        <f>620*10.53/1000</f>
        <v>6.5285999999999991</v>
      </c>
      <c r="AT1898" s="8">
        <v>511.89</v>
      </c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>
        <v>34.17</v>
      </c>
      <c r="BH1898" s="9">
        <f t="shared" si="261"/>
        <v>1622.52</v>
      </c>
      <c r="BI1898" s="9">
        <f t="shared" si="262"/>
        <v>11.93</v>
      </c>
      <c r="BJ1898" s="9">
        <f t="shared" si="263"/>
        <v>1.1399999999999999</v>
      </c>
      <c r="BK1898" s="9">
        <f t="shared" si="264"/>
        <v>16.37</v>
      </c>
      <c r="BL1898" s="9">
        <f t="shared" si="265"/>
        <v>0</v>
      </c>
      <c r="BM1898" s="9">
        <f t="shared" si="266"/>
        <v>80.396549999999991</v>
      </c>
      <c r="BN1898" s="9">
        <f t="shared" si="267"/>
        <v>511.89</v>
      </c>
      <c r="BO1898" s="9">
        <f t="shared" si="268"/>
        <v>0</v>
      </c>
      <c r="BP1898" s="9">
        <f t="shared" si="269"/>
        <v>0</v>
      </c>
    </row>
    <row r="1899" spans="1:68">
      <c r="A1899" s="6">
        <v>44883</v>
      </c>
      <c r="B1899" s="7">
        <v>3079</v>
      </c>
      <c r="C1899" s="8"/>
      <c r="D1899" s="8"/>
      <c r="E1899" s="8"/>
      <c r="F1899" s="8">
        <v>345.26</v>
      </c>
      <c r="G1899" s="8"/>
      <c r="H1899" s="8"/>
      <c r="I1899" s="8">
        <v>2792.03</v>
      </c>
      <c r="J1899" s="8"/>
      <c r="K1899" s="8"/>
      <c r="L1899" s="8"/>
      <c r="M1899" s="8"/>
      <c r="N1899" s="8">
        <v>22.27</v>
      </c>
      <c r="O1899" s="8"/>
      <c r="P1899" s="8"/>
      <c r="Q1899" s="11"/>
      <c r="R1899" s="11"/>
      <c r="S1899" s="8">
        <v>1.24</v>
      </c>
      <c r="T1899" s="8"/>
      <c r="U1899" s="8"/>
      <c r="V1899" s="8"/>
      <c r="W1899" s="8">
        <v>31.41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>
        <v>12.44</v>
      </c>
      <c r="AN1899" s="8">
        <f>1747*18.45/1000</f>
        <v>32.232149999999997</v>
      </c>
      <c r="AO1899" s="8"/>
      <c r="AP1899" s="11"/>
      <c r="AQ1899" s="8"/>
      <c r="AR1899" s="8">
        <f>4336*18.45/1000</f>
        <v>79.999200000000002</v>
      </c>
      <c r="AS1899" s="8"/>
      <c r="AT1899" s="8">
        <v>1207.33</v>
      </c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>
        <v>87.35</v>
      </c>
      <c r="BH1899" s="9">
        <f t="shared" si="261"/>
        <v>3137.29</v>
      </c>
      <c r="BI1899" s="9">
        <f t="shared" si="262"/>
        <v>22.27</v>
      </c>
      <c r="BJ1899" s="9">
        <f t="shared" si="263"/>
        <v>1.24</v>
      </c>
      <c r="BK1899" s="9">
        <f t="shared" si="264"/>
        <v>31.41</v>
      </c>
      <c r="BL1899" s="9">
        <f t="shared" si="265"/>
        <v>0</v>
      </c>
      <c r="BM1899" s="9">
        <f t="shared" si="266"/>
        <v>124.67134999999999</v>
      </c>
      <c r="BN1899" s="9">
        <f t="shared" si="267"/>
        <v>1207.33</v>
      </c>
      <c r="BO1899" s="9">
        <f t="shared" si="268"/>
        <v>0</v>
      </c>
      <c r="BP1899" s="9">
        <f t="shared" si="269"/>
        <v>0</v>
      </c>
    </row>
    <row r="1900" spans="1:68">
      <c r="A1900" s="6">
        <v>44883</v>
      </c>
      <c r="B1900" s="7">
        <v>3016</v>
      </c>
      <c r="C1900" s="8"/>
      <c r="D1900" s="8">
        <v>1620.73</v>
      </c>
      <c r="E1900" s="8"/>
      <c r="F1900" s="8"/>
      <c r="G1900" s="8"/>
      <c r="H1900" s="8"/>
      <c r="I1900" s="8">
        <v>1497.81</v>
      </c>
      <c r="J1900" s="8"/>
      <c r="K1900" s="8"/>
      <c r="L1900" s="8"/>
      <c r="M1900" s="8"/>
      <c r="N1900" s="8">
        <v>18.68</v>
      </c>
      <c r="O1900" s="8"/>
      <c r="P1900" s="8"/>
      <c r="Q1900" s="11"/>
      <c r="R1900" s="11"/>
      <c r="S1900" s="8">
        <v>2.16</v>
      </c>
      <c r="T1900" s="8"/>
      <c r="U1900" s="8"/>
      <c r="V1900" s="8"/>
      <c r="W1900" s="8">
        <v>31.15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>
        <v>12.48</v>
      </c>
      <c r="AN1900" s="8">
        <f>2039*18.32/1000</f>
        <v>37.354480000000002</v>
      </c>
      <c r="AO1900" s="8"/>
      <c r="AP1900" s="11"/>
      <c r="AQ1900" s="8"/>
      <c r="AR1900" s="8">
        <f>4336*18.32/1000</f>
        <v>79.435520000000011</v>
      </c>
      <c r="AS1900" s="8"/>
      <c r="AT1900" s="8">
        <v>1157.03</v>
      </c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>
        <v>84.44</v>
      </c>
      <c r="BH1900" s="9">
        <f t="shared" si="261"/>
        <v>3118.54</v>
      </c>
      <c r="BI1900" s="9">
        <f t="shared" si="262"/>
        <v>18.68</v>
      </c>
      <c r="BJ1900" s="9">
        <f t="shared" si="263"/>
        <v>2.16</v>
      </c>
      <c r="BK1900" s="9">
        <f t="shared" si="264"/>
        <v>31.15</v>
      </c>
      <c r="BL1900" s="9">
        <f t="shared" si="265"/>
        <v>0</v>
      </c>
      <c r="BM1900" s="9">
        <f t="shared" si="266"/>
        <v>129.27000000000001</v>
      </c>
      <c r="BN1900" s="9">
        <f t="shared" si="267"/>
        <v>1157.03</v>
      </c>
      <c r="BO1900" s="9">
        <f t="shared" si="268"/>
        <v>0</v>
      </c>
      <c r="BP1900" s="9">
        <f t="shared" si="269"/>
        <v>0</v>
      </c>
    </row>
    <row r="1901" spans="1:68">
      <c r="A1901" s="6">
        <v>44883</v>
      </c>
      <c r="B1901" s="7">
        <v>3020</v>
      </c>
      <c r="C1901" s="8"/>
      <c r="D1901" s="8">
        <v>169.71</v>
      </c>
      <c r="E1901" s="8"/>
      <c r="F1901" s="8"/>
      <c r="G1901" s="8"/>
      <c r="H1901" s="8"/>
      <c r="I1901" s="8">
        <v>960</v>
      </c>
      <c r="J1901" s="8"/>
      <c r="K1901" s="8"/>
      <c r="L1901" s="8"/>
      <c r="M1901" s="8"/>
      <c r="N1901" s="8">
        <v>6.77</v>
      </c>
      <c r="O1901" s="8"/>
      <c r="P1901" s="8"/>
      <c r="Q1901" s="11"/>
      <c r="R1901" s="11"/>
      <c r="S1901" s="8">
        <v>2.0299999999999998</v>
      </c>
      <c r="T1901" s="8"/>
      <c r="U1901" s="8"/>
      <c r="V1901" s="8"/>
      <c r="W1901" s="8">
        <v>11.3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>
        <v>11.27</v>
      </c>
      <c r="AN1901" s="8"/>
      <c r="AO1901" s="8"/>
      <c r="AP1901" s="11"/>
      <c r="AQ1901" s="8"/>
      <c r="AR1901" s="8"/>
      <c r="AS1901" s="8">
        <f>3062*9.4/1000</f>
        <v>28.782799999999998</v>
      </c>
      <c r="AT1901" s="8">
        <v>555.67999999999995</v>
      </c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>
        <v>40.590000000000003</v>
      </c>
      <c r="BH1901" s="9">
        <f t="shared" si="261"/>
        <v>1129.71</v>
      </c>
      <c r="BI1901" s="9">
        <f t="shared" si="262"/>
        <v>6.77</v>
      </c>
      <c r="BJ1901" s="9">
        <f t="shared" si="263"/>
        <v>2.0299999999999998</v>
      </c>
      <c r="BK1901" s="9">
        <f t="shared" si="264"/>
        <v>11.3</v>
      </c>
      <c r="BL1901" s="9">
        <f t="shared" si="265"/>
        <v>0</v>
      </c>
      <c r="BM1901" s="9">
        <f t="shared" si="266"/>
        <v>40.052799999999998</v>
      </c>
      <c r="BN1901" s="9">
        <f t="shared" si="267"/>
        <v>555.67999999999995</v>
      </c>
      <c r="BO1901" s="9">
        <f t="shared" si="268"/>
        <v>0</v>
      </c>
      <c r="BP1901" s="9">
        <f t="shared" si="269"/>
        <v>0</v>
      </c>
    </row>
    <row r="1902" spans="1:68">
      <c r="A1902" s="6">
        <v>44883</v>
      </c>
      <c r="B1902" s="7">
        <v>3021</v>
      </c>
      <c r="C1902" s="8"/>
      <c r="D1902" s="8">
        <v>341.94</v>
      </c>
      <c r="E1902" s="8"/>
      <c r="F1902" s="8"/>
      <c r="G1902" s="8"/>
      <c r="H1902" s="8"/>
      <c r="I1902" s="8">
        <v>634.07000000000005</v>
      </c>
      <c r="J1902" s="8"/>
      <c r="K1902" s="8"/>
      <c r="L1902" s="8"/>
      <c r="M1902" s="8"/>
      <c r="N1902" s="8">
        <v>5.17</v>
      </c>
      <c r="O1902" s="8"/>
      <c r="P1902" s="8"/>
      <c r="Q1902" s="11"/>
      <c r="R1902" s="11"/>
      <c r="S1902" s="8">
        <v>1.75</v>
      </c>
      <c r="T1902" s="8"/>
      <c r="U1902" s="8"/>
      <c r="V1902" s="8"/>
      <c r="W1902" s="8">
        <v>9.76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>
        <v>9.77</v>
      </c>
      <c r="AN1902" s="8"/>
      <c r="AO1902" s="8"/>
      <c r="AP1902" s="11"/>
      <c r="AQ1902" s="8"/>
      <c r="AR1902" s="8"/>
      <c r="AS1902" s="8">
        <f>2633*9.3/1000</f>
        <v>24.486900000000002</v>
      </c>
      <c r="AT1902" s="8">
        <v>460.77</v>
      </c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>
        <v>34.64</v>
      </c>
      <c r="BH1902" s="9">
        <f t="shared" si="261"/>
        <v>976.01</v>
      </c>
      <c r="BI1902" s="9">
        <f t="shared" si="262"/>
        <v>5.17</v>
      </c>
      <c r="BJ1902" s="9">
        <f t="shared" si="263"/>
        <v>1.75</v>
      </c>
      <c r="BK1902" s="9">
        <f t="shared" si="264"/>
        <v>9.76</v>
      </c>
      <c r="BL1902" s="9">
        <f t="shared" si="265"/>
        <v>0</v>
      </c>
      <c r="BM1902" s="9">
        <f t="shared" si="266"/>
        <v>34.256900000000002</v>
      </c>
      <c r="BN1902" s="9">
        <f t="shared" si="267"/>
        <v>460.77</v>
      </c>
      <c r="BO1902" s="9">
        <f t="shared" si="268"/>
        <v>0</v>
      </c>
      <c r="BP1902" s="9">
        <f t="shared" si="269"/>
        <v>0</v>
      </c>
    </row>
    <row r="1903" spans="1:68">
      <c r="A1903" s="6">
        <v>44883</v>
      </c>
      <c r="B1903" s="7">
        <v>3022</v>
      </c>
      <c r="C1903" s="8"/>
      <c r="D1903" s="8">
        <v>1065.27</v>
      </c>
      <c r="E1903" s="8"/>
      <c r="F1903" s="8"/>
      <c r="G1903" s="8"/>
      <c r="H1903" s="8"/>
      <c r="I1903" s="8">
        <v>875.12</v>
      </c>
      <c r="J1903" s="8"/>
      <c r="K1903" s="8"/>
      <c r="L1903" s="8"/>
      <c r="M1903" s="8"/>
      <c r="N1903" s="8">
        <v>9.6999999999999993</v>
      </c>
      <c r="O1903" s="8"/>
      <c r="P1903" s="8"/>
      <c r="Q1903" s="11"/>
      <c r="R1903" s="11"/>
      <c r="S1903" s="8">
        <v>3.49</v>
      </c>
      <c r="T1903" s="8"/>
      <c r="U1903" s="8"/>
      <c r="V1903" s="8"/>
      <c r="W1903" s="8">
        <v>19.43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>
        <v>25.18</v>
      </c>
      <c r="AN1903" s="8"/>
      <c r="AO1903" s="8"/>
      <c r="AP1903" s="11"/>
      <c r="AQ1903" s="8"/>
      <c r="AR1903" s="8"/>
      <c r="AS1903" s="8">
        <f>3842*17.65/1000</f>
        <v>67.811299999999989</v>
      </c>
      <c r="AT1903" s="8">
        <v>908.18</v>
      </c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>
        <v>69.86</v>
      </c>
      <c r="BH1903" s="9">
        <f t="shared" si="261"/>
        <v>1940.3899999999999</v>
      </c>
      <c r="BI1903" s="9">
        <f t="shared" si="262"/>
        <v>9.6999999999999993</v>
      </c>
      <c r="BJ1903" s="9">
        <f t="shared" si="263"/>
        <v>3.49</v>
      </c>
      <c r="BK1903" s="9">
        <f t="shared" si="264"/>
        <v>19.43</v>
      </c>
      <c r="BL1903" s="9">
        <f t="shared" si="265"/>
        <v>0</v>
      </c>
      <c r="BM1903" s="9">
        <f t="shared" si="266"/>
        <v>92.991299999999995</v>
      </c>
      <c r="BN1903" s="9">
        <f t="shared" si="267"/>
        <v>908.18</v>
      </c>
      <c r="BO1903" s="9">
        <f t="shared" si="268"/>
        <v>0</v>
      </c>
      <c r="BP1903" s="9">
        <f t="shared" si="269"/>
        <v>0</v>
      </c>
    </row>
    <row r="1904" spans="1:68">
      <c r="A1904" s="6">
        <v>44883</v>
      </c>
      <c r="B1904" s="7">
        <v>3403</v>
      </c>
      <c r="C1904" s="8">
        <v>381.55</v>
      </c>
      <c r="D1904" s="8">
        <v>381.49</v>
      </c>
      <c r="E1904" s="8"/>
      <c r="F1904" s="8"/>
      <c r="G1904" s="8"/>
      <c r="H1904" s="8"/>
      <c r="I1904" s="8"/>
      <c r="J1904" s="8"/>
      <c r="K1904" s="8"/>
      <c r="L1904" s="8"/>
      <c r="M1904" s="8">
        <v>1.53</v>
      </c>
      <c r="N1904" s="8"/>
      <c r="O1904" s="8"/>
      <c r="P1904" s="8"/>
      <c r="Q1904" s="11"/>
      <c r="R1904" s="11"/>
      <c r="S1904" s="8">
        <v>1.76</v>
      </c>
      <c r="T1904" s="8"/>
      <c r="U1904" s="8"/>
      <c r="V1904" s="8"/>
      <c r="W1904" s="8"/>
      <c r="X1904" s="8">
        <f>1012*7.63/1000</f>
        <v>7.7215599999999993</v>
      </c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11"/>
      <c r="AQ1904" s="8"/>
      <c r="AR1904" s="8"/>
      <c r="AS1904" s="8"/>
      <c r="AT1904" s="8">
        <v>354.93</v>
      </c>
      <c r="AU1904" s="8"/>
      <c r="AV1904" s="8">
        <v>22.97</v>
      </c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>
        <v>25.23</v>
      </c>
      <c r="BH1904" s="9">
        <f t="shared" si="261"/>
        <v>763.04</v>
      </c>
      <c r="BI1904" s="9">
        <f t="shared" si="262"/>
        <v>1.53</v>
      </c>
      <c r="BJ1904" s="9">
        <f t="shared" si="263"/>
        <v>1.76</v>
      </c>
      <c r="BK1904" s="9">
        <f t="shared" si="264"/>
        <v>7.7215599999999993</v>
      </c>
      <c r="BL1904" s="9">
        <f t="shared" si="265"/>
        <v>0</v>
      </c>
      <c r="BM1904" s="9">
        <f t="shared" si="266"/>
        <v>0</v>
      </c>
      <c r="BN1904" s="9">
        <f t="shared" si="267"/>
        <v>354.93</v>
      </c>
      <c r="BO1904" s="9">
        <f t="shared" si="268"/>
        <v>22.97</v>
      </c>
      <c r="BP1904" s="9">
        <f t="shared" si="269"/>
        <v>0</v>
      </c>
    </row>
    <row r="1905" spans="1:68">
      <c r="A1905" s="6">
        <v>44886</v>
      </c>
      <c r="B1905" s="7">
        <v>3141</v>
      </c>
      <c r="C1905" s="8">
        <v>2447.29</v>
      </c>
      <c r="D1905" s="8">
        <v>431.61</v>
      </c>
      <c r="E1905" s="8"/>
      <c r="F1905" s="8"/>
      <c r="G1905" s="8"/>
      <c r="H1905" s="8"/>
      <c r="I1905" s="8"/>
      <c r="J1905" s="8"/>
      <c r="K1905" s="8"/>
      <c r="L1905" s="8"/>
      <c r="M1905" s="8">
        <v>8.3699999999999992</v>
      </c>
      <c r="N1905" s="8"/>
      <c r="O1905" s="8"/>
      <c r="P1905" s="8"/>
      <c r="Q1905" s="11"/>
      <c r="R1905" s="11"/>
      <c r="S1905" s="8">
        <v>13.55</v>
      </c>
      <c r="T1905" s="8"/>
      <c r="U1905" s="8">
        <v>43.21</v>
      </c>
      <c r="V1905" s="8"/>
      <c r="W1905" s="8"/>
      <c r="X1905" s="8"/>
      <c r="Y1905" s="8"/>
      <c r="Z1905" s="8"/>
      <c r="AA1905" s="8"/>
      <c r="AB1905" s="8"/>
      <c r="AC1905" s="8">
        <v>11.53</v>
      </c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11"/>
      <c r="AQ1905" s="8"/>
      <c r="AR1905" s="8"/>
      <c r="AS1905" s="8"/>
      <c r="AT1905" s="8">
        <v>1894.96</v>
      </c>
      <c r="AU1905" s="8"/>
      <c r="AV1905" s="8"/>
      <c r="AW1905" s="8"/>
      <c r="AX1905" s="8"/>
      <c r="AY1905" s="8"/>
      <c r="AZ1905" s="8"/>
      <c r="BA1905" s="8">
        <v>65.989999999999995</v>
      </c>
      <c r="BB1905" s="8"/>
      <c r="BC1905" s="8"/>
      <c r="BD1905" s="8"/>
      <c r="BE1905" s="8"/>
      <c r="BF1905" s="8">
        <v>201.85</v>
      </c>
      <c r="BG1905" s="8">
        <v>150.16</v>
      </c>
      <c r="BH1905" s="9">
        <f t="shared" si="261"/>
        <v>2878.9</v>
      </c>
      <c r="BI1905" s="9">
        <f t="shared" si="262"/>
        <v>8.3699999999999992</v>
      </c>
      <c r="BJ1905" s="9">
        <f t="shared" si="263"/>
        <v>13.55</v>
      </c>
      <c r="BK1905" s="9">
        <f t="shared" si="264"/>
        <v>43.21</v>
      </c>
      <c r="BL1905" s="9">
        <f t="shared" si="265"/>
        <v>0</v>
      </c>
      <c r="BM1905" s="9">
        <f t="shared" si="266"/>
        <v>11.53</v>
      </c>
      <c r="BN1905" s="9">
        <f t="shared" si="267"/>
        <v>1894.96</v>
      </c>
      <c r="BO1905" s="9">
        <f t="shared" si="268"/>
        <v>65.989999999999995</v>
      </c>
      <c r="BP1905" s="9">
        <f t="shared" si="269"/>
        <v>201.85</v>
      </c>
    </row>
    <row r="1906" spans="1:68">
      <c r="A1906" s="6">
        <v>44886</v>
      </c>
      <c r="B1906" s="7">
        <v>3134</v>
      </c>
      <c r="C1906" s="8">
        <v>530.91</v>
      </c>
      <c r="D1906" s="8">
        <v>74.28</v>
      </c>
      <c r="E1906" s="8"/>
      <c r="F1906" s="8"/>
      <c r="G1906" s="8"/>
      <c r="H1906" s="8">
        <v>250.82</v>
      </c>
      <c r="I1906" s="8"/>
      <c r="J1906" s="8"/>
      <c r="K1906" s="8"/>
      <c r="L1906" s="8"/>
      <c r="M1906" s="8">
        <v>1.64</v>
      </c>
      <c r="N1906" s="8"/>
      <c r="O1906" s="8"/>
      <c r="P1906" s="8"/>
      <c r="Q1906" s="11"/>
      <c r="R1906" s="11"/>
      <c r="S1906" s="8">
        <v>3.42</v>
      </c>
      <c r="T1906" s="8"/>
      <c r="U1906" s="8">
        <v>9.68</v>
      </c>
      <c r="V1906" s="8"/>
      <c r="W1906" s="8"/>
      <c r="X1906" s="8"/>
      <c r="Y1906" s="8"/>
      <c r="Z1906" s="8"/>
      <c r="AA1906" s="8"/>
      <c r="AB1906" s="8"/>
      <c r="AC1906" s="8">
        <v>2.97</v>
      </c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11"/>
      <c r="AQ1906" s="8"/>
      <c r="AR1906" s="8"/>
      <c r="AS1906" s="8"/>
      <c r="AT1906" s="8">
        <v>522.55999999999995</v>
      </c>
      <c r="AU1906" s="8"/>
      <c r="AV1906" s="8"/>
      <c r="AW1906" s="8"/>
      <c r="AX1906" s="8"/>
      <c r="AY1906" s="8">
        <f>1425*5.32/1000</f>
        <v>7.5810000000000004</v>
      </c>
      <c r="AZ1906" s="8"/>
      <c r="BA1906" s="8"/>
      <c r="BB1906" s="8"/>
      <c r="BC1906" s="8"/>
      <c r="BD1906" s="8"/>
      <c r="BE1906" s="8"/>
      <c r="BF1906" s="8">
        <v>32.79</v>
      </c>
      <c r="BG1906" s="8">
        <v>39.39</v>
      </c>
      <c r="BH1906" s="9">
        <f t="shared" si="261"/>
        <v>856.01</v>
      </c>
      <c r="BI1906" s="9">
        <f t="shared" si="262"/>
        <v>1.64</v>
      </c>
      <c r="BJ1906" s="9">
        <f t="shared" si="263"/>
        <v>3.42</v>
      </c>
      <c r="BK1906" s="9">
        <f t="shared" si="264"/>
        <v>9.68</v>
      </c>
      <c r="BL1906" s="9">
        <f t="shared" si="265"/>
        <v>0</v>
      </c>
      <c r="BM1906" s="9">
        <f t="shared" si="266"/>
        <v>2.97</v>
      </c>
      <c r="BN1906" s="9">
        <f t="shared" si="267"/>
        <v>522.55999999999995</v>
      </c>
      <c r="BO1906" s="9">
        <f t="shared" si="268"/>
        <v>7.5810000000000004</v>
      </c>
      <c r="BP1906" s="9">
        <f t="shared" si="269"/>
        <v>32.79</v>
      </c>
    </row>
    <row r="1907" spans="1:68">
      <c r="A1907" s="6">
        <v>44886</v>
      </c>
      <c r="B1907" s="7">
        <v>3106</v>
      </c>
      <c r="C1907" s="8">
        <v>4091.13</v>
      </c>
      <c r="D1907" s="8"/>
      <c r="E1907" s="8"/>
      <c r="F1907" s="8"/>
      <c r="G1907" s="8"/>
      <c r="H1907" s="8"/>
      <c r="I1907" s="8"/>
      <c r="J1907" s="8"/>
      <c r="K1907" s="8"/>
      <c r="L1907" s="8"/>
      <c r="M1907" s="8">
        <v>11.01</v>
      </c>
      <c r="N1907" s="8"/>
      <c r="O1907" s="8"/>
      <c r="P1907" s="8"/>
      <c r="Q1907" s="11"/>
      <c r="R1907" s="11"/>
      <c r="S1907" s="8">
        <v>13.12</v>
      </c>
      <c r="T1907" s="8"/>
      <c r="U1907" s="8">
        <v>52.22</v>
      </c>
      <c r="V1907" s="8"/>
      <c r="W1907" s="8"/>
      <c r="X1907" s="8"/>
      <c r="Y1907" s="8"/>
      <c r="Z1907" s="8"/>
      <c r="AA1907" s="8"/>
      <c r="AB1907" s="8"/>
      <c r="AC1907" s="8">
        <v>10.25</v>
      </c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11"/>
      <c r="AQ1907" s="8"/>
      <c r="AR1907" s="8"/>
      <c r="AS1907" s="8"/>
      <c r="AT1907" s="8">
        <v>2336.62</v>
      </c>
      <c r="AU1907" s="8"/>
      <c r="AV1907" s="8"/>
      <c r="AW1907" s="8"/>
      <c r="AX1907" s="8">
        <v>5.13</v>
      </c>
      <c r="AY1907" s="8"/>
      <c r="AZ1907" s="8"/>
      <c r="BA1907" s="8"/>
      <c r="BB1907" s="8"/>
      <c r="BC1907" s="8"/>
      <c r="BD1907" s="8"/>
      <c r="BE1907" s="8"/>
      <c r="BF1907" s="8"/>
      <c r="BG1907" s="8">
        <v>176.61</v>
      </c>
      <c r="BH1907" s="9">
        <f t="shared" si="261"/>
        <v>4091.13</v>
      </c>
      <c r="BI1907" s="9">
        <f t="shared" si="262"/>
        <v>11.01</v>
      </c>
      <c r="BJ1907" s="9">
        <f t="shared" si="263"/>
        <v>13.12</v>
      </c>
      <c r="BK1907" s="9">
        <f t="shared" si="264"/>
        <v>52.22</v>
      </c>
      <c r="BL1907" s="9">
        <f t="shared" si="265"/>
        <v>0</v>
      </c>
      <c r="BM1907" s="9">
        <f t="shared" si="266"/>
        <v>10.25</v>
      </c>
      <c r="BN1907" s="9">
        <f t="shared" si="267"/>
        <v>2336.62</v>
      </c>
      <c r="BO1907" s="9">
        <f t="shared" si="268"/>
        <v>5.13</v>
      </c>
      <c r="BP1907" s="9">
        <f t="shared" si="269"/>
        <v>0</v>
      </c>
    </row>
    <row r="1908" spans="1:68">
      <c r="A1908" s="6">
        <v>44886</v>
      </c>
      <c r="B1908" s="7">
        <v>3083</v>
      </c>
      <c r="C1908" s="8"/>
      <c r="D1908" s="8">
        <v>1079.77</v>
      </c>
      <c r="E1908" s="8"/>
      <c r="F1908" s="8"/>
      <c r="G1908" s="8"/>
      <c r="H1908" s="8"/>
      <c r="I1908" s="8">
        <v>2514.77</v>
      </c>
      <c r="J1908" s="8"/>
      <c r="K1908" s="8"/>
      <c r="L1908" s="8"/>
      <c r="M1908" s="8"/>
      <c r="N1908" s="8">
        <v>22.66</v>
      </c>
      <c r="O1908" s="8"/>
      <c r="P1908" s="8"/>
      <c r="Q1908" s="11"/>
      <c r="R1908" s="11"/>
      <c r="S1908" s="8">
        <v>2.5</v>
      </c>
      <c r="T1908" s="8"/>
      <c r="U1908" s="8"/>
      <c r="V1908" s="8"/>
      <c r="W1908" s="8">
        <v>28.77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>
        <v>14.33</v>
      </c>
      <c r="AN1908" s="8">
        <f>1926*26.62/1000</f>
        <v>51.270120000000006</v>
      </c>
      <c r="AO1908" s="8"/>
      <c r="AP1908" s="11"/>
      <c r="AQ1908" s="8"/>
      <c r="AR1908" s="8">
        <f>3457*26.62/1000</f>
        <v>92.02534</v>
      </c>
      <c r="AS1908" s="8"/>
      <c r="AT1908" s="8">
        <v>1688.62</v>
      </c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>
        <v>133.9</v>
      </c>
      <c r="BH1908" s="9">
        <f t="shared" si="261"/>
        <v>3594.54</v>
      </c>
      <c r="BI1908" s="9">
        <f t="shared" si="262"/>
        <v>22.66</v>
      </c>
      <c r="BJ1908" s="9">
        <f t="shared" si="263"/>
        <v>2.5</v>
      </c>
      <c r="BK1908" s="9">
        <f t="shared" si="264"/>
        <v>28.77</v>
      </c>
      <c r="BL1908" s="9">
        <f t="shared" si="265"/>
        <v>0</v>
      </c>
      <c r="BM1908" s="9">
        <f t="shared" si="266"/>
        <v>157.62546</v>
      </c>
      <c r="BN1908" s="9">
        <f t="shared" si="267"/>
        <v>1688.62</v>
      </c>
      <c r="BO1908" s="9">
        <f t="shared" si="268"/>
        <v>0</v>
      </c>
      <c r="BP1908" s="9">
        <f t="shared" si="269"/>
        <v>0</v>
      </c>
    </row>
    <row r="1909" spans="1:68">
      <c r="A1909" s="6">
        <v>44886</v>
      </c>
      <c r="B1909" s="7">
        <v>3023</v>
      </c>
      <c r="C1909" s="8"/>
      <c r="D1909" s="8">
        <v>2419.5700000000002</v>
      </c>
      <c r="E1909" s="8"/>
      <c r="F1909" s="8"/>
      <c r="G1909" s="8"/>
      <c r="H1909" s="8"/>
      <c r="I1909" s="8">
        <v>1298.57</v>
      </c>
      <c r="J1909" s="8"/>
      <c r="K1909" s="8"/>
      <c r="L1909" s="8"/>
      <c r="M1909" s="8"/>
      <c r="N1909" s="8">
        <v>20.83</v>
      </c>
      <c r="O1909" s="8"/>
      <c r="P1909" s="8"/>
      <c r="Q1909" s="11"/>
      <c r="R1909" s="11"/>
      <c r="S1909" s="8">
        <v>5.95</v>
      </c>
      <c r="T1909" s="8"/>
      <c r="U1909" s="8"/>
      <c r="V1909" s="8"/>
      <c r="W1909" s="8">
        <v>33.479999999999997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>
        <v>37.11</v>
      </c>
      <c r="AN1909" s="8">
        <f>1021*25.63/1000</f>
        <v>26.168230000000001</v>
      </c>
      <c r="AO1909" s="8"/>
      <c r="AP1909" s="11"/>
      <c r="AQ1909" s="8"/>
      <c r="AR1909" s="8"/>
      <c r="AS1909" s="8">
        <f>4834*25.63/1000</f>
        <v>123.89542</v>
      </c>
      <c r="AT1909" s="8">
        <v>1525.17</v>
      </c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>
        <v>115.2</v>
      </c>
      <c r="BH1909" s="9">
        <f t="shared" si="261"/>
        <v>3718.1400000000003</v>
      </c>
      <c r="BI1909" s="9">
        <f t="shared" si="262"/>
        <v>20.83</v>
      </c>
      <c r="BJ1909" s="9">
        <f t="shared" si="263"/>
        <v>5.95</v>
      </c>
      <c r="BK1909" s="9">
        <f t="shared" si="264"/>
        <v>33.479999999999997</v>
      </c>
      <c r="BL1909" s="9">
        <f t="shared" si="265"/>
        <v>0</v>
      </c>
      <c r="BM1909" s="9">
        <f t="shared" si="266"/>
        <v>187.17365000000001</v>
      </c>
      <c r="BN1909" s="9">
        <f t="shared" si="267"/>
        <v>1525.17</v>
      </c>
      <c r="BO1909" s="9">
        <f t="shared" si="268"/>
        <v>0</v>
      </c>
      <c r="BP1909" s="9">
        <f t="shared" si="269"/>
        <v>0</v>
      </c>
    </row>
    <row r="1910" spans="1:68">
      <c r="A1910" s="6">
        <v>44886</v>
      </c>
      <c r="B1910" s="7">
        <v>3701</v>
      </c>
      <c r="C1910" s="8">
        <v>359.24</v>
      </c>
      <c r="D1910" s="8"/>
      <c r="E1910" s="8"/>
      <c r="F1910" s="8"/>
      <c r="G1910" s="8"/>
      <c r="H1910" s="8"/>
      <c r="I1910" s="8"/>
      <c r="J1910" s="8">
        <f>48390*12.15/1000</f>
        <v>587.93849999999998</v>
      </c>
      <c r="K1910" s="8"/>
      <c r="L1910" s="8"/>
      <c r="M1910" s="8"/>
      <c r="N1910" s="8">
        <v>2.2400000000000002</v>
      </c>
      <c r="O1910" s="8"/>
      <c r="P1910" s="8"/>
      <c r="Q1910" s="11"/>
      <c r="R1910" s="11"/>
      <c r="S1910" s="8">
        <v>2.62</v>
      </c>
      <c r="T1910" s="8"/>
      <c r="U1910" s="8">
        <v>5.84</v>
      </c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>
        <v>19.48</v>
      </c>
      <c r="AH1910" s="8"/>
      <c r="AI1910" s="8"/>
      <c r="AJ1910" s="8">
        <f>2411*12.15/1000</f>
        <v>29.293650000000003</v>
      </c>
      <c r="AK1910" s="8"/>
      <c r="AL1910" s="8"/>
      <c r="AM1910" s="8"/>
      <c r="AN1910" s="8"/>
      <c r="AO1910" s="8"/>
      <c r="AP1910" s="11"/>
      <c r="AQ1910" s="8"/>
      <c r="AR1910" s="8"/>
      <c r="AS1910" s="8"/>
      <c r="AT1910" s="8"/>
      <c r="AU1910" s="8">
        <v>343.7</v>
      </c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>
        <v>23.28</v>
      </c>
      <c r="BH1910" s="9">
        <f t="shared" si="261"/>
        <v>947.17849999999999</v>
      </c>
      <c r="BI1910" s="9">
        <f t="shared" si="262"/>
        <v>2.2400000000000002</v>
      </c>
      <c r="BJ1910" s="9">
        <f t="shared" si="263"/>
        <v>2.62</v>
      </c>
      <c r="BK1910" s="9">
        <f t="shared" si="264"/>
        <v>5.84</v>
      </c>
      <c r="BL1910" s="9">
        <f t="shared" si="265"/>
        <v>0</v>
      </c>
      <c r="BM1910" s="9">
        <f t="shared" si="266"/>
        <v>48.773650000000004</v>
      </c>
      <c r="BN1910" s="9">
        <f t="shared" si="267"/>
        <v>343.7</v>
      </c>
      <c r="BO1910" s="9">
        <f t="shared" si="268"/>
        <v>0</v>
      </c>
      <c r="BP1910" s="9">
        <f t="shared" si="269"/>
        <v>0</v>
      </c>
    </row>
    <row r="1911" spans="1:68">
      <c r="A1911" s="6">
        <v>44886</v>
      </c>
      <c r="B1911" s="7">
        <v>3704</v>
      </c>
      <c r="C1911" s="8">
        <f>332.2+83.88</f>
        <v>416.08</v>
      </c>
      <c r="D1911" s="8">
        <f>125.94+498.45</f>
        <v>624.39</v>
      </c>
      <c r="E1911" s="8"/>
      <c r="F1911" s="8"/>
      <c r="G1911" s="8"/>
      <c r="H1911" s="8"/>
      <c r="I1911" s="8"/>
      <c r="J1911" s="8"/>
      <c r="K1911" s="8"/>
      <c r="L1911" s="8"/>
      <c r="M1911" s="8">
        <f>2.49+0.63</f>
        <v>3.12</v>
      </c>
      <c r="N1911" s="8"/>
      <c r="O1911" s="8"/>
      <c r="P1911" s="8"/>
      <c r="Q1911" s="11"/>
      <c r="R1911" s="11"/>
      <c r="S1911" s="8">
        <f>2.91+0.74</f>
        <v>3.6500000000000004</v>
      </c>
      <c r="T1911" s="8"/>
      <c r="U1911" s="8">
        <f>6.23+0.74</f>
        <v>6.9700000000000006</v>
      </c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>
        <f>9.98+2.52</f>
        <v>12.5</v>
      </c>
      <c r="AN1911" s="8"/>
      <c r="AO1911" s="8"/>
      <c r="AP1911" s="11"/>
      <c r="AQ1911" s="8"/>
      <c r="AR1911" s="8"/>
      <c r="AS1911" s="8"/>
      <c r="AT1911" s="8">
        <f>144.88+36.94</f>
        <v>181.82</v>
      </c>
      <c r="AU1911" s="8">
        <f>72.19+18.22</f>
        <v>90.41</v>
      </c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>
        <f>13.19+3.37</f>
        <v>16.559999999999999</v>
      </c>
      <c r="BH1911" s="9">
        <f t="shared" si="261"/>
        <v>1040.47</v>
      </c>
      <c r="BI1911" s="9">
        <f t="shared" si="262"/>
        <v>3.12</v>
      </c>
      <c r="BJ1911" s="9">
        <f t="shared" si="263"/>
        <v>3.6500000000000004</v>
      </c>
      <c r="BK1911" s="9">
        <f t="shared" si="264"/>
        <v>6.9700000000000006</v>
      </c>
      <c r="BL1911" s="9">
        <f t="shared" si="265"/>
        <v>0</v>
      </c>
      <c r="BM1911" s="9">
        <f t="shared" si="266"/>
        <v>12.5</v>
      </c>
      <c r="BN1911" s="9">
        <f t="shared" si="267"/>
        <v>272.23</v>
      </c>
      <c r="BO1911" s="9">
        <f t="shared" si="268"/>
        <v>0</v>
      </c>
      <c r="BP1911" s="9">
        <f t="shared" si="269"/>
        <v>0</v>
      </c>
    </row>
    <row r="1912" spans="1:68">
      <c r="A1912" s="6">
        <v>44886</v>
      </c>
      <c r="B1912" s="7">
        <v>3702</v>
      </c>
      <c r="C1912" s="8">
        <v>432.54</v>
      </c>
      <c r="D1912" s="8">
        <v>289.13</v>
      </c>
      <c r="E1912" s="8"/>
      <c r="F1912" s="8"/>
      <c r="G1912" s="8"/>
      <c r="H1912" s="8"/>
      <c r="I1912" s="8"/>
      <c r="J1912" s="8"/>
      <c r="K1912" s="8"/>
      <c r="L1912" s="8"/>
      <c r="M1912" s="8">
        <v>1.45</v>
      </c>
      <c r="N1912" s="8"/>
      <c r="O1912" s="8"/>
      <c r="P1912" s="8"/>
      <c r="Q1912" s="11"/>
      <c r="R1912" s="11"/>
      <c r="S1912" s="8">
        <v>3.4</v>
      </c>
      <c r="T1912" s="8"/>
      <c r="U1912" s="8">
        <v>5.43</v>
      </c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11"/>
      <c r="AQ1912" s="8"/>
      <c r="AR1912" s="8"/>
      <c r="AS1912" s="8"/>
      <c r="AT1912" s="8">
        <v>175.55</v>
      </c>
      <c r="AU1912" s="8">
        <v>88.06</v>
      </c>
      <c r="AV1912" s="8"/>
      <c r="AW1912" s="8">
        <v>1.61</v>
      </c>
      <c r="AX1912" s="8"/>
      <c r="AY1912" s="8"/>
      <c r="AZ1912" s="8"/>
      <c r="BA1912" s="8"/>
      <c r="BB1912" s="8"/>
      <c r="BC1912" s="8"/>
      <c r="BD1912" s="8"/>
      <c r="BE1912" s="8"/>
      <c r="BF1912" s="8"/>
      <c r="BG1912" s="8">
        <v>18.510000000000002</v>
      </c>
      <c r="BH1912" s="9">
        <f t="shared" si="261"/>
        <v>721.67000000000007</v>
      </c>
      <c r="BI1912" s="9">
        <f t="shared" si="262"/>
        <v>1.45</v>
      </c>
      <c r="BJ1912" s="9">
        <f t="shared" si="263"/>
        <v>3.4</v>
      </c>
      <c r="BK1912" s="9">
        <f t="shared" si="264"/>
        <v>5.43</v>
      </c>
      <c r="BL1912" s="9">
        <f t="shared" si="265"/>
        <v>0</v>
      </c>
      <c r="BM1912" s="9">
        <f t="shared" si="266"/>
        <v>0</v>
      </c>
      <c r="BN1912" s="9">
        <f t="shared" si="267"/>
        <v>263.61</v>
      </c>
      <c r="BO1912" s="9">
        <f t="shared" si="268"/>
        <v>1.61</v>
      </c>
      <c r="BP1912" s="9">
        <f t="shared" si="269"/>
        <v>0</v>
      </c>
    </row>
    <row r="1913" spans="1:68">
      <c r="A1913" s="6">
        <v>44887</v>
      </c>
      <c r="B1913" s="7">
        <v>3101</v>
      </c>
      <c r="C1913" s="8">
        <v>632.77</v>
      </c>
      <c r="D1913" s="8"/>
      <c r="E1913" s="8"/>
      <c r="F1913" s="8"/>
      <c r="G1913" s="8"/>
      <c r="H1913" s="8"/>
      <c r="I1913" s="8"/>
      <c r="J1913" s="8"/>
      <c r="K1913" s="8"/>
      <c r="L1913" s="8"/>
      <c r="M1913" s="8">
        <v>1.47</v>
      </c>
      <c r="N1913" s="8"/>
      <c r="O1913" s="8"/>
      <c r="P1913" s="8"/>
      <c r="Q1913" s="11"/>
      <c r="R1913" s="11"/>
      <c r="S1913" s="8">
        <v>3.71</v>
      </c>
      <c r="T1913" s="8"/>
      <c r="U1913" s="8">
        <v>10.23</v>
      </c>
      <c r="V1913" s="8"/>
      <c r="W1913" s="8"/>
      <c r="X1913" s="8"/>
      <c r="Y1913" s="8"/>
      <c r="Z1913" s="8"/>
      <c r="AA1913" s="8"/>
      <c r="AB1913" s="8"/>
      <c r="AC1913" s="8">
        <v>2.5499999999999998</v>
      </c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11"/>
      <c r="AQ1913" s="8"/>
      <c r="AR1913" s="8"/>
      <c r="AS1913" s="8"/>
      <c r="AT1913" s="8">
        <v>428.17</v>
      </c>
      <c r="AU1913" s="8"/>
      <c r="AV1913" s="8"/>
      <c r="AW1913" s="8">
        <v>13.58</v>
      </c>
      <c r="AX1913" s="8"/>
      <c r="AY1913" s="8"/>
      <c r="AZ1913" s="8"/>
      <c r="BA1913" s="8"/>
      <c r="BB1913" s="8"/>
      <c r="BC1913" s="8"/>
      <c r="BD1913" s="8"/>
      <c r="BE1913" s="8"/>
      <c r="BF1913" s="8">
        <v>81.489999999999995</v>
      </c>
      <c r="BG1913" s="8">
        <v>32.799999999999997</v>
      </c>
      <c r="BH1913" s="9">
        <f t="shared" si="261"/>
        <v>632.77</v>
      </c>
      <c r="BI1913" s="9">
        <f t="shared" si="262"/>
        <v>1.47</v>
      </c>
      <c r="BJ1913" s="9">
        <f t="shared" si="263"/>
        <v>3.71</v>
      </c>
      <c r="BK1913" s="9">
        <f t="shared" si="264"/>
        <v>10.23</v>
      </c>
      <c r="BL1913" s="9">
        <f t="shared" si="265"/>
        <v>0</v>
      </c>
      <c r="BM1913" s="9">
        <f t="shared" si="266"/>
        <v>2.5499999999999998</v>
      </c>
      <c r="BN1913" s="9">
        <f t="shared" si="267"/>
        <v>428.17</v>
      </c>
      <c r="BO1913" s="9">
        <f t="shared" si="268"/>
        <v>13.58</v>
      </c>
      <c r="BP1913" s="9">
        <f t="shared" si="269"/>
        <v>81.489999999999995</v>
      </c>
    </row>
    <row r="1914" spans="1:68">
      <c r="A1914" s="6">
        <v>44887</v>
      </c>
      <c r="B1914" s="7">
        <v>3139</v>
      </c>
      <c r="C1914" s="8">
        <f>803.97+812.69</f>
        <v>1616.66</v>
      </c>
      <c r="D1914" s="8"/>
      <c r="E1914" s="8"/>
      <c r="F1914" s="8"/>
      <c r="G1914" s="8"/>
      <c r="H1914" s="8">
        <f>333.72+337.05</f>
        <v>670.77</v>
      </c>
      <c r="I1914" s="8"/>
      <c r="J1914" s="8"/>
      <c r="K1914" s="8"/>
      <c r="L1914" s="8"/>
      <c r="M1914" s="8">
        <f>1.9+1.88</f>
        <v>3.78</v>
      </c>
      <c r="N1914" s="8"/>
      <c r="O1914" s="8"/>
      <c r="P1914" s="8"/>
      <c r="Q1914" s="11"/>
      <c r="R1914" s="11"/>
      <c r="S1914" s="8">
        <f>3.6+3.56</f>
        <v>7.16</v>
      </c>
      <c r="T1914" s="8"/>
      <c r="U1914" s="8">
        <f>12+11.88</f>
        <v>23.880000000000003</v>
      </c>
      <c r="V1914" s="8"/>
      <c r="W1914" s="8"/>
      <c r="X1914" s="8"/>
      <c r="Y1914" s="8"/>
      <c r="Z1914" s="8"/>
      <c r="AA1914" s="8"/>
      <c r="AB1914" s="8"/>
      <c r="AC1914" s="8">
        <f>4+3.96</f>
        <v>7.96</v>
      </c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11"/>
      <c r="AQ1914" s="8"/>
      <c r="AR1914" s="8"/>
      <c r="AS1914" s="8"/>
      <c r="AT1914" s="8">
        <f>586.65+591.51</f>
        <v>1178.1599999999999</v>
      </c>
      <c r="AU1914" s="8"/>
      <c r="AV1914" s="8">
        <f>19.78+19.97</f>
        <v>39.75</v>
      </c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>
        <f>42.58+42.97</f>
        <v>85.55</v>
      </c>
      <c r="BH1914" s="9">
        <f t="shared" si="261"/>
        <v>2287.4300000000003</v>
      </c>
      <c r="BI1914" s="9">
        <f t="shared" si="262"/>
        <v>3.78</v>
      </c>
      <c r="BJ1914" s="9">
        <f t="shared" si="263"/>
        <v>7.16</v>
      </c>
      <c r="BK1914" s="9">
        <f t="shared" si="264"/>
        <v>23.880000000000003</v>
      </c>
      <c r="BL1914" s="9">
        <f t="shared" si="265"/>
        <v>0</v>
      </c>
      <c r="BM1914" s="9">
        <f t="shared" si="266"/>
        <v>7.96</v>
      </c>
      <c r="BN1914" s="9">
        <f t="shared" si="267"/>
        <v>1178.1599999999999</v>
      </c>
      <c r="BO1914" s="9">
        <f t="shared" si="268"/>
        <v>39.75</v>
      </c>
      <c r="BP1914" s="9">
        <f t="shared" si="269"/>
        <v>0</v>
      </c>
    </row>
    <row r="1915" spans="1:68">
      <c r="A1915" s="6">
        <v>44887</v>
      </c>
      <c r="B1915" s="7">
        <v>3020</v>
      </c>
      <c r="C1915" s="8"/>
      <c r="D1915" s="8">
        <v>318.57</v>
      </c>
      <c r="E1915" s="8"/>
      <c r="F1915" s="8"/>
      <c r="G1915" s="8"/>
      <c r="H1915" s="8"/>
      <c r="I1915" s="8">
        <v>1801.94</v>
      </c>
      <c r="J1915" s="8"/>
      <c r="K1915" s="8"/>
      <c r="L1915" s="8"/>
      <c r="M1915" s="8"/>
      <c r="N1915" s="8">
        <v>12.72</v>
      </c>
      <c r="O1915" s="8"/>
      <c r="P1915" s="8"/>
      <c r="Q1915" s="11"/>
      <c r="R1915" s="11"/>
      <c r="S1915" s="8">
        <v>3.83</v>
      </c>
      <c r="T1915" s="8"/>
      <c r="U1915" s="8"/>
      <c r="V1915" s="8"/>
      <c r="W1915" s="8">
        <v>21.22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>
        <v>21.18</v>
      </c>
      <c r="AN1915" s="8"/>
      <c r="AO1915" s="8"/>
      <c r="AP1915" s="11"/>
      <c r="AQ1915" s="8"/>
      <c r="AR1915" s="8"/>
      <c r="AS1915" s="8">
        <f>2990*17.65/1000</f>
        <v>52.773499999999991</v>
      </c>
      <c r="AT1915" s="8">
        <v>1041.3900000000001</v>
      </c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>
        <v>76.47</v>
      </c>
      <c r="BH1915" s="9">
        <f t="shared" si="261"/>
        <v>2120.5100000000002</v>
      </c>
      <c r="BI1915" s="9">
        <f t="shared" si="262"/>
        <v>12.72</v>
      </c>
      <c r="BJ1915" s="9">
        <f t="shared" si="263"/>
        <v>3.83</v>
      </c>
      <c r="BK1915" s="9">
        <f t="shared" si="264"/>
        <v>21.22</v>
      </c>
      <c r="BL1915" s="9">
        <f t="shared" si="265"/>
        <v>0</v>
      </c>
      <c r="BM1915" s="9">
        <f t="shared" si="266"/>
        <v>73.953499999999991</v>
      </c>
      <c r="BN1915" s="9">
        <f t="shared" si="267"/>
        <v>1041.3900000000001</v>
      </c>
      <c r="BO1915" s="9">
        <f t="shared" si="268"/>
        <v>0</v>
      </c>
      <c r="BP1915" s="9">
        <f t="shared" si="269"/>
        <v>0</v>
      </c>
    </row>
    <row r="1916" spans="1:68">
      <c r="A1916" s="6">
        <v>44887</v>
      </c>
      <c r="B1916" s="7">
        <v>3433</v>
      </c>
      <c r="C1916" s="8">
        <v>947.64</v>
      </c>
      <c r="D1916" s="8"/>
      <c r="E1916" s="8"/>
      <c r="F1916" s="8"/>
      <c r="G1916" s="8"/>
      <c r="H1916" s="8"/>
      <c r="I1916" s="8"/>
      <c r="J1916" s="8"/>
      <c r="K1916" s="8"/>
      <c r="L1916" s="8"/>
      <c r="M1916" s="8">
        <v>2.31</v>
      </c>
      <c r="N1916" s="8"/>
      <c r="O1916" s="8"/>
      <c r="P1916" s="8"/>
      <c r="Q1916" s="11"/>
      <c r="R1916" s="11"/>
      <c r="S1916" s="8">
        <v>3.79</v>
      </c>
      <c r="T1916" s="8"/>
      <c r="U1916" s="8"/>
      <c r="V1916" s="8"/>
      <c r="W1916" s="8"/>
      <c r="X1916" s="8">
        <f>861*11.13/1000</f>
        <v>9.5829300000000011</v>
      </c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11"/>
      <c r="AQ1916" s="8"/>
      <c r="AR1916" s="8"/>
      <c r="AS1916" s="8"/>
      <c r="AT1916" s="8">
        <v>429.15</v>
      </c>
      <c r="AU1916" s="8"/>
      <c r="AV1916" s="8"/>
      <c r="AW1916" s="8"/>
      <c r="AX1916" s="8"/>
      <c r="AY1916" s="8"/>
      <c r="AZ1916" s="8"/>
      <c r="BA1916" s="8">
        <v>4.25</v>
      </c>
      <c r="BB1916" s="8"/>
      <c r="BC1916" s="8"/>
      <c r="BD1916" s="8"/>
      <c r="BE1916" s="8"/>
      <c r="BF1916" s="8">
        <v>47.71</v>
      </c>
      <c r="BG1916" s="8">
        <v>31.99</v>
      </c>
      <c r="BH1916" s="9">
        <f t="shared" si="261"/>
        <v>947.64</v>
      </c>
      <c r="BI1916" s="9">
        <f t="shared" si="262"/>
        <v>2.31</v>
      </c>
      <c r="BJ1916" s="9">
        <f t="shared" si="263"/>
        <v>3.79</v>
      </c>
      <c r="BK1916" s="9">
        <f t="shared" si="264"/>
        <v>9.5829300000000011</v>
      </c>
      <c r="BL1916" s="9">
        <f t="shared" si="265"/>
        <v>0</v>
      </c>
      <c r="BM1916" s="9">
        <f t="shared" si="266"/>
        <v>0</v>
      </c>
      <c r="BN1916" s="9">
        <f t="shared" si="267"/>
        <v>429.15</v>
      </c>
      <c r="BO1916" s="9">
        <f t="shared" si="268"/>
        <v>4.25</v>
      </c>
      <c r="BP1916" s="9">
        <f t="shared" si="269"/>
        <v>47.71</v>
      </c>
    </row>
    <row r="1917" spans="1:68">
      <c r="A1917" s="6">
        <v>44887</v>
      </c>
      <c r="B1917" s="7">
        <v>3402</v>
      </c>
      <c r="C1917" s="8">
        <v>634.98</v>
      </c>
      <c r="D1917" s="8">
        <v>423.35</v>
      </c>
      <c r="E1917" s="8"/>
      <c r="F1917" s="8"/>
      <c r="G1917" s="8"/>
      <c r="H1917" s="8"/>
      <c r="I1917" s="8"/>
      <c r="J1917" s="8"/>
      <c r="K1917" s="8"/>
      <c r="L1917" s="8"/>
      <c r="M1917" s="8">
        <v>2.1800000000000002</v>
      </c>
      <c r="N1917" s="8"/>
      <c r="O1917" s="8"/>
      <c r="P1917" s="8"/>
      <c r="Q1917" s="11"/>
      <c r="R1917" s="11"/>
      <c r="S1917" s="8">
        <v>2.4300000000000002</v>
      </c>
      <c r="T1917" s="8"/>
      <c r="U1917" s="8"/>
      <c r="V1917" s="8"/>
      <c r="W1917" s="8"/>
      <c r="X1917" s="8">
        <f>1016*10.57/1000</f>
        <v>10.739120000000002</v>
      </c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11"/>
      <c r="AQ1917" s="8"/>
      <c r="AR1917" s="8"/>
      <c r="AS1917" s="8"/>
      <c r="AT1917" s="8">
        <v>498.83</v>
      </c>
      <c r="AU1917" s="8"/>
      <c r="AV1917" s="8"/>
      <c r="AW1917" s="8"/>
      <c r="AX1917" s="8"/>
      <c r="AY1917" s="8"/>
      <c r="AZ1917" s="8"/>
      <c r="BA1917" s="8">
        <v>4.76</v>
      </c>
      <c r="BB1917" s="8"/>
      <c r="BC1917" s="8"/>
      <c r="BD1917" s="8"/>
      <c r="BE1917" s="8"/>
      <c r="BF1917" s="8"/>
      <c r="BG1917" s="8">
        <v>34.96</v>
      </c>
      <c r="BH1917" s="9">
        <f t="shared" si="261"/>
        <v>1058.33</v>
      </c>
      <c r="BI1917" s="9">
        <f t="shared" si="262"/>
        <v>2.1800000000000002</v>
      </c>
      <c r="BJ1917" s="9">
        <f t="shared" si="263"/>
        <v>2.4300000000000002</v>
      </c>
      <c r="BK1917" s="9">
        <f t="shared" si="264"/>
        <v>10.739120000000002</v>
      </c>
      <c r="BL1917" s="9">
        <f t="shared" si="265"/>
        <v>0</v>
      </c>
      <c r="BM1917" s="9">
        <f t="shared" si="266"/>
        <v>0</v>
      </c>
      <c r="BN1917" s="9">
        <f t="shared" si="267"/>
        <v>498.83</v>
      </c>
      <c r="BO1917" s="9">
        <f t="shared" si="268"/>
        <v>4.76</v>
      </c>
      <c r="BP1917" s="9">
        <f t="shared" si="269"/>
        <v>0</v>
      </c>
    </row>
    <row r="1918" spans="1:68">
      <c r="A1918" s="6">
        <v>44887</v>
      </c>
      <c r="B1918" s="7">
        <v>8272</v>
      </c>
      <c r="C1918" s="8">
        <v>1285.43</v>
      </c>
      <c r="D1918" s="8">
        <v>227.54</v>
      </c>
      <c r="E1918" s="8"/>
      <c r="F1918" s="8"/>
      <c r="G1918" s="8"/>
      <c r="H1918" s="8"/>
      <c r="I1918" s="8"/>
      <c r="J1918" s="8"/>
      <c r="K1918" s="8"/>
      <c r="L1918" s="8"/>
      <c r="M1918" s="8">
        <v>4.42</v>
      </c>
      <c r="N1918" s="8"/>
      <c r="O1918" s="8"/>
      <c r="P1918" s="8"/>
      <c r="Q1918" s="11"/>
      <c r="R1918" s="11"/>
      <c r="S1918" s="8">
        <v>7.14</v>
      </c>
      <c r="T1918" s="8"/>
      <c r="U1918" s="8">
        <v>22.79</v>
      </c>
      <c r="V1918" s="8"/>
      <c r="W1918" s="8"/>
      <c r="X1918" s="8"/>
      <c r="Y1918" s="8"/>
      <c r="Z1918" s="8"/>
      <c r="AA1918" s="8"/>
      <c r="AB1918" s="8"/>
      <c r="AC1918" s="8">
        <v>6.08</v>
      </c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11">
        <f>1218*10.1/1000</f>
        <v>12.3018</v>
      </c>
      <c r="AQ1918" s="8"/>
      <c r="AR1918" s="8"/>
      <c r="AS1918" s="8"/>
      <c r="AT1918" s="8">
        <v>997.48</v>
      </c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>
        <v>106.51</v>
      </c>
      <c r="BG1918" s="8">
        <v>78.94</v>
      </c>
      <c r="BH1918" s="9">
        <f t="shared" si="261"/>
        <v>1512.97</v>
      </c>
      <c r="BI1918" s="9">
        <f t="shared" si="262"/>
        <v>4.42</v>
      </c>
      <c r="BJ1918" s="9">
        <f t="shared" si="263"/>
        <v>7.14</v>
      </c>
      <c r="BK1918" s="9">
        <f t="shared" si="264"/>
        <v>22.79</v>
      </c>
      <c r="BL1918" s="9">
        <f t="shared" si="265"/>
        <v>0</v>
      </c>
      <c r="BM1918" s="9">
        <f t="shared" si="266"/>
        <v>18.381799999999998</v>
      </c>
      <c r="BN1918" s="9">
        <f t="shared" si="267"/>
        <v>997.48</v>
      </c>
      <c r="BO1918" s="9">
        <f t="shared" si="268"/>
        <v>0</v>
      </c>
      <c r="BP1918" s="9">
        <f t="shared" si="269"/>
        <v>106.51</v>
      </c>
    </row>
    <row r="1919" spans="1:68">
      <c r="A1919" s="6">
        <v>44888</v>
      </c>
      <c r="B1919" s="7">
        <v>3502</v>
      </c>
      <c r="C1919" s="8">
        <v>514.29</v>
      </c>
      <c r="D1919" s="8">
        <v>340.68</v>
      </c>
      <c r="E1919" s="8"/>
      <c r="F1919" s="8"/>
      <c r="G1919" s="8"/>
      <c r="H1919" s="8"/>
      <c r="I1919" s="8"/>
      <c r="J1919" s="8"/>
      <c r="K1919" s="8"/>
      <c r="L1919" s="8"/>
      <c r="M1919" s="8">
        <v>1.28</v>
      </c>
      <c r="N1919" s="8">
        <v>1.27</v>
      </c>
      <c r="O1919" s="8"/>
      <c r="P1919" s="8"/>
      <c r="Q1919" s="11"/>
      <c r="R1919" s="11"/>
      <c r="S1919" s="8">
        <v>3.4</v>
      </c>
      <c r="T1919" s="8"/>
      <c r="U1919" s="8">
        <v>8.51</v>
      </c>
      <c r="V1919" s="8"/>
      <c r="W1919" s="8"/>
      <c r="X1919" s="8"/>
      <c r="Y1919" s="8"/>
      <c r="Z1919" s="8">
        <v>170.19</v>
      </c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11"/>
      <c r="AQ1919" s="8"/>
      <c r="AR1919" s="8"/>
      <c r="AS1919" s="8"/>
      <c r="AT1919" s="8">
        <v>351.39</v>
      </c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>
        <v>27.74</v>
      </c>
      <c r="BH1919" s="9">
        <f t="shared" si="261"/>
        <v>854.97</v>
      </c>
      <c r="BI1919" s="9">
        <f t="shared" si="262"/>
        <v>2.5499999999999998</v>
      </c>
      <c r="BJ1919" s="9">
        <f t="shared" si="263"/>
        <v>3.4</v>
      </c>
      <c r="BK1919" s="9">
        <f t="shared" si="264"/>
        <v>8.51</v>
      </c>
      <c r="BL1919" s="9">
        <f t="shared" si="265"/>
        <v>170.19</v>
      </c>
      <c r="BM1919" s="9">
        <f t="shared" si="266"/>
        <v>0</v>
      </c>
      <c r="BN1919" s="9">
        <f t="shared" si="267"/>
        <v>351.39</v>
      </c>
      <c r="BO1919" s="9">
        <f t="shared" si="268"/>
        <v>0</v>
      </c>
      <c r="BP1919" s="9">
        <f t="shared" si="269"/>
        <v>0</v>
      </c>
    </row>
    <row r="1920" spans="1:68">
      <c r="A1920" s="6">
        <v>44888</v>
      </c>
      <c r="B1920" s="7">
        <v>3135</v>
      </c>
      <c r="C1920" s="8">
        <v>841.46</v>
      </c>
      <c r="D1920" s="8">
        <v>117.95</v>
      </c>
      <c r="E1920" s="8"/>
      <c r="F1920" s="8"/>
      <c r="G1920" s="8"/>
      <c r="H1920" s="8">
        <v>398.34</v>
      </c>
      <c r="I1920" s="8"/>
      <c r="J1920" s="8"/>
      <c r="K1920" s="8"/>
      <c r="L1920" s="8"/>
      <c r="M1920" s="8">
        <v>2.4900000000000002</v>
      </c>
      <c r="N1920" s="8"/>
      <c r="O1920" s="8"/>
      <c r="P1920" s="8"/>
      <c r="Q1920" s="11"/>
      <c r="R1920" s="11"/>
      <c r="S1920" s="8">
        <v>5.44</v>
      </c>
      <c r="T1920" s="8"/>
      <c r="U1920" s="8">
        <v>15.37</v>
      </c>
      <c r="V1920" s="8"/>
      <c r="W1920" s="8"/>
      <c r="X1920" s="8"/>
      <c r="Y1920" s="8"/>
      <c r="Z1920" s="8"/>
      <c r="AA1920" s="8"/>
      <c r="AB1920" s="8"/>
      <c r="AC1920" s="8">
        <v>4.7300000000000004</v>
      </c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11"/>
      <c r="AQ1920" s="8"/>
      <c r="AR1920" s="8"/>
      <c r="AS1920" s="8"/>
      <c r="AT1920" s="8">
        <v>833.87</v>
      </c>
      <c r="AU1920" s="8"/>
      <c r="AV1920" s="8"/>
      <c r="AW1920" s="8"/>
      <c r="AX1920" s="8"/>
      <c r="AY1920" s="8"/>
      <c r="AZ1920" s="8"/>
      <c r="BA1920" s="8">
        <v>26.96</v>
      </c>
      <c r="BB1920" s="8"/>
      <c r="BC1920" s="8"/>
      <c r="BD1920" s="8"/>
      <c r="BE1920" s="8"/>
      <c r="BF1920" s="8">
        <v>53.99</v>
      </c>
      <c r="BG1920" s="8">
        <v>62.86</v>
      </c>
      <c r="BH1920" s="9">
        <f t="shared" si="261"/>
        <v>1357.75</v>
      </c>
      <c r="BI1920" s="9">
        <f t="shared" si="262"/>
        <v>2.4900000000000002</v>
      </c>
      <c r="BJ1920" s="9">
        <f t="shared" si="263"/>
        <v>5.44</v>
      </c>
      <c r="BK1920" s="9">
        <f t="shared" si="264"/>
        <v>15.37</v>
      </c>
      <c r="BL1920" s="9">
        <f t="shared" si="265"/>
        <v>0</v>
      </c>
      <c r="BM1920" s="9">
        <f t="shared" si="266"/>
        <v>4.7300000000000004</v>
      </c>
      <c r="BN1920" s="9">
        <f t="shared" si="267"/>
        <v>833.87</v>
      </c>
      <c r="BO1920" s="9">
        <f t="shared" si="268"/>
        <v>26.96</v>
      </c>
      <c r="BP1920" s="9">
        <f t="shared" si="269"/>
        <v>53.99</v>
      </c>
    </row>
    <row r="1921" spans="1:68">
      <c r="A1921" s="6">
        <v>44888</v>
      </c>
      <c r="B1921" s="7">
        <v>3141</v>
      </c>
      <c r="C1921" s="8">
        <v>3604.77</v>
      </c>
      <c r="D1921" s="8">
        <v>636.22</v>
      </c>
      <c r="E1921" s="8"/>
      <c r="F1921" s="8"/>
      <c r="G1921" s="8"/>
      <c r="H1921" s="8"/>
      <c r="I1921" s="8"/>
      <c r="J1921" s="8"/>
      <c r="K1921" s="8"/>
      <c r="L1921" s="8"/>
      <c r="M1921" s="8">
        <v>11.52</v>
      </c>
      <c r="N1921" s="8"/>
      <c r="O1921" s="8"/>
      <c r="P1921" s="8"/>
      <c r="Q1921" s="11"/>
      <c r="R1921" s="11"/>
      <c r="S1921" s="8">
        <v>19.95</v>
      </c>
      <c r="T1921" s="8"/>
      <c r="U1921" s="8">
        <v>63.65</v>
      </c>
      <c r="V1921" s="8"/>
      <c r="W1921" s="8"/>
      <c r="X1921" s="8"/>
      <c r="Y1921" s="8"/>
      <c r="Z1921" s="8"/>
      <c r="AA1921" s="8"/>
      <c r="AB1921" s="8"/>
      <c r="AC1921" s="8">
        <v>16.97</v>
      </c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11"/>
      <c r="AQ1921" s="8"/>
      <c r="AR1921" s="8"/>
      <c r="AS1921" s="8"/>
      <c r="AT1921" s="8">
        <v>2802.92</v>
      </c>
      <c r="AU1921" s="8"/>
      <c r="AV1921" s="8"/>
      <c r="AW1921" s="8"/>
      <c r="AX1921" s="8"/>
      <c r="AY1921" s="8"/>
      <c r="AZ1921" s="8"/>
      <c r="BA1921" s="8">
        <v>97.21</v>
      </c>
      <c r="BB1921" s="8"/>
      <c r="BC1921" s="8"/>
      <c r="BD1921" s="8"/>
      <c r="BE1921" s="8"/>
      <c r="BF1921" s="8">
        <v>296.33</v>
      </c>
      <c r="BG1921" s="8">
        <v>220.47</v>
      </c>
      <c r="BH1921" s="9">
        <f t="shared" si="261"/>
        <v>4240.99</v>
      </c>
      <c r="BI1921" s="9">
        <f t="shared" si="262"/>
        <v>11.52</v>
      </c>
      <c r="BJ1921" s="9">
        <f t="shared" si="263"/>
        <v>19.95</v>
      </c>
      <c r="BK1921" s="9">
        <f t="shared" si="264"/>
        <v>63.65</v>
      </c>
      <c r="BL1921" s="9">
        <f t="shared" si="265"/>
        <v>0</v>
      </c>
      <c r="BM1921" s="9">
        <f t="shared" si="266"/>
        <v>16.97</v>
      </c>
      <c r="BN1921" s="9">
        <f t="shared" si="267"/>
        <v>2802.92</v>
      </c>
      <c r="BO1921" s="9">
        <f t="shared" si="268"/>
        <v>97.21</v>
      </c>
      <c r="BP1921" s="9">
        <f t="shared" si="269"/>
        <v>296.33</v>
      </c>
    </row>
    <row r="1922" spans="1:68">
      <c r="A1922" s="6">
        <v>44888</v>
      </c>
      <c r="B1922" s="7">
        <v>8272</v>
      </c>
      <c r="C1922" s="8">
        <v>1221.52</v>
      </c>
      <c r="D1922" s="8">
        <v>215.53</v>
      </c>
      <c r="E1922" s="8"/>
      <c r="F1922" s="8"/>
      <c r="G1922" s="8"/>
      <c r="H1922" s="8"/>
      <c r="I1922" s="8"/>
      <c r="J1922" s="8"/>
      <c r="K1922" s="8"/>
      <c r="L1922" s="8"/>
      <c r="M1922" s="8">
        <v>3.9</v>
      </c>
      <c r="N1922" s="8"/>
      <c r="O1922" s="8"/>
      <c r="P1922" s="8"/>
      <c r="Q1922" s="11"/>
      <c r="R1922" s="11"/>
      <c r="S1922" s="8">
        <v>6.76</v>
      </c>
      <c r="T1922" s="8"/>
      <c r="U1922" s="8">
        <v>21.56</v>
      </c>
      <c r="V1922" s="8"/>
      <c r="W1922" s="8"/>
      <c r="X1922" s="8"/>
      <c r="Y1922" s="8"/>
      <c r="Z1922" s="8"/>
      <c r="AA1922" s="8"/>
      <c r="AB1922" s="8"/>
      <c r="AC1922" s="8">
        <v>5.75</v>
      </c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11"/>
      <c r="AQ1922" s="8">
        <f>1210*9.58/1000</f>
        <v>11.591799999999999</v>
      </c>
      <c r="AR1922" s="8"/>
      <c r="AS1922" s="8"/>
      <c r="AT1922" s="8">
        <v>947.28</v>
      </c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>
        <v>101.03</v>
      </c>
      <c r="BG1922" s="8">
        <v>74.8</v>
      </c>
      <c r="BH1922" s="9">
        <f t="shared" si="261"/>
        <v>1437.05</v>
      </c>
      <c r="BI1922" s="9">
        <f t="shared" si="262"/>
        <v>3.9</v>
      </c>
      <c r="BJ1922" s="9">
        <f t="shared" si="263"/>
        <v>6.76</v>
      </c>
      <c r="BK1922" s="9">
        <f t="shared" si="264"/>
        <v>21.56</v>
      </c>
      <c r="BL1922" s="9">
        <f t="shared" si="265"/>
        <v>0</v>
      </c>
      <c r="BM1922" s="9">
        <f t="shared" si="266"/>
        <v>17.341799999999999</v>
      </c>
      <c r="BN1922" s="9">
        <f t="shared" si="267"/>
        <v>947.28</v>
      </c>
      <c r="BO1922" s="9">
        <f t="shared" si="268"/>
        <v>0</v>
      </c>
      <c r="BP1922" s="9">
        <f t="shared" si="269"/>
        <v>101.03</v>
      </c>
    </row>
    <row r="1923" spans="1:68">
      <c r="A1923" s="6">
        <v>44888</v>
      </c>
      <c r="B1923" s="7">
        <v>3016</v>
      </c>
      <c r="C1923" s="8"/>
      <c r="D1923" s="8">
        <v>2351.86</v>
      </c>
      <c r="E1923" s="8"/>
      <c r="F1923" s="8"/>
      <c r="G1923" s="8"/>
      <c r="H1923" s="8"/>
      <c r="I1923" s="8">
        <v>2166.84</v>
      </c>
      <c r="J1923" s="8"/>
      <c r="K1923" s="8"/>
      <c r="L1923" s="8"/>
      <c r="M1923" s="8"/>
      <c r="N1923" s="8">
        <v>27.12</v>
      </c>
      <c r="O1923" s="8"/>
      <c r="P1923" s="8"/>
      <c r="Q1923" s="11"/>
      <c r="R1923" s="11"/>
      <c r="S1923" s="8">
        <v>3.16</v>
      </c>
      <c r="T1923" s="8"/>
      <c r="U1923" s="8"/>
      <c r="V1923" s="8"/>
      <c r="W1923" s="8">
        <v>45.22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>
        <v>18.04</v>
      </c>
      <c r="AN1923" s="8">
        <f>2022*26.57/1000</f>
        <v>53.724539999999998</v>
      </c>
      <c r="AO1923" s="8"/>
      <c r="AP1923" s="11"/>
      <c r="AQ1923" s="8"/>
      <c r="AR1923" s="8">
        <f>4321*26.57/1000</f>
        <v>114.80897</v>
      </c>
      <c r="AS1923" s="8"/>
      <c r="AT1923" s="8">
        <v>1676.93</v>
      </c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>
        <v>122.89</v>
      </c>
      <c r="BH1923" s="9">
        <f t="shared" si="261"/>
        <v>4518.7000000000007</v>
      </c>
      <c r="BI1923" s="9">
        <f t="shared" si="262"/>
        <v>27.12</v>
      </c>
      <c r="BJ1923" s="9">
        <f t="shared" si="263"/>
        <v>3.16</v>
      </c>
      <c r="BK1923" s="9">
        <f t="shared" si="264"/>
        <v>45.22</v>
      </c>
      <c r="BL1923" s="9">
        <f t="shared" si="265"/>
        <v>0</v>
      </c>
      <c r="BM1923" s="9">
        <f t="shared" si="266"/>
        <v>186.57351</v>
      </c>
      <c r="BN1923" s="9">
        <f t="shared" si="267"/>
        <v>1676.93</v>
      </c>
      <c r="BO1923" s="9">
        <f t="shared" si="268"/>
        <v>0</v>
      </c>
      <c r="BP1923" s="9">
        <f t="shared" si="269"/>
        <v>0</v>
      </c>
    </row>
    <row r="1924" spans="1:68">
      <c r="A1924" s="6">
        <v>44888</v>
      </c>
      <c r="B1924" s="7">
        <v>3200</v>
      </c>
      <c r="C1924" s="8">
        <f>1239.09+2284.7</f>
        <v>3523.79</v>
      </c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>
        <f>3.11+5.7</f>
        <v>8.81</v>
      </c>
      <c r="P1924" s="8"/>
      <c r="Q1924" s="11"/>
      <c r="R1924" s="11"/>
      <c r="S1924" s="8">
        <f>8.92+4.84</f>
        <v>13.76</v>
      </c>
      <c r="T1924" s="8"/>
      <c r="U1924" s="8">
        <f>18.61+34.27</f>
        <v>52.88</v>
      </c>
      <c r="V1924" s="8"/>
      <c r="W1924" s="8"/>
      <c r="X1924" s="8"/>
      <c r="Y1924" s="8"/>
      <c r="Z1924" s="8">
        <f>480.37+260.56</f>
        <v>740.93000000000006</v>
      </c>
      <c r="AA1924" s="8"/>
      <c r="AB1924" s="8"/>
      <c r="AC1924" s="8"/>
      <c r="AD1924" s="8"/>
      <c r="AE1924" s="8"/>
      <c r="AF1924" s="8">
        <f>62.05+114.07</f>
        <v>176.12</v>
      </c>
      <c r="AG1924" s="8"/>
      <c r="AH1924" s="8"/>
      <c r="AI1924" s="8"/>
      <c r="AJ1924" s="8"/>
      <c r="AK1924" s="8"/>
      <c r="AL1924" s="8"/>
      <c r="AM1924" s="8"/>
      <c r="AN1924" s="8"/>
      <c r="AO1924" s="8"/>
      <c r="AP1924" s="11"/>
      <c r="AQ1924" s="8">
        <f>1515*35.23/1000</f>
        <v>53.373449999999998</v>
      </c>
      <c r="AR1924" s="8"/>
      <c r="AS1924" s="8"/>
      <c r="AT1924" s="8">
        <f>1563.51+847.45</f>
        <v>2410.96</v>
      </c>
      <c r="AU1924" s="8"/>
      <c r="AV1924" s="8"/>
      <c r="AW1924" s="8">
        <f>3.55+6.67</f>
        <v>10.219999999999999</v>
      </c>
      <c r="AX1924" s="8"/>
      <c r="AY1924" s="8"/>
      <c r="AZ1924" s="8"/>
      <c r="BA1924" s="8"/>
      <c r="BB1924" s="8"/>
      <c r="BC1924" s="8"/>
      <c r="BD1924" s="8"/>
      <c r="BE1924" s="8"/>
      <c r="BF1924" s="8">
        <f>109.3+59.09</f>
        <v>168.39</v>
      </c>
      <c r="BG1924" s="8">
        <f>61.53+113.05</f>
        <v>174.57999999999998</v>
      </c>
      <c r="BH1924" s="9">
        <f t="shared" ref="BH1924:BH1987" si="270">SUM(C1924:L1924)</f>
        <v>3523.79</v>
      </c>
      <c r="BI1924" s="9">
        <f t="shared" ref="BI1924:BI1987" si="271">SUM(M1924:R1924)</f>
        <v>8.81</v>
      </c>
      <c r="BJ1924" s="9">
        <f t="shared" ref="BJ1924:BJ1987" si="272">SUM(S1924)</f>
        <v>13.76</v>
      </c>
      <c r="BK1924" s="9">
        <f t="shared" ref="BK1924:BK1987" si="273">SUM(T1924:Y1924)</f>
        <v>52.88</v>
      </c>
      <c r="BL1924" s="9">
        <f t="shared" ref="BL1924:BL1987" si="274">SUM(Z1924:AA1924)</f>
        <v>740.93000000000006</v>
      </c>
      <c r="BM1924" s="9">
        <f t="shared" ref="BM1924:BM1987" si="275">SUM(AB1924:AS1924)</f>
        <v>229.49345</v>
      </c>
      <c r="BN1924" s="9">
        <f t="shared" ref="BN1924:BN1987" si="276">SUM(AT1924:AU1924)</f>
        <v>2410.96</v>
      </c>
      <c r="BO1924" s="9">
        <f t="shared" ref="BO1924:BO1987" si="277">SUM(AV1924:BE1924)</f>
        <v>10.219999999999999</v>
      </c>
      <c r="BP1924" s="9">
        <f t="shared" ref="BP1924:BP1987" si="278">SUM(BF1924)</f>
        <v>168.39</v>
      </c>
    </row>
    <row r="1925" spans="1:68">
      <c r="A1925" s="6">
        <v>44888</v>
      </c>
      <c r="B1925" s="7">
        <v>3601</v>
      </c>
      <c r="C1925" s="8">
        <v>291.69</v>
      </c>
      <c r="D1925" s="8"/>
      <c r="E1925" s="8"/>
      <c r="F1925" s="8"/>
      <c r="G1925" s="8">
        <v>437.43</v>
      </c>
      <c r="H1925" s="8"/>
      <c r="I1925" s="8"/>
      <c r="J1925" s="8"/>
      <c r="K1925" s="8"/>
      <c r="L1925" s="8"/>
      <c r="M1925" s="8">
        <v>0.88</v>
      </c>
      <c r="N1925" s="8"/>
      <c r="O1925" s="8"/>
      <c r="P1925" s="8"/>
      <c r="Q1925" s="11"/>
      <c r="R1925" s="11"/>
      <c r="S1925" s="8">
        <v>3.5</v>
      </c>
      <c r="T1925" s="8"/>
      <c r="U1925" s="8">
        <v>4.38</v>
      </c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11"/>
      <c r="AQ1925" s="8"/>
      <c r="AR1925" s="8"/>
      <c r="AS1925" s="8"/>
      <c r="AT1925" s="8">
        <v>357.72</v>
      </c>
      <c r="AU1925" s="8"/>
      <c r="AV1925" s="8"/>
      <c r="AW1925" s="8">
        <v>22.18</v>
      </c>
      <c r="AX1925" s="8"/>
      <c r="AY1925" s="8"/>
      <c r="AZ1925" s="8"/>
      <c r="BA1925" s="8"/>
      <c r="BB1925" s="8"/>
      <c r="BC1925" s="8"/>
      <c r="BD1925" s="8"/>
      <c r="BE1925" s="8"/>
      <c r="BF1925" s="8">
        <v>41.34</v>
      </c>
      <c r="BG1925" s="8">
        <v>26.04</v>
      </c>
      <c r="BH1925" s="9">
        <f t="shared" si="270"/>
        <v>729.12</v>
      </c>
      <c r="BI1925" s="9">
        <f t="shared" si="271"/>
        <v>0.88</v>
      </c>
      <c r="BJ1925" s="9">
        <f t="shared" si="272"/>
        <v>3.5</v>
      </c>
      <c r="BK1925" s="9">
        <f t="shared" si="273"/>
        <v>4.38</v>
      </c>
      <c r="BL1925" s="9">
        <f t="shared" si="274"/>
        <v>0</v>
      </c>
      <c r="BM1925" s="9">
        <f t="shared" si="275"/>
        <v>0</v>
      </c>
      <c r="BN1925" s="9">
        <f t="shared" si="276"/>
        <v>357.72</v>
      </c>
      <c r="BO1925" s="9">
        <f t="shared" si="277"/>
        <v>22.18</v>
      </c>
      <c r="BP1925" s="9">
        <f t="shared" si="278"/>
        <v>41.34</v>
      </c>
    </row>
    <row r="1926" spans="1:68">
      <c r="A1926" s="6">
        <v>44888</v>
      </c>
      <c r="B1926" s="7">
        <v>3602</v>
      </c>
      <c r="C1926" s="8">
        <v>573.01</v>
      </c>
      <c r="D1926" s="8"/>
      <c r="E1926" s="8"/>
      <c r="F1926" s="8"/>
      <c r="G1926" s="8">
        <v>856.61</v>
      </c>
      <c r="H1926" s="8"/>
      <c r="I1926" s="8"/>
      <c r="J1926" s="8"/>
      <c r="K1926" s="8"/>
      <c r="L1926" s="8"/>
      <c r="M1926" s="8">
        <v>1.49</v>
      </c>
      <c r="N1926" s="8"/>
      <c r="O1926" s="8"/>
      <c r="P1926" s="8"/>
      <c r="Q1926" s="11"/>
      <c r="R1926" s="11"/>
      <c r="S1926" s="8">
        <v>6.87</v>
      </c>
      <c r="T1926" s="8"/>
      <c r="U1926" s="8">
        <v>11.44</v>
      </c>
      <c r="V1926" s="8">
        <f>849*16.35/1000</f>
        <v>13.881150000000002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11"/>
      <c r="AQ1926" s="8"/>
      <c r="AR1926" s="8"/>
      <c r="AS1926" s="8"/>
      <c r="AT1926" s="8">
        <v>579.20000000000005</v>
      </c>
      <c r="AU1926" s="8"/>
      <c r="AV1926" s="8"/>
      <c r="AW1926" s="8">
        <v>36.97</v>
      </c>
      <c r="AX1926" s="8"/>
      <c r="AY1926" s="8"/>
      <c r="AZ1926" s="8"/>
      <c r="BA1926" s="8"/>
      <c r="BB1926" s="8"/>
      <c r="BC1926" s="8"/>
      <c r="BD1926" s="8"/>
      <c r="BE1926" s="8"/>
      <c r="BF1926" s="8">
        <v>45.17</v>
      </c>
      <c r="BG1926" s="8">
        <v>43.29</v>
      </c>
      <c r="BH1926" s="9">
        <f t="shared" si="270"/>
        <v>1429.62</v>
      </c>
      <c r="BI1926" s="9">
        <f t="shared" si="271"/>
        <v>1.49</v>
      </c>
      <c r="BJ1926" s="9">
        <f t="shared" si="272"/>
        <v>6.87</v>
      </c>
      <c r="BK1926" s="9">
        <f t="shared" si="273"/>
        <v>25.321150000000003</v>
      </c>
      <c r="BL1926" s="9">
        <f t="shared" si="274"/>
        <v>0</v>
      </c>
      <c r="BM1926" s="9">
        <f t="shared" si="275"/>
        <v>0</v>
      </c>
      <c r="BN1926" s="9">
        <f t="shared" si="276"/>
        <v>579.20000000000005</v>
      </c>
      <c r="BO1926" s="9">
        <f t="shared" si="277"/>
        <v>36.97</v>
      </c>
      <c r="BP1926" s="9">
        <f t="shared" si="278"/>
        <v>45.17</v>
      </c>
    </row>
    <row r="1927" spans="1:68">
      <c r="A1927" s="6">
        <v>44889</v>
      </c>
      <c r="B1927" s="7">
        <v>3309</v>
      </c>
      <c r="C1927" s="8"/>
      <c r="D1927" s="8">
        <f>1317.47+217.2+129.64+68.83+89.32</f>
        <v>1822.4599999999998</v>
      </c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11">
        <f>2.64+0.43+0.26+0.14+0.18</f>
        <v>3.6500000000000004</v>
      </c>
      <c r="R1927" s="11"/>
      <c r="S1927" s="8">
        <f>11.86+0.33+0.2+0.1+0.13</f>
        <v>12.62</v>
      </c>
      <c r="T1927" s="8"/>
      <c r="U1927" s="8">
        <f>11.86+1.95+1.17+0.62+0.813</f>
        <v>16.412999999999997</v>
      </c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>
        <f>13.21+2.18+1.31+0.69+0.9</f>
        <v>18.29</v>
      </c>
      <c r="AH1927" s="8"/>
      <c r="AI1927" s="8"/>
      <c r="AJ1927" s="8"/>
      <c r="AK1927" s="8"/>
      <c r="AL1927" s="8"/>
      <c r="AM1927" s="8"/>
      <c r="AN1927" s="8"/>
      <c r="AO1927" s="8"/>
      <c r="AP1927" s="11"/>
      <c r="AQ1927" s="8"/>
      <c r="AR1927" s="8"/>
      <c r="AS1927" s="8"/>
      <c r="AT1927" s="8"/>
      <c r="AU1927" s="8">
        <f>176.46+28.85+17.32+9.19+11.96</f>
        <v>243.78</v>
      </c>
      <c r="AV1927" s="8"/>
      <c r="AW1927" s="8"/>
      <c r="AX1927" s="8"/>
      <c r="AY1927" s="8"/>
      <c r="AZ1927" s="8"/>
      <c r="BA1927" s="8"/>
      <c r="BB1927" s="8"/>
      <c r="BC1927" s="8">
        <f>1.22+0.2+0.12+0.06+0.08</f>
        <v>1.6800000000000002</v>
      </c>
      <c r="BD1927" s="8"/>
      <c r="BE1927" s="8"/>
      <c r="BF1927" s="8"/>
      <c r="BG1927" s="8">
        <f>36.33+5.97+3.58+1.9+2.5</f>
        <v>50.279999999999994</v>
      </c>
      <c r="BH1927" s="9">
        <f t="shared" si="270"/>
        <v>1822.4599999999998</v>
      </c>
      <c r="BI1927" s="9">
        <f t="shared" si="271"/>
        <v>3.6500000000000004</v>
      </c>
      <c r="BJ1927" s="9">
        <f t="shared" si="272"/>
        <v>12.62</v>
      </c>
      <c r="BK1927" s="9">
        <f t="shared" si="273"/>
        <v>16.412999999999997</v>
      </c>
      <c r="BL1927" s="9">
        <f t="shared" si="274"/>
        <v>0</v>
      </c>
      <c r="BM1927" s="9">
        <f t="shared" si="275"/>
        <v>18.29</v>
      </c>
      <c r="BN1927" s="9">
        <f t="shared" si="276"/>
        <v>243.78</v>
      </c>
      <c r="BO1927" s="9">
        <f t="shared" si="277"/>
        <v>1.6800000000000002</v>
      </c>
      <c r="BP1927" s="9">
        <f t="shared" si="278"/>
        <v>0</v>
      </c>
    </row>
    <row r="1928" spans="1:68">
      <c r="A1928" s="6">
        <v>44889</v>
      </c>
      <c r="B1928" s="7">
        <v>3005</v>
      </c>
      <c r="C1928" s="8">
        <v>429.05</v>
      </c>
      <c r="D1928" s="8">
        <v>285.38</v>
      </c>
      <c r="E1928" s="8"/>
      <c r="F1928" s="8"/>
      <c r="G1928" s="8"/>
      <c r="H1928" s="8"/>
      <c r="I1928" s="8"/>
      <c r="J1928" s="8"/>
      <c r="K1928" s="8"/>
      <c r="L1928" s="8"/>
      <c r="M1928" s="8"/>
      <c r="N1928" s="8">
        <v>0.71</v>
      </c>
      <c r="O1928" s="8"/>
      <c r="P1928" s="8"/>
      <c r="Q1928" s="11"/>
      <c r="R1928" s="11"/>
      <c r="S1928" s="8">
        <v>2.5</v>
      </c>
      <c r="T1928" s="8"/>
      <c r="U1928" s="8"/>
      <c r="V1928" s="8"/>
      <c r="W1928" s="8">
        <v>7.85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11"/>
      <c r="AQ1928" s="8"/>
      <c r="AR1928" s="8"/>
      <c r="AS1928" s="8"/>
      <c r="AT1928" s="8">
        <v>349.26</v>
      </c>
      <c r="AU1928" s="8"/>
      <c r="AV1928" s="8"/>
      <c r="AW1928" s="8">
        <v>7.92</v>
      </c>
      <c r="AX1928" s="8"/>
      <c r="AY1928" s="8"/>
      <c r="AZ1928" s="8"/>
      <c r="BA1928" s="8"/>
      <c r="BB1928" s="8"/>
      <c r="BC1928" s="8"/>
      <c r="BD1928" s="8"/>
      <c r="BE1928" s="8"/>
      <c r="BF1928" s="8"/>
      <c r="BG1928" s="8">
        <v>26.01</v>
      </c>
      <c r="BH1928" s="9">
        <f t="shared" si="270"/>
        <v>714.43000000000006</v>
      </c>
      <c r="BI1928" s="9">
        <f t="shared" si="271"/>
        <v>0.71</v>
      </c>
      <c r="BJ1928" s="9">
        <f t="shared" si="272"/>
        <v>2.5</v>
      </c>
      <c r="BK1928" s="9">
        <f t="shared" si="273"/>
        <v>7.85</v>
      </c>
      <c r="BL1928" s="9">
        <f t="shared" si="274"/>
        <v>0</v>
      </c>
      <c r="BM1928" s="9">
        <f t="shared" si="275"/>
        <v>0</v>
      </c>
      <c r="BN1928" s="9">
        <f t="shared" si="276"/>
        <v>349.26</v>
      </c>
      <c r="BO1928" s="9">
        <f t="shared" si="277"/>
        <v>7.92</v>
      </c>
      <c r="BP1928" s="9">
        <f t="shared" si="278"/>
        <v>0</v>
      </c>
    </row>
    <row r="1929" spans="1:68">
      <c r="A1929" s="6">
        <v>44889</v>
      </c>
      <c r="B1929" s="7">
        <v>3007</v>
      </c>
      <c r="C1929" s="8">
        <v>838.21</v>
      </c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>
        <v>0.84</v>
      </c>
      <c r="O1929" s="8"/>
      <c r="P1929" s="8"/>
      <c r="Q1929" s="11"/>
      <c r="R1929" s="11"/>
      <c r="S1929" s="8">
        <v>3.1</v>
      </c>
      <c r="T1929" s="8"/>
      <c r="U1929" s="8"/>
      <c r="V1929" s="8"/>
      <c r="W1929" s="8">
        <v>8.4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11"/>
      <c r="AQ1929" s="8"/>
      <c r="AR1929" s="8"/>
      <c r="AS1929" s="8"/>
      <c r="AT1929" s="8">
        <v>420.23</v>
      </c>
      <c r="AU1929" s="8"/>
      <c r="AV1929" s="8"/>
      <c r="AW1929" s="8" t="s">
        <v>77</v>
      </c>
      <c r="AX1929" s="8"/>
      <c r="AY1929" s="8"/>
      <c r="AZ1929" s="8"/>
      <c r="BA1929" s="8"/>
      <c r="BB1929" s="8"/>
      <c r="BC1929" s="8"/>
      <c r="BD1929" s="8"/>
      <c r="BE1929" s="8"/>
      <c r="BF1929" s="8"/>
      <c r="BG1929" s="8">
        <v>30.6</v>
      </c>
      <c r="BH1929" s="9">
        <f t="shared" si="270"/>
        <v>838.21</v>
      </c>
      <c r="BI1929" s="9">
        <f t="shared" si="271"/>
        <v>0.84</v>
      </c>
      <c r="BJ1929" s="9">
        <f t="shared" si="272"/>
        <v>3.1</v>
      </c>
      <c r="BK1929" s="9">
        <f t="shared" si="273"/>
        <v>8.4</v>
      </c>
      <c r="BL1929" s="9">
        <f t="shared" si="274"/>
        <v>0</v>
      </c>
      <c r="BM1929" s="9">
        <f t="shared" si="275"/>
        <v>0</v>
      </c>
      <c r="BN1929" s="9">
        <f t="shared" si="276"/>
        <v>420.23</v>
      </c>
      <c r="BO1929" s="9">
        <f t="shared" si="277"/>
        <v>0</v>
      </c>
      <c r="BP1929" s="9">
        <f t="shared" si="278"/>
        <v>0</v>
      </c>
    </row>
    <row r="1930" spans="1:68">
      <c r="A1930" s="6">
        <v>44889</v>
      </c>
      <c r="B1930" s="7">
        <v>3121</v>
      </c>
      <c r="C1930" s="8">
        <v>1642.31</v>
      </c>
      <c r="D1930" s="8"/>
      <c r="E1930" s="8"/>
      <c r="F1930" s="8"/>
      <c r="G1930" s="8"/>
      <c r="H1930" s="8"/>
      <c r="I1930" s="8"/>
      <c r="J1930" s="8"/>
      <c r="K1930" s="8"/>
      <c r="L1930" s="8"/>
      <c r="M1930" s="8">
        <v>4.1100000000000003</v>
      </c>
      <c r="N1930" s="8"/>
      <c r="O1930" s="8"/>
      <c r="P1930" s="8"/>
      <c r="Q1930" s="11"/>
      <c r="R1930" s="11"/>
      <c r="S1930" s="8">
        <v>5.26</v>
      </c>
      <c r="T1930" s="8"/>
      <c r="U1930" s="8">
        <v>16.29</v>
      </c>
      <c r="V1930" s="8"/>
      <c r="W1930" s="8"/>
      <c r="X1930" s="8"/>
      <c r="Y1930" s="8"/>
      <c r="Z1930" s="8"/>
      <c r="AA1930" s="8"/>
      <c r="AB1930" s="8"/>
      <c r="AC1930" s="8">
        <v>6.56</v>
      </c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11">
        <v>16.68</v>
      </c>
      <c r="AQ1930" s="8"/>
      <c r="AR1930" s="8"/>
      <c r="AS1930" s="8"/>
      <c r="AT1930" s="8">
        <v>868.21</v>
      </c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>
        <v>64.28</v>
      </c>
      <c r="BH1930" s="9">
        <f t="shared" si="270"/>
        <v>1642.31</v>
      </c>
      <c r="BI1930" s="9">
        <f t="shared" si="271"/>
        <v>4.1100000000000003</v>
      </c>
      <c r="BJ1930" s="9">
        <f t="shared" si="272"/>
        <v>5.26</v>
      </c>
      <c r="BK1930" s="9">
        <f t="shared" si="273"/>
        <v>16.29</v>
      </c>
      <c r="BL1930" s="9">
        <f t="shared" si="274"/>
        <v>0</v>
      </c>
      <c r="BM1930" s="9">
        <f t="shared" si="275"/>
        <v>23.24</v>
      </c>
      <c r="BN1930" s="9">
        <f t="shared" si="276"/>
        <v>868.21</v>
      </c>
      <c r="BO1930" s="9">
        <f t="shared" si="277"/>
        <v>0</v>
      </c>
      <c r="BP1930" s="9">
        <f t="shared" si="278"/>
        <v>0</v>
      </c>
    </row>
    <row r="1931" spans="1:68">
      <c r="A1931" s="6">
        <v>44889</v>
      </c>
      <c r="B1931" s="7">
        <v>3106</v>
      </c>
      <c r="C1931" s="8">
        <v>6121.77</v>
      </c>
      <c r="D1931" s="8"/>
      <c r="E1931" s="8"/>
      <c r="F1931" s="8"/>
      <c r="G1931" s="8"/>
      <c r="H1931" s="8"/>
      <c r="I1931" s="8"/>
      <c r="J1931" s="8"/>
      <c r="K1931" s="8"/>
      <c r="L1931" s="8"/>
      <c r="M1931" s="8">
        <v>15.88</v>
      </c>
      <c r="N1931" s="8"/>
      <c r="O1931" s="8"/>
      <c r="P1931" s="8"/>
      <c r="Q1931" s="11"/>
      <c r="R1931" s="11"/>
      <c r="S1931" s="8">
        <v>18.41</v>
      </c>
      <c r="T1931" s="8"/>
      <c r="U1931" s="8">
        <v>77.930000000000007</v>
      </c>
      <c r="V1931" s="8"/>
      <c r="W1931" s="8"/>
      <c r="X1931" s="8"/>
      <c r="Y1931" s="8"/>
      <c r="Z1931" s="8"/>
      <c r="AA1931" s="8"/>
      <c r="AB1931" s="8"/>
      <c r="AC1931" s="8">
        <v>15.31</v>
      </c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11"/>
      <c r="AQ1931" s="8"/>
      <c r="AR1931" s="8"/>
      <c r="AS1931" s="8"/>
      <c r="AT1931" s="8">
        <v>3492.78</v>
      </c>
      <c r="AU1931" s="8"/>
      <c r="AV1931" s="8"/>
      <c r="AW1931" s="8"/>
      <c r="AX1931" s="8">
        <v>7.66</v>
      </c>
      <c r="AY1931" s="8"/>
      <c r="AZ1931" s="8"/>
      <c r="BA1931" s="8"/>
      <c r="BB1931" s="8"/>
      <c r="BC1931" s="8"/>
      <c r="BD1931" s="8"/>
      <c r="BE1931" s="8"/>
      <c r="BF1931" s="8"/>
      <c r="BG1931" s="8">
        <v>264.04000000000002</v>
      </c>
      <c r="BH1931" s="9">
        <f t="shared" si="270"/>
        <v>6121.77</v>
      </c>
      <c r="BI1931" s="9">
        <f t="shared" si="271"/>
        <v>15.88</v>
      </c>
      <c r="BJ1931" s="9">
        <f t="shared" si="272"/>
        <v>18.41</v>
      </c>
      <c r="BK1931" s="9">
        <f t="shared" si="273"/>
        <v>77.930000000000007</v>
      </c>
      <c r="BL1931" s="9">
        <f t="shared" si="274"/>
        <v>0</v>
      </c>
      <c r="BM1931" s="9">
        <f t="shared" si="275"/>
        <v>15.31</v>
      </c>
      <c r="BN1931" s="9">
        <f t="shared" si="276"/>
        <v>3492.78</v>
      </c>
      <c r="BO1931" s="9">
        <f t="shared" si="277"/>
        <v>7.66</v>
      </c>
      <c r="BP1931" s="9">
        <f t="shared" si="278"/>
        <v>0</v>
      </c>
    </row>
    <row r="1932" spans="1:68">
      <c r="A1932" s="6">
        <v>44889</v>
      </c>
      <c r="B1932" s="7">
        <v>3134</v>
      </c>
      <c r="C1932" s="8">
        <v>1060.95</v>
      </c>
      <c r="D1932" s="8">
        <v>148.22999999999999</v>
      </c>
      <c r="E1932" s="8"/>
      <c r="F1932" s="8"/>
      <c r="G1932" s="8"/>
      <c r="H1932" s="8">
        <v>499.59</v>
      </c>
      <c r="I1932" s="8"/>
      <c r="J1932" s="8"/>
      <c r="K1932" s="8"/>
      <c r="L1932" s="8"/>
      <c r="M1932" s="8">
        <v>3.07</v>
      </c>
      <c r="N1932" s="8"/>
      <c r="O1932" s="8"/>
      <c r="P1932" s="8"/>
      <c r="Q1932" s="11"/>
      <c r="R1932" s="11"/>
      <c r="S1932" s="8">
        <v>6.84</v>
      </c>
      <c r="T1932" s="8"/>
      <c r="U1932" s="8">
        <v>19.29</v>
      </c>
      <c r="V1932" s="8"/>
      <c r="W1932" s="8"/>
      <c r="X1932" s="8"/>
      <c r="Y1932" s="8"/>
      <c r="Z1932" s="8"/>
      <c r="AA1932" s="8"/>
      <c r="AB1932" s="8"/>
      <c r="AC1932" s="8">
        <v>5.95</v>
      </c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11"/>
      <c r="AQ1932" s="8"/>
      <c r="AR1932" s="8"/>
      <c r="AS1932" s="8"/>
      <c r="AT1932" s="8">
        <v>1045.0999999999999</v>
      </c>
      <c r="AU1932" s="8"/>
      <c r="AV1932" s="8"/>
      <c r="AW1932" s="8"/>
      <c r="AX1932" s="8"/>
      <c r="AY1932" s="8">
        <v>15.29</v>
      </c>
      <c r="AZ1932" s="8"/>
      <c r="BA1932" s="8"/>
      <c r="BB1932" s="8"/>
      <c r="BC1932" s="8"/>
      <c r="BD1932" s="8"/>
      <c r="BE1932" s="8"/>
      <c r="BF1932" s="8">
        <v>67.52</v>
      </c>
      <c r="BG1932" s="8">
        <v>78.73</v>
      </c>
      <c r="BH1932" s="9">
        <f t="shared" si="270"/>
        <v>1708.77</v>
      </c>
      <c r="BI1932" s="9">
        <f t="shared" si="271"/>
        <v>3.07</v>
      </c>
      <c r="BJ1932" s="9">
        <f t="shared" si="272"/>
        <v>6.84</v>
      </c>
      <c r="BK1932" s="9">
        <f t="shared" si="273"/>
        <v>19.29</v>
      </c>
      <c r="BL1932" s="9">
        <f t="shared" si="274"/>
        <v>0</v>
      </c>
      <c r="BM1932" s="9">
        <f t="shared" si="275"/>
        <v>5.95</v>
      </c>
      <c r="BN1932" s="9">
        <f t="shared" si="276"/>
        <v>1045.0999999999999</v>
      </c>
      <c r="BO1932" s="9">
        <f t="shared" si="277"/>
        <v>15.29</v>
      </c>
      <c r="BP1932" s="9">
        <f t="shared" si="278"/>
        <v>67.52</v>
      </c>
    </row>
    <row r="1933" spans="1:68">
      <c r="A1933" s="6">
        <v>44889</v>
      </c>
      <c r="B1933" s="7">
        <v>3113</v>
      </c>
      <c r="C1933" s="8">
        <v>1586.12</v>
      </c>
      <c r="D1933" s="8"/>
      <c r="E1933" s="8"/>
      <c r="F1933" s="8"/>
      <c r="G1933" s="8"/>
      <c r="H1933" s="8"/>
      <c r="I1933" s="8"/>
      <c r="J1933" s="8"/>
      <c r="K1933" s="8"/>
      <c r="L1933" s="8"/>
      <c r="M1933" s="8">
        <v>1.6</v>
      </c>
      <c r="N1933" s="8">
        <v>1.6</v>
      </c>
      <c r="O1933" s="8"/>
      <c r="P1933" s="8"/>
      <c r="Q1933" s="11"/>
      <c r="R1933" s="11"/>
      <c r="S1933" s="8">
        <v>4.78</v>
      </c>
      <c r="T1933" s="8"/>
      <c r="U1933" s="8">
        <v>15.95</v>
      </c>
      <c r="V1933" s="8"/>
      <c r="W1933" s="8"/>
      <c r="X1933" s="8"/>
      <c r="Y1933" s="8"/>
      <c r="Z1933" s="8"/>
      <c r="AA1933" s="8"/>
      <c r="AB1933" s="8"/>
      <c r="AC1933" s="8">
        <v>6.37</v>
      </c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11"/>
      <c r="AQ1933" s="8"/>
      <c r="AR1933" s="8"/>
      <c r="AS1933" s="8"/>
      <c r="AT1933" s="8">
        <v>664.93</v>
      </c>
      <c r="AU1933" s="8"/>
      <c r="AV1933" s="8">
        <v>54.16</v>
      </c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>
        <v>47.62</v>
      </c>
      <c r="BH1933" s="9">
        <f t="shared" si="270"/>
        <v>1586.12</v>
      </c>
      <c r="BI1933" s="9">
        <f t="shared" si="271"/>
        <v>3.2</v>
      </c>
      <c r="BJ1933" s="9">
        <f t="shared" si="272"/>
        <v>4.78</v>
      </c>
      <c r="BK1933" s="9">
        <f t="shared" si="273"/>
        <v>15.95</v>
      </c>
      <c r="BL1933" s="9">
        <f t="shared" si="274"/>
        <v>0</v>
      </c>
      <c r="BM1933" s="9">
        <f t="shared" si="275"/>
        <v>6.37</v>
      </c>
      <c r="BN1933" s="9">
        <f t="shared" si="276"/>
        <v>664.93</v>
      </c>
      <c r="BO1933" s="9">
        <f t="shared" si="277"/>
        <v>54.16</v>
      </c>
      <c r="BP1933" s="9">
        <f t="shared" si="278"/>
        <v>0</v>
      </c>
    </row>
    <row r="1934" spans="1:68">
      <c r="A1934" s="6">
        <v>44889</v>
      </c>
      <c r="B1934" s="7">
        <v>3307</v>
      </c>
      <c r="C1934" s="8"/>
      <c r="D1934" s="8">
        <v>1003.69</v>
      </c>
      <c r="E1934" s="8"/>
      <c r="F1934" s="8"/>
      <c r="G1934" s="8"/>
      <c r="H1934" s="8"/>
      <c r="I1934" s="8"/>
      <c r="J1934" s="8"/>
      <c r="K1934" s="8"/>
      <c r="L1934" s="8"/>
      <c r="M1934" s="8">
        <v>1.3</v>
      </c>
      <c r="N1934" s="8"/>
      <c r="O1934" s="8"/>
      <c r="P1934" s="8"/>
      <c r="Q1934" s="11"/>
      <c r="R1934" s="11"/>
      <c r="S1934" s="8">
        <v>7.33</v>
      </c>
      <c r="T1934" s="8"/>
      <c r="U1934" s="8">
        <v>10.039999999999999</v>
      </c>
      <c r="V1934" s="8"/>
      <c r="W1934" s="8"/>
      <c r="X1934" s="8"/>
      <c r="Y1934" s="8"/>
      <c r="Z1934" s="8"/>
      <c r="AA1934" s="8"/>
      <c r="AB1934" s="8"/>
      <c r="AC1934" s="8">
        <v>6.02</v>
      </c>
      <c r="AD1934" s="8"/>
      <c r="AE1934" s="8"/>
      <c r="AF1934" s="8"/>
      <c r="AG1934" s="8">
        <v>10.050000000000001</v>
      </c>
      <c r="AH1934" s="8"/>
      <c r="AI1934" s="8"/>
      <c r="AJ1934" s="8"/>
      <c r="AK1934" s="8"/>
      <c r="AL1934" s="8"/>
      <c r="AM1934" s="8"/>
      <c r="AN1934" s="8"/>
      <c r="AO1934" s="8"/>
      <c r="AP1934" s="11"/>
      <c r="AQ1934" s="8"/>
      <c r="AR1934" s="8"/>
      <c r="AS1934" s="8"/>
      <c r="AT1934" s="8"/>
      <c r="AU1934" s="8">
        <v>501.42</v>
      </c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>
        <v>36.07</v>
      </c>
      <c r="BH1934" s="9">
        <f t="shared" si="270"/>
        <v>1003.69</v>
      </c>
      <c r="BI1934" s="9">
        <f t="shared" si="271"/>
        <v>1.3</v>
      </c>
      <c r="BJ1934" s="9">
        <f t="shared" si="272"/>
        <v>7.33</v>
      </c>
      <c r="BK1934" s="9">
        <f t="shared" si="273"/>
        <v>10.039999999999999</v>
      </c>
      <c r="BL1934" s="9">
        <f t="shared" si="274"/>
        <v>0</v>
      </c>
      <c r="BM1934" s="9">
        <f t="shared" si="275"/>
        <v>16.07</v>
      </c>
      <c r="BN1934" s="9">
        <f t="shared" si="276"/>
        <v>501.42</v>
      </c>
      <c r="BO1934" s="9">
        <f t="shared" si="277"/>
        <v>0</v>
      </c>
      <c r="BP1934" s="9">
        <f t="shared" si="278"/>
        <v>0</v>
      </c>
    </row>
    <row r="1935" spans="1:68">
      <c r="A1935" s="6">
        <v>44890</v>
      </c>
      <c r="B1935" s="7">
        <v>3203</v>
      </c>
      <c r="C1935" s="8">
        <v>1710.06</v>
      </c>
      <c r="D1935" s="8"/>
      <c r="E1935" s="8">
        <v>733.34</v>
      </c>
      <c r="F1935" s="8"/>
      <c r="G1935" s="8"/>
      <c r="H1935" s="8"/>
      <c r="I1935" s="8"/>
      <c r="J1935" s="8"/>
      <c r="K1935" s="8"/>
      <c r="L1935" s="8"/>
      <c r="M1935" s="8"/>
      <c r="N1935" s="8"/>
      <c r="O1935" s="8">
        <v>7.32</v>
      </c>
      <c r="P1935" s="8"/>
      <c r="Q1935" s="11"/>
      <c r="R1935" s="11"/>
      <c r="S1935" s="8">
        <v>9.5399999999999991</v>
      </c>
      <c r="T1935" s="8"/>
      <c r="U1935" s="8">
        <v>30.33</v>
      </c>
      <c r="V1935" s="8"/>
      <c r="W1935" s="8"/>
      <c r="X1935" s="8"/>
      <c r="Y1935" s="8"/>
      <c r="Z1935" s="8">
        <v>384.96</v>
      </c>
      <c r="AA1935" s="8">
        <f>10504*28.77/1000</f>
        <v>302.20008000000001</v>
      </c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11"/>
      <c r="AQ1935" s="8"/>
      <c r="AR1935" s="8"/>
      <c r="AS1935" s="8"/>
      <c r="AT1935" s="8">
        <v>911.48</v>
      </c>
      <c r="AU1935" s="8">
        <v>456.54</v>
      </c>
      <c r="AV1935" s="8"/>
      <c r="AW1935" s="8"/>
      <c r="AX1935" s="8"/>
      <c r="AY1935" s="8"/>
      <c r="AZ1935" s="8"/>
      <c r="BA1935" s="8"/>
      <c r="BB1935" s="8"/>
      <c r="BC1935" s="8">
        <v>6.36</v>
      </c>
      <c r="BD1935" s="8"/>
      <c r="BE1935" s="8"/>
      <c r="BF1935" s="8"/>
      <c r="BG1935" s="8">
        <v>89.45</v>
      </c>
      <c r="BH1935" s="9">
        <f t="shared" si="270"/>
        <v>2443.4</v>
      </c>
      <c r="BI1935" s="9">
        <f t="shared" si="271"/>
        <v>7.32</v>
      </c>
      <c r="BJ1935" s="9">
        <f t="shared" si="272"/>
        <v>9.5399999999999991</v>
      </c>
      <c r="BK1935" s="9">
        <f t="shared" si="273"/>
        <v>30.33</v>
      </c>
      <c r="BL1935" s="9">
        <f t="shared" si="274"/>
        <v>687.16007999999999</v>
      </c>
      <c r="BM1935" s="9">
        <f t="shared" si="275"/>
        <v>0</v>
      </c>
      <c r="BN1935" s="9">
        <f t="shared" si="276"/>
        <v>1368.02</v>
      </c>
      <c r="BO1935" s="9">
        <f t="shared" si="277"/>
        <v>6.36</v>
      </c>
      <c r="BP1935" s="9">
        <f t="shared" si="278"/>
        <v>0</v>
      </c>
    </row>
    <row r="1936" spans="1:68">
      <c r="A1936" s="6">
        <v>44890</v>
      </c>
      <c r="B1936" s="7">
        <v>3022</v>
      </c>
      <c r="C1936" s="8"/>
      <c r="D1936" s="8">
        <v>576.54999999999995</v>
      </c>
      <c r="E1936" s="8"/>
      <c r="F1936" s="8"/>
      <c r="G1936" s="8"/>
      <c r="H1936" s="8"/>
      <c r="I1936" s="8">
        <v>471.32</v>
      </c>
      <c r="J1936" s="8"/>
      <c r="K1936" s="8"/>
      <c r="L1936" s="8"/>
      <c r="M1936" s="8"/>
      <c r="N1936" s="8">
        <v>5.25</v>
      </c>
      <c r="O1936" s="8"/>
      <c r="P1936" s="8"/>
      <c r="Q1936" s="11"/>
      <c r="R1936" s="11"/>
      <c r="S1936" s="8">
        <v>1.89</v>
      </c>
      <c r="T1936" s="8"/>
      <c r="U1936" s="8"/>
      <c r="V1936" s="8"/>
      <c r="W1936" s="8">
        <v>10.5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>
        <v>13.63</v>
      </c>
      <c r="AN1936" s="8"/>
      <c r="AO1936" s="8"/>
      <c r="AP1936" s="11"/>
      <c r="AQ1936" s="8"/>
      <c r="AR1936" s="8"/>
      <c r="AS1936" s="8">
        <f>3913*9.53/1000</f>
        <v>37.290889999999997</v>
      </c>
      <c r="AT1936" s="8">
        <v>489.79</v>
      </c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>
        <v>37.729999999999997</v>
      </c>
      <c r="BH1936" s="9">
        <f t="shared" si="270"/>
        <v>1047.8699999999999</v>
      </c>
      <c r="BI1936" s="9">
        <f t="shared" si="271"/>
        <v>5.25</v>
      </c>
      <c r="BJ1936" s="9">
        <f t="shared" si="272"/>
        <v>1.89</v>
      </c>
      <c r="BK1936" s="9">
        <f t="shared" si="273"/>
        <v>10.5</v>
      </c>
      <c r="BL1936" s="9">
        <f t="shared" si="274"/>
        <v>0</v>
      </c>
      <c r="BM1936" s="9">
        <f t="shared" si="275"/>
        <v>50.92089</v>
      </c>
      <c r="BN1936" s="9">
        <f t="shared" si="276"/>
        <v>489.79</v>
      </c>
      <c r="BO1936" s="9">
        <f t="shared" si="277"/>
        <v>0</v>
      </c>
      <c r="BP1936" s="9">
        <f t="shared" si="278"/>
        <v>0</v>
      </c>
    </row>
    <row r="1937" spans="1:68">
      <c r="A1937" s="6">
        <v>44890</v>
      </c>
      <c r="B1937" s="7">
        <v>3023</v>
      </c>
      <c r="C1937" s="8"/>
      <c r="D1937" s="8">
        <v>1629.02</v>
      </c>
      <c r="E1937" s="8"/>
      <c r="F1937" s="8"/>
      <c r="G1937" s="8"/>
      <c r="H1937" s="8"/>
      <c r="I1937" s="8">
        <v>879.99</v>
      </c>
      <c r="J1937" s="8"/>
      <c r="K1937" s="8"/>
      <c r="L1937" s="8"/>
      <c r="M1937" s="8"/>
      <c r="N1937" s="8">
        <v>14.06</v>
      </c>
      <c r="O1937" s="8"/>
      <c r="P1937" s="8"/>
      <c r="Q1937" s="11"/>
      <c r="R1937" s="11"/>
      <c r="S1937" s="8">
        <v>4.01</v>
      </c>
      <c r="T1937" s="8"/>
      <c r="U1937" s="8"/>
      <c r="V1937" s="8"/>
      <c r="W1937" s="8">
        <v>22.61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>
        <v>25.05</v>
      </c>
      <c r="AN1937" s="8">
        <f>1017*17.32/1000</f>
        <v>17.614439999999998</v>
      </c>
      <c r="AO1937" s="8"/>
      <c r="AP1937" s="11"/>
      <c r="AQ1937" s="8"/>
      <c r="AR1937" s="8"/>
      <c r="AS1937" s="8">
        <f>4788*17.32/1000</f>
        <v>82.928160000000005</v>
      </c>
      <c r="AT1937" s="8">
        <v>1028.8</v>
      </c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>
        <v>77.790000000000006</v>
      </c>
      <c r="BH1937" s="9">
        <f t="shared" si="270"/>
        <v>2509.0100000000002</v>
      </c>
      <c r="BI1937" s="9">
        <f t="shared" si="271"/>
        <v>14.06</v>
      </c>
      <c r="BJ1937" s="9">
        <f t="shared" si="272"/>
        <v>4.01</v>
      </c>
      <c r="BK1937" s="9">
        <f t="shared" si="273"/>
        <v>22.61</v>
      </c>
      <c r="BL1937" s="9">
        <f t="shared" si="274"/>
        <v>0</v>
      </c>
      <c r="BM1937" s="9">
        <f t="shared" si="275"/>
        <v>125.5926</v>
      </c>
      <c r="BN1937" s="9">
        <f t="shared" si="276"/>
        <v>1028.8</v>
      </c>
      <c r="BO1937" s="9">
        <f t="shared" si="277"/>
        <v>0</v>
      </c>
      <c r="BP1937" s="9">
        <f t="shared" si="278"/>
        <v>0</v>
      </c>
    </row>
    <row r="1938" spans="1:68">
      <c r="A1938" s="6">
        <v>44890</v>
      </c>
      <c r="B1938" s="7">
        <v>3081</v>
      </c>
      <c r="C1938" s="8"/>
      <c r="D1938" s="8">
        <v>290.25</v>
      </c>
      <c r="E1938" s="8"/>
      <c r="F1938" s="8">
        <v>326.25</v>
      </c>
      <c r="G1938" s="8"/>
      <c r="H1938" s="8"/>
      <c r="I1938" s="8">
        <v>1192.93</v>
      </c>
      <c r="J1938" s="8"/>
      <c r="K1938" s="8"/>
      <c r="L1938" s="8"/>
      <c r="M1938" s="8"/>
      <c r="N1938" s="8">
        <v>13.28</v>
      </c>
      <c r="O1938" s="8"/>
      <c r="P1938" s="8"/>
      <c r="Q1938" s="11"/>
      <c r="R1938" s="11"/>
      <c r="S1938" s="8">
        <v>1.27</v>
      </c>
      <c r="T1938" s="8"/>
      <c r="U1938" s="8"/>
      <c r="V1938" s="8"/>
      <c r="W1938" s="8">
        <v>18.190000000000001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11"/>
      <c r="AQ1938" s="8">
        <f>1562*66.9/1000</f>
        <v>104.4978</v>
      </c>
      <c r="AR1938" s="8">
        <f>5433*11.72/1000</f>
        <v>63.674759999999999</v>
      </c>
      <c r="AS1938" s="8">
        <f>622*11.72/1000</f>
        <v>7.2898399999999999</v>
      </c>
      <c r="AT1938" s="8">
        <v>569.07000000000005</v>
      </c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>
        <v>37.47</v>
      </c>
      <c r="BH1938" s="9">
        <f t="shared" si="270"/>
        <v>1809.43</v>
      </c>
      <c r="BI1938" s="9">
        <f t="shared" si="271"/>
        <v>13.28</v>
      </c>
      <c r="BJ1938" s="9">
        <f t="shared" si="272"/>
        <v>1.27</v>
      </c>
      <c r="BK1938" s="9">
        <f t="shared" si="273"/>
        <v>18.190000000000001</v>
      </c>
      <c r="BL1938" s="9">
        <f t="shared" si="274"/>
        <v>0</v>
      </c>
      <c r="BM1938" s="9">
        <f t="shared" si="275"/>
        <v>175.4624</v>
      </c>
      <c r="BN1938" s="9">
        <f t="shared" si="276"/>
        <v>569.07000000000005</v>
      </c>
      <c r="BO1938" s="9">
        <f t="shared" si="277"/>
        <v>0</v>
      </c>
      <c r="BP1938" s="9">
        <f t="shared" si="278"/>
        <v>0</v>
      </c>
    </row>
    <row r="1939" spans="1:68">
      <c r="A1939" s="6">
        <v>44890</v>
      </c>
      <c r="B1939" s="7">
        <v>3079</v>
      </c>
      <c r="C1939" s="8"/>
      <c r="D1939" s="8"/>
      <c r="E1939" s="8"/>
      <c r="F1939" s="8">
        <v>343.15</v>
      </c>
      <c r="G1939" s="8"/>
      <c r="H1939" s="8"/>
      <c r="I1939" s="8">
        <v>2783.87</v>
      </c>
      <c r="J1939" s="8"/>
      <c r="K1939" s="8"/>
      <c r="L1939" s="8"/>
      <c r="M1939" s="8"/>
      <c r="N1939" s="8">
        <v>22.19</v>
      </c>
      <c r="O1939" s="8"/>
      <c r="P1939" s="8"/>
      <c r="Q1939" s="11"/>
      <c r="R1939" s="11"/>
      <c r="S1939" s="8">
        <v>1.25</v>
      </c>
      <c r="T1939" s="8"/>
      <c r="U1939" s="8"/>
      <c r="V1939" s="8"/>
      <c r="W1939" s="8">
        <v>31.31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>
        <v>12.47</v>
      </c>
      <c r="AN1939" s="8">
        <f>1724*18.38/1000</f>
        <v>31.68712</v>
      </c>
      <c r="AO1939" s="8"/>
      <c r="AP1939" s="11"/>
      <c r="AQ1939" s="8"/>
      <c r="AR1939" s="8">
        <f>4244*18.38/1000</f>
        <v>78.004720000000006</v>
      </c>
      <c r="AS1939" s="8"/>
      <c r="AT1939" s="8">
        <v>1203.5899999999999</v>
      </c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>
        <v>87.22</v>
      </c>
      <c r="BH1939" s="9">
        <f t="shared" si="270"/>
        <v>3127.02</v>
      </c>
      <c r="BI1939" s="9">
        <f t="shared" si="271"/>
        <v>22.19</v>
      </c>
      <c r="BJ1939" s="9">
        <f t="shared" si="272"/>
        <v>1.25</v>
      </c>
      <c r="BK1939" s="9">
        <f t="shared" si="273"/>
        <v>31.31</v>
      </c>
      <c r="BL1939" s="9">
        <f t="shared" si="274"/>
        <v>0</v>
      </c>
      <c r="BM1939" s="9">
        <f t="shared" si="275"/>
        <v>122.16184000000001</v>
      </c>
      <c r="BN1939" s="9">
        <f t="shared" si="276"/>
        <v>1203.5899999999999</v>
      </c>
      <c r="BO1939" s="9">
        <f t="shared" si="277"/>
        <v>0</v>
      </c>
      <c r="BP1939" s="9">
        <f t="shared" si="278"/>
        <v>0</v>
      </c>
    </row>
    <row r="1940" spans="1:68">
      <c r="A1940" s="6">
        <v>44893</v>
      </c>
      <c r="B1940" s="7">
        <v>3141</v>
      </c>
      <c r="C1940" s="8">
        <v>2436.33</v>
      </c>
      <c r="D1940" s="8">
        <v>429.95</v>
      </c>
      <c r="E1940" s="8"/>
      <c r="F1940" s="8"/>
      <c r="G1940" s="8"/>
      <c r="H1940" s="8"/>
      <c r="I1940" s="8"/>
      <c r="J1940" s="8"/>
      <c r="K1940" s="8"/>
      <c r="L1940" s="8"/>
      <c r="M1940" s="8">
        <v>8.33</v>
      </c>
      <c r="N1940" s="8"/>
      <c r="O1940" s="8"/>
      <c r="P1940" s="8"/>
      <c r="Q1940" s="11"/>
      <c r="R1940" s="11"/>
      <c r="S1940" s="8">
        <v>13.48</v>
      </c>
      <c r="T1940" s="8"/>
      <c r="U1940" s="8">
        <v>43.02</v>
      </c>
      <c r="V1940" s="8"/>
      <c r="W1940" s="8"/>
      <c r="X1940" s="8"/>
      <c r="Y1940" s="8"/>
      <c r="Z1940" s="8"/>
      <c r="AA1940" s="8"/>
      <c r="AB1940" s="8"/>
      <c r="AC1940" s="8">
        <v>11.47</v>
      </c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11"/>
      <c r="AQ1940" s="8"/>
      <c r="AR1940" s="8"/>
      <c r="AS1940" s="8"/>
      <c r="AT1940" s="8">
        <v>1892.52</v>
      </c>
      <c r="AU1940" s="8"/>
      <c r="AV1940" s="8"/>
      <c r="AW1940" s="8"/>
      <c r="AX1940" s="8"/>
      <c r="AY1940" s="8"/>
      <c r="AZ1940" s="8"/>
      <c r="BA1940" s="8">
        <v>65.709999999999994</v>
      </c>
      <c r="BB1940" s="8"/>
      <c r="BC1940" s="8"/>
      <c r="BD1940" s="8"/>
      <c r="BE1940" s="8"/>
      <c r="BF1940" s="8">
        <v>199.93</v>
      </c>
      <c r="BG1940" s="8">
        <v>149.01</v>
      </c>
      <c r="BH1940" s="9">
        <f t="shared" si="270"/>
        <v>2866.2799999999997</v>
      </c>
      <c r="BI1940" s="9">
        <f t="shared" si="271"/>
        <v>8.33</v>
      </c>
      <c r="BJ1940" s="9">
        <f t="shared" si="272"/>
        <v>13.48</v>
      </c>
      <c r="BK1940" s="9">
        <f t="shared" si="273"/>
        <v>43.02</v>
      </c>
      <c r="BL1940" s="9">
        <f t="shared" si="274"/>
        <v>0</v>
      </c>
      <c r="BM1940" s="9">
        <f t="shared" si="275"/>
        <v>11.47</v>
      </c>
      <c r="BN1940" s="9">
        <f t="shared" si="276"/>
        <v>1892.52</v>
      </c>
      <c r="BO1940" s="9">
        <f t="shared" si="277"/>
        <v>65.709999999999994</v>
      </c>
      <c r="BP1940" s="9">
        <f t="shared" si="278"/>
        <v>199.93</v>
      </c>
    </row>
    <row r="1941" spans="1:68">
      <c r="A1941" s="6">
        <v>44893</v>
      </c>
      <c r="B1941" s="7">
        <v>3134</v>
      </c>
      <c r="C1941" s="8">
        <v>1050.1300000000001</v>
      </c>
      <c r="D1941" s="8">
        <v>146.66999999999999</v>
      </c>
      <c r="E1941" s="8"/>
      <c r="F1941" s="8"/>
      <c r="G1941" s="8"/>
      <c r="H1941" s="8">
        <v>496.71</v>
      </c>
      <c r="I1941" s="8"/>
      <c r="J1941" s="8"/>
      <c r="K1941" s="8"/>
      <c r="L1941" s="8"/>
      <c r="M1941" s="8">
        <v>3.24</v>
      </c>
      <c r="N1941" s="8"/>
      <c r="O1941" s="8"/>
      <c r="P1941" s="8"/>
      <c r="Q1941" s="11"/>
      <c r="R1941" s="11"/>
      <c r="S1941" s="8">
        <v>6.77</v>
      </c>
      <c r="T1941" s="8"/>
      <c r="U1941" s="8">
        <v>19.149999999999999</v>
      </c>
      <c r="V1941" s="8"/>
      <c r="W1941" s="8"/>
      <c r="X1941" s="8"/>
      <c r="Y1941" s="8"/>
      <c r="Z1941" s="8"/>
      <c r="AA1941" s="8"/>
      <c r="AB1941" s="8"/>
      <c r="AC1941" s="8">
        <v>5.89</v>
      </c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11"/>
      <c r="AQ1941" s="8"/>
      <c r="AR1941" s="8"/>
      <c r="AS1941" s="8"/>
      <c r="AT1941" s="8">
        <v>1036.79</v>
      </c>
      <c r="AU1941" s="8"/>
      <c r="AV1941" s="8"/>
      <c r="AW1941" s="8"/>
      <c r="AX1941" s="8"/>
      <c r="AY1941" s="8">
        <f>1411*10.52/1000</f>
        <v>14.843719999999999</v>
      </c>
      <c r="AZ1941" s="8"/>
      <c r="BA1941" s="8"/>
      <c r="BB1941" s="8"/>
      <c r="BC1941" s="8"/>
      <c r="BD1941" s="8"/>
      <c r="BE1941" s="8"/>
      <c r="BF1941" s="8">
        <v>65.66</v>
      </c>
      <c r="BG1941" s="8">
        <v>78.08</v>
      </c>
      <c r="BH1941" s="9">
        <f t="shared" si="270"/>
        <v>1693.5100000000002</v>
      </c>
      <c r="BI1941" s="9">
        <f t="shared" si="271"/>
        <v>3.24</v>
      </c>
      <c r="BJ1941" s="9">
        <f t="shared" si="272"/>
        <v>6.77</v>
      </c>
      <c r="BK1941" s="9">
        <f t="shared" si="273"/>
        <v>19.149999999999999</v>
      </c>
      <c r="BL1941" s="9">
        <f t="shared" si="274"/>
        <v>0</v>
      </c>
      <c r="BM1941" s="9">
        <f t="shared" si="275"/>
        <v>5.89</v>
      </c>
      <c r="BN1941" s="9">
        <f t="shared" si="276"/>
        <v>1036.79</v>
      </c>
      <c r="BO1941" s="9">
        <f t="shared" si="277"/>
        <v>14.843719999999999</v>
      </c>
      <c r="BP1941" s="9">
        <f t="shared" si="278"/>
        <v>65.66</v>
      </c>
    </row>
    <row r="1942" spans="1:68">
      <c r="A1942" s="6">
        <v>44893</v>
      </c>
      <c r="B1942" s="7">
        <v>3106</v>
      </c>
      <c r="C1942" s="8">
        <v>4126.8</v>
      </c>
      <c r="D1942" s="8"/>
      <c r="E1942" s="8"/>
      <c r="F1942" s="8"/>
      <c r="G1942" s="8"/>
      <c r="H1942" s="8"/>
      <c r="I1942" s="8"/>
      <c r="J1942" s="8"/>
      <c r="K1942" s="8"/>
      <c r="L1942" s="8"/>
      <c r="M1942" s="8">
        <v>11.16</v>
      </c>
      <c r="N1942" s="8"/>
      <c r="O1942" s="8"/>
      <c r="P1942" s="8"/>
      <c r="Q1942" s="11"/>
      <c r="R1942" s="11"/>
      <c r="S1942" s="8">
        <v>12.43</v>
      </c>
      <c r="T1942" s="8"/>
      <c r="U1942" s="8">
        <v>52.55</v>
      </c>
      <c r="V1942" s="8"/>
      <c r="W1942" s="8"/>
      <c r="X1942" s="8"/>
      <c r="Y1942" s="8"/>
      <c r="Z1942" s="8"/>
      <c r="AA1942" s="8"/>
      <c r="AB1942" s="8"/>
      <c r="AC1942" s="8">
        <v>10.33</v>
      </c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11"/>
      <c r="AQ1942" s="8"/>
      <c r="AR1942" s="8"/>
      <c r="AS1942" s="8"/>
      <c r="AT1942" s="8">
        <v>2355.94</v>
      </c>
      <c r="AU1942" s="8"/>
      <c r="AV1942" s="8"/>
      <c r="AW1942" s="8"/>
      <c r="AX1942" s="8">
        <v>5.17</v>
      </c>
      <c r="AY1942" s="8"/>
      <c r="AZ1942" s="8"/>
      <c r="BA1942" s="8"/>
      <c r="BB1942" s="8"/>
      <c r="BC1942" s="8"/>
      <c r="BD1942" s="8"/>
      <c r="BE1942" s="8"/>
      <c r="BF1942" s="8"/>
      <c r="BG1942" s="8">
        <v>177.81</v>
      </c>
      <c r="BH1942" s="9">
        <f t="shared" si="270"/>
        <v>4126.8</v>
      </c>
      <c r="BI1942" s="9">
        <f t="shared" si="271"/>
        <v>11.16</v>
      </c>
      <c r="BJ1942" s="9">
        <f t="shared" si="272"/>
        <v>12.43</v>
      </c>
      <c r="BK1942" s="9">
        <f t="shared" si="273"/>
        <v>52.55</v>
      </c>
      <c r="BL1942" s="9">
        <f t="shared" si="274"/>
        <v>0</v>
      </c>
      <c r="BM1942" s="9">
        <f t="shared" si="275"/>
        <v>10.33</v>
      </c>
      <c r="BN1942" s="9">
        <f t="shared" si="276"/>
        <v>2355.94</v>
      </c>
      <c r="BO1942" s="9">
        <f t="shared" si="277"/>
        <v>5.17</v>
      </c>
      <c r="BP1942" s="9">
        <f t="shared" si="278"/>
        <v>0</v>
      </c>
    </row>
    <row r="1943" spans="1:68">
      <c r="A1943" s="6">
        <v>44893</v>
      </c>
      <c r="B1943" s="7">
        <v>3016</v>
      </c>
      <c r="C1943" s="8"/>
      <c r="D1943" s="8">
        <v>1593.27</v>
      </c>
      <c r="E1943" s="8"/>
      <c r="F1943" s="8"/>
      <c r="G1943" s="8"/>
      <c r="H1943" s="8"/>
      <c r="I1943" s="8">
        <v>1468.79</v>
      </c>
      <c r="J1943" s="8"/>
      <c r="K1943" s="8"/>
      <c r="L1943" s="8"/>
      <c r="M1943" s="8"/>
      <c r="N1943" s="8">
        <v>18.38</v>
      </c>
      <c r="O1943" s="8"/>
      <c r="P1943" s="8"/>
      <c r="Q1943" s="11"/>
      <c r="R1943" s="11"/>
      <c r="S1943" s="8">
        <v>2.15</v>
      </c>
      <c r="T1943" s="8"/>
      <c r="U1943" s="8"/>
      <c r="V1943" s="8"/>
      <c r="W1943" s="8">
        <v>30.65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>
        <v>12.23</v>
      </c>
      <c r="AN1943" s="8">
        <f>2081*18.02/1000</f>
        <v>37.49962</v>
      </c>
      <c r="AO1943" s="8"/>
      <c r="AP1943" s="11"/>
      <c r="AQ1943" s="8"/>
      <c r="AR1943" s="8">
        <f>4226*18.02/1000</f>
        <v>76.15252000000001</v>
      </c>
      <c r="AS1943" s="8"/>
      <c r="AT1943" s="8">
        <v>1137.6199999999999</v>
      </c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>
        <v>83.23</v>
      </c>
      <c r="BH1943" s="9">
        <f t="shared" si="270"/>
        <v>3062.06</v>
      </c>
      <c r="BI1943" s="9">
        <f t="shared" si="271"/>
        <v>18.38</v>
      </c>
      <c r="BJ1943" s="9">
        <f t="shared" si="272"/>
        <v>2.15</v>
      </c>
      <c r="BK1943" s="9">
        <f t="shared" si="273"/>
        <v>30.65</v>
      </c>
      <c r="BL1943" s="9">
        <f t="shared" si="274"/>
        <v>0</v>
      </c>
      <c r="BM1943" s="9">
        <f t="shared" si="275"/>
        <v>125.88214000000001</v>
      </c>
      <c r="BN1943" s="9">
        <f t="shared" si="276"/>
        <v>1137.6199999999999</v>
      </c>
      <c r="BO1943" s="9">
        <f t="shared" si="277"/>
        <v>0</v>
      </c>
      <c r="BP1943" s="9">
        <f t="shared" si="278"/>
        <v>0</v>
      </c>
    </row>
    <row r="1944" spans="1:68">
      <c r="A1944" s="6">
        <v>44893</v>
      </c>
      <c r="B1944" s="7">
        <v>3029</v>
      </c>
      <c r="C1944" s="8"/>
      <c r="D1944" s="8">
        <v>473.49</v>
      </c>
      <c r="E1944" s="8"/>
      <c r="F1944" s="8">
        <v>334.52</v>
      </c>
      <c r="G1944" s="8"/>
      <c r="H1944" s="8"/>
      <c r="I1944" s="8">
        <v>1977.28</v>
      </c>
      <c r="J1944" s="8"/>
      <c r="K1944" s="8"/>
      <c r="L1944" s="8"/>
      <c r="M1944" s="8"/>
      <c r="N1944" s="8">
        <v>21.46</v>
      </c>
      <c r="O1944" s="8"/>
      <c r="P1944" s="8"/>
      <c r="Q1944" s="11"/>
      <c r="R1944" s="11"/>
      <c r="S1944" s="8">
        <v>1.67</v>
      </c>
      <c r="T1944" s="8"/>
      <c r="U1944" s="8"/>
      <c r="V1944" s="8"/>
      <c r="W1944" s="8">
        <v>27.9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>
        <v>9.7100000000000009</v>
      </c>
      <c r="AN1944" s="8">
        <f>768*18.57/1000</f>
        <v>14.261760000000001</v>
      </c>
      <c r="AO1944" s="8"/>
      <c r="AP1944" s="11"/>
      <c r="AQ1944" s="8"/>
      <c r="AR1944" s="8">
        <f>4513*18.57/1000</f>
        <v>83.80641</v>
      </c>
      <c r="AS1944" s="8"/>
      <c r="AT1944" s="8">
        <v>1058.03</v>
      </c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>
        <v>74.11</v>
      </c>
      <c r="BH1944" s="9">
        <f t="shared" si="270"/>
        <v>2785.29</v>
      </c>
      <c r="BI1944" s="9">
        <f t="shared" si="271"/>
        <v>21.46</v>
      </c>
      <c r="BJ1944" s="9">
        <f t="shared" si="272"/>
        <v>1.67</v>
      </c>
      <c r="BK1944" s="9">
        <f t="shared" si="273"/>
        <v>27.9</v>
      </c>
      <c r="BL1944" s="9">
        <f t="shared" si="274"/>
        <v>0</v>
      </c>
      <c r="BM1944" s="9">
        <f t="shared" si="275"/>
        <v>107.77817</v>
      </c>
      <c r="BN1944" s="9">
        <f t="shared" si="276"/>
        <v>1058.03</v>
      </c>
      <c r="BO1944" s="9">
        <f t="shared" si="277"/>
        <v>0</v>
      </c>
      <c r="BP1944" s="9">
        <f t="shared" si="278"/>
        <v>0</v>
      </c>
    </row>
    <row r="1945" spans="1:68">
      <c r="A1945" s="6">
        <v>44893</v>
      </c>
      <c r="B1945" s="7">
        <v>3201</v>
      </c>
      <c r="C1945" s="8">
        <v>1170.54</v>
      </c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>
        <v>2.92</v>
      </c>
      <c r="P1945" s="8"/>
      <c r="Q1945" s="11"/>
      <c r="R1945" s="11"/>
      <c r="S1945" s="8">
        <v>4.45</v>
      </c>
      <c r="T1945" s="8"/>
      <c r="U1945" s="8">
        <v>17.559999999999999</v>
      </c>
      <c r="V1945" s="8"/>
      <c r="W1945" s="8"/>
      <c r="X1945" s="8"/>
      <c r="Y1945" s="8"/>
      <c r="Z1945" s="8">
        <v>246.08</v>
      </c>
      <c r="AA1945" s="8"/>
      <c r="AB1945" s="8"/>
      <c r="AC1945" s="8"/>
      <c r="AD1945" s="8"/>
      <c r="AE1945" s="8"/>
      <c r="AF1945" s="8">
        <v>58.31</v>
      </c>
      <c r="AG1945" s="8"/>
      <c r="AH1945" s="8"/>
      <c r="AI1945" s="8"/>
      <c r="AJ1945" s="8"/>
      <c r="AK1945" s="8"/>
      <c r="AL1945" s="8"/>
      <c r="AM1945" s="8"/>
      <c r="AN1945" s="8"/>
      <c r="AO1945" s="8"/>
      <c r="AP1945" s="11"/>
      <c r="AQ1945" s="8">
        <f>1506*11.7/1000</f>
        <v>17.620200000000001</v>
      </c>
      <c r="AR1945" s="8"/>
      <c r="AS1945" s="8"/>
      <c r="AT1945" s="8">
        <v>803.17</v>
      </c>
      <c r="AU1945" s="8"/>
      <c r="AV1945" s="8"/>
      <c r="AW1945" s="8"/>
      <c r="AX1945" s="8"/>
      <c r="AY1945" s="8"/>
      <c r="AZ1945" s="8"/>
      <c r="BA1945" s="8"/>
      <c r="BB1945" s="8"/>
      <c r="BC1945" s="8">
        <v>3.04</v>
      </c>
      <c r="BD1945" s="8"/>
      <c r="BE1945" s="8"/>
      <c r="BF1945" s="8">
        <v>56.14</v>
      </c>
      <c r="BG1945" s="8">
        <v>57.73</v>
      </c>
      <c r="BH1945" s="9">
        <f t="shared" si="270"/>
        <v>1170.54</v>
      </c>
      <c r="BI1945" s="9">
        <f t="shared" si="271"/>
        <v>2.92</v>
      </c>
      <c r="BJ1945" s="9">
        <f t="shared" si="272"/>
        <v>4.45</v>
      </c>
      <c r="BK1945" s="9">
        <f t="shared" si="273"/>
        <v>17.559999999999999</v>
      </c>
      <c r="BL1945" s="9">
        <f t="shared" si="274"/>
        <v>246.08</v>
      </c>
      <c r="BM1945" s="9">
        <f t="shared" si="275"/>
        <v>75.930199999999999</v>
      </c>
      <c r="BN1945" s="9">
        <f t="shared" si="276"/>
        <v>803.17</v>
      </c>
      <c r="BO1945" s="9">
        <f t="shared" si="277"/>
        <v>3.04</v>
      </c>
      <c r="BP1945" s="9">
        <f t="shared" si="278"/>
        <v>56.14</v>
      </c>
    </row>
    <row r="1946" spans="1:68">
      <c r="A1946" s="6">
        <v>44893</v>
      </c>
      <c r="B1946" s="7">
        <v>3200</v>
      </c>
      <c r="C1946" s="8">
        <v>1189.93</v>
      </c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>
        <v>2.96</v>
      </c>
      <c r="P1946" s="8"/>
      <c r="Q1946" s="11"/>
      <c r="R1946" s="11"/>
      <c r="S1946" s="8">
        <v>4.6399999999999997</v>
      </c>
      <c r="T1946" s="8"/>
      <c r="U1946" s="8">
        <v>17.84</v>
      </c>
      <c r="V1946" s="8"/>
      <c r="W1946" s="8"/>
      <c r="X1946" s="8"/>
      <c r="Y1946" s="8"/>
      <c r="Z1946" s="8">
        <v>250.11</v>
      </c>
      <c r="AA1946" s="8"/>
      <c r="AB1946" s="8"/>
      <c r="AC1946" s="8"/>
      <c r="AD1946" s="8"/>
      <c r="AE1946" s="8"/>
      <c r="AF1946" s="8">
        <v>59.53</v>
      </c>
      <c r="AG1946" s="8"/>
      <c r="AH1946" s="8"/>
      <c r="AI1946" s="8"/>
      <c r="AJ1946" s="8"/>
      <c r="AK1946" s="8"/>
      <c r="AL1946" s="8"/>
      <c r="AM1946" s="8"/>
      <c r="AN1946" s="8"/>
      <c r="AO1946" s="8"/>
      <c r="AP1946" s="11"/>
      <c r="AQ1946" s="8">
        <f>1506*11.9/1000</f>
        <v>17.921400000000002</v>
      </c>
      <c r="AR1946" s="8"/>
      <c r="AS1946" s="8"/>
      <c r="AT1946" s="8">
        <v>814.67</v>
      </c>
      <c r="AU1946" s="8"/>
      <c r="AV1946" s="8"/>
      <c r="AW1946" s="8">
        <v>3.44</v>
      </c>
      <c r="AX1946" s="8"/>
      <c r="AY1946" s="8"/>
      <c r="AZ1946" s="8"/>
      <c r="BA1946" s="8"/>
      <c r="BB1946" s="8"/>
      <c r="BC1946" s="8"/>
      <c r="BD1946" s="8"/>
      <c r="BE1946" s="8"/>
      <c r="BF1946" s="8">
        <v>57.26</v>
      </c>
      <c r="BG1946" s="8">
        <v>59.07</v>
      </c>
      <c r="BH1946" s="9">
        <f t="shared" si="270"/>
        <v>1189.93</v>
      </c>
      <c r="BI1946" s="9">
        <f t="shared" si="271"/>
        <v>2.96</v>
      </c>
      <c r="BJ1946" s="9">
        <f t="shared" si="272"/>
        <v>4.6399999999999997</v>
      </c>
      <c r="BK1946" s="9">
        <f t="shared" si="273"/>
        <v>17.84</v>
      </c>
      <c r="BL1946" s="9">
        <f t="shared" si="274"/>
        <v>250.11</v>
      </c>
      <c r="BM1946" s="9">
        <f t="shared" si="275"/>
        <v>77.451400000000007</v>
      </c>
      <c r="BN1946" s="9">
        <f t="shared" si="276"/>
        <v>814.67</v>
      </c>
      <c r="BO1946" s="9">
        <f t="shared" si="277"/>
        <v>3.44</v>
      </c>
      <c r="BP1946" s="9">
        <f t="shared" si="278"/>
        <v>57.26</v>
      </c>
    </row>
    <row r="1947" spans="1:68">
      <c r="A1947" s="6">
        <v>44893</v>
      </c>
      <c r="B1947" s="7">
        <v>3205</v>
      </c>
      <c r="C1947" s="8">
        <v>664.68</v>
      </c>
      <c r="D1947" s="8">
        <v>369.57</v>
      </c>
      <c r="E1947" s="8">
        <v>443.28</v>
      </c>
      <c r="F1947" s="8"/>
      <c r="G1947" s="8"/>
      <c r="H1947" s="8"/>
      <c r="I1947" s="8"/>
      <c r="J1947" s="8"/>
      <c r="K1947" s="8"/>
      <c r="L1947" s="8"/>
      <c r="M1947" s="8"/>
      <c r="N1947" s="8"/>
      <c r="O1947" s="8">
        <v>5.91</v>
      </c>
      <c r="P1947" s="8"/>
      <c r="Q1947" s="11"/>
      <c r="R1947" s="11"/>
      <c r="S1947" s="8">
        <v>5.47</v>
      </c>
      <c r="T1947" s="8"/>
      <c r="U1947" s="8">
        <v>17.73</v>
      </c>
      <c r="V1947" s="8"/>
      <c r="W1947" s="8"/>
      <c r="X1947" s="8"/>
      <c r="Y1947" s="8"/>
      <c r="Z1947" s="8">
        <v>147.77000000000001</v>
      </c>
      <c r="AA1947" s="8"/>
      <c r="AB1947" s="8">
        <f>1001*14.77/1000</f>
        <v>14.78477</v>
      </c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11"/>
      <c r="AQ1947" s="8">
        <f>508*14.77/1000</f>
        <v>7.5031600000000003</v>
      </c>
      <c r="AR1947" s="8"/>
      <c r="AS1947" s="8"/>
      <c r="AT1947" s="8">
        <v>385.1</v>
      </c>
      <c r="AU1947" s="8">
        <v>192.35</v>
      </c>
      <c r="AV1947" s="8"/>
      <c r="AW1947" s="8">
        <v>6.33</v>
      </c>
      <c r="AX1947" s="8"/>
      <c r="AY1947" s="8"/>
      <c r="AZ1947" s="8"/>
      <c r="BA1947" s="8"/>
      <c r="BB1947" s="8"/>
      <c r="BC1947" s="8"/>
      <c r="BD1947" s="8"/>
      <c r="BE1947" s="8"/>
      <c r="BF1947" s="8"/>
      <c r="BG1947" s="8">
        <v>34.68</v>
      </c>
      <c r="BH1947" s="9">
        <f t="shared" si="270"/>
        <v>1477.53</v>
      </c>
      <c r="BI1947" s="9">
        <f t="shared" si="271"/>
        <v>5.91</v>
      </c>
      <c r="BJ1947" s="9">
        <f t="shared" si="272"/>
        <v>5.47</v>
      </c>
      <c r="BK1947" s="9">
        <f t="shared" si="273"/>
        <v>17.73</v>
      </c>
      <c r="BL1947" s="9">
        <f t="shared" si="274"/>
        <v>147.77000000000001</v>
      </c>
      <c r="BM1947" s="9">
        <f t="shared" si="275"/>
        <v>22.287929999999999</v>
      </c>
      <c r="BN1947" s="9">
        <f t="shared" si="276"/>
        <v>577.45000000000005</v>
      </c>
      <c r="BO1947" s="9">
        <f t="shared" si="277"/>
        <v>6.33</v>
      </c>
      <c r="BP1947" s="9">
        <f t="shared" si="278"/>
        <v>0</v>
      </c>
    </row>
    <row r="1948" spans="1:68">
      <c r="A1948" s="6">
        <v>44893</v>
      </c>
      <c r="B1948" s="7">
        <v>3601</v>
      </c>
      <c r="C1948" s="8">
        <f>156.37+170.4</f>
        <v>326.77</v>
      </c>
      <c r="D1948" s="8"/>
      <c r="E1948" s="8"/>
      <c r="F1948" s="8"/>
      <c r="G1948" s="8">
        <f>255.45+234.59</f>
        <v>490.03999999999996</v>
      </c>
      <c r="H1948" s="8"/>
      <c r="I1948" s="8"/>
      <c r="J1948" s="8"/>
      <c r="K1948" s="8"/>
      <c r="L1948" s="8"/>
      <c r="M1948" s="8">
        <f>0.53+0.46</f>
        <v>0.99</v>
      </c>
      <c r="N1948" s="8"/>
      <c r="O1948" s="8"/>
      <c r="P1948" s="8"/>
      <c r="Q1948" s="11"/>
      <c r="R1948" s="11"/>
      <c r="S1948" s="8">
        <f>2.04+1.88</f>
        <v>3.92</v>
      </c>
      <c r="T1948" s="8"/>
      <c r="U1948" s="8">
        <f>2.56+2.35</f>
        <v>4.91</v>
      </c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11"/>
      <c r="AQ1948" s="8"/>
      <c r="AR1948" s="8"/>
      <c r="AS1948" s="8"/>
      <c r="AT1948" s="8">
        <f>208.98+191.9</f>
        <v>400.88</v>
      </c>
      <c r="AU1948" s="8"/>
      <c r="AV1948" s="8"/>
      <c r="AW1948" s="8">
        <f>12.96+11.9</f>
        <v>24.86</v>
      </c>
      <c r="AX1948" s="8"/>
      <c r="AY1948" s="8"/>
      <c r="AZ1948" s="8"/>
      <c r="BA1948" s="8"/>
      <c r="BB1948" s="8"/>
      <c r="BC1948" s="8"/>
      <c r="BD1948" s="8"/>
      <c r="BE1948" s="8"/>
      <c r="BF1948" s="8">
        <f>24.12+21.76</f>
        <v>45.88</v>
      </c>
      <c r="BG1948" s="8">
        <f>13.96+15.17</f>
        <v>29.130000000000003</v>
      </c>
      <c r="BH1948" s="9">
        <f t="shared" si="270"/>
        <v>816.81</v>
      </c>
      <c r="BI1948" s="9">
        <f t="shared" si="271"/>
        <v>0.99</v>
      </c>
      <c r="BJ1948" s="9">
        <f t="shared" si="272"/>
        <v>3.92</v>
      </c>
      <c r="BK1948" s="9">
        <f t="shared" si="273"/>
        <v>4.91</v>
      </c>
      <c r="BL1948" s="9">
        <f t="shared" si="274"/>
        <v>0</v>
      </c>
      <c r="BM1948" s="9">
        <f t="shared" si="275"/>
        <v>0</v>
      </c>
      <c r="BN1948" s="9">
        <f t="shared" si="276"/>
        <v>400.88</v>
      </c>
      <c r="BO1948" s="9">
        <f t="shared" si="277"/>
        <v>24.86</v>
      </c>
      <c r="BP1948" s="9">
        <f t="shared" si="278"/>
        <v>45.88</v>
      </c>
    </row>
    <row r="1949" spans="1:68">
      <c r="A1949" s="6">
        <v>44893</v>
      </c>
      <c r="B1949" s="7">
        <v>3602</v>
      </c>
      <c r="C1949" s="8">
        <v>567.03</v>
      </c>
      <c r="D1949" s="8"/>
      <c r="E1949" s="8"/>
      <c r="F1949" s="8"/>
      <c r="G1949" s="8">
        <v>850.05</v>
      </c>
      <c r="H1949" s="8"/>
      <c r="I1949" s="8"/>
      <c r="J1949" s="8"/>
      <c r="K1949" s="8"/>
      <c r="L1949" s="8"/>
      <c r="M1949" s="8">
        <v>1.45</v>
      </c>
      <c r="N1949" s="8"/>
      <c r="O1949" s="8"/>
      <c r="P1949" s="8"/>
      <c r="Q1949" s="11"/>
      <c r="R1949" s="11"/>
      <c r="S1949" s="8">
        <v>6.8</v>
      </c>
      <c r="T1949" s="8"/>
      <c r="U1949" s="8">
        <v>11.34</v>
      </c>
      <c r="V1949" s="8">
        <f>857*16.2/1000</f>
        <v>13.8834</v>
      </c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11"/>
      <c r="AQ1949" s="8"/>
      <c r="AR1949" s="8"/>
      <c r="AS1949" s="8"/>
      <c r="AT1949" s="8">
        <v>571.67999999999995</v>
      </c>
      <c r="AU1949" s="8"/>
      <c r="AV1949" s="8"/>
      <c r="AW1949" s="8">
        <v>36.64</v>
      </c>
      <c r="AX1949" s="8"/>
      <c r="AY1949" s="8"/>
      <c r="AZ1949" s="8"/>
      <c r="BA1949" s="8"/>
      <c r="BB1949" s="8"/>
      <c r="BC1949" s="8"/>
      <c r="BD1949" s="8"/>
      <c r="BE1949" s="8"/>
      <c r="BF1949" s="8">
        <v>45.22</v>
      </c>
      <c r="BG1949" s="8">
        <v>42.65</v>
      </c>
      <c r="BH1949" s="9">
        <f t="shared" si="270"/>
        <v>1417.08</v>
      </c>
      <c r="BI1949" s="9">
        <f t="shared" si="271"/>
        <v>1.45</v>
      </c>
      <c r="BJ1949" s="9">
        <f t="shared" si="272"/>
        <v>6.8</v>
      </c>
      <c r="BK1949" s="9">
        <f t="shared" si="273"/>
        <v>25.223399999999998</v>
      </c>
      <c r="BL1949" s="9">
        <f t="shared" si="274"/>
        <v>0</v>
      </c>
      <c r="BM1949" s="9">
        <f t="shared" si="275"/>
        <v>0</v>
      </c>
      <c r="BN1949" s="9">
        <f t="shared" si="276"/>
        <v>571.67999999999995</v>
      </c>
      <c r="BO1949" s="9">
        <f t="shared" si="277"/>
        <v>36.64</v>
      </c>
      <c r="BP1949" s="9">
        <f t="shared" si="278"/>
        <v>45.22</v>
      </c>
    </row>
    <row r="1950" spans="1:68">
      <c r="A1950" s="6">
        <v>44894</v>
      </c>
      <c r="B1950" s="7">
        <v>3101</v>
      </c>
      <c r="C1950" s="8">
        <v>645.02</v>
      </c>
      <c r="D1950" s="8"/>
      <c r="E1950" s="8"/>
      <c r="F1950" s="8"/>
      <c r="G1950" s="8"/>
      <c r="H1950" s="8"/>
      <c r="I1950" s="8"/>
      <c r="J1950" s="8"/>
      <c r="K1950" s="8"/>
      <c r="L1950" s="8"/>
      <c r="M1950" s="8">
        <v>1.48</v>
      </c>
      <c r="N1950" s="8"/>
      <c r="O1950" s="8"/>
      <c r="P1950" s="8"/>
      <c r="Q1950" s="11"/>
      <c r="R1950" s="11"/>
      <c r="S1950" s="8">
        <v>3.74</v>
      </c>
      <c r="T1950" s="8"/>
      <c r="U1950" s="8">
        <v>10.33</v>
      </c>
      <c r="V1950" s="8"/>
      <c r="W1950" s="8"/>
      <c r="X1950" s="8"/>
      <c r="Y1950" s="8"/>
      <c r="Z1950" s="8"/>
      <c r="AA1950" s="8"/>
      <c r="AB1950" s="8"/>
      <c r="AC1950" s="8">
        <v>2.58</v>
      </c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11"/>
      <c r="AQ1950" s="8"/>
      <c r="AR1950" s="8"/>
      <c r="AS1950" s="8"/>
      <c r="AT1950" s="8">
        <v>432.79</v>
      </c>
      <c r="AU1950" s="8"/>
      <c r="AV1950" s="8"/>
      <c r="AW1950" s="8">
        <v>13.76</v>
      </c>
      <c r="AX1950" s="8"/>
      <c r="AY1950" s="8"/>
      <c r="AZ1950" s="8"/>
      <c r="BA1950" s="8"/>
      <c r="BB1950" s="8"/>
      <c r="BC1950" s="8"/>
      <c r="BD1950" s="8"/>
      <c r="BE1950" s="8"/>
      <c r="BF1950" s="8">
        <v>84.5</v>
      </c>
      <c r="BG1950" s="8">
        <v>33.28</v>
      </c>
      <c r="BH1950" s="9">
        <f t="shared" si="270"/>
        <v>645.02</v>
      </c>
      <c r="BI1950" s="9">
        <f t="shared" si="271"/>
        <v>1.48</v>
      </c>
      <c r="BJ1950" s="9">
        <f t="shared" si="272"/>
        <v>3.74</v>
      </c>
      <c r="BK1950" s="9">
        <f t="shared" si="273"/>
        <v>10.33</v>
      </c>
      <c r="BL1950" s="9">
        <f t="shared" si="274"/>
        <v>0</v>
      </c>
      <c r="BM1950" s="9">
        <f t="shared" si="275"/>
        <v>2.58</v>
      </c>
      <c r="BN1950" s="9">
        <f t="shared" si="276"/>
        <v>432.79</v>
      </c>
      <c r="BO1950" s="9">
        <f t="shared" si="277"/>
        <v>13.76</v>
      </c>
      <c r="BP1950" s="9">
        <f t="shared" si="278"/>
        <v>84.5</v>
      </c>
    </row>
    <row r="1951" spans="1:68">
      <c r="A1951" s="6">
        <v>44894</v>
      </c>
      <c r="B1951" s="7">
        <v>3703</v>
      </c>
      <c r="C1951" s="8">
        <v>816.23</v>
      </c>
      <c r="D1951" s="8">
        <v>543.91999999999996</v>
      </c>
      <c r="E1951" s="8"/>
      <c r="F1951" s="8"/>
      <c r="G1951" s="8"/>
      <c r="H1951" s="8"/>
      <c r="I1951" s="8"/>
      <c r="J1951" s="8"/>
      <c r="K1951" s="8"/>
      <c r="L1951" s="8"/>
      <c r="M1951" s="8">
        <v>2.72</v>
      </c>
      <c r="N1951" s="8"/>
      <c r="O1951" s="8"/>
      <c r="P1951" s="8"/>
      <c r="Q1951" s="11"/>
      <c r="R1951" s="11"/>
      <c r="S1951" s="8">
        <v>6.67</v>
      </c>
      <c r="T1951" s="8"/>
      <c r="U1951" s="8">
        <v>10.89</v>
      </c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>
        <v>13.6</v>
      </c>
      <c r="AN1951" s="8"/>
      <c r="AO1951" s="8"/>
      <c r="AP1951" s="11"/>
      <c r="AQ1951" s="8"/>
      <c r="AR1951" s="8"/>
      <c r="AS1951" s="8"/>
      <c r="AT1951" s="8">
        <v>329.87</v>
      </c>
      <c r="AU1951" s="8">
        <v>164.99</v>
      </c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>
        <v>34.69</v>
      </c>
      <c r="BH1951" s="9">
        <f t="shared" si="270"/>
        <v>1360.15</v>
      </c>
      <c r="BI1951" s="9">
        <f t="shared" si="271"/>
        <v>2.72</v>
      </c>
      <c r="BJ1951" s="9">
        <f t="shared" si="272"/>
        <v>6.67</v>
      </c>
      <c r="BK1951" s="9">
        <f t="shared" si="273"/>
        <v>10.89</v>
      </c>
      <c r="BL1951" s="9">
        <f t="shared" si="274"/>
        <v>0</v>
      </c>
      <c r="BM1951" s="9">
        <f t="shared" si="275"/>
        <v>13.6</v>
      </c>
      <c r="BN1951" s="9">
        <f t="shared" si="276"/>
        <v>494.86</v>
      </c>
      <c r="BO1951" s="9">
        <f t="shared" si="277"/>
        <v>0</v>
      </c>
      <c r="BP1951" s="9">
        <f t="shared" si="278"/>
        <v>0</v>
      </c>
    </row>
    <row r="1952" spans="1:68">
      <c r="A1952" s="6">
        <v>44894</v>
      </c>
      <c r="B1952" s="7">
        <v>3704</v>
      </c>
      <c r="C1952" s="8">
        <v>322.18</v>
      </c>
      <c r="D1952" s="8">
        <v>481.04</v>
      </c>
      <c r="E1952" s="8"/>
      <c r="F1952" s="8"/>
      <c r="G1952" s="8"/>
      <c r="H1952" s="8"/>
      <c r="I1952" s="8"/>
      <c r="J1952" s="8"/>
      <c r="K1952" s="8"/>
      <c r="L1952" s="8"/>
      <c r="M1952" s="8">
        <v>2.41</v>
      </c>
      <c r="N1952" s="8"/>
      <c r="O1952" s="8"/>
      <c r="P1952" s="8"/>
      <c r="Q1952" s="11"/>
      <c r="R1952" s="11"/>
      <c r="S1952" s="8">
        <v>2.81</v>
      </c>
      <c r="T1952" s="8"/>
      <c r="U1952" s="8">
        <v>6.01</v>
      </c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>
        <v>9.6300000000000008</v>
      </c>
      <c r="AN1952" s="8"/>
      <c r="AO1952" s="8"/>
      <c r="AP1952" s="11"/>
      <c r="AQ1952" s="8"/>
      <c r="AR1952" s="8"/>
      <c r="AS1952" s="8"/>
      <c r="AT1952" s="8">
        <v>140.44</v>
      </c>
      <c r="AU1952" s="8">
        <v>69.94</v>
      </c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>
        <v>12.9</v>
      </c>
      <c r="BH1952" s="9">
        <f t="shared" si="270"/>
        <v>803.22</v>
      </c>
      <c r="BI1952" s="9">
        <f t="shared" si="271"/>
        <v>2.41</v>
      </c>
      <c r="BJ1952" s="9">
        <f t="shared" si="272"/>
        <v>2.81</v>
      </c>
      <c r="BK1952" s="9">
        <f t="shared" si="273"/>
        <v>6.01</v>
      </c>
      <c r="BL1952" s="9">
        <f t="shared" si="274"/>
        <v>0</v>
      </c>
      <c r="BM1952" s="9">
        <f t="shared" si="275"/>
        <v>9.6300000000000008</v>
      </c>
      <c r="BN1952" s="9">
        <f t="shared" si="276"/>
        <v>210.38</v>
      </c>
      <c r="BO1952" s="9">
        <f t="shared" si="277"/>
        <v>0</v>
      </c>
      <c r="BP1952" s="9">
        <f t="shared" si="278"/>
        <v>0</v>
      </c>
    </row>
    <row r="1953" spans="1:68">
      <c r="A1953" s="6">
        <v>44894</v>
      </c>
      <c r="B1953" s="7">
        <v>3204</v>
      </c>
      <c r="C1953" s="8"/>
      <c r="D1953" s="8">
        <v>1781.89</v>
      </c>
      <c r="E1953" s="8">
        <v>762.68</v>
      </c>
      <c r="F1953" s="8"/>
      <c r="G1953" s="8"/>
      <c r="H1953" s="8"/>
      <c r="I1953" s="8"/>
      <c r="J1953" s="8"/>
      <c r="K1953" s="8"/>
      <c r="L1953" s="8"/>
      <c r="M1953" s="8"/>
      <c r="N1953" s="8"/>
      <c r="O1953" s="8">
        <v>12.72</v>
      </c>
      <c r="P1953" s="8"/>
      <c r="Q1953" s="11"/>
      <c r="R1953" s="11"/>
      <c r="S1953" s="8">
        <v>8.64</v>
      </c>
      <c r="T1953" s="8"/>
      <c r="U1953" s="8">
        <v>28</v>
      </c>
      <c r="V1953" s="8"/>
      <c r="W1953" s="8"/>
      <c r="X1953" s="8"/>
      <c r="Y1953" s="8"/>
      <c r="Z1953" s="8">
        <v>381.74</v>
      </c>
      <c r="AA1953" s="8"/>
      <c r="AB1953" s="8">
        <f>710*18.15/1000</f>
        <v>12.886499999999998</v>
      </c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11"/>
      <c r="AQ1953" s="8"/>
      <c r="AR1953" s="8"/>
      <c r="AS1953" s="8"/>
      <c r="AT1953" s="8">
        <v>1119.71</v>
      </c>
      <c r="AU1953" s="8"/>
      <c r="AV1953" s="8"/>
      <c r="AW1953" s="8">
        <v>8.14</v>
      </c>
      <c r="AX1953" s="8"/>
      <c r="AY1953" s="8"/>
      <c r="AZ1953" s="8"/>
      <c r="BA1953" s="8"/>
      <c r="BB1953" s="8"/>
      <c r="BC1953" s="8"/>
      <c r="BD1953" s="8"/>
      <c r="BE1953" s="8"/>
      <c r="BF1953" s="8"/>
      <c r="BG1953" s="8">
        <v>82.72</v>
      </c>
      <c r="BH1953" s="9">
        <f t="shared" si="270"/>
        <v>2544.5700000000002</v>
      </c>
      <c r="BI1953" s="9">
        <f t="shared" si="271"/>
        <v>12.72</v>
      </c>
      <c r="BJ1953" s="9">
        <f t="shared" si="272"/>
        <v>8.64</v>
      </c>
      <c r="BK1953" s="9">
        <f t="shared" si="273"/>
        <v>28</v>
      </c>
      <c r="BL1953" s="9">
        <f t="shared" si="274"/>
        <v>381.74</v>
      </c>
      <c r="BM1953" s="9">
        <f t="shared" si="275"/>
        <v>12.886499999999998</v>
      </c>
      <c r="BN1953" s="9">
        <f t="shared" si="276"/>
        <v>1119.71</v>
      </c>
      <c r="BO1953" s="9">
        <f t="shared" si="277"/>
        <v>8.14</v>
      </c>
      <c r="BP1953" s="9">
        <f t="shared" si="278"/>
        <v>0</v>
      </c>
    </row>
    <row r="1954" spans="1:68">
      <c r="A1954" s="6">
        <v>44894</v>
      </c>
      <c r="B1954" s="7">
        <v>3106</v>
      </c>
      <c r="C1954" s="8">
        <v>6133.31</v>
      </c>
      <c r="D1954" s="8"/>
      <c r="E1954" s="8"/>
      <c r="F1954" s="8"/>
      <c r="G1954" s="8"/>
      <c r="H1954" s="8"/>
      <c r="I1954" s="8"/>
      <c r="J1954" s="8"/>
      <c r="K1954" s="8"/>
      <c r="L1954" s="8"/>
      <c r="M1954" s="8">
        <v>16.53</v>
      </c>
      <c r="N1954" s="8"/>
      <c r="O1954" s="8"/>
      <c r="P1954" s="8"/>
      <c r="Q1954" s="11"/>
      <c r="R1954" s="11"/>
      <c r="S1954" s="8">
        <v>18.45</v>
      </c>
      <c r="T1954" s="8"/>
      <c r="U1954" s="8">
        <v>78.12</v>
      </c>
      <c r="V1954" s="8"/>
      <c r="W1954" s="8"/>
      <c r="X1954" s="8"/>
      <c r="Y1954" s="8"/>
      <c r="Z1954" s="8"/>
      <c r="AA1954" s="8"/>
      <c r="AB1954" s="8"/>
      <c r="AC1954" s="8">
        <v>15.34</v>
      </c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11"/>
      <c r="AQ1954" s="8"/>
      <c r="AR1954" s="8"/>
      <c r="AS1954" s="8"/>
      <c r="AT1954" s="8">
        <v>3500.92</v>
      </c>
      <c r="AU1954" s="8"/>
      <c r="AV1954" s="8"/>
      <c r="AW1954" s="8"/>
      <c r="AX1954" s="8">
        <v>7.67</v>
      </c>
      <c r="AY1954" s="8"/>
      <c r="AZ1954" s="8"/>
      <c r="BA1954" s="8"/>
      <c r="BB1954" s="8"/>
      <c r="BC1954" s="8"/>
      <c r="BD1954" s="8"/>
      <c r="BE1954" s="8"/>
      <c r="BF1954" s="8"/>
      <c r="BG1954" s="8">
        <v>263.76</v>
      </c>
      <c r="BH1954" s="9">
        <f t="shared" si="270"/>
        <v>6133.31</v>
      </c>
      <c r="BI1954" s="9">
        <f t="shared" si="271"/>
        <v>16.53</v>
      </c>
      <c r="BJ1954" s="9">
        <f t="shared" si="272"/>
        <v>18.45</v>
      </c>
      <c r="BK1954" s="9">
        <f t="shared" si="273"/>
        <v>78.12</v>
      </c>
      <c r="BL1954" s="9">
        <f t="shared" si="274"/>
        <v>0</v>
      </c>
      <c r="BM1954" s="9">
        <f t="shared" si="275"/>
        <v>15.34</v>
      </c>
      <c r="BN1954" s="9">
        <f t="shared" si="276"/>
        <v>3500.92</v>
      </c>
      <c r="BO1954" s="9">
        <f t="shared" si="277"/>
        <v>7.67</v>
      </c>
      <c r="BP1954" s="9">
        <f t="shared" si="278"/>
        <v>0</v>
      </c>
    </row>
    <row r="1955" spans="1:68">
      <c r="A1955" s="6">
        <v>44894</v>
      </c>
      <c r="B1955" s="7">
        <v>3141</v>
      </c>
      <c r="C1955" s="8">
        <v>2461.16</v>
      </c>
      <c r="D1955" s="8">
        <v>434.45</v>
      </c>
      <c r="E1955" s="8"/>
      <c r="F1955" s="8"/>
      <c r="G1955" s="8"/>
      <c r="H1955" s="8"/>
      <c r="I1955" s="8"/>
      <c r="J1955" s="8"/>
      <c r="K1955" s="8"/>
      <c r="L1955" s="8"/>
      <c r="M1955" s="8">
        <v>7.83</v>
      </c>
      <c r="N1955" s="8"/>
      <c r="O1955" s="8"/>
      <c r="P1955" s="8"/>
      <c r="Q1955" s="11"/>
      <c r="R1955" s="11"/>
      <c r="S1955" s="8">
        <v>13.63</v>
      </c>
      <c r="T1955" s="8"/>
      <c r="U1955" s="8">
        <v>43.46</v>
      </c>
      <c r="V1955" s="8"/>
      <c r="W1955" s="8"/>
      <c r="X1955" s="8"/>
      <c r="Y1955" s="8"/>
      <c r="Z1955" s="8"/>
      <c r="AA1955" s="8"/>
      <c r="AB1955" s="8"/>
      <c r="AC1955" s="8">
        <v>11.59</v>
      </c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11"/>
      <c r="AQ1955" s="8"/>
      <c r="AR1955" s="8"/>
      <c r="AS1955" s="8"/>
      <c r="AT1955" s="8">
        <v>1907.46</v>
      </c>
      <c r="AU1955" s="8"/>
      <c r="AV1955" s="8"/>
      <c r="AW1955" s="8"/>
      <c r="AX1955" s="8"/>
      <c r="AY1955" s="8"/>
      <c r="AZ1955" s="8"/>
      <c r="BA1955" s="8">
        <v>66.400000000000006</v>
      </c>
      <c r="BB1955" s="8"/>
      <c r="BC1955" s="8"/>
      <c r="BD1955" s="8"/>
      <c r="BE1955" s="8"/>
      <c r="BF1955" s="8">
        <v>202.81</v>
      </c>
      <c r="BG1955" s="8">
        <v>150.56</v>
      </c>
      <c r="BH1955" s="9">
        <f t="shared" si="270"/>
        <v>2895.6099999999997</v>
      </c>
      <c r="BI1955" s="9">
        <f t="shared" si="271"/>
        <v>7.83</v>
      </c>
      <c r="BJ1955" s="9">
        <f t="shared" si="272"/>
        <v>13.63</v>
      </c>
      <c r="BK1955" s="9">
        <f t="shared" si="273"/>
        <v>43.46</v>
      </c>
      <c r="BL1955" s="9">
        <f t="shared" si="274"/>
        <v>0</v>
      </c>
      <c r="BM1955" s="9">
        <f t="shared" si="275"/>
        <v>11.59</v>
      </c>
      <c r="BN1955" s="9">
        <f t="shared" si="276"/>
        <v>1907.46</v>
      </c>
      <c r="BO1955" s="9">
        <f t="shared" si="277"/>
        <v>66.400000000000006</v>
      </c>
      <c r="BP1955" s="9">
        <f t="shared" si="278"/>
        <v>202.81</v>
      </c>
    </row>
    <row r="1956" spans="1:68">
      <c r="A1956" s="6">
        <v>44894</v>
      </c>
      <c r="B1956" s="7">
        <v>3121</v>
      </c>
      <c r="C1956" s="8">
        <v>2315.81</v>
      </c>
      <c r="D1956" s="8"/>
      <c r="E1956" s="8"/>
      <c r="F1956" s="8"/>
      <c r="G1956" s="8"/>
      <c r="H1956" s="8"/>
      <c r="I1956" s="8"/>
      <c r="J1956" s="8"/>
      <c r="K1956" s="8"/>
      <c r="L1956" s="8"/>
      <c r="M1956" s="8">
        <v>5.79</v>
      </c>
      <c r="N1956" s="8"/>
      <c r="O1956" s="8"/>
      <c r="P1956" s="8"/>
      <c r="Q1956" s="11"/>
      <c r="R1956" s="11"/>
      <c r="S1956" s="8">
        <v>7.41</v>
      </c>
      <c r="T1956" s="8"/>
      <c r="U1956" s="8">
        <v>23.07</v>
      </c>
      <c r="V1956" s="8"/>
      <c r="W1956" s="8"/>
      <c r="X1956" s="8"/>
      <c r="Y1956" s="8"/>
      <c r="Z1956" s="8"/>
      <c r="AA1956" s="8"/>
      <c r="AB1956" s="8"/>
      <c r="AC1956" s="8">
        <v>9.25</v>
      </c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11">
        <f>2245*10.52/1000</f>
        <v>23.617399999999996</v>
      </c>
      <c r="AQ1956" s="8"/>
      <c r="AR1956" s="8"/>
      <c r="AS1956" s="8"/>
      <c r="AT1956" s="8">
        <v>1223.42</v>
      </c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>
        <v>90.51</v>
      </c>
      <c r="BH1956" s="9">
        <f t="shared" si="270"/>
        <v>2315.81</v>
      </c>
      <c r="BI1956" s="9">
        <f t="shared" si="271"/>
        <v>5.79</v>
      </c>
      <c r="BJ1956" s="9">
        <f t="shared" si="272"/>
        <v>7.41</v>
      </c>
      <c r="BK1956" s="9">
        <f t="shared" si="273"/>
        <v>23.07</v>
      </c>
      <c r="BL1956" s="9">
        <f t="shared" si="274"/>
        <v>0</v>
      </c>
      <c r="BM1956" s="9">
        <f t="shared" si="275"/>
        <v>32.867399999999996</v>
      </c>
      <c r="BN1956" s="9">
        <f t="shared" si="276"/>
        <v>1223.42</v>
      </c>
      <c r="BO1956" s="9">
        <f t="shared" si="277"/>
        <v>0</v>
      </c>
      <c r="BP1956" s="9">
        <f t="shared" si="278"/>
        <v>0</v>
      </c>
    </row>
    <row r="1957" spans="1:68">
      <c r="A1957" s="6">
        <v>44894</v>
      </c>
      <c r="B1957" s="7">
        <v>3020</v>
      </c>
      <c r="C1957" s="8"/>
      <c r="D1957" s="8">
        <v>317.68</v>
      </c>
      <c r="E1957" s="8"/>
      <c r="F1957" s="8"/>
      <c r="G1957" s="8"/>
      <c r="H1957" s="8"/>
      <c r="I1957" s="8">
        <v>1800.2</v>
      </c>
      <c r="J1957" s="8"/>
      <c r="K1957" s="8"/>
      <c r="L1957" s="8"/>
      <c r="M1957" s="8"/>
      <c r="N1957" s="8">
        <v>12.71</v>
      </c>
      <c r="O1957" s="8"/>
      <c r="P1957" s="8"/>
      <c r="Q1957" s="11"/>
      <c r="R1957" s="11"/>
      <c r="S1957" s="8">
        <v>3.82</v>
      </c>
      <c r="T1957" s="8"/>
      <c r="U1957" s="8"/>
      <c r="V1957" s="8"/>
      <c r="W1957" s="8">
        <v>21.2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>
        <v>21.15</v>
      </c>
      <c r="AN1957" s="8"/>
      <c r="AO1957" s="8"/>
      <c r="AP1957" s="11"/>
      <c r="AQ1957" s="8"/>
      <c r="AR1957" s="8"/>
      <c r="AS1957" s="8">
        <f>3022*17.65/1000</f>
        <v>53.338299999999997</v>
      </c>
      <c r="AT1957" s="8">
        <v>1040.67</v>
      </c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>
        <v>76.239999999999995</v>
      </c>
      <c r="BH1957" s="9">
        <f t="shared" si="270"/>
        <v>2117.88</v>
      </c>
      <c r="BI1957" s="9">
        <f t="shared" si="271"/>
        <v>12.71</v>
      </c>
      <c r="BJ1957" s="9">
        <f t="shared" si="272"/>
        <v>3.82</v>
      </c>
      <c r="BK1957" s="9">
        <f t="shared" si="273"/>
        <v>21.2</v>
      </c>
      <c r="BL1957" s="9">
        <f t="shared" si="274"/>
        <v>0</v>
      </c>
      <c r="BM1957" s="9">
        <f t="shared" si="275"/>
        <v>74.488299999999995</v>
      </c>
      <c r="BN1957" s="9">
        <f t="shared" si="276"/>
        <v>1040.67</v>
      </c>
      <c r="BO1957" s="9">
        <f t="shared" si="277"/>
        <v>0</v>
      </c>
      <c r="BP1957" s="9">
        <f t="shared" si="278"/>
        <v>0</v>
      </c>
    </row>
    <row r="1958" spans="1:68">
      <c r="A1958" s="6">
        <v>44894</v>
      </c>
      <c r="B1958" s="7">
        <v>3022</v>
      </c>
      <c r="C1958" s="8"/>
      <c r="D1958" s="8">
        <v>556.48</v>
      </c>
      <c r="E1958" s="8"/>
      <c r="F1958" s="8"/>
      <c r="G1958" s="8"/>
      <c r="H1958" s="8"/>
      <c r="I1958" s="8">
        <v>458.37</v>
      </c>
      <c r="J1958" s="8"/>
      <c r="K1958" s="8"/>
      <c r="L1958" s="8"/>
      <c r="M1958" s="8"/>
      <c r="N1958" s="8">
        <v>5.08</v>
      </c>
      <c r="O1958" s="8"/>
      <c r="P1958" s="8"/>
      <c r="Q1958" s="11"/>
      <c r="R1958" s="11"/>
      <c r="S1958" s="8">
        <v>1.83</v>
      </c>
      <c r="T1958" s="8"/>
      <c r="U1958" s="8"/>
      <c r="V1958" s="8"/>
      <c r="W1958" s="8">
        <v>10.16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>
        <v>13.21</v>
      </c>
      <c r="AN1958" s="8"/>
      <c r="AO1958" s="8"/>
      <c r="AP1958" s="11"/>
      <c r="AQ1958" s="8"/>
      <c r="AR1958" s="8"/>
      <c r="AS1958" s="8">
        <f>3868*9.23/1000</f>
        <v>35.701639999999998</v>
      </c>
      <c r="AT1958" s="8">
        <v>475.21</v>
      </c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>
        <v>36.58</v>
      </c>
      <c r="BH1958" s="9">
        <f t="shared" si="270"/>
        <v>1014.85</v>
      </c>
      <c r="BI1958" s="9">
        <f t="shared" si="271"/>
        <v>5.08</v>
      </c>
      <c r="BJ1958" s="9">
        <f t="shared" si="272"/>
        <v>1.83</v>
      </c>
      <c r="BK1958" s="9">
        <f t="shared" si="273"/>
        <v>10.16</v>
      </c>
      <c r="BL1958" s="9">
        <f t="shared" si="274"/>
        <v>0</v>
      </c>
      <c r="BM1958" s="9">
        <f t="shared" si="275"/>
        <v>48.911639999999998</v>
      </c>
      <c r="BN1958" s="9">
        <f t="shared" si="276"/>
        <v>475.21</v>
      </c>
      <c r="BO1958" s="9">
        <f t="shared" si="277"/>
        <v>0</v>
      </c>
      <c r="BP1958" s="9">
        <f t="shared" si="278"/>
        <v>0</v>
      </c>
    </row>
    <row r="1959" spans="1:68">
      <c r="A1959" s="6">
        <v>44896</v>
      </c>
      <c r="B1959" s="7">
        <v>3206</v>
      </c>
      <c r="C1959" s="8">
        <v>583.34</v>
      </c>
      <c r="D1959" s="8">
        <v>1048.5899999999999</v>
      </c>
      <c r="E1959" s="8">
        <v>700.04</v>
      </c>
      <c r="F1959" s="8"/>
      <c r="G1959" s="8"/>
      <c r="H1959" s="8"/>
      <c r="I1959" s="8"/>
      <c r="J1959" s="8"/>
      <c r="K1959" s="8"/>
      <c r="L1959" s="8"/>
      <c r="M1959" s="8"/>
      <c r="N1959" s="8"/>
      <c r="O1959" s="8">
        <v>4.67</v>
      </c>
      <c r="P1959" s="8"/>
      <c r="Q1959" s="11"/>
      <c r="R1959" s="11"/>
      <c r="S1959" s="8">
        <v>11.67</v>
      </c>
      <c r="T1959" s="8"/>
      <c r="U1959" s="8">
        <v>8.19</v>
      </c>
      <c r="V1959" s="8"/>
      <c r="W1959" s="8"/>
      <c r="X1959" s="8"/>
      <c r="Y1959" s="8"/>
      <c r="Z1959" s="8">
        <v>140.12</v>
      </c>
      <c r="AA1959" s="8"/>
      <c r="AB1959" s="8">
        <f>817*14.6/1000</f>
        <v>11.928199999999999</v>
      </c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11"/>
      <c r="AQ1959" s="8"/>
      <c r="AR1959" s="8"/>
      <c r="AS1959" s="8"/>
      <c r="AT1959" s="8">
        <v>408.01</v>
      </c>
      <c r="AU1959" s="8">
        <v>203.89</v>
      </c>
      <c r="AV1959" s="8"/>
      <c r="AW1959" s="8">
        <v>8.8699999999999992</v>
      </c>
      <c r="AX1959" s="8"/>
      <c r="AY1959" s="8"/>
      <c r="AZ1959" s="8"/>
      <c r="BA1959" s="8"/>
      <c r="BB1959" s="8"/>
      <c r="BC1959" s="8"/>
      <c r="BD1959" s="8"/>
      <c r="BE1959" s="8"/>
      <c r="BF1959" s="8"/>
      <c r="BG1959" s="8">
        <v>41.12</v>
      </c>
      <c r="BH1959" s="9">
        <f t="shared" si="270"/>
        <v>2331.9699999999998</v>
      </c>
      <c r="BI1959" s="9">
        <f t="shared" si="271"/>
        <v>4.67</v>
      </c>
      <c r="BJ1959" s="9">
        <f t="shared" si="272"/>
        <v>11.67</v>
      </c>
      <c r="BK1959" s="9">
        <f t="shared" si="273"/>
        <v>8.19</v>
      </c>
      <c r="BL1959" s="9">
        <f t="shared" si="274"/>
        <v>140.12</v>
      </c>
      <c r="BM1959" s="9">
        <f t="shared" si="275"/>
        <v>11.928199999999999</v>
      </c>
      <c r="BN1959" s="9">
        <f t="shared" si="276"/>
        <v>611.9</v>
      </c>
      <c r="BO1959" s="9">
        <f t="shared" si="277"/>
        <v>8.8699999999999992</v>
      </c>
      <c r="BP1959" s="9">
        <f t="shared" si="278"/>
        <v>0</v>
      </c>
    </row>
    <row r="1960" spans="1:68">
      <c r="A1960" s="6">
        <v>44896</v>
      </c>
      <c r="B1960" s="7">
        <v>3134</v>
      </c>
      <c r="C1960" s="8">
        <v>1074.68</v>
      </c>
      <c r="D1960" s="8">
        <v>150.79</v>
      </c>
      <c r="E1960" s="8"/>
      <c r="F1960" s="8"/>
      <c r="G1960" s="8"/>
      <c r="H1960" s="8">
        <v>508.84</v>
      </c>
      <c r="I1960" s="8"/>
      <c r="J1960" s="8"/>
      <c r="K1960" s="8"/>
      <c r="L1960" s="8"/>
      <c r="M1960" s="8">
        <v>3.32</v>
      </c>
      <c r="N1960" s="8"/>
      <c r="O1960" s="8"/>
      <c r="P1960" s="8"/>
      <c r="Q1960" s="11"/>
      <c r="R1960" s="11"/>
      <c r="S1960" s="8">
        <v>6.95</v>
      </c>
      <c r="T1960" s="8"/>
      <c r="U1960" s="8">
        <v>19.66</v>
      </c>
      <c r="V1960" s="8"/>
      <c r="W1960" s="8"/>
      <c r="X1960" s="8"/>
      <c r="Y1960" s="8"/>
      <c r="Z1960" s="8"/>
      <c r="AA1960" s="8"/>
      <c r="AB1960" s="8"/>
      <c r="AC1960" s="8">
        <v>6.04</v>
      </c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11"/>
      <c r="AQ1960" s="8"/>
      <c r="AR1960" s="8"/>
      <c r="AS1960" s="8"/>
      <c r="AT1960" s="8">
        <v>1062.6400000000001</v>
      </c>
      <c r="AU1960" s="8"/>
      <c r="AV1960" s="8"/>
      <c r="AW1960" s="8"/>
      <c r="AX1960" s="8"/>
      <c r="AY1960" s="8">
        <f>1437*10.78/1000</f>
        <v>15.49086</v>
      </c>
      <c r="AZ1960" s="8"/>
      <c r="BA1960" s="8"/>
      <c r="BB1960" s="8"/>
      <c r="BC1960" s="8"/>
      <c r="BD1960" s="8"/>
      <c r="BE1960" s="8"/>
      <c r="BF1960" s="8">
        <v>68.72</v>
      </c>
      <c r="BG1960" s="8">
        <v>80.12</v>
      </c>
      <c r="BH1960" s="9">
        <f t="shared" si="270"/>
        <v>1734.31</v>
      </c>
      <c r="BI1960" s="9">
        <f t="shared" si="271"/>
        <v>3.32</v>
      </c>
      <c r="BJ1960" s="9">
        <f t="shared" si="272"/>
        <v>6.95</v>
      </c>
      <c r="BK1960" s="9">
        <f t="shared" si="273"/>
        <v>19.66</v>
      </c>
      <c r="BL1960" s="9">
        <f t="shared" si="274"/>
        <v>0</v>
      </c>
      <c r="BM1960" s="9">
        <f t="shared" si="275"/>
        <v>6.04</v>
      </c>
      <c r="BN1960" s="9">
        <f t="shared" si="276"/>
        <v>1062.6400000000001</v>
      </c>
      <c r="BO1960" s="9">
        <f t="shared" si="277"/>
        <v>15.49086</v>
      </c>
      <c r="BP1960" s="9">
        <f t="shared" si="278"/>
        <v>68.72</v>
      </c>
    </row>
    <row r="1961" spans="1:68">
      <c r="A1961" s="6">
        <v>44896</v>
      </c>
      <c r="B1961" s="7">
        <v>3106</v>
      </c>
      <c r="C1961" s="8">
        <v>6136.96</v>
      </c>
      <c r="D1961" s="8"/>
      <c r="E1961" s="8"/>
      <c r="F1961" s="8"/>
      <c r="G1961" s="8"/>
      <c r="H1961" s="8"/>
      <c r="I1961" s="8"/>
      <c r="J1961" s="8"/>
      <c r="K1961" s="8"/>
      <c r="L1961" s="8"/>
      <c r="M1961" s="8">
        <v>16.59</v>
      </c>
      <c r="N1961" s="8"/>
      <c r="O1961" s="8"/>
      <c r="P1961" s="8"/>
      <c r="Q1961" s="11"/>
      <c r="R1961" s="11"/>
      <c r="S1961" s="8">
        <v>18.46</v>
      </c>
      <c r="T1961" s="8"/>
      <c r="U1961" s="8">
        <v>78.040000000000006</v>
      </c>
      <c r="V1961" s="8"/>
      <c r="W1961" s="8"/>
      <c r="X1961" s="8"/>
      <c r="Y1961" s="8"/>
      <c r="Z1961" s="8"/>
      <c r="AA1961" s="8"/>
      <c r="AB1961" s="8"/>
      <c r="AC1961" s="8">
        <v>15.35</v>
      </c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11"/>
      <c r="AQ1961" s="8"/>
      <c r="AR1961" s="8"/>
      <c r="AS1961" s="8"/>
      <c r="AT1961" s="8">
        <v>3500.09</v>
      </c>
      <c r="AU1961" s="8"/>
      <c r="AV1961" s="8"/>
      <c r="AW1961" s="8"/>
      <c r="AX1961" s="8">
        <v>7.68</v>
      </c>
      <c r="AY1961" s="8"/>
      <c r="AZ1961" s="8"/>
      <c r="BA1961" s="8"/>
      <c r="BB1961" s="8"/>
      <c r="BC1961" s="8"/>
      <c r="BD1961" s="8"/>
      <c r="BE1961" s="8"/>
      <c r="BF1961" s="8"/>
      <c r="BG1961" s="8">
        <v>263.81</v>
      </c>
      <c r="BH1961" s="9">
        <f t="shared" si="270"/>
        <v>6136.96</v>
      </c>
      <c r="BI1961" s="9">
        <f t="shared" si="271"/>
        <v>16.59</v>
      </c>
      <c r="BJ1961" s="9">
        <f t="shared" si="272"/>
        <v>18.46</v>
      </c>
      <c r="BK1961" s="9">
        <f t="shared" si="273"/>
        <v>78.040000000000006</v>
      </c>
      <c r="BL1961" s="9">
        <f t="shared" si="274"/>
        <v>0</v>
      </c>
      <c r="BM1961" s="9">
        <f t="shared" si="275"/>
        <v>15.35</v>
      </c>
      <c r="BN1961" s="9">
        <f t="shared" si="276"/>
        <v>3500.09</v>
      </c>
      <c r="BO1961" s="9">
        <f t="shared" si="277"/>
        <v>7.68</v>
      </c>
      <c r="BP1961" s="9">
        <f t="shared" si="278"/>
        <v>0</v>
      </c>
    </row>
    <row r="1962" spans="1:68">
      <c r="A1962" s="6">
        <v>44896</v>
      </c>
      <c r="B1962" s="7">
        <v>3112</v>
      </c>
      <c r="C1962" s="8">
        <v>3136.45</v>
      </c>
      <c r="D1962" s="8"/>
      <c r="E1962" s="8"/>
      <c r="F1962" s="8"/>
      <c r="G1962" s="8"/>
      <c r="H1962" s="8"/>
      <c r="I1962" s="8"/>
      <c r="J1962" s="8"/>
      <c r="K1962" s="8"/>
      <c r="L1962" s="8"/>
      <c r="M1962" s="8">
        <v>3.13</v>
      </c>
      <c r="N1962" s="8">
        <v>3.15</v>
      </c>
      <c r="O1962" s="8"/>
      <c r="P1962" s="8"/>
      <c r="Q1962" s="11"/>
      <c r="R1962" s="11"/>
      <c r="S1962" s="8">
        <v>9.42</v>
      </c>
      <c r="T1962" s="8"/>
      <c r="U1962" s="8">
        <v>31.36</v>
      </c>
      <c r="V1962" s="8"/>
      <c r="W1962" s="8"/>
      <c r="X1962" s="8"/>
      <c r="Y1962" s="8"/>
      <c r="Z1962" s="8"/>
      <c r="AA1962" s="8"/>
      <c r="AB1962" s="8"/>
      <c r="AC1962" s="8">
        <v>12.54</v>
      </c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11"/>
      <c r="AQ1962" s="8"/>
      <c r="AR1962" s="8"/>
      <c r="AS1962" s="8"/>
      <c r="AT1962" s="8">
        <v>1312.76</v>
      </c>
      <c r="AU1962" s="8"/>
      <c r="AV1962" s="8"/>
      <c r="AW1962" s="8"/>
      <c r="AX1962" s="8"/>
      <c r="AY1962" s="8"/>
      <c r="AZ1962" s="8"/>
      <c r="BA1962" s="8">
        <v>41.46</v>
      </c>
      <c r="BB1962" s="8"/>
      <c r="BC1962" s="8"/>
      <c r="BD1962" s="8"/>
      <c r="BE1962" s="8"/>
      <c r="BF1962" s="8"/>
      <c r="BG1962" s="8">
        <v>93.95</v>
      </c>
      <c r="BH1962" s="9">
        <f t="shared" si="270"/>
        <v>3136.45</v>
      </c>
      <c r="BI1962" s="9">
        <f t="shared" si="271"/>
        <v>6.2799999999999994</v>
      </c>
      <c r="BJ1962" s="9">
        <f t="shared" si="272"/>
        <v>9.42</v>
      </c>
      <c r="BK1962" s="9">
        <f t="shared" si="273"/>
        <v>31.36</v>
      </c>
      <c r="BL1962" s="9">
        <f t="shared" si="274"/>
        <v>0</v>
      </c>
      <c r="BM1962" s="9">
        <f t="shared" si="275"/>
        <v>12.54</v>
      </c>
      <c r="BN1962" s="9">
        <f t="shared" si="276"/>
        <v>1312.76</v>
      </c>
      <c r="BO1962" s="9">
        <f t="shared" si="277"/>
        <v>41.46</v>
      </c>
      <c r="BP1962" s="9">
        <f t="shared" si="278"/>
        <v>0</v>
      </c>
    </row>
    <row r="1963" spans="1:68">
      <c r="A1963" s="6">
        <v>44896</v>
      </c>
      <c r="B1963" s="7">
        <v>3200</v>
      </c>
      <c r="C1963" s="8">
        <f>4399.76+32.7</f>
        <v>4432.46</v>
      </c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>
        <f>0.08+11.01</f>
        <v>11.09</v>
      </c>
      <c r="P1963" s="8"/>
      <c r="Q1963" s="11"/>
      <c r="R1963" s="11"/>
      <c r="S1963" s="8">
        <f>0.13+17.16</f>
        <v>17.29</v>
      </c>
      <c r="T1963" s="8"/>
      <c r="U1963" s="8">
        <f>65.98+0.49</f>
        <v>66.47</v>
      </c>
      <c r="V1963" s="8"/>
      <c r="W1963" s="8"/>
      <c r="X1963" s="8"/>
      <c r="Y1963" s="8"/>
      <c r="Z1963" s="8">
        <f>6.89+924.95</f>
        <v>931.84</v>
      </c>
      <c r="AA1963" s="8"/>
      <c r="AB1963" s="8"/>
      <c r="AC1963" s="8"/>
      <c r="AD1963" s="8"/>
      <c r="AE1963" s="8"/>
      <c r="AF1963" s="8">
        <f>1.64+219.7</f>
        <v>221.33999999999997</v>
      </c>
      <c r="AG1963" s="8"/>
      <c r="AH1963" s="8"/>
      <c r="AI1963" s="8"/>
      <c r="AJ1963" s="8"/>
      <c r="AK1963" s="8"/>
      <c r="AL1963" s="8"/>
      <c r="AM1963" s="8"/>
      <c r="AN1963" s="8"/>
      <c r="AO1963" s="8"/>
      <c r="AP1963" s="11"/>
      <c r="AQ1963" s="8">
        <f>1530*44.32/1000</f>
        <v>67.809600000000003</v>
      </c>
      <c r="AR1963" s="8"/>
      <c r="AS1963" s="8"/>
      <c r="AT1963" s="8">
        <f>3014.43+22.34</f>
        <v>3036.77</v>
      </c>
      <c r="AU1963" s="8"/>
      <c r="AV1963" s="8"/>
      <c r="AW1963" s="8">
        <f>0.1+12.73</f>
        <v>12.83</v>
      </c>
      <c r="AX1963" s="8"/>
      <c r="AY1963" s="8"/>
      <c r="AZ1963" s="8"/>
      <c r="BA1963" s="8"/>
      <c r="BB1963" s="8"/>
      <c r="BC1963" s="8"/>
      <c r="BD1963" s="8"/>
      <c r="BE1963" s="8"/>
      <c r="BF1963" s="8">
        <f>0.93+211.18</f>
        <v>212.11</v>
      </c>
      <c r="BG1963" s="8">
        <f>1.61+217.92</f>
        <v>219.53</v>
      </c>
      <c r="BH1963" s="9">
        <f t="shared" si="270"/>
        <v>4432.46</v>
      </c>
      <c r="BI1963" s="9">
        <f t="shared" si="271"/>
        <v>11.09</v>
      </c>
      <c r="BJ1963" s="9">
        <f t="shared" si="272"/>
        <v>17.29</v>
      </c>
      <c r="BK1963" s="9">
        <f t="shared" si="273"/>
        <v>66.47</v>
      </c>
      <c r="BL1963" s="9">
        <f t="shared" si="274"/>
        <v>931.84</v>
      </c>
      <c r="BM1963" s="9">
        <f t="shared" si="275"/>
        <v>289.14959999999996</v>
      </c>
      <c r="BN1963" s="9">
        <f t="shared" si="276"/>
        <v>3036.77</v>
      </c>
      <c r="BO1963" s="9">
        <f t="shared" si="277"/>
        <v>12.83</v>
      </c>
      <c r="BP1963" s="9">
        <f t="shared" si="278"/>
        <v>212.11</v>
      </c>
    </row>
    <row r="1964" spans="1:68">
      <c r="A1964" s="6">
        <v>44896</v>
      </c>
      <c r="B1964" s="7">
        <v>3705</v>
      </c>
      <c r="C1964" s="8"/>
      <c r="D1964" s="8">
        <v>1363.83</v>
      </c>
      <c r="E1964" s="8"/>
      <c r="F1964" s="8"/>
      <c r="G1964" s="8"/>
      <c r="H1964" s="8"/>
      <c r="I1964" s="8">
        <v>298.39999999999998</v>
      </c>
      <c r="J1964" s="8"/>
      <c r="K1964" s="8"/>
      <c r="L1964" s="8"/>
      <c r="M1964" s="8">
        <v>4.99</v>
      </c>
      <c r="N1964" s="8"/>
      <c r="O1964" s="8"/>
      <c r="P1964" s="8"/>
      <c r="Q1964" s="11"/>
      <c r="R1964" s="11"/>
      <c r="S1964" s="8">
        <v>5.81</v>
      </c>
      <c r="T1964" s="8"/>
      <c r="U1964" s="8">
        <v>11.64</v>
      </c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11"/>
      <c r="AQ1964" s="8"/>
      <c r="AR1964" s="8"/>
      <c r="AS1964" s="8"/>
      <c r="AT1964" s="8">
        <v>98.21</v>
      </c>
      <c r="AU1964" s="8">
        <v>194.83</v>
      </c>
      <c r="AV1964" s="8">
        <v>3.32</v>
      </c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>
        <v>16.32</v>
      </c>
      <c r="BH1964" s="9">
        <f t="shared" si="270"/>
        <v>1662.23</v>
      </c>
      <c r="BI1964" s="9">
        <f t="shared" si="271"/>
        <v>4.99</v>
      </c>
      <c r="BJ1964" s="9">
        <f t="shared" si="272"/>
        <v>5.81</v>
      </c>
      <c r="BK1964" s="9">
        <f t="shared" si="273"/>
        <v>11.64</v>
      </c>
      <c r="BL1964" s="9">
        <f t="shared" si="274"/>
        <v>0</v>
      </c>
      <c r="BM1964" s="9">
        <f t="shared" si="275"/>
        <v>0</v>
      </c>
      <c r="BN1964" s="9">
        <f t="shared" si="276"/>
        <v>293.04000000000002</v>
      </c>
      <c r="BO1964" s="9">
        <f t="shared" si="277"/>
        <v>3.32</v>
      </c>
      <c r="BP1964" s="9">
        <f t="shared" si="278"/>
        <v>0</v>
      </c>
    </row>
    <row r="1965" spans="1:68">
      <c r="A1965" s="6">
        <v>44897</v>
      </c>
      <c r="B1965" s="7">
        <v>3602</v>
      </c>
      <c r="C1965" s="8">
        <v>565.79999999999995</v>
      </c>
      <c r="D1965" s="8"/>
      <c r="E1965" s="8"/>
      <c r="F1965" s="8"/>
      <c r="G1965" s="8">
        <v>849.09</v>
      </c>
      <c r="H1965" s="8"/>
      <c r="I1965" s="8"/>
      <c r="J1965" s="8"/>
      <c r="K1965" s="8"/>
      <c r="L1965" s="8"/>
      <c r="M1965" s="8">
        <v>1.5</v>
      </c>
      <c r="N1965" s="8"/>
      <c r="O1965" s="8"/>
      <c r="P1965" s="8"/>
      <c r="Q1965" s="11"/>
      <c r="R1965" s="11"/>
      <c r="S1965" s="8">
        <v>6.81</v>
      </c>
      <c r="T1965" s="8"/>
      <c r="U1965" s="8">
        <v>11.36</v>
      </c>
      <c r="V1965" s="8">
        <f>835*16.22/1000</f>
        <v>13.543699999999999</v>
      </c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11"/>
      <c r="AQ1965" s="8"/>
      <c r="AR1965" s="8"/>
      <c r="AS1965" s="8"/>
      <c r="AT1965" s="8">
        <v>572.24</v>
      </c>
      <c r="AU1965" s="8"/>
      <c r="AV1965" s="8"/>
      <c r="AW1965" s="8">
        <v>36.68</v>
      </c>
      <c r="AX1965" s="8"/>
      <c r="AY1965" s="8"/>
      <c r="AZ1965" s="8"/>
      <c r="BA1965" s="8"/>
      <c r="BB1965" s="8"/>
      <c r="BC1965" s="8"/>
      <c r="BD1965" s="8"/>
      <c r="BE1965" s="8"/>
      <c r="BF1965" s="8">
        <v>45.47</v>
      </c>
      <c r="BG1965" s="8">
        <v>42.16</v>
      </c>
      <c r="BH1965" s="9">
        <f t="shared" si="270"/>
        <v>1414.8899999999999</v>
      </c>
      <c r="BI1965" s="9">
        <f t="shared" si="271"/>
        <v>1.5</v>
      </c>
      <c r="BJ1965" s="9">
        <f t="shared" si="272"/>
        <v>6.81</v>
      </c>
      <c r="BK1965" s="9">
        <f t="shared" si="273"/>
        <v>24.903700000000001</v>
      </c>
      <c r="BL1965" s="9">
        <f t="shared" si="274"/>
        <v>0</v>
      </c>
      <c r="BM1965" s="9">
        <f t="shared" si="275"/>
        <v>0</v>
      </c>
      <c r="BN1965" s="9">
        <f t="shared" si="276"/>
        <v>572.24</v>
      </c>
      <c r="BO1965" s="9">
        <f t="shared" si="277"/>
        <v>36.68</v>
      </c>
      <c r="BP1965" s="9">
        <f t="shared" si="278"/>
        <v>45.47</v>
      </c>
    </row>
    <row r="1966" spans="1:68">
      <c r="A1966" s="6">
        <v>44897</v>
      </c>
      <c r="B1966" s="7">
        <v>3141</v>
      </c>
      <c r="C1966" s="8">
        <v>2458.67</v>
      </c>
      <c r="D1966" s="8">
        <v>433.86</v>
      </c>
      <c r="E1966" s="8"/>
      <c r="F1966" s="8"/>
      <c r="G1966" s="8"/>
      <c r="H1966" s="8"/>
      <c r="I1966" s="8"/>
      <c r="J1966" s="8"/>
      <c r="K1966" s="8"/>
      <c r="L1966" s="8"/>
      <c r="M1966" s="8">
        <v>8.1</v>
      </c>
      <c r="N1966" s="8"/>
      <c r="O1966" s="8"/>
      <c r="P1966" s="8"/>
      <c r="Q1966" s="11"/>
      <c r="R1966" s="11"/>
      <c r="S1966" s="8">
        <v>13.61</v>
      </c>
      <c r="T1966" s="8"/>
      <c r="U1966" s="8">
        <v>43.41</v>
      </c>
      <c r="V1966" s="8"/>
      <c r="W1966" s="8"/>
      <c r="X1966" s="8"/>
      <c r="Y1966" s="8"/>
      <c r="Z1966" s="8"/>
      <c r="AA1966" s="8"/>
      <c r="AB1966" s="8"/>
      <c r="AC1966" s="8">
        <v>11.57</v>
      </c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11"/>
      <c r="AQ1966" s="8"/>
      <c r="AR1966" s="8"/>
      <c r="AS1966" s="8"/>
      <c r="AT1966" s="8">
        <v>1914.66</v>
      </c>
      <c r="AU1966" s="8"/>
      <c r="AV1966" s="8"/>
      <c r="AW1966" s="8"/>
      <c r="AX1966" s="8"/>
      <c r="AY1966" s="8"/>
      <c r="AZ1966" s="8"/>
      <c r="BA1966" s="8">
        <v>66.31</v>
      </c>
      <c r="BB1966" s="8"/>
      <c r="BC1966" s="8"/>
      <c r="BD1966" s="8"/>
      <c r="BE1966" s="8"/>
      <c r="BF1966" s="8">
        <v>203.49</v>
      </c>
      <c r="BG1966" s="8">
        <v>150.4</v>
      </c>
      <c r="BH1966" s="9">
        <f t="shared" si="270"/>
        <v>2892.53</v>
      </c>
      <c r="BI1966" s="9">
        <f t="shared" si="271"/>
        <v>8.1</v>
      </c>
      <c r="BJ1966" s="9">
        <f t="shared" si="272"/>
        <v>13.61</v>
      </c>
      <c r="BK1966" s="9">
        <f t="shared" si="273"/>
        <v>43.41</v>
      </c>
      <c r="BL1966" s="9">
        <f t="shared" si="274"/>
        <v>0</v>
      </c>
      <c r="BM1966" s="9">
        <f t="shared" si="275"/>
        <v>11.57</v>
      </c>
      <c r="BN1966" s="9">
        <f t="shared" si="276"/>
        <v>1914.66</v>
      </c>
      <c r="BO1966" s="9">
        <f t="shared" si="277"/>
        <v>66.31</v>
      </c>
      <c r="BP1966" s="9">
        <f t="shared" si="278"/>
        <v>203.49</v>
      </c>
    </row>
    <row r="1967" spans="1:68">
      <c r="A1967" s="6">
        <v>44897</v>
      </c>
      <c r="B1967" s="7">
        <v>3134</v>
      </c>
      <c r="C1967" s="8">
        <f>1065.25+34.54</f>
        <v>1099.79</v>
      </c>
      <c r="D1967" s="8">
        <f>150.84+4.89</f>
        <v>155.72999999999999</v>
      </c>
      <c r="E1967" s="8"/>
      <c r="F1967" s="8"/>
      <c r="G1967" s="8"/>
      <c r="H1967" s="8">
        <f>504.66+15.91</f>
        <v>520.57000000000005</v>
      </c>
      <c r="I1967" s="8"/>
      <c r="J1967" s="8"/>
      <c r="K1967" s="8"/>
      <c r="L1967" s="8"/>
      <c r="M1967" s="8">
        <f>3.29+0.11</f>
        <v>3.4</v>
      </c>
      <c r="N1967" s="8"/>
      <c r="O1967" s="8"/>
      <c r="P1967" s="8"/>
      <c r="Q1967" s="11"/>
      <c r="R1967" s="11"/>
      <c r="S1967" s="8">
        <f>6.88+0.22</f>
        <v>7.1</v>
      </c>
      <c r="T1967" s="8"/>
      <c r="U1967" s="8">
        <f>19.47+0.63</f>
        <v>20.099999999999998</v>
      </c>
      <c r="V1967" s="8"/>
      <c r="W1967" s="8"/>
      <c r="X1967" s="8"/>
      <c r="Y1967" s="8"/>
      <c r="Z1967" s="8"/>
      <c r="AA1967" s="8"/>
      <c r="AB1967" s="8"/>
      <c r="AC1967" s="8">
        <f>5.98+0.19</f>
        <v>6.1700000000000008</v>
      </c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11"/>
      <c r="AQ1967" s="8"/>
      <c r="AR1967" s="8"/>
      <c r="AS1967" s="8"/>
      <c r="AT1967" s="8">
        <f>1052.04+33.36</f>
        <v>1085.3999999999999</v>
      </c>
      <c r="AU1967" s="8"/>
      <c r="AV1967" s="8"/>
      <c r="AW1967" s="8"/>
      <c r="AX1967" s="8"/>
      <c r="AY1967" s="8">
        <f>1406*11.02/1000</f>
        <v>15.494119999999999</v>
      </c>
      <c r="AZ1967" s="8"/>
      <c r="BA1967" s="8"/>
      <c r="BB1967" s="8"/>
      <c r="BC1967" s="8"/>
      <c r="BD1967" s="8"/>
      <c r="BE1967" s="8"/>
      <c r="BF1967" s="8">
        <f>67.22+1.48</f>
        <v>68.7</v>
      </c>
      <c r="BG1967" s="8">
        <f>79.23+2.53</f>
        <v>81.760000000000005</v>
      </c>
      <c r="BH1967" s="9">
        <f t="shared" si="270"/>
        <v>1776.0900000000001</v>
      </c>
      <c r="BI1967" s="9">
        <f t="shared" si="271"/>
        <v>3.4</v>
      </c>
      <c r="BJ1967" s="9">
        <f t="shared" si="272"/>
        <v>7.1</v>
      </c>
      <c r="BK1967" s="9">
        <f t="shared" si="273"/>
        <v>20.099999999999998</v>
      </c>
      <c r="BL1967" s="9">
        <f t="shared" si="274"/>
        <v>0</v>
      </c>
      <c r="BM1967" s="9">
        <f t="shared" si="275"/>
        <v>6.1700000000000008</v>
      </c>
      <c r="BN1967" s="9">
        <f t="shared" si="276"/>
        <v>1085.3999999999999</v>
      </c>
      <c r="BO1967" s="9">
        <f t="shared" si="277"/>
        <v>15.494119999999999</v>
      </c>
      <c r="BP1967" s="9">
        <f t="shared" si="278"/>
        <v>68.7</v>
      </c>
    </row>
    <row r="1968" spans="1:68">
      <c r="A1968" s="6">
        <v>44897</v>
      </c>
      <c r="B1968" s="7">
        <v>3106</v>
      </c>
      <c r="C1968" s="8">
        <v>4145.28</v>
      </c>
      <c r="D1968" s="8"/>
      <c r="E1968" s="8"/>
      <c r="F1968" s="8"/>
      <c r="G1968" s="8"/>
      <c r="H1968" s="8"/>
      <c r="I1968" s="8"/>
      <c r="J1968" s="8"/>
      <c r="K1968" s="8"/>
      <c r="L1968" s="8"/>
      <c r="M1968" s="8">
        <v>10.38</v>
      </c>
      <c r="N1968" s="8"/>
      <c r="O1968" s="8"/>
      <c r="P1968" s="8"/>
      <c r="Q1968" s="11"/>
      <c r="R1968" s="11"/>
      <c r="S1968" s="8">
        <v>12.47</v>
      </c>
      <c r="T1968" s="8"/>
      <c r="U1968" s="8">
        <v>52.73</v>
      </c>
      <c r="V1968" s="8"/>
      <c r="W1968" s="8"/>
      <c r="X1968" s="8"/>
      <c r="Y1968" s="8"/>
      <c r="Z1968" s="8"/>
      <c r="AA1968" s="8"/>
      <c r="AB1968" s="8"/>
      <c r="AC1968" s="8">
        <v>10.37</v>
      </c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11"/>
      <c r="AQ1968" s="8"/>
      <c r="AR1968" s="8"/>
      <c r="AS1968" s="8"/>
      <c r="AT1968" s="8">
        <v>2363.8200000000002</v>
      </c>
      <c r="AU1968" s="8"/>
      <c r="AV1968" s="8"/>
      <c r="AW1968" s="8"/>
      <c r="AX1968" s="8">
        <v>5.19</v>
      </c>
      <c r="AY1968" s="8"/>
      <c r="AZ1968" s="8"/>
      <c r="BA1968" s="8"/>
      <c r="BB1968" s="8"/>
      <c r="BC1968" s="8"/>
      <c r="BD1968" s="8"/>
      <c r="BE1968" s="8"/>
      <c r="BF1968" s="8"/>
      <c r="BG1968" s="8">
        <v>178.39</v>
      </c>
      <c r="BH1968" s="9">
        <f t="shared" si="270"/>
        <v>4145.28</v>
      </c>
      <c r="BI1968" s="9">
        <f t="shared" si="271"/>
        <v>10.38</v>
      </c>
      <c r="BJ1968" s="9">
        <f t="shared" si="272"/>
        <v>12.47</v>
      </c>
      <c r="BK1968" s="9">
        <f t="shared" si="273"/>
        <v>52.73</v>
      </c>
      <c r="BL1968" s="9">
        <f t="shared" si="274"/>
        <v>0</v>
      </c>
      <c r="BM1968" s="9">
        <f t="shared" si="275"/>
        <v>10.37</v>
      </c>
      <c r="BN1968" s="9">
        <f t="shared" si="276"/>
        <v>2363.8200000000002</v>
      </c>
      <c r="BO1968" s="9">
        <f t="shared" si="277"/>
        <v>5.19</v>
      </c>
      <c r="BP1968" s="9">
        <f t="shared" si="278"/>
        <v>0</v>
      </c>
    </row>
    <row r="1969" spans="1:68">
      <c r="A1969" s="6">
        <v>44897</v>
      </c>
      <c r="B1969" s="7">
        <v>3121</v>
      </c>
      <c r="C1969" s="8">
        <v>856.34</v>
      </c>
      <c r="D1969" s="8"/>
      <c r="E1969" s="8"/>
      <c r="F1969" s="8"/>
      <c r="G1969" s="8"/>
      <c r="H1969" s="8"/>
      <c r="I1969" s="8"/>
      <c r="J1969" s="8"/>
      <c r="K1969" s="8"/>
      <c r="L1969" s="8"/>
      <c r="M1969" s="8">
        <v>2.14</v>
      </c>
      <c r="N1969" s="8"/>
      <c r="O1969" s="8"/>
      <c r="P1969" s="8"/>
      <c r="Q1969" s="11"/>
      <c r="R1969" s="11"/>
      <c r="S1969" s="8">
        <v>2.75</v>
      </c>
      <c r="T1969" s="8"/>
      <c r="U1969" s="8">
        <v>8.59</v>
      </c>
      <c r="V1969" s="8"/>
      <c r="W1969" s="8"/>
      <c r="X1969" s="8"/>
      <c r="Y1969" s="8"/>
      <c r="Z1969" s="8"/>
      <c r="AA1969" s="8"/>
      <c r="AB1969" s="8"/>
      <c r="AC1969" s="8">
        <v>3.42</v>
      </c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11">
        <f>2233*3.88/1000</f>
        <v>8.6640399999999982</v>
      </c>
      <c r="AQ1969" s="8"/>
      <c r="AR1969" s="8"/>
      <c r="AS1969" s="8"/>
      <c r="AT1969" s="8">
        <v>453.42</v>
      </c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>
        <v>33.479999999999997</v>
      </c>
      <c r="BH1969" s="9">
        <f t="shared" si="270"/>
        <v>856.34</v>
      </c>
      <c r="BI1969" s="9">
        <f t="shared" si="271"/>
        <v>2.14</v>
      </c>
      <c r="BJ1969" s="9">
        <f t="shared" si="272"/>
        <v>2.75</v>
      </c>
      <c r="BK1969" s="9">
        <f t="shared" si="273"/>
        <v>8.59</v>
      </c>
      <c r="BL1969" s="9">
        <f t="shared" si="274"/>
        <v>0</v>
      </c>
      <c r="BM1969" s="9">
        <f t="shared" si="275"/>
        <v>12.084039999999998</v>
      </c>
      <c r="BN1969" s="9">
        <f t="shared" si="276"/>
        <v>453.42</v>
      </c>
      <c r="BO1969" s="9">
        <f t="shared" si="277"/>
        <v>0</v>
      </c>
      <c r="BP1969" s="9">
        <f t="shared" si="278"/>
        <v>0</v>
      </c>
    </row>
    <row r="1970" spans="1:68">
      <c r="A1970" s="6">
        <v>44897</v>
      </c>
      <c r="B1970" s="7">
        <v>3127</v>
      </c>
      <c r="C1970" s="8">
        <v>1109.6400000000001</v>
      </c>
      <c r="D1970" s="8"/>
      <c r="E1970" s="8"/>
      <c r="F1970" s="8"/>
      <c r="G1970" s="8"/>
      <c r="H1970" s="8"/>
      <c r="I1970" s="8"/>
      <c r="J1970" s="8"/>
      <c r="K1970" s="8"/>
      <c r="L1970" s="8"/>
      <c r="M1970" s="8">
        <v>3.2</v>
      </c>
      <c r="N1970" s="8"/>
      <c r="O1970" s="8"/>
      <c r="P1970" s="8"/>
      <c r="Q1970" s="11"/>
      <c r="R1970" s="11"/>
      <c r="S1970" s="8">
        <v>5.12</v>
      </c>
      <c r="T1970" s="8"/>
      <c r="U1970" s="8">
        <v>11.1</v>
      </c>
      <c r="V1970" s="8"/>
      <c r="W1970" s="8"/>
      <c r="X1970" s="8"/>
      <c r="Y1970" s="8"/>
      <c r="Z1970" s="8">
        <v>166.6</v>
      </c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11"/>
      <c r="AQ1970" s="8"/>
      <c r="AR1970" s="8"/>
      <c r="AS1970" s="8"/>
      <c r="AT1970" s="8">
        <v>543.6</v>
      </c>
      <c r="AU1970" s="8"/>
      <c r="AV1970" s="8">
        <v>22.18</v>
      </c>
      <c r="AW1970" s="8"/>
      <c r="AX1970" s="8"/>
      <c r="AY1970" s="8"/>
      <c r="AZ1970" s="8"/>
      <c r="BA1970" s="8"/>
      <c r="BB1970" s="8"/>
      <c r="BC1970" s="8"/>
      <c r="BD1970" s="8"/>
      <c r="BE1970" s="8"/>
      <c r="BF1970" s="8">
        <v>55.36</v>
      </c>
      <c r="BG1970" s="8">
        <v>38.85</v>
      </c>
      <c r="BH1970" s="9">
        <f t="shared" si="270"/>
        <v>1109.6400000000001</v>
      </c>
      <c r="BI1970" s="9">
        <f t="shared" si="271"/>
        <v>3.2</v>
      </c>
      <c r="BJ1970" s="9">
        <f t="shared" si="272"/>
        <v>5.12</v>
      </c>
      <c r="BK1970" s="9">
        <f t="shared" si="273"/>
        <v>11.1</v>
      </c>
      <c r="BL1970" s="9">
        <f t="shared" si="274"/>
        <v>166.6</v>
      </c>
      <c r="BM1970" s="9">
        <f t="shared" si="275"/>
        <v>0</v>
      </c>
      <c r="BN1970" s="9">
        <f t="shared" si="276"/>
        <v>543.6</v>
      </c>
      <c r="BO1970" s="9">
        <f t="shared" si="277"/>
        <v>22.18</v>
      </c>
      <c r="BP1970" s="9">
        <f t="shared" si="278"/>
        <v>55.36</v>
      </c>
    </row>
    <row r="1971" spans="1:68">
      <c r="A1971" s="6">
        <v>44897</v>
      </c>
      <c r="B1971" s="7">
        <v>3083</v>
      </c>
      <c r="C1971" s="8"/>
      <c r="D1971" s="8">
        <v>737.86</v>
      </c>
      <c r="E1971" s="8"/>
      <c r="F1971" s="8"/>
      <c r="G1971" s="8"/>
      <c r="H1971" s="8"/>
      <c r="I1971" s="8">
        <v>1721.36</v>
      </c>
      <c r="J1971" s="8"/>
      <c r="K1971" s="8"/>
      <c r="L1971" s="8"/>
      <c r="M1971" s="8"/>
      <c r="N1971" s="8">
        <v>15.52</v>
      </c>
      <c r="O1971" s="8"/>
      <c r="P1971" s="8"/>
      <c r="Q1971" s="11"/>
      <c r="R1971" s="11"/>
      <c r="S1971" s="8">
        <v>1.71</v>
      </c>
      <c r="T1971" s="8"/>
      <c r="U1971" s="8"/>
      <c r="V1971" s="8"/>
      <c r="W1971" s="8">
        <v>19.7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>
        <v>9.81</v>
      </c>
      <c r="AN1971" s="8">
        <f>1907*18.22/1000</f>
        <v>34.745539999999998</v>
      </c>
      <c r="AO1971" s="8"/>
      <c r="AP1971" s="11"/>
      <c r="AQ1971" s="8"/>
      <c r="AR1971" s="8">
        <f>3382*18.22/1000</f>
        <v>61.620039999999996</v>
      </c>
      <c r="AS1971" s="8"/>
      <c r="AT1971" s="8">
        <v>1157.95</v>
      </c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>
        <v>91.82</v>
      </c>
      <c r="BH1971" s="9">
        <f t="shared" si="270"/>
        <v>2459.2199999999998</v>
      </c>
      <c r="BI1971" s="9">
        <f t="shared" si="271"/>
        <v>15.52</v>
      </c>
      <c r="BJ1971" s="9">
        <f t="shared" si="272"/>
        <v>1.71</v>
      </c>
      <c r="BK1971" s="9">
        <f t="shared" si="273"/>
        <v>19.7</v>
      </c>
      <c r="BL1971" s="9">
        <f t="shared" si="274"/>
        <v>0</v>
      </c>
      <c r="BM1971" s="9">
        <f t="shared" si="275"/>
        <v>106.17558</v>
      </c>
      <c r="BN1971" s="9">
        <f t="shared" si="276"/>
        <v>1157.95</v>
      </c>
      <c r="BO1971" s="9">
        <f t="shared" si="277"/>
        <v>0</v>
      </c>
      <c r="BP1971" s="9">
        <f t="shared" si="278"/>
        <v>0</v>
      </c>
    </row>
    <row r="1972" spans="1:68">
      <c r="A1972" s="6">
        <v>44897</v>
      </c>
      <c r="B1972" s="7">
        <v>3016</v>
      </c>
      <c r="C1972" s="8"/>
      <c r="D1972" s="8">
        <v>1582.53</v>
      </c>
      <c r="E1972" s="8"/>
      <c r="F1972" s="8"/>
      <c r="G1972" s="8"/>
      <c r="H1972" s="8"/>
      <c r="I1972" s="8">
        <v>1461.47</v>
      </c>
      <c r="J1972" s="8"/>
      <c r="K1972" s="8"/>
      <c r="L1972" s="8"/>
      <c r="M1972" s="8"/>
      <c r="N1972" s="8">
        <v>18.27</v>
      </c>
      <c r="O1972" s="8"/>
      <c r="P1972" s="8"/>
      <c r="Q1972" s="11"/>
      <c r="R1972" s="11"/>
      <c r="S1972" s="8">
        <v>2.12</v>
      </c>
      <c r="T1972" s="8"/>
      <c r="U1972" s="8"/>
      <c r="V1972" s="8"/>
      <c r="W1972" s="8">
        <v>30.44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>
        <v>12.17</v>
      </c>
      <c r="AN1972" s="8">
        <f>2041*17.92/1000</f>
        <v>36.574719999999999</v>
      </c>
      <c r="AO1972" s="8"/>
      <c r="AP1972" s="11"/>
      <c r="AQ1972" s="8"/>
      <c r="AR1972" s="8">
        <f>4235*17.92/1000</f>
        <v>75.891200000000012</v>
      </c>
      <c r="AS1972" s="8"/>
      <c r="AT1972" s="8">
        <v>1130.08</v>
      </c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>
        <v>82.7</v>
      </c>
      <c r="BH1972" s="9">
        <f t="shared" si="270"/>
        <v>3044</v>
      </c>
      <c r="BI1972" s="9">
        <f t="shared" si="271"/>
        <v>18.27</v>
      </c>
      <c r="BJ1972" s="9">
        <f t="shared" si="272"/>
        <v>2.12</v>
      </c>
      <c r="BK1972" s="9">
        <f t="shared" si="273"/>
        <v>30.44</v>
      </c>
      <c r="BL1972" s="9">
        <f t="shared" si="274"/>
        <v>0</v>
      </c>
      <c r="BM1972" s="9">
        <f t="shared" si="275"/>
        <v>124.63592000000001</v>
      </c>
      <c r="BN1972" s="9">
        <f t="shared" si="276"/>
        <v>1130.08</v>
      </c>
      <c r="BO1972" s="9">
        <f t="shared" si="277"/>
        <v>0</v>
      </c>
      <c r="BP1972" s="9">
        <f t="shared" si="278"/>
        <v>0</v>
      </c>
    </row>
    <row r="1973" spans="1:68">
      <c r="A1973" s="6">
        <v>44897</v>
      </c>
      <c r="B1973" s="7">
        <v>3023</v>
      </c>
      <c r="C1973" s="8"/>
      <c r="D1973" s="8">
        <v>2417.61</v>
      </c>
      <c r="E1973" s="8"/>
      <c r="F1973" s="8"/>
      <c r="G1973" s="8"/>
      <c r="H1973" s="8"/>
      <c r="I1973" s="8">
        <v>1301.99</v>
      </c>
      <c r="J1973" s="8"/>
      <c r="K1973" s="8"/>
      <c r="L1973" s="8"/>
      <c r="M1973" s="8"/>
      <c r="N1973" s="8">
        <v>20.83</v>
      </c>
      <c r="O1973" s="8"/>
      <c r="P1973" s="8"/>
      <c r="Q1973" s="11"/>
      <c r="R1973" s="11"/>
      <c r="S1973" s="8">
        <v>5.96</v>
      </c>
      <c r="T1973" s="8"/>
      <c r="U1973" s="8"/>
      <c r="V1973" s="8"/>
      <c r="W1973" s="8">
        <v>33.479999999999997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>
        <v>37.130000000000003</v>
      </c>
      <c r="AN1973" s="8">
        <f>1044*25.65/1000</f>
        <v>26.778599999999997</v>
      </c>
      <c r="AO1973" s="8"/>
      <c r="AP1973" s="11"/>
      <c r="AQ1973" s="8"/>
      <c r="AR1973" s="8"/>
      <c r="AS1973" s="8">
        <f>4800*25.65/1000</f>
        <v>123.12</v>
      </c>
      <c r="AT1973" s="8">
        <v>1523.76</v>
      </c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>
        <v>115.37</v>
      </c>
      <c r="BH1973" s="9">
        <f t="shared" si="270"/>
        <v>3719.6000000000004</v>
      </c>
      <c r="BI1973" s="9">
        <f t="shared" si="271"/>
        <v>20.83</v>
      </c>
      <c r="BJ1973" s="9">
        <f t="shared" si="272"/>
        <v>5.96</v>
      </c>
      <c r="BK1973" s="9">
        <f t="shared" si="273"/>
        <v>33.479999999999997</v>
      </c>
      <c r="BL1973" s="9">
        <f t="shared" si="274"/>
        <v>0</v>
      </c>
      <c r="BM1973" s="9">
        <f t="shared" si="275"/>
        <v>187.02860000000001</v>
      </c>
      <c r="BN1973" s="9">
        <f t="shared" si="276"/>
        <v>1523.76</v>
      </c>
      <c r="BO1973" s="9">
        <f t="shared" si="277"/>
        <v>0</v>
      </c>
      <c r="BP1973" s="9">
        <f t="shared" si="278"/>
        <v>0</v>
      </c>
    </row>
    <row r="1974" spans="1:68">
      <c r="A1974" s="6">
        <v>44900</v>
      </c>
      <c r="B1974" s="7">
        <v>3141</v>
      </c>
      <c r="C1974" s="8">
        <v>2430.38</v>
      </c>
      <c r="D1974" s="8">
        <v>429.28</v>
      </c>
      <c r="E1974" s="8"/>
      <c r="F1974" s="8"/>
      <c r="G1974" s="8"/>
      <c r="H1974" s="8"/>
      <c r="I1974" s="8"/>
      <c r="J1974" s="8"/>
      <c r="K1974" s="8"/>
      <c r="L1974" s="8"/>
      <c r="M1974" s="8">
        <v>8.31</v>
      </c>
      <c r="N1974" s="8"/>
      <c r="O1974" s="8"/>
      <c r="P1974" s="8"/>
      <c r="Q1974" s="11"/>
      <c r="R1974" s="11"/>
      <c r="S1974" s="8">
        <v>13.46</v>
      </c>
      <c r="T1974" s="8"/>
      <c r="U1974" s="8">
        <v>42.95</v>
      </c>
      <c r="V1974" s="8"/>
      <c r="W1974" s="8"/>
      <c r="X1974" s="8"/>
      <c r="Y1974" s="8"/>
      <c r="Z1974" s="8"/>
      <c r="AA1974" s="8"/>
      <c r="AB1974" s="8"/>
      <c r="AC1974" s="8">
        <v>11.46</v>
      </c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11"/>
      <c r="AQ1974" s="8"/>
      <c r="AR1974" s="8"/>
      <c r="AS1974" s="8"/>
      <c r="AT1974" s="8">
        <v>1889.68</v>
      </c>
      <c r="AU1974" s="8"/>
      <c r="AV1974" s="8"/>
      <c r="AW1974" s="8"/>
      <c r="AX1974" s="8"/>
      <c r="AY1974" s="8"/>
      <c r="AZ1974" s="8"/>
      <c r="BA1974" s="8">
        <v>65.569999999999993</v>
      </c>
      <c r="BB1974" s="8"/>
      <c r="BC1974" s="8"/>
      <c r="BD1974" s="8"/>
      <c r="BE1974" s="8"/>
      <c r="BF1974" s="8">
        <v>200.53</v>
      </c>
      <c r="BG1974" s="8">
        <v>149.07</v>
      </c>
      <c r="BH1974" s="9">
        <f t="shared" si="270"/>
        <v>2859.66</v>
      </c>
      <c r="BI1974" s="9">
        <f t="shared" si="271"/>
        <v>8.31</v>
      </c>
      <c r="BJ1974" s="9">
        <f t="shared" si="272"/>
        <v>13.46</v>
      </c>
      <c r="BK1974" s="9">
        <f t="shared" si="273"/>
        <v>42.95</v>
      </c>
      <c r="BL1974" s="9">
        <f t="shared" si="274"/>
        <v>0</v>
      </c>
      <c r="BM1974" s="9">
        <f t="shared" si="275"/>
        <v>11.46</v>
      </c>
      <c r="BN1974" s="9">
        <f t="shared" si="276"/>
        <v>1889.68</v>
      </c>
      <c r="BO1974" s="9">
        <f t="shared" si="277"/>
        <v>65.569999999999993</v>
      </c>
      <c r="BP1974" s="9">
        <f t="shared" si="278"/>
        <v>200.53</v>
      </c>
    </row>
    <row r="1975" spans="1:68">
      <c r="A1975" s="6">
        <v>44900</v>
      </c>
      <c r="B1975" s="7">
        <v>3106</v>
      </c>
      <c r="C1975" s="8">
        <v>4089.04</v>
      </c>
      <c r="D1975" s="8"/>
      <c r="E1975" s="8"/>
      <c r="F1975" s="8"/>
      <c r="G1975" s="8"/>
      <c r="H1975" s="8"/>
      <c r="I1975" s="8"/>
      <c r="J1975" s="8"/>
      <c r="K1975" s="8"/>
      <c r="L1975" s="8"/>
      <c r="M1975" s="8">
        <v>11.06</v>
      </c>
      <c r="N1975" s="8"/>
      <c r="O1975" s="8"/>
      <c r="P1975" s="8"/>
      <c r="Q1975" s="11"/>
      <c r="R1975" s="11"/>
      <c r="S1975" s="8">
        <v>12.27</v>
      </c>
      <c r="T1975" s="8"/>
      <c r="U1975" s="8">
        <v>52.07</v>
      </c>
      <c r="V1975" s="8"/>
      <c r="W1975" s="8"/>
      <c r="X1975" s="8"/>
      <c r="Y1975" s="8"/>
      <c r="Z1975" s="8"/>
      <c r="AA1975" s="8"/>
      <c r="AB1975" s="8"/>
      <c r="AC1975" s="8">
        <v>10.24</v>
      </c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11"/>
      <c r="AQ1975" s="8"/>
      <c r="AR1975" s="8"/>
      <c r="AS1975" s="8"/>
      <c r="AT1975" s="8">
        <v>2335.98</v>
      </c>
      <c r="AU1975" s="8"/>
      <c r="AV1975" s="8"/>
      <c r="AW1975" s="8"/>
      <c r="AX1975" s="8">
        <v>5.12</v>
      </c>
      <c r="AY1975" s="8"/>
      <c r="AZ1975" s="8"/>
      <c r="BA1975" s="8"/>
      <c r="BB1975" s="8"/>
      <c r="BC1975" s="8"/>
      <c r="BD1975" s="8"/>
      <c r="BE1975" s="8"/>
      <c r="BF1975" s="8"/>
      <c r="BG1975" s="8">
        <v>175.96</v>
      </c>
      <c r="BH1975" s="9">
        <f t="shared" si="270"/>
        <v>4089.04</v>
      </c>
      <c r="BI1975" s="9">
        <f t="shared" si="271"/>
        <v>11.06</v>
      </c>
      <c r="BJ1975" s="9">
        <f t="shared" si="272"/>
        <v>12.27</v>
      </c>
      <c r="BK1975" s="9">
        <f t="shared" si="273"/>
        <v>52.07</v>
      </c>
      <c r="BL1975" s="9">
        <f t="shared" si="274"/>
        <v>0</v>
      </c>
      <c r="BM1975" s="9">
        <f t="shared" si="275"/>
        <v>10.24</v>
      </c>
      <c r="BN1975" s="9">
        <f t="shared" si="276"/>
        <v>2335.98</v>
      </c>
      <c r="BO1975" s="9">
        <f t="shared" si="277"/>
        <v>5.12</v>
      </c>
      <c r="BP1975" s="9">
        <f t="shared" si="278"/>
        <v>0</v>
      </c>
    </row>
    <row r="1976" spans="1:68">
      <c r="A1976" s="6">
        <v>44900</v>
      </c>
      <c r="B1976" s="7">
        <v>3029</v>
      </c>
      <c r="C1976" s="8"/>
      <c r="D1976" s="8">
        <v>470.79</v>
      </c>
      <c r="E1976" s="8"/>
      <c r="F1976" s="8">
        <v>331</v>
      </c>
      <c r="G1976" s="8"/>
      <c r="H1976" s="8"/>
      <c r="I1976" s="8">
        <v>1961.37</v>
      </c>
      <c r="J1976" s="8"/>
      <c r="K1976" s="8"/>
      <c r="L1976" s="8"/>
      <c r="M1976" s="8"/>
      <c r="N1976" s="8">
        <v>21.28</v>
      </c>
      <c r="O1976" s="8"/>
      <c r="P1976" s="8"/>
      <c r="Q1976" s="11"/>
      <c r="R1976" s="11"/>
      <c r="S1976" s="8">
        <v>1.65</v>
      </c>
      <c r="T1976" s="8"/>
      <c r="U1976" s="8"/>
      <c r="V1976" s="8"/>
      <c r="W1976" s="8">
        <v>27.65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>
        <v>9.61</v>
      </c>
      <c r="AN1976" s="8">
        <f>748*18.42/1000</f>
        <v>13.778160000000002</v>
      </c>
      <c r="AO1976" s="8"/>
      <c r="AP1976" s="11"/>
      <c r="AQ1976" s="8"/>
      <c r="AR1976" s="8">
        <f>4518*18.42/1000</f>
        <v>83.221560000000011</v>
      </c>
      <c r="AS1976" s="8"/>
      <c r="AT1976" s="8">
        <v>1049.6099999999999</v>
      </c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>
        <v>73.430000000000007</v>
      </c>
      <c r="BH1976" s="9">
        <f t="shared" si="270"/>
        <v>2763.16</v>
      </c>
      <c r="BI1976" s="9">
        <f t="shared" si="271"/>
        <v>21.28</v>
      </c>
      <c r="BJ1976" s="9">
        <f t="shared" si="272"/>
        <v>1.65</v>
      </c>
      <c r="BK1976" s="9">
        <f t="shared" si="273"/>
        <v>27.65</v>
      </c>
      <c r="BL1976" s="9">
        <f t="shared" si="274"/>
        <v>0</v>
      </c>
      <c r="BM1976" s="9">
        <f t="shared" si="275"/>
        <v>106.60972000000001</v>
      </c>
      <c r="BN1976" s="9">
        <f t="shared" si="276"/>
        <v>1049.6099999999999</v>
      </c>
      <c r="BO1976" s="9">
        <f t="shared" si="277"/>
        <v>0</v>
      </c>
      <c r="BP1976" s="9">
        <f t="shared" si="278"/>
        <v>0</v>
      </c>
    </row>
    <row r="1977" spans="1:68">
      <c r="A1977" s="6">
        <v>44900</v>
      </c>
      <c r="B1977" s="7">
        <v>3016</v>
      </c>
      <c r="C1977" s="8"/>
      <c r="D1977" s="8">
        <v>1582.78</v>
      </c>
      <c r="E1977" s="8"/>
      <c r="F1977" s="8"/>
      <c r="G1977" s="8"/>
      <c r="H1977" s="8"/>
      <c r="I1977" s="8">
        <v>1460.52</v>
      </c>
      <c r="J1977" s="8"/>
      <c r="K1977" s="8"/>
      <c r="L1977" s="8"/>
      <c r="M1977" s="8"/>
      <c r="N1977" s="8">
        <v>18.27</v>
      </c>
      <c r="O1977" s="8"/>
      <c r="P1977" s="8"/>
      <c r="Q1977" s="11"/>
      <c r="R1977" s="11"/>
      <c r="S1977" s="8">
        <v>2.13</v>
      </c>
      <c r="T1977" s="8"/>
      <c r="U1977" s="8"/>
      <c r="V1977" s="8"/>
      <c r="W1977" s="8">
        <v>30.45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>
        <v>12.16</v>
      </c>
      <c r="AN1977" s="8">
        <f>2044*17.92/1000</f>
        <v>36.628480000000003</v>
      </c>
      <c r="AO1977" s="8"/>
      <c r="AP1977" s="11"/>
      <c r="AQ1977" s="8"/>
      <c r="AR1977" s="8">
        <f>4239*17.92/1000</f>
        <v>75.962879999999998</v>
      </c>
      <c r="AS1977" s="8"/>
      <c r="AT1977" s="8">
        <v>1130.6300000000001</v>
      </c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>
        <v>82.92</v>
      </c>
      <c r="BH1977" s="9">
        <f t="shared" si="270"/>
        <v>3043.3</v>
      </c>
      <c r="BI1977" s="9">
        <f t="shared" si="271"/>
        <v>18.27</v>
      </c>
      <c r="BJ1977" s="9">
        <f t="shared" si="272"/>
        <v>2.13</v>
      </c>
      <c r="BK1977" s="9">
        <f t="shared" si="273"/>
        <v>30.45</v>
      </c>
      <c r="BL1977" s="9">
        <f t="shared" si="274"/>
        <v>0</v>
      </c>
      <c r="BM1977" s="9">
        <f t="shared" si="275"/>
        <v>124.75136000000001</v>
      </c>
      <c r="BN1977" s="9">
        <f t="shared" si="276"/>
        <v>1130.6300000000001</v>
      </c>
      <c r="BO1977" s="9">
        <f t="shared" si="277"/>
        <v>0</v>
      </c>
      <c r="BP1977" s="9">
        <f t="shared" si="278"/>
        <v>0</v>
      </c>
    </row>
    <row r="1978" spans="1:68">
      <c r="A1978" s="6">
        <v>44900</v>
      </c>
      <c r="B1978" s="7">
        <v>3021</v>
      </c>
      <c r="C1978" s="8"/>
      <c r="D1978" s="8">
        <v>201.96</v>
      </c>
      <c r="E1978" s="8"/>
      <c r="F1978" s="8"/>
      <c r="G1978" s="8"/>
      <c r="H1978" s="8"/>
      <c r="I1978" s="8">
        <v>374.47</v>
      </c>
      <c r="J1978" s="8"/>
      <c r="K1978" s="8"/>
      <c r="L1978" s="8"/>
      <c r="M1978" s="8"/>
      <c r="N1978" s="8">
        <v>3.05</v>
      </c>
      <c r="O1978" s="8"/>
      <c r="P1978" s="8"/>
      <c r="Q1978" s="11"/>
      <c r="R1978" s="11"/>
      <c r="S1978" s="8">
        <v>1.04</v>
      </c>
      <c r="T1978" s="8"/>
      <c r="U1978" s="8"/>
      <c r="V1978" s="8"/>
      <c r="W1978" s="8">
        <v>5.77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>
        <v>5.75</v>
      </c>
      <c r="AN1978" s="8"/>
      <c r="AO1978" s="8"/>
      <c r="AP1978" s="11"/>
      <c r="AQ1978" s="8"/>
      <c r="AR1978" s="8"/>
      <c r="AS1978" s="8">
        <f>2633*5.48/1000</f>
        <v>14.428840000000003</v>
      </c>
      <c r="AT1978" s="8">
        <v>271.27</v>
      </c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>
        <v>20.45</v>
      </c>
      <c r="BH1978" s="9">
        <f t="shared" si="270"/>
        <v>576.43000000000006</v>
      </c>
      <c r="BI1978" s="9">
        <f t="shared" si="271"/>
        <v>3.05</v>
      </c>
      <c r="BJ1978" s="9">
        <f t="shared" si="272"/>
        <v>1.04</v>
      </c>
      <c r="BK1978" s="9">
        <f t="shared" si="273"/>
        <v>5.77</v>
      </c>
      <c r="BL1978" s="9">
        <f t="shared" si="274"/>
        <v>0</v>
      </c>
      <c r="BM1978" s="9">
        <f t="shared" si="275"/>
        <v>20.178840000000001</v>
      </c>
      <c r="BN1978" s="9">
        <f t="shared" si="276"/>
        <v>271.27</v>
      </c>
      <c r="BO1978" s="9">
        <f t="shared" si="277"/>
        <v>0</v>
      </c>
      <c r="BP1978" s="9">
        <f t="shared" si="278"/>
        <v>0</v>
      </c>
    </row>
    <row r="1979" spans="1:68">
      <c r="A1979" s="6">
        <v>44900</v>
      </c>
      <c r="B1979" s="7">
        <v>3022</v>
      </c>
      <c r="C1979" s="8"/>
      <c r="D1979" s="8"/>
      <c r="E1979" s="8">
        <v>563.4</v>
      </c>
      <c r="F1979" s="8"/>
      <c r="G1979" s="8"/>
      <c r="H1979" s="8"/>
      <c r="I1979" s="8">
        <v>460.13</v>
      </c>
      <c r="J1979" s="8"/>
      <c r="K1979" s="8"/>
      <c r="L1979" s="8"/>
      <c r="M1979" s="8"/>
      <c r="N1979" s="8">
        <v>5.13</v>
      </c>
      <c r="O1979" s="8"/>
      <c r="P1979" s="8"/>
      <c r="Q1979" s="11"/>
      <c r="R1979" s="11"/>
      <c r="S1979" s="8">
        <v>1.84</v>
      </c>
      <c r="T1979" s="8"/>
      <c r="U1979" s="8"/>
      <c r="V1979" s="8"/>
      <c r="W1979" s="8">
        <v>10.25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>
        <v>13.3</v>
      </c>
      <c r="AN1979" s="8"/>
      <c r="AO1979" s="8"/>
      <c r="AP1979" s="11"/>
      <c r="AQ1979" s="8"/>
      <c r="AR1979" s="8"/>
      <c r="AS1979" s="8">
        <f>3912*9.32/1000</f>
        <v>36.459840000000007</v>
      </c>
      <c r="AT1979" s="8">
        <v>479.13</v>
      </c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>
        <v>36.840000000000003</v>
      </c>
      <c r="BH1979" s="9">
        <f t="shared" si="270"/>
        <v>1023.53</v>
      </c>
      <c r="BI1979" s="9">
        <f t="shared" si="271"/>
        <v>5.13</v>
      </c>
      <c r="BJ1979" s="9">
        <f t="shared" si="272"/>
        <v>1.84</v>
      </c>
      <c r="BK1979" s="9">
        <f t="shared" si="273"/>
        <v>10.25</v>
      </c>
      <c r="BL1979" s="9">
        <f t="shared" si="274"/>
        <v>0</v>
      </c>
      <c r="BM1979" s="9">
        <f t="shared" si="275"/>
        <v>49.759840000000011</v>
      </c>
      <c r="BN1979" s="9">
        <f t="shared" si="276"/>
        <v>479.13</v>
      </c>
      <c r="BO1979" s="9">
        <f t="shared" si="277"/>
        <v>0</v>
      </c>
      <c r="BP1979" s="9">
        <f t="shared" si="278"/>
        <v>0</v>
      </c>
    </row>
    <row r="1980" spans="1:68">
      <c r="A1980" s="6">
        <v>44900</v>
      </c>
      <c r="B1980" s="7">
        <v>3139</v>
      </c>
      <c r="C1980" s="8">
        <v>1577.21</v>
      </c>
      <c r="D1980" s="8"/>
      <c r="E1980" s="8"/>
      <c r="F1980" s="8"/>
      <c r="G1980" s="8"/>
      <c r="H1980" s="8">
        <v>654.28</v>
      </c>
      <c r="I1980" s="8"/>
      <c r="J1980" s="8"/>
      <c r="K1980" s="8"/>
      <c r="L1980" s="8"/>
      <c r="M1980" s="8">
        <v>3.7</v>
      </c>
      <c r="N1980" s="8"/>
      <c r="O1980" s="8"/>
      <c r="P1980" s="8"/>
      <c r="Q1980" s="11"/>
      <c r="R1980" s="11"/>
      <c r="S1980" s="8">
        <v>6.99</v>
      </c>
      <c r="T1980" s="8"/>
      <c r="U1980" s="8">
        <v>23.32</v>
      </c>
      <c r="V1980" s="8"/>
      <c r="W1980" s="8"/>
      <c r="X1980" s="8"/>
      <c r="Y1980" s="8"/>
      <c r="Z1980" s="8"/>
      <c r="AA1980" s="8"/>
      <c r="AB1980" s="8"/>
      <c r="AC1980" s="8">
        <v>7.77</v>
      </c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11"/>
      <c r="AQ1980" s="8"/>
      <c r="AR1980" s="8"/>
      <c r="AS1980" s="8"/>
      <c r="AT1980" s="8">
        <v>1148.58</v>
      </c>
      <c r="AU1980" s="8"/>
      <c r="AV1980" s="8">
        <v>38.729999999999997</v>
      </c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>
        <v>83.56</v>
      </c>
      <c r="BH1980" s="9">
        <f t="shared" si="270"/>
        <v>2231.4899999999998</v>
      </c>
      <c r="BI1980" s="9">
        <f t="shared" si="271"/>
        <v>3.7</v>
      </c>
      <c r="BJ1980" s="9">
        <f t="shared" si="272"/>
        <v>6.99</v>
      </c>
      <c r="BK1980" s="9">
        <f t="shared" si="273"/>
        <v>23.32</v>
      </c>
      <c r="BL1980" s="9">
        <f t="shared" si="274"/>
        <v>0</v>
      </c>
      <c r="BM1980" s="9">
        <f t="shared" si="275"/>
        <v>7.77</v>
      </c>
      <c r="BN1980" s="9">
        <f t="shared" si="276"/>
        <v>1148.58</v>
      </c>
      <c r="BO1980" s="9">
        <f t="shared" si="277"/>
        <v>38.729999999999997</v>
      </c>
      <c r="BP1980" s="9">
        <f t="shared" si="278"/>
        <v>0</v>
      </c>
    </row>
    <row r="1981" spans="1:68">
      <c r="A1981" s="6">
        <v>44900</v>
      </c>
      <c r="B1981" s="7">
        <v>3206</v>
      </c>
      <c r="C1981" s="8">
        <v>286.68</v>
      </c>
      <c r="D1981" s="8">
        <v>517.44000000000005</v>
      </c>
      <c r="E1981" s="8">
        <v>344.86</v>
      </c>
      <c r="F1981" s="8"/>
      <c r="G1981" s="8"/>
      <c r="H1981" s="8"/>
      <c r="I1981" s="8"/>
      <c r="J1981" s="8"/>
      <c r="K1981" s="8"/>
      <c r="L1981" s="8"/>
      <c r="M1981" s="8"/>
      <c r="N1981" s="8"/>
      <c r="O1981" s="8">
        <v>2.29</v>
      </c>
      <c r="P1981" s="8"/>
      <c r="Q1981" s="11"/>
      <c r="R1981" s="11"/>
      <c r="S1981" s="8">
        <v>5.75</v>
      </c>
      <c r="T1981" s="8"/>
      <c r="U1981" s="8">
        <v>4.03</v>
      </c>
      <c r="V1981" s="8"/>
      <c r="W1981" s="8"/>
      <c r="X1981" s="8"/>
      <c r="Y1981" s="8"/>
      <c r="Z1981" s="8">
        <v>69.03</v>
      </c>
      <c r="AA1981" s="8"/>
      <c r="AB1981" s="8">
        <f>811*7.18/1000</f>
        <v>5.8229799999999994</v>
      </c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11"/>
      <c r="AQ1981" s="8"/>
      <c r="AR1981" s="8"/>
      <c r="AS1981" s="8"/>
      <c r="AT1981" s="8">
        <v>202.38</v>
      </c>
      <c r="AU1981" s="8">
        <v>100.58</v>
      </c>
      <c r="AV1981" s="8"/>
      <c r="AW1981" s="8">
        <v>4.37</v>
      </c>
      <c r="AX1981" s="8"/>
      <c r="AY1981" s="8"/>
      <c r="AZ1981" s="8"/>
      <c r="BA1981" s="8"/>
      <c r="BB1981" s="8"/>
      <c r="BC1981" s="8"/>
      <c r="BD1981" s="8"/>
      <c r="BE1981" s="8"/>
      <c r="BF1981" s="8"/>
      <c r="BG1981" s="8">
        <v>20.149999999999999</v>
      </c>
      <c r="BH1981" s="9">
        <f t="shared" si="270"/>
        <v>1148.98</v>
      </c>
      <c r="BI1981" s="9">
        <f t="shared" si="271"/>
        <v>2.29</v>
      </c>
      <c r="BJ1981" s="9">
        <f t="shared" si="272"/>
        <v>5.75</v>
      </c>
      <c r="BK1981" s="9">
        <f t="shared" si="273"/>
        <v>4.03</v>
      </c>
      <c r="BL1981" s="9">
        <f t="shared" si="274"/>
        <v>69.03</v>
      </c>
      <c r="BM1981" s="9">
        <f t="shared" si="275"/>
        <v>5.8229799999999994</v>
      </c>
      <c r="BN1981" s="9">
        <f t="shared" si="276"/>
        <v>302.95999999999998</v>
      </c>
      <c r="BO1981" s="9">
        <f t="shared" si="277"/>
        <v>4.37</v>
      </c>
      <c r="BP1981" s="9">
        <f t="shared" si="278"/>
        <v>0</v>
      </c>
    </row>
    <row r="1982" spans="1:68">
      <c r="A1982" s="6">
        <v>44900</v>
      </c>
      <c r="B1982" s="7">
        <v>3310</v>
      </c>
      <c r="C1982" s="8"/>
      <c r="D1982" s="8">
        <v>1002.11</v>
      </c>
      <c r="E1982" s="8"/>
      <c r="F1982" s="8"/>
      <c r="G1982" s="8"/>
      <c r="H1982" s="8"/>
      <c r="I1982" s="8"/>
      <c r="J1982" s="8"/>
      <c r="K1982" s="8"/>
      <c r="L1982" s="8"/>
      <c r="M1982" s="8">
        <v>2</v>
      </c>
      <c r="N1982" s="8"/>
      <c r="O1982" s="8"/>
      <c r="P1982" s="8"/>
      <c r="Q1982" s="11"/>
      <c r="R1982" s="11"/>
      <c r="S1982" s="8">
        <v>1.5</v>
      </c>
      <c r="T1982" s="8"/>
      <c r="U1982" s="8">
        <v>9.01</v>
      </c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>
        <v>10.029999999999999</v>
      </c>
      <c r="AH1982" s="8"/>
      <c r="AI1982" s="8"/>
      <c r="AJ1982" s="8"/>
      <c r="AK1982" s="8"/>
      <c r="AL1982" s="8"/>
      <c r="AM1982" s="8"/>
      <c r="AN1982" s="8"/>
      <c r="AO1982" s="8"/>
      <c r="AP1982" s="11"/>
      <c r="AQ1982" s="8"/>
      <c r="AR1982" s="8"/>
      <c r="AS1982" s="8"/>
      <c r="AT1982" s="8">
        <v>269.26</v>
      </c>
      <c r="AU1982" s="8">
        <v>133.96</v>
      </c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>
        <v>27.63</v>
      </c>
      <c r="BH1982" s="9">
        <f t="shared" si="270"/>
        <v>1002.11</v>
      </c>
      <c r="BI1982" s="9">
        <f t="shared" si="271"/>
        <v>2</v>
      </c>
      <c r="BJ1982" s="9">
        <f t="shared" si="272"/>
        <v>1.5</v>
      </c>
      <c r="BK1982" s="9">
        <f t="shared" si="273"/>
        <v>9.01</v>
      </c>
      <c r="BL1982" s="9">
        <f t="shared" si="274"/>
        <v>0</v>
      </c>
      <c r="BM1982" s="9">
        <f t="shared" si="275"/>
        <v>10.029999999999999</v>
      </c>
      <c r="BN1982" s="9">
        <f t="shared" si="276"/>
        <v>403.22</v>
      </c>
      <c r="BO1982" s="9">
        <f t="shared" si="277"/>
        <v>0</v>
      </c>
      <c r="BP1982" s="9">
        <f t="shared" si="278"/>
        <v>0</v>
      </c>
    </row>
    <row r="1983" spans="1:68">
      <c r="A1983" s="6">
        <v>44900</v>
      </c>
      <c r="B1983" s="7">
        <v>3701</v>
      </c>
      <c r="C1983" s="8">
        <v>364.2</v>
      </c>
      <c r="D1983" s="8"/>
      <c r="E1983" s="8"/>
      <c r="F1983" s="8"/>
      <c r="G1983" s="8"/>
      <c r="H1983" s="8"/>
      <c r="I1983" s="8"/>
      <c r="J1983" s="8">
        <f>48100*12.33/1000</f>
        <v>593.07299999999998</v>
      </c>
      <c r="K1983" s="8"/>
      <c r="L1983" s="8"/>
      <c r="M1983" s="8"/>
      <c r="N1983" s="8">
        <v>2.27</v>
      </c>
      <c r="O1983" s="8"/>
      <c r="P1983" s="8"/>
      <c r="Q1983" s="11"/>
      <c r="R1983" s="11"/>
      <c r="S1983" s="8">
        <v>2.66</v>
      </c>
      <c r="T1983" s="8"/>
      <c r="U1983" s="8">
        <v>5.93</v>
      </c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>
        <v>19.78</v>
      </c>
      <c r="AH1983" s="8"/>
      <c r="AI1983" s="8"/>
      <c r="AJ1983" s="8">
        <f>2387*12.33/1000</f>
        <v>29.431709999999999</v>
      </c>
      <c r="AK1983" s="8"/>
      <c r="AL1983" s="8"/>
      <c r="AM1983" s="8"/>
      <c r="AN1983" s="8"/>
      <c r="AO1983" s="8"/>
      <c r="AP1983" s="11"/>
      <c r="AQ1983" s="8"/>
      <c r="AR1983" s="8"/>
      <c r="AS1983" s="8"/>
      <c r="AT1983" s="8"/>
      <c r="AU1983" s="8">
        <v>348.81</v>
      </c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>
        <v>23.65</v>
      </c>
      <c r="BH1983" s="9">
        <f t="shared" si="270"/>
        <v>957.27299999999991</v>
      </c>
      <c r="BI1983" s="9">
        <f t="shared" si="271"/>
        <v>2.27</v>
      </c>
      <c r="BJ1983" s="9">
        <f t="shared" si="272"/>
        <v>2.66</v>
      </c>
      <c r="BK1983" s="9">
        <f t="shared" si="273"/>
        <v>5.93</v>
      </c>
      <c r="BL1983" s="9">
        <f t="shared" si="274"/>
        <v>0</v>
      </c>
      <c r="BM1983" s="9">
        <f t="shared" si="275"/>
        <v>49.211709999999997</v>
      </c>
      <c r="BN1983" s="9">
        <f t="shared" si="276"/>
        <v>348.81</v>
      </c>
      <c r="BO1983" s="9">
        <f t="shared" si="277"/>
        <v>0</v>
      </c>
      <c r="BP1983" s="9">
        <f t="shared" si="278"/>
        <v>0</v>
      </c>
    </row>
    <row r="1984" spans="1:68">
      <c r="A1984" s="6">
        <v>44901</v>
      </c>
      <c r="B1984" s="7">
        <v>3601</v>
      </c>
      <c r="C1984" s="8">
        <v>284.08999999999997</v>
      </c>
      <c r="D1984" s="8"/>
      <c r="E1984" s="8"/>
      <c r="F1984" s="8"/>
      <c r="G1984" s="8">
        <v>426.9</v>
      </c>
      <c r="H1984" s="8"/>
      <c r="I1984" s="8"/>
      <c r="J1984" s="8"/>
      <c r="K1984" s="8"/>
      <c r="L1984" s="8"/>
      <c r="M1984" s="8">
        <v>0.88</v>
      </c>
      <c r="N1984" s="8"/>
      <c r="O1984" s="8"/>
      <c r="P1984" s="8"/>
      <c r="Q1984" s="11"/>
      <c r="R1984" s="11"/>
      <c r="S1984" s="8">
        <v>3.42</v>
      </c>
      <c r="T1984" s="8"/>
      <c r="U1984" s="8">
        <v>4.28</v>
      </c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11"/>
      <c r="AQ1984" s="8"/>
      <c r="AR1984" s="8"/>
      <c r="AS1984" s="8"/>
      <c r="AT1984" s="8">
        <v>348.85</v>
      </c>
      <c r="AU1984" s="8"/>
      <c r="AV1984" s="8"/>
      <c r="AW1984" s="8">
        <v>21.68</v>
      </c>
      <c r="AX1984" s="8"/>
      <c r="AY1984" s="8"/>
      <c r="AZ1984" s="8"/>
      <c r="BA1984" s="8"/>
      <c r="BB1984" s="8"/>
      <c r="BC1984" s="8"/>
      <c r="BD1984" s="8"/>
      <c r="BE1984" s="8"/>
      <c r="BF1984" s="8">
        <v>39.909999999999997</v>
      </c>
      <c r="BG1984" s="8">
        <v>25.44</v>
      </c>
      <c r="BH1984" s="9">
        <f t="shared" si="270"/>
        <v>710.99</v>
      </c>
      <c r="BI1984" s="9">
        <f t="shared" si="271"/>
        <v>0.88</v>
      </c>
      <c r="BJ1984" s="9">
        <f t="shared" si="272"/>
        <v>3.42</v>
      </c>
      <c r="BK1984" s="9">
        <f t="shared" si="273"/>
        <v>4.28</v>
      </c>
      <c r="BL1984" s="9">
        <f t="shared" si="274"/>
        <v>0</v>
      </c>
      <c r="BM1984" s="9">
        <f t="shared" si="275"/>
        <v>0</v>
      </c>
      <c r="BN1984" s="9">
        <f t="shared" si="276"/>
        <v>348.85</v>
      </c>
      <c r="BO1984" s="9">
        <f t="shared" si="277"/>
        <v>21.68</v>
      </c>
      <c r="BP1984" s="9">
        <f t="shared" si="278"/>
        <v>39.909999999999997</v>
      </c>
    </row>
    <row r="1985" spans="1:68">
      <c r="A1985" s="6">
        <v>44901</v>
      </c>
      <c r="B1985" s="7">
        <v>3101</v>
      </c>
      <c r="C1985" s="8">
        <v>644.62</v>
      </c>
      <c r="D1985" s="8"/>
      <c r="E1985" s="8"/>
      <c r="F1985" s="8"/>
      <c r="G1985" s="8"/>
      <c r="H1985" s="8"/>
      <c r="I1985" s="8"/>
      <c r="J1985" s="8"/>
      <c r="K1985" s="8"/>
      <c r="L1985" s="8"/>
      <c r="M1985" s="8">
        <v>1.48</v>
      </c>
      <c r="N1985" s="8"/>
      <c r="O1985" s="8"/>
      <c r="P1985" s="8"/>
      <c r="Q1985" s="11"/>
      <c r="R1985" s="11"/>
      <c r="S1985" s="8">
        <v>3.74</v>
      </c>
      <c r="T1985" s="8"/>
      <c r="U1985" s="8">
        <v>10.33</v>
      </c>
      <c r="V1985" s="8"/>
      <c r="W1985" s="8"/>
      <c r="X1985" s="8"/>
      <c r="Y1985" s="8"/>
      <c r="Z1985" s="8"/>
      <c r="AA1985" s="8"/>
      <c r="AB1985" s="8"/>
      <c r="AC1985" s="8">
        <v>2.58</v>
      </c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11"/>
      <c r="AQ1985" s="8"/>
      <c r="AR1985" s="8"/>
      <c r="AS1985" s="8"/>
      <c r="AT1985" s="8">
        <v>432.88</v>
      </c>
      <c r="AU1985" s="8"/>
      <c r="AV1985" s="8"/>
      <c r="AW1985" s="8">
        <v>13.74</v>
      </c>
      <c r="AX1985" s="8"/>
      <c r="AY1985" s="8"/>
      <c r="AZ1985" s="8"/>
      <c r="BA1985" s="8"/>
      <c r="BB1985" s="8"/>
      <c r="BC1985" s="8"/>
      <c r="BD1985" s="8"/>
      <c r="BE1985" s="8"/>
      <c r="BF1985" s="8">
        <v>83.87</v>
      </c>
      <c r="BG1985" s="8">
        <v>33.200000000000003</v>
      </c>
      <c r="BH1985" s="9">
        <f t="shared" si="270"/>
        <v>644.62</v>
      </c>
      <c r="BI1985" s="9">
        <f t="shared" si="271"/>
        <v>1.48</v>
      </c>
      <c r="BJ1985" s="9">
        <f t="shared" si="272"/>
        <v>3.74</v>
      </c>
      <c r="BK1985" s="9">
        <f t="shared" si="273"/>
        <v>10.33</v>
      </c>
      <c r="BL1985" s="9">
        <f t="shared" si="274"/>
        <v>0</v>
      </c>
      <c r="BM1985" s="9">
        <f t="shared" si="275"/>
        <v>2.58</v>
      </c>
      <c r="BN1985" s="9">
        <f t="shared" si="276"/>
        <v>432.88</v>
      </c>
      <c r="BO1985" s="9">
        <f t="shared" si="277"/>
        <v>13.74</v>
      </c>
      <c r="BP1985" s="9">
        <f t="shared" si="278"/>
        <v>83.87</v>
      </c>
    </row>
    <row r="1986" spans="1:68">
      <c r="A1986" s="6">
        <v>44901</v>
      </c>
      <c r="B1986" s="7">
        <v>3122</v>
      </c>
      <c r="C1986" s="8">
        <v>1283.6500000000001</v>
      </c>
      <c r="D1986" s="8"/>
      <c r="E1986" s="8"/>
      <c r="F1986" s="8"/>
      <c r="G1986" s="8"/>
      <c r="H1986" s="8"/>
      <c r="I1986" s="8"/>
      <c r="J1986" s="8"/>
      <c r="K1986" s="8"/>
      <c r="L1986" s="8"/>
      <c r="M1986" s="8">
        <v>2.2999999999999998</v>
      </c>
      <c r="N1986" s="8">
        <v>2.2999999999999998</v>
      </c>
      <c r="O1986" s="8"/>
      <c r="P1986" s="8"/>
      <c r="Q1986" s="11"/>
      <c r="R1986" s="11"/>
      <c r="S1986" s="8">
        <v>5.26</v>
      </c>
      <c r="T1986" s="8"/>
      <c r="U1986" s="8">
        <v>12.82</v>
      </c>
      <c r="V1986" s="8"/>
      <c r="W1986" s="8"/>
      <c r="X1986" s="8"/>
      <c r="Y1986" s="8"/>
      <c r="Z1986" s="8"/>
      <c r="AA1986" s="8"/>
      <c r="AB1986" s="8"/>
      <c r="AC1986" s="8">
        <v>5.13</v>
      </c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11"/>
      <c r="AQ1986" s="8"/>
      <c r="AR1986" s="8"/>
      <c r="AS1986" s="8"/>
      <c r="AT1986" s="8">
        <v>567.79999999999995</v>
      </c>
      <c r="AU1986" s="8"/>
      <c r="AV1986" s="8">
        <v>43.56</v>
      </c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>
        <v>41.66</v>
      </c>
      <c r="BH1986" s="9">
        <f t="shared" si="270"/>
        <v>1283.6500000000001</v>
      </c>
      <c r="BI1986" s="9">
        <f t="shared" si="271"/>
        <v>4.5999999999999996</v>
      </c>
      <c r="BJ1986" s="9">
        <f t="shared" si="272"/>
        <v>5.26</v>
      </c>
      <c r="BK1986" s="9">
        <f t="shared" si="273"/>
        <v>12.82</v>
      </c>
      <c r="BL1986" s="9">
        <f t="shared" si="274"/>
        <v>0</v>
      </c>
      <c r="BM1986" s="9">
        <f t="shared" si="275"/>
        <v>5.13</v>
      </c>
      <c r="BN1986" s="9">
        <f t="shared" si="276"/>
        <v>567.79999999999995</v>
      </c>
      <c r="BO1986" s="9">
        <f t="shared" si="277"/>
        <v>43.56</v>
      </c>
      <c r="BP1986" s="9">
        <f t="shared" si="278"/>
        <v>0</v>
      </c>
    </row>
    <row r="1987" spans="1:68">
      <c r="A1987" s="6">
        <v>44901</v>
      </c>
      <c r="B1987" s="7">
        <v>3117</v>
      </c>
      <c r="C1987" s="8">
        <v>720.79</v>
      </c>
      <c r="D1987" s="8"/>
      <c r="E1987" s="8"/>
      <c r="F1987" s="8"/>
      <c r="G1987" s="8"/>
      <c r="H1987" s="8"/>
      <c r="I1987" s="8"/>
      <c r="J1987" s="8"/>
      <c r="K1987" s="8"/>
      <c r="L1987" s="8"/>
      <c r="M1987" s="8">
        <v>2.06</v>
      </c>
      <c r="N1987" s="8"/>
      <c r="O1987" s="8"/>
      <c r="P1987" s="8"/>
      <c r="Q1987" s="11"/>
      <c r="R1987" s="11"/>
      <c r="S1987" s="8">
        <v>2.67</v>
      </c>
      <c r="T1987" s="8"/>
      <c r="U1987" s="8">
        <v>7.21</v>
      </c>
      <c r="V1987" s="8"/>
      <c r="W1987" s="8"/>
      <c r="X1987" s="8"/>
      <c r="Y1987" s="8"/>
      <c r="Z1987" s="8"/>
      <c r="AA1987" s="8"/>
      <c r="AB1987" s="8"/>
      <c r="AC1987" s="8">
        <v>2.89</v>
      </c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11"/>
      <c r="AQ1987" s="8"/>
      <c r="AR1987" s="8"/>
      <c r="AS1987" s="8"/>
      <c r="AT1987" s="8">
        <v>453.55</v>
      </c>
      <c r="AU1987" s="8"/>
      <c r="AV1987" s="8">
        <v>18.03</v>
      </c>
      <c r="AW1987" s="8"/>
      <c r="AX1987" s="8"/>
      <c r="AY1987" s="8"/>
      <c r="AZ1987" s="8"/>
      <c r="BA1987" s="8"/>
      <c r="BB1987" s="8"/>
      <c r="BC1987" s="8"/>
      <c r="BD1987" s="8"/>
      <c r="BE1987" s="8"/>
      <c r="BF1987" s="8">
        <v>36</v>
      </c>
      <c r="BG1987" s="8">
        <v>34.549999999999997</v>
      </c>
      <c r="BH1987" s="9">
        <f t="shared" si="270"/>
        <v>720.79</v>
      </c>
      <c r="BI1987" s="9">
        <f t="shared" si="271"/>
        <v>2.06</v>
      </c>
      <c r="BJ1987" s="9">
        <f t="shared" si="272"/>
        <v>2.67</v>
      </c>
      <c r="BK1987" s="9">
        <f t="shared" si="273"/>
        <v>7.21</v>
      </c>
      <c r="BL1987" s="9">
        <f t="shared" si="274"/>
        <v>0</v>
      </c>
      <c r="BM1987" s="9">
        <f t="shared" si="275"/>
        <v>2.89</v>
      </c>
      <c r="BN1987" s="9">
        <f t="shared" si="276"/>
        <v>453.55</v>
      </c>
      <c r="BO1987" s="9">
        <f t="shared" si="277"/>
        <v>18.03</v>
      </c>
      <c r="BP1987" s="9">
        <f t="shared" si="278"/>
        <v>36</v>
      </c>
    </row>
    <row r="1988" spans="1:68">
      <c r="A1988" s="6">
        <v>44901</v>
      </c>
      <c r="B1988" s="7">
        <v>3307</v>
      </c>
      <c r="C1988" s="8"/>
      <c r="D1988" s="8">
        <v>1017.03</v>
      </c>
      <c r="E1988" s="8"/>
      <c r="F1988" s="8"/>
      <c r="G1988" s="8"/>
      <c r="H1988" s="8"/>
      <c r="I1988" s="8"/>
      <c r="J1988" s="8"/>
      <c r="K1988" s="8"/>
      <c r="L1988" s="8"/>
      <c r="M1988" s="8">
        <v>1.33</v>
      </c>
      <c r="N1988" s="8"/>
      <c r="O1988" s="8"/>
      <c r="P1988" s="8"/>
      <c r="Q1988" s="11"/>
      <c r="R1988" s="11"/>
      <c r="S1988" s="8">
        <v>7.42</v>
      </c>
      <c r="T1988" s="8"/>
      <c r="U1988" s="8">
        <v>10.199999999999999</v>
      </c>
      <c r="V1988" s="8"/>
      <c r="W1988" s="8"/>
      <c r="X1988" s="8"/>
      <c r="Y1988" s="8"/>
      <c r="Z1988" s="8"/>
      <c r="AA1988" s="8"/>
      <c r="AB1988" s="8"/>
      <c r="AC1988" s="8">
        <v>6.1</v>
      </c>
      <c r="AD1988" s="8"/>
      <c r="AE1988" s="8"/>
      <c r="AF1988" s="8"/>
      <c r="AG1988" s="8">
        <v>10.24</v>
      </c>
      <c r="AH1988" s="8"/>
      <c r="AI1988" s="8"/>
      <c r="AJ1988" s="8"/>
      <c r="AK1988" s="8"/>
      <c r="AL1988" s="8"/>
      <c r="AM1988" s="8"/>
      <c r="AN1988" s="8"/>
      <c r="AO1988" s="8"/>
      <c r="AP1988" s="11"/>
      <c r="AQ1988" s="8"/>
      <c r="AR1988" s="8"/>
      <c r="AS1988" s="8"/>
      <c r="AT1988" s="8"/>
      <c r="AU1988" s="8">
        <v>509.92</v>
      </c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>
        <v>36.549999999999997</v>
      </c>
      <c r="BH1988" s="9">
        <f t="shared" ref="BH1988:BH2051" si="279">SUM(C1988:L1988)</f>
        <v>1017.03</v>
      </c>
      <c r="BI1988" s="9">
        <f t="shared" ref="BI1988:BI2051" si="280">SUM(M1988:R1988)</f>
        <v>1.33</v>
      </c>
      <c r="BJ1988" s="9">
        <f t="shared" ref="BJ1988:BJ2051" si="281">SUM(S1988)</f>
        <v>7.42</v>
      </c>
      <c r="BK1988" s="9">
        <f t="shared" ref="BK1988:BK2051" si="282">SUM(T1988:Y1988)</f>
        <v>10.199999999999999</v>
      </c>
      <c r="BL1988" s="9">
        <f t="shared" ref="BL1988:BL2051" si="283">SUM(Z1988:AA1988)</f>
        <v>0</v>
      </c>
      <c r="BM1988" s="9">
        <f t="shared" ref="BM1988:BM2051" si="284">SUM(AB1988:AS1988)</f>
        <v>16.34</v>
      </c>
      <c r="BN1988" s="9">
        <f t="shared" ref="BN1988:BN2051" si="285">SUM(AT1988:AU1988)</f>
        <v>509.92</v>
      </c>
      <c r="BO1988" s="9">
        <f t="shared" ref="BO1988:BO2051" si="286">SUM(AV1988:BE1988)</f>
        <v>0</v>
      </c>
      <c r="BP1988" s="9">
        <f t="shared" ref="BP1988:BP2051" si="287">SUM(BF1988)</f>
        <v>0</v>
      </c>
    </row>
    <row r="1989" spans="1:68">
      <c r="A1989" s="6">
        <v>44901</v>
      </c>
      <c r="B1989" s="7">
        <v>3141</v>
      </c>
      <c r="C1989" s="8">
        <v>2459.31</v>
      </c>
      <c r="D1989" s="8">
        <v>434.02</v>
      </c>
      <c r="E1989" s="8"/>
      <c r="F1989" s="8"/>
      <c r="G1989" s="8"/>
      <c r="H1989" s="8"/>
      <c r="I1989" s="8"/>
      <c r="J1989" s="8"/>
      <c r="K1989" s="8"/>
      <c r="L1989" s="8"/>
      <c r="M1989" s="8">
        <v>7.84</v>
      </c>
      <c r="N1989" s="8"/>
      <c r="O1989" s="8"/>
      <c r="P1989" s="8"/>
      <c r="Q1989" s="11"/>
      <c r="R1989" s="11"/>
      <c r="S1989" s="8">
        <v>13.61</v>
      </c>
      <c r="T1989" s="8"/>
      <c r="U1989" s="8">
        <v>43.42</v>
      </c>
      <c r="V1989" s="8"/>
      <c r="W1989" s="8"/>
      <c r="X1989" s="8"/>
      <c r="Y1989" s="8"/>
      <c r="Z1989" s="8"/>
      <c r="AA1989" s="8"/>
      <c r="AB1989" s="8"/>
      <c r="AC1989" s="8">
        <v>11.59</v>
      </c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11"/>
      <c r="AQ1989" s="8"/>
      <c r="AR1989" s="8"/>
      <c r="AS1989" s="8"/>
      <c r="AT1989" s="8">
        <v>1910.11</v>
      </c>
      <c r="AU1989" s="8"/>
      <c r="AV1989" s="8"/>
      <c r="AW1989" s="8"/>
      <c r="AX1989" s="8"/>
      <c r="AY1989" s="8"/>
      <c r="AZ1989" s="8"/>
      <c r="BA1989" s="8">
        <v>66.31</v>
      </c>
      <c r="BB1989" s="8"/>
      <c r="BC1989" s="8"/>
      <c r="BD1989" s="8"/>
      <c r="BE1989" s="8"/>
      <c r="BF1989" s="8">
        <v>202.78</v>
      </c>
      <c r="BG1989" s="8">
        <v>150.52000000000001</v>
      </c>
      <c r="BH1989" s="9">
        <f t="shared" si="279"/>
        <v>2893.33</v>
      </c>
      <c r="BI1989" s="9">
        <f t="shared" si="280"/>
        <v>7.84</v>
      </c>
      <c r="BJ1989" s="9">
        <f t="shared" si="281"/>
        <v>13.61</v>
      </c>
      <c r="BK1989" s="9">
        <f t="shared" si="282"/>
        <v>43.42</v>
      </c>
      <c r="BL1989" s="9">
        <f t="shared" si="283"/>
        <v>0</v>
      </c>
      <c r="BM1989" s="9">
        <f t="shared" si="284"/>
        <v>11.59</v>
      </c>
      <c r="BN1989" s="9">
        <f t="shared" si="285"/>
        <v>1910.11</v>
      </c>
      <c r="BO1989" s="9">
        <f t="shared" si="286"/>
        <v>66.31</v>
      </c>
      <c r="BP1989" s="9">
        <f t="shared" si="287"/>
        <v>202.78</v>
      </c>
    </row>
    <row r="1990" spans="1:68">
      <c r="A1990" s="6">
        <v>44901</v>
      </c>
      <c r="B1990" s="7">
        <v>3108</v>
      </c>
      <c r="C1990" s="8">
        <v>2262.06</v>
      </c>
      <c r="D1990" s="8"/>
      <c r="E1990" s="8"/>
      <c r="F1990" s="8"/>
      <c r="G1990" s="8"/>
      <c r="H1990" s="8"/>
      <c r="I1990" s="8"/>
      <c r="J1990" s="8"/>
      <c r="K1990" s="8"/>
      <c r="L1990" s="8"/>
      <c r="M1990" s="8">
        <v>5.32</v>
      </c>
      <c r="N1990" s="8"/>
      <c r="O1990" s="8"/>
      <c r="P1990" s="8"/>
      <c r="Q1990" s="11"/>
      <c r="R1990" s="11"/>
      <c r="S1990" s="8">
        <v>7.27</v>
      </c>
      <c r="T1990" s="8"/>
      <c r="U1990" s="8">
        <v>28.98</v>
      </c>
      <c r="V1990" s="8"/>
      <c r="W1990" s="8"/>
      <c r="X1990" s="8"/>
      <c r="Y1990" s="8"/>
      <c r="Z1990" s="8"/>
      <c r="AA1990" s="8"/>
      <c r="AB1990" s="8"/>
      <c r="AC1990" s="8">
        <v>9.06</v>
      </c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11"/>
      <c r="AQ1990" s="8"/>
      <c r="AR1990" s="8"/>
      <c r="AS1990" s="8"/>
      <c r="AT1990" s="8">
        <v>1233.9000000000001</v>
      </c>
      <c r="AU1990" s="8"/>
      <c r="AV1990" s="8"/>
      <c r="AW1990" s="8"/>
      <c r="AX1990" s="8"/>
      <c r="AY1990" s="8"/>
      <c r="AZ1990" s="8"/>
      <c r="BA1990" s="8">
        <v>84.21</v>
      </c>
      <c r="BB1990" s="8"/>
      <c r="BC1990" s="8"/>
      <c r="BD1990" s="8"/>
      <c r="BE1990" s="8"/>
      <c r="BF1990" s="8"/>
      <c r="BG1990" s="8">
        <v>91.71</v>
      </c>
      <c r="BH1990" s="9">
        <f t="shared" si="279"/>
        <v>2262.06</v>
      </c>
      <c r="BI1990" s="9">
        <f t="shared" si="280"/>
        <v>5.32</v>
      </c>
      <c r="BJ1990" s="9">
        <f t="shared" si="281"/>
        <v>7.27</v>
      </c>
      <c r="BK1990" s="9">
        <f t="shared" si="282"/>
        <v>28.98</v>
      </c>
      <c r="BL1990" s="9">
        <f t="shared" si="283"/>
        <v>0</v>
      </c>
      <c r="BM1990" s="9">
        <f t="shared" si="284"/>
        <v>9.06</v>
      </c>
      <c r="BN1990" s="9">
        <f t="shared" si="285"/>
        <v>1233.9000000000001</v>
      </c>
      <c r="BO1990" s="9">
        <f t="shared" si="286"/>
        <v>84.21</v>
      </c>
      <c r="BP1990" s="9">
        <f t="shared" si="287"/>
        <v>0</v>
      </c>
    </row>
    <row r="1991" spans="1:68">
      <c r="A1991" s="6">
        <v>44901</v>
      </c>
      <c r="B1991" s="7">
        <v>3106</v>
      </c>
      <c r="C1991" s="8">
        <v>4095.76</v>
      </c>
      <c r="D1991" s="8"/>
      <c r="E1991" s="8"/>
      <c r="F1991" s="8"/>
      <c r="G1991" s="8"/>
      <c r="H1991" s="8"/>
      <c r="I1991" s="8"/>
      <c r="J1991" s="8"/>
      <c r="K1991" s="8"/>
      <c r="L1991" s="8"/>
      <c r="M1991" s="8">
        <v>10.97</v>
      </c>
      <c r="N1991" s="8"/>
      <c r="O1991" s="8"/>
      <c r="P1991" s="8"/>
      <c r="Q1991" s="11"/>
      <c r="R1991" s="11"/>
      <c r="S1991" s="8">
        <v>12.31</v>
      </c>
      <c r="T1991" s="8"/>
      <c r="U1991" s="8">
        <v>52.11</v>
      </c>
      <c r="V1991" s="8"/>
      <c r="W1991" s="8"/>
      <c r="X1991" s="8"/>
      <c r="Y1991" s="8"/>
      <c r="Z1991" s="8"/>
      <c r="AA1991" s="8"/>
      <c r="AB1991" s="8"/>
      <c r="AC1991" s="8">
        <v>10.24</v>
      </c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11"/>
      <c r="AQ1991" s="8"/>
      <c r="AR1991" s="8"/>
      <c r="AS1991" s="8"/>
      <c r="AT1991" s="8">
        <v>2336.1799999999998</v>
      </c>
      <c r="AU1991" s="8"/>
      <c r="AV1991" s="8"/>
      <c r="AW1991" s="8"/>
      <c r="AX1991" s="8">
        <v>5.12</v>
      </c>
      <c r="AY1991" s="8"/>
      <c r="AZ1991" s="8"/>
      <c r="BA1991" s="8"/>
      <c r="BB1991" s="8"/>
      <c r="BC1991" s="8"/>
      <c r="BD1991" s="8"/>
      <c r="BE1991" s="8"/>
      <c r="BF1991" s="8"/>
      <c r="BG1991" s="8">
        <v>175.65</v>
      </c>
      <c r="BH1991" s="9">
        <f t="shared" si="279"/>
        <v>4095.76</v>
      </c>
      <c r="BI1991" s="9">
        <f t="shared" si="280"/>
        <v>10.97</v>
      </c>
      <c r="BJ1991" s="9">
        <f t="shared" si="281"/>
        <v>12.31</v>
      </c>
      <c r="BK1991" s="9">
        <f t="shared" si="282"/>
        <v>52.11</v>
      </c>
      <c r="BL1991" s="9">
        <f t="shared" si="283"/>
        <v>0</v>
      </c>
      <c r="BM1991" s="9">
        <f t="shared" si="284"/>
        <v>10.24</v>
      </c>
      <c r="BN1991" s="9">
        <f t="shared" si="285"/>
        <v>2336.1799999999998</v>
      </c>
      <c r="BO1991" s="9">
        <f t="shared" si="286"/>
        <v>5.12</v>
      </c>
      <c r="BP1991" s="9">
        <f t="shared" si="287"/>
        <v>0</v>
      </c>
    </row>
    <row r="1992" spans="1:68">
      <c r="A1992" s="6">
        <v>44901</v>
      </c>
      <c r="B1992" s="7">
        <v>3200</v>
      </c>
      <c r="C1992" s="8">
        <v>2281.0300000000002</v>
      </c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>
        <v>5.7</v>
      </c>
      <c r="P1992" s="8"/>
      <c r="Q1992" s="11"/>
      <c r="R1992" s="11"/>
      <c r="S1992" s="8">
        <v>8.91</v>
      </c>
      <c r="T1992" s="8"/>
      <c r="U1992" s="8">
        <v>34.24</v>
      </c>
      <c r="V1992" s="8"/>
      <c r="W1992" s="8"/>
      <c r="X1992" s="8"/>
      <c r="Y1992" s="8"/>
      <c r="Z1992" s="8">
        <v>479.79</v>
      </c>
      <c r="AA1992" s="8"/>
      <c r="AB1992" s="8"/>
      <c r="AC1992" s="8"/>
      <c r="AD1992" s="8"/>
      <c r="AE1992" s="8"/>
      <c r="AF1992" s="8">
        <v>113.67</v>
      </c>
      <c r="AG1992" s="8"/>
      <c r="AH1992" s="8"/>
      <c r="AI1992" s="8"/>
      <c r="AJ1992" s="8"/>
      <c r="AK1992" s="8"/>
      <c r="AL1992" s="8"/>
      <c r="AM1992" s="8"/>
      <c r="AN1992" s="8"/>
      <c r="AO1992" s="8"/>
      <c r="AP1992" s="11"/>
      <c r="AQ1992" s="8">
        <f>1526*22.82/1000</f>
        <v>34.823320000000002</v>
      </c>
      <c r="AR1992" s="8"/>
      <c r="AS1992" s="8"/>
      <c r="AT1992" s="8">
        <v>1563.38</v>
      </c>
      <c r="AU1992" s="8"/>
      <c r="AV1992" s="8"/>
      <c r="AW1992" s="8">
        <v>6.57</v>
      </c>
      <c r="AX1992" s="8"/>
      <c r="AY1992" s="8"/>
      <c r="AZ1992" s="8"/>
      <c r="BA1992" s="8"/>
      <c r="BB1992" s="8"/>
      <c r="BC1992" s="8"/>
      <c r="BD1992" s="8"/>
      <c r="BE1992" s="8"/>
      <c r="BF1992" s="8">
        <v>109.57</v>
      </c>
      <c r="BG1992" s="8">
        <v>113.26</v>
      </c>
      <c r="BH1992" s="9">
        <f t="shared" si="279"/>
        <v>2281.0300000000002</v>
      </c>
      <c r="BI1992" s="9">
        <f t="shared" si="280"/>
        <v>5.7</v>
      </c>
      <c r="BJ1992" s="9">
        <f t="shared" si="281"/>
        <v>8.91</v>
      </c>
      <c r="BK1992" s="9">
        <f t="shared" si="282"/>
        <v>34.24</v>
      </c>
      <c r="BL1992" s="9">
        <f t="shared" si="283"/>
        <v>479.79</v>
      </c>
      <c r="BM1992" s="9">
        <f t="shared" si="284"/>
        <v>148.49332000000001</v>
      </c>
      <c r="BN1992" s="9">
        <f t="shared" si="285"/>
        <v>1563.38</v>
      </c>
      <c r="BO1992" s="9">
        <f t="shared" si="286"/>
        <v>6.57</v>
      </c>
      <c r="BP1992" s="9">
        <f t="shared" si="287"/>
        <v>109.57</v>
      </c>
    </row>
    <row r="1993" spans="1:68">
      <c r="A1993" s="6">
        <v>44901</v>
      </c>
      <c r="B1993" s="7">
        <v>3023</v>
      </c>
      <c r="C1993" s="8"/>
      <c r="D1993" s="8">
        <v>2423.31</v>
      </c>
      <c r="E1993" s="8"/>
      <c r="F1993" s="8"/>
      <c r="G1993" s="8"/>
      <c r="H1993" s="8"/>
      <c r="I1993" s="8">
        <v>1306.1400000000001</v>
      </c>
      <c r="J1993" s="8"/>
      <c r="K1993" s="8"/>
      <c r="L1993" s="8"/>
      <c r="M1993" s="8"/>
      <c r="N1993" s="8">
        <v>20.92</v>
      </c>
      <c r="O1993" s="8"/>
      <c r="P1993" s="8"/>
      <c r="Q1993" s="11"/>
      <c r="R1993" s="11"/>
      <c r="S1993" s="8">
        <v>5.96</v>
      </c>
      <c r="T1993" s="8"/>
      <c r="U1993" s="8"/>
      <c r="V1993" s="8"/>
      <c r="W1993" s="8">
        <v>33.61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>
        <v>37.17</v>
      </c>
      <c r="AN1993" s="8">
        <f>1022*25.73/1000</f>
        <v>26.296060000000001</v>
      </c>
      <c r="AO1993" s="8"/>
      <c r="AP1993" s="11"/>
      <c r="AQ1993" s="8"/>
      <c r="AR1993" s="8"/>
      <c r="AS1993" s="8">
        <f>4782*25.73/1000</f>
        <v>123.04086</v>
      </c>
      <c r="AT1993" s="8">
        <v>1528.93</v>
      </c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>
        <v>115.63</v>
      </c>
      <c r="BH1993" s="9">
        <f t="shared" si="279"/>
        <v>3729.45</v>
      </c>
      <c r="BI1993" s="9">
        <f t="shared" si="280"/>
        <v>20.92</v>
      </c>
      <c r="BJ1993" s="9">
        <f t="shared" si="281"/>
        <v>5.96</v>
      </c>
      <c r="BK1993" s="9">
        <f t="shared" si="282"/>
        <v>33.61</v>
      </c>
      <c r="BL1993" s="9">
        <f t="shared" si="283"/>
        <v>0</v>
      </c>
      <c r="BM1993" s="9">
        <f t="shared" si="284"/>
        <v>186.50691999999998</v>
      </c>
      <c r="BN1993" s="9">
        <f t="shared" si="285"/>
        <v>1528.93</v>
      </c>
      <c r="BO1993" s="9">
        <f t="shared" si="286"/>
        <v>0</v>
      </c>
      <c r="BP1993" s="9">
        <f t="shared" si="287"/>
        <v>0</v>
      </c>
    </row>
    <row r="1994" spans="1:68">
      <c r="A1994" s="6">
        <v>44902</v>
      </c>
      <c r="B1994" s="7">
        <v>3304</v>
      </c>
      <c r="C1994" s="8"/>
      <c r="D1994" s="8">
        <v>1125.5899999999999</v>
      </c>
      <c r="E1994" s="8"/>
      <c r="F1994" s="8"/>
      <c r="G1994" s="8"/>
      <c r="H1994" s="8"/>
      <c r="I1994" s="8"/>
      <c r="J1994" s="8"/>
      <c r="K1994" s="8"/>
      <c r="L1994" s="8"/>
      <c r="M1994" s="8">
        <v>2.23</v>
      </c>
      <c r="N1994" s="8"/>
      <c r="O1994" s="8"/>
      <c r="P1994" s="8"/>
      <c r="Q1994" s="11"/>
      <c r="R1994" s="11"/>
      <c r="S1994" s="8">
        <v>1.69</v>
      </c>
      <c r="T1994" s="8"/>
      <c r="U1994" s="8">
        <v>10.130000000000001</v>
      </c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>
        <v>11.27</v>
      </c>
      <c r="AH1994" s="8"/>
      <c r="AI1994" s="8"/>
      <c r="AJ1994" s="8"/>
      <c r="AK1994" s="8"/>
      <c r="AL1994" s="8"/>
      <c r="AM1994" s="8"/>
      <c r="AN1994" s="8"/>
      <c r="AO1994" s="8"/>
      <c r="AP1994" s="11"/>
      <c r="AQ1994" s="8"/>
      <c r="AR1994" s="8"/>
      <c r="AS1994" s="8"/>
      <c r="AT1994" s="8">
        <v>300.06</v>
      </c>
      <c r="AU1994" s="8">
        <v>150.6</v>
      </c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>
        <v>31.08</v>
      </c>
      <c r="BH1994" s="9">
        <f t="shared" si="279"/>
        <v>1125.5899999999999</v>
      </c>
      <c r="BI1994" s="9">
        <f t="shared" si="280"/>
        <v>2.23</v>
      </c>
      <c r="BJ1994" s="9">
        <f t="shared" si="281"/>
        <v>1.69</v>
      </c>
      <c r="BK1994" s="9">
        <f t="shared" si="282"/>
        <v>10.130000000000001</v>
      </c>
      <c r="BL1994" s="9">
        <f t="shared" si="283"/>
        <v>0</v>
      </c>
      <c r="BM1994" s="9">
        <f t="shared" si="284"/>
        <v>11.27</v>
      </c>
      <c r="BN1994" s="9">
        <f t="shared" si="285"/>
        <v>450.65999999999997</v>
      </c>
      <c r="BO1994" s="9">
        <f t="shared" si="286"/>
        <v>0</v>
      </c>
      <c r="BP1994" s="9">
        <f t="shared" si="287"/>
        <v>0</v>
      </c>
    </row>
    <row r="1995" spans="1:68">
      <c r="A1995" s="6">
        <v>44902</v>
      </c>
      <c r="B1995" s="7">
        <v>3113</v>
      </c>
      <c r="C1995" s="8">
        <v>3071.15</v>
      </c>
      <c r="D1995" s="8"/>
      <c r="E1995" s="8"/>
      <c r="F1995" s="8"/>
      <c r="G1995" s="8"/>
      <c r="H1995" s="8"/>
      <c r="I1995" s="8"/>
      <c r="J1995" s="8"/>
      <c r="K1995" s="8"/>
      <c r="L1995" s="8"/>
      <c r="M1995" s="8">
        <v>3.08</v>
      </c>
      <c r="N1995" s="8">
        <v>3.08</v>
      </c>
      <c r="O1995" s="8"/>
      <c r="P1995" s="8"/>
      <c r="Q1995" s="11"/>
      <c r="R1995" s="11"/>
      <c r="S1995" s="8">
        <v>9.24</v>
      </c>
      <c r="T1995" s="8"/>
      <c r="U1995" s="8">
        <v>30.81</v>
      </c>
      <c r="V1995" s="8"/>
      <c r="W1995" s="8"/>
      <c r="X1995" s="8"/>
      <c r="Y1995" s="8"/>
      <c r="Z1995" s="8"/>
      <c r="AA1995" s="8"/>
      <c r="AB1995" s="8"/>
      <c r="AC1995" s="8">
        <v>12.3</v>
      </c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11"/>
      <c r="AQ1995" s="8"/>
      <c r="AR1995" s="8"/>
      <c r="AS1995" s="8"/>
      <c r="AT1995" s="8">
        <v>1282.22</v>
      </c>
      <c r="AU1995" s="8"/>
      <c r="AV1995" s="8">
        <v>104.7</v>
      </c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>
        <v>92.03</v>
      </c>
      <c r="BH1995" s="9">
        <f t="shared" si="279"/>
        <v>3071.15</v>
      </c>
      <c r="BI1995" s="9">
        <f t="shared" si="280"/>
        <v>6.16</v>
      </c>
      <c r="BJ1995" s="9">
        <f t="shared" si="281"/>
        <v>9.24</v>
      </c>
      <c r="BK1995" s="9">
        <f t="shared" si="282"/>
        <v>30.81</v>
      </c>
      <c r="BL1995" s="9">
        <f t="shared" si="283"/>
        <v>0</v>
      </c>
      <c r="BM1995" s="9">
        <f t="shared" si="284"/>
        <v>12.3</v>
      </c>
      <c r="BN1995" s="9">
        <f t="shared" si="285"/>
        <v>1282.22</v>
      </c>
      <c r="BO1995" s="9">
        <f t="shared" si="286"/>
        <v>104.7</v>
      </c>
      <c r="BP1995" s="9">
        <f t="shared" si="287"/>
        <v>0</v>
      </c>
    </row>
    <row r="1996" spans="1:68">
      <c r="A1996" s="6">
        <v>44902</v>
      </c>
      <c r="B1996" s="7">
        <v>3134</v>
      </c>
      <c r="C1996" s="8">
        <v>2074.77</v>
      </c>
      <c r="D1996" s="8">
        <v>290.45999999999998</v>
      </c>
      <c r="E1996" s="8"/>
      <c r="F1996" s="8"/>
      <c r="G1996" s="8"/>
      <c r="H1996" s="8">
        <v>978.6</v>
      </c>
      <c r="I1996" s="8"/>
      <c r="J1996" s="8"/>
      <c r="K1996" s="8"/>
      <c r="L1996" s="8"/>
      <c r="M1996" s="8">
        <v>6.41</v>
      </c>
      <c r="N1996" s="8"/>
      <c r="O1996" s="8"/>
      <c r="P1996" s="8"/>
      <c r="Q1996" s="11"/>
      <c r="R1996" s="11"/>
      <c r="S1996" s="8">
        <v>13.4</v>
      </c>
      <c r="T1996" s="8"/>
      <c r="U1996" s="8">
        <v>37.75</v>
      </c>
      <c r="V1996" s="8"/>
      <c r="W1996" s="8"/>
      <c r="X1996" s="8"/>
      <c r="Y1996" s="8"/>
      <c r="Z1996" s="8"/>
      <c r="AA1996" s="8"/>
      <c r="AB1996" s="8"/>
      <c r="AC1996" s="8">
        <v>11.65</v>
      </c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11"/>
      <c r="AQ1996" s="8"/>
      <c r="AR1996" s="8"/>
      <c r="AS1996" s="8"/>
      <c r="AT1996" s="8">
        <v>2052.0700000000002</v>
      </c>
      <c r="AU1996" s="8"/>
      <c r="AV1996" s="8"/>
      <c r="AW1996" s="8"/>
      <c r="AX1996" s="8"/>
      <c r="AY1996" s="8">
        <f>1418*20.82/1000</f>
        <v>29.522760000000002</v>
      </c>
      <c r="AZ1996" s="8"/>
      <c r="BA1996" s="8"/>
      <c r="BB1996" s="8"/>
      <c r="BC1996" s="8"/>
      <c r="BD1996" s="8"/>
      <c r="BE1996" s="8"/>
      <c r="BF1996" s="8">
        <v>130.99</v>
      </c>
      <c r="BG1996" s="8">
        <v>154.63999999999999</v>
      </c>
      <c r="BH1996" s="9">
        <f t="shared" si="279"/>
        <v>3343.83</v>
      </c>
      <c r="BI1996" s="9">
        <f t="shared" si="280"/>
        <v>6.41</v>
      </c>
      <c r="BJ1996" s="9">
        <f t="shared" si="281"/>
        <v>13.4</v>
      </c>
      <c r="BK1996" s="9">
        <f t="shared" si="282"/>
        <v>37.75</v>
      </c>
      <c r="BL1996" s="9">
        <f t="shared" si="283"/>
        <v>0</v>
      </c>
      <c r="BM1996" s="9">
        <f t="shared" si="284"/>
        <v>11.65</v>
      </c>
      <c r="BN1996" s="9">
        <f t="shared" si="285"/>
        <v>2052.0700000000002</v>
      </c>
      <c r="BO1996" s="9">
        <f t="shared" si="286"/>
        <v>29.522760000000002</v>
      </c>
      <c r="BP1996" s="9">
        <f t="shared" si="287"/>
        <v>130.99</v>
      </c>
    </row>
    <row r="1997" spans="1:68">
      <c r="A1997" s="6">
        <v>44902</v>
      </c>
      <c r="B1997" s="7">
        <v>3141</v>
      </c>
      <c r="C1997" s="8">
        <v>2418.4299999999998</v>
      </c>
      <c r="D1997" s="8">
        <v>426.84</v>
      </c>
      <c r="E1997" s="8"/>
      <c r="F1997" s="8"/>
      <c r="G1997" s="8"/>
      <c r="H1997" s="8"/>
      <c r="I1997" s="8"/>
      <c r="J1997" s="8"/>
      <c r="K1997" s="8"/>
      <c r="L1997" s="8"/>
      <c r="M1997" s="8">
        <v>7.75</v>
      </c>
      <c r="N1997" s="8"/>
      <c r="O1997" s="8"/>
      <c r="P1997" s="8"/>
      <c r="Q1997" s="11"/>
      <c r="R1997" s="11"/>
      <c r="S1997" s="8">
        <v>13.39</v>
      </c>
      <c r="T1997" s="8"/>
      <c r="U1997" s="8">
        <v>42.7</v>
      </c>
      <c r="V1997" s="8"/>
      <c r="W1997" s="8"/>
      <c r="X1997" s="8"/>
      <c r="Y1997" s="8"/>
      <c r="Z1997" s="8"/>
      <c r="AA1997" s="8"/>
      <c r="AB1997" s="8"/>
      <c r="AC1997" s="8">
        <v>11.39</v>
      </c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11"/>
      <c r="AQ1997" s="8"/>
      <c r="AR1997" s="8"/>
      <c r="AS1997" s="8"/>
      <c r="AT1997" s="8">
        <v>1872.18</v>
      </c>
      <c r="AU1997" s="8"/>
      <c r="AV1997" s="8"/>
      <c r="AW1997" s="8"/>
      <c r="AX1997" s="8"/>
      <c r="AY1997" s="8"/>
      <c r="AZ1997" s="8"/>
      <c r="BA1997" s="8">
        <v>65.239999999999995</v>
      </c>
      <c r="BB1997" s="8"/>
      <c r="BC1997" s="8"/>
      <c r="BD1997" s="8"/>
      <c r="BE1997" s="8"/>
      <c r="BF1997" s="8">
        <v>198.93</v>
      </c>
      <c r="BG1997" s="8">
        <v>148.24</v>
      </c>
      <c r="BH1997" s="9">
        <f t="shared" si="279"/>
        <v>2845.27</v>
      </c>
      <c r="BI1997" s="9">
        <f t="shared" si="280"/>
        <v>7.75</v>
      </c>
      <c r="BJ1997" s="9">
        <f t="shared" si="281"/>
        <v>13.39</v>
      </c>
      <c r="BK1997" s="9">
        <f t="shared" si="282"/>
        <v>42.7</v>
      </c>
      <c r="BL1997" s="9">
        <f t="shared" si="283"/>
        <v>0</v>
      </c>
      <c r="BM1997" s="9">
        <f t="shared" si="284"/>
        <v>11.39</v>
      </c>
      <c r="BN1997" s="9">
        <f t="shared" si="285"/>
        <v>1872.18</v>
      </c>
      <c r="BO1997" s="9">
        <f t="shared" si="286"/>
        <v>65.239999999999995</v>
      </c>
      <c r="BP1997" s="9">
        <f t="shared" si="287"/>
        <v>198.93</v>
      </c>
    </row>
    <row r="1998" spans="1:68">
      <c r="A1998" s="6">
        <v>44902</v>
      </c>
      <c r="B1998" s="7">
        <v>3136</v>
      </c>
      <c r="C1998" s="8">
        <v>1208.71</v>
      </c>
      <c r="D1998" s="8"/>
      <c r="E1998" s="8"/>
      <c r="F1998" s="8"/>
      <c r="G1998" s="8"/>
      <c r="H1998" s="8">
        <v>501.83</v>
      </c>
      <c r="I1998" s="8"/>
      <c r="J1998" s="8"/>
      <c r="K1998" s="8"/>
      <c r="L1998" s="8"/>
      <c r="M1998" s="8">
        <v>1.8</v>
      </c>
      <c r="N1998" s="8"/>
      <c r="O1998" s="8"/>
      <c r="P1998" s="8"/>
      <c r="Q1998" s="11"/>
      <c r="R1998" s="11"/>
      <c r="S1998" s="8">
        <v>7.45</v>
      </c>
      <c r="T1998" s="8"/>
      <c r="U1998" s="8">
        <v>19.32</v>
      </c>
      <c r="V1998" s="8"/>
      <c r="W1998" s="8"/>
      <c r="X1998" s="8"/>
      <c r="Y1998" s="8"/>
      <c r="Z1998" s="8"/>
      <c r="AA1998" s="8"/>
      <c r="AB1998" s="8"/>
      <c r="AC1998" s="8">
        <v>5.95</v>
      </c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11"/>
      <c r="AQ1998" s="8"/>
      <c r="AR1998" s="8"/>
      <c r="AS1998" s="8"/>
      <c r="AT1998" s="8">
        <v>969.37</v>
      </c>
      <c r="AU1998" s="8"/>
      <c r="AV1998" s="8"/>
      <c r="AW1998" s="8"/>
      <c r="AX1998" s="8"/>
      <c r="AY1998" s="8"/>
      <c r="AZ1998" s="8"/>
      <c r="BA1998" s="8">
        <v>14.77</v>
      </c>
      <c r="BB1998" s="8"/>
      <c r="BC1998" s="8"/>
      <c r="BD1998" s="8"/>
      <c r="BE1998" s="8"/>
      <c r="BF1998" s="8">
        <v>59.61</v>
      </c>
      <c r="BG1998" s="8">
        <v>73.02</v>
      </c>
      <c r="BH1998" s="9">
        <f t="shared" si="279"/>
        <v>1710.54</v>
      </c>
      <c r="BI1998" s="9">
        <f t="shared" si="280"/>
        <v>1.8</v>
      </c>
      <c r="BJ1998" s="9">
        <f t="shared" si="281"/>
        <v>7.45</v>
      </c>
      <c r="BK1998" s="9">
        <f t="shared" si="282"/>
        <v>19.32</v>
      </c>
      <c r="BL1998" s="9">
        <f t="shared" si="283"/>
        <v>0</v>
      </c>
      <c r="BM1998" s="9">
        <f t="shared" si="284"/>
        <v>5.95</v>
      </c>
      <c r="BN1998" s="9">
        <f t="shared" si="285"/>
        <v>969.37</v>
      </c>
      <c r="BO1998" s="9">
        <f t="shared" si="286"/>
        <v>14.77</v>
      </c>
      <c r="BP1998" s="9">
        <f t="shared" si="287"/>
        <v>59.61</v>
      </c>
    </row>
    <row r="1999" spans="1:68">
      <c r="A1999" s="6">
        <v>44902</v>
      </c>
      <c r="B1999" s="7">
        <v>3106</v>
      </c>
      <c r="C1999" s="8">
        <v>4107.21</v>
      </c>
      <c r="D1999" s="8"/>
      <c r="E1999" s="8"/>
      <c r="F1999" s="8"/>
      <c r="G1999" s="8"/>
      <c r="H1999" s="8"/>
      <c r="I1999" s="8"/>
      <c r="J1999" s="8"/>
      <c r="K1999" s="8"/>
      <c r="L1999" s="8"/>
      <c r="M1999" s="8">
        <v>10.58</v>
      </c>
      <c r="N1999" s="8"/>
      <c r="O1999" s="8"/>
      <c r="P1999" s="8"/>
      <c r="Q1999" s="11"/>
      <c r="R1999" s="11"/>
      <c r="S1999" s="8">
        <v>12.36</v>
      </c>
      <c r="T1999" s="8"/>
      <c r="U1999" s="8">
        <v>52.29</v>
      </c>
      <c r="V1999" s="8"/>
      <c r="W1999" s="8"/>
      <c r="X1999" s="8"/>
      <c r="Y1999" s="8"/>
      <c r="Z1999" s="8"/>
      <c r="AA1999" s="8"/>
      <c r="AB1999" s="8"/>
      <c r="AC1999" s="8">
        <v>10.28</v>
      </c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11"/>
      <c r="AQ1999" s="8"/>
      <c r="AR1999" s="8"/>
      <c r="AS1999" s="8"/>
      <c r="AT1999" s="8">
        <v>2341.9899999999998</v>
      </c>
      <c r="AU1999" s="8"/>
      <c r="AV1999" s="8"/>
      <c r="AW1999" s="8"/>
      <c r="AX1999" s="8">
        <v>5.14</v>
      </c>
      <c r="AY1999" s="8"/>
      <c r="AZ1999" s="8"/>
      <c r="BA1999" s="8"/>
      <c r="BB1999" s="8"/>
      <c r="BC1999" s="8"/>
      <c r="BD1999" s="8"/>
      <c r="BE1999" s="8"/>
      <c r="BF1999" s="8"/>
      <c r="BG1999" s="8">
        <v>176.81</v>
      </c>
      <c r="BH1999" s="9">
        <f t="shared" si="279"/>
        <v>4107.21</v>
      </c>
      <c r="BI1999" s="9">
        <f t="shared" si="280"/>
        <v>10.58</v>
      </c>
      <c r="BJ1999" s="9">
        <f t="shared" si="281"/>
        <v>12.36</v>
      </c>
      <c r="BK1999" s="9">
        <f t="shared" si="282"/>
        <v>52.29</v>
      </c>
      <c r="BL1999" s="9">
        <f t="shared" si="283"/>
        <v>0</v>
      </c>
      <c r="BM1999" s="9">
        <f t="shared" si="284"/>
        <v>10.28</v>
      </c>
      <c r="BN1999" s="9">
        <f t="shared" si="285"/>
        <v>2341.9899999999998</v>
      </c>
      <c r="BO1999" s="9">
        <f t="shared" si="286"/>
        <v>5.14</v>
      </c>
      <c r="BP1999" s="9">
        <f t="shared" si="287"/>
        <v>0</v>
      </c>
    </row>
    <row r="2000" spans="1:68">
      <c r="A2000" s="6">
        <v>44902</v>
      </c>
      <c r="B2000" s="7">
        <v>3020</v>
      </c>
      <c r="C2000" s="8"/>
      <c r="D2000" s="8">
        <v>472.22</v>
      </c>
      <c r="E2000" s="8"/>
      <c r="F2000" s="8"/>
      <c r="G2000" s="8"/>
      <c r="H2000" s="8"/>
      <c r="I2000" s="8">
        <v>2656.88</v>
      </c>
      <c r="J2000" s="8"/>
      <c r="K2000" s="8"/>
      <c r="L2000" s="8"/>
      <c r="M2000" s="8"/>
      <c r="N2000" s="8">
        <v>18.86</v>
      </c>
      <c r="O2000" s="8"/>
      <c r="P2000" s="8"/>
      <c r="Q2000" s="11"/>
      <c r="R2000" s="11"/>
      <c r="S2000" s="8">
        <v>5.66</v>
      </c>
      <c r="T2000" s="8"/>
      <c r="U2000" s="8"/>
      <c r="V2000" s="8"/>
      <c r="W2000" s="8">
        <v>31.45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>
        <v>31.2</v>
      </c>
      <c r="AN2000" s="8"/>
      <c r="AO2000" s="8"/>
      <c r="AP2000" s="11"/>
      <c r="AQ2000" s="8"/>
      <c r="AR2000" s="8"/>
      <c r="AS2000" s="8">
        <f>3044*26.17/1000</f>
        <v>79.661480000000012</v>
      </c>
      <c r="AT2000" s="8">
        <v>1542.65</v>
      </c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>
        <v>112.93</v>
      </c>
      <c r="BH2000" s="9">
        <f t="shared" si="279"/>
        <v>3129.1000000000004</v>
      </c>
      <c r="BI2000" s="9">
        <f t="shared" si="280"/>
        <v>18.86</v>
      </c>
      <c r="BJ2000" s="9">
        <f t="shared" si="281"/>
        <v>5.66</v>
      </c>
      <c r="BK2000" s="9">
        <f t="shared" si="282"/>
        <v>31.45</v>
      </c>
      <c r="BL2000" s="9">
        <f t="shared" si="283"/>
        <v>0</v>
      </c>
      <c r="BM2000" s="9">
        <f t="shared" si="284"/>
        <v>110.86148000000001</v>
      </c>
      <c r="BN2000" s="9">
        <f t="shared" si="285"/>
        <v>1542.65</v>
      </c>
      <c r="BO2000" s="9">
        <f t="shared" si="286"/>
        <v>0</v>
      </c>
      <c r="BP2000" s="9">
        <f t="shared" si="287"/>
        <v>0</v>
      </c>
    </row>
    <row r="2001" spans="1:68">
      <c r="A2001" s="6">
        <v>44902</v>
      </c>
      <c r="B2001" s="7">
        <v>3028</v>
      </c>
      <c r="C2001" s="8"/>
      <c r="D2001" s="8">
        <v>402.36</v>
      </c>
      <c r="E2001" s="8"/>
      <c r="F2001" s="8">
        <v>369.21</v>
      </c>
      <c r="G2001" s="8"/>
      <c r="H2001" s="8"/>
      <c r="I2001" s="8">
        <v>837.47</v>
      </c>
      <c r="J2001" s="8"/>
      <c r="K2001" s="8"/>
      <c r="L2001" s="8"/>
      <c r="M2001" s="8"/>
      <c r="N2001" s="8">
        <v>12.01</v>
      </c>
      <c r="O2001" s="8"/>
      <c r="P2001" s="8"/>
      <c r="Q2001" s="11"/>
      <c r="R2001" s="11"/>
      <c r="S2001" s="8">
        <v>2.25</v>
      </c>
      <c r="T2001" s="8"/>
      <c r="U2001" s="8"/>
      <c r="V2001" s="8"/>
      <c r="W2001" s="8">
        <v>12.02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>
        <v>16.04</v>
      </c>
      <c r="AN2001" s="8">
        <f>1077*10.7/1000</f>
        <v>11.523899999999999</v>
      </c>
      <c r="AO2001" s="8"/>
      <c r="AP2001" s="11"/>
      <c r="AQ2001" s="8"/>
      <c r="AR2001" s="8"/>
      <c r="AS2001" s="8">
        <f>4436*10.7/1000</f>
        <v>47.465199999999996</v>
      </c>
      <c r="AT2001" s="8">
        <v>534.61</v>
      </c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>
        <v>36.53</v>
      </c>
      <c r="BH2001" s="9">
        <f t="shared" si="279"/>
        <v>1609.04</v>
      </c>
      <c r="BI2001" s="9">
        <f t="shared" si="280"/>
        <v>12.01</v>
      </c>
      <c r="BJ2001" s="9">
        <f t="shared" si="281"/>
        <v>2.25</v>
      </c>
      <c r="BK2001" s="9">
        <f t="shared" si="282"/>
        <v>12.02</v>
      </c>
      <c r="BL2001" s="9">
        <f t="shared" si="283"/>
        <v>0</v>
      </c>
      <c r="BM2001" s="9">
        <f t="shared" si="284"/>
        <v>75.0291</v>
      </c>
      <c r="BN2001" s="9">
        <f t="shared" si="285"/>
        <v>534.61</v>
      </c>
      <c r="BO2001" s="9">
        <f t="shared" si="286"/>
        <v>0</v>
      </c>
      <c r="BP2001" s="9">
        <f t="shared" si="287"/>
        <v>0</v>
      </c>
    </row>
    <row r="2002" spans="1:68">
      <c r="A2002" s="6">
        <v>44902</v>
      </c>
      <c r="B2002" s="7">
        <v>3025</v>
      </c>
      <c r="C2002" s="8"/>
      <c r="D2002" s="8">
        <v>217.85</v>
      </c>
      <c r="E2002" s="8"/>
      <c r="F2002" s="8"/>
      <c r="G2002" s="8"/>
      <c r="H2002" s="8"/>
      <c r="I2002" s="8">
        <v>1230.8499999999999</v>
      </c>
      <c r="J2002" s="8"/>
      <c r="K2002" s="8"/>
      <c r="L2002" s="8"/>
      <c r="M2002" s="8"/>
      <c r="N2002" s="8">
        <v>7.87</v>
      </c>
      <c r="O2002" s="8"/>
      <c r="P2002" s="8"/>
      <c r="Q2002" s="11"/>
      <c r="R2002" s="11"/>
      <c r="S2002" s="8">
        <v>2.33</v>
      </c>
      <c r="T2002" s="8"/>
      <c r="U2002" s="8"/>
      <c r="V2002" s="8"/>
      <c r="W2002" s="8">
        <v>13.04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>
        <v>14.51</v>
      </c>
      <c r="AN2002" s="8">
        <f>702*14.52/1000</f>
        <v>10.19304</v>
      </c>
      <c r="AO2002" s="8"/>
      <c r="AP2002" s="11"/>
      <c r="AQ2002" s="8"/>
      <c r="AR2002" s="8"/>
      <c r="AS2002" s="8">
        <f>3294*14.52/1000</f>
        <v>47.828879999999998</v>
      </c>
      <c r="AT2002" s="8">
        <v>503.37</v>
      </c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>
        <v>33.28</v>
      </c>
      <c r="BH2002" s="9">
        <f t="shared" si="279"/>
        <v>1448.6999999999998</v>
      </c>
      <c r="BI2002" s="9">
        <f t="shared" si="280"/>
        <v>7.87</v>
      </c>
      <c r="BJ2002" s="9">
        <f t="shared" si="281"/>
        <v>2.33</v>
      </c>
      <c r="BK2002" s="9">
        <f t="shared" si="282"/>
        <v>13.04</v>
      </c>
      <c r="BL2002" s="9">
        <f t="shared" si="283"/>
        <v>0</v>
      </c>
      <c r="BM2002" s="9">
        <f t="shared" si="284"/>
        <v>72.53192</v>
      </c>
      <c r="BN2002" s="9">
        <f t="shared" si="285"/>
        <v>503.37</v>
      </c>
      <c r="BO2002" s="9">
        <f t="shared" si="286"/>
        <v>0</v>
      </c>
      <c r="BP2002" s="9">
        <f t="shared" si="287"/>
        <v>0</v>
      </c>
    </row>
    <row r="2003" spans="1:68">
      <c r="A2003" s="6">
        <v>44902</v>
      </c>
      <c r="B2003" s="7">
        <v>3205</v>
      </c>
      <c r="C2003" s="8">
        <v>679.29</v>
      </c>
      <c r="D2003" s="8">
        <v>379.63</v>
      </c>
      <c r="E2003" s="8">
        <v>455.58</v>
      </c>
      <c r="F2003" s="8"/>
      <c r="G2003" s="8"/>
      <c r="H2003" s="8"/>
      <c r="I2003" s="8"/>
      <c r="J2003" s="8"/>
      <c r="K2003" s="8"/>
      <c r="L2003" s="8"/>
      <c r="M2003" s="8"/>
      <c r="N2003" s="8"/>
      <c r="O2003" s="8">
        <v>6.12</v>
      </c>
      <c r="P2003" s="8"/>
      <c r="Q2003" s="11"/>
      <c r="R2003" s="11"/>
      <c r="S2003" s="8">
        <v>5.66</v>
      </c>
      <c r="T2003" s="8"/>
      <c r="U2003" s="8">
        <v>18.37</v>
      </c>
      <c r="V2003" s="8"/>
      <c r="W2003" s="8"/>
      <c r="X2003" s="8"/>
      <c r="Y2003" s="8"/>
      <c r="Z2003" s="8">
        <v>152.81</v>
      </c>
      <c r="AA2003" s="8"/>
      <c r="AB2003" s="8">
        <f>1018*15.27/1000</f>
        <v>15.544859999999998</v>
      </c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11"/>
      <c r="AQ2003" s="8">
        <f>512*15.27/1000</f>
        <v>7.8182399999999994</v>
      </c>
      <c r="AR2003" s="8"/>
      <c r="AS2003" s="8"/>
      <c r="AT2003" s="8">
        <v>396.94</v>
      </c>
      <c r="AU2003" s="8">
        <v>198.48</v>
      </c>
      <c r="AV2003" s="8"/>
      <c r="AW2003" s="8">
        <v>6.61</v>
      </c>
      <c r="AX2003" s="8"/>
      <c r="AY2003" s="8"/>
      <c r="AZ2003" s="8"/>
      <c r="BA2003" s="8"/>
      <c r="BB2003" s="8"/>
      <c r="BC2003" s="8"/>
      <c r="BD2003" s="8"/>
      <c r="BE2003" s="8"/>
      <c r="BF2003" s="8"/>
      <c r="BG2003" s="8">
        <v>36.46</v>
      </c>
      <c r="BH2003" s="9">
        <f t="shared" si="279"/>
        <v>1514.5</v>
      </c>
      <c r="BI2003" s="9">
        <f t="shared" si="280"/>
        <v>6.12</v>
      </c>
      <c r="BJ2003" s="9">
        <f t="shared" si="281"/>
        <v>5.66</v>
      </c>
      <c r="BK2003" s="9">
        <f t="shared" si="282"/>
        <v>18.37</v>
      </c>
      <c r="BL2003" s="9">
        <f t="shared" si="283"/>
        <v>152.81</v>
      </c>
      <c r="BM2003" s="9">
        <f t="shared" si="284"/>
        <v>23.363099999999996</v>
      </c>
      <c r="BN2003" s="9">
        <f t="shared" si="285"/>
        <v>595.41999999999996</v>
      </c>
      <c r="BO2003" s="9">
        <f t="shared" si="286"/>
        <v>6.61</v>
      </c>
      <c r="BP2003" s="9">
        <f t="shared" si="287"/>
        <v>0</v>
      </c>
    </row>
    <row r="2004" spans="1:68">
      <c r="A2004" s="6">
        <v>44903</v>
      </c>
      <c r="B2004" s="7">
        <v>3203</v>
      </c>
      <c r="C2004" s="8">
        <v>1678.37</v>
      </c>
      <c r="D2004" s="8"/>
      <c r="E2004" s="8">
        <v>718.95</v>
      </c>
      <c r="F2004" s="8"/>
      <c r="G2004" s="8"/>
      <c r="H2004" s="8"/>
      <c r="I2004" s="8"/>
      <c r="J2004" s="8"/>
      <c r="K2004" s="8"/>
      <c r="L2004" s="8"/>
      <c r="M2004" s="8"/>
      <c r="N2004" s="8"/>
      <c r="O2004" s="8">
        <v>7.19</v>
      </c>
      <c r="P2004" s="8"/>
      <c r="Q2004" s="11"/>
      <c r="R2004" s="11"/>
      <c r="S2004" s="8">
        <v>9.35</v>
      </c>
      <c r="T2004" s="8"/>
      <c r="U2004" s="8">
        <v>29.72</v>
      </c>
      <c r="V2004" s="8"/>
      <c r="W2004" s="8"/>
      <c r="X2004" s="8"/>
      <c r="Y2004" s="8"/>
      <c r="Z2004" s="8">
        <v>377.69</v>
      </c>
      <c r="AA2004" s="8">
        <f>10426*28.2/1000</f>
        <v>294.01319999999998</v>
      </c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11"/>
      <c r="AQ2004" s="8"/>
      <c r="AR2004" s="8"/>
      <c r="AS2004" s="8"/>
      <c r="AT2004" s="8">
        <v>897.69</v>
      </c>
      <c r="AU2004" s="8"/>
      <c r="AV2004" s="8"/>
      <c r="AW2004" s="8"/>
      <c r="AX2004" s="8"/>
      <c r="AY2004" s="8"/>
      <c r="AZ2004" s="8"/>
      <c r="BA2004" s="8"/>
      <c r="BB2004" s="8"/>
      <c r="BC2004" s="8">
        <v>6.23</v>
      </c>
      <c r="BD2004" s="8"/>
      <c r="BE2004" s="8"/>
      <c r="BF2004" s="8"/>
      <c r="BG2004" s="8">
        <v>87.38</v>
      </c>
      <c r="BH2004" s="9">
        <f t="shared" si="279"/>
        <v>2397.3199999999997</v>
      </c>
      <c r="BI2004" s="9">
        <f t="shared" si="280"/>
        <v>7.19</v>
      </c>
      <c r="BJ2004" s="9">
        <f t="shared" si="281"/>
        <v>9.35</v>
      </c>
      <c r="BK2004" s="9">
        <f t="shared" si="282"/>
        <v>29.72</v>
      </c>
      <c r="BL2004" s="9">
        <f t="shared" si="283"/>
        <v>671.70319999999992</v>
      </c>
      <c r="BM2004" s="9">
        <f t="shared" si="284"/>
        <v>0</v>
      </c>
      <c r="BN2004" s="9">
        <f t="shared" si="285"/>
        <v>897.69</v>
      </c>
      <c r="BO2004" s="9">
        <f t="shared" si="286"/>
        <v>6.23</v>
      </c>
      <c r="BP2004" s="9">
        <f t="shared" si="287"/>
        <v>0</v>
      </c>
    </row>
    <row r="2005" spans="1:68">
      <c r="A2005" s="6">
        <v>44903</v>
      </c>
      <c r="B2005" s="7">
        <v>3204</v>
      </c>
      <c r="C2005" s="8"/>
      <c r="D2005" s="8">
        <v>929.79</v>
      </c>
      <c r="E2005" s="8">
        <v>398.23</v>
      </c>
      <c r="F2005" s="8"/>
      <c r="G2005" s="8"/>
      <c r="H2005" s="8"/>
      <c r="I2005" s="8"/>
      <c r="J2005" s="8"/>
      <c r="K2005" s="8"/>
      <c r="L2005" s="8"/>
      <c r="M2005" s="8"/>
      <c r="N2005" s="8"/>
      <c r="O2005" s="8">
        <v>6.64</v>
      </c>
      <c r="P2005" s="8"/>
      <c r="Q2005" s="11"/>
      <c r="R2005" s="11"/>
      <c r="S2005" s="8">
        <v>4.54</v>
      </c>
      <c r="T2005" s="8"/>
      <c r="U2005" s="8">
        <v>14.63</v>
      </c>
      <c r="V2005" s="8"/>
      <c r="W2005" s="8"/>
      <c r="X2005" s="8"/>
      <c r="Y2005" s="8"/>
      <c r="Z2005" s="8">
        <v>199.43</v>
      </c>
      <c r="AA2005" s="8"/>
      <c r="AB2005" s="8">
        <f>718*9.47/1000</f>
        <v>6.7994599999999998</v>
      </c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11"/>
      <c r="AQ2005" s="8"/>
      <c r="AR2005" s="8"/>
      <c r="AS2005" s="8"/>
      <c r="AT2005" s="8">
        <v>585.6</v>
      </c>
      <c r="AU2005" s="8"/>
      <c r="AV2005" s="8"/>
      <c r="AW2005" s="8">
        <v>4.24</v>
      </c>
      <c r="AX2005" s="8"/>
      <c r="AY2005" s="8"/>
      <c r="AZ2005" s="8"/>
      <c r="BA2005" s="8"/>
      <c r="BB2005" s="8"/>
      <c r="BC2005" s="8"/>
      <c r="BD2005" s="8"/>
      <c r="BE2005" s="8"/>
      <c r="BF2005" s="8"/>
      <c r="BG2005" s="8">
        <v>43.2</v>
      </c>
      <c r="BH2005" s="9">
        <f t="shared" si="279"/>
        <v>1328.02</v>
      </c>
      <c r="BI2005" s="9">
        <f t="shared" si="280"/>
        <v>6.64</v>
      </c>
      <c r="BJ2005" s="9">
        <f t="shared" si="281"/>
        <v>4.54</v>
      </c>
      <c r="BK2005" s="9">
        <f t="shared" si="282"/>
        <v>14.63</v>
      </c>
      <c r="BL2005" s="9">
        <f t="shared" si="283"/>
        <v>199.43</v>
      </c>
      <c r="BM2005" s="9">
        <f t="shared" si="284"/>
        <v>6.7994599999999998</v>
      </c>
      <c r="BN2005" s="9">
        <f t="shared" si="285"/>
        <v>585.6</v>
      </c>
      <c r="BO2005" s="9">
        <f t="shared" si="286"/>
        <v>4.24</v>
      </c>
      <c r="BP2005" s="9">
        <f t="shared" si="287"/>
        <v>0</v>
      </c>
    </row>
    <row r="2006" spans="1:68">
      <c r="A2006" s="6">
        <v>44903</v>
      </c>
      <c r="B2006" s="7">
        <v>8021</v>
      </c>
      <c r="C2006" s="8">
        <f>370.11+101.52</f>
        <v>471.63</v>
      </c>
      <c r="D2006" s="8">
        <f>668.8+181.46</f>
        <v>850.26</v>
      </c>
      <c r="E2006" s="8">
        <f>120.82+444.49</f>
        <v>565.30999999999995</v>
      </c>
      <c r="F2006" s="8"/>
      <c r="G2006" s="8"/>
      <c r="H2006" s="8"/>
      <c r="I2006" s="8"/>
      <c r="J2006" s="8"/>
      <c r="K2006" s="8"/>
      <c r="L2006" s="8"/>
      <c r="M2006" s="8"/>
      <c r="N2006" s="8"/>
      <c r="O2006" s="8">
        <f>2.97+0.81</f>
        <v>3.7800000000000002</v>
      </c>
      <c r="P2006" s="8"/>
      <c r="Q2006" s="11"/>
      <c r="R2006" s="11"/>
      <c r="S2006" s="8">
        <f>7.41+2.02</f>
        <v>9.43</v>
      </c>
      <c r="T2006" s="8"/>
      <c r="U2006" s="8">
        <f>2.83+10.38</f>
        <v>13.21</v>
      </c>
      <c r="V2006" s="8"/>
      <c r="W2006" s="8"/>
      <c r="X2006" s="8"/>
      <c r="Y2006" s="8"/>
      <c r="Z2006" s="8">
        <f>170.64+46.41</f>
        <v>217.04999999999998</v>
      </c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11"/>
      <c r="AQ2006" s="8"/>
      <c r="AR2006" s="8"/>
      <c r="AS2006" s="8"/>
      <c r="AT2006" s="8">
        <f>74.79+276.58</f>
        <v>351.37</v>
      </c>
      <c r="AU2006" s="8">
        <f>37.66+138.6</f>
        <v>176.26</v>
      </c>
      <c r="AV2006" s="8"/>
      <c r="AW2006" s="8">
        <f>1.53+5.62</f>
        <v>7.15</v>
      </c>
      <c r="AX2006" s="8"/>
      <c r="AY2006" s="8"/>
      <c r="AZ2006" s="8"/>
      <c r="BA2006" s="8"/>
      <c r="BB2006" s="8"/>
      <c r="BC2006" s="8"/>
      <c r="BD2006" s="8"/>
      <c r="BE2006" s="8"/>
      <c r="BF2006" s="8"/>
      <c r="BG2006" s="8">
        <f>28.4+7.72</f>
        <v>36.119999999999997</v>
      </c>
      <c r="BH2006" s="9">
        <f t="shared" si="279"/>
        <v>1887.1999999999998</v>
      </c>
      <c r="BI2006" s="9">
        <f t="shared" si="280"/>
        <v>3.7800000000000002</v>
      </c>
      <c r="BJ2006" s="9">
        <f t="shared" si="281"/>
        <v>9.43</v>
      </c>
      <c r="BK2006" s="9">
        <f t="shared" si="282"/>
        <v>13.21</v>
      </c>
      <c r="BL2006" s="9">
        <f t="shared" si="283"/>
        <v>217.04999999999998</v>
      </c>
      <c r="BM2006" s="9">
        <f t="shared" si="284"/>
        <v>0</v>
      </c>
      <c r="BN2006" s="9">
        <f t="shared" si="285"/>
        <v>527.63</v>
      </c>
      <c r="BO2006" s="9">
        <f t="shared" si="286"/>
        <v>7.15</v>
      </c>
      <c r="BP2006" s="9">
        <f t="shared" si="287"/>
        <v>0</v>
      </c>
    </row>
    <row r="2007" spans="1:68">
      <c r="A2007" s="6">
        <v>44903</v>
      </c>
      <c r="B2007" s="7">
        <v>3106</v>
      </c>
      <c r="C2007" s="8">
        <v>4144.63</v>
      </c>
      <c r="D2007" s="8"/>
      <c r="E2007" s="8"/>
      <c r="F2007" s="8"/>
      <c r="G2007" s="8"/>
      <c r="H2007" s="8"/>
      <c r="I2007" s="8"/>
      <c r="J2007" s="8"/>
      <c r="K2007" s="8"/>
      <c r="L2007" s="8"/>
      <c r="M2007" s="8">
        <v>10.67</v>
      </c>
      <c r="N2007" s="8"/>
      <c r="O2007" s="8"/>
      <c r="P2007" s="8"/>
      <c r="Q2007" s="11"/>
      <c r="R2007" s="11"/>
      <c r="S2007" s="8">
        <v>12.45</v>
      </c>
      <c r="T2007" s="8"/>
      <c r="U2007" s="8">
        <v>52.7</v>
      </c>
      <c r="V2007" s="8"/>
      <c r="W2007" s="8"/>
      <c r="X2007" s="8"/>
      <c r="Y2007" s="8"/>
      <c r="Z2007" s="8"/>
      <c r="AA2007" s="8"/>
      <c r="AB2007" s="8"/>
      <c r="AC2007" s="8">
        <v>10.36</v>
      </c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11"/>
      <c r="AQ2007" s="8"/>
      <c r="AR2007" s="8"/>
      <c r="AS2007" s="8"/>
      <c r="AT2007" s="8">
        <v>2361.27</v>
      </c>
      <c r="AU2007" s="8"/>
      <c r="AV2007" s="8"/>
      <c r="AW2007" s="8"/>
      <c r="AX2007" s="8">
        <v>5.18</v>
      </c>
      <c r="AY2007" s="8"/>
      <c r="AZ2007" s="8"/>
      <c r="BA2007" s="8"/>
      <c r="BB2007" s="8"/>
      <c r="BC2007" s="8"/>
      <c r="BD2007" s="8"/>
      <c r="BE2007" s="8"/>
      <c r="BF2007" s="8"/>
      <c r="BG2007" s="8">
        <v>178.32</v>
      </c>
      <c r="BH2007" s="9">
        <f t="shared" si="279"/>
        <v>4144.63</v>
      </c>
      <c r="BI2007" s="9">
        <f t="shared" si="280"/>
        <v>10.67</v>
      </c>
      <c r="BJ2007" s="9">
        <f t="shared" si="281"/>
        <v>12.45</v>
      </c>
      <c r="BK2007" s="9">
        <f t="shared" si="282"/>
        <v>52.7</v>
      </c>
      <c r="BL2007" s="9">
        <f t="shared" si="283"/>
        <v>0</v>
      </c>
      <c r="BM2007" s="9">
        <f t="shared" si="284"/>
        <v>10.36</v>
      </c>
      <c r="BN2007" s="9">
        <f t="shared" si="285"/>
        <v>2361.27</v>
      </c>
      <c r="BO2007" s="9">
        <f t="shared" si="286"/>
        <v>5.18</v>
      </c>
      <c r="BP2007" s="9">
        <f t="shared" si="287"/>
        <v>0</v>
      </c>
    </row>
    <row r="2008" spans="1:68">
      <c r="A2008" s="6">
        <v>44903</v>
      </c>
      <c r="B2008" s="7">
        <v>3141</v>
      </c>
      <c r="C2008" s="8">
        <v>2367.83</v>
      </c>
      <c r="D2008" s="8">
        <v>416.99</v>
      </c>
      <c r="E2008" s="8"/>
      <c r="F2008" s="8"/>
      <c r="G2008" s="8"/>
      <c r="H2008" s="8"/>
      <c r="I2008" s="8"/>
      <c r="J2008" s="8"/>
      <c r="K2008" s="8"/>
      <c r="L2008" s="8"/>
      <c r="M2008" s="8">
        <v>7.56</v>
      </c>
      <c r="N2008" s="8"/>
      <c r="O2008" s="8"/>
      <c r="P2008" s="8"/>
      <c r="Q2008" s="11"/>
      <c r="R2008" s="11"/>
      <c r="S2008" s="8">
        <v>13.08</v>
      </c>
      <c r="T2008" s="8"/>
      <c r="U2008" s="8">
        <v>41.74</v>
      </c>
      <c r="V2008" s="8"/>
      <c r="W2008" s="8"/>
      <c r="X2008" s="8"/>
      <c r="Y2008" s="8"/>
      <c r="Z2008" s="8"/>
      <c r="AA2008" s="8"/>
      <c r="AB2008" s="8"/>
      <c r="AC2008" s="8">
        <v>11.13</v>
      </c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11"/>
      <c r="AQ2008" s="8"/>
      <c r="AR2008" s="8"/>
      <c r="AS2008" s="8"/>
      <c r="AT2008" s="8">
        <v>1842.85</v>
      </c>
      <c r="AU2008" s="8"/>
      <c r="AV2008" s="8"/>
      <c r="AW2008" s="8"/>
      <c r="AX2008" s="8"/>
      <c r="AY2008" s="8"/>
      <c r="AZ2008" s="8"/>
      <c r="BA2008" s="8">
        <v>63.71</v>
      </c>
      <c r="BB2008" s="8"/>
      <c r="BC2008" s="8"/>
      <c r="BD2008" s="8"/>
      <c r="BE2008" s="8"/>
      <c r="BF2008" s="8">
        <v>194.96</v>
      </c>
      <c r="BG2008" s="8">
        <v>144.41</v>
      </c>
      <c r="BH2008" s="9">
        <f t="shared" si="279"/>
        <v>2784.8199999999997</v>
      </c>
      <c r="BI2008" s="9">
        <f t="shared" si="280"/>
        <v>7.56</v>
      </c>
      <c r="BJ2008" s="9">
        <f t="shared" si="281"/>
        <v>13.08</v>
      </c>
      <c r="BK2008" s="9">
        <f t="shared" si="282"/>
        <v>41.74</v>
      </c>
      <c r="BL2008" s="9">
        <f t="shared" si="283"/>
        <v>0</v>
      </c>
      <c r="BM2008" s="9">
        <f t="shared" si="284"/>
        <v>11.13</v>
      </c>
      <c r="BN2008" s="9">
        <f t="shared" si="285"/>
        <v>1842.85</v>
      </c>
      <c r="BO2008" s="9">
        <f t="shared" si="286"/>
        <v>63.71</v>
      </c>
      <c r="BP2008" s="9">
        <f t="shared" si="287"/>
        <v>194.96</v>
      </c>
    </row>
    <row r="2009" spans="1:68">
      <c r="A2009" s="6">
        <v>44903</v>
      </c>
      <c r="B2009" s="7">
        <v>3200</v>
      </c>
      <c r="C2009" s="8">
        <v>2305.31</v>
      </c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>
        <v>5.79</v>
      </c>
      <c r="P2009" s="8"/>
      <c r="Q2009" s="11"/>
      <c r="R2009" s="11"/>
      <c r="S2009" s="8">
        <v>8.99</v>
      </c>
      <c r="T2009" s="8"/>
      <c r="U2009" s="8">
        <v>34.619999999999997</v>
      </c>
      <c r="V2009" s="8"/>
      <c r="W2009" s="8"/>
      <c r="X2009" s="8"/>
      <c r="Y2009" s="8"/>
      <c r="Z2009" s="8">
        <v>484.78</v>
      </c>
      <c r="AA2009" s="8"/>
      <c r="AB2009" s="8"/>
      <c r="AC2009" s="8"/>
      <c r="AD2009" s="8"/>
      <c r="AE2009" s="8"/>
      <c r="AF2009" s="8">
        <v>114.6</v>
      </c>
      <c r="AG2009" s="8"/>
      <c r="AH2009" s="8"/>
      <c r="AI2009" s="8"/>
      <c r="AJ2009" s="8"/>
      <c r="AK2009" s="8"/>
      <c r="AL2009" s="8"/>
      <c r="AM2009" s="8"/>
      <c r="AN2009" s="8"/>
      <c r="AO2009" s="8"/>
      <c r="AP2009" s="11"/>
      <c r="AQ2009" s="8">
        <f>1504*23.07/1000</f>
        <v>34.697279999999999</v>
      </c>
      <c r="AR2009" s="8"/>
      <c r="AS2009" s="8"/>
      <c r="AT2009" s="8">
        <v>1578.25</v>
      </c>
      <c r="AU2009" s="8"/>
      <c r="AV2009" s="8"/>
      <c r="AW2009" s="8">
        <v>6.78</v>
      </c>
      <c r="AX2009" s="8"/>
      <c r="AY2009" s="8"/>
      <c r="AZ2009" s="8"/>
      <c r="BA2009" s="8"/>
      <c r="BB2009" s="8"/>
      <c r="BC2009" s="8"/>
      <c r="BD2009" s="8"/>
      <c r="BE2009" s="8"/>
      <c r="BF2009" s="8">
        <v>110.83</v>
      </c>
      <c r="BG2009" s="8">
        <v>114.36</v>
      </c>
      <c r="BH2009" s="9">
        <f t="shared" si="279"/>
        <v>2305.31</v>
      </c>
      <c r="BI2009" s="9">
        <f t="shared" si="280"/>
        <v>5.79</v>
      </c>
      <c r="BJ2009" s="9">
        <f t="shared" si="281"/>
        <v>8.99</v>
      </c>
      <c r="BK2009" s="9">
        <f t="shared" si="282"/>
        <v>34.619999999999997</v>
      </c>
      <c r="BL2009" s="9">
        <f t="shared" si="283"/>
        <v>484.78</v>
      </c>
      <c r="BM2009" s="9">
        <f t="shared" si="284"/>
        <v>149.29728</v>
      </c>
      <c r="BN2009" s="9">
        <f t="shared" si="285"/>
        <v>1578.25</v>
      </c>
      <c r="BO2009" s="9">
        <f t="shared" si="286"/>
        <v>6.78</v>
      </c>
      <c r="BP2009" s="9">
        <f t="shared" si="287"/>
        <v>110.83</v>
      </c>
    </row>
    <row r="2010" spans="1:68">
      <c r="A2010" s="6">
        <v>44903</v>
      </c>
      <c r="B2010" s="7">
        <v>3100</v>
      </c>
      <c r="C2010" s="8">
        <v>630.44000000000005</v>
      </c>
      <c r="D2010" s="8"/>
      <c r="E2010" s="8"/>
      <c r="F2010" s="8"/>
      <c r="G2010" s="8"/>
      <c r="H2010" s="8"/>
      <c r="I2010" s="8"/>
      <c r="J2010" s="8"/>
      <c r="K2010" s="8"/>
      <c r="L2010" s="8"/>
      <c r="M2010" s="8">
        <v>1.38</v>
      </c>
      <c r="N2010" s="8"/>
      <c r="O2010" s="8"/>
      <c r="P2010" s="8"/>
      <c r="Q2010" s="11"/>
      <c r="R2010" s="11"/>
      <c r="S2010" s="8">
        <v>3.65</v>
      </c>
      <c r="T2010" s="8"/>
      <c r="U2010" s="8">
        <v>10.14</v>
      </c>
      <c r="V2010" s="8"/>
      <c r="W2010" s="8"/>
      <c r="X2010" s="8"/>
      <c r="Y2010" s="8"/>
      <c r="Z2010" s="8"/>
      <c r="AA2010" s="8"/>
      <c r="AB2010" s="8"/>
      <c r="AC2010" s="8">
        <v>2.54</v>
      </c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11"/>
      <c r="AQ2010" s="8"/>
      <c r="AR2010" s="8"/>
      <c r="AS2010" s="8"/>
      <c r="AT2010" s="8">
        <v>426</v>
      </c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>
        <v>82.3</v>
      </c>
      <c r="BG2010" s="8">
        <v>32.590000000000003</v>
      </c>
      <c r="BH2010" s="9">
        <f t="shared" si="279"/>
        <v>630.44000000000005</v>
      </c>
      <c r="BI2010" s="9">
        <f t="shared" si="280"/>
        <v>1.38</v>
      </c>
      <c r="BJ2010" s="9">
        <f t="shared" si="281"/>
        <v>3.65</v>
      </c>
      <c r="BK2010" s="9">
        <f t="shared" si="282"/>
        <v>10.14</v>
      </c>
      <c r="BL2010" s="9">
        <f t="shared" si="283"/>
        <v>0</v>
      </c>
      <c r="BM2010" s="9">
        <f t="shared" si="284"/>
        <v>2.54</v>
      </c>
      <c r="BN2010" s="9">
        <f t="shared" si="285"/>
        <v>426</v>
      </c>
      <c r="BO2010" s="9">
        <f t="shared" si="286"/>
        <v>0</v>
      </c>
      <c r="BP2010" s="9">
        <f t="shared" si="287"/>
        <v>82.3</v>
      </c>
    </row>
    <row r="2011" spans="1:68">
      <c r="A2011" s="6">
        <v>44903</v>
      </c>
      <c r="B2011" s="7">
        <v>3602</v>
      </c>
      <c r="C2011" s="8">
        <v>565.07000000000005</v>
      </c>
      <c r="D2011" s="8"/>
      <c r="E2011" s="8"/>
      <c r="F2011" s="8"/>
      <c r="G2011" s="8">
        <v>845.58</v>
      </c>
      <c r="H2011" s="8"/>
      <c r="I2011" s="8"/>
      <c r="J2011" s="8"/>
      <c r="K2011" s="8"/>
      <c r="L2011" s="8"/>
      <c r="M2011" s="8">
        <v>1.5</v>
      </c>
      <c r="N2011" s="8"/>
      <c r="O2011" s="8"/>
      <c r="P2011" s="8"/>
      <c r="Q2011" s="11"/>
      <c r="R2011" s="11"/>
      <c r="S2011" s="8">
        <v>6.77</v>
      </c>
      <c r="T2011" s="8"/>
      <c r="U2011" s="8">
        <v>11.3</v>
      </c>
      <c r="V2011" s="8">
        <f>853*16.13/1000</f>
        <v>13.758889999999999</v>
      </c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11"/>
      <c r="AQ2011" s="8"/>
      <c r="AR2011" s="8"/>
      <c r="AS2011" s="8"/>
      <c r="AT2011" s="8">
        <v>569.38</v>
      </c>
      <c r="AU2011" s="8"/>
      <c r="AV2011" s="8"/>
      <c r="AW2011" s="8">
        <v>36.5</v>
      </c>
      <c r="AX2011" s="8"/>
      <c r="AY2011" s="8"/>
      <c r="AZ2011" s="8"/>
      <c r="BA2011" s="8"/>
      <c r="BB2011" s="8"/>
      <c r="BC2011" s="8"/>
      <c r="BD2011" s="8"/>
      <c r="BE2011" s="8"/>
      <c r="BF2011" s="8">
        <v>45.19</v>
      </c>
      <c r="BG2011" s="8">
        <v>42.16</v>
      </c>
      <c r="BH2011" s="9">
        <f t="shared" si="279"/>
        <v>1410.65</v>
      </c>
      <c r="BI2011" s="9">
        <f t="shared" si="280"/>
        <v>1.5</v>
      </c>
      <c r="BJ2011" s="9">
        <f t="shared" si="281"/>
        <v>6.77</v>
      </c>
      <c r="BK2011" s="9">
        <f t="shared" si="282"/>
        <v>25.058889999999998</v>
      </c>
      <c r="BL2011" s="9">
        <f t="shared" si="283"/>
        <v>0</v>
      </c>
      <c r="BM2011" s="9">
        <f t="shared" si="284"/>
        <v>0</v>
      </c>
      <c r="BN2011" s="9">
        <f t="shared" si="285"/>
        <v>569.38</v>
      </c>
      <c r="BO2011" s="9">
        <f t="shared" si="286"/>
        <v>36.5</v>
      </c>
      <c r="BP2011" s="9">
        <f t="shared" si="287"/>
        <v>45.19</v>
      </c>
    </row>
    <row r="2012" spans="1:68">
      <c r="A2012" s="6">
        <v>44904</v>
      </c>
      <c r="B2012" s="7">
        <v>3117</v>
      </c>
      <c r="C2012" s="8">
        <v>1473.48</v>
      </c>
      <c r="D2012" s="8"/>
      <c r="E2012" s="8"/>
      <c r="F2012" s="8"/>
      <c r="G2012" s="8"/>
      <c r="H2012" s="8"/>
      <c r="I2012" s="8"/>
      <c r="J2012" s="8"/>
      <c r="K2012" s="8"/>
      <c r="L2012" s="8"/>
      <c r="M2012" s="8">
        <v>4.2699999999999996</v>
      </c>
      <c r="N2012" s="8"/>
      <c r="O2012" s="8"/>
      <c r="P2012" s="8"/>
      <c r="Q2012" s="11"/>
      <c r="R2012" s="11"/>
      <c r="S2012" s="8">
        <v>5.9</v>
      </c>
      <c r="T2012" s="8"/>
      <c r="U2012" s="8">
        <v>14.75</v>
      </c>
      <c r="V2012" s="8"/>
      <c r="W2012" s="8"/>
      <c r="X2012" s="8"/>
      <c r="Y2012" s="8"/>
      <c r="Z2012" s="8"/>
      <c r="AA2012" s="8"/>
      <c r="AB2012" s="8"/>
      <c r="AC2012" s="8">
        <v>5.9</v>
      </c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11"/>
      <c r="AQ2012" s="8"/>
      <c r="AR2012" s="8"/>
      <c r="AS2012" s="8"/>
      <c r="AT2012" s="8">
        <v>928.61</v>
      </c>
      <c r="AU2012" s="8"/>
      <c r="AV2012" s="8">
        <v>36.76</v>
      </c>
      <c r="AW2012" s="8"/>
      <c r="AX2012" s="8"/>
      <c r="AY2012" s="8"/>
      <c r="AZ2012" s="8"/>
      <c r="BA2012" s="8"/>
      <c r="BB2012" s="8"/>
      <c r="BC2012" s="8"/>
      <c r="BD2012" s="8"/>
      <c r="BE2012" s="8"/>
      <c r="BF2012" s="8">
        <v>73.73</v>
      </c>
      <c r="BG2012" s="8">
        <v>70.739999999999995</v>
      </c>
      <c r="BH2012" s="9">
        <f t="shared" si="279"/>
        <v>1473.48</v>
      </c>
      <c r="BI2012" s="9">
        <f t="shared" si="280"/>
        <v>4.2699999999999996</v>
      </c>
      <c r="BJ2012" s="9">
        <f t="shared" si="281"/>
        <v>5.9</v>
      </c>
      <c r="BK2012" s="9">
        <f t="shared" si="282"/>
        <v>14.75</v>
      </c>
      <c r="BL2012" s="9">
        <f t="shared" si="283"/>
        <v>0</v>
      </c>
      <c r="BM2012" s="9">
        <f t="shared" si="284"/>
        <v>5.9</v>
      </c>
      <c r="BN2012" s="9">
        <f t="shared" si="285"/>
        <v>928.61</v>
      </c>
      <c r="BO2012" s="9">
        <f t="shared" si="286"/>
        <v>36.76</v>
      </c>
      <c r="BP2012" s="9">
        <f t="shared" si="287"/>
        <v>73.73</v>
      </c>
    </row>
    <row r="2013" spans="1:68">
      <c r="A2013" s="6">
        <v>44904</v>
      </c>
      <c r="B2013" s="7">
        <v>3307</v>
      </c>
      <c r="C2013" s="8"/>
      <c r="D2013" s="8">
        <v>1910.38</v>
      </c>
      <c r="E2013" s="8"/>
      <c r="F2013" s="8"/>
      <c r="G2013" s="8"/>
      <c r="H2013" s="8"/>
      <c r="I2013" s="8"/>
      <c r="J2013" s="8"/>
      <c r="K2013" s="8"/>
      <c r="L2013" s="8"/>
      <c r="M2013" s="8">
        <v>2.5099999999999998</v>
      </c>
      <c r="N2013" s="8"/>
      <c r="O2013" s="8"/>
      <c r="P2013" s="8"/>
      <c r="Q2013" s="11"/>
      <c r="R2013" s="11"/>
      <c r="S2013" s="8">
        <v>13.99</v>
      </c>
      <c r="T2013" s="8"/>
      <c r="U2013" s="8">
        <v>19.100000000000001</v>
      </c>
      <c r="V2013" s="8"/>
      <c r="W2013" s="8"/>
      <c r="X2013" s="8"/>
      <c r="Y2013" s="8"/>
      <c r="Z2013" s="8"/>
      <c r="AA2013" s="8"/>
      <c r="AB2013" s="8"/>
      <c r="AC2013" s="8">
        <v>11.46</v>
      </c>
      <c r="AD2013" s="8"/>
      <c r="AE2013" s="8"/>
      <c r="AF2013" s="8"/>
      <c r="AG2013" s="8">
        <v>19.12</v>
      </c>
      <c r="AH2013" s="8"/>
      <c r="AI2013" s="8"/>
      <c r="AJ2013" s="8"/>
      <c r="AK2013" s="8"/>
      <c r="AL2013" s="8"/>
      <c r="AM2013" s="8"/>
      <c r="AN2013" s="8"/>
      <c r="AO2013" s="8"/>
      <c r="AP2013" s="11"/>
      <c r="AQ2013" s="8"/>
      <c r="AR2013" s="8"/>
      <c r="AS2013" s="8"/>
      <c r="AT2013" s="8"/>
      <c r="AU2013" s="8">
        <v>957.55</v>
      </c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>
        <v>68.66</v>
      </c>
      <c r="BH2013" s="9">
        <f t="shared" si="279"/>
        <v>1910.38</v>
      </c>
      <c r="BI2013" s="9">
        <f t="shared" si="280"/>
        <v>2.5099999999999998</v>
      </c>
      <c r="BJ2013" s="9">
        <f t="shared" si="281"/>
        <v>13.99</v>
      </c>
      <c r="BK2013" s="9">
        <f t="shared" si="282"/>
        <v>19.100000000000001</v>
      </c>
      <c r="BL2013" s="9">
        <f t="shared" si="283"/>
        <v>0</v>
      </c>
      <c r="BM2013" s="9">
        <f t="shared" si="284"/>
        <v>30.580000000000002</v>
      </c>
      <c r="BN2013" s="9">
        <f t="shared" si="285"/>
        <v>957.55</v>
      </c>
      <c r="BO2013" s="9">
        <f t="shared" si="286"/>
        <v>0</v>
      </c>
      <c r="BP2013" s="9">
        <f t="shared" si="287"/>
        <v>0</v>
      </c>
    </row>
    <row r="2014" spans="1:68">
      <c r="A2014" s="6">
        <v>44904</v>
      </c>
      <c r="B2014" s="7">
        <v>3021</v>
      </c>
      <c r="C2014" s="8"/>
      <c r="D2014" s="8">
        <v>202.84</v>
      </c>
      <c r="E2014" s="8"/>
      <c r="F2014" s="8"/>
      <c r="G2014" s="8"/>
      <c r="H2014" s="8"/>
      <c r="I2014" s="8">
        <v>375.12</v>
      </c>
      <c r="J2014" s="8"/>
      <c r="K2014" s="8"/>
      <c r="L2014" s="8"/>
      <c r="M2014" s="8"/>
      <c r="N2014" s="8">
        <v>3.08</v>
      </c>
      <c r="O2014" s="8"/>
      <c r="P2014" s="8"/>
      <c r="Q2014" s="11"/>
      <c r="R2014" s="11"/>
      <c r="S2014" s="8">
        <v>1.04</v>
      </c>
      <c r="T2014" s="8"/>
      <c r="U2014" s="8"/>
      <c r="V2014" s="8"/>
      <c r="W2014" s="8">
        <v>5.84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>
        <v>5.79</v>
      </c>
      <c r="AN2014" s="8"/>
      <c r="AO2014" s="8"/>
      <c r="AP2014" s="11"/>
      <c r="AQ2014" s="8"/>
      <c r="AR2014" s="8"/>
      <c r="AS2014" s="8">
        <f>2637*5.53/1000</f>
        <v>14.582610000000001</v>
      </c>
      <c r="AT2014" s="8">
        <v>272.64999999999998</v>
      </c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>
        <v>20.61</v>
      </c>
      <c r="BH2014" s="9">
        <f t="shared" si="279"/>
        <v>577.96</v>
      </c>
      <c r="BI2014" s="9">
        <f t="shared" si="280"/>
        <v>3.08</v>
      </c>
      <c r="BJ2014" s="9">
        <f t="shared" si="281"/>
        <v>1.04</v>
      </c>
      <c r="BK2014" s="9">
        <f t="shared" si="282"/>
        <v>5.84</v>
      </c>
      <c r="BL2014" s="9">
        <f t="shared" si="283"/>
        <v>0</v>
      </c>
      <c r="BM2014" s="9">
        <f t="shared" si="284"/>
        <v>20.372610000000002</v>
      </c>
      <c r="BN2014" s="9">
        <f t="shared" si="285"/>
        <v>272.64999999999998</v>
      </c>
      <c r="BO2014" s="9">
        <f t="shared" si="286"/>
        <v>0</v>
      </c>
      <c r="BP2014" s="9">
        <f t="shared" si="287"/>
        <v>0</v>
      </c>
    </row>
    <row r="2015" spans="1:68">
      <c r="A2015" s="6">
        <v>44904</v>
      </c>
      <c r="B2015" s="7">
        <v>3023</v>
      </c>
      <c r="C2015" s="8"/>
      <c r="D2015" s="8">
        <v>1629.17</v>
      </c>
      <c r="E2015" s="8"/>
      <c r="F2015" s="8"/>
      <c r="G2015" s="8"/>
      <c r="H2015" s="8"/>
      <c r="I2015" s="8">
        <v>880.84</v>
      </c>
      <c r="J2015" s="8"/>
      <c r="K2015" s="8"/>
      <c r="L2015" s="8"/>
      <c r="M2015" s="8"/>
      <c r="N2015" s="8">
        <v>14.04</v>
      </c>
      <c r="O2015" s="8"/>
      <c r="P2015" s="8"/>
      <c r="Q2015" s="11"/>
      <c r="R2015" s="11"/>
      <c r="S2015" s="8">
        <v>4.01</v>
      </c>
      <c r="T2015" s="8"/>
      <c r="U2015" s="8"/>
      <c r="V2015" s="8"/>
      <c r="W2015" s="8">
        <v>22.61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>
        <v>25.03</v>
      </c>
      <c r="AN2015" s="8">
        <f>1042*17.32/1000</f>
        <v>18.047439999999998</v>
      </c>
      <c r="AO2015" s="8"/>
      <c r="AP2015" s="11"/>
      <c r="AQ2015" s="8"/>
      <c r="AR2015" s="8"/>
      <c r="AS2015" s="8">
        <f>4789*17.32/1000</f>
        <v>82.945479999999989</v>
      </c>
      <c r="AT2015" s="8">
        <v>1029.3699999999999</v>
      </c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>
        <v>77.73</v>
      </c>
      <c r="BH2015" s="9">
        <f t="shared" si="279"/>
        <v>2510.0100000000002</v>
      </c>
      <c r="BI2015" s="9">
        <f t="shared" si="280"/>
        <v>14.04</v>
      </c>
      <c r="BJ2015" s="9">
        <f t="shared" si="281"/>
        <v>4.01</v>
      </c>
      <c r="BK2015" s="9">
        <f t="shared" si="282"/>
        <v>22.61</v>
      </c>
      <c r="BL2015" s="9">
        <f t="shared" si="283"/>
        <v>0</v>
      </c>
      <c r="BM2015" s="9">
        <f t="shared" si="284"/>
        <v>126.02291999999998</v>
      </c>
      <c r="BN2015" s="9">
        <f t="shared" si="285"/>
        <v>1029.3699999999999</v>
      </c>
      <c r="BO2015" s="9">
        <f t="shared" si="286"/>
        <v>0</v>
      </c>
      <c r="BP2015" s="9">
        <f t="shared" si="287"/>
        <v>0</v>
      </c>
    </row>
    <row r="2016" spans="1:68">
      <c r="A2016" s="6">
        <v>44904</v>
      </c>
      <c r="B2016" s="7">
        <v>3016</v>
      </c>
      <c r="C2016" s="8"/>
      <c r="D2016" s="8">
        <v>2337.6799999999998</v>
      </c>
      <c r="E2016" s="8"/>
      <c r="F2016" s="8"/>
      <c r="G2016" s="8"/>
      <c r="H2016" s="8"/>
      <c r="I2016" s="8">
        <v>2154.4699999999998</v>
      </c>
      <c r="J2016" s="8"/>
      <c r="K2016" s="8"/>
      <c r="L2016" s="8"/>
      <c r="M2016" s="8"/>
      <c r="N2016" s="8">
        <v>27.02</v>
      </c>
      <c r="O2016" s="8"/>
      <c r="P2016" s="8"/>
      <c r="Q2016" s="11"/>
      <c r="R2016" s="11"/>
      <c r="S2016" s="8">
        <v>3.15</v>
      </c>
      <c r="T2016" s="8"/>
      <c r="U2016" s="8"/>
      <c r="V2016" s="8"/>
      <c r="W2016" s="8">
        <v>45.07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>
        <v>17.920000000000002</v>
      </c>
      <c r="AN2016" s="8">
        <f>2060*26.47/1000</f>
        <v>54.528199999999998</v>
      </c>
      <c r="AO2016" s="8"/>
      <c r="AP2016" s="11"/>
      <c r="AQ2016" s="8"/>
      <c r="AR2016" s="8">
        <f>4253*26.47/1000</f>
        <v>112.57690999999998</v>
      </c>
      <c r="AS2016" s="8"/>
      <c r="AT2016" s="8">
        <v>1672.06</v>
      </c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>
        <v>122.27</v>
      </c>
      <c r="BH2016" s="9">
        <f t="shared" si="279"/>
        <v>4492.1499999999996</v>
      </c>
      <c r="BI2016" s="9">
        <f t="shared" si="280"/>
        <v>27.02</v>
      </c>
      <c r="BJ2016" s="9">
        <f t="shared" si="281"/>
        <v>3.15</v>
      </c>
      <c r="BK2016" s="9">
        <f t="shared" si="282"/>
        <v>45.07</v>
      </c>
      <c r="BL2016" s="9">
        <f t="shared" si="283"/>
        <v>0</v>
      </c>
      <c r="BM2016" s="9">
        <f t="shared" si="284"/>
        <v>185.02510999999998</v>
      </c>
      <c r="BN2016" s="9">
        <f t="shared" si="285"/>
        <v>1672.06</v>
      </c>
      <c r="BO2016" s="9">
        <f t="shared" si="286"/>
        <v>0</v>
      </c>
      <c r="BP2016" s="9">
        <f t="shared" si="287"/>
        <v>0</v>
      </c>
    </row>
    <row r="2017" spans="1:68">
      <c r="A2017" s="6">
        <v>44904</v>
      </c>
      <c r="B2017" s="7">
        <v>3141</v>
      </c>
      <c r="C2017" s="8">
        <v>2485.69</v>
      </c>
      <c r="D2017" s="8">
        <v>438.54</v>
      </c>
      <c r="E2017" s="8"/>
      <c r="F2017" s="8"/>
      <c r="G2017" s="8"/>
      <c r="H2017" s="8"/>
      <c r="I2017" s="8"/>
      <c r="J2017" s="8"/>
      <c r="K2017" s="8"/>
      <c r="L2017" s="8"/>
      <c r="M2017" s="8">
        <v>7.94</v>
      </c>
      <c r="N2017" s="8"/>
      <c r="O2017" s="8"/>
      <c r="P2017" s="8"/>
      <c r="Q2017" s="11"/>
      <c r="R2017" s="11"/>
      <c r="S2017" s="8">
        <v>13.75</v>
      </c>
      <c r="T2017" s="8"/>
      <c r="U2017" s="8">
        <v>43.88</v>
      </c>
      <c r="V2017" s="8"/>
      <c r="W2017" s="8"/>
      <c r="X2017" s="8"/>
      <c r="Y2017" s="8"/>
      <c r="Z2017" s="8"/>
      <c r="AA2017" s="8"/>
      <c r="AB2017" s="8"/>
      <c r="AC2017" s="8">
        <v>11.71</v>
      </c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11"/>
      <c r="AQ2017" s="8"/>
      <c r="AR2017" s="8"/>
      <c r="AS2017" s="8"/>
      <c r="AT2017" s="8">
        <v>1927.72</v>
      </c>
      <c r="AU2017" s="8"/>
      <c r="AV2017" s="8"/>
      <c r="AW2017" s="8"/>
      <c r="AX2017" s="8"/>
      <c r="AY2017" s="8"/>
      <c r="AZ2017" s="8"/>
      <c r="BA2017" s="8">
        <v>67.040000000000006</v>
      </c>
      <c r="BB2017" s="8"/>
      <c r="BC2017" s="8"/>
      <c r="BD2017" s="8"/>
      <c r="BE2017" s="8"/>
      <c r="BF2017" s="8">
        <v>204.81</v>
      </c>
      <c r="BG2017" s="8">
        <v>151.94</v>
      </c>
      <c r="BH2017" s="9">
        <f t="shared" si="279"/>
        <v>2924.23</v>
      </c>
      <c r="BI2017" s="9">
        <f t="shared" si="280"/>
        <v>7.94</v>
      </c>
      <c r="BJ2017" s="9">
        <f t="shared" si="281"/>
        <v>13.75</v>
      </c>
      <c r="BK2017" s="9">
        <f t="shared" si="282"/>
        <v>43.88</v>
      </c>
      <c r="BL2017" s="9">
        <f t="shared" si="283"/>
        <v>0</v>
      </c>
      <c r="BM2017" s="9">
        <f t="shared" si="284"/>
        <v>11.71</v>
      </c>
      <c r="BN2017" s="9">
        <f t="shared" si="285"/>
        <v>1927.72</v>
      </c>
      <c r="BO2017" s="9">
        <f t="shared" si="286"/>
        <v>67.040000000000006</v>
      </c>
      <c r="BP2017" s="9">
        <f t="shared" si="287"/>
        <v>204.81</v>
      </c>
    </row>
    <row r="2018" spans="1:68">
      <c r="A2018" s="6">
        <v>44904</v>
      </c>
      <c r="B2018" s="7">
        <v>3106</v>
      </c>
      <c r="C2018" s="8">
        <v>6130.25</v>
      </c>
      <c r="D2018" s="8"/>
      <c r="E2018" s="8"/>
      <c r="F2018" s="8"/>
      <c r="G2018" s="8"/>
      <c r="H2018" s="8"/>
      <c r="I2018" s="8"/>
      <c r="J2018" s="8"/>
      <c r="K2018" s="8"/>
      <c r="L2018" s="8"/>
      <c r="M2018" s="8">
        <v>16.52</v>
      </c>
      <c r="N2018" s="8"/>
      <c r="O2018" s="8"/>
      <c r="P2018" s="8"/>
      <c r="Q2018" s="11"/>
      <c r="R2018" s="11"/>
      <c r="S2018" s="8">
        <v>18.440000000000001</v>
      </c>
      <c r="T2018" s="8"/>
      <c r="U2018" s="8">
        <v>78.03</v>
      </c>
      <c r="V2018" s="8"/>
      <c r="W2018" s="8"/>
      <c r="X2018" s="8"/>
      <c r="Y2018" s="8"/>
      <c r="Z2018" s="8"/>
      <c r="AA2018" s="8"/>
      <c r="AB2018" s="8"/>
      <c r="AC2018" s="8">
        <v>15.35</v>
      </c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11"/>
      <c r="AQ2018" s="8"/>
      <c r="AR2018" s="8"/>
      <c r="AS2018" s="8"/>
      <c r="AT2018" s="8">
        <v>3494.54</v>
      </c>
      <c r="AU2018" s="8"/>
      <c r="AV2018" s="8"/>
      <c r="AW2018" s="8"/>
      <c r="AX2018" s="8">
        <v>7.68</v>
      </c>
      <c r="AY2018" s="8"/>
      <c r="AZ2018" s="8"/>
      <c r="BA2018" s="8"/>
      <c r="BB2018" s="8"/>
      <c r="BC2018" s="8"/>
      <c r="BD2018" s="8"/>
      <c r="BE2018" s="8"/>
      <c r="BF2018" s="8"/>
      <c r="BG2018" s="8">
        <v>263.87</v>
      </c>
      <c r="BH2018" s="9">
        <f t="shared" si="279"/>
        <v>6130.25</v>
      </c>
      <c r="BI2018" s="9">
        <f t="shared" si="280"/>
        <v>16.52</v>
      </c>
      <c r="BJ2018" s="9">
        <f t="shared" si="281"/>
        <v>18.440000000000001</v>
      </c>
      <c r="BK2018" s="9">
        <f t="shared" si="282"/>
        <v>78.03</v>
      </c>
      <c r="BL2018" s="9">
        <f t="shared" si="283"/>
        <v>0</v>
      </c>
      <c r="BM2018" s="9">
        <f t="shared" si="284"/>
        <v>15.35</v>
      </c>
      <c r="BN2018" s="9">
        <f t="shared" si="285"/>
        <v>3494.54</v>
      </c>
      <c r="BO2018" s="9">
        <f t="shared" si="286"/>
        <v>7.68</v>
      </c>
      <c r="BP2018" s="9">
        <f t="shared" si="287"/>
        <v>0</v>
      </c>
    </row>
    <row r="2019" spans="1:68">
      <c r="A2019" s="6">
        <v>44907</v>
      </c>
      <c r="B2019" s="7">
        <v>3200</v>
      </c>
      <c r="C2019" s="8">
        <v>2302.7800000000002</v>
      </c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>
        <v>5.76</v>
      </c>
      <c r="P2019" s="8"/>
      <c r="Q2019" s="11"/>
      <c r="R2019" s="11"/>
      <c r="S2019" s="8">
        <v>8.99</v>
      </c>
      <c r="T2019" s="8"/>
      <c r="U2019" s="8">
        <v>34.65</v>
      </c>
      <c r="V2019" s="8"/>
      <c r="W2019" s="8"/>
      <c r="X2019" s="8"/>
      <c r="Y2019" s="8"/>
      <c r="Z2019" s="8">
        <v>484.48</v>
      </c>
      <c r="AA2019" s="8"/>
      <c r="AB2019" s="8"/>
      <c r="AC2019" s="8"/>
      <c r="AD2019" s="8"/>
      <c r="AE2019" s="8"/>
      <c r="AF2019" s="8">
        <v>113.67</v>
      </c>
      <c r="AG2019" s="8"/>
      <c r="AH2019" s="8"/>
      <c r="AI2019" s="8"/>
      <c r="AJ2019" s="8"/>
      <c r="AK2019" s="8"/>
      <c r="AL2019" s="8"/>
      <c r="AM2019" s="8"/>
      <c r="AN2019" s="8"/>
      <c r="AO2019" s="8"/>
      <c r="AP2019" s="11"/>
      <c r="AQ2019" s="8">
        <f>1516*23.05/1000</f>
        <v>34.943800000000003</v>
      </c>
      <c r="AR2019" s="8"/>
      <c r="AS2019" s="8"/>
      <c r="AT2019" s="8">
        <v>1574.54</v>
      </c>
      <c r="AU2019" s="8"/>
      <c r="AV2019" s="8"/>
      <c r="AW2019" s="8">
        <v>6.84</v>
      </c>
      <c r="AX2019" s="8"/>
      <c r="AY2019" s="8"/>
      <c r="AZ2019" s="8"/>
      <c r="BA2019" s="8"/>
      <c r="BB2019" s="8"/>
      <c r="BC2019" s="8"/>
      <c r="BD2019" s="8"/>
      <c r="BE2019" s="8"/>
      <c r="BF2019" s="8">
        <v>110.79</v>
      </c>
      <c r="BG2019" s="8">
        <v>113.33</v>
      </c>
      <c r="BH2019" s="9">
        <f t="shared" si="279"/>
        <v>2302.7800000000002</v>
      </c>
      <c r="BI2019" s="9">
        <f t="shared" si="280"/>
        <v>5.76</v>
      </c>
      <c r="BJ2019" s="9">
        <f t="shared" si="281"/>
        <v>8.99</v>
      </c>
      <c r="BK2019" s="9">
        <f t="shared" si="282"/>
        <v>34.65</v>
      </c>
      <c r="BL2019" s="9">
        <f t="shared" si="283"/>
        <v>484.48</v>
      </c>
      <c r="BM2019" s="9">
        <f t="shared" si="284"/>
        <v>148.6138</v>
      </c>
      <c r="BN2019" s="9">
        <f t="shared" si="285"/>
        <v>1574.54</v>
      </c>
      <c r="BO2019" s="9">
        <f t="shared" si="286"/>
        <v>6.84</v>
      </c>
      <c r="BP2019" s="9">
        <f t="shared" si="287"/>
        <v>110.79</v>
      </c>
    </row>
    <row r="2020" spans="1:68">
      <c r="A2020" s="6">
        <v>44907</v>
      </c>
      <c r="B2020" s="7">
        <v>3116</v>
      </c>
      <c r="C2020" s="8">
        <v>1519.35</v>
      </c>
      <c r="D2020" s="8"/>
      <c r="E2020" s="8"/>
      <c r="F2020" s="8"/>
      <c r="G2020" s="8"/>
      <c r="H2020" s="8"/>
      <c r="I2020" s="8"/>
      <c r="J2020" s="8"/>
      <c r="K2020" s="8"/>
      <c r="L2020" s="8"/>
      <c r="M2020" s="8">
        <v>3.28</v>
      </c>
      <c r="N2020" s="8"/>
      <c r="O2020" s="8"/>
      <c r="P2020" s="8"/>
      <c r="Q2020" s="11"/>
      <c r="R2020" s="11"/>
      <c r="S2020" s="8">
        <v>6.55</v>
      </c>
      <c r="T2020" s="8"/>
      <c r="U2020" s="8">
        <v>22.43</v>
      </c>
      <c r="V2020" s="8"/>
      <c r="W2020" s="8"/>
      <c r="X2020" s="8"/>
      <c r="Y2020" s="8"/>
      <c r="Z2020" s="8"/>
      <c r="AA2020" s="8"/>
      <c r="AB2020" s="8"/>
      <c r="AC2020" s="8">
        <v>6.09</v>
      </c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11"/>
      <c r="AQ2020" s="8">
        <f>1421*10.87/1000</f>
        <v>15.446269999999998</v>
      </c>
      <c r="AR2020" s="8"/>
      <c r="AS2020" s="8"/>
      <c r="AT2020" s="8">
        <v>928.91</v>
      </c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>
        <v>60.94</v>
      </c>
      <c r="BG2020" s="8">
        <v>69.53</v>
      </c>
      <c r="BH2020" s="9">
        <f t="shared" si="279"/>
        <v>1519.35</v>
      </c>
      <c r="BI2020" s="9">
        <f t="shared" si="280"/>
        <v>3.28</v>
      </c>
      <c r="BJ2020" s="9">
        <f t="shared" si="281"/>
        <v>6.55</v>
      </c>
      <c r="BK2020" s="9">
        <f t="shared" si="282"/>
        <v>22.43</v>
      </c>
      <c r="BL2020" s="9">
        <f t="shared" si="283"/>
        <v>0</v>
      </c>
      <c r="BM2020" s="9">
        <f t="shared" si="284"/>
        <v>21.536269999999998</v>
      </c>
      <c r="BN2020" s="9">
        <f t="shared" si="285"/>
        <v>928.91</v>
      </c>
      <c r="BO2020" s="9">
        <f t="shared" si="286"/>
        <v>0</v>
      </c>
      <c r="BP2020" s="9">
        <f t="shared" si="287"/>
        <v>60.94</v>
      </c>
    </row>
    <row r="2021" spans="1:68">
      <c r="A2021" s="6">
        <v>44907</v>
      </c>
      <c r="B2021" s="7">
        <v>3134</v>
      </c>
      <c r="C2021" s="8">
        <v>1059.07</v>
      </c>
      <c r="D2021" s="8">
        <v>148.47</v>
      </c>
      <c r="E2021" s="8"/>
      <c r="F2021" s="8"/>
      <c r="G2021" s="8"/>
      <c r="H2021" s="8">
        <v>499.87</v>
      </c>
      <c r="I2021" s="8"/>
      <c r="J2021" s="8"/>
      <c r="K2021" s="8"/>
      <c r="L2021" s="8"/>
      <c r="M2021" s="8">
        <v>3.29</v>
      </c>
      <c r="N2021" s="8"/>
      <c r="O2021" s="8"/>
      <c r="P2021" s="8"/>
      <c r="Q2021" s="11"/>
      <c r="R2021" s="11"/>
      <c r="S2021" s="8">
        <v>6.86</v>
      </c>
      <c r="T2021" s="8"/>
      <c r="U2021" s="8">
        <v>19.38</v>
      </c>
      <c r="V2021" s="8"/>
      <c r="W2021" s="8"/>
      <c r="X2021" s="8"/>
      <c r="Y2021" s="8"/>
      <c r="Z2021" s="8"/>
      <c r="AA2021" s="8"/>
      <c r="AB2021" s="8"/>
      <c r="AC2021" s="8">
        <v>5.95</v>
      </c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11"/>
      <c r="AQ2021" s="8"/>
      <c r="AR2021" s="8"/>
      <c r="AS2021" s="8"/>
      <c r="AT2021" s="8">
        <v>1045.96</v>
      </c>
      <c r="AU2021" s="8"/>
      <c r="AV2021" s="8"/>
      <c r="AW2021" s="8"/>
      <c r="AX2021" s="8"/>
      <c r="AY2021" s="8">
        <f>1418*10.63/1000</f>
        <v>15.073340000000002</v>
      </c>
      <c r="AZ2021" s="8"/>
      <c r="BA2021" s="8"/>
      <c r="BB2021" s="8"/>
      <c r="BC2021" s="8"/>
      <c r="BD2021" s="8"/>
      <c r="BE2021" s="8"/>
      <c r="BF2021" s="8">
        <v>66.91</v>
      </c>
      <c r="BG2021" s="8">
        <v>78.819999999999993</v>
      </c>
      <c r="BH2021" s="9">
        <f t="shared" si="279"/>
        <v>1707.4099999999999</v>
      </c>
      <c r="BI2021" s="9">
        <f t="shared" si="280"/>
        <v>3.29</v>
      </c>
      <c r="BJ2021" s="9">
        <f t="shared" si="281"/>
        <v>6.86</v>
      </c>
      <c r="BK2021" s="9">
        <f t="shared" si="282"/>
        <v>19.38</v>
      </c>
      <c r="BL2021" s="9">
        <f t="shared" si="283"/>
        <v>0</v>
      </c>
      <c r="BM2021" s="9">
        <f t="shared" si="284"/>
        <v>5.95</v>
      </c>
      <c r="BN2021" s="9">
        <f t="shared" si="285"/>
        <v>1045.96</v>
      </c>
      <c r="BO2021" s="9">
        <f t="shared" si="286"/>
        <v>15.073340000000002</v>
      </c>
      <c r="BP2021" s="9">
        <f t="shared" si="287"/>
        <v>66.91</v>
      </c>
    </row>
    <row r="2022" spans="1:68">
      <c r="A2022" s="6">
        <v>44907</v>
      </c>
      <c r="B2022" s="7">
        <v>3106</v>
      </c>
      <c r="C2022" s="8">
        <v>4109</v>
      </c>
      <c r="D2022" s="8"/>
      <c r="E2022" s="8"/>
      <c r="F2022" s="8"/>
      <c r="G2022" s="8"/>
      <c r="H2022" s="8"/>
      <c r="I2022" s="8"/>
      <c r="J2022" s="8"/>
      <c r="K2022" s="8"/>
      <c r="L2022" s="8"/>
      <c r="M2022" s="8">
        <v>10.27</v>
      </c>
      <c r="N2022" s="8"/>
      <c r="O2022" s="8"/>
      <c r="P2022" s="8"/>
      <c r="Q2022" s="11"/>
      <c r="R2022" s="11"/>
      <c r="S2022" s="8">
        <v>12.42</v>
      </c>
      <c r="T2022" s="8"/>
      <c r="U2022" s="8">
        <v>52.67</v>
      </c>
      <c r="V2022" s="8"/>
      <c r="W2022" s="8"/>
      <c r="X2022" s="8"/>
      <c r="Y2022" s="8"/>
      <c r="Z2022" s="8"/>
      <c r="AA2022" s="8"/>
      <c r="AB2022" s="8"/>
      <c r="AC2022" s="8">
        <v>10.29</v>
      </c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11"/>
      <c r="AQ2022" s="8"/>
      <c r="AR2022" s="8"/>
      <c r="AS2022" s="8"/>
      <c r="AT2022" s="8">
        <v>2344.35</v>
      </c>
      <c r="AU2022" s="8"/>
      <c r="AV2022" s="8"/>
      <c r="AW2022" s="8"/>
      <c r="AX2022" s="8">
        <v>5.15</v>
      </c>
      <c r="AY2022" s="8"/>
      <c r="AZ2022" s="8"/>
      <c r="BA2022" s="8"/>
      <c r="BB2022" s="8"/>
      <c r="BC2022" s="8"/>
      <c r="BD2022" s="8"/>
      <c r="BE2022" s="8"/>
      <c r="BF2022" s="8"/>
      <c r="BG2022" s="8">
        <v>176.75</v>
      </c>
      <c r="BH2022" s="9">
        <f t="shared" si="279"/>
        <v>4109</v>
      </c>
      <c r="BI2022" s="9">
        <f t="shared" si="280"/>
        <v>10.27</v>
      </c>
      <c r="BJ2022" s="9">
        <f t="shared" si="281"/>
        <v>12.42</v>
      </c>
      <c r="BK2022" s="9">
        <f t="shared" si="282"/>
        <v>52.67</v>
      </c>
      <c r="BL2022" s="9">
        <f t="shared" si="283"/>
        <v>0</v>
      </c>
      <c r="BM2022" s="9">
        <f t="shared" si="284"/>
        <v>10.29</v>
      </c>
      <c r="BN2022" s="9">
        <f t="shared" si="285"/>
        <v>2344.35</v>
      </c>
      <c r="BO2022" s="9">
        <f t="shared" si="286"/>
        <v>5.15</v>
      </c>
      <c r="BP2022" s="9">
        <f t="shared" si="287"/>
        <v>0</v>
      </c>
    </row>
    <row r="2023" spans="1:68">
      <c r="A2023" s="6">
        <v>44907</v>
      </c>
      <c r="B2023" s="7">
        <v>3144</v>
      </c>
      <c r="C2023" s="8">
        <v>1305.82</v>
      </c>
      <c r="D2023" s="8">
        <v>230.48</v>
      </c>
      <c r="E2023" s="8"/>
      <c r="F2023" s="8"/>
      <c r="G2023" s="8"/>
      <c r="H2023" s="8"/>
      <c r="I2023" s="8"/>
      <c r="J2023" s="8"/>
      <c r="K2023" s="8"/>
      <c r="L2023" s="8"/>
      <c r="M2023" s="8">
        <v>4.47</v>
      </c>
      <c r="N2023" s="8"/>
      <c r="O2023" s="8"/>
      <c r="P2023" s="8"/>
      <c r="Q2023" s="11"/>
      <c r="R2023" s="11"/>
      <c r="S2023" s="8">
        <v>7.23</v>
      </c>
      <c r="T2023" s="8"/>
      <c r="U2023" s="8">
        <v>22.97</v>
      </c>
      <c r="V2023" s="8"/>
      <c r="W2023" s="8"/>
      <c r="X2023" s="8"/>
      <c r="Y2023" s="8"/>
      <c r="Z2023" s="8"/>
      <c r="AA2023" s="8"/>
      <c r="AB2023" s="8"/>
      <c r="AC2023" s="8">
        <v>6.15</v>
      </c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11">
        <f>1204*10.25/1000</f>
        <v>12.340999999999999</v>
      </c>
      <c r="AQ2023" s="8"/>
      <c r="AR2023" s="8"/>
      <c r="AS2023" s="8"/>
      <c r="AT2023" s="8">
        <v>1011.45</v>
      </c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>
        <v>107.67</v>
      </c>
      <c r="BG2023" s="8">
        <v>80.010000000000005</v>
      </c>
      <c r="BH2023" s="9">
        <f t="shared" si="279"/>
        <v>1536.3</v>
      </c>
      <c r="BI2023" s="9">
        <f t="shared" si="280"/>
        <v>4.47</v>
      </c>
      <c r="BJ2023" s="9">
        <f t="shared" si="281"/>
        <v>7.23</v>
      </c>
      <c r="BK2023" s="9">
        <f t="shared" si="282"/>
        <v>22.97</v>
      </c>
      <c r="BL2023" s="9">
        <f t="shared" si="283"/>
        <v>0</v>
      </c>
      <c r="BM2023" s="9">
        <f t="shared" si="284"/>
        <v>18.491</v>
      </c>
      <c r="BN2023" s="9">
        <f t="shared" si="285"/>
        <v>1011.45</v>
      </c>
      <c r="BO2023" s="9">
        <f t="shared" si="286"/>
        <v>0</v>
      </c>
      <c r="BP2023" s="9">
        <f t="shared" si="287"/>
        <v>107.67</v>
      </c>
    </row>
    <row r="2024" spans="1:68">
      <c r="A2024" s="6">
        <v>44907</v>
      </c>
      <c r="B2024" s="7">
        <v>3083</v>
      </c>
      <c r="C2024" s="8"/>
      <c r="D2024" s="8">
        <v>736.35</v>
      </c>
      <c r="E2024" s="8"/>
      <c r="F2024" s="8"/>
      <c r="G2024" s="8"/>
      <c r="H2024" s="8"/>
      <c r="I2024" s="8">
        <v>1711.84</v>
      </c>
      <c r="J2024" s="8"/>
      <c r="K2024" s="8"/>
      <c r="L2024" s="8"/>
      <c r="M2024" s="8"/>
      <c r="N2024" s="8">
        <v>15.42</v>
      </c>
      <c r="O2024" s="8"/>
      <c r="P2024" s="8"/>
      <c r="Q2024" s="11"/>
      <c r="R2024" s="11"/>
      <c r="S2024" s="8">
        <v>1.71</v>
      </c>
      <c r="T2024" s="8"/>
      <c r="U2024" s="8"/>
      <c r="V2024" s="8"/>
      <c r="W2024" s="8">
        <v>19.63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>
        <v>9.75</v>
      </c>
      <c r="AN2024" s="8">
        <f>1924*18.13/1000</f>
        <v>34.882119999999993</v>
      </c>
      <c r="AO2024" s="8"/>
      <c r="AP2024" s="11"/>
      <c r="AQ2024" s="8"/>
      <c r="AR2024" s="8">
        <f>3387*18.13/1000</f>
        <v>61.406309999999998</v>
      </c>
      <c r="AS2024" s="8"/>
      <c r="AT2024" s="8">
        <v>1151.3</v>
      </c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>
        <v>91.51</v>
      </c>
      <c r="BH2024" s="9">
        <f t="shared" si="279"/>
        <v>2448.19</v>
      </c>
      <c r="BI2024" s="9">
        <f t="shared" si="280"/>
        <v>15.42</v>
      </c>
      <c r="BJ2024" s="9">
        <f t="shared" si="281"/>
        <v>1.71</v>
      </c>
      <c r="BK2024" s="9">
        <f t="shared" si="282"/>
        <v>19.63</v>
      </c>
      <c r="BL2024" s="9">
        <f t="shared" si="283"/>
        <v>0</v>
      </c>
      <c r="BM2024" s="9">
        <f t="shared" si="284"/>
        <v>106.03842999999999</v>
      </c>
      <c r="BN2024" s="9">
        <f t="shared" si="285"/>
        <v>1151.3</v>
      </c>
      <c r="BO2024" s="9">
        <f t="shared" si="286"/>
        <v>0</v>
      </c>
      <c r="BP2024" s="9">
        <f t="shared" si="287"/>
        <v>0</v>
      </c>
    </row>
    <row r="2025" spans="1:68">
      <c r="A2025" s="6">
        <v>44907</v>
      </c>
      <c r="B2025" s="7">
        <v>3029</v>
      </c>
      <c r="C2025" s="8"/>
      <c r="D2025" s="8">
        <v>468.51</v>
      </c>
      <c r="E2025" s="8"/>
      <c r="F2025" s="8">
        <v>331.49</v>
      </c>
      <c r="G2025" s="8"/>
      <c r="H2025" s="8"/>
      <c r="I2025" s="8">
        <v>1957.76</v>
      </c>
      <c r="J2025" s="8"/>
      <c r="K2025" s="8"/>
      <c r="L2025" s="8"/>
      <c r="M2025" s="8"/>
      <c r="N2025" s="8">
        <v>21.25</v>
      </c>
      <c r="O2025" s="8"/>
      <c r="P2025" s="8"/>
      <c r="Q2025" s="11"/>
      <c r="R2025" s="11"/>
      <c r="S2025" s="8">
        <v>1.65</v>
      </c>
      <c r="T2025" s="8"/>
      <c r="U2025" s="8"/>
      <c r="V2025" s="8"/>
      <c r="W2025" s="8">
        <v>27.63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>
        <v>9.6300000000000008</v>
      </c>
      <c r="AN2025" s="8">
        <f>746*18.4/1000</f>
        <v>13.7264</v>
      </c>
      <c r="AO2025" s="8"/>
      <c r="AP2025" s="11"/>
      <c r="AQ2025" s="8"/>
      <c r="AR2025" s="8">
        <f>4529*18.4/1000</f>
        <v>83.33359999999999</v>
      </c>
      <c r="AS2025" s="8"/>
      <c r="AT2025" s="8">
        <v>1045.45</v>
      </c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>
        <v>72.930000000000007</v>
      </c>
      <c r="BH2025" s="9">
        <f t="shared" si="279"/>
        <v>2757.76</v>
      </c>
      <c r="BI2025" s="9">
        <f t="shared" si="280"/>
        <v>21.25</v>
      </c>
      <c r="BJ2025" s="9">
        <f t="shared" si="281"/>
        <v>1.65</v>
      </c>
      <c r="BK2025" s="9">
        <f t="shared" si="282"/>
        <v>27.63</v>
      </c>
      <c r="BL2025" s="9">
        <f t="shared" si="283"/>
        <v>0</v>
      </c>
      <c r="BM2025" s="9">
        <f t="shared" si="284"/>
        <v>106.69</v>
      </c>
      <c r="BN2025" s="9">
        <f t="shared" si="285"/>
        <v>1045.45</v>
      </c>
      <c r="BO2025" s="9">
        <f t="shared" si="286"/>
        <v>0</v>
      </c>
      <c r="BP2025" s="9">
        <f t="shared" si="287"/>
        <v>0</v>
      </c>
    </row>
    <row r="2026" spans="1:68">
      <c r="A2026" s="6">
        <v>44908</v>
      </c>
      <c r="B2026" s="7">
        <v>3141</v>
      </c>
      <c r="C2026" s="8">
        <v>2420.1</v>
      </c>
      <c r="D2026" s="8">
        <v>423.92</v>
      </c>
      <c r="E2026" s="8"/>
      <c r="F2026" s="8"/>
      <c r="G2026" s="8"/>
      <c r="H2026" s="8"/>
      <c r="I2026" s="8"/>
      <c r="J2026" s="8"/>
      <c r="K2026" s="8"/>
      <c r="L2026" s="8"/>
      <c r="M2026" s="8">
        <v>8.17</v>
      </c>
      <c r="N2026" s="8"/>
      <c r="O2026" s="8"/>
      <c r="P2026" s="8"/>
      <c r="Q2026" s="11"/>
      <c r="R2026" s="11"/>
      <c r="S2026" s="8">
        <v>13.52</v>
      </c>
      <c r="T2026" s="8"/>
      <c r="U2026" s="8">
        <v>43.17</v>
      </c>
      <c r="V2026" s="8"/>
      <c r="W2026" s="8"/>
      <c r="X2026" s="8"/>
      <c r="Y2026" s="8"/>
      <c r="Z2026" s="8"/>
      <c r="AA2026" s="8"/>
      <c r="AB2026" s="8"/>
      <c r="AC2026" s="8">
        <v>11.51</v>
      </c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11"/>
      <c r="AQ2026" s="8"/>
      <c r="AR2026" s="8"/>
      <c r="AS2026" s="8"/>
      <c r="AT2026" s="8">
        <v>1887.2</v>
      </c>
      <c r="AU2026" s="8"/>
      <c r="AV2026" s="8"/>
      <c r="AW2026" s="8"/>
      <c r="AX2026" s="8"/>
      <c r="AY2026" s="8"/>
      <c r="AZ2026" s="8"/>
      <c r="BA2026" s="8">
        <v>65.88</v>
      </c>
      <c r="BB2026" s="8"/>
      <c r="BC2026" s="8"/>
      <c r="BD2026" s="8"/>
      <c r="BE2026" s="8"/>
      <c r="BF2026" s="8">
        <v>201.11</v>
      </c>
      <c r="BG2026" s="8">
        <v>149.84</v>
      </c>
      <c r="BH2026" s="9">
        <f t="shared" si="279"/>
        <v>2844.02</v>
      </c>
      <c r="BI2026" s="9">
        <f t="shared" si="280"/>
        <v>8.17</v>
      </c>
      <c r="BJ2026" s="9">
        <f t="shared" si="281"/>
        <v>13.52</v>
      </c>
      <c r="BK2026" s="9">
        <f t="shared" si="282"/>
        <v>43.17</v>
      </c>
      <c r="BL2026" s="9">
        <f t="shared" si="283"/>
        <v>0</v>
      </c>
      <c r="BM2026" s="9">
        <f t="shared" si="284"/>
        <v>11.51</v>
      </c>
      <c r="BN2026" s="9">
        <f t="shared" si="285"/>
        <v>1887.2</v>
      </c>
      <c r="BO2026" s="9">
        <f t="shared" si="286"/>
        <v>65.88</v>
      </c>
      <c r="BP2026" s="9">
        <f t="shared" si="287"/>
        <v>201.11</v>
      </c>
    </row>
    <row r="2027" spans="1:68">
      <c r="A2027" s="6">
        <v>44908</v>
      </c>
      <c r="B2027" s="7">
        <v>3106</v>
      </c>
      <c r="C2027" s="8">
        <v>4069.23</v>
      </c>
      <c r="D2027" s="8"/>
      <c r="E2027" s="8"/>
      <c r="F2027" s="8"/>
      <c r="G2027" s="8"/>
      <c r="H2027" s="8"/>
      <c r="I2027" s="8"/>
      <c r="J2027" s="8"/>
      <c r="K2027" s="8"/>
      <c r="L2027" s="8"/>
      <c r="M2027" s="8">
        <v>10.17</v>
      </c>
      <c r="N2027" s="8"/>
      <c r="O2027" s="8"/>
      <c r="P2027" s="8"/>
      <c r="Q2027" s="11"/>
      <c r="R2027" s="11"/>
      <c r="S2027" s="8">
        <v>12.26</v>
      </c>
      <c r="T2027" s="8"/>
      <c r="U2027" s="8">
        <v>51.81</v>
      </c>
      <c r="V2027" s="8"/>
      <c r="W2027" s="8"/>
      <c r="X2027" s="8"/>
      <c r="Y2027" s="8"/>
      <c r="Z2027" s="8"/>
      <c r="AA2027" s="8"/>
      <c r="AB2027" s="8"/>
      <c r="AC2027" s="8">
        <v>10.199999999999999</v>
      </c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11"/>
      <c r="AQ2027" s="8"/>
      <c r="AR2027" s="8"/>
      <c r="AS2027" s="8"/>
      <c r="AT2027" s="8">
        <v>2323.19</v>
      </c>
      <c r="AU2027" s="8"/>
      <c r="AV2027" s="8"/>
      <c r="AW2027" s="8"/>
      <c r="AX2027" s="8">
        <v>5.0999999999999996</v>
      </c>
      <c r="AY2027" s="8"/>
      <c r="AZ2027" s="8"/>
      <c r="BA2027" s="8"/>
      <c r="BB2027" s="8"/>
      <c r="BC2027" s="8"/>
      <c r="BD2027" s="8"/>
      <c r="BE2027" s="8"/>
      <c r="BF2027" s="8"/>
      <c r="BG2027" s="8">
        <v>175.02</v>
      </c>
      <c r="BH2027" s="9">
        <f t="shared" si="279"/>
        <v>4069.23</v>
      </c>
      <c r="BI2027" s="9">
        <f t="shared" si="280"/>
        <v>10.17</v>
      </c>
      <c r="BJ2027" s="9">
        <f t="shared" si="281"/>
        <v>12.26</v>
      </c>
      <c r="BK2027" s="9">
        <f t="shared" si="282"/>
        <v>51.81</v>
      </c>
      <c r="BL2027" s="9">
        <f t="shared" si="283"/>
        <v>0</v>
      </c>
      <c r="BM2027" s="9">
        <f t="shared" si="284"/>
        <v>10.199999999999999</v>
      </c>
      <c r="BN2027" s="9">
        <f t="shared" si="285"/>
        <v>2323.19</v>
      </c>
      <c r="BO2027" s="9">
        <f t="shared" si="286"/>
        <v>5.0999999999999996</v>
      </c>
      <c r="BP2027" s="9">
        <f t="shared" si="287"/>
        <v>0</v>
      </c>
    </row>
    <row r="2028" spans="1:68">
      <c r="A2028" s="6">
        <v>44908</v>
      </c>
      <c r="B2028" s="7">
        <v>3016</v>
      </c>
      <c r="C2028" s="8"/>
      <c r="D2028" s="8">
        <v>2336.25</v>
      </c>
      <c r="E2028" s="8"/>
      <c r="F2028" s="8"/>
      <c r="G2028" s="8"/>
      <c r="H2028" s="8"/>
      <c r="I2028" s="8">
        <v>2147.2800000000002</v>
      </c>
      <c r="J2028" s="8"/>
      <c r="K2028" s="8"/>
      <c r="L2028" s="8"/>
      <c r="M2028" s="8"/>
      <c r="N2028" s="8">
        <v>26.98</v>
      </c>
      <c r="O2028" s="8"/>
      <c r="P2028" s="8"/>
      <c r="Q2028" s="11"/>
      <c r="R2028" s="11"/>
      <c r="S2028" s="8">
        <v>3.13</v>
      </c>
      <c r="T2028" s="8"/>
      <c r="U2028" s="8"/>
      <c r="V2028" s="8"/>
      <c r="W2028" s="8">
        <v>45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>
        <v>17.89</v>
      </c>
      <c r="AN2028" s="8">
        <f>2032*26.43/1000</f>
        <v>53.705760000000005</v>
      </c>
      <c r="AO2028" s="8"/>
      <c r="AP2028" s="11"/>
      <c r="AQ2028" s="8"/>
      <c r="AR2028" s="8">
        <f>4325*26.43/1000</f>
        <v>114.30974999999999</v>
      </c>
      <c r="AS2028" s="8"/>
      <c r="AT2028" s="8">
        <v>1670.17</v>
      </c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>
        <v>122.46</v>
      </c>
      <c r="BH2028" s="9">
        <f t="shared" si="279"/>
        <v>4483.5300000000007</v>
      </c>
      <c r="BI2028" s="9">
        <f t="shared" si="280"/>
        <v>26.98</v>
      </c>
      <c r="BJ2028" s="9">
        <f t="shared" si="281"/>
        <v>3.13</v>
      </c>
      <c r="BK2028" s="9">
        <f t="shared" si="282"/>
        <v>45</v>
      </c>
      <c r="BL2028" s="9">
        <f t="shared" si="283"/>
        <v>0</v>
      </c>
      <c r="BM2028" s="9">
        <f t="shared" si="284"/>
        <v>185.90550999999999</v>
      </c>
      <c r="BN2028" s="9">
        <f t="shared" si="285"/>
        <v>1670.17</v>
      </c>
      <c r="BO2028" s="9">
        <f t="shared" si="286"/>
        <v>0</v>
      </c>
      <c r="BP2028" s="9">
        <f t="shared" si="287"/>
        <v>0</v>
      </c>
    </row>
    <row r="2029" spans="1:68">
      <c r="A2029" s="6">
        <v>44908</v>
      </c>
      <c r="B2029" s="7">
        <v>3020</v>
      </c>
      <c r="C2029" s="8"/>
      <c r="D2029" s="8">
        <v>472.84</v>
      </c>
      <c r="E2029" s="8"/>
      <c r="F2029" s="8"/>
      <c r="G2029" s="8"/>
      <c r="H2029" s="8"/>
      <c r="I2029" s="8">
        <v>2669.31</v>
      </c>
      <c r="J2029" s="8"/>
      <c r="K2029" s="8"/>
      <c r="L2029" s="8"/>
      <c r="M2029" s="8"/>
      <c r="N2029" s="8">
        <v>18.89</v>
      </c>
      <c r="O2029" s="8"/>
      <c r="P2029" s="8"/>
      <c r="Q2029" s="11"/>
      <c r="R2029" s="11"/>
      <c r="S2029" s="8">
        <v>5.66</v>
      </c>
      <c r="T2029" s="8"/>
      <c r="U2029" s="8"/>
      <c r="V2029" s="8"/>
      <c r="W2029" s="8">
        <v>31.52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>
        <v>31.37</v>
      </c>
      <c r="AN2029" s="8"/>
      <c r="AO2029" s="8"/>
      <c r="AP2029" s="11"/>
      <c r="AQ2029" s="8"/>
      <c r="AR2029" s="8"/>
      <c r="AS2029" s="8">
        <f>3044*26.2/1000</f>
        <v>79.752800000000008</v>
      </c>
      <c r="AT2029" s="8">
        <v>1544.68</v>
      </c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>
        <v>113.08</v>
      </c>
      <c r="BH2029" s="9">
        <f t="shared" si="279"/>
        <v>3142.15</v>
      </c>
      <c r="BI2029" s="9">
        <f t="shared" si="280"/>
        <v>18.89</v>
      </c>
      <c r="BJ2029" s="9">
        <f t="shared" si="281"/>
        <v>5.66</v>
      </c>
      <c r="BK2029" s="9">
        <f t="shared" si="282"/>
        <v>31.52</v>
      </c>
      <c r="BL2029" s="9">
        <f t="shared" si="283"/>
        <v>0</v>
      </c>
      <c r="BM2029" s="9">
        <f t="shared" si="284"/>
        <v>111.12280000000001</v>
      </c>
      <c r="BN2029" s="9">
        <f t="shared" si="285"/>
        <v>1544.68</v>
      </c>
      <c r="BO2029" s="9">
        <f t="shared" si="286"/>
        <v>0</v>
      </c>
      <c r="BP2029" s="9">
        <f t="shared" si="287"/>
        <v>0</v>
      </c>
    </row>
    <row r="2030" spans="1:68">
      <c r="A2030" s="6">
        <v>44908</v>
      </c>
      <c r="B2030" s="7">
        <v>3139</v>
      </c>
      <c r="C2030" s="8">
        <v>1566.34</v>
      </c>
      <c r="D2030" s="8"/>
      <c r="E2030" s="8"/>
      <c r="F2030" s="8"/>
      <c r="G2030" s="8"/>
      <c r="H2030" s="8">
        <v>651.14</v>
      </c>
      <c r="I2030" s="8"/>
      <c r="J2030" s="8"/>
      <c r="K2030" s="8"/>
      <c r="L2030" s="8"/>
      <c r="M2030" s="8">
        <v>3.68</v>
      </c>
      <c r="N2030" s="8"/>
      <c r="O2030" s="8"/>
      <c r="P2030" s="8"/>
      <c r="Q2030" s="11"/>
      <c r="R2030" s="11"/>
      <c r="S2030" s="8">
        <v>6.95</v>
      </c>
      <c r="T2030" s="8"/>
      <c r="U2030" s="8">
        <v>23.23</v>
      </c>
      <c r="V2030" s="8"/>
      <c r="W2030" s="8"/>
      <c r="X2030" s="8"/>
      <c r="Y2030" s="8"/>
      <c r="Z2030" s="8"/>
      <c r="AA2030" s="8"/>
      <c r="AB2030" s="8"/>
      <c r="AC2030" s="8">
        <v>7.73</v>
      </c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11"/>
      <c r="AQ2030" s="8"/>
      <c r="AR2030" s="8"/>
      <c r="AS2030" s="8"/>
      <c r="AT2030" s="8">
        <v>1142.05</v>
      </c>
      <c r="AU2030" s="8"/>
      <c r="AV2030" s="8">
        <v>38.65</v>
      </c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>
        <v>83.11</v>
      </c>
      <c r="BH2030" s="9">
        <f t="shared" si="279"/>
        <v>2217.48</v>
      </c>
      <c r="BI2030" s="9">
        <f t="shared" si="280"/>
        <v>3.68</v>
      </c>
      <c r="BJ2030" s="9">
        <f t="shared" si="281"/>
        <v>6.95</v>
      </c>
      <c r="BK2030" s="9">
        <f t="shared" si="282"/>
        <v>23.23</v>
      </c>
      <c r="BL2030" s="9">
        <f t="shared" si="283"/>
        <v>0</v>
      </c>
      <c r="BM2030" s="9">
        <f t="shared" si="284"/>
        <v>7.73</v>
      </c>
      <c r="BN2030" s="9">
        <f t="shared" si="285"/>
        <v>1142.05</v>
      </c>
      <c r="BO2030" s="9">
        <f t="shared" si="286"/>
        <v>38.65</v>
      </c>
      <c r="BP2030" s="9">
        <f t="shared" si="287"/>
        <v>0</v>
      </c>
    </row>
    <row r="2031" spans="1:68">
      <c r="A2031" s="12">
        <v>44909</v>
      </c>
      <c r="B2031" s="13">
        <v>3602</v>
      </c>
      <c r="C2031" s="14">
        <v>563.16999999999996</v>
      </c>
      <c r="D2031" s="14"/>
      <c r="E2031" s="14"/>
      <c r="F2031" s="14"/>
      <c r="G2031" s="14">
        <v>844.76</v>
      </c>
      <c r="H2031" s="14"/>
      <c r="I2031" s="14"/>
      <c r="J2031" s="14"/>
      <c r="K2031" s="14"/>
      <c r="L2031" s="14"/>
      <c r="M2031" s="14">
        <v>1.47</v>
      </c>
      <c r="N2031" s="14"/>
      <c r="O2031" s="14"/>
      <c r="P2031" s="14"/>
      <c r="Q2031" s="15"/>
      <c r="R2031" s="15"/>
      <c r="S2031" s="14">
        <v>6.8</v>
      </c>
      <c r="T2031" s="14"/>
      <c r="U2031" s="14">
        <v>11.37</v>
      </c>
      <c r="V2031" s="14">
        <f>860*16.2/1000</f>
        <v>13.932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5"/>
      <c r="AQ2031" s="14"/>
      <c r="AR2031" s="14"/>
      <c r="AS2031" s="14"/>
      <c r="AT2031" s="14">
        <v>569.97</v>
      </c>
      <c r="AU2031" s="14"/>
      <c r="AV2031" s="14"/>
      <c r="AW2031" s="14">
        <v>36.630000000000003</v>
      </c>
      <c r="AX2031" s="14"/>
      <c r="AY2031" s="14"/>
      <c r="AZ2031" s="14"/>
      <c r="BA2031" s="14"/>
      <c r="BB2031" s="14"/>
      <c r="BC2031" s="14"/>
      <c r="BD2031" s="14"/>
      <c r="BE2031" s="14"/>
      <c r="BF2031" s="14">
        <v>45.4</v>
      </c>
      <c r="BG2031" s="14">
        <v>42.4</v>
      </c>
      <c r="BH2031" s="9">
        <f t="shared" si="279"/>
        <v>1407.9299999999998</v>
      </c>
      <c r="BI2031" s="9">
        <f t="shared" si="280"/>
        <v>1.47</v>
      </c>
      <c r="BJ2031" s="9">
        <f t="shared" si="281"/>
        <v>6.8</v>
      </c>
      <c r="BK2031" s="9">
        <f t="shared" si="282"/>
        <v>25.302</v>
      </c>
      <c r="BL2031" s="9">
        <f t="shared" si="283"/>
        <v>0</v>
      </c>
      <c r="BM2031" s="9">
        <f t="shared" si="284"/>
        <v>0</v>
      </c>
      <c r="BN2031" s="9">
        <f t="shared" si="285"/>
        <v>569.97</v>
      </c>
      <c r="BO2031" s="9">
        <f t="shared" si="286"/>
        <v>36.630000000000003</v>
      </c>
      <c r="BP2031" s="9">
        <f t="shared" si="287"/>
        <v>45.4</v>
      </c>
    </row>
    <row r="2032" spans="1:68">
      <c r="A2032" s="6">
        <v>44909</v>
      </c>
      <c r="B2032" s="7">
        <v>3134</v>
      </c>
      <c r="C2032" s="8">
        <v>1065.67</v>
      </c>
      <c r="D2032" s="8">
        <v>149.52000000000001</v>
      </c>
      <c r="E2032" s="8"/>
      <c r="F2032" s="8"/>
      <c r="G2032" s="8"/>
      <c r="H2032" s="8">
        <v>501.76</v>
      </c>
      <c r="I2032" s="8"/>
      <c r="J2032" s="8"/>
      <c r="K2032" s="8"/>
      <c r="L2032" s="8"/>
      <c r="M2032" s="8">
        <v>3.07</v>
      </c>
      <c r="N2032" s="8"/>
      <c r="O2032" s="8"/>
      <c r="P2032" s="8"/>
      <c r="Q2032" s="11"/>
      <c r="R2032" s="11"/>
      <c r="S2032" s="8">
        <v>6.89</v>
      </c>
      <c r="T2032" s="8"/>
      <c r="U2032" s="8">
        <v>19.55</v>
      </c>
      <c r="V2032" s="8"/>
      <c r="W2032" s="8"/>
      <c r="X2032" s="8"/>
      <c r="Y2032" s="8"/>
      <c r="Z2032" s="8"/>
      <c r="AA2032" s="8"/>
      <c r="AB2032" s="8"/>
      <c r="AC2032" s="8">
        <v>6</v>
      </c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11"/>
      <c r="AQ2032" s="8"/>
      <c r="AR2032" s="8"/>
      <c r="AS2032" s="8"/>
      <c r="AT2032" s="8">
        <v>1055.3599999999999</v>
      </c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>
        <v>67.53</v>
      </c>
      <c r="BG2032" s="8">
        <v>79.38</v>
      </c>
      <c r="BH2032" s="9">
        <f t="shared" si="279"/>
        <v>1716.95</v>
      </c>
      <c r="BI2032" s="9">
        <f t="shared" si="280"/>
        <v>3.07</v>
      </c>
      <c r="BJ2032" s="9">
        <f t="shared" si="281"/>
        <v>6.89</v>
      </c>
      <c r="BK2032" s="9">
        <f t="shared" si="282"/>
        <v>19.55</v>
      </c>
      <c r="BL2032" s="9">
        <f t="shared" si="283"/>
        <v>0</v>
      </c>
      <c r="BM2032" s="9">
        <f t="shared" si="284"/>
        <v>6</v>
      </c>
      <c r="BN2032" s="9">
        <f t="shared" si="285"/>
        <v>1055.3599999999999</v>
      </c>
      <c r="BO2032" s="9">
        <f t="shared" si="286"/>
        <v>0</v>
      </c>
      <c r="BP2032" s="9">
        <f t="shared" si="287"/>
        <v>67.53</v>
      </c>
    </row>
    <row r="2033" spans="1:68">
      <c r="A2033" s="6">
        <v>44909</v>
      </c>
      <c r="B2033" s="7">
        <v>3106</v>
      </c>
      <c r="C2033" s="8">
        <v>4164.87</v>
      </c>
      <c r="D2033" s="8"/>
      <c r="E2033" s="8"/>
      <c r="F2033" s="8"/>
      <c r="G2033" s="8"/>
      <c r="H2033" s="8"/>
      <c r="I2033" s="8"/>
      <c r="J2033" s="8"/>
      <c r="K2033" s="8"/>
      <c r="L2033" s="8"/>
      <c r="M2033" s="8">
        <v>10.41</v>
      </c>
      <c r="N2033" s="8"/>
      <c r="O2033" s="8"/>
      <c r="P2033" s="8"/>
      <c r="Q2033" s="11"/>
      <c r="R2033" s="11"/>
      <c r="S2033" s="8">
        <v>12.83</v>
      </c>
      <c r="T2033" s="8"/>
      <c r="U2033" s="8">
        <v>53.28</v>
      </c>
      <c r="V2033" s="8"/>
      <c r="W2033" s="8"/>
      <c r="X2033" s="8"/>
      <c r="Y2033" s="8"/>
      <c r="Z2033" s="8"/>
      <c r="AA2033" s="8"/>
      <c r="AB2033" s="8"/>
      <c r="AC2033" s="8">
        <v>10.43</v>
      </c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11"/>
      <c r="AQ2033" s="8"/>
      <c r="AR2033" s="8"/>
      <c r="AS2033" s="8"/>
      <c r="AT2033" s="8">
        <v>2377.1999999999998</v>
      </c>
      <c r="AU2033" s="8"/>
      <c r="AV2033" s="8"/>
      <c r="AW2033" s="8"/>
      <c r="AX2033" s="8">
        <v>5.22</v>
      </c>
      <c r="AY2033" s="8"/>
      <c r="AZ2033" s="8"/>
      <c r="BA2033" s="8"/>
      <c r="BB2033" s="8"/>
      <c r="BC2033" s="8"/>
      <c r="BD2033" s="8"/>
      <c r="BE2033" s="8"/>
      <c r="BF2033" s="8"/>
      <c r="BG2033" s="8">
        <v>179.68</v>
      </c>
      <c r="BH2033" s="9">
        <f t="shared" si="279"/>
        <v>4164.87</v>
      </c>
      <c r="BI2033" s="9">
        <f t="shared" si="280"/>
        <v>10.41</v>
      </c>
      <c r="BJ2033" s="9">
        <f t="shared" si="281"/>
        <v>12.83</v>
      </c>
      <c r="BK2033" s="9">
        <f t="shared" si="282"/>
        <v>53.28</v>
      </c>
      <c r="BL2033" s="9">
        <f t="shared" si="283"/>
        <v>0</v>
      </c>
      <c r="BM2033" s="9">
        <f t="shared" si="284"/>
        <v>10.43</v>
      </c>
      <c r="BN2033" s="9">
        <f t="shared" si="285"/>
        <v>2377.1999999999998</v>
      </c>
      <c r="BO2033" s="9">
        <f t="shared" si="286"/>
        <v>5.22</v>
      </c>
      <c r="BP2033" s="9">
        <f t="shared" si="287"/>
        <v>0</v>
      </c>
    </row>
    <row r="2034" spans="1:68">
      <c r="A2034" s="6">
        <v>44909</v>
      </c>
      <c r="B2034" s="7">
        <v>3144</v>
      </c>
      <c r="C2034" s="8">
        <v>1221.81</v>
      </c>
      <c r="D2034" s="8">
        <v>214.33</v>
      </c>
      <c r="E2034" s="8"/>
      <c r="F2034" s="8"/>
      <c r="G2034" s="8"/>
      <c r="H2034" s="8"/>
      <c r="I2034" s="8"/>
      <c r="J2034" s="8"/>
      <c r="K2034" s="8"/>
      <c r="L2034" s="8"/>
      <c r="M2034" s="8">
        <v>4.1900000000000004</v>
      </c>
      <c r="N2034" s="8"/>
      <c r="O2034" s="8"/>
      <c r="P2034" s="8"/>
      <c r="Q2034" s="11"/>
      <c r="R2034" s="11"/>
      <c r="S2034" s="8">
        <v>6.76</v>
      </c>
      <c r="T2034" s="8"/>
      <c r="U2034" s="8">
        <v>21.54</v>
      </c>
      <c r="V2034" s="8"/>
      <c r="W2034" s="8"/>
      <c r="X2034" s="8"/>
      <c r="Y2034" s="8"/>
      <c r="Z2034" s="8"/>
      <c r="AA2034" s="8"/>
      <c r="AB2034" s="8"/>
      <c r="AC2034" s="8">
        <v>5.75</v>
      </c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11">
        <f>1218*9.58/1000</f>
        <v>11.66844</v>
      </c>
      <c r="AQ2034" s="8"/>
      <c r="AR2034" s="8"/>
      <c r="AS2034" s="8"/>
      <c r="AT2034" s="8">
        <v>953.83</v>
      </c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>
        <v>100.49</v>
      </c>
      <c r="BG2034" s="8">
        <v>75</v>
      </c>
      <c r="BH2034" s="9">
        <f t="shared" si="279"/>
        <v>1436.1399999999999</v>
      </c>
      <c r="BI2034" s="9">
        <f t="shared" si="280"/>
        <v>4.1900000000000004</v>
      </c>
      <c r="BJ2034" s="9">
        <f t="shared" si="281"/>
        <v>6.76</v>
      </c>
      <c r="BK2034" s="9">
        <f t="shared" si="282"/>
        <v>21.54</v>
      </c>
      <c r="BL2034" s="9">
        <f t="shared" si="283"/>
        <v>0</v>
      </c>
      <c r="BM2034" s="9">
        <f t="shared" si="284"/>
        <v>17.41844</v>
      </c>
      <c r="BN2034" s="9">
        <f t="shared" si="285"/>
        <v>953.83</v>
      </c>
      <c r="BO2034" s="9">
        <f t="shared" si="286"/>
        <v>0</v>
      </c>
      <c r="BP2034" s="9">
        <f t="shared" si="287"/>
        <v>100.49</v>
      </c>
    </row>
    <row r="2035" spans="1:68">
      <c r="A2035" s="6">
        <v>44909</v>
      </c>
      <c r="B2035" s="7">
        <v>3079</v>
      </c>
      <c r="C2035" s="8"/>
      <c r="D2035" s="8"/>
      <c r="E2035" s="8"/>
      <c r="F2035" s="8">
        <v>340.18</v>
      </c>
      <c r="G2035" s="8"/>
      <c r="H2035" s="8"/>
      <c r="I2035" s="8">
        <v>2760.48</v>
      </c>
      <c r="J2035" s="8"/>
      <c r="K2035" s="8"/>
      <c r="L2035" s="8"/>
      <c r="M2035" s="8"/>
      <c r="N2035" s="8">
        <v>22.06</v>
      </c>
      <c r="O2035" s="8"/>
      <c r="P2035" s="8"/>
      <c r="Q2035" s="11"/>
      <c r="R2035" s="11"/>
      <c r="S2035" s="8">
        <v>1.23</v>
      </c>
      <c r="T2035" s="8"/>
      <c r="U2035" s="8"/>
      <c r="V2035" s="8"/>
      <c r="W2035" s="8">
        <v>31.11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>
        <v>12.32</v>
      </c>
      <c r="AN2035" s="8">
        <f>1718*18.25/1000</f>
        <v>31.3535</v>
      </c>
      <c r="AO2035" s="8"/>
      <c r="AP2035" s="11"/>
      <c r="AQ2035" s="8"/>
      <c r="AR2035" s="8">
        <f>4318*18.25/1000</f>
        <v>78.8035</v>
      </c>
      <c r="AS2035" s="8"/>
      <c r="AT2035" s="8">
        <v>1201.04</v>
      </c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>
        <v>86.47</v>
      </c>
      <c r="BH2035" s="9">
        <f t="shared" si="279"/>
        <v>3100.66</v>
      </c>
      <c r="BI2035" s="9">
        <f t="shared" si="280"/>
        <v>22.06</v>
      </c>
      <c r="BJ2035" s="9">
        <f t="shared" si="281"/>
        <v>1.23</v>
      </c>
      <c r="BK2035" s="9">
        <f t="shared" si="282"/>
        <v>31.11</v>
      </c>
      <c r="BL2035" s="9">
        <f t="shared" si="283"/>
        <v>0</v>
      </c>
      <c r="BM2035" s="9">
        <f t="shared" si="284"/>
        <v>122.477</v>
      </c>
      <c r="BN2035" s="9">
        <f t="shared" si="285"/>
        <v>1201.04</v>
      </c>
      <c r="BO2035" s="9">
        <f t="shared" si="286"/>
        <v>0</v>
      </c>
      <c r="BP2035" s="9">
        <f t="shared" si="287"/>
        <v>0</v>
      </c>
    </row>
    <row r="2036" spans="1:68">
      <c r="A2036" s="6">
        <v>44909</v>
      </c>
      <c r="B2036" s="7">
        <v>3022</v>
      </c>
      <c r="C2036" s="8"/>
      <c r="D2036" s="8">
        <v>321.16000000000003</v>
      </c>
      <c r="E2036" s="8"/>
      <c r="F2036" s="8"/>
      <c r="G2036" s="8"/>
      <c r="H2036" s="8"/>
      <c r="I2036" s="8">
        <v>261.14</v>
      </c>
      <c r="J2036" s="8"/>
      <c r="K2036" s="8"/>
      <c r="L2036" s="8"/>
      <c r="M2036" s="8"/>
      <c r="N2036" s="8">
        <v>2.92</v>
      </c>
      <c r="O2036" s="8"/>
      <c r="P2036" s="8"/>
      <c r="Q2036" s="11"/>
      <c r="R2036" s="11"/>
      <c r="S2036" s="8">
        <v>1.06</v>
      </c>
      <c r="T2036" s="8"/>
      <c r="U2036" s="8"/>
      <c r="V2036" s="8"/>
      <c r="W2036" s="8">
        <v>5.87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>
        <v>7.6</v>
      </c>
      <c r="AN2036" s="8"/>
      <c r="AO2036" s="8"/>
      <c r="AP2036" s="11"/>
      <c r="AQ2036" s="8"/>
      <c r="AR2036" s="8"/>
      <c r="AS2036" s="8">
        <f>3851*5.32/1000</f>
        <v>20.48732</v>
      </c>
      <c r="AT2036" s="8">
        <v>271.51</v>
      </c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>
        <v>21.06</v>
      </c>
      <c r="BH2036" s="9">
        <f t="shared" si="279"/>
        <v>582.29999999999995</v>
      </c>
      <c r="BI2036" s="9">
        <f t="shared" si="280"/>
        <v>2.92</v>
      </c>
      <c r="BJ2036" s="9">
        <f t="shared" si="281"/>
        <v>1.06</v>
      </c>
      <c r="BK2036" s="9">
        <f t="shared" si="282"/>
        <v>5.87</v>
      </c>
      <c r="BL2036" s="9">
        <f t="shared" si="283"/>
        <v>0</v>
      </c>
      <c r="BM2036" s="9">
        <f t="shared" si="284"/>
        <v>28.087319999999998</v>
      </c>
      <c r="BN2036" s="9">
        <f t="shared" si="285"/>
        <v>271.51</v>
      </c>
      <c r="BO2036" s="9">
        <f t="shared" si="286"/>
        <v>0</v>
      </c>
      <c r="BP2036" s="9">
        <f t="shared" si="287"/>
        <v>0</v>
      </c>
    </row>
    <row r="2037" spans="1:68">
      <c r="A2037" s="6">
        <v>44909</v>
      </c>
      <c r="B2037" s="7">
        <v>3023</v>
      </c>
      <c r="C2037" s="8"/>
      <c r="D2037" s="8">
        <v>1636.34</v>
      </c>
      <c r="E2037" s="8"/>
      <c r="F2037" s="8"/>
      <c r="G2037" s="8"/>
      <c r="H2037" s="8"/>
      <c r="I2037" s="8">
        <v>883.35</v>
      </c>
      <c r="J2037" s="8"/>
      <c r="K2037" s="8"/>
      <c r="L2037" s="8"/>
      <c r="M2037" s="8"/>
      <c r="N2037" s="8">
        <v>14.06</v>
      </c>
      <c r="O2037" s="8"/>
      <c r="P2037" s="8"/>
      <c r="Q2037" s="11"/>
      <c r="R2037" s="11"/>
      <c r="S2037" s="8">
        <v>4.0199999999999996</v>
      </c>
      <c r="T2037" s="8"/>
      <c r="U2037" s="8"/>
      <c r="V2037" s="8"/>
      <c r="W2037" s="8">
        <v>22.67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>
        <v>25.16</v>
      </c>
      <c r="AN2037" s="8">
        <f>1023*17.33/1000</f>
        <v>17.728589999999997</v>
      </c>
      <c r="AO2037" s="8"/>
      <c r="AP2037" s="11"/>
      <c r="AQ2037" s="8"/>
      <c r="AR2037" s="8"/>
      <c r="AS2037" s="8">
        <f>4788*17.33/1000</f>
        <v>82.976039999999998</v>
      </c>
      <c r="AT2037" s="8">
        <v>1029.17</v>
      </c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>
        <v>77.86</v>
      </c>
      <c r="BH2037" s="9">
        <f t="shared" si="279"/>
        <v>2519.69</v>
      </c>
      <c r="BI2037" s="9">
        <f t="shared" si="280"/>
        <v>14.06</v>
      </c>
      <c r="BJ2037" s="9">
        <f t="shared" si="281"/>
        <v>4.0199999999999996</v>
      </c>
      <c r="BK2037" s="9">
        <f t="shared" si="282"/>
        <v>22.67</v>
      </c>
      <c r="BL2037" s="9">
        <f t="shared" si="283"/>
        <v>0</v>
      </c>
      <c r="BM2037" s="9">
        <f t="shared" si="284"/>
        <v>125.86462999999999</v>
      </c>
      <c r="BN2037" s="9">
        <f t="shared" si="285"/>
        <v>1029.17</v>
      </c>
      <c r="BO2037" s="9">
        <f t="shared" si="286"/>
        <v>0</v>
      </c>
      <c r="BP2037" s="9">
        <f t="shared" si="287"/>
        <v>0</v>
      </c>
    </row>
    <row r="2038" spans="1:68">
      <c r="A2038" s="6">
        <v>44909</v>
      </c>
      <c r="B2038" s="7">
        <v>3028</v>
      </c>
      <c r="C2038" s="8"/>
      <c r="D2038" s="8">
        <v>400</v>
      </c>
      <c r="E2038" s="8"/>
      <c r="F2038" s="8">
        <v>366.17</v>
      </c>
      <c r="G2038" s="8"/>
      <c r="H2038" s="8"/>
      <c r="I2038" s="8">
        <v>828.1</v>
      </c>
      <c r="J2038" s="8"/>
      <c r="K2038" s="8"/>
      <c r="L2038" s="8"/>
      <c r="M2038" s="8"/>
      <c r="N2038" s="8">
        <v>11.98</v>
      </c>
      <c r="O2038" s="8"/>
      <c r="P2038" s="8"/>
      <c r="Q2038" s="11"/>
      <c r="R2038" s="11"/>
      <c r="S2038" s="8">
        <v>2.2400000000000002</v>
      </c>
      <c r="T2038" s="8"/>
      <c r="U2038" s="8"/>
      <c r="V2038" s="8"/>
      <c r="W2038" s="8">
        <v>11.94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>
        <v>15.95</v>
      </c>
      <c r="AN2038" s="8">
        <f>1044*10.65/1000</f>
        <v>11.118600000000001</v>
      </c>
      <c r="AO2038" s="8"/>
      <c r="AP2038" s="11"/>
      <c r="AQ2038" s="8"/>
      <c r="AR2038" s="8"/>
      <c r="AS2038" s="8">
        <f>4952*10.65/1000</f>
        <v>52.738800000000005</v>
      </c>
      <c r="AT2038" s="8">
        <v>533.28</v>
      </c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>
        <v>36.44</v>
      </c>
      <c r="BH2038" s="9">
        <f t="shared" si="279"/>
        <v>1594.27</v>
      </c>
      <c r="BI2038" s="9">
        <f t="shared" si="280"/>
        <v>11.98</v>
      </c>
      <c r="BJ2038" s="9">
        <f t="shared" si="281"/>
        <v>2.2400000000000002</v>
      </c>
      <c r="BK2038" s="9">
        <f t="shared" si="282"/>
        <v>11.94</v>
      </c>
      <c r="BL2038" s="9">
        <f t="shared" si="283"/>
        <v>0</v>
      </c>
      <c r="BM2038" s="9">
        <f t="shared" si="284"/>
        <v>79.807400000000001</v>
      </c>
      <c r="BN2038" s="9">
        <f t="shared" si="285"/>
        <v>533.28</v>
      </c>
      <c r="BO2038" s="9">
        <f t="shared" si="286"/>
        <v>0</v>
      </c>
      <c r="BP2038" s="9">
        <f t="shared" si="287"/>
        <v>0</v>
      </c>
    </row>
    <row r="2039" spans="1:68">
      <c r="A2039" s="6">
        <v>44909</v>
      </c>
      <c r="B2039" s="7">
        <v>3200</v>
      </c>
      <c r="C2039" s="8">
        <v>2289.6</v>
      </c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>
        <v>5.72</v>
      </c>
      <c r="P2039" s="8"/>
      <c r="Q2039" s="11"/>
      <c r="R2039" s="11"/>
      <c r="S2039" s="8">
        <v>8.98</v>
      </c>
      <c r="T2039" s="8"/>
      <c r="U2039" s="8">
        <v>34.520000000000003</v>
      </c>
      <c r="V2039" s="8"/>
      <c r="W2039" s="8"/>
      <c r="X2039" s="8"/>
      <c r="Y2039" s="8"/>
      <c r="Z2039" s="8">
        <v>483.79</v>
      </c>
      <c r="AA2039" s="8"/>
      <c r="AB2039" s="8"/>
      <c r="AC2039" s="8"/>
      <c r="AD2039" s="8"/>
      <c r="AE2039" s="8"/>
      <c r="AF2039" s="8">
        <v>114.41</v>
      </c>
      <c r="AG2039" s="8"/>
      <c r="AH2039" s="8"/>
      <c r="AI2039" s="8"/>
      <c r="AJ2039" s="8"/>
      <c r="AK2039" s="8"/>
      <c r="AL2039" s="8"/>
      <c r="AM2039" s="8"/>
      <c r="AN2039" s="8"/>
      <c r="AO2039" s="8"/>
      <c r="AP2039" s="11"/>
      <c r="AQ2039" s="8">
        <f>1501*23.02/1000</f>
        <v>34.553019999999997</v>
      </c>
      <c r="AR2039" s="8"/>
      <c r="AS2039" s="8"/>
      <c r="AT2039" s="8">
        <v>1576.22</v>
      </c>
      <c r="AU2039" s="8"/>
      <c r="AV2039" s="8"/>
      <c r="AW2039" s="8">
        <v>6.75</v>
      </c>
      <c r="AX2039" s="8"/>
      <c r="AY2039" s="8"/>
      <c r="AZ2039" s="8"/>
      <c r="BA2039" s="8"/>
      <c r="BB2039" s="8"/>
      <c r="BC2039" s="8"/>
      <c r="BD2039" s="8"/>
      <c r="BE2039" s="8"/>
      <c r="BF2039" s="8">
        <v>110.36</v>
      </c>
      <c r="BG2039" s="8">
        <v>113.71</v>
      </c>
      <c r="BH2039" s="9">
        <f t="shared" si="279"/>
        <v>2289.6</v>
      </c>
      <c r="BI2039" s="9">
        <f t="shared" si="280"/>
        <v>5.72</v>
      </c>
      <c r="BJ2039" s="9">
        <f t="shared" si="281"/>
        <v>8.98</v>
      </c>
      <c r="BK2039" s="9">
        <f t="shared" si="282"/>
        <v>34.520000000000003</v>
      </c>
      <c r="BL2039" s="9">
        <f t="shared" si="283"/>
        <v>483.79</v>
      </c>
      <c r="BM2039" s="9">
        <f t="shared" si="284"/>
        <v>148.96302</v>
      </c>
      <c r="BN2039" s="9">
        <f t="shared" si="285"/>
        <v>1576.22</v>
      </c>
      <c r="BO2039" s="9">
        <f t="shared" si="286"/>
        <v>6.75</v>
      </c>
      <c r="BP2039" s="9">
        <f t="shared" si="287"/>
        <v>110.36</v>
      </c>
    </row>
    <row r="2040" spans="1:68">
      <c r="A2040" s="6">
        <v>44910</v>
      </c>
      <c r="B2040" s="7">
        <v>3134</v>
      </c>
      <c r="C2040" s="8">
        <v>1086.05</v>
      </c>
      <c r="D2040" s="8">
        <v>153.33000000000001</v>
      </c>
      <c r="E2040" s="8"/>
      <c r="F2040" s="8"/>
      <c r="G2040" s="8"/>
      <c r="H2040" s="8">
        <v>512.44000000000005</v>
      </c>
      <c r="I2040" s="8"/>
      <c r="J2040" s="8"/>
      <c r="K2040" s="8"/>
      <c r="L2040" s="8"/>
      <c r="M2040" s="8">
        <v>2.81</v>
      </c>
      <c r="N2040" s="8"/>
      <c r="O2040" s="8"/>
      <c r="P2040" s="8"/>
      <c r="Q2040" s="11"/>
      <c r="R2040" s="11"/>
      <c r="S2040" s="8">
        <v>7.08</v>
      </c>
      <c r="T2040" s="8"/>
      <c r="U2040" s="8">
        <v>20.03</v>
      </c>
      <c r="V2040" s="8"/>
      <c r="W2040" s="8"/>
      <c r="X2040" s="8"/>
      <c r="Y2040" s="8"/>
      <c r="Z2040" s="8"/>
      <c r="AA2040" s="8"/>
      <c r="AB2040" s="8"/>
      <c r="AC2040" s="8">
        <v>6.16</v>
      </c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11"/>
      <c r="AQ2040" s="8"/>
      <c r="AR2040" s="8"/>
      <c r="AS2040" s="8"/>
      <c r="AT2040" s="8">
        <v>1079.21</v>
      </c>
      <c r="AU2040" s="8"/>
      <c r="AV2040" s="8"/>
      <c r="AW2040" s="8"/>
      <c r="AX2040" s="8"/>
      <c r="AY2040" s="8">
        <f>1412*10.98/1000</f>
        <v>15.50376</v>
      </c>
      <c r="AZ2040" s="8"/>
      <c r="BA2040" s="8"/>
      <c r="BB2040" s="8"/>
      <c r="BC2040" s="8"/>
      <c r="BD2040" s="8"/>
      <c r="BE2040" s="8"/>
      <c r="BF2040" s="8">
        <v>69.2</v>
      </c>
      <c r="BG2040" s="8">
        <v>81.400000000000006</v>
      </c>
      <c r="BH2040" s="9">
        <f t="shared" si="279"/>
        <v>1751.82</v>
      </c>
      <c r="BI2040" s="9">
        <f t="shared" si="280"/>
        <v>2.81</v>
      </c>
      <c r="BJ2040" s="9">
        <f t="shared" si="281"/>
        <v>7.08</v>
      </c>
      <c r="BK2040" s="9">
        <f t="shared" si="282"/>
        <v>20.03</v>
      </c>
      <c r="BL2040" s="9">
        <f t="shared" si="283"/>
        <v>0</v>
      </c>
      <c r="BM2040" s="9">
        <f t="shared" si="284"/>
        <v>6.16</v>
      </c>
      <c r="BN2040" s="9">
        <f t="shared" si="285"/>
        <v>1079.21</v>
      </c>
      <c r="BO2040" s="9">
        <f t="shared" si="286"/>
        <v>15.50376</v>
      </c>
      <c r="BP2040" s="9">
        <f t="shared" si="287"/>
        <v>69.2</v>
      </c>
    </row>
    <row r="2041" spans="1:68">
      <c r="A2041" s="6">
        <v>44910</v>
      </c>
      <c r="B2041" s="7">
        <v>3106</v>
      </c>
      <c r="C2041" s="8">
        <v>6158.62</v>
      </c>
      <c r="D2041" s="8"/>
      <c r="E2041" s="8"/>
      <c r="F2041" s="8"/>
      <c r="G2041" s="8"/>
      <c r="H2041" s="8"/>
      <c r="I2041" s="8"/>
      <c r="J2041" s="8"/>
      <c r="K2041" s="8"/>
      <c r="L2041" s="8"/>
      <c r="M2041" s="8">
        <v>15.43</v>
      </c>
      <c r="N2041" s="8"/>
      <c r="O2041" s="8"/>
      <c r="P2041" s="8"/>
      <c r="Q2041" s="11"/>
      <c r="R2041" s="11"/>
      <c r="S2041" s="8">
        <v>18.510000000000002</v>
      </c>
      <c r="T2041" s="8"/>
      <c r="U2041" s="8">
        <v>78.319999999999993</v>
      </c>
      <c r="V2041" s="8"/>
      <c r="W2041" s="8"/>
      <c r="X2041" s="8"/>
      <c r="Y2041" s="8"/>
      <c r="Z2041" s="8"/>
      <c r="AA2041" s="8"/>
      <c r="AB2041" s="8"/>
      <c r="AC2041" s="8">
        <v>15.4</v>
      </c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11"/>
      <c r="AQ2041" s="8"/>
      <c r="AR2041" s="8"/>
      <c r="AS2041" s="8"/>
      <c r="AT2041" s="8">
        <v>3509.38</v>
      </c>
      <c r="AU2041" s="8"/>
      <c r="AV2041" s="8"/>
      <c r="AW2041" s="8"/>
      <c r="AX2041" s="8">
        <v>7.71</v>
      </c>
      <c r="AY2041" s="8"/>
      <c r="AZ2041" s="8"/>
      <c r="BA2041" s="8"/>
      <c r="BB2041" s="8"/>
      <c r="BC2041" s="8"/>
      <c r="BD2041" s="8"/>
      <c r="BE2041" s="8"/>
      <c r="BF2041" s="8"/>
      <c r="BG2041" s="8">
        <v>264.37</v>
      </c>
      <c r="BH2041" s="9">
        <f t="shared" si="279"/>
        <v>6158.62</v>
      </c>
      <c r="BI2041" s="9">
        <f t="shared" si="280"/>
        <v>15.43</v>
      </c>
      <c r="BJ2041" s="9">
        <f t="shared" si="281"/>
        <v>18.510000000000002</v>
      </c>
      <c r="BK2041" s="9">
        <f t="shared" si="282"/>
        <v>78.319999999999993</v>
      </c>
      <c r="BL2041" s="9">
        <f t="shared" si="283"/>
        <v>0</v>
      </c>
      <c r="BM2041" s="9">
        <f t="shared" si="284"/>
        <v>15.4</v>
      </c>
      <c r="BN2041" s="9">
        <f t="shared" si="285"/>
        <v>3509.38</v>
      </c>
      <c r="BO2041" s="9">
        <f t="shared" si="286"/>
        <v>7.71</v>
      </c>
      <c r="BP2041" s="9">
        <f t="shared" si="287"/>
        <v>0</v>
      </c>
    </row>
    <row r="2042" spans="1:68">
      <c r="A2042" s="6">
        <v>44910</v>
      </c>
      <c r="B2042" s="7">
        <v>3125</v>
      </c>
      <c r="C2042" s="8">
        <v>1117.04</v>
      </c>
      <c r="D2042" s="8"/>
      <c r="E2042" s="8"/>
      <c r="F2042" s="8"/>
      <c r="G2042" s="8"/>
      <c r="H2042" s="8"/>
      <c r="I2042" s="8"/>
      <c r="J2042" s="8"/>
      <c r="K2042" s="8"/>
      <c r="L2042" s="8"/>
      <c r="M2042" s="8">
        <v>2.79</v>
      </c>
      <c r="N2042" s="8"/>
      <c r="O2042" s="8"/>
      <c r="P2042" s="8"/>
      <c r="Q2042" s="11"/>
      <c r="R2042" s="11"/>
      <c r="S2042" s="8">
        <v>3.38</v>
      </c>
      <c r="T2042" s="8"/>
      <c r="U2042" s="8">
        <v>14.2</v>
      </c>
      <c r="V2042" s="8"/>
      <c r="W2042" s="8"/>
      <c r="X2042" s="8"/>
      <c r="Y2042" s="8"/>
      <c r="Z2042" s="8"/>
      <c r="AA2042" s="8"/>
      <c r="AB2042" s="8"/>
      <c r="AC2042" s="8">
        <v>4.46</v>
      </c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11"/>
      <c r="AQ2042" s="8"/>
      <c r="AR2042" s="8"/>
      <c r="AS2042" s="8"/>
      <c r="AT2042" s="8">
        <v>638.69000000000005</v>
      </c>
      <c r="AU2042" s="8"/>
      <c r="AV2042" s="8">
        <v>16.760000000000002</v>
      </c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>
        <v>47.94</v>
      </c>
      <c r="BH2042" s="9">
        <f t="shared" si="279"/>
        <v>1117.04</v>
      </c>
      <c r="BI2042" s="9">
        <f t="shared" si="280"/>
        <v>2.79</v>
      </c>
      <c r="BJ2042" s="9">
        <f t="shared" si="281"/>
        <v>3.38</v>
      </c>
      <c r="BK2042" s="9">
        <f t="shared" si="282"/>
        <v>14.2</v>
      </c>
      <c r="BL2042" s="9">
        <f t="shared" si="283"/>
        <v>0</v>
      </c>
      <c r="BM2042" s="9">
        <f t="shared" si="284"/>
        <v>4.46</v>
      </c>
      <c r="BN2042" s="9">
        <f t="shared" si="285"/>
        <v>638.69000000000005</v>
      </c>
      <c r="BO2042" s="9">
        <f t="shared" si="286"/>
        <v>16.760000000000002</v>
      </c>
      <c r="BP2042" s="9">
        <f t="shared" si="287"/>
        <v>0</v>
      </c>
    </row>
    <row r="2043" spans="1:68">
      <c r="A2043" s="6">
        <v>44910</v>
      </c>
      <c r="B2043" s="7">
        <v>3200</v>
      </c>
      <c r="C2043" s="8">
        <v>2241.67</v>
      </c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>
        <v>5.61</v>
      </c>
      <c r="P2043" s="8"/>
      <c r="Q2043" s="11"/>
      <c r="R2043" s="11"/>
      <c r="S2043" s="8">
        <v>8.76</v>
      </c>
      <c r="T2043" s="8"/>
      <c r="U2043" s="8">
        <v>33.68</v>
      </c>
      <c r="V2043" s="8"/>
      <c r="W2043" s="8"/>
      <c r="X2043" s="8"/>
      <c r="Y2043" s="8"/>
      <c r="Z2043" s="8">
        <v>471.7</v>
      </c>
      <c r="AA2043" s="8"/>
      <c r="AB2043" s="8"/>
      <c r="AC2043" s="8"/>
      <c r="AD2043" s="8"/>
      <c r="AE2043" s="8"/>
      <c r="AF2043" s="8">
        <v>112.25</v>
      </c>
      <c r="AG2043" s="8"/>
      <c r="AH2043" s="8"/>
      <c r="AI2043" s="8"/>
      <c r="AJ2043" s="8"/>
      <c r="AK2043" s="8"/>
      <c r="AL2043" s="8"/>
      <c r="AM2043" s="8"/>
      <c r="AN2043" s="8"/>
      <c r="AO2043" s="8"/>
      <c r="AP2043" s="11"/>
      <c r="AQ2043" s="8">
        <f>1529*22.45/1000</f>
        <v>34.326049999999995</v>
      </c>
      <c r="AR2043" s="8"/>
      <c r="AS2043" s="8"/>
      <c r="AT2043" s="8">
        <v>1535.69</v>
      </c>
      <c r="AU2043" s="8"/>
      <c r="AV2043" s="8"/>
      <c r="AW2043" s="8">
        <v>6.51</v>
      </c>
      <c r="AX2043" s="8"/>
      <c r="AY2043" s="8"/>
      <c r="AZ2043" s="8"/>
      <c r="BA2043" s="8"/>
      <c r="BB2043" s="8"/>
      <c r="BC2043" s="8"/>
      <c r="BD2043" s="8"/>
      <c r="BE2043" s="8"/>
      <c r="BF2043" s="8">
        <v>107.77</v>
      </c>
      <c r="BG2043" s="8">
        <v>111.39</v>
      </c>
      <c r="BH2043" s="9">
        <f t="shared" si="279"/>
        <v>2241.67</v>
      </c>
      <c r="BI2043" s="9">
        <f t="shared" si="280"/>
        <v>5.61</v>
      </c>
      <c r="BJ2043" s="9">
        <f t="shared" si="281"/>
        <v>8.76</v>
      </c>
      <c r="BK2043" s="9">
        <f t="shared" si="282"/>
        <v>33.68</v>
      </c>
      <c r="BL2043" s="9">
        <f t="shared" si="283"/>
        <v>471.7</v>
      </c>
      <c r="BM2043" s="9">
        <f t="shared" si="284"/>
        <v>146.57605000000001</v>
      </c>
      <c r="BN2043" s="9">
        <f t="shared" si="285"/>
        <v>1535.69</v>
      </c>
      <c r="BO2043" s="9">
        <f t="shared" si="286"/>
        <v>6.51</v>
      </c>
      <c r="BP2043" s="9">
        <f t="shared" si="287"/>
        <v>107.77</v>
      </c>
    </row>
    <row r="2044" spans="1:68">
      <c r="A2044" s="6">
        <v>44910</v>
      </c>
      <c r="B2044" s="7">
        <v>3307</v>
      </c>
      <c r="C2044" s="8"/>
      <c r="D2044" s="8">
        <f>935.25+1150.19</f>
        <v>2085.44</v>
      </c>
      <c r="E2044" s="8"/>
      <c r="F2044" s="8"/>
      <c r="G2044" s="8"/>
      <c r="H2044" s="8"/>
      <c r="I2044" s="8"/>
      <c r="J2044" s="8"/>
      <c r="K2044" s="8"/>
      <c r="L2044" s="8"/>
      <c r="M2044" s="8">
        <f>0.94+1.34</f>
        <v>2.2800000000000002</v>
      </c>
      <c r="N2044" s="8"/>
      <c r="O2044" s="8"/>
      <c r="P2044" s="8"/>
      <c r="Q2044" s="11"/>
      <c r="R2044" s="11"/>
      <c r="S2044" s="8">
        <f>6.84+8.4</f>
        <v>15.24</v>
      </c>
      <c r="T2044" s="8"/>
      <c r="U2044" s="8">
        <f>9.37+11.51</f>
        <v>20.88</v>
      </c>
      <c r="V2044" s="8"/>
      <c r="W2044" s="8"/>
      <c r="X2044" s="8"/>
      <c r="Y2044" s="8"/>
      <c r="Z2044" s="8"/>
      <c r="AA2044" s="8"/>
      <c r="AB2044" s="8"/>
      <c r="AC2044" s="8">
        <f>5.62+6.9</f>
        <v>12.52</v>
      </c>
      <c r="AD2044" s="8"/>
      <c r="AE2044" s="8"/>
      <c r="AF2044" s="8"/>
      <c r="AG2044" s="8">
        <f>9.4+11.53</f>
        <v>20.93</v>
      </c>
      <c r="AH2044" s="8"/>
      <c r="AI2044" s="8"/>
      <c r="AJ2044" s="8"/>
      <c r="AK2044" s="8"/>
      <c r="AL2044" s="8"/>
      <c r="AM2044" s="8"/>
      <c r="AN2044" s="8"/>
      <c r="AO2044" s="8"/>
      <c r="AP2044" s="11"/>
      <c r="AQ2044" s="8"/>
      <c r="AR2044" s="8"/>
      <c r="AS2044" s="8"/>
      <c r="AT2044" s="8"/>
      <c r="AU2044" s="8">
        <f>469.51+576.42</f>
        <v>1045.9299999999998</v>
      </c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>
        <f>33.76+41.56</f>
        <v>75.319999999999993</v>
      </c>
      <c r="BH2044" s="9">
        <f t="shared" si="279"/>
        <v>2085.44</v>
      </c>
      <c r="BI2044" s="9">
        <f t="shared" si="280"/>
        <v>2.2800000000000002</v>
      </c>
      <c r="BJ2044" s="9">
        <f t="shared" si="281"/>
        <v>15.24</v>
      </c>
      <c r="BK2044" s="9">
        <f t="shared" si="282"/>
        <v>20.88</v>
      </c>
      <c r="BL2044" s="9">
        <f t="shared" si="283"/>
        <v>0</v>
      </c>
      <c r="BM2044" s="9">
        <f t="shared" si="284"/>
        <v>33.450000000000003</v>
      </c>
      <c r="BN2044" s="9">
        <f t="shared" si="285"/>
        <v>1045.9299999999998</v>
      </c>
      <c r="BO2044" s="9">
        <f t="shared" si="286"/>
        <v>0</v>
      </c>
      <c r="BP2044" s="9">
        <f t="shared" si="287"/>
        <v>0</v>
      </c>
    </row>
    <row r="2045" spans="1:68">
      <c r="A2045" s="6">
        <v>44910</v>
      </c>
      <c r="B2045" s="7">
        <v>3204</v>
      </c>
      <c r="C2045" s="8"/>
      <c r="D2045" s="8">
        <v>1791.23</v>
      </c>
      <c r="E2045" s="8">
        <v>766.42</v>
      </c>
      <c r="F2045" s="8"/>
      <c r="G2045" s="8"/>
      <c r="H2045" s="8"/>
      <c r="I2045" s="8"/>
      <c r="J2045" s="8"/>
      <c r="K2045" s="8"/>
      <c r="L2045" s="8"/>
      <c r="M2045" s="8"/>
      <c r="N2045" s="8"/>
      <c r="O2045" s="8">
        <v>12.79</v>
      </c>
      <c r="P2045" s="8"/>
      <c r="Q2045" s="11"/>
      <c r="R2045" s="11"/>
      <c r="S2045" s="8">
        <v>8.6999999999999993</v>
      </c>
      <c r="T2045" s="8"/>
      <c r="U2045" s="8">
        <v>28.19</v>
      </c>
      <c r="V2045" s="8"/>
      <c r="W2045" s="8"/>
      <c r="X2045" s="8"/>
      <c r="Y2045" s="8"/>
      <c r="Z2045" s="8">
        <v>384.34</v>
      </c>
      <c r="AA2045" s="8"/>
      <c r="AB2045" s="8">
        <f>703*18.28/1000</f>
        <v>12.85084</v>
      </c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11"/>
      <c r="AQ2045" s="8"/>
      <c r="AR2045" s="8"/>
      <c r="AS2045" s="8"/>
      <c r="AT2045" s="8">
        <v>1127.6300000000001</v>
      </c>
      <c r="AU2045" s="8"/>
      <c r="AV2045" s="8"/>
      <c r="AW2045" s="8">
        <v>8.18</v>
      </c>
      <c r="AX2045" s="8"/>
      <c r="AY2045" s="8"/>
      <c r="AZ2045" s="8"/>
      <c r="BA2045" s="8"/>
      <c r="BB2045" s="8"/>
      <c r="BC2045" s="8"/>
      <c r="BD2045" s="8"/>
      <c r="BE2045" s="8"/>
      <c r="BF2045" s="8"/>
      <c r="BG2045" s="8">
        <v>83.32</v>
      </c>
      <c r="BH2045" s="9">
        <f t="shared" si="279"/>
        <v>2557.65</v>
      </c>
      <c r="BI2045" s="9">
        <f t="shared" si="280"/>
        <v>12.79</v>
      </c>
      <c r="BJ2045" s="9">
        <f t="shared" si="281"/>
        <v>8.6999999999999993</v>
      </c>
      <c r="BK2045" s="9">
        <f t="shared" si="282"/>
        <v>28.19</v>
      </c>
      <c r="BL2045" s="9">
        <f t="shared" si="283"/>
        <v>384.34</v>
      </c>
      <c r="BM2045" s="9">
        <f t="shared" si="284"/>
        <v>12.85084</v>
      </c>
      <c r="BN2045" s="9">
        <f t="shared" si="285"/>
        <v>1127.6300000000001</v>
      </c>
      <c r="BO2045" s="9">
        <f t="shared" si="286"/>
        <v>8.18</v>
      </c>
      <c r="BP2045" s="9">
        <f t="shared" si="287"/>
        <v>0</v>
      </c>
    </row>
    <row r="2046" spans="1:68">
      <c r="A2046" s="6">
        <v>44910</v>
      </c>
      <c r="B2046" s="7">
        <v>3101</v>
      </c>
      <c r="C2046" s="8">
        <v>630.33000000000004</v>
      </c>
      <c r="D2046" s="8"/>
      <c r="E2046" s="8"/>
      <c r="F2046" s="8"/>
      <c r="G2046" s="8"/>
      <c r="H2046" s="8"/>
      <c r="I2046" s="8"/>
      <c r="J2046" s="8"/>
      <c r="K2046" s="8"/>
      <c r="L2046" s="8"/>
      <c r="M2046" s="8">
        <v>1.45</v>
      </c>
      <c r="N2046" s="8"/>
      <c r="O2046" s="8"/>
      <c r="P2046" s="8"/>
      <c r="Q2046" s="11"/>
      <c r="R2046" s="11"/>
      <c r="S2046" s="8">
        <v>3.66</v>
      </c>
      <c r="T2046" s="8"/>
      <c r="U2046" s="8">
        <v>10.1</v>
      </c>
      <c r="V2046" s="8"/>
      <c r="W2046" s="8"/>
      <c r="X2046" s="8"/>
      <c r="Y2046" s="8"/>
      <c r="Z2046" s="8"/>
      <c r="AA2046" s="8"/>
      <c r="AB2046" s="8"/>
      <c r="AC2046" s="8">
        <v>2.5299999999999998</v>
      </c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11"/>
      <c r="AQ2046" s="8"/>
      <c r="AR2046" s="8"/>
      <c r="AS2046" s="8"/>
      <c r="AT2046" s="8">
        <v>424.19</v>
      </c>
      <c r="AU2046" s="8"/>
      <c r="AV2046" s="8"/>
      <c r="AW2046" s="8">
        <v>13.44</v>
      </c>
      <c r="AX2046" s="8"/>
      <c r="AY2046" s="8"/>
      <c r="AZ2046" s="8"/>
      <c r="BA2046" s="8"/>
      <c r="BB2046" s="8"/>
      <c r="BC2046" s="8"/>
      <c r="BD2046" s="8"/>
      <c r="BE2046" s="8"/>
      <c r="BF2046" s="8">
        <v>82.02</v>
      </c>
      <c r="BG2046" s="8">
        <v>32.479999999999997</v>
      </c>
      <c r="BH2046" s="9">
        <f t="shared" si="279"/>
        <v>630.33000000000004</v>
      </c>
      <c r="BI2046" s="9">
        <f t="shared" si="280"/>
        <v>1.45</v>
      </c>
      <c r="BJ2046" s="9">
        <f t="shared" si="281"/>
        <v>3.66</v>
      </c>
      <c r="BK2046" s="9">
        <f t="shared" si="282"/>
        <v>10.1</v>
      </c>
      <c r="BL2046" s="9">
        <f t="shared" si="283"/>
        <v>0</v>
      </c>
      <c r="BM2046" s="9">
        <f t="shared" si="284"/>
        <v>2.5299999999999998</v>
      </c>
      <c r="BN2046" s="9">
        <f t="shared" si="285"/>
        <v>424.19</v>
      </c>
      <c r="BO2046" s="9">
        <f t="shared" si="286"/>
        <v>13.44</v>
      </c>
      <c r="BP2046" s="9">
        <f t="shared" si="287"/>
        <v>82.02</v>
      </c>
    </row>
    <row r="2047" spans="1:68">
      <c r="A2047" s="6">
        <v>44911</v>
      </c>
      <c r="B2047" s="7">
        <v>3134</v>
      </c>
      <c r="C2047" s="8">
        <v>1091.0899999999999</v>
      </c>
      <c r="D2047" s="8">
        <v>152.6</v>
      </c>
      <c r="E2047" s="8"/>
      <c r="F2047" s="8"/>
      <c r="G2047" s="8"/>
      <c r="H2047" s="8">
        <v>516.36</v>
      </c>
      <c r="I2047" s="8"/>
      <c r="J2047" s="8"/>
      <c r="K2047" s="8"/>
      <c r="L2047" s="8"/>
      <c r="M2047" s="8">
        <v>2.72</v>
      </c>
      <c r="N2047" s="8"/>
      <c r="O2047" s="8"/>
      <c r="P2047" s="8"/>
      <c r="Q2047" s="11"/>
      <c r="R2047" s="11"/>
      <c r="S2047" s="8">
        <v>7.04</v>
      </c>
      <c r="T2047" s="8"/>
      <c r="U2047" s="8">
        <v>19.89</v>
      </c>
      <c r="V2047" s="8"/>
      <c r="W2047" s="8"/>
      <c r="X2047" s="8"/>
      <c r="Y2047" s="8"/>
      <c r="Z2047" s="8"/>
      <c r="AA2047" s="8"/>
      <c r="AB2047" s="8"/>
      <c r="AC2047" s="8">
        <v>6.12</v>
      </c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11"/>
      <c r="AQ2047" s="8"/>
      <c r="AR2047" s="8"/>
      <c r="AS2047" s="8"/>
      <c r="AT2047" s="8">
        <v>1077.8599999999999</v>
      </c>
      <c r="AU2047" s="8"/>
      <c r="AV2047" s="8"/>
      <c r="AW2047" s="8"/>
      <c r="AX2047" s="8"/>
      <c r="AY2047" s="8">
        <f>1418*10.92/1000</f>
        <v>15.48456</v>
      </c>
      <c r="AZ2047" s="8"/>
      <c r="BA2047" s="8"/>
      <c r="BB2047" s="8"/>
      <c r="BC2047" s="8"/>
      <c r="BD2047" s="8"/>
      <c r="BE2047" s="8"/>
      <c r="BF2047" s="8">
        <v>68.84</v>
      </c>
      <c r="BG2047" s="8">
        <v>81.010000000000005</v>
      </c>
      <c r="BH2047" s="9">
        <f t="shared" si="279"/>
        <v>1760.0499999999997</v>
      </c>
      <c r="BI2047" s="9">
        <f t="shared" si="280"/>
        <v>2.72</v>
      </c>
      <c r="BJ2047" s="9">
        <f t="shared" si="281"/>
        <v>7.04</v>
      </c>
      <c r="BK2047" s="9">
        <f t="shared" si="282"/>
        <v>19.89</v>
      </c>
      <c r="BL2047" s="9">
        <f t="shared" si="283"/>
        <v>0</v>
      </c>
      <c r="BM2047" s="9">
        <f t="shared" si="284"/>
        <v>6.12</v>
      </c>
      <c r="BN2047" s="9">
        <f t="shared" si="285"/>
        <v>1077.8599999999999</v>
      </c>
      <c r="BO2047" s="9">
        <f t="shared" si="286"/>
        <v>15.48456</v>
      </c>
      <c r="BP2047" s="9">
        <f t="shared" si="287"/>
        <v>68.84</v>
      </c>
    </row>
    <row r="2048" spans="1:68">
      <c r="A2048" s="6">
        <v>44911</v>
      </c>
      <c r="B2048" s="7">
        <v>3106</v>
      </c>
      <c r="C2048" s="8">
        <v>4108.96</v>
      </c>
      <c r="D2048" s="8"/>
      <c r="E2048" s="8"/>
      <c r="F2048" s="8"/>
      <c r="G2048" s="8"/>
      <c r="H2048" s="8"/>
      <c r="I2048" s="8"/>
      <c r="J2048" s="8"/>
      <c r="K2048" s="8"/>
      <c r="L2048" s="8"/>
      <c r="M2048" s="8">
        <v>10.119999999999999</v>
      </c>
      <c r="N2048" s="8"/>
      <c r="O2048" s="8"/>
      <c r="P2048" s="8"/>
      <c r="Q2048" s="11"/>
      <c r="R2048" s="11"/>
      <c r="S2048" s="8">
        <v>12.58</v>
      </c>
      <c r="T2048" s="8"/>
      <c r="U2048" s="8">
        <v>53.23</v>
      </c>
      <c r="V2048" s="8"/>
      <c r="W2048" s="8"/>
      <c r="X2048" s="8"/>
      <c r="Y2048" s="8"/>
      <c r="Z2048" s="8"/>
      <c r="AA2048" s="8"/>
      <c r="AB2048" s="8"/>
      <c r="AC2048" s="8">
        <v>10.46</v>
      </c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11"/>
      <c r="AQ2048" s="8"/>
      <c r="AR2048" s="8"/>
      <c r="AS2048" s="8"/>
      <c r="AT2048" s="8">
        <v>2384.69</v>
      </c>
      <c r="AU2048" s="8"/>
      <c r="AV2048" s="8"/>
      <c r="AW2048" s="8"/>
      <c r="AX2048" s="8">
        <v>5.23</v>
      </c>
      <c r="AY2048" s="8"/>
      <c r="AZ2048" s="8"/>
      <c r="BA2048" s="8"/>
      <c r="BB2048" s="8"/>
      <c r="BC2048" s="8"/>
      <c r="BD2048" s="8"/>
      <c r="BE2048" s="8"/>
      <c r="BF2048" s="8"/>
      <c r="BG2048" s="8">
        <v>179.98</v>
      </c>
      <c r="BH2048" s="9">
        <f t="shared" si="279"/>
        <v>4108.96</v>
      </c>
      <c r="BI2048" s="9">
        <f t="shared" si="280"/>
        <v>10.119999999999999</v>
      </c>
      <c r="BJ2048" s="9">
        <f t="shared" si="281"/>
        <v>12.58</v>
      </c>
      <c r="BK2048" s="9">
        <f t="shared" si="282"/>
        <v>53.23</v>
      </c>
      <c r="BL2048" s="9">
        <f t="shared" si="283"/>
        <v>0</v>
      </c>
      <c r="BM2048" s="9">
        <f t="shared" si="284"/>
        <v>10.46</v>
      </c>
      <c r="BN2048" s="9">
        <f t="shared" si="285"/>
        <v>2384.69</v>
      </c>
      <c r="BO2048" s="9">
        <f t="shared" si="286"/>
        <v>5.23</v>
      </c>
      <c r="BP2048" s="9">
        <f t="shared" si="287"/>
        <v>0</v>
      </c>
    </row>
    <row r="2049" spans="1:68">
      <c r="A2049" s="6">
        <v>44911</v>
      </c>
      <c r="B2049" s="7">
        <v>3144</v>
      </c>
      <c r="C2049" s="8">
        <v>1231.97</v>
      </c>
      <c r="D2049" s="8">
        <v>217.02</v>
      </c>
      <c r="E2049" s="8"/>
      <c r="F2049" s="8"/>
      <c r="G2049" s="8"/>
      <c r="H2049" s="8"/>
      <c r="I2049" s="8"/>
      <c r="J2049" s="8"/>
      <c r="K2049" s="8"/>
      <c r="L2049" s="8"/>
      <c r="M2049" s="8">
        <v>4.1900000000000004</v>
      </c>
      <c r="N2049" s="8"/>
      <c r="O2049" s="8"/>
      <c r="P2049" s="8"/>
      <c r="Q2049" s="11"/>
      <c r="R2049" s="11"/>
      <c r="S2049" s="8">
        <v>6.8</v>
      </c>
      <c r="T2049" s="8"/>
      <c r="U2049" s="8">
        <v>21.69</v>
      </c>
      <c r="V2049" s="8"/>
      <c r="W2049" s="8"/>
      <c r="X2049" s="8"/>
      <c r="Y2049" s="8"/>
      <c r="Z2049" s="8"/>
      <c r="AA2049" s="8"/>
      <c r="AB2049" s="8"/>
      <c r="AC2049" s="8">
        <v>5.8</v>
      </c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11">
        <f>1219*9.65/1000</f>
        <v>11.763350000000001</v>
      </c>
      <c r="AQ2049" s="8"/>
      <c r="AR2049" s="8"/>
      <c r="AS2049" s="8"/>
      <c r="AT2049" s="8">
        <v>952.14</v>
      </c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>
        <v>101.03</v>
      </c>
      <c r="BG2049" s="8">
        <v>75.52</v>
      </c>
      <c r="BH2049" s="9">
        <f t="shared" si="279"/>
        <v>1448.99</v>
      </c>
      <c r="BI2049" s="9">
        <f t="shared" si="280"/>
        <v>4.1900000000000004</v>
      </c>
      <c r="BJ2049" s="9">
        <f t="shared" si="281"/>
        <v>6.8</v>
      </c>
      <c r="BK2049" s="9">
        <f t="shared" si="282"/>
        <v>21.69</v>
      </c>
      <c r="BL2049" s="9">
        <f t="shared" si="283"/>
        <v>0</v>
      </c>
      <c r="BM2049" s="9">
        <f t="shared" si="284"/>
        <v>17.56335</v>
      </c>
      <c r="BN2049" s="9">
        <f t="shared" si="285"/>
        <v>952.14</v>
      </c>
      <c r="BO2049" s="9">
        <f t="shared" si="286"/>
        <v>0</v>
      </c>
      <c r="BP2049" s="9">
        <f t="shared" si="287"/>
        <v>101.03</v>
      </c>
    </row>
    <row r="2050" spans="1:68">
      <c r="A2050" s="6">
        <v>44911</v>
      </c>
      <c r="B2050" s="7">
        <v>3119</v>
      </c>
      <c r="C2050" s="8">
        <v>1330.1</v>
      </c>
      <c r="D2050" s="8"/>
      <c r="E2050" s="8"/>
      <c r="F2050" s="8"/>
      <c r="G2050" s="8"/>
      <c r="H2050" s="8"/>
      <c r="I2050" s="8"/>
      <c r="J2050" s="8"/>
      <c r="K2050" s="8"/>
      <c r="L2050" s="8"/>
      <c r="M2050" s="8">
        <v>4.2300000000000004</v>
      </c>
      <c r="N2050" s="8"/>
      <c r="O2050" s="8"/>
      <c r="P2050" s="8"/>
      <c r="Q2050" s="11"/>
      <c r="R2050" s="11"/>
      <c r="S2050" s="8">
        <v>6.06</v>
      </c>
      <c r="T2050" s="8"/>
      <c r="U2050" s="8">
        <v>13.31</v>
      </c>
      <c r="V2050" s="8"/>
      <c r="W2050" s="8"/>
      <c r="X2050" s="8"/>
      <c r="Y2050" s="8"/>
      <c r="Z2050" s="8"/>
      <c r="AA2050" s="8"/>
      <c r="AB2050" s="8"/>
      <c r="AC2050" s="8">
        <v>3.33</v>
      </c>
      <c r="AD2050" s="8"/>
      <c r="AE2050" s="8"/>
      <c r="AF2050" s="8"/>
      <c r="AG2050" s="8">
        <v>4</v>
      </c>
      <c r="AH2050" s="8"/>
      <c r="AI2050" s="8"/>
      <c r="AJ2050" s="8"/>
      <c r="AK2050" s="8"/>
      <c r="AL2050" s="8"/>
      <c r="AM2050" s="8"/>
      <c r="AN2050" s="8"/>
      <c r="AO2050" s="8"/>
      <c r="AP2050" s="11"/>
      <c r="AQ2050" s="8"/>
      <c r="AR2050" s="8"/>
      <c r="AS2050" s="8"/>
      <c r="AT2050" s="8">
        <v>501.43</v>
      </c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>
        <v>93.07</v>
      </c>
      <c r="BG2050" s="8">
        <v>35.22</v>
      </c>
      <c r="BH2050" s="9">
        <f t="shared" si="279"/>
        <v>1330.1</v>
      </c>
      <c r="BI2050" s="9">
        <f t="shared" si="280"/>
        <v>4.2300000000000004</v>
      </c>
      <c r="BJ2050" s="9">
        <f t="shared" si="281"/>
        <v>6.06</v>
      </c>
      <c r="BK2050" s="9">
        <f t="shared" si="282"/>
        <v>13.31</v>
      </c>
      <c r="BL2050" s="9">
        <f t="shared" si="283"/>
        <v>0</v>
      </c>
      <c r="BM2050" s="9">
        <f t="shared" si="284"/>
        <v>7.33</v>
      </c>
      <c r="BN2050" s="9">
        <f t="shared" si="285"/>
        <v>501.43</v>
      </c>
      <c r="BO2050" s="9">
        <f t="shared" si="286"/>
        <v>0</v>
      </c>
      <c r="BP2050" s="9">
        <f t="shared" si="287"/>
        <v>93.07</v>
      </c>
    </row>
    <row r="2051" spans="1:68">
      <c r="A2051" s="6">
        <v>44911</v>
      </c>
      <c r="B2051" s="7">
        <v>3029</v>
      </c>
      <c r="C2051" s="8"/>
      <c r="D2051" s="8">
        <v>469.22</v>
      </c>
      <c r="E2051" s="8"/>
      <c r="F2051" s="8">
        <v>380.89</v>
      </c>
      <c r="G2051" s="8"/>
      <c r="H2051" s="8"/>
      <c r="I2051" s="8">
        <v>1959.78</v>
      </c>
      <c r="J2051" s="8"/>
      <c r="K2051" s="8"/>
      <c r="L2051" s="8"/>
      <c r="M2051" s="8"/>
      <c r="N2051" s="8">
        <v>21.27</v>
      </c>
      <c r="O2051" s="8"/>
      <c r="P2051" s="8"/>
      <c r="Q2051" s="11"/>
      <c r="R2051" s="11"/>
      <c r="S2051" s="8">
        <v>1.65</v>
      </c>
      <c r="T2051" s="8"/>
      <c r="U2051" s="8"/>
      <c r="V2051" s="8"/>
      <c r="W2051" s="8">
        <v>27.64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>
        <v>9.65</v>
      </c>
      <c r="AN2051" s="8">
        <f>748*18.4/1000</f>
        <v>13.763199999999999</v>
      </c>
      <c r="AO2051" s="8"/>
      <c r="AP2051" s="11"/>
      <c r="AQ2051" s="8"/>
      <c r="AR2051" s="8">
        <f>4627*18.4/1000</f>
        <v>85.136799999999994</v>
      </c>
      <c r="AS2051" s="8"/>
      <c r="AT2051" s="8">
        <v>1049.43</v>
      </c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>
        <v>73.489999999999995</v>
      </c>
      <c r="BH2051" s="9">
        <f t="shared" si="279"/>
        <v>2809.89</v>
      </c>
      <c r="BI2051" s="9">
        <f t="shared" si="280"/>
        <v>21.27</v>
      </c>
      <c r="BJ2051" s="9">
        <f t="shared" si="281"/>
        <v>1.65</v>
      </c>
      <c r="BK2051" s="9">
        <f t="shared" si="282"/>
        <v>27.64</v>
      </c>
      <c r="BL2051" s="9">
        <f t="shared" si="283"/>
        <v>0</v>
      </c>
      <c r="BM2051" s="9">
        <f t="shared" si="284"/>
        <v>108.55</v>
      </c>
      <c r="BN2051" s="9">
        <f t="shared" si="285"/>
        <v>1049.43</v>
      </c>
      <c r="BO2051" s="9">
        <f t="shared" si="286"/>
        <v>0</v>
      </c>
      <c r="BP2051" s="9">
        <f t="shared" si="287"/>
        <v>0</v>
      </c>
    </row>
    <row r="2052" spans="1:68">
      <c r="A2052" s="6">
        <v>44911</v>
      </c>
      <c r="B2052" s="7">
        <v>3016</v>
      </c>
      <c r="C2052" s="8"/>
      <c r="D2052" s="8">
        <v>2314.79</v>
      </c>
      <c r="E2052" s="8"/>
      <c r="F2052" s="8"/>
      <c r="G2052" s="8"/>
      <c r="H2052" s="8"/>
      <c r="I2052" s="8">
        <v>2137.0300000000002</v>
      </c>
      <c r="J2052" s="8"/>
      <c r="K2052" s="8"/>
      <c r="L2052" s="8"/>
      <c r="M2052" s="8"/>
      <c r="N2052" s="8">
        <v>26.72</v>
      </c>
      <c r="O2052" s="8"/>
      <c r="P2052" s="8"/>
      <c r="Q2052" s="11"/>
      <c r="R2052" s="11"/>
      <c r="S2052" s="8">
        <v>3.11</v>
      </c>
      <c r="T2052" s="8"/>
      <c r="U2052" s="8"/>
      <c r="V2052" s="8"/>
      <c r="W2052" s="8">
        <v>44.56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>
        <v>17.8</v>
      </c>
      <c r="AN2052" s="8">
        <f>2033*26.2/1000</f>
        <v>53.264600000000002</v>
      </c>
      <c r="AO2052" s="8"/>
      <c r="AP2052" s="11"/>
      <c r="AQ2052" s="8"/>
      <c r="AR2052" s="8">
        <f>4310*26.2/1000</f>
        <v>112.922</v>
      </c>
      <c r="AS2052" s="8"/>
      <c r="AT2052" s="8">
        <v>1655.27</v>
      </c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>
        <v>121.02</v>
      </c>
      <c r="BH2052" s="9">
        <f t="shared" ref="BH2052:BH2115" si="288">SUM(C2052:L2052)</f>
        <v>4451.82</v>
      </c>
      <c r="BI2052" s="9">
        <f t="shared" ref="BI2052:BI2115" si="289">SUM(M2052:R2052)</f>
        <v>26.72</v>
      </c>
      <c r="BJ2052" s="9">
        <f t="shared" ref="BJ2052:BJ2115" si="290">SUM(S2052)</f>
        <v>3.11</v>
      </c>
      <c r="BK2052" s="9">
        <f t="shared" ref="BK2052:BK2115" si="291">SUM(T2052:Y2052)</f>
        <v>44.56</v>
      </c>
      <c r="BL2052" s="9">
        <f t="shared" ref="BL2052:BL2115" si="292">SUM(Z2052:AA2052)</f>
        <v>0</v>
      </c>
      <c r="BM2052" s="9">
        <f t="shared" ref="BM2052:BM2115" si="293">SUM(AB2052:AS2052)</f>
        <v>183.98660000000001</v>
      </c>
      <c r="BN2052" s="9">
        <f t="shared" ref="BN2052:BN2115" si="294">SUM(AT2052:AU2052)</f>
        <v>1655.27</v>
      </c>
      <c r="BO2052" s="9">
        <f t="shared" ref="BO2052:BO2115" si="295">SUM(AV2052:BE2052)</f>
        <v>0</v>
      </c>
      <c r="BP2052" s="9">
        <f t="shared" ref="BP2052:BP2115" si="296">SUM(BF2052)</f>
        <v>0</v>
      </c>
    </row>
    <row r="2053" spans="1:68">
      <c r="A2053" s="6">
        <v>44911</v>
      </c>
      <c r="B2053" s="7">
        <v>3023</v>
      </c>
      <c r="C2053" s="8"/>
      <c r="D2053" s="8">
        <v>1649.04</v>
      </c>
      <c r="E2053" s="8"/>
      <c r="F2053" s="8"/>
      <c r="G2053" s="8"/>
      <c r="H2053" s="8"/>
      <c r="I2053" s="8">
        <v>888.9</v>
      </c>
      <c r="J2053" s="8"/>
      <c r="K2053" s="8"/>
      <c r="L2053" s="8"/>
      <c r="M2053" s="8"/>
      <c r="N2053" s="8">
        <v>14.18</v>
      </c>
      <c r="O2053" s="8"/>
      <c r="P2053" s="8"/>
      <c r="Q2053" s="11"/>
      <c r="R2053" s="11"/>
      <c r="S2053" s="8">
        <v>4.05</v>
      </c>
      <c r="T2053" s="8"/>
      <c r="U2053" s="8"/>
      <c r="V2053" s="8"/>
      <c r="W2053" s="8">
        <v>22.81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>
        <v>25.28</v>
      </c>
      <c r="AN2053" s="8">
        <f>1017*17.45/1000</f>
        <v>17.746649999999999</v>
      </c>
      <c r="AO2053" s="8"/>
      <c r="AP2053" s="11"/>
      <c r="AQ2053" s="8"/>
      <c r="AR2053" s="8"/>
      <c r="AS2053" s="8">
        <f>4767*17.45/1000</f>
        <v>83.184149999999988</v>
      </c>
      <c r="AT2053" s="8">
        <v>1039</v>
      </c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>
        <v>78.459999999999994</v>
      </c>
      <c r="BH2053" s="9">
        <f t="shared" si="288"/>
        <v>2537.94</v>
      </c>
      <c r="BI2053" s="9">
        <f t="shared" si="289"/>
        <v>14.18</v>
      </c>
      <c r="BJ2053" s="9">
        <f t="shared" si="290"/>
        <v>4.05</v>
      </c>
      <c r="BK2053" s="9">
        <f t="shared" si="291"/>
        <v>22.81</v>
      </c>
      <c r="BL2053" s="9">
        <f t="shared" si="292"/>
        <v>0</v>
      </c>
      <c r="BM2053" s="9">
        <f t="shared" si="293"/>
        <v>126.21079999999999</v>
      </c>
      <c r="BN2053" s="9">
        <f t="shared" si="294"/>
        <v>1039</v>
      </c>
      <c r="BO2053" s="9">
        <f t="shared" si="295"/>
        <v>0</v>
      </c>
      <c r="BP2053" s="9">
        <f t="shared" si="296"/>
        <v>0</v>
      </c>
    </row>
    <row r="2054" spans="1:68">
      <c r="A2054" s="6">
        <v>44911</v>
      </c>
      <c r="B2054" s="7">
        <v>3203</v>
      </c>
      <c r="C2054" s="8">
        <v>845.78</v>
      </c>
      <c r="D2054" s="8"/>
      <c r="E2054" s="8">
        <v>364.07</v>
      </c>
      <c r="F2054" s="8"/>
      <c r="G2054" s="8"/>
      <c r="H2054" s="8"/>
      <c r="I2054" s="8"/>
      <c r="J2054" s="8"/>
      <c r="K2054" s="8"/>
      <c r="L2054" s="8"/>
      <c r="M2054" s="8"/>
      <c r="N2054" s="8"/>
      <c r="O2054" s="8">
        <v>3.65</v>
      </c>
      <c r="P2054" s="8"/>
      <c r="Q2054" s="11"/>
      <c r="R2054" s="11"/>
      <c r="S2054" s="8">
        <v>4.75</v>
      </c>
      <c r="T2054" s="8"/>
      <c r="U2054" s="8">
        <v>15.1</v>
      </c>
      <c r="V2054" s="8"/>
      <c r="W2054" s="8"/>
      <c r="X2054" s="8"/>
      <c r="Y2054" s="8"/>
      <c r="Z2054" s="8">
        <v>191.78</v>
      </c>
      <c r="AA2054" s="8">
        <f>10390*14.32/1000</f>
        <v>148.78480000000002</v>
      </c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11"/>
      <c r="AQ2054" s="8"/>
      <c r="AR2054" s="8"/>
      <c r="AS2054" s="8"/>
      <c r="AT2054" s="8">
        <v>453.37</v>
      </c>
      <c r="AU2054" s="8">
        <v>227.33</v>
      </c>
      <c r="AV2054" s="8"/>
      <c r="AW2054" s="8"/>
      <c r="AX2054" s="8"/>
      <c r="AY2054" s="8"/>
      <c r="AZ2054" s="8"/>
      <c r="BA2054" s="8"/>
      <c r="BB2054" s="8"/>
      <c r="BC2054" s="8">
        <v>3.17</v>
      </c>
      <c r="BD2054" s="8"/>
      <c r="BE2054" s="8"/>
      <c r="BF2054" s="8"/>
      <c r="BG2054" s="8">
        <v>44.31</v>
      </c>
      <c r="BH2054" s="9">
        <f t="shared" si="288"/>
        <v>1209.8499999999999</v>
      </c>
      <c r="BI2054" s="9">
        <f t="shared" si="289"/>
        <v>3.65</v>
      </c>
      <c r="BJ2054" s="9">
        <f t="shared" si="290"/>
        <v>4.75</v>
      </c>
      <c r="BK2054" s="9">
        <f t="shared" si="291"/>
        <v>15.1</v>
      </c>
      <c r="BL2054" s="9">
        <f t="shared" si="292"/>
        <v>340.56479999999999</v>
      </c>
      <c r="BM2054" s="9">
        <f t="shared" si="293"/>
        <v>0</v>
      </c>
      <c r="BN2054" s="9">
        <f t="shared" si="294"/>
        <v>680.7</v>
      </c>
      <c r="BO2054" s="9">
        <f t="shared" si="295"/>
        <v>3.17</v>
      </c>
      <c r="BP2054" s="9">
        <f t="shared" si="296"/>
        <v>0</v>
      </c>
    </row>
    <row r="2055" spans="1:68">
      <c r="A2055" s="6">
        <v>44911</v>
      </c>
      <c r="B2055" s="7">
        <v>3221</v>
      </c>
      <c r="C2055" s="8">
        <v>586.42999999999995</v>
      </c>
      <c r="D2055" s="8">
        <v>98.36</v>
      </c>
      <c r="E2055" s="8">
        <v>293.68</v>
      </c>
      <c r="F2055" s="8"/>
      <c r="G2055" s="8"/>
      <c r="H2055" s="8"/>
      <c r="I2055" s="8"/>
      <c r="J2055" s="8"/>
      <c r="K2055" s="8"/>
      <c r="L2055" s="8"/>
      <c r="M2055" s="8"/>
      <c r="N2055" s="8"/>
      <c r="O2055" s="8">
        <v>1.98</v>
      </c>
      <c r="P2055" s="8"/>
      <c r="Q2055" s="11"/>
      <c r="R2055" s="11"/>
      <c r="S2055" s="8">
        <v>4.41</v>
      </c>
      <c r="T2055" s="8"/>
      <c r="U2055" s="8">
        <v>14.69</v>
      </c>
      <c r="V2055" s="8"/>
      <c r="W2055" s="8"/>
      <c r="X2055" s="8"/>
      <c r="Y2055" s="8"/>
      <c r="Z2055" s="8"/>
      <c r="AA2055" s="8"/>
      <c r="AB2055" s="8">
        <f>410*12.25/1000</f>
        <v>5.0225</v>
      </c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11"/>
      <c r="AQ2055" s="8">
        <f>1217*12.25/1000</f>
        <v>14.908250000000001</v>
      </c>
      <c r="AR2055" s="8"/>
      <c r="AS2055" s="8"/>
      <c r="AT2055" s="8">
        <v>557.94000000000005</v>
      </c>
      <c r="AU2055" s="8"/>
      <c r="AV2055" s="8"/>
      <c r="AW2055" s="8">
        <v>33.35</v>
      </c>
      <c r="AX2055" s="8"/>
      <c r="AY2055" s="8"/>
      <c r="AZ2055" s="8"/>
      <c r="BA2055" s="8"/>
      <c r="BB2055" s="8"/>
      <c r="BC2055" s="8"/>
      <c r="BD2055" s="8"/>
      <c r="BE2055" s="8"/>
      <c r="BF2055" s="8">
        <v>44.17</v>
      </c>
      <c r="BG2055" s="8">
        <v>41.2</v>
      </c>
      <c r="BH2055" s="9">
        <f t="shared" si="288"/>
        <v>978.47</v>
      </c>
      <c r="BI2055" s="9">
        <f t="shared" si="289"/>
        <v>1.98</v>
      </c>
      <c r="BJ2055" s="9">
        <f t="shared" si="290"/>
        <v>4.41</v>
      </c>
      <c r="BK2055" s="9">
        <f t="shared" si="291"/>
        <v>14.69</v>
      </c>
      <c r="BL2055" s="9">
        <f t="shared" si="292"/>
        <v>0</v>
      </c>
      <c r="BM2055" s="9">
        <f t="shared" si="293"/>
        <v>19.93075</v>
      </c>
      <c r="BN2055" s="9">
        <f t="shared" si="294"/>
        <v>557.94000000000005</v>
      </c>
      <c r="BO2055" s="9">
        <f t="shared" si="295"/>
        <v>33.35</v>
      </c>
      <c r="BP2055" s="9">
        <f t="shared" si="296"/>
        <v>44.17</v>
      </c>
    </row>
    <row r="2056" spans="1:68">
      <c r="A2056" s="6">
        <v>44911</v>
      </c>
      <c r="B2056" s="7">
        <v>3405</v>
      </c>
      <c r="C2056" s="8">
        <v>446.84</v>
      </c>
      <c r="D2056" s="8">
        <v>111.87</v>
      </c>
      <c r="E2056" s="8"/>
      <c r="F2056" s="8"/>
      <c r="G2056" s="8"/>
      <c r="H2056" s="8"/>
      <c r="I2056" s="8"/>
      <c r="J2056" s="8"/>
      <c r="K2056" s="8"/>
      <c r="L2056" s="8"/>
      <c r="M2056" s="8">
        <v>1.1299999999999999</v>
      </c>
      <c r="N2056" s="8"/>
      <c r="O2056" s="8"/>
      <c r="P2056" s="8"/>
      <c r="Q2056" s="11"/>
      <c r="R2056" s="11"/>
      <c r="S2056" s="8">
        <v>1.29</v>
      </c>
      <c r="T2056" s="8"/>
      <c r="U2056" s="8"/>
      <c r="V2056" s="8"/>
      <c r="W2056" s="8"/>
      <c r="X2056" s="8">
        <f>1228*5.62/1000</f>
        <v>6.9013600000000004</v>
      </c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11"/>
      <c r="AQ2056" s="8"/>
      <c r="AR2056" s="8"/>
      <c r="AS2056" s="8"/>
      <c r="AT2056" s="8">
        <v>273.99</v>
      </c>
      <c r="AU2056" s="8"/>
      <c r="AV2056" s="8"/>
      <c r="AW2056" s="8"/>
      <c r="AX2056" s="8"/>
      <c r="AY2056" s="8"/>
      <c r="AZ2056" s="8"/>
      <c r="BA2056" s="8">
        <v>2.5099999999999998</v>
      </c>
      <c r="BB2056" s="8"/>
      <c r="BC2056" s="8"/>
      <c r="BD2056" s="8"/>
      <c r="BE2056" s="8"/>
      <c r="BF2056" s="8"/>
      <c r="BG2056" s="8">
        <v>18.57</v>
      </c>
      <c r="BH2056" s="9">
        <f t="shared" si="288"/>
        <v>558.71</v>
      </c>
      <c r="BI2056" s="9">
        <f t="shared" si="289"/>
        <v>1.1299999999999999</v>
      </c>
      <c r="BJ2056" s="9">
        <f t="shared" si="290"/>
        <v>1.29</v>
      </c>
      <c r="BK2056" s="9">
        <f t="shared" si="291"/>
        <v>6.9013600000000004</v>
      </c>
      <c r="BL2056" s="9">
        <f t="shared" si="292"/>
        <v>0</v>
      </c>
      <c r="BM2056" s="9">
        <f t="shared" si="293"/>
        <v>0</v>
      </c>
      <c r="BN2056" s="9">
        <f t="shared" si="294"/>
        <v>273.99</v>
      </c>
      <c r="BO2056" s="9">
        <f t="shared" si="295"/>
        <v>2.5099999999999998</v>
      </c>
      <c r="BP2056" s="9">
        <f t="shared" si="296"/>
        <v>0</v>
      </c>
    </row>
    <row r="2057" spans="1:68">
      <c r="A2057" s="6">
        <v>44911</v>
      </c>
      <c r="B2057" s="7">
        <v>3408</v>
      </c>
      <c r="C2057" s="8">
        <v>1100.0999999999999</v>
      </c>
      <c r="D2057" s="8"/>
      <c r="E2057" s="8"/>
      <c r="F2057" s="8"/>
      <c r="G2057" s="8"/>
      <c r="H2057" s="8"/>
      <c r="I2057" s="8"/>
      <c r="J2057" s="8"/>
      <c r="K2057" s="8"/>
      <c r="L2057" s="8"/>
      <c r="M2057" s="8">
        <v>2.5499999999999998</v>
      </c>
      <c r="N2057" s="8"/>
      <c r="O2057" s="8"/>
      <c r="P2057" s="8"/>
      <c r="Q2057" s="11"/>
      <c r="R2057" s="11"/>
      <c r="S2057" s="8">
        <v>2.75</v>
      </c>
      <c r="T2057" s="8"/>
      <c r="U2057" s="8"/>
      <c r="V2057" s="8"/>
      <c r="W2057" s="8"/>
      <c r="X2057" s="8">
        <f>1020*11/1000</f>
        <v>11.22</v>
      </c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11"/>
      <c r="AQ2057" s="8"/>
      <c r="AR2057" s="8"/>
      <c r="AS2057" s="8"/>
      <c r="AT2057" s="8">
        <v>547.37</v>
      </c>
      <c r="AU2057" s="8"/>
      <c r="AV2057" s="8"/>
      <c r="AW2057" s="8"/>
      <c r="AX2057" s="8"/>
      <c r="AY2057" s="8"/>
      <c r="AZ2057" s="8"/>
      <c r="BA2057" s="8">
        <v>4.95</v>
      </c>
      <c r="BB2057" s="8"/>
      <c r="BC2057" s="8"/>
      <c r="BD2057" s="8"/>
      <c r="BE2057" s="8"/>
      <c r="BF2057" s="8"/>
      <c r="BG2057" s="8">
        <v>37.32</v>
      </c>
      <c r="BH2057" s="9">
        <f t="shared" si="288"/>
        <v>1100.0999999999999</v>
      </c>
      <c r="BI2057" s="9">
        <f t="shared" si="289"/>
        <v>2.5499999999999998</v>
      </c>
      <c r="BJ2057" s="9">
        <f t="shared" si="290"/>
        <v>2.75</v>
      </c>
      <c r="BK2057" s="9">
        <f t="shared" si="291"/>
        <v>11.22</v>
      </c>
      <c r="BL2057" s="9">
        <f t="shared" si="292"/>
        <v>0</v>
      </c>
      <c r="BM2057" s="9">
        <f t="shared" si="293"/>
        <v>0</v>
      </c>
      <c r="BN2057" s="9">
        <f t="shared" si="294"/>
        <v>547.37</v>
      </c>
      <c r="BO2057" s="9">
        <f t="shared" si="295"/>
        <v>4.95</v>
      </c>
      <c r="BP2057" s="9">
        <f t="shared" si="296"/>
        <v>0</v>
      </c>
    </row>
    <row r="2058" spans="1:68">
      <c r="A2058" s="6">
        <v>44914</v>
      </c>
      <c r="B2058" s="7">
        <v>3141</v>
      </c>
      <c r="C2058" s="8">
        <v>2453.9499999999998</v>
      </c>
      <c r="D2058" s="8">
        <v>433.1</v>
      </c>
      <c r="E2058" s="8"/>
      <c r="F2058" s="8"/>
      <c r="G2058" s="8"/>
      <c r="H2058" s="8"/>
      <c r="I2058" s="8"/>
      <c r="J2058" s="8"/>
      <c r="K2058" s="8"/>
      <c r="L2058" s="8"/>
      <c r="M2058" s="8">
        <v>8.3800000000000008</v>
      </c>
      <c r="N2058" s="8"/>
      <c r="O2058" s="8"/>
      <c r="P2058" s="8"/>
      <c r="Q2058" s="11"/>
      <c r="R2058" s="11"/>
      <c r="S2058" s="8">
        <v>13.58</v>
      </c>
      <c r="T2058" s="8"/>
      <c r="U2058" s="8">
        <v>43.33</v>
      </c>
      <c r="V2058" s="8"/>
      <c r="W2058" s="8"/>
      <c r="X2058" s="8"/>
      <c r="Y2058" s="8"/>
      <c r="Z2058" s="8"/>
      <c r="AA2058" s="8"/>
      <c r="AB2058" s="8"/>
      <c r="AC2058" s="8">
        <v>11.55</v>
      </c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11"/>
      <c r="AQ2058" s="8"/>
      <c r="AR2058" s="8"/>
      <c r="AS2058" s="8"/>
      <c r="AT2058" s="8">
        <v>1907.81</v>
      </c>
      <c r="AU2058" s="8"/>
      <c r="AV2058" s="8"/>
      <c r="AW2058" s="8"/>
      <c r="AX2058" s="8"/>
      <c r="AY2058" s="8"/>
      <c r="AZ2058" s="8"/>
      <c r="BA2058" s="8">
        <v>66.150000000000006</v>
      </c>
      <c r="BB2058" s="8"/>
      <c r="BC2058" s="8"/>
      <c r="BD2058" s="8"/>
      <c r="BE2058" s="8"/>
      <c r="BF2058" s="8">
        <v>202.32</v>
      </c>
      <c r="BG2058" s="8">
        <v>150.03</v>
      </c>
      <c r="BH2058" s="9">
        <f t="shared" si="288"/>
        <v>2887.0499999999997</v>
      </c>
      <c r="BI2058" s="9">
        <f t="shared" si="289"/>
        <v>8.3800000000000008</v>
      </c>
      <c r="BJ2058" s="9">
        <f t="shared" si="290"/>
        <v>13.58</v>
      </c>
      <c r="BK2058" s="9">
        <f t="shared" si="291"/>
        <v>43.33</v>
      </c>
      <c r="BL2058" s="9">
        <f t="shared" si="292"/>
        <v>0</v>
      </c>
      <c r="BM2058" s="9">
        <f t="shared" si="293"/>
        <v>11.55</v>
      </c>
      <c r="BN2058" s="9">
        <f t="shared" si="294"/>
        <v>1907.81</v>
      </c>
      <c r="BO2058" s="9">
        <f t="shared" si="295"/>
        <v>66.150000000000006</v>
      </c>
      <c r="BP2058" s="9">
        <f t="shared" si="296"/>
        <v>202.32</v>
      </c>
    </row>
    <row r="2059" spans="1:68">
      <c r="A2059" s="6">
        <v>44914</v>
      </c>
      <c r="B2059" s="7">
        <v>3106</v>
      </c>
      <c r="C2059" s="8">
        <v>4132.22</v>
      </c>
      <c r="D2059" s="8"/>
      <c r="E2059" s="8"/>
      <c r="F2059" s="8"/>
      <c r="G2059" s="8"/>
      <c r="H2059" s="8"/>
      <c r="I2059" s="8"/>
      <c r="J2059" s="8"/>
      <c r="K2059" s="8"/>
      <c r="L2059" s="8"/>
      <c r="M2059" s="8">
        <v>10.34</v>
      </c>
      <c r="N2059" s="8"/>
      <c r="O2059" s="8"/>
      <c r="P2059" s="8"/>
      <c r="Q2059" s="11"/>
      <c r="R2059" s="11"/>
      <c r="S2059" s="8">
        <v>12.43</v>
      </c>
      <c r="T2059" s="8"/>
      <c r="U2059" s="8">
        <v>52.54</v>
      </c>
      <c r="V2059" s="8"/>
      <c r="W2059" s="8"/>
      <c r="X2059" s="8"/>
      <c r="Y2059" s="8"/>
      <c r="Z2059" s="8"/>
      <c r="AA2059" s="8"/>
      <c r="AB2059" s="8"/>
      <c r="AC2059" s="8">
        <v>10.34</v>
      </c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11"/>
      <c r="AQ2059" s="8"/>
      <c r="AR2059" s="8"/>
      <c r="AS2059" s="8"/>
      <c r="AT2059" s="8">
        <v>2356.1999999999998</v>
      </c>
      <c r="AU2059" s="8"/>
      <c r="AV2059" s="8"/>
      <c r="AW2059" s="8"/>
      <c r="AX2059" s="8">
        <v>5.17</v>
      </c>
      <c r="AY2059" s="8"/>
      <c r="AZ2059" s="8"/>
      <c r="BA2059" s="8"/>
      <c r="BB2059" s="8"/>
      <c r="BC2059" s="8"/>
      <c r="BD2059" s="8"/>
      <c r="BE2059" s="8"/>
      <c r="BF2059" s="8"/>
      <c r="BG2059" s="8">
        <v>177.9</v>
      </c>
      <c r="BH2059" s="9">
        <f t="shared" si="288"/>
        <v>4132.22</v>
      </c>
      <c r="BI2059" s="9">
        <f t="shared" si="289"/>
        <v>10.34</v>
      </c>
      <c r="BJ2059" s="9">
        <f t="shared" si="290"/>
        <v>12.43</v>
      </c>
      <c r="BK2059" s="9">
        <f t="shared" si="291"/>
        <v>52.54</v>
      </c>
      <c r="BL2059" s="9">
        <f t="shared" si="292"/>
        <v>0</v>
      </c>
      <c r="BM2059" s="9">
        <f t="shared" si="293"/>
        <v>10.34</v>
      </c>
      <c r="BN2059" s="9">
        <f t="shared" si="294"/>
        <v>2356.1999999999998</v>
      </c>
      <c r="BO2059" s="9">
        <f t="shared" si="295"/>
        <v>5.17</v>
      </c>
      <c r="BP2059" s="9">
        <f t="shared" si="296"/>
        <v>0</v>
      </c>
    </row>
    <row r="2060" spans="1:68">
      <c r="A2060" s="6">
        <v>44914</v>
      </c>
      <c r="B2060" s="7">
        <v>3144</v>
      </c>
      <c r="C2060" s="8">
        <v>1231.8399999999999</v>
      </c>
      <c r="D2060" s="8">
        <v>216.73</v>
      </c>
      <c r="E2060" s="8"/>
      <c r="F2060" s="8"/>
      <c r="G2060" s="8"/>
      <c r="H2060" s="8"/>
      <c r="I2060" s="8"/>
      <c r="J2060" s="8"/>
      <c r="K2060" s="8"/>
      <c r="L2060" s="8"/>
      <c r="M2060" s="8">
        <v>4.1900000000000004</v>
      </c>
      <c r="N2060" s="8"/>
      <c r="O2060" s="8"/>
      <c r="P2060" s="8"/>
      <c r="Q2060" s="11"/>
      <c r="R2060" s="11"/>
      <c r="S2060" s="8">
        <v>6.8</v>
      </c>
      <c r="T2060" s="8"/>
      <c r="U2060" s="8">
        <v>21.69</v>
      </c>
      <c r="V2060" s="8"/>
      <c r="W2060" s="8"/>
      <c r="X2060" s="8"/>
      <c r="Y2060" s="8"/>
      <c r="Z2060" s="8"/>
      <c r="AA2060" s="8"/>
      <c r="AB2060" s="8"/>
      <c r="AC2060" s="8">
        <v>5.78</v>
      </c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11">
        <f>1231*9.63/1000</f>
        <v>11.85453</v>
      </c>
      <c r="AQ2060" s="8"/>
      <c r="AR2060" s="8"/>
      <c r="AS2060" s="8"/>
      <c r="AT2060" s="8">
        <v>952.94</v>
      </c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>
        <v>101.21</v>
      </c>
      <c r="BG2060" s="8">
        <v>75.239999999999995</v>
      </c>
      <c r="BH2060" s="9">
        <f t="shared" si="288"/>
        <v>1448.57</v>
      </c>
      <c r="BI2060" s="9">
        <f t="shared" si="289"/>
        <v>4.1900000000000004</v>
      </c>
      <c r="BJ2060" s="9">
        <f t="shared" si="290"/>
        <v>6.8</v>
      </c>
      <c r="BK2060" s="9">
        <f t="shared" si="291"/>
        <v>21.69</v>
      </c>
      <c r="BL2060" s="9">
        <f t="shared" si="292"/>
        <v>0</v>
      </c>
      <c r="BM2060" s="9">
        <f t="shared" si="293"/>
        <v>17.634530000000002</v>
      </c>
      <c r="BN2060" s="9">
        <f t="shared" si="294"/>
        <v>952.94</v>
      </c>
      <c r="BO2060" s="9">
        <f t="shared" si="295"/>
        <v>0</v>
      </c>
      <c r="BP2060" s="9">
        <f t="shared" si="296"/>
        <v>101.21</v>
      </c>
    </row>
    <row r="2061" spans="1:68">
      <c r="A2061" s="6">
        <v>44914</v>
      </c>
      <c r="B2061" s="7">
        <v>3083</v>
      </c>
      <c r="C2061" s="8">
        <v>738.08</v>
      </c>
      <c r="D2061" s="8"/>
      <c r="E2061" s="8"/>
      <c r="F2061" s="8"/>
      <c r="G2061" s="8"/>
      <c r="H2061" s="8"/>
      <c r="I2061" s="8">
        <v>1724.98</v>
      </c>
      <c r="J2061" s="8"/>
      <c r="K2061" s="8"/>
      <c r="L2061" s="8"/>
      <c r="M2061" s="8"/>
      <c r="N2061" s="8">
        <v>15.55</v>
      </c>
      <c r="O2061" s="8"/>
      <c r="P2061" s="8"/>
      <c r="Q2061" s="11"/>
      <c r="R2061" s="11"/>
      <c r="S2061" s="8">
        <v>1.72</v>
      </c>
      <c r="T2061" s="8"/>
      <c r="U2061" s="8"/>
      <c r="V2061" s="8"/>
      <c r="W2061" s="8">
        <v>19.739999999999998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>
        <v>9.85</v>
      </c>
      <c r="AN2061" s="8">
        <f>1907*18.25/1000</f>
        <v>34.802750000000003</v>
      </c>
      <c r="AO2061" s="8"/>
      <c r="AP2061" s="11"/>
      <c r="AQ2061" s="8"/>
      <c r="AR2061" s="8">
        <f>3375*18.25/1000</f>
        <v>61.59375</v>
      </c>
      <c r="AS2061" s="8"/>
      <c r="AT2061" s="8">
        <v>1159.96</v>
      </c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>
        <v>91.87</v>
      </c>
      <c r="BH2061" s="9">
        <f t="shared" si="288"/>
        <v>2463.06</v>
      </c>
      <c r="BI2061" s="9">
        <f t="shared" si="289"/>
        <v>15.55</v>
      </c>
      <c r="BJ2061" s="9">
        <f t="shared" si="290"/>
        <v>1.72</v>
      </c>
      <c r="BK2061" s="9">
        <f t="shared" si="291"/>
        <v>19.739999999999998</v>
      </c>
      <c r="BL2061" s="9">
        <f t="shared" si="292"/>
        <v>0</v>
      </c>
      <c r="BM2061" s="9">
        <f t="shared" si="293"/>
        <v>106.2465</v>
      </c>
      <c r="BN2061" s="9">
        <f t="shared" si="294"/>
        <v>1159.96</v>
      </c>
      <c r="BO2061" s="9">
        <f t="shared" si="295"/>
        <v>0</v>
      </c>
      <c r="BP2061" s="9">
        <f t="shared" si="296"/>
        <v>0</v>
      </c>
    </row>
    <row r="2062" spans="1:68">
      <c r="A2062" s="6">
        <v>44914</v>
      </c>
      <c r="B2062" s="7">
        <v>3005</v>
      </c>
      <c r="C2062" s="8">
        <v>446.9</v>
      </c>
      <c r="D2062" s="8">
        <v>298.27</v>
      </c>
      <c r="E2062" s="8"/>
      <c r="F2062" s="8"/>
      <c r="G2062" s="8"/>
      <c r="H2062" s="8"/>
      <c r="I2062" s="8"/>
      <c r="J2062" s="8"/>
      <c r="K2062" s="8"/>
      <c r="L2062" s="8"/>
      <c r="M2062" s="8"/>
      <c r="N2062" s="8">
        <v>0.75</v>
      </c>
      <c r="O2062" s="8"/>
      <c r="P2062" s="8"/>
      <c r="Q2062" s="11"/>
      <c r="R2062" s="11"/>
      <c r="S2062" s="8">
        <v>2.61</v>
      </c>
      <c r="T2062" s="8"/>
      <c r="U2062" s="8"/>
      <c r="V2062" s="8"/>
      <c r="W2062" s="8">
        <v>8.1999999999999993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11"/>
      <c r="AQ2062" s="8"/>
      <c r="AR2062" s="8"/>
      <c r="AS2062" s="8"/>
      <c r="AT2062" s="8">
        <v>365.03</v>
      </c>
      <c r="AU2062" s="8"/>
      <c r="AV2062" s="8"/>
      <c r="AW2062" s="8">
        <v>8.27</v>
      </c>
      <c r="AX2062" s="8"/>
      <c r="AY2062" s="8"/>
      <c r="AZ2062" s="8"/>
      <c r="BA2062" s="8"/>
      <c r="BB2062" s="8"/>
      <c r="BC2062" s="8"/>
      <c r="BD2062" s="8"/>
      <c r="BE2062" s="8"/>
      <c r="BF2062" s="8"/>
      <c r="BG2062" s="8">
        <v>27.15</v>
      </c>
      <c r="BH2062" s="9">
        <f t="shared" si="288"/>
        <v>745.17</v>
      </c>
      <c r="BI2062" s="9">
        <f t="shared" si="289"/>
        <v>0.75</v>
      </c>
      <c r="BJ2062" s="9">
        <f t="shared" si="290"/>
        <v>2.61</v>
      </c>
      <c r="BK2062" s="9">
        <f t="shared" si="291"/>
        <v>8.1999999999999993</v>
      </c>
      <c r="BL2062" s="9">
        <f t="shared" si="292"/>
        <v>0</v>
      </c>
      <c r="BM2062" s="9">
        <f t="shared" si="293"/>
        <v>0</v>
      </c>
      <c r="BN2062" s="9">
        <f t="shared" si="294"/>
        <v>365.03</v>
      </c>
      <c r="BO2062" s="9">
        <f t="shared" si="295"/>
        <v>8.27</v>
      </c>
      <c r="BP2062" s="9">
        <f t="shared" si="296"/>
        <v>0</v>
      </c>
    </row>
    <row r="2063" spans="1:68">
      <c r="A2063" s="6">
        <v>44914</v>
      </c>
      <c r="B2063" s="7">
        <v>3007</v>
      </c>
      <c r="C2063" s="8">
        <v>793.35</v>
      </c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>
        <v>0.8</v>
      </c>
      <c r="O2063" s="8"/>
      <c r="P2063" s="8"/>
      <c r="Q2063" s="11"/>
      <c r="R2063" s="11"/>
      <c r="S2063" s="8">
        <v>2.95</v>
      </c>
      <c r="T2063" s="8"/>
      <c r="U2063" s="8"/>
      <c r="V2063" s="8"/>
      <c r="W2063" s="8">
        <v>7.96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11"/>
      <c r="AQ2063" s="8"/>
      <c r="AR2063" s="8"/>
      <c r="AS2063" s="8"/>
      <c r="AT2063" s="8">
        <v>399.48</v>
      </c>
      <c r="AU2063" s="8"/>
      <c r="AV2063" s="8"/>
      <c r="AW2063" s="8">
        <v>8.83</v>
      </c>
      <c r="AX2063" s="8"/>
      <c r="AY2063" s="8"/>
      <c r="AZ2063" s="8"/>
      <c r="BA2063" s="8"/>
      <c r="BB2063" s="8"/>
      <c r="BC2063" s="8"/>
      <c r="BD2063" s="8"/>
      <c r="BE2063" s="8"/>
      <c r="BF2063" s="8"/>
      <c r="BG2063" s="8">
        <v>29.03</v>
      </c>
      <c r="BH2063" s="9">
        <f t="shared" si="288"/>
        <v>793.35</v>
      </c>
      <c r="BI2063" s="9">
        <f t="shared" si="289"/>
        <v>0.8</v>
      </c>
      <c r="BJ2063" s="9">
        <f t="shared" si="290"/>
        <v>2.95</v>
      </c>
      <c r="BK2063" s="9">
        <f t="shared" si="291"/>
        <v>7.96</v>
      </c>
      <c r="BL2063" s="9">
        <f t="shared" si="292"/>
        <v>0</v>
      </c>
      <c r="BM2063" s="9">
        <f t="shared" si="293"/>
        <v>0</v>
      </c>
      <c r="BN2063" s="9">
        <f t="shared" si="294"/>
        <v>399.48</v>
      </c>
      <c r="BO2063" s="9">
        <f t="shared" si="295"/>
        <v>8.83</v>
      </c>
      <c r="BP2063" s="9">
        <f t="shared" si="296"/>
        <v>0</v>
      </c>
    </row>
    <row r="2064" spans="1:68">
      <c r="A2064" s="6">
        <v>44914</v>
      </c>
      <c r="B2064" s="7">
        <v>3704</v>
      </c>
      <c r="C2064" s="8">
        <v>444.43</v>
      </c>
      <c r="D2064" s="8">
        <v>666.16</v>
      </c>
      <c r="E2064" s="8"/>
      <c r="F2064" s="8"/>
      <c r="G2064" s="8"/>
      <c r="H2064" s="8"/>
      <c r="I2064" s="8"/>
      <c r="J2064" s="8"/>
      <c r="K2064" s="8"/>
      <c r="L2064" s="8"/>
      <c r="M2064" s="8">
        <v>3.33</v>
      </c>
      <c r="N2064" s="8"/>
      <c r="O2064" s="8"/>
      <c r="P2064" s="8"/>
      <c r="Q2064" s="11"/>
      <c r="R2064" s="11"/>
      <c r="S2064" s="8">
        <v>3.88</v>
      </c>
      <c r="T2064" s="8"/>
      <c r="U2064" s="8">
        <v>8.32</v>
      </c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>
        <v>13.31</v>
      </c>
      <c r="AN2064" s="8"/>
      <c r="AO2064" s="8"/>
      <c r="AP2064" s="11"/>
      <c r="AQ2064" s="8"/>
      <c r="AR2064" s="8"/>
      <c r="AS2064" s="8"/>
      <c r="AT2064" s="8">
        <v>193.23</v>
      </c>
      <c r="AU2064" s="8">
        <v>96.18</v>
      </c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>
        <v>17.75</v>
      </c>
      <c r="BH2064" s="9">
        <f t="shared" si="288"/>
        <v>1110.5899999999999</v>
      </c>
      <c r="BI2064" s="9">
        <f t="shared" si="289"/>
        <v>3.33</v>
      </c>
      <c r="BJ2064" s="9">
        <f t="shared" si="290"/>
        <v>3.88</v>
      </c>
      <c r="BK2064" s="9">
        <f t="shared" si="291"/>
        <v>8.32</v>
      </c>
      <c r="BL2064" s="9">
        <f t="shared" si="292"/>
        <v>0</v>
      </c>
      <c r="BM2064" s="9">
        <f t="shared" si="293"/>
        <v>13.31</v>
      </c>
      <c r="BN2064" s="9">
        <f t="shared" si="294"/>
        <v>289.40999999999997</v>
      </c>
      <c r="BO2064" s="9">
        <f t="shared" si="295"/>
        <v>0</v>
      </c>
      <c r="BP2064" s="9">
        <f t="shared" si="296"/>
        <v>0</v>
      </c>
    </row>
    <row r="2065" spans="1:68">
      <c r="A2065" s="6">
        <v>44914</v>
      </c>
      <c r="B2065" s="7">
        <v>3130</v>
      </c>
      <c r="C2065" s="8">
        <v>120.37</v>
      </c>
      <c r="D2065" s="8"/>
      <c r="E2065" s="8"/>
      <c r="F2065" s="8"/>
      <c r="G2065" s="8"/>
      <c r="H2065" s="8"/>
      <c r="I2065" s="8"/>
      <c r="J2065" s="8"/>
      <c r="K2065" s="8"/>
      <c r="L2065" s="8"/>
      <c r="M2065" s="8">
        <v>0.11</v>
      </c>
      <c r="N2065" s="8"/>
      <c r="O2065" s="8"/>
      <c r="P2065" s="8"/>
      <c r="Q2065" s="11"/>
      <c r="R2065" s="11"/>
      <c r="S2065" s="8">
        <v>0.43</v>
      </c>
      <c r="T2065" s="8"/>
      <c r="U2065" s="8">
        <v>1.41</v>
      </c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11"/>
      <c r="AQ2065" s="8"/>
      <c r="AR2065" s="8"/>
      <c r="AS2065" s="8"/>
      <c r="AT2065" s="8">
        <v>67.150000000000006</v>
      </c>
      <c r="AU2065" s="8"/>
      <c r="AV2065" s="8">
        <v>2.42</v>
      </c>
      <c r="AW2065" s="8"/>
      <c r="AX2065" s="8"/>
      <c r="AY2065" s="8"/>
      <c r="AZ2065" s="8"/>
      <c r="BA2065" s="8"/>
      <c r="BB2065" s="8"/>
      <c r="BC2065" s="8"/>
      <c r="BD2065" s="8"/>
      <c r="BE2065" s="8"/>
      <c r="BF2065" s="8">
        <v>3.03</v>
      </c>
      <c r="BG2065" s="8">
        <v>4.79</v>
      </c>
      <c r="BH2065" s="9">
        <f t="shared" si="288"/>
        <v>120.37</v>
      </c>
      <c r="BI2065" s="9">
        <f t="shared" si="289"/>
        <v>0.11</v>
      </c>
      <c r="BJ2065" s="9">
        <f t="shared" si="290"/>
        <v>0.43</v>
      </c>
      <c r="BK2065" s="9">
        <f t="shared" si="291"/>
        <v>1.41</v>
      </c>
      <c r="BL2065" s="9">
        <f t="shared" si="292"/>
        <v>0</v>
      </c>
      <c r="BM2065" s="9">
        <f t="shared" si="293"/>
        <v>0</v>
      </c>
      <c r="BN2065" s="9">
        <f t="shared" si="294"/>
        <v>67.150000000000006</v>
      </c>
      <c r="BO2065" s="9">
        <f t="shared" si="295"/>
        <v>2.42</v>
      </c>
      <c r="BP2065" s="9">
        <f t="shared" si="296"/>
        <v>3.03</v>
      </c>
    </row>
    <row r="2066" spans="1:68">
      <c r="A2066" s="6">
        <v>44914</v>
      </c>
      <c r="B2066" s="7">
        <v>3304</v>
      </c>
      <c r="C2066" s="8"/>
      <c r="D2066" s="8">
        <v>198.93</v>
      </c>
      <c r="E2066" s="8"/>
      <c r="F2066" s="8"/>
      <c r="G2066" s="8"/>
      <c r="H2066" s="8"/>
      <c r="I2066" s="8"/>
      <c r="J2066" s="8"/>
      <c r="K2066" s="8"/>
      <c r="L2066" s="8"/>
      <c r="M2066" s="8">
        <v>0.4</v>
      </c>
      <c r="N2066" s="8"/>
      <c r="O2066" s="8"/>
      <c r="P2066" s="8"/>
      <c r="Q2066" s="11"/>
      <c r="R2066" s="11"/>
      <c r="S2066" s="8">
        <v>0.32</v>
      </c>
      <c r="T2066" s="8"/>
      <c r="U2066" s="8">
        <v>1.79</v>
      </c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>
        <v>1.99</v>
      </c>
      <c r="AH2066" s="8"/>
      <c r="AI2066" s="8"/>
      <c r="AJ2066" s="8"/>
      <c r="AK2066" s="8"/>
      <c r="AL2066" s="8"/>
      <c r="AM2066" s="8"/>
      <c r="AN2066" s="8"/>
      <c r="AO2066" s="8"/>
      <c r="AP2066" s="11"/>
      <c r="AQ2066" s="8"/>
      <c r="AR2066" s="8"/>
      <c r="AS2066" s="8"/>
      <c r="AT2066" s="8">
        <v>53.09</v>
      </c>
      <c r="AU2066" s="8">
        <v>28.55</v>
      </c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>
        <v>5.5</v>
      </c>
      <c r="BH2066" s="9">
        <f t="shared" si="288"/>
        <v>198.93</v>
      </c>
      <c r="BI2066" s="9">
        <f t="shared" si="289"/>
        <v>0.4</v>
      </c>
      <c r="BJ2066" s="9">
        <f t="shared" si="290"/>
        <v>0.32</v>
      </c>
      <c r="BK2066" s="9">
        <f t="shared" si="291"/>
        <v>1.79</v>
      </c>
      <c r="BL2066" s="9">
        <f t="shared" si="292"/>
        <v>0</v>
      </c>
      <c r="BM2066" s="9">
        <f t="shared" si="293"/>
        <v>1.99</v>
      </c>
      <c r="BN2066" s="9">
        <f t="shared" si="294"/>
        <v>81.64</v>
      </c>
      <c r="BO2066" s="9">
        <f t="shared" si="295"/>
        <v>0</v>
      </c>
      <c r="BP2066" s="9">
        <f t="shared" si="296"/>
        <v>0</v>
      </c>
    </row>
    <row r="2067" spans="1:68">
      <c r="A2067" s="6">
        <v>44914</v>
      </c>
      <c r="B2067" s="7">
        <v>3302</v>
      </c>
      <c r="C2067" s="8"/>
      <c r="D2067" s="8">
        <f>210.4+248.91</f>
        <v>459.31</v>
      </c>
      <c r="E2067" s="8"/>
      <c r="F2067" s="8"/>
      <c r="G2067" s="8"/>
      <c r="H2067" s="8"/>
      <c r="I2067" s="8"/>
      <c r="J2067" s="8"/>
      <c r="K2067" s="8"/>
      <c r="L2067" s="8"/>
      <c r="M2067" s="8">
        <f>0.32+0.37</f>
        <v>0.69</v>
      </c>
      <c r="N2067" s="8"/>
      <c r="O2067" s="8"/>
      <c r="P2067" s="8"/>
      <c r="Q2067" s="11"/>
      <c r="R2067" s="11"/>
      <c r="S2067" s="8">
        <f>1.58+1.57</f>
        <v>3.1500000000000004</v>
      </c>
      <c r="T2067" s="8"/>
      <c r="U2067" s="8">
        <f>2.11+2.49</f>
        <v>4.5999999999999996</v>
      </c>
      <c r="V2067" s="8"/>
      <c r="W2067" s="8"/>
      <c r="X2067" s="8"/>
      <c r="Y2067" s="8"/>
      <c r="Z2067" s="8"/>
      <c r="AA2067" s="8"/>
      <c r="AB2067" s="8"/>
      <c r="AC2067" s="8">
        <f>1.26+1.49</f>
        <v>2.75</v>
      </c>
      <c r="AD2067" s="8"/>
      <c r="AE2067" s="8"/>
      <c r="AF2067" s="8"/>
      <c r="AG2067" s="8">
        <f>2.12+2.52</f>
        <v>4.6400000000000006</v>
      </c>
      <c r="AH2067" s="8"/>
      <c r="AI2067" s="8"/>
      <c r="AJ2067" s="8"/>
      <c r="AK2067" s="8"/>
      <c r="AL2067" s="8"/>
      <c r="AM2067" s="8"/>
      <c r="AN2067" s="8"/>
      <c r="AO2067" s="8"/>
      <c r="AP2067" s="11"/>
      <c r="AQ2067" s="8"/>
      <c r="AR2067" s="8"/>
      <c r="AS2067" s="8"/>
      <c r="AT2067" s="8"/>
      <c r="AU2067" s="8">
        <f>105.61+124.36</f>
        <v>229.97</v>
      </c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>
        <f>7.58+8.96</f>
        <v>16.54</v>
      </c>
      <c r="BH2067" s="9">
        <f t="shared" si="288"/>
        <v>459.31</v>
      </c>
      <c r="BI2067" s="9">
        <f t="shared" si="289"/>
        <v>0.69</v>
      </c>
      <c r="BJ2067" s="9">
        <f t="shared" si="290"/>
        <v>3.1500000000000004</v>
      </c>
      <c r="BK2067" s="9">
        <f t="shared" si="291"/>
        <v>4.5999999999999996</v>
      </c>
      <c r="BL2067" s="9">
        <f t="shared" si="292"/>
        <v>0</v>
      </c>
      <c r="BM2067" s="9">
        <f t="shared" si="293"/>
        <v>7.3900000000000006</v>
      </c>
      <c r="BN2067" s="9">
        <f t="shared" si="294"/>
        <v>229.97</v>
      </c>
      <c r="BO2067" s="9">
        <f t="shared" si="295"/>
        <v>0</v>
      </c>
      <c r="BP2067" s="9">
        <f t="shared" si="296"/>
        <v>0</v>
      </c>
    </row>
    <row r="2068" spans="1:68">
      <c r="A2068" s="6">
        <v>44915</v>
      </c>
      <c r="B2068" s="7">
        <v>3141</v>
      </c>
      <c r="C2068" s="8">
        <v>3642.44</v>
      </c>
      <c r="D2068" s="8">
        <v>642.69000000000005</v>
      </c>
      <c r="E2068" s="8"/>
      <c r="F2068" s="8"/>
      <c r="G2068" s="8"/>
      <c r="H2068" s="8"/>
      <c r="I2068" s="8"/>
      <c r="J2068" s="8"/>
      <c r="K2068" s="8"/>
      <c r="L2068" s="8"/>
      <c r="M2068" s="8">
        <v>12.45</v>
      </c>
      <c r="N2068" s="8"/>
      <c r="O2068" s="8"/>
      <c r="P2068" s="8"/>
      <c r="Q2068" s="11"/>
      <c r="R2068" s="11"/>
      <c r="S2068" s="8">
        <v>20.170000000000002</v>
      </c>
      <c r="T2068" s="8"/>
      <c r="U2068" s="8">
        <v>64.34</v>
      </c>
      <c r="V2068" s="8"/>
      <c r="W2068" s="8"/>
      <c r="X2068" s="8"/>
      <c r="Y2068" s="8"/>
      <c r="Z2068" s="8"/>
      <c r="AA2068" s="8"/>
      <c r="AB2068" s="8"/>
      <c r="AC2068" s="8">
        <v>17.16</v>
      </c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11"/>
      <c r="AQ2068" s="8"/>
      <c r="AR2068" s="8"/>
      <c r="AS2068" s="8"/>
      <c r="AT2068" s="8">
        <v>2821.45</v>
      </c>
      <c r="AU2068" s="8"/>
      <c r="AV2068" s="8"/>
      <c r="AW2068" s="8"/>
      <c r="AX2068" s="8"/>
      <c r="AY2068" s="8"/>
      <c r="AZ2068" s="8"/>
      <c r="BA2068" s="8">
        <v>98.27</v>
      </c>
      <c r="BB2068" s="8"/>
      <c r="BC2068" s="8"/>
      <c r="BD2068" s="8"/>
      <c r="BE2068" s="8"/>
      <c r="BF2068" s="8">
        <v>300.2</v>
      </c>
      <c r="BG2068" s="8">
        <v>222.96</v>
      </c>
      <c r="BH2068" s="9">
        <f t="shared" si="288"/>
        <v>4285.13</v>
      </c>
      <c r="BI2068" s="9">
        <f t="shared" si="289"/>
        <v>12.45</v>
      </c>
      <c r="BJ2068" s="9">
        <f t="shared" si="290"/>
        <v>20.170000000000002</v>
      </c>
      <c r="BK2068" s="9">
        <f t="shared" si="291"/>
        <v>64.34</v>
      </c>
      <c r="BL2068" s="9">
        <f t="shared" si="292"/>
        <v>0</v>
      </c>
      <c r="BM2068" s="9">
        <f t="shared" si="293"/>
        <v>17.16</v>
      </c>
      <c r="BN2068" s="9">
        <f t="shared" si="294"/>
        <v>2821.45</v>
      </c>
      <c r="BO2068" s="9">
        <f t="shared" si="295"/>
        <v>98.27</v>
      </c>
      <c r="BP2068" s="9">
        <f t="shared" si="296"/>
        <v>300.2</v>
      </c>
    </row>
    <row r="2069" spans="1:68">
      <c r="A2069" s="6">
        <v>44915</v>
      </c>
      <c r="B2069" s="7">
        <v>3134</v>
      </c>
      <c r="C2069" s="8">
        <v>1073.21</v>
      </c>
      <c r="D2069" s="8">
        <v>150.32</v>
      </c>
      <c r="E2069" s="8"/>
      <c r="F2069" s="8"/>
      <c r="G2069" s="8"/>
      <c r="H2069" s="8">
        <v>506.35</v>
      </c>
      <c r="I2069" s="8"/>
      <c r="J2069" s="8"/>
      <c r="K2069" s="8"/>
      <c r="L2069" s="8"/>
      <c r="M2069" s="8">
        <v>2.87</v>
      </c>
      <c r="N2069" s="8"/>
      <c r="O2069" s="8"/>
      <c r="P2069" s="8"/>
      <c r="Q2069" s="11"/>
      <c r="R2069" s="11"/>
      <c r="S2069" s="8">
        <v>6.93</v>
      </c>
      <c r="T2069" s="8"/>
      <c r="U2069" s="8">
        <v>19.579999999999998</v>
      </c>
      <c r="V2069" s="8"/>
      <c r="W2069" s="8"/>
      <c r="X2069" s="8"/>
      <c r="Y2069" s="8"/>
      <c r="Z2069" s="8"/>
      <c r="AA2069" s="8"/>
      <c r="AB2069" s="8"/>
      <c r="AC2069" s="8">
        <v>6.02</v>
      </c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11"/>
      <c r="AQ2069" s="8"/>
      <c r="AR2069" s="8"/>
      <c r="AS2069" s="8"/>
      <c r="AT2069" s="8">
        <v>1055.7</v>
      </c>
      <c r="AU2069" s="8"/>
      <c r="AV2069" s="8"/>
      <c r="AW2069" s="8"/>
      <c r="AX2069" s="8"/>
      <c r="AY2069" s="8">
        <f>1427*10.75/1000</f>
        <v>15.340249999999999</v>
      </c>
      <c r="AZ2069" s="8"/>
      <c r="BA2069" s="8"/>
      <c r="BB2069" s="8"/>
      <c r="BC2069" s="8"/>
      <c r="BD2069" s="8"/>
      <c r="BE2069" s="8"/>
      <c r="BF2069" s="8">
        <v>67.819999999999993</v>
      </c>
      <c r="BG2069" s="8">
        <v>80.14</v>
      </c>
      <c r="BH2069" s="9">
        <f t="shared" si="288"/>
        <v>1729.88</v>
      </c>
      <c r="BI2069" s="9">
        <f t="shared" si="289"/>
        <v>2.87</v>
      </c>
      <c r="BJ2069" s="9">
        <f t="shared" si="290"/>
        <v>6.93</v>
      </c>
      <c r="BK2069" s="9">
        <f t="shared" si="291"/>
        <v>19.579999999999998</v>
      </c>
      <c r="BL2069" s="9">
        <f t="shared" si="292"/>
        <v>0</v>
      </c>
      <c r="BM2069" s="9">
        <f t="shared" si="293"/>
        <v>6.02</v>
      </c>
      <c r="BN2069" s="9">
        <f t="shared" si="294"/>
        <v>1055.7</v>
      </c>
      <c r="BO2069" s="9">
        <f t="shared" si="295"/>
        <v>15.340249999999999</v>
      </c>
      <c r="BP2069" s="9">
        <f t="shared" si="296"/>
        <v>67.819999999999993</v>
      </c>
    </row>
    <row r="2070" spans="1:68">
      <c r="A2070" s="6">
        <v>44915</v>
      </c>
      <c r="B2070" s="7">
        <v>3119</v>
      </c>
      <c r="C2070" s="8">
        <v>1168.6500000000001</v>
      </c>
      <c r="D2070" s="8"/>
      <c r="E2070" s="8"/>
      <c r="F2070" s="8"/>
      <c r="G2070" s="8"/>
      <c r="H2070" s="8"/>
      <c r="I2070" s="8"/>
      <c r="J2070" s="8"/>
      <c r="K2070" s="8"/>
      <c r="L2070" s="8"/>
      <c r="M2070" s="8">
        <v>3.71</v>
      </c>
      <c r="N2070" s="8"/>
      <c r="O2070" s="8"/>
      <c r="P2070" s="8"/>
      <c r="Q2070" s="11"/>
      <c r="R2070" s="11"/>
      <c r="S2070" s="8">
        <v>5.36</v>
      </c>
      <c r="T2070" s="8"/>
      <c r="U2070" s="8">
        <v>11.8</v>
      </c>
      <c r="V2070" s="8"/>
      <c r="W2070" s="8"/>
      <c r="X2070" s="8"/>
      <c r="Y2070" s="8"/>
      <c r="Z2070" s="8"/>
      <c r="AA2070" s="8"/>
      <c r="AB2070" s="8"/>
      <c r="AC2070" s="8">
        <v>2.94</v>
      </c>
      <c r="AD2070" s="8"/>
      <c r="AE2070" s="8"/>
      <c r="AF2070" s="8"/>
      <c r="AG2070" s="8">
        <v>3.52</v>
      </c>
      <c r="AH2070" s="8"/>
      <c r="AI2070" s="8"/>
      <c r="AJ2070" s="8"/>
      <c r="AK2070" s="8"/>
      <c r="AL2070" s="8"/>
      <c r="AM2070" s="8"/>
      <c r="AN2070" s="8"/>
      <c r="AO2070" s="8"/>
      <c r="AP2070" s="11"/>
      <c r="AQ2070" s="8"/>
      <c r="AR2070" s="8"/>
      <c r="AS2070" s="8"/>
      <c r="AT2070" s="8">
        <v>439.86</v>
      </c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>
        <v>81.99</v>
      </c>
      <c r="BG2070" s="8">
        <v>31.33</v>
      </c>
      <c r="BH2070" s="9">
        <f t="shared" si="288"/>
        <v>1168.6500000000001</v>
      </c>
      <c r="BI2070" s="9">
        <f t="shared" si="289"/>
        <v>3.71</v>
      </c>
      <c r="BJ2070" s="9">
        <f t="shared" si="290"/>
        <v>5.36</v>
      </c>
      <c r="BK2070" s="9">
        <f t="shared" si="291"/>
        <v>11.8</v>
      </c>
      <c r="BL2070" s="9">
        <f t="shared" si="292"/>
        <v>0</v>
      </c>
      <c r="BM2070" s="9">
        <f t="shared" si="293"/>
        <v>6.46</v>
      </c>
      <c r="BN2070" s="9">
        <f t="shared" si="294"/>
        <v>439.86</v>
      </c>
      <c r="BO2070" s="9">
        <f t="shared" si="295"/>
        <v>0</v>
      </c>
      <c r="BP2070" s="9">
        <f t="shared" si="296"/>
        <v>81.99</v>
      </c>
    </row>
    <row r="2071" spans="1:68">
      <c r="A2071" s="6">
        <v>44915</v>
      </c>
      <c r="B2071" s="7">
        <v>3121</v>
      </c>
      <c r="C2071" s="8">
        <v>2305.94</v>
      </c>
      <c r="D2071" s="8"/>
      <c r="E2071" s="8"/>
      <c r="F2071" s="8"/>
      <c r="G2071" s="8"/>
      <c r="H2071" s="8"/>
      <c r="I2071" s="8"/>
      <c r="J2071" s="8"/>
      <c r="K2071" s="8"/>
      <c r="L2071" s="8"/>
      <c r="M2071" s="8">
        <v>5.76</v>
      </c>
      <c r="N2071" s="8"/>
      <c r="O2071" s="8"/>
      <c r="P2071" s="8"/>
      <c r="Q2071" s="11"/>
      <c r="R2071" s="11"/>
      <c r="S2071" s="8">
        <v>7.39</v>
      </c>
      <c r="T2071" s="8"/>
      <c r="U2071" s="8">
        <v>23.05</v>
      </c>
      <c r="V2071" s="8"/>
      <c r="W2071" s="8"/>
      <c r="X2071" s="8"/>
      <c r="Y2071" s="8"/>
      <c r="Z2071" s="8"/>
      <c r="AA2071" s="8"/>
      <c r="AB2071" s="8"/>
      <c r="AC2071" s="8">
        <v>9.2100000000000009</v>
      </c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11">
        <f>2220*10.48/1000</f>
        <v>23.265600000000003</v>
      </c>
      <c r="AQ2071" s="8"/>
      <c r="AR2071" s="8"/>
      <c r="AS2071" s="8"/>
      <c r="AT2071" s="8">
        <v>1218.32</v>
      </c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>
        <v>89.8</v>
      </c>
      <c r="BH2071" s="9">
        <f t="shared" si="288"/>
        <v>2305.94</v>
      </c>
      <c r="BI2071" s="9">
        <f t="shared" si="289"/>
        <v>5.76</v>
      </c>
      <c r="BJ2071" s="9">
        <f t="shared" si="290"/>
        <v>7.39</v>
      </c>
      <c r="BK2071" s="9">
        <f t="shared" si="291"/>
        <v>23.05</v>
      </c>
      <c r="BL2071" s="9">
        <f t="shared" si="292"/>
        <v>0</v>
      </c>
      <c r="BM2071" s="9">
        <f t="shared" si="293"/>
        <v>32.4756</v>
      </c>
      <c r="BN2071" s="9">
        <f t="shared" si="294"/>
        <v>1218.32</v>
      </c>
      <c r="BO2071" s="9">
        <f t="shared" si="295"/>
        <v>0</v>
      </c>
      <c r="BP2071" s="9">
        <f t="shared" si="296"/>
        <v>0</v>
      </c>
    </row>
    <row r="2072" spans="1:68">
      <c r="A2072" s="6">
        <v>44915</v>
      </c>
      <c r="B2072" s="7">
        <v>3433</v>
      </c>
      <c r="C2072" s="8">
        <v>1100.92</v>
      </c>
      <c r="D2072" s="8"/>
      <c r="E2072" s="8"/>
      <c r="F2072" s="8"/>
      <c r="G2072" s="8"/>
      <c r="H2072" s="8"/>
      <c r="I2072" s="8"/>
      <c r="J2072" s="8"/>
      <c r="K2072" s="8"/>
      <c r="L2072" s="8"/>
      <c r="M2072" s="8">
        <v>2.76</v>
      </c>
      <c r="N2072" s="8"/>
      <c r="O2072" s="8"/>
      <c r="P2072" s="8"/>
      <c r="Q2072" s="11"/>
      <c r="R2072" s="11"/>
      <c r="S2072" s="8">
        <v>4.4000000000000004</v>
      </c>
      <c r="T2072" s="8"/>
      <c r="U2072" s="8"/>
      <c r="V2072" s="8"/>
      <c r="W2072" s="8"/>
      <c r="X2072" s="8">
        <f>867*12.95/1000</f>
        <v>11.227649999999999</v>
      </c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11"/>
      <c r="AQ2072" s="8"/>
      <c r="AR2072" s="8"/>
      <c r="AS2072" s="8"/>
      <c r="AT2072" s="8">
        <v>498.27</v>
      </c>
      <c r="AU2072" s="8"/>
      <c r="AV2072" s="8"/>
      <c r="AW2072" s="8"/>
      <c r="AX2072" s="8"/>
      <c r="AY2072" s="8"/>
      <c r="AZ2072" s="8"/>
      <c r="BA2072" s="8">
        <v>4.95</v>
      </c>
      <c r="BB2072" s="8"/>
      <c r="BC2072" s="8"/>
      <c r="BD2072" s="8"/>
      <c r="BE2072" s="8"/>
      <c r="BF2072" s="8">
        <v>55.12</v>
      </c>
      <c r="BG2072" s="8">
        <v>36.979999999999997</v>
      </c>
      <c r="BH2072" s="9">
        <f t="shared" si="288"/>
        <v>1100.92</v>
      </c>
      <c r="BI2072" s="9">
        <f t="shared" si="289"/>
        <v>2.76</v>
      </c>
      <c r="BJ2072" s="9">
        <f t="shared" si="290"/>
        <v>4.4000000000000004</v>
      </c>
      <c r="BK2072" s="9">
        <f t="shared" si="291"/>
        <v>11.227649999999999</v>
      </c>
      <c r="BL2072" s="9">
        <f t="shared" si="292"/>
        <v>0</v>
      </c>
      <c r="BM2072" s="9">
        <f t="shared" si="293"/>
        <v>0</v>
      </c>
      <c r="BN2072" s="9">
        <f t="shared" si="294"/>
        <v>498.27</v>
      </c>
      <c r="BO2072" s="9">
        <f t="shared" si="295"/>
        <v>4.95</v>
      </c>
      <c r="BP2072" s="9">
        <f t="shared" si="296"/>
        <v>55.12</v>
      </c>
    </row>
    <row r="2073" spans="1:68">
      <c r="A2073" s="6">
        <v>44915</v>
      </c>
      <c r="B2073" s="7">
        <v>3418</v>
      </c>
      <c r="C2073" s="8">
        <v>1096.8599999999999</v>
      </c>
      <c r="D2073" s="8"/>
      <c r="E2073" s="8"/>
      <c r="F2073" s="8"/>
      <c r="G2073" s="8"/>
      <c r="H2073" s="8"/>
      <c r="I2073" s="8"/>
      <c r="J2073" s="8"/>
      <c r="K2073" s="8"/>
      <c r="L2073" s="8"/>
      <c r="M2073" s="8">
        <v>2.5099999999999998</v>
      </c>
      <c r="N2073" s="8"/>
      <c r="O2073" s="8"/>
      <c r="P2073" s="8"/>
      <c r="Q2073" s="11"/>
      <c r="R2073" s="11"/>
      <c r="S2073" s="8">
        <v>2.75</v>
      </c>
      <c r="T2073" s="8"/>
      <c r="U2073" s="8"/>
      <c r="V2073" s="8"/>
      <c r="W2073" s="8"/>
      <c r="X2073" s="8">
        <f>1024*10.97/1000</f>
        <v>11.233280000000001</v>
      </c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11"/>
      <c r="AQ2073" s="8"/>
      <c r="AR2073" s="8"/>
      <c r="AS2073" s="8"/>
      <c r="AT2073" s="8">
        <v>547.54</v>
      </c>
      <c r="AU2073" s="8"/>
      <c r="AV2073" s="8"/>
      <c r="AW2073" s="8"/>
      <c r="AX2073" s="8"/>
      <c r="AY2073" s="8"/>
      <c r="AZ2073" s="8"/>
      <c r="BA2073" s="8">
        <v>4.95</v>
      </c>
      <c r="BB2073" s="8"/>
      <c r="BC2073" s="8"/>
      <c r="BD2073" s="8"/>
      <c r="BE2073" s="8"/>
      <c r="BF2073" s="8"/>
      <c r="BG2073" s="8">
        <v>37.08</v>
      </c>
      <c r="BH2073" s="9">
        <f t="shared" si="288"/>
        <v>1096.8599999999999</v>
      </c>
      <c r="BI2073" s="9">
        <f t="shared" si="289"/>
        <v>2.5099999999999998</v>
      </c>
      <c r="BJ2073" s="9">
        <f t="shared" si="290"/>
        <v>2.75</v>
      </c>
      <c r="BK2073" s="9">
        <f t="shared" si="291"/>
        <v>11.233280000000001</v>
      </c>
      <c r="BL2073" s="9">
        <f t="shared" si="292"/>
        <v>0</v>
      </c>
      <c r="BM2073" s="9">
        <f t="shared" si="293"/>
        <v>0</v>
      </c>
      <c r="BN2073" s="9">
        <f t="shared" si="294"/>
        <v>547.54</v>
      </c>
      <c r="BO2073" s="9">
        <f t="shared" si="295"/>
        <v>4.95</v>
      </c>
      <c r="BP2073" s="9">
        <f t="shared" si="296"/>
        <v>0</v>
      </c>
    </row>
    <row r="2074" spans="1:68">
      <c r="A2074" s="6">
        <v>44915</v>
      </c>
      <c r="B2074" s="7">
        <v>3020</v>
      </c>
      <c r="C2074" s="8"/>
      <c r="D2074" s="8">
        <v>322.99</v>
      </c>
      <c r="E2074" s="8"/>
      <c r="F2074" s="8"/>
      <c r="G2074" s="8"/>
      <c r="H2074" s="8"/>
      <c r="I2074" s="8">
        <v>1831.23</v>
      </c>
      <c r="J2074" s="8"/>
      <c r="K2074" s="8"/>
      <c r="L2074" s="8"/>
      <c r="M2074" s="8"/>
      <c r="N2074" s="8">
        <v>12.92</v>
      </c>
      <c r="O2074" s="8"/>
      <c r="P2074" s="8"/>
      <c r="Q2074" s="11"/>
      <c r="R2074" s="11"/>
      <c r="S2074" s="8">
        <v>3.87</v>
      </c>
      <c r="T2074" s="8"/>
      <c r="U2074" s="8"/>
      <c r="V2074" s="8"/>
      <c r="W2074" s="8">
        <v>21.55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>
        <v>21.5</v>
      </c>
      <c r="AN2074" s="8"/>
      <c r="AO2074" s="8"/>
      <c r="AP2074" s="11"/>
      <c r="AQ2074" s="8"/>
      <c r="AR2074" s="8"/>
      <c r="AS2074" s="8">
        <f>3021*17.93/1000</f>
        <v>54.166530000000002</v>
      </c>
      <c r="AT2074" s="8">
        <v>1056.99</v>
      </c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>
        <v>77.58</v>
      </c>
      <c r="BH2074" s="9">
        <f t="shared" si="288"/>
        <v>2154.2200000000003</v>
      </c>
      <c r="BI2074" s="9">
        <f t="shared" si="289"/>
        <v>12.92</v>
      </c>
      <c r="BJ2074" s="9">
        <f t="shared" si="290"/>
        <v>3.87</v>
      </c>
      <c r="BK2074" s="9">
        <f t="shared" si="291"/>
        <v>21.55</v>
      </c>
      <c r="BL2074" s="9">
        <f t="shared" si="292"/>
        <v>0</v>
      </c>
      <c r="BM2074" s="9">
        <f t="shared" si="293"/>
        <v>75.666529999999995</v>
      </c>
      <c r="BN2074" s="9">
        <f t="shared" si="294"/>
        <v>1056.99</v>
      </c>
      <c r="BO2074" s="9">
        <f t="shared" si="295"/>
        <v>0</v>
      </c>
      <c r="BP2074" s="9">
        <f t="shared" si="296"/>
        <v>0</v>
      </c>
    </row>
    <row r="2075" spans="1:68">
      <c r="A2075" s="6">
        <v>44915</v>
      </c>
      <c r="B2075" s="7">
        <v>3023</v>
      </c>
      <c r="C2075" s="8"/>
      <c r="D2075" s="8">
        <f>879.47+859.46</f>
        <v>1738.93</v>
      </c>
      <c r="E2075" s="8"/>
      <c r="F2075" s="8"/>
      <c r="G2075" s="8"/>
      <c r="H2075" s="8"/>
      <c r="I2075" s="8">
        <f>473.6+467.01</f>
        <v>940.61</v>
      </c>
      <c r="J2075" s="8"/>
      <c r="K2075" s="8"/>
      <c r="L2075" s="8"/>
      <c r="M2075" s="8"/>
      <c r="N2075" s="8">
        <f>7.57+7.43</f>
        <v>15</v>
      </c>
      <c r="O2075" s="8"/>
      <c r="P2075" s="8"/>
      <c r="Q2075" s="11"/>
      <c r="R2075" s="11"/>
      <c r="S2075" s="8">
        <f>2.17+2.12</f>
        <v>4.29</v>
      </c>
      <c r="T2075" s="8"/>
      <c r="U2075" s="8"/>
      <c r="V2075" s="8"/>
      <c r="W2075" s="8">
        <f>12.18+11.95</f>
        <v>24.13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>
        <f>13.54+13.24</f>
        <v>26.78</v>
      </c>
      <c r="AN2075" s="8">
        <f>1027*18.47/1000</f>
        <v>18.968689999999999</v>
      </c>
      <c r="AO2075" s="8"/>
      <c r="AP2075" s="11"/>
      <c r="AQ2075" s="8"/>
      <c r="AR2075" s="8"/>
      <c r="AS2075" s="8">
        <f>4788*18.47/1000</f>
        <v>88.434359999999998</v>
      </c>
      <c r="AT2075" s="8">
        <f>554.57+543.95</f>
        <v>1098.52</v>
      </c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>
        <f>41.91+41.12</f>
        <v>83.03</v>
      </c>
      <c r="BH2075" s="9">
        <f t="shared" si="288"/>
        <v>2679.54</v>
      </c>
      <c r="BI2075" s="9">
        <f t="shared" si="289"/>
        <v>15</v>
      </c>
      <c r="BJ2075" s="9">
        <f t="shared" si="290"/>
        <v>4.29</v>
      </c>
      <c r="BK2075" s="9">
        <f t="shared" si="291"/>
        <v>24.13</v>
      </c>
      <c r="BL2075" s="9">
        <f t="shared" si="292"/>
        <v>0</v>
      </c>
      <c r="BM2075" s="9">
        <f t="shared" si="293"/>
        <v>134.18304999999998</v>
      </c>
      <c r="BN2075" s="9">
        <f t="shared" si="294"/>
        <v>1098.52</v>
      </c>
      <c r="BO2075" s="9">
        <f t="shared" si="295"/>
        <v>0</v>
      </c>
      <c r="BP2075" s="9">
        <f t="shared" si="296"/>
        <v>0</v>
      </c>
    </row>
    <row r="2076" spans="1:68">
      <c r="A2076" s="6">
        <v>44915</v>
      </c>
      <c r="B2076" s="7">
        <v>3139</v>
      </c>
      <c r="C2076" s="8">
        <v>1550.55</v>
      </c>
      <c r="D2076" s="8"/>
      <c r="E2076" s="8"/>
      <c r="F2076" s="8"/>
      <c r="G2076" s="8"/>
      <c r="H2076" s="8">
        <v>643.96</v>
      </c>
      <c r="I2076" s="8"/>
      <c r="J2076" s="8"/>
      <c r="K2076" s="8"/>
      <c r="L2076" s="8"/>
      <c r="M2076" s="8">
        <v>3.64</v>
      </c>
      <c r="N2076" s="8"/>
      <c r="O2076" s="8"/>
      <c r="P2076" s="8"/>
      <c r="Q2076" s="11"/>
      <c r="R2076" s="11"/>
      <c r="S2076" s="8">
        <v>6.87</v>
      </c>
      <c r="T2076" s="8"/>
      <c r="U2076" s="8">
        <v>22.93</v>
      </c>
      <c r="V2076" s="8"/>
      <c r="W2076" s="8"/>
      <c r="X2076" s="8"/>
      <c r="Y2076" s="8"/>
      <c r="Z2076" s="8"/>
      <c r="AA2076" s="8"/>
      <c r="AB2076" s="8"/>
      <c r="AC2076" s="8">
        <v>7.64</v>
      </c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11"/>
      <c r="AQ2076" s="8"/>
      <c r="AR2076" s="8"/>
      <c r="AS2076" s="8"/>
      <c r="AT2076" s="8">
        <v>1127.8699999999999</v>
      </c>
      <c r="AU2076" s="8"/>
      <c r="AV2076" s="8">
        <v>38.25</v>
      </c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>
        <v>82.14</v>
      </c>
      <c r="BH2076" s="9">
        <f t="shared" si="288"/>
        <v>2194.5100000000002</v>
      </c>
      <c r="BI2076" s="9">
        <f t="shared" si="289"/>
        <v>3.64</v>
      </c>
      <c r="BJ2076" s="9">
        <f t="shared" si="290"/>
        <v>6.87</v>
      </c>
      <c r="BK2076" s="9">
        <f t="shared" si="291"/>
        <v>22.93</v>
      </c>
      <c r="BL2076" s="9">
        <f t="shared" si="292"/>
        <v>0</v>
      </c>
      <c r="BM2076" s="9">
        <f t="shared" si="293"/>
        <v>7.64</v>
      </c>
      <c r="BN2076" s="9">
        <f t="shared" si="294"/>
        <v>1127.8699999999999</v>
      </c>
      <c r="BO2076" s="9">
        <f t="shared" si="295"/>
        <v>38.25</v>
      </c>
      <c r="BP2076" s="9">
        <f t="shared" si="296"/>
        <v>0</v>
      </c>
    </row>
    <row r="2077" spans="1:68">
      <c r="A2077" s="6">
        <v>44915</v>
      </c>
      <c r="B2077" s="7">
        <v>3602</v>
      </c>
      <c r="C2077" s="8">
        <v>437.69</v>
      </c>
      <c r="D2077" s="8"/>
      <c r="E2077" s="8"/>
      <c r="F2077" s="8"/>
      <c r="G2077" s="8">
        <v>656.36</v>
      </c>
      <c r="H2077" s="8"/>
      <c r="I2077" s="8"/>
      <c r="J2077" s="8"/>
      <c r="K2077" s="8"/>
      <c r="L2077" s="8"/>
      <c r="M2077" s="8">
        <v>1.1200000000000001</v>
      </c>
      <c r="N2077" s="8"/>
      <c r="O2077" s="8"/>
      <c r="P2077" s="8"/>
      <c r="Q2077" s="11"/>
      <c r="R2077" s="11"/>
      <c r="S2077" s="8">
        <v>5.26</v>
      </c>
      <c r="T2077" s="8"/>
      <c r="U2077" s="8">
        <v>8.76</v>
      </c>
      <c r="V2077" s="8">
        <f>866*12.52/1000</f>
        <v>10.842319999999999</v>
      </c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11"/>
      <c r="AQ2077" s="8"/>
      <c r="AR2077" s="8"/>
      <c r="AS2077" s="8"/>
      <c r="AT2077" s="8">
        <v>441.25</v>
      </c>
      <c r="AU2077" s="8"/>
      <c r="AV2077" s="8"/>
      <c r="AW2077" s="8">
        <v>28.31</v>
      </c>
      <c r="AX2077" s="8"/>
      <c r="AY2077" s="8"/>
      <c r="AZ2077" s="8"/>
      <c r="BA2077" s="8"/>
      <c r="BB2077" s="8"/>
      <c r="BC2077" s="8"/>
      <c r="BD2077" s="8"/>
      <c r="BE2077" s="8"/>
      <c r="BF2077" s="8">
        <v>35.090000000000003</v>
      </c>
      <c r="BG2077" s="8">
        <v>32.94</v>
      </c>
      <c r="BH2077" s="9">
        <f t="shared" si="288"/>
        <v>1094.05</v>
      </c>
      <c r="BI2077" s="9">
        <f t="shared" si="289"/>
        <v>1.1200000000000001</v>
      </c>
      <c r="BJ2077" s="9">
        <f t="shared" si="290"/>
        <v>5.26</v>
      </c>
      <c r="BK2077" s="9">
        <f t="shared" si="291"/>
        <v>19.602319999999999</v>
      </c>
      <c r="BL2077" s="9">
        <f t="shared" si="292"/>
        <v>0</v>
      </c>
      <c r="BM2077" s="9">
        <f t="shared" si="293"/>
        <v>0</v>
      </c>
      <c r="BN2077" s="9">
        <f t="shared" si="294"/>
        <v>441.25</v>
      </c>
      <c r="BO2077" s="9">
        <f t="shared" si="295"/>
        <v>28.31</v>
      </c>
      <c r="BP2077" s="9">
        <f t="shared" si="296"/>
        <v>35.090000000000003</v>
      </c>
    </row>
    <row r="2078" spans="1:68">
      <c r="A2078" s="6">
        <v>44916</v>
      </c>
      <c r="B2078" s="7">
        <v>3307</v>
      </c>
      <c r="C2078" s="8"/>
      <c r="D2078" s="8">
        <v>1837.01</v>
      </c>
      <c r="E2078" s="8"/>
      <c r="F2078" s="8"/>
      <c r="G2078" s="8"/>
      <c r="H2078" s="8"/>
      <c r="I2078" s="8"/>
      <c r="J2078" s="8"/>
      <c r="K2078" s="8"/>
      <c r="L2078" s="8"/>
      <c r="M2078" s="8">
        <v>2.02</v>
      </c>
      <c r="N2078" s="8"/>
      <c r="O2078" s="8"/>
      <c r="P2078" s="8"/>
      <c r="Q2078" s="11"/>
      <c r="R2078" s="11"/>
      <c r="S2078" s="8">
        <v>13.4</v>
      </c>
      <c r="T2078" s="8"/>
      <c r="U2078" s="8">
        <v>18.399999999999999</v>
      </c>
      <c r="V2078" s="8"/>
      <c r="W2078" s="8"/>
      <c r="X2078" s="8"/>
      <c r="Y2078" s="8"/>
      <c r="Z2078" s="8"/>
      <c r="AA2078" s="8"/>
      <c r="AB2078" s="8"/>
      <c r="AC2078" s="8">
        <v>11.02</v>
      </c>
      <c r="AD2078" s="8"/>
      <c r="AE2078" s="8"/>
      <c r="AF2078" s="8"/>
      <c r="AG2078" s="8">
        <v>18.43</v>
      </c>
      <c r="AH2078" s="8"/>
      <c r="AI2078" s="8"/>
      <c r="AJ2078" s="8"/>
      <c r="AK2078" s="8"/>
      <c r="AL2078" s="8"/>
      <c r="AM2078" s="8"/>
      <c r="AN2078" s="8"/>
      <c r="AO2078" s="8"/>
      <c r="AP2078" s="11"/>
      <c r="AQ2078" s="8"/>
      <c r="AR2078" s="8"/>
      <c r="AS2078" s="8"/>
      <c r="AT2078" s="8"/>
      <c r="AU2078" s="8">
        <v>919.99</v>
      </c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>
        <v>66</v>
      </c>
      <c r="BH2078" s="9">
        <f t="shared" si="288"/>
        <v>1837.01</v>
      </c>
      <c r="BI2078" s="9">
        <f t="shared" si="289"/>
        <v>2.02</v>
      </c>
      <c r="BJ2078" s="9">
        <f t="shared" si="290"/>
        <v>13.4</v>
      </c>
      <c r="BK2078" s="9">
        <f t="shared" si="291"/>
        <v>18.399999999999999</v>
      </c>
      <c r="BL2078" s="9">
        <f t="shared" si="292"/>
        <v>0</v>
      </c>
      <c r="BM2078" s="9">
        <f t="shared" si="293"/>
        <v>29.45</v>
      </c>
      <c r="BN2078" s="9">
        <f t="shared" si="294"/>
        <v>919.99</v>
      </c>
      <c r="BO2078" s="9">
        <f t="shared" si="295"/>
        <v>0</v>
      </c>
      <c r="BP2078" s="9">
        <f t="shared" si="296"/>
        <v>0</v>
      </c>
    </row>
    <row r="2079" spans="1:68">
      <c r="A2079" s="6">
        <v>44916</v>
      </c>
      <c r="B2079" s="7">
        <v>3302</v>
      </c>
      <c r="C2079" s="8"/>
      <c r="D2079" s="8">
        <f>144.1+1000.48</f>
        <v>1144.58</v>
      </c>
      <c r="E2079" s="8"/>
      <c r="F2079" s="8"/>
      <c r="G2079" s="8"/>
      <c r="H2079" s="8"/>
      <c r="I2079" s="8"/>
      <c r="J2079" s="8"/>
      <c r="K2079" s="8"/>
      <c r="L2079" s="8"/>
      <c r="M2079" s="8">
        <f>1.5+0.22</f>
        <v>1.72</v>
      </c>
      <c r="N2079" s="8"/>
      <c r="O2079" s="8"/>
      <c r="P2079" s="8"/>
      <c r="Q2079" s="11"/>
      <c r="R2079" s="11"/>
      <c r="S2079" s="8">
        <f>1.08+7.5</f>
        <v>8.58</v>
      </c>
      <c r="T2079" s="8"/>
      <c r="U2079" s="8">
        <f>10+1.44</f>
        <v>11.44</v>
      </c>
      <c r="V2079" s="8"/>
      <c r="W2079" s="8"/>
      <c r="X2079" s="8"/>
      <c r="Y2079" s="8"/>
      <c r="Z2079" s="8"/>
      <c r="AA2079" s="8"/>
      <c r="AB2079" s="8"/>
      <c r="AC2079" s="8">
        <f>6+0.87</f>
        <v>6.87</v>
      </c>
      <c r="AD2079" s="8"/>
      <c r="AE2079" s="8"/>
      <c r="AF2079" s="8"/>
      <c r="AG2079" s="8">
        <f>1.45+10.01</f>
        <v>11.459999999999999</v>
      </c>
      <c r="AH2079" s="8"/>
      <c r="AI2079" s="8"/>
      <c r="AJ2079" s="8"/>
      <c r="AK2079" s="8"/>
      <c r="AL2079" s="8"/>
      <c r="AM2079" s="8"/>
      <c r="AN2079" s="8"/>
      <c r="AO2079" s="8"/>
      <c r="AP2079" s="11"/>
      <c r="AQ2079" s="8"/>
      <c r="AR2079" s="8"/>
      <c r="AS2079" s="8"/>
      <c r="AT2079" s="8"/>
      <c r="AU2079" s="8">
        <f>501.36+72.23</f>
        <v>573.59</v>
      </c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>
        <f>5.18+35.96</f>
        <v>41.14</v>
      </c>
      <c r="BH2079" s="9">
        <f t="shared" si="288"/>
        <v>1144.58</v>
      </c>
      <c r="BI2079" s="9">
        <f t="shared" si="289"/>
        <v>1.72</v>
      </c>
      <c r="BJ2079" s="9">
        <f t="shared" si="290"/>
        <v>8.58</v>
      </c>
      <c r="BK2079" s="9">
        <f t="shared" si="291"/>
        <v>11.44</v>
      </c>
      <c r="BL2079" s="9">
        <f t="shared" si="292"/>
        <v>0</v>
      </c>
      <c r="BM2079" s="9">
        <f t="shared" si="293"/>
        <v>18.329999999999998</v>
      </c>
      <c r="BN2079" s="9">
        <f t="shared" si="294"/>
        <v>573.59</v>
      </c>
      <c r="BO2079" s="9">
        <f t="shared" si="295"/>
        <v>0</v>
      </c>
      <c r="BP2079" s="9">
        <f t="shared" si="296"/>
        <v>0</v>
      </c>
    </row>
    <row r="2080" spans="1:68">
      <c r="A2080" s="6">
        <v>44916</v>
      </c>
      <c r="B2080" s="7">
        <v>3601</v>
      </c>
      <c r="C2080" s="8">
        <v>294.48</v>
      </c>
      <c r="D2080" s="8"/>
      <c r="E2080" s="8"/>
      <c r="F2080" s="8"/>
      <c r="G2080" s="8">
        <v>441.98</v>
      </c>
      <c r="H2080" s="8"/>
      <c r="I2080" s="8"/>
      <c r="J2080" s="8"/>
      <c r="K2080" s="8"/>
      <c r="L2080" s="8"/>
      <c r="M2080" s="8">
        <v>0.88</v>
      </c>
      <c r="N2080" s="8"/>
      <c r="O2080" s="8"/>
      <c r="P2080" s="8"/>
      <c r="Q2080" s="11"/>
      <c r="R2080" s="11"/>
      <c r="S2080" s="8">
        <v>3.54</v>
      </c>
      <c r="T2080" s="8"/>
      <c r="U2080" s="8">
        <v>4.43</v>
      </c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11"/>
      <c r="AQ2080" s="8"/>
      <c r="AR2080" s="8"/>
      <c r="AS2080" s="8"/>
      <c r="AT2080" s="8">
        <v>361.01</v>
      </c>
      <c r="AU2080" s="8"/>
      <c r="AV2080" s="8"/>
      <c r="AW2080" s="8">
        <v>22.42</v>
      </c>
      <c r="AX2080" s="8"/>
      <c r="AY2080" s="8"/>
      <c r="AZ2080" s="8"/>
      <c r="BA2080" s="8"/>
      <c r="BB2080" s="8"/>
      <c r="BC2080" s="8"/>
      <c r="BD2080" s="8"/>
      <c r="BE2080" s="8"/>
      <c r="BF2080" s="8">
        <v>41.29</v>
      </c>
      <c r="BG2080" s="8">
        <v>26.3</v>
      </c>
      <c r="BH2080" s="9">
        <f t="shared" si="288"/>
        <v>736.46</v>
      </c>
      <c r="BI2080" s="9">
        <f t="shared" si="289"/>
        <v>0.88</v>
      </c>
      <c r="BJ2080" s="9">
        <f t="shared" si="290"/>
        <v>3.54</v>
      </c>
      <c r="BK2080" s="9">
        <f t="shared" si="291"/>
        <v>4.43</v>
      </c>
      <c r="BL2080" s="9">
        <f t="shared" si="292"/>
        <v>0</v>
      </c>
      <c r="BM2080" s="9">
        <f t="shared" si="293"/>
        <v>0</v>
      </c>
      <c r="BN2080" s="9">
        <f t="shared" si="294"/>
        <v>361.01</v>
      </c>
      <c r="BO2080" s="9">
        <f t="shared" si="295"/>
        <v>22.42</v>
      </c>
      <c r="BP2080" s="9">
        <f t="shared" si="296"/>
        <v>41.29</v>
      </c>
    </row>
    <row r="2081" spans="1:68">
      <c r="A2081" s="6">
        <v>44916</v>
      </c>
      <c r="B2081" s="7">
        <v>3602</v>
      </c>
      <c r="C2081" s="8">
        <v>291.86</v>
      </c>
      <c r="D2081" s="8"/>
      <c r="E2081" s="8"/>
      <c r="F2081" s="8"/>
      <c r="G2081" s="8">
        <v>437.47</v>
      </c>
      <c r="H2081" s="8"/>
      <c r="I2081" s="8"/>
      <c r="J2081" s="8"/>
      <c r="K2081" s="8"/>
      <c r="L2081" s="8"/>
      <c r="M2081" s="8">
        <v>0.76</v>
      </c>
      <c r="N2081" s="8"/>
      <c r="O2081" s="8"/>
      <c r="P2081" s="8"/>
      <c r="Q2081" s="11"/>
      <c r="R2081" s="11"/>
      <c r="S2081" s="8">
        <v>3.5</v>
      </c>
      <c r="T2081" s="8"/>
      <c r="U2081" s="8">
        <v>5.84</v>
      </c>
      <c r="V2081" s="8">
        <f>839*8.33/1000</f>
        <v>6.9888699999999995</v>
      </c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11"/>
      <c r="AQ2081" s="8"/>
      <c r="AR2081" s="8"/>
      <c r="AS2081" s="8"/>
      <c r="AT2081" s="8">
        <v>293.51</v>
      </c>
      <c r="AU2081" s="8"/>
      <c r="AV2081" s="8"/>
      <c r="AW2081" s="8">
        <v>18.87</v>
      </c>
      <c r="AX2081" s="8"/>
      <c r="AY2081" s="8"/>
      <c r="AZ2081" s="8"/>
      <c r="BA2081" s="8"/>
      <c r="BB2081" s="8"/>
      <c r="BC2081" s="8"/>
      <c r="BD2081" s="8"/>
      <c r="BE2081" s="8"/>
      <c r="BF2081" s="8">
        <v>23.41</v>
      </c>
      <c r="BG2081" s="8">
        <v>21.92</v>
      </c>
      <c r="BH2081" s="9">
        <f t="shared" si="288"/>
        <v>729.33</v>
      </c>
      <c r="BI2081" s="9">
        <f t="shared" si="289"/>
        <v>0.76</v>
      </c>
      <c r="BJ2081" s="9">
        <f t="shared" si="290"/>
        <v>3.5</v>
      </c>
      <c r="BK2081" s="9">
        <f t="shared" si="291"/>
        <v>12.828869999999998</v>
      </c>
      <c r="BL2081" s="9">
        <f t="shared" si="292"/>
        <v>0</v>
      </c>
      <c r="BM2081" s="9">
        <f t="shared" si="293"/>
        <v>0</v>
      </c>
      <c r="BN2081" s="9">
        <f t="shared" si="294"/>
        <v>293.51</v>
      </c>
      <c r="BO2081" s="9">
        <f t="shared" si="295"/>
        <v>18.87</v>
      </c>
      <c r="BP2081" s="9">
        <f t="shared" si="296"/>
        <v>23.41</v>
      </c>
    </row>
    <row r="2082" spans="1:68">
      <c r="A2082" s="6">
        <v>44916</v>
      </c>
      <c r="B2082" s="7">
        <v>3106</v>
      </c>
      <c r="C2082" s="8">
        <v>6183.43</v>
      </c>
      <c r="D2082" s="8"/>
      <c r="E2082" s="8"/>
      <c r="F2082" s="8"/>
      <c r="G2082" s="8"/>
      <c r="H2082" s="8"/>
      <c r="I2082" s="8"/>
      <c r="J2082" s="8"/>
      <c r="K2082" s="8"/>
      <c r="L2082" s="8"/>
      <c r="M2082" s="8">
        <v>17.79</v>
      </c>
      <c r="N2082" s="8"/>
      <c r="O2082" s="8"/>
      <c r="P2082" s="8"/>
      <c r="Q2082" s="11"/>
      <c r="R2082" s="11"/>
      <c r="S2082" s="8">
        <v>18.59</v>
      </c>
      <c r="T2082" s="8"/>
      <c r="U2082" s="8">
        <v>78.62</v>
      </c>
      <c r="V2082" s="8"/>
      <c r="W2082" s="8"/>
      <c r="X2082" s="8"/>
      <c r="Y2082" s="8"/>
      <c r="Z2082" s="8"/>
      <c r="AA2082" s="8"/>
      <c r="AB2082" s="8"/>
      <c r="AC2082" s="8">
        <v>15.47</v>
      </c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11"/>
      <c r="AQ2082" s="8"/>
      <c r="AR2082" s="8"/>
      <c r="AS2082" s="8"/>
      <c r="AT2082" s="8">
        <v>3522.46</v>
      </c>
      <c r="AU2082" s="8"/>
      <c r="AV2082" s="8"/>
      <c r="AW2082" s="8"/>
      <c r="AX2082" s="8">
        <v>7.74</v>
      </c>
      <c r="AY2082" s="8"/>
      <c r="AZ2082" s="8"/>
      <c r="BA2082" s="8"/>
      <c r="BB2082" s="8"/>
      <c r="BC2082" s="8"/>
      <c r="BD2082" s="8"/>
      <c r="BE2082" s="8"/>
      <c r="BF2082" s="8"/>
      <c r="BG2082" s="8">
        <v>265.98</v>
      </c>
      <c r="BH2082" s="9">
        <f t="shared" si="288"/>
        <v>6183.43</v>
      </c>
      <c r="BI2082" s="9">
        <f t="shared" si="289"/>
        <v>17.79</v>
      </c>
      <c r="BJ2082" s="9">
        <f t="shared" si="290"/>
        <v>18.59</v>
      </c>
      <c r="BK2082" s="9">
        <f t="shared" si="291"/>
        <v>78.62</v>
      </c>
      <c r="BL2082" s="9">
        <f t="shared" si="292"/>
        <v>0</v>
      </c>
      <c r="BM2082" s="9">
        <f t="shared" si="293"/>
        <v>15.47</v>
      </c>
      <c r="BN2082" s="9">
        <f t="shared" si="294"/>
        <v>3522.46</v>
      </c>
      <c r="BO2082" s="9">
        <f t="shared" si="295"/>
        <v>7.74</v>
      </c>
      <c r="BP2082" s="9">
        <f t="shared" si="296"/>
        <v>0</v>
      </c>
    </row>
    <row r="2083" spans="1:68">
      <c r="A2083" s="6">
        <v>44916</v>
      </c>
      <c r="B2083" s="7">
        <v>3121</v>
      </c>
      <c r="C2083" s="8">
        <v>1122.46</v>
      </c>
      <c r="D2083" s="8"/>
      <c r="E2083" s="8"/>
      <c r="F2083" s="8"/>
      <c r="G2083" s="8"/>
      <c r="H2083" s="8"/>
      <c r="I2083" s="8"/>
      <c r="J2083" s="8"/>
      <c r="K2083" s="8"/>
      <c r="L2083" s="8"/>
      <c r="M2083" s="8">
        <v>3.34</v>
      </c>
      <c r="N2083" s="8"/>
      <c r="O2083" s="8"/>
      <c r="P2083" s="8"/>
      <c r="Q2083" s="11"/>
      <c r="R2083" s="11"/>
      <c r="S2083" s="8">
        <v>3.6</v>
      </c>
      <c r="T2083" s="8"/>
      <c r="U2083" s="8">
        <v>11.15</v>
      </c>
      <c r="V2083" s="8"/>
      <c r="W2083" s="8"/>
      <c r="X2083" s="8"/>
      <c r="Y2083" s="8"/>
      <c r="Z2083" s="8"/>
      <c r="AA2083" s="8"/>
      <c r="AB2083" s="8"/>
      <c r="AC2083" s="8">
        <v>4.4800000000000004</v>
      </c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11">
        <f>2214*5.1/1000</f>
        <v>11.291399999999999</v>
      </c>
      <c r="AQ2083" s="8"/>
      <c r="AR2083" s="8"/>
      <c r="AS2083" s="8"/>
      <c r="AT2083" s="8">
        <v>593.05999999999995</v>
      </c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>
        <v>43.78</v>
      </c>
      <c r="BH2083" s="9">
        <f t="shared" si="288"/>
        <v>1122.46</v>
      </c>
      <c r="BI2083" s="9">
        <f t="shared" si="289"/>
        <v>3.34</v>
      </c>
      <c r="BJ2083" s="9">
        <f t="shared" si="290"/>
        <v>3.6</v>
      </c>
      <c r="BK2083" s="9">
        <f t="shared" si="291"/>
        <v>11.15</v>
      </c>
      <c r="BL2083" s="9">
        <f t="shared" si="292"/>
        <v>0</v>
      </c>
      <c r="BM2083" s="9">
        <f t="shared" si="293"/>
        <v>15.7714</v>
      </c>
      <c r="BN2083" s="9">
        <f t="shared" si="294"/>
        <v>593.05999999999995</v>
      </c>
      <c r="BO2083" s="9">
        <f t="shared" si="295"/>
        <v>0</v>
      </c>
      <c r="BP2083" s="9">
        <f t="shared" si="296"/>
        <v>0</v>
      </c>
    </row>
    <row r="2084" spans="1:68">
      <c r="A2084" s="6">
        <v>44916</v>
      </c>
      <c r="B2084" s="7">
        <v>3405</v>
      </c>
      <c r="C2084" s="8">
        <v>1005.73</v>
      </c>
      <c r="D2084" s="8">
        <v>250.63</v>
      </c>
      <c r="E2084" s="8"/>
      <c r="F2084" s="8"/>
      <c r="G2084" s="8"/>
      <c r="H2084" s="8"/>
      <c r="I2084" s="8"/>
      <c r="J2084" s="8"/>
      <c r="K2084" s="8"/>
      <c r="L2084" s="8"/>
      <c r="M2084" s="8">
        <v>2.77</v>
      </c>
      <c r="N2084" s="8"/>
      <c r="O2084" s="8"/>
      <c r="P2084" s="8"/>
      <c r="Q2084" s="11"/>
      <c r="R2084" s="11"/>
      <c r="S2084" s="8">
        <v>2.89</v>
      </c>
      <c r="T2084" s="8"/>
      <c r="U2084" s="8"/>
      <c r="V2084" s="8"/>
      <c r="W2084" s="8"/>
      <c r="X2084" s="8">
        <f>1207*12.58/1000</f>
        <v>15.184059999999999</v>
      </c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11"/>
      <c r="AQ2084" s="8"/>
      <c r="AR2084" s="8"/>
      <c r="AS2084" s="8"/>
      <c r="AT2084" s="8">
        <v>615.88</v>
      </c>
      <c r="AU2084" s="8"/>
      <c r="AV2084" s="8"/>
      <c r="AW2084" s="8"/>
      <c r="AX2084" s="8"/>
      <c r="AY2084" s="8"/>
      <c r="AZ2084" s="8"/>
      <c r="BA2084" s="8">
        <v>5.67</v>
      </c>
      <c r="BB2084" s="8"/>
      <c r="BC2084" s="8"/>
      <c r="BD2084" s="8"/>
      <c r="BE2084" s="8"/>
      <c r="BF2084" s="8"/>
      <c r="BG2084" s="8">
        <v>41.58</v>
      </c>
      <c r="BH2084" s="9">
        <f t="shared" si="288"/>
        <v>1256.3600000000001</v>
      </c>
      <c r="BI2084" s="9">
        <f t="shared" si="289"/>
        <v>2.77</v>
      </c>
      <c r="BJ2084" s="9">
        <f t="shared" si="290"/>
        <v>2.89</v>
      </c>
      <c r="BK2084" s="9">
        <f t="shared" si="291"/>
        <v>15.184059999999999</v>
      </c>
      <c r="BL2084" s="9">
        <f t="shared" si="292"/>
        <v>0</v>
      </c>
      <c r="BM2084" s="9">
        <f t="shared" si="293"/>
        <v>0</v>
      </c>
      <c r="BN2084" s="9">
        <f t="shared" si="294"/>
        <v>615.88</v>
      </c>
      <c r="BO2084" s="9">
        <f t="shared" si="295"/>
        <v>5.67</v>
      </c>
      <c r="BP2084" s="9">
        <f t="shared" si="296"/>
        <v>0</v>
      </c>
    </row>
    <row r="2085" spans="1:68">
      <c r="A2085" s="6">
        <v>44916</v>
      </c>
      <c r="B2085" s="7">
        <v>3016</v>
      </c>
      <c r="C2085" s="8"/>
      <c r="D2085" s="8">
        <v>2294.35</v>
      </c>
      <c r="E2085" s="8"/>
      <c r="F2085" s="8"/>
      <c r="G2085" s="8"/>
      <c r="H2085" s="8"/>
      <c r="I2085" s="8">
        <v>2117.12</v>
      </c>
      <c r="J2085" s="8"/>
      <c r="K2085" s="8"/>
      <c r="L2085" s="8"/>
      <c r="M2085" s="8"/>
      <c r="N2085" s="8">
        <v>26.49</v>
      </c>
      <c r="O2085" s="8"/>
      <c r="P2085" s="8"/>
      <c r="Q2085" s="11"/>
      <c r="R2085" s="11"/>
      <c r="S2085" s="8">
        <v>3.07</v>
      </c>
      <c r="T2085" s="8"/>
      <c r="U2085" s="8"/>
      <c r="V2085" s="8"/>
      <c r="W2085" s="8">
        <v>44.13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>
        <v>17.649999999999999</v>
      </c>
      <c r="AN2085" s="8">
        <f>2049*25.95/1000</f>
        <v>53.171549999999996</v>
      </c>
      <c r="AO2085" s="8"/>
      <c r="AP2085" s="11"/>
      <c r="AQ2085" s="8"/>
      <c r="AR2085" s="8">
        <f>4267*25.95/1000</f>
        <v>110.72864999999999</v>
      </c>
      <c r="AS2085" s="8"/>
      <c r="AT2085" s="8">
        <v>1639.3</v>
      </c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>
        <v>120.22</v>
      </c>
      <c r="BH2085" s="9">
        <f t="shared" si="288"/>
        <v>4411.4699999999993</v>
      </c>
      <c r="BI2085" s="9">
        <f t="shared" si="289"/>
        <v>26.49</v>
      </c>
      <c r="BJ2085" s="9">
        <f t="shared" si="290"/>
        <v>3.07</v>
      </c>
      <c r="BK2085" s="9">
        <f t="shared" si="291"/>
        <v>44.13</v>
      </c>
      <c r="BL2085" s="9">
        <f t="shared" si="292"/>
        <v>0</v>
      </c>
      <c r="BM2085" s="9">
        <f t="shared" si="293"/>
        <v>181.55019999999999</v>
      </c>
      <c r="BN2085" s="9">
        <f t="shared" si="294"/>
        <v>1639.3</v>
      </c>
      <c r="BO2085" s="9">
        <f t="shared" si="295"/>
        <v>0</v>
      </c>
      <c r="BP2085" s="9">
        <f t="shared" si="296"/>
        <v>0</v>
      </c>
    </row>
    <row r="2086" spans="1:68">
      <c r="A2086" s="6">
        <v>44917</v>
      </c>
      <c r="B2086" s="7">
        <v>3106</v>
      </c>
      <c r="C2086" s="8">
        <v>4152.3999999999996</v>
      </c>
      <c r="D2086" s="8"/>
      <c r="E2086" s="8"/>
      <c r="F2086" s="8"/>
      <c r="G2086" s="8"/>
      <c r="H2086" s="8"/>
      <c r="I2086" s="8"/>
      <c r="J2086" s="8"/>
      <c r="K2086" s="8"/>
      <c r="L2086" s="8"/>
      <c r="M2086" s="8">
        <v>11.55</v>
      </c>
      <c r="N2086" s="8"/>
      <c r="O2086" s="8"/>
      <c r="P2086" s="8"/>
      <c r="Q2086" s="11"/>
      <c r="R2086" s="11"/>
      <c r="S2086" s="8">
        <v>12.47</v>
      </c>
      <c r="T2086" s="8"/>
      <c r="U2086" s="8">
        <v>52.75</v>
      </c>
      <c r="V2086" s="8"/>
      <c r="W2086" s="8"/>
      <c r="X2086" s="8"/>
      <c r="Y2086" s="8"/>
      <c r="Z2086" s="8"/>
      <c r="AA2086" s="8"/>
      <c r="AB2086" s="8"/>
      <c r="AC2086" s="8">
        <v>10.37</v>
      </c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11"/>
      <c r="AQ2086" s="8"/>
      <c r="AR2086" s="8"/>
      <c r="AS2086" s="8"/>
      <c r="AT2086" s="8">
        <v>2365.21</v>
      </c>
      <c r="AU2086" s="8"/>
      <c r="AV2086" s="8"/>
      <c r="AW2086" s="8"/>
      <c r="AX2086" s="8">
        <v>5.19</v>
      </c>
      <c r="AY2086" s="8"/>
      <c r="AZ2086" s="8"/>
      <c r="BA2086" s="8"/>
      <c r="BB2086" s="8"/>
      <c r="BC2086" s="8"/>
      <c r="BD2086" s="8"/>
      <c r="BE2086" s="8"/>
      <c r="BF2086" s="8"/>
      <c r="BG2086" s="8">
        <v>178.46</v>
      </c>
      <c r="BH2086" s="9">
        <f t="shared" si="288"/>
        <v>4152.3999999999996</v>
      </c>
      <c r="BI2086" s="9">
        <f t="shared" si="289"/>
        <v>11.55</v>
      </c>
      <c r="BJ2086" s="9">
        <f t="shared" si="290"/>
        <v>12.47</v>
      </c>
      <c r="BK2086" s="9">
        <f t="shared" si="291"/>
        <v>52.75</v>
      </c>
      <c r="BL2086" s="9">
        <f t="shared" si="292"/>
        <v>0</v>
      </c>
      <c r="BM2086" s="9">
        <f t="shared" si="293"/>
        <v>10.37</v>
      </c>
      <c r="BN2086" s="9">
        <f t="shared" si="294"/>
        <v>2365.21</v>
      </c>
      <c r="BO2086" s="9">
        <f t="shared" si="295"/>
        <v>5.19</v>
      </c>
      <c r="BP2086" s="9">
        <f t="shared" si="296"/>
        <v>0</v>
      </c>
    </row>
    <row r="2087" spans="1:68">
      <c r="A2087" s="6">
        <v>44917</v>
      </c>
      <c r="B2087" s="7">
        <v>3433</v>
      </c>
      <c r="C2087" s="8">
        <v>1082.26</v>
      </c>
      <c r="D2087" s="8"/>
      <c r="E2087" s="8"/>
      <c r="F2087" s="8"/>
      <c r="G2087" s="8"/>
      <c r="H2087" s="8"/>
      <c r="I2087" s="8"/>
      <c r="J2087" s="8"/>
      <c r="K2087" s="8"/>
      <c r="L2087" s="8"/>
      <c r="M2087" s="8">
        <v>2.72</v>
      </c>
      <c r="N2087" s="8"/>
      <c r="O2087" s="8"/>
      <c r="P2087" s="8"/>
      <c r="Q2087" s="11"/>
      <c r="R2087" s="11"/>
      <c r="S2087" s="8">
        <v>4.3600000000000003</v>
      </c>
      <c r="T2087" s="8"/>
      <c r="U2087" s="8"/>
      <c r="V2087" s="8"/>
      <c r="W2087" s="8"/>
      <c r="X2087" s="8">
        <f>858*12.82/1000</f>
        <v>10.999559999999999</v>
      </c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11"/>
      <c r="AQ2087" s="8"/>
      <c r="AR2087" s="8"/>
      <c r="AS2087" s="8"/>
      <c r="AT2087" s="8">
        <v>494.11</v>
      </c>
      <c r="AU2087" s="8"/>
      <c r="AV2087" s="8"/>
      <c r="AW2087" s="8"/>
      <c r="AX2087" s="8"/>
      <c r="AY2087" s="8"/>
      <c r="AZ2087" s="8"/>
      <c r="BA2087" s="8">
        <v>4.8600000000000003</v>
      </c>
      <c r="BB2087" s="8"/>
      <c r="BC2087" s="8"/>
      <c r="BD2087" s="8"/>
      <c r="BE2087" s="8"/>
      <c r="BF2087" s="8">
        <v>54.58</v>
      </c>
      <c r="BG2087" s="8">
        <v>36.67</v>
      </c>
      <c r="BH2087" s="9">
        <f t="shared" si="288"/>
        <v>1082.26</v>
      </c>
      <c r="BI2087" s="9">
        <f t="shared" si="289"/>
        <v>2.72</v>
      </c>
      <c r="BJ2087" s="9">
        <f t="shared" si="290"/>
        <v>4.3600000000000003</v>
      </c>
      <c r="BK2087" s="9">
        <f t="shared" si="291"/>
        <v>10.999559999999999</v>
      </c>
      <c r="BL2087" s="9">
        <f t="shared" si="292"/>
        <v>0</v>
      </c>
      <c r="BM2087" s="9">
        <f t="shared" si="293"/>
        <v>0</v>
      </c>
      <c r="BN2087" s="9">
        <f t="shared" si="294"/>
        <v>494.11</v>
      </c>
      <c r="BO2087" s="9">
        <f t="shared" si="295"/>
        <v>4.8600000000000003</v>
      </c>
      <c r="BP2087" s="9">
        <f t="shared" si="296"/>
        <v>54.58</v>
      </c>
    </row>
    <row r="2088" spans="1:68">
      <c r="A2088" s="6">
        <v>44917</v>
      </c>
      <c r="B2088" s="7">
        <v>3408</v>
      </c>
      <c r="C2088" s="8">
        <v>1246.95</v>
      </c>
      <c r="D2088" s="8"/>
      <c r="E2088" s="8"/>
      <c r="F2088" s="8"/>
      <c r="G2088" s="8"/>
      <c r="H2088" s="8"/>
      <c r="I2088" s="8"/>
      <c r="J2088" s="8"/>
      <c r="K2088" s="8"/>
      <c r="L2088" s="8"/>
      <c r="M2088" s="8">
        <v>2.89</v>
      </c>
      <c r="N2088" s="8"/>
      <c r="O2088" s="8"/>
      <c r="P2088" s="8"/>
      <c r="Q2088" s="11"/>
      <c r="R2088" s="11"/>
      <c r="S2088" s="8">
        <v>3.12</v>
      </c>
      <c r="T2088" s="8"/>
      <c r="U2088" s="8"/>
      <c r="V2088" s="8"/>
      <c r="W2088" s="8"/>
      <c r="X2088" s="8">
        <f>1013*12.45/1000</f>
        <v>12.611849999999999</v>
      </c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11"/>
      <c r="AQ2088" s="8"/>
      <c r="AR2088" s="8"/>
      <c r="AS2088" s="8"/>
      <c r="AT2088" s="8">
        <v>620.12</v>
      </c>
      <c r="AU2088" s="8"/>
      <c r="AV2088" s="8"/>
      <c r="AW2088" s="8"/>
      <c r="AX2088" s="8"/>
      <c r="AY2088" s="8"/>
      <c r="AZ2088" s="8"/>
      <c r="BA2088" s="8">
        <v>5.62</v>
      </c>
      <c r="BB2088" s="8"/>
      <c r="BC2088" s="8"/>
      <c r="BD2088" s="8"/>
      <c r="BE2088" s="8"/>
      <c r="BF2088" s="8"/>
      <c r="BG2088" s="8">
        <v>42.41</v>
      </c>
      <c r="BH2088" s="9">
        <f t="shared" si="288"/>
        <v>1246.95</v>
      </c>
      <c r="BI2088" s="9">
        <f t="shared" si="289"/>
        <v>2.89</v>
      </c>
      <c r="BJ2088" s="9">
        <f t="shared" si="290"/>
        <v>3.12</v>
      </c>
      <c r="BK2088" s="9">
        <f t="shared" si="291"/>
        <v>12.611849999999999</v>
      </c>
      <c r="BL2088" s="9">
        <f t="shared" si="292"/>
        <v>0</v>
      </c>
      <c r="BM2088" s="9">
        <f t="shared" si="293"/>
        <v>0</v>
      </c>
      <c r="BN2088" s="9">
        <f t="shared" si="294"/>
        <v>620.12</v>
      </c>
      <c r="BO2088" s="9">
        <f t="shared" si="295"/>
        <v>5.62</v>
      </c>
      <c r="BP2088" s="9">
        <f t="shared" si="296"/>
        <v>0</v>
      </c>
    </row>
    <row r="2089" spans="1:68">
      <c r="A2089" s="6">
        <v>44917</v>
      </c>
      <c r="B2089" s="7">
        <v>3409</v>
      </c>
      <c r="C2089" s="8">
        <v>765.25</v>
      </c>
      <c r="D2089" s="8"/>
      <c r="E2089" s="8"/>
      <c r="F2089" s="8"/>
      <c r="G2089" s="8"/>
      <c r="H2089" s="8"/>
      <c r="I2089" s="8"/>
      <c r="J2089" s="8"/>
      <c r="K2089" s="8"/>
      <c r="L2089" s="8"/>
      <c r="M2089" s="8">
        <v>1.77</v>
      </c>
      <c r="N2089" s="8"/>
      <c r="O2089" s="8"/>
      <c r="P2089" s="8"/>
      <c r="Q2089" s="11"/>
      <c r="R2089" s="11"/>
      <c r="S2089" s="8">
        <v>1.9</v>
      </c>
      <c r="T2089" s="8"/>
      <c r="U2089" s="8"/>
      <c r="V2089" s="8"/>
      <c r="W2089" s="8"/>
      <c r="X2089" s="8">
        <f>1013*7.65/1000</f>
        <v>7.7494500000000004</v>
      </c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11"/>
      <c r="AQ2089" s="8"/>
      <c r="AR2089" s="8"/>
      <c r="AS2089" s="8"/>
      <c r="AT2089" s="8">
        <v>390.55</v>
      </c>
      <c r="AU2089" s="8"/>
      <c r="AV2089" s="8">
        <v>22.93</v>
      </c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>
        <v>27.01</v>
      </c>
      <c r="BH2089" s="9">
        <f t="shared" si="288"/>
        <v>765.25</v>
      </c>
      <c r="BI2089" s="9">
        <f t="shared" si="289"/>
        <v>1.77</v>
      </c>
      <c r="BJ2089" s="9">
        <f t="shared" si="290"/>
        <v>1.9</v>
      </c>
      <c r="BK2089" s="9">
        <f t="shared" si="291"/>
        <v>7.7494500000000004</v>
      </c>
      <c r="BL2089" s="9">
        <f t="shared" si="292"/>
        <v>0</v>
      </c>
      <c r="BM2089" s="9">
        <f t="shared" si="293"/>
        <v>0</v>
      </c>
      <c r="BN2089" s="9">
        <f t="shared" si="294"/>
        <v>390.55</v>
      </c>
      <c r="BO2089" s="9">
        <f t="shared" si="295"/>
        <v>22.93</v>
      </c>
      <c r="BP2089" s="9">
        <f t="shared" si="296"/>
        <v>0</v>
      </c>
    </row>
    <row r="2090" spans="1:68">
      <c r="A2090" s="6">
        <v>44917</v>
      </c>
      <c r="B2090" s="7">
        <v>3403</v>
      </c>
      <c r="C2090" s="8">
        <v>370.22</v>
      </c>
      <c r="D2090" s="8">
        <v>368.11</v>
      </c>
      <c r="E2090" s="8"/>
      <c r="F2090" s="8"/>
      <c r="G2090" s="8"/>
      <c r="H2090" s="8"/>
      <c r="I2090" s="8"/>
      <c r="J2090" s="8"/>
      <c r="K2090" s="8"/>
      <c r="L2090" s="8"/>
      <c r="M2090" s="8">
        <v>1.54</v>
      </c>
      <c r="N2090" s="8"/>
      <c r="O2090" s="8"/>
      <c r="P2090" s="8"/>
      <c r="Q2090" s="11"/>
      <c r="R2090" s="11"/>
      <c r="S2090" s="8">
        <v>1.69</v>
      </c>
      <c r="T2090" s="8"/>
      <c r="U2090" s="8"/>
      <c r="V2090" s="8"/>
      <c r="W2090" s="8"/>
      <c r="X2090" s="8">
        <f>1013*7.37/1000</f>
        <v>7.4658100000000003</v>
      </c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11"/>
      <c r="AQ2090" s="8"/>
      <c r="AR2090" s="8"/>
      <c r="AS2090" s="8"/>
      <c r="AT2090" s="8">
        <v>341.05</v>
      </c>
      <c r="AU2090" s="8"/>
      <c r="AV2090" s="8">
        <v>22.06</v>
      </c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>
        <v>24.34</v>
      </c>
      <c r="BH2090" s="9">
        <f t="shared" si="288"/>
        <v>738.33</v>
      </c>
      <c r="BI2090" s="9">
        <f t="shared" si="289"/>
        <v>1.54</v>
      </c>
      <c r="BJ2090" s="9">
        <f t="shared" si="290"/>
        <v>1.69</v>
      </c>
      <c r="BK2090" s="9">
        <f t="shared" si="291"/>
        <v>7.4658100000000003</v>
      </c>
      <c r="BL2090" s="9">
        <f t="shared" si="292"/>
        <v>0</v>
      </c>
      <c r="BM2090" s="9">
        <f t="shared" si="293"/>
        <v>0</v>
      </c>
      <c r="BN2090" s="9">
        <f t="shared" si="294"/>
        <v>341.05</v>
      </c>
      <c r="BO2090" s="9">
        <f t="shared" si="295"/>
        <v>22.06</v>
      </c>
      <c r="BP2090" s="9">
        <f t="shared" si="296"/>
        <v>0</v>
      </c>
    </row>
    <row r="2091" spans="1:68">
      <c r="A2091" s="6">
        <v>44917</v>
      </c>
      <c r="B2091" s="7">
        <v>3200</v>
      </c>
      <c r="C2091" s="8">
        <v>1201.5</v>
      </c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>
        <v>3.01</v>
      </c>
      <c r="P2091" s="8"/>
      <c r="Q2091" s="11"/>
      <c r="R2091" s="11"/>
      <c r="S2091" s="8">
        <v>4.6900000000000004</v>
      </c>
      <c r="T2091" s="8"/>
      <c r="U2091" s="8">
        <v>18.010000000000002</v>
      </c>
      <c r="V2091" s="8"/>
      <c r="W2091" s="8"/>
      <c r="X2091" s="8"/>
      <c r="Y2091" s="8"/>
      <c r="Z2091" s="8">
        <v>252.46</v>
      </c>
      <c r="AA2091" s="8"/>
      <c r="AB2091" s="8"/>
      <c r="AC2091" s="8"/>
      <c r="AD2091" s="8"/>
      <c r="AE2091" s="8"/>
      <c r="AF2091" s="8">
        <v>60.11</v>
      </c>
      <c r="AG2091" s="8"/>
      <c r="AH2091" s="8"/>
      <c r="AI2091" s="8"/>
      <c r="AJ2091" s="8"/>
      <c r="AK2091" s="8"/>
      <c r="AL2091" s="8"/>
      <c r="AM2091" s="8"/>
      <c r="AN2091" s="8"/>
      <c r="AO2091" s="8"/>
      <c r="AP2091" s="11"/>
      <c r="AQ2091" s="8">
        <f>1524*12/1000</f>
        <v>18.288</v>
      </c>
      <c r="AR2091" s="8"/>
      <c r="AS2091" s="8"/>
      <c r="AT2091" s="8">
        <v>823.73</v>
      </c>
      <c r="AU2091" s="8"/>
      <c r="AV2091" s="8"/>
      <c r="AW2091" s="8">
        <v>3.46</v>
      </c>
      <c r="AX2091" s="8"/>
      <c r="AY2091" s="8"/>
      <c r="AZ2091" s="8"/>
      <c r="BA2091" s="8"/>
      <c r="BB2091" s="8"/>
      <c r="BC2091" s="8"/>
      <c r="BD2091" s="8"/>
      <c r="BE2091" s="8"/>
      <c r="BF2091" s="8">
        <v>57.63</v>
      </c>
      <c r="BG2091" s="8">
        <v>59.42</v>
      </c>
      <c r="BH2091" s="9">
        <f t="shared" si="288"/>
        <v>1201.5</v>
      </c>
      <c r="BI2091" s="9">
        <f t="shared" si="289"/>
        <v>3.01</v>
      </c>
      <c r="BJ2091" s="9">
        <f t="shared" si="290"/>
        <v>4.6900000000000004</v>
      </c>
      <c r="BK2091" s="9">
        <f t="shared" si="291"/>
        <v>18.010000000000002</v>
      </c>
      <c r="BL2091" s="9">
        <f t="shared" si="292"/>
        <v>252.46</v>
      </c>
      <c r="BM2091" s="9">
        <f t="shared" si="293"/>
        <v>78.397999999999996</v>
      </c>
      <c r="BN2091" s="9">
        <f t="shared" si="294"/>
        <v>823.73</v>
      </c>
      <c r="BO2091" s="9">
        <f t="shared" si="295"/>
        <v>3.46</v>
      </c>
      <c r="BP2091" s="9">
        <f t="shared" si="296"/>
        <v>57.63</v>
      </c>
    </row>
    <row r="2092" spans="1:68">
      <c r="A2092" s="6">
        <v>44917</v>
      </c>
      <c r="B2092" s="7">
        <v>3205</v>
      </c>
      <c r="C2092" s="8">
        <v>693.8</v>
      </c>
      <c r="D2092" s="8">
        <v>385.7</v>
      </c>
      <c r="E2092" s="8">
        <v>463.3</v>
      </c>
      <c r="F2092" s="8"/>
      <c r="G2092" s="8"/>
      <c r="H2092" s="8"/>
      <c r="I2092" s="8"/>
      <c r="J2092" s="8"/>
      <c r="K2092" s="8"/>
      <c r="L2092" s="8"/>
      <c r="M2092" s="8"/>
      <c r="N2092" s="8"/>
      <c r="O2092" s="8">
        <v>6.18</v>
      </c>
      <c r="P2092" s="8"/>
      <c r="Q2092" s="11"/>
      <c r="R2092" s="11"/>
      <c r="S2092" s="8">
        <v>5.72</v>
      </c>
      <c r="T2092" s="8"/>
      <c r="U2092" s="8">
        <v>18.559999999999999</v>
      </c>
      <c r="V2092" s="8"/>
      <c r="W2092" s="8"/>
      <c r="X2092" s="8"/>
      <c r="Y2092" s="8"/>
      <c r="Z2092" s="8">
        <v>154.6</v>
      </c>
      <c r="AA2092" s="8"/>
      <c r="AB2092" s="8">
        <f>1006*15.45/1000</f>
        <v>15.542699999999998</v>
      </c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11"/>
      <c r="AQ2092" s="8">
        <f>511*15.45/1000</f>
        <v>7.8949499999999997</v>
      </c>
      <c r="AR2092" s="8"/>
      <c r="AS2092" s="8"/>
      <c r="AT2092" s="8">
        <v>403.32</v>
      </c>
      <c r="AU2092" s="8">
        <v>201.33</v>
      </c>
      <c r="AV2092" s="8"/>
      <c r="AW2092" s="8">
        <v>6.65</v>
      </c>
      <c r="AX2092" s="8"/>
      <c r="AY2092" s="8"/>
      <c r="AZ2092" s="8"/>
      <c r="BA2092" s="8"/>
      <c r="BB2092" s="8"/>
      <c r="BC2092" s="8"/>
      <c r="BD2092" s="8"/>
      <c r="BE2092" s="8"/>
      <c r="BF2092" s="8"/>
      <c r="BG2092" s="8">
        <v>36.25</v>
      </c>
      <c r="BH2092" s="9">
        <f t="shared" si="288"/>
        <v>1542.8</v>
      </c>
      <c r="BI2092" s="9">
        <f t="shared" si="289"/>
        <v>6.18</v>
      </c>
      <c r="BJ2092" s="9">
        <f t="shared" si="290"/>
        <v>5.72</v>
      </c>
      <c r="BK2092" s="9">
        <f t="shared" si="291"/>
        <v>18.559999999999999</v>
      </c>
      <c r="BL2092" s="9">
        <f t="shared" si="292"/>
        <v>154.6</v>
      </c>
      <c r="BM2092" s="9">
        <f t="shared" si="293"/>
        <v>23.437649999999998</v>
      </c>
      <c r="BN2092" s="9">
        <f t="shared" si="294"/>
        <v>604.65</v>
      </c>
      <c r="BO2092" s="9">
        <f t="shared" si="295"/>
        <v>6.65</v>
      </c>
      <c r="BP2092" s="9">
        <f t="shared" si="296"/>
        <v>0</v>
      </c>
    </row>
    <row r="2093" spans="1:68">
      <c r="A2093" s="6">
        <v>44917</v>
      </c>
      <c r="B2093" s="7">
        <v>3023</v>
      </c>
      <c r="C2093" s="8"/>
      <c r="D2093" s="8">
        <v>1646.86</v>
      </c>
      <c r="E2093" s="8"/>
      <c r="F2093" s="8"/>
      <c r="G2093" s="8"/>
      <c r="H2093" s="8"/>
      <c r="I2093" s="8">
        <v>885.17</v>
      </c>
      <c r="J2093" s="8"/>
      <c r="K2093" s="8"/>
      <c r="L2093" s="8"/>
      <c r="M2093" s="8"/>
      <c r="N2093" s="8">
        <v>14.18</v>
      </c>
      <c r="O2093" s="8"/>
      <c r="P2093" s="8"/>
      <c r="Q2093" s="11"/>
      <c r="R2093" s="11"/>
      <c r="S2093" s="8">
        <v>4.05</v>
      </c>
      <c r="T2093" s="8"/>
      <c r="U2093" s="8"/>
      <c r="V2093" s="8"/>
      <c r="W2093" s="8">
        <v>22.8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>
        <v>25.25</v>
      </c>
      <c r="AN2093" s="8">
        <f>1026*17.45/1000</f>
        <v>17.903700000000001</v>
      </c>
      <c r="AO2093" s="8"/>
      <c r="AP2093" s="11"/>
      <c r="AQ2093" s="8"/>
      <c r="AR2093" s="8"/>
      <c r="AS2093" s="8">
        <f>4724*17.45/1000</f>
        <v>82.433800000000005</v>
      </c>
      <c r="AT2093" s="8">
        <v>1037.82</v>
      </c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>
        <v>78.45</v>
      </c>
      <c r="BH2093" s="9">
        <f t="shared" si="288"/>
        <v>2532.0299999999997</v>
      </c>
      <c r="BI2093" s="9">
        <f t="shared" si="289"/>
        <v>14.18</v>
      </c>
      <c r="BJ2093" s="9">
        <f t="shared" si="290"/>
        <v>4.05</v>
      </c>
      <c r="BK2093" s="9">
        <f t="shared" si="291"/>
        <v>22.8</v>
      </c>
      <c r="BL2093" s="9">
        <f t="shared" si="292"/>
        <v>0</v>
      </c>
      <c r="BM2093" s="9">
        <f t="shared" si="293"/>
        <v>125.58750000000001</v>
      </c>
      <c r="BN2093" s="9">
        <f t="shared" si="294"/>
        <v>1037.82</v>
      </c>
      <c r="BO2093" s="9">
        <f t="shared" si="295"/>
        <v>0</v>
      </c>
      <c r="BP2093" s="9">
        <f t="shared" si="296"/>
        <v>0</v>
      </c>
    </row>
    <row r="2094" spans="1:68">
      <c r="A2094" s="6">
        <v>44917</v>
      </c>
      <c r="B2094" s="7">
        <v>3028</v>
      </c>
      <c r="C2094" s="8"/>
      <c r="D2094" s="8">
        <v>401.3</v>
      </c>
      <c r="E2094" s="8"/>
      <c r="F2094" s="8">
        <v>369.24</v>
      </c>
      <c r="G2094" s="8"/>
      <c r="H2094" s="8"/>
      <c r="I2094" s="8">
        <v>833.61</v>
      </c>
      <c r="J2094" s="8"/>
      <c r="K2094" s="8"/>
      <c r="L2094" s="8"/>
      <c r="M2094" s="8"/>
      <c r="N2094" s="8">
        <v>12.03</v>
      </c>
      <c r="O2094" s="8"/>
      <c r="P2094" s="8"/>
      <c r="Q2094" s="11"/>
      <c r="R2094" s="11"/>
      <c r="S2094" s="8">
        <v>2.25</v>
      </c>
      <c r="T2094" s="8"/>
      <c r="U2094" s="8"/>
      <c r="V2094" s="8"/>
      <c r="W2094" s="8">
        <v>12.04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>
        <v>16.059999999999999</v>
      </c>
      <c r="AN2094" s="8">
        <f>1077*10.7/1000</f>
        <v>11.523899999999999</v>
      </c>
      <c r="AO2094" s="8"/>
      <c r="AP2094" s="11"/>
      <c r="AQ2094" s="8"/>
      <c r="AR2094" s="8"/>
      <c r="AS2094" s="8">
        <f>4957*10.7/1000</f>
        <v>53.039899999999996</v>
      </c>
      <c r="AT2094" s="8">
        <v>535.51</v>
      </c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>
        <v>36.19</v>
      </c>
      <c r="BH2094" s="9">
        <f t="shared" si="288"/>
        <v>1604.15</v>
      </c>
      <c r="BI2094" s="9">
        <f t="shared" si="289"/>
        <v>12.03</v>
      </c>
      <c r="BJ2094" s="9">
        <f t="shared" si="290"/>
        <v>2.25</v>
      </c>
      <c r="BK2094" s="9">
        <f t="shared" si="291"/>
        <v>12.04</v>
      </c>
      <c r="BL2094" s="9">
        <f t="shared" si="292"/>
        <v>0</v>
      </c>
      <c r="BM2094" s="9">
        <f t="shared" si="293"/>
        <v>80.623799999999989</v>
      </c>
      <c r="BN2094" s="9">
        <f t="shared" si="294"/>
        <v>535.51</v>
      </c>
      <c r="BO2094" s="9">
        <f t="shared" si="295"/>
        <v>0</v>
      </c>
      <c r="BP2094" s="9">
        <f t="shared" si="296"/>
        <v>0</v>
      </c>
    </row>
    <row r="2095" spans="1:68">
      <c r="A2095" s="6">
        <v>44917</v>
      </c>
      <c r="B2095" s="7">
        <v>3204</v>
      </c>
      <c r="C2095" s="8"/>
      <c r="D2095" s="8">
        <v>1768.25</v>
      </c>
      <c r="E2095" s="8">
        <v>755.67</v>
      </c>
      <c r="F2095" s="8"/>
      <c r="G2095" s="8"/>
      <c r="H2095" s="8"/>
      <c r="I2095" s="8"/>
      <c r="J2095" s="8"/>
      <c r="K2095" s="8"/>
      <c r="L2095" s="8"/>
      <c r="M2095" s="8"/>
      <c r="N2095" s="8"/>
      <c r="O2095" s="8">
        <v>12.65</v>
      </c>
      <c r="P2095" s="8"/>
      <c r="Q2095" s="11"/>
      <c r="R2095" s="11"/>
      <c r="S2095" s="8">
        <v>8.58</v>
      </c>
      <c r="T2095" s="8"/>
      <c r="U2095" s="8">
        <v>27.8</v>
      </c>
      <c r="V2095" s="8"/>
      <c r="W2095" s="8"/>
      <c r="X2095" s="8"/>
      <c r="Y2095" s="8"/>
      <c r="Z2095" s="8">
        <v>379.13</v>
      </c>
      <c r="AA2095" s="8"/>
      <c r="AB2095" s="8">
        <f>719*18.03/1000</f>
        <v>12.963570000000001</v>
      </c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11"/>
      <c r="AQ2095" s="8"/>
      <c r="AR2095" s="8"/>
      <c r="AS2095" s="8"/>
      <c r="AT2095" s="8">
        <v>1111.06</v>
      </c>
      <c r="AU2095" s="8"/>
      <c r="AV2095" s="8"/>
      <c r="AW2095" s="8">
        <v>8.09</v>
      </c>
      <c r="AX2095" s="8"/>
      <c r="AY2095" s="8"/>
      <c r="AZ2095" s="8"/>
      <c r="BA2095" s="8"/>
      <c r="BB2095" s="8"/>
      <c r="BC2095" s="8"/>
      <c r="BD2095" s="8"/>
      <c r="BE2095" s="8"/>
      <c r="BF2095" s="8"/>
      <c r="BG2095" s="8">
        <v>82.17</v>
      </c>
      <c r="BH2095" s="9">
        <f t="shared" si="288"/>
        <v>2523.92</v>
      </c>
      <c r="BI2095" s="9">
        <f t="shared" si="289"/>
        <v>12.65</v>
      </c>
      <c r="BJ2095" s="9">
        <f t="shared" si="290"/>
        <v>8.58</v>
      </c>
      <c r="BK2095" s="9">
        <f t="shared" si="291"/>
        <v>27.8</v>
      </c>
      <c r="BL2095" s="9">
        <f t="shared" si="292"/>
        <v>379.13</v>
      </c>
      <c r="BM2095" s="9">
        <f t="shared" si="293"/>
        <v>12.963570000000001</v>
      </c>
      <c r="BN2095" s="9">
        <f t="shared" si="294"/>
        <v>1111.06</v>
      </c>
      <c r="BO2095" s="9">
        <f t="shared" si="295"/>
        <v>8.09</v>
      </c>
      <c r="BP2095" s="9">
        <f t="shared" si="296"/>
        <v>0</v>
      </c>
    </row>
    <row r="2096" spans="1:68">
      <c r="A2096" s="6">
        <v>44917</v>
      </c>
      <c r="B2096" s="7">
        <v>3139</v>
      </c>
      <c r="C2096" s="8">
        <v>1556.31</v>
      </c>
      <c r="D2096" s="8"/>
      <c r="E2096" s="8"/>
      <c r="F2096" s="8"/>
      <c r="G2096" s="8"/>
      <c r="H2096" s="8">
        <v>646.87</v>
      </c>
      <c r="I2096" s="8"/>
      <c r="J2096" s="8"/>
      <c r="K2096" s="8"/>
      <c r="L2096" s="8"/>
      <c r="M2096" s="8">
        <v>3.64</v>
      </c>
      <c r="N2096" s="8"/>
      <c r="O2096" s="8"/>
      <c r="P2096" s="8"/>
      <c r="Q2096" s="11"/>
      <c r="R2096" s="11"/>
      <c r="S2096" s="8">
        <v>6.89</v>
      </c>
      <c r="T2096" s="8"/>
      <c r="U2096" s="8">
        <v>22.96</v>
      </c>
      <c r="V2096" s="8"/>
      <c r="W2096" s="8"/>
      <c r="X2096" s="8"/>
      <c r="Y2096" s="8"/>
      <c r="Z2096" s="8"/>
      <c r="AA2096" s="8"/>
      <c r="AB2096" s="8"/>
      <c r="AC2096" s="8">
        <v>7.66</v>
      </c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11"/>
      <c r="AQ2096" s="8"/>
      <c r="AR2096" s="8"/>
      <c r="AS2096" s="8"/>
      <c r="AT2096" s="8">
        <v>1131.6500000000001</v>
      </c>
      <c r="AU2096" s="8"/>
      <c r="AV2096" s="8">
        <v>38.32</v>
      </c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>
        <v>82.4</v>
      </c>
      <c r="BH2096" s="9">
        <f t="shared" si="288"/>
        <v>2203.1799999999998</v>
      </c>
      <c r="BI2096" s="9">
        <f t="shared" si="289"/>
        <v>3.64</v>
      </c>
      <c r="BJ2096" s="9">
        <f t="shared" si="290"/>
        <v>6.89</v>
      </c>
      <c r="BK2096" s="9">
        <f t="shared" si="291"/>
        <v>22.96</v>
      </c>
      <c r="BL2096" s="9">
        <f t="shared" si="292"/>
        <v>0</v>
      </c>
      <c r="BM2096" s="9">
        <f t="shared" si="293"/>
        <v>7.66</v>
      </c>
      <c r="BN2096" s="9">
        <f t="shared" si="294"/>
        <v>1131.6500000000001</v>
      </c>
      <c r="BO2096" s="9">
        <f t="shared" si="295"/>
        <v>38.32</v>
      </c>
      <c r="BP2096" s="9">
        <f t="shared" si="296"/>
        <v>0</v>
      </c>
    </row>
    <row r="2097" spans="1:68">
      <c r="A2097" s="6">
        <v>44918</v>
      </c>
      <c r="B2097" s="7">
        <v>3704</v>
      </c>
      <c r="C2097" s="8">
        <v>863.9</v>
      </c>
      <c r="D2097" s="8">
        <v>1300.3</v>
      </c>
      <c r="E2097" s="8"/>
      <c r="F2097" s="8"/>
      <c r="G2097" s="8"/>
      <c r="H2097" s="8"/>
      <c r="I2097" s="8"/>
      <c r="J2097" s="8"/>
      <c r="K2097" s="8"/>
      <c r="L2097" s="8"/>
      <c r="M2097" s="8">
        <v>6.52</v>
      </c>
      <c r="N2097" s="8"/>
      <c r="O2097" s="8"/>
      <c r="P2097" s="8"/>
      <c r="Q2097" s="11"/>
      <c r="R2097" s="11"/>
      <c r="S2097" s="8">
        <v>7.6</v>
      </c>
      <c r="T2097" s="8"/>
      <c r="U2097" s="8">
        <v>16.27</v>
      </c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>
        <v>25.91</v>
      </c>
      <c r="AN2097" s="8"/>
      <c r="AO2097" s="8"/>
      <c r="AP2097" s="11"/>
      <c r="AQ2097" s="8"/>
      <c r="AR2097" s="8"/>
      <c r="AS2097" s="8"/>
      <c r="AT2097" s="8">
        <v>373.74</v>
      </c>
      <c r="AU2097" s="8">
        <v>188.74</v>
      </c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>
        <v>35.090000000000003</v>
      </c>
      <c r="BH2097" s="9">
        <f t="shared" si="288"/>
        <v>2164.1999999999998</v>
      </c>
      <c r="BI2097" s="9">
        <f t="shared" si="289"/>
        <v>6.52</v>
      </c>
      <c r="BJ2097" s="9">
        <f t="shared" si="290"/>
        <v>7.6</v>
      </c>
      <c r="BK2097" s="9">
        <f t="shared" si="291"/>
        <v>16.27</v>
      </c>
      <c r="BL2097" s="9">
        <f t="shared" si="292"/>
        <v>0</v>
      </c>
      <c r="BM2097" s="9">
        <f t="shared" si="293"/>
        <v>25.91</v>
      </c>
      <c r="BN2097" s="9">
        <f t="shared" si="294"/>
        <v>562.48</v>
      </c>
      <c r="BO2097" s="9">
        <f t="shared" si="295"/>
        <v>0</v>
      </c>
      <c r="BP2097" s="9">
        <f t="shared" si="296"/>
        <v>0</v>
      </c>
    </row>
    <row r="2098" spans="1:68">
      <c r="A2098" s="6">
        <v>44918</v>
      </c>
      <c r="B2098" s="7">
        <v>3307</v>
      </c>
      <c r="C2098" s="8"/>
      <c r="D2098" s="8">
        <v>1875.62</v>
      </c>
      <c r="E2098" s="8"/>
      <c r="F2098" s="8"/>
      <c r="G2098" s="8"/>
      <c r="H2098" s="8"/>
      <c r="I2098" s="8"/>
      <c r="J2098" s="8"/>
      <c r="K2098" s="8"/>
      <c r="L2098" s="8"/>
      <c r="M2098" s="8">
        <v>2.02</v>
      </c>
      <c r="N2098" s="8"/>
      <c r="O2098" s="8"/>
      <c r="P2098" s="8"/>
      <c r="Q2098" s="11"/>
      <c r="R2098" s="11"/>
      <c r="S2098" s="8">
        <v>13.25</v>
      </c>
      <c r="T2098" s="8"/>
      <c r="U2098" s="8">
        <v>18.829999999999998</v>
      </c>
      <c r="V2098" s="8"/>
      <c r="W2098" s="8"/>
      <c r="X2098" s="8"/>
      <c r="Y2098" s="8"/>
      <c r="Z2098" s="8"/>
      <c r="AA2098" s="8"/>
      <c r="AB2098" s="8"/>
      <c r="AC2098" s="8">
        <v>11.29</v>
      </c>
      <c r="AD2098" s="8"/>
      <c r="AE2098" s="8"/>
      <c r="AF2098" s="8"/>
      <c r="AG2098" s="8">
        <v>18.89</v>
      </c>
      <c r="AH2098" s="8"/>
      <c r="AI2098" s="8"/>
      <c r="AJ2098" s="8"/>
      <c r="AK2098" s="8"/>
      <c r="AL2098" s="8"/>
      <c r="AM2098" s="8"/>
      <c r="AN2098" s="8"/>
      <c r="AO2098" s="8"/>
      <c r="AP2098" s="11"/>
      <c r="AQ2098" s="8"/>
      <c r="AR2098" s="8"/>
      <c r="AS2098" s="8"/>
      <c r="AT2098" s="8"/>
      <c r="AU2098" s="8">
        <v>943.16</v>
      </c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>
        <v>67.62</v>
      </c>
      <c r="BH2098" s="9">
        <f t="shared" si="288"/>
        <v>1875.62</v>
      </c>
      <c r="BI2098" s="9">
        <f t="shared" si="289"/>
        <v>2.02</v>
      </c>
      <c r="BJ2098" s="9">
        <f t="shared" si="290"/>
        <v>13.25</v>
      </c>
      <c r="BK2098" s="9">
        <f t="shared" si="291"/>
        <v>18.829999999999998</v>
      </c>
      <c r="BL2098" s="9">
        <f t="shared" si="292"/>
        <v>0</v>
      </c>
      <c r="BM2098" s="9">
        <f t="shared" si="293"/>
        <v>30.18</v>
      </c>
      <c r="BN2098" s="9">
        <f t="shared" si="294"/>
        <v>943.16</v>
      </c>
      <c r="BO2098" s="9">
        <f t="shared" si="295"/>
        <v>0</v>
      </c>
      <c r="BP2098" s="9">
        <f t="shared" si="296"/>
        <v>0</v>
      </c>
    </row>
    <row r="2099" spans="1:68">
      <c r="A2099" s="6">
        <v>44918</v>
      </c>
      <c r="B2099" s="7">
        <v>3020</v>
      </c>
      <c r="C2099" s="8"/>
      <c r="D2099" s="8">
        <v>316.57</v>
      </c>
      <c r="E2099" s="8"/>
      <c r="F2099" s="8"/>
      <c r="G2099" s="8"/>
      <c r="H2099" s="8"/>
      <c r="I2099" s="8">
        <v>1780.41</v>
      </c>
      <c r="J2099" s="8"/>
      <c r="K2099" s="8"/>
      <c r="L2099" s="8"/>
      <c r="M2099" s="8"/>
      <c r="N2099" s="8">
        <v>12.63</v>
      </c>
      <c r="O2099" s="8"/>
      <c r="P2099" s="8"/>
      <c r="Q2099" s="11"/>
      <c r="R2099" s="11"/>
      <c r="S2099" s="8">
        <v>3.8</v>
      </c>
      <c r="T2099" s="8"/>
      <c r="U2099" s="8">
        <v>21.12</v>
      </c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>
        <v>20.81</v>
      </c>
      <c r="AN2099" s="8"/>
      <c r="AO2099" s="8"/>
      <c r="AP2099" s="11"/>
      <c r="AQ2099" s="8"/>
      <c r="AR2099" s="8"/>
      <c r="AS2099" s="8">
        <f>3014*17.53/1000</f>
        <v>52.835420000000006</v>
      </c>
      <c r="AT2099" s="8">
        <v>1029.8699999999999</v>
      </c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>
        <v>75.709999999999994</v>
      </c>
      <c r="BH2099" s="9">
        <f t="shared" si="288"/>
        <v>2096.98</v>
      </c>
      <c r="BI2099" s="9">
        <f t="shared" si="289"/>
        <v>12.63</v>
      </c>
      <c r="BJ2099" s="9">
        <f t="shared" si="290"/>
        <v>3.8</v>
      </c>
      <c r="BK2099" s="9">
        <f t="shared" si="291"/>
        <v>21.12</v>
      </c>
      <c r="BL2099" s="9">
        <f t="shared" si="292"/>
        <v>0</v>
      </c>
      <c r="BM2099" s="9">
        <f t="shared" si="293"/>
        <v>73.645420000000001</v>
      </c>
      <c r="BN2099" s="9">
        <f t="shared" si="294"/>
        <v>1029.8699999999999</v>
      </c>
      <c r="BO2099" s="9">
        <f t="shared" si="295"/>
        <v>0</v>
      </c>
      <c r="BP2099" s="9">
        <f t="shared" si="296"/>
        <v>0</v>
      </c>
    </row>
    <row r="2100" spans="1:68">
      <c r="A2100" s="6">
        <v>44918</v>
      </c>
      <c r="B2100" s="7">
        <v>3022</v>
      </c>
      <c r="C2100" s="8"/>
      <c r="D2100" s="8">
        <v>330.27</v>
      </c>
      <c r="E2100" s="8"/>
      <c r="F2100" s="8"/>
      <c r="G2100" s="8"/>
      <c r="H2100" s="8"/>
      <c r="I2100" s="8">
        <v>272.41000000000003</v>
      </c>
      <c r="J2100" s="8"/>
      <c r="K2100" s="8"/>
      <c r="L2100" s="8"/>
      <c r="M2100" s="8"/>
      <c r="N2100" s="8">
        <v>3.01</v>
      </c>
      <c r="O2100" s="8"/>
      <c r="P2100" s="8"/>
      <c r="Q2100" s="11"/>
      <c r="R2100" s="11"/>
      <c r="S2100" s="8">
        <v>1.08</v>
      </c>
      <c r="T2100" s="8"/>
      <c r="U2100" s="8"/>
      <c r="V2100" s="8"/>
      <c r="W2100" s="8">
        <v>6.01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>
        <v>7.78</v>
      </c>
      <c r="AN2100" s="8"/>
      <c r="AO2100" s="8"/>
      <c r="AP2100" s="11"/>
      <c r="AQ2100" s="8"/>
      <c r="AR2100" s="8"/>
      <c r="AS2100" s="8">
        <f>3912*5.48/1000</f>
        <v>21.437760000000001</v>
      </c>
      <c r="AT2100" s="8">
        <v>280.64</v>
      </c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>
        <v>21.6</v>
      </c>
      <c r="BH2100" s="9">
        <f t="shared" si="288"/>
        <v>602.68000000000006</v>
      </c>
      <c r="BI2100" s="9">
        <f t="shared" si="289"/>
        <v>3.01</v>
      </c>
      <c r="BJ2100" s="9">
        <f t="shared" si="290"/>
        <v>1.08</v>
      </c>
      <c r="BK2100" s="9">
        <f t="shared" si="291"/>
        <v>6.01</v>
      </c>
      <c r="BL2100" s="9">
        <f t="shared" si="292"/>
        <v>0</v>
      </c>
      <c r="BM2100" s="9">
        <f t="shared" si="293"/>
        <v>29.217760000000002</v>
      </c>
      <c r="BN2100" s="9">
        <f t="shared" si="294"/>
        <v>280.64</v>
      </c>
      <c r="BO2100" s="9">
        <f t="shared" si="295"/>
        <v>0</v>
      </c>
      <c r="BP2100" s="9">
        <f t="shared" si="296"/>
        <v>0</v>
      </c>
    </row>
    <row r="2101" spans="1:68">
      <c r="A2101" s="6">
        <v>44918</v>
      </c>
      <c r="B2101" s="7">
        <v>3024</v>
      </c>
      <c r="C2101" s="8"/>
      <c r="D2101" s="8">
        <v>333.88</v>
      </c>
      <c r="E2101" s="8"/>
      <c r="F2101" s="8"/>
      <c r="G2101" s="8"/>
      <c r="H2101" s="8"/>
      <c r="I2101" s="8">
        <v>335.24</v>
      </c>
      <c r="J2101" s="8"/>
      <c r="K2101" s="8"/>
      <c r="L2101" s="8"/>
      <c r="M2101" s="8"/>
      <c r="N2101" s="8">
        <v>4</v>
      </c>
      <c r="O2101" s="8"/>
      <c r="P2101" s="8"/>
      <c r="Q2101" s="11"/>
      <c r="R2101" s="11"/>
      <c r="S2101" s="8">
        <v>1.07</v>
      </c>
      <c r="T2101" s="8"/>
      <c r="U2101" s="8"/>
      <c r="V2101" s="8"/>
      <c r="W2101" s="8">
        <v>5.33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>
        <v>6.66</v>
      </c>
      <c r="AN2101" s="8">
        <f>838*5.57/1000</f>
        <v>4.6676599999999997</v>
      </c>
      <c r="AO2101" s="8"/>
      <c r="AP2101" s="11"/>
      <c r="AQ2101" s="8"/>
      <c r="AR2101" s="8"/>
      <c r="AS2101" s="8">
        <f>3924*5.57/1000</f>
        <v>21.856680000000001</v>
      </c>
      <c r="AT2101" s="8">
        <v>257.11</v>
      </c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>
        <v>18.739999999999998</v>
      </c>
      <c r="BH2101" s="9">
        <f t="shared" si="288"/>
        <v>669.12</v>
      </c>
      <c r="BI2101" s="9">
        <f t="shared" si="289"/>
        <v>4</v>
      </c>
      <c r="BJ2101" s="9">
        <f t="shared" si="290"/>
        <v>1.07</v>
      </c>
      <c r="BK2101" s="9">
        <f t="shared" si="291"/>
        <v>5.33</v>
      </c>
      <c r="BL2101" s="9">
        <f t="shared" si="292"/>
        <v>0</v>
      </c>
      <c r="BM2101" s="9">
        <f t="shared" si="293"/>
        <v>33.184339999999999</v>
      </c>
      <c r="BN2101" s="9">
        <f t="shared" si="294"/>
        <v>257.11</v>
      </c>
      <c r="BO2101" s="9">
        <f t="shared" si="295"/>
        <v>0</v>
      </c>
      <c r="BP2101" s="9">
        <f t="shared" si="296"/>
        <v>0</v>
      </c>
    </row>
    <row r="2102" spans="1:68">
      <c r="A2102" s="6">
        <v>44918</v>
      </c>
      <c r="B2102" s="7">
        <v>3081</v>
      </c>
      <c r="C2102" s="8"/>
      <c r="D2102" s="8">
        <v>286.66000000000003</v>
      </c>
      <c r="E2102" s="8"/>
      <c r="F2102" s="8">
        <v>323.35000000000002</v>
      </c>
      <c r="G2102" s="8"/>
      <c r="H2102" s="8"/>
      <c r="I2102" s="8">
        <v>1184.1600000000001</v>
      </c>
      <c r="J2102" s="8"/>
      <c r="K2102" s="8"/>
      <c r="L2102" s="8"/>
      <c r="M2102" s="8"/>
      <c r="N2102" s="8">
        <v>13.28</v>
      </c>
      <c r="O2102" s="8"/>
      <c r="P2102" s="8"/>
      <c r="Q2102" s="11"/>
      <c r="R2102" s="11"/>
      <c r="S2102" s="8">
        <v>1.27</v>
      </c>
      <c r="T2102" s="8"/>
      <c r="U2102" s="8"/>
      <c r="V2102" s="8"/>
      <c r="W2102" s="8">
        <v>18.25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11"/>
      <c r="AQ2102" s="8">
        <f>1553*11.72/1000</f>
        <v>18.201160000000002</v>
      </c>
      <c r="AR2102" s="8">
        <f>5382*11.72/1000</f>
        <v>63.077040000000004</v>
      </c>
      <c r="AS2102" s="8">
        <f>635*11.72/1000</f>
        <v>7.4422000000000006</v>
      </c>
      <c r="AT2102" s="8">
        <v>567.84</v>
      </c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>
        <v>38.04</v>
      </c>
      <c r="BH2102" s="9">
        <f t="shared" si="288"/>
        <v>1794.17</v>
      </c>
      <c r="BI2102" s="9">
        <f t="shared" si="289"/>
        <v>13.28</v>
      </c>
      <c r="BJ2102" s="9">
        <f t="shared" si="290"/>
        <v>1.27</v>
      </c>
      <c r="BK2102" s="9">
        <f t="shared" si="291"/>
        <v>18.25</v>
      </c>
      <c r="BL2102" s="9">
        <f t="shared" si="292"/>
        <v>0</v>
      </c>
      <c r="BM2102" s="9">
        <f t="shared" si="293"/>
        <v>88.720399999999998</v>
      </c>
      <c r="BN2102" s="9">
        <f t="shared" si="294"/>
        <v>567.84</v>
      </c>
      <c r="BO2102" s="9">
        <f t="shared" si="295"/>
        <v>0</v>
      </c>
      <c r="BP2102" s="9">
        <f t="shared" si="296"/>
        <v>0</v>
      </c>
    </row>
    <row r="2103" spans="1:68">
      <c r="A2103" s="6">
        <v>44918</v>
      </c>
      <c r="B2103" s="7">
        <v>3134</v>
      </c>
      <c r="C2103" s="8">
        <v>1097.01</v>
      </c>
      <c r="D2103" s="8">
        <v>154.30000000000001</v>
      </c>
      <c r="E2103" s="8"/>
      <c r="F2103" s="8"/>
      <c r="G2103" s="8"/>
      <c r="H2103" s="8">
        <v>517.79999999999995</v>
      </c>
      <c r="I2103" s="8"/>
      <c r="J2103" s="8"/>
      <c r="K2103" s="8"/>
      <c r="L2103" s="8"/>
      <c r="M2103" s="8">
        <v>2.83</v>
      </c>
      <c r="N2103" s="8"/>
      <c r="O2103" s="8"/>
      <c r="P2103" s="8"/>
      <c r="Q2103" s="11"/>
      <c r="R2103" s="11"/>
      <c r="S2103" s="8">
        <v>7.11</v>
      </c>
      <c r="T2103" s="8"/>
      <c r="U2103" s="8">
        <v>20.14</v>
      </c>
      <c r="V2103" s="8"/>
      <c r="W2103" s="8"/>
      <c r="X2103" s="8"/>
      <c r="Y2103" s="8"/>
      <c r="Z2103" s="8"/>
      <c r="AA2103" s="8"/>
      <c r="AB2103" s="8"/>
      <c r="AC2103" s="8">
        <v>6.2</v>
      </c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11"/>
      <c r="AQ2103" s="8"/>
      <c r="AR2103" s="8"/>
      <c r="AS2103" s="8"/>
      <c r="AT2103" s="8">
        <v>1087.32</v>
      </c>
      <c r="AU2103" s="8"/>
      <c r="AV2103" s="8"/>
      <c r="AW2103" s="8"/>
      <c r="AX2103" s="8"/>
      <c r="AY2103" s="8">
        <f>1421*11.05/1000</f>
        <v>15.702050000000002</v>
      </c>
      <c r="AZ2103" s="8"/>
      <c r="BA2103" s="8"/>
      <c r="BB2103" s="8"/>
      <c r="BC2103" s="8"/>
      <c r="BD2103" s="8"/>
      <c r="BE2103" s="8"/>
      <c r="BF2103" s="8">
        <v>69.53</v>
      </c>
      <c r="BG2103" s="8">
        <v>81.92</v>
      </c>
      <c r="BH2103" s="9">
        <f t="shared" si="288"/>
        <v>1769.11</v>
      </c>
      <c r="BI2103" s="9">
        <f t="shared" si="289"/>
        <v>2.83</v>
      </c>
      <c r="BJ2103" s="9">
        <f t="shared" si="290"/>
        <v>7.11</v>
      </c>
      <c r="BK2103" s="9">
        <f t="shared" si="291"/>
        <v>20.14</v>
      </c>
      <c r="BL2103" s="9">
        <f t="shared" si="292"/>
        <v>0</v>
      </c>
      <c r="BM2103" s="9">
        <f t="shared" si="293"/>
        <v>6.2</v>
      </c>
      <c r="BN2103" s="9">
        <f t="shared" si="294"/>
        <v>1087.32</v>
      </c>
      <c r="BO2103" s="9">
        <f t="shared" si="295"/>
        <v>15.702050000000002</v>
      </c>
      <c r="BP2103" s="9">
        <f t="shared" si="296"/>
        <v>69.53</v>
      </c>
    </row>
    <row r="2104" spans="1:68">
      <c r="A2104" s="6">
        <v>44918</v>
      </c>
      <c r="B2104" s="7">
        <v>3106</v>
      </c>
      <c r="C2104" s="8">
        <v>4139.4399999999996</v>
      </c>
      <c r="D2104" s="8"/>
      <c r="E2104" s="8"/>
      <c r="F2104" s="8"/>
      <c r="G2104" s="8"/>
      <c r="H2104" s="8"/>
      <c r="I2104" s="8"/>
      <c r="J2104" s="8"/>
      <c r="K2104" s="8"/>
      <c r="L2104" s="8"/>
      <c r="M2104" s="8">
        <v>10.36</v>
      </c>
      <c r="N2104" s="8"/>
      <c r="O2104" s="8"/>
      <c r="P2104" s="8"/>
      <c r="Q2104" s="11"/>
      <c r="R2104" s="11"/>
      <c r="S2104" s="8">
        <v>12.47</v>
      </c>
      <c r="T2104" s="8"/>
      <c r="U2104" s="8">
        <v>53.1</v>
      </c>
      <c r="V2104" s="8"/>
      <c r="W2104" s="8"/>
      <c r="X2104" s="8"/>
      <c r="Y2104" s="8"/>
      <c r="Z2104" s="8"/>
      <c r="AA2104" s="8"/>
      <c r="AB2104" s="8"/>
      <c r="AC2104" s="8">
        <v>10.38</v>
      </c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11"/>
      <c r="AQ2104" s="8"/>
      <c r="AR2104" s="8"/>
      <c r="AS2104" s="8"/>
      <c r="AT2104" s="8">
        <v>2365.33</v>
      </c>
      <c r="AU2104" s="8"/>
      <c r="AV2104" s="8"/>
      <c r="AW2104" s="8"/>
      <c r="AX2104" s="8">
        <v>5.2</v>
      </c>
      <c r="AY2104" s="8"/>
      <c r="AZ2104" s="8"/>
      <c r="BA2104" s="8"/>
      <c r="BB2104" s="8"/>
      <c r="BC2104" s="8"/>
      <c r="BD2104" s="8"/>
      <c r="BE2104" s="8"/>
      <c r="BF2104" s="8"/>
      <c r="BG2104" s="8">
        <v>178.15</v>
      </c>
      <c r="BH2104" s="9">
        <f t="shared" si="288"/>
        <v>4139.4399999999996</v>
      </c>
      <c r="BI2104" s="9">
        <f t="shared" si="289"/>
        <v>10.36</v>
      </c>
      <c r="BJ2104" s="9">
        <f t="shared" si="290"/>
        <v>12.47</v>
      </c>
      <c r="BK2104" s="9">
        <f t="shared" si="291"/>
        <v>53.1</v>
      </c>
      <c r="BL2104" s="9">
        <f t="shared" si="292"/>
        <v>0</v>
      </c>
      <c r="BM2104" s="9">
        <f t="shared" si="293"/>
        <v>10.38</v>
      </c>
      <c r="BN2104" s="9">
        <f t="shared" si="294"/>
        <v>2365.33</v>
      </c>
      <c r="BO2104" s="9">
        <f t="shared" si="295"/>
        <v>5.2</v>
      </c>
      <c r="BP2104" s="9">
        <f t="shared" si="296"/>
        <v>0</v>
      </c>
    </row>
    <row r="2105" spans="1:68">
      <c r="A2105" s="6">
        <v>44918</v>
      </c>
      <c r="B2105" s="7">
        <v>3116</v>
      </c>
      <c r="C2105" s="8">
        <v>1493.63</v>
      </c>
      <c r="D2105" s="8"/>
      <c r="E2105" s="8"/>
      <c r="F2105" s="8"/>
      <c r="G2105" s="8"/>
      <c r="H2105" s="8"/>
      <c r="I2105" s="8"/>
      <c r="J2105" s="8"/>
      <c r="K2105" s="8"/>
      <c r="L2105" s="8"/>
      <c r="M2105" s="8">
        <v>3</v>
      </c>
      <c r="N2105" s="8"/>
      <c r="O2105" s="8"/>
      <c r="P2105" s="8"/>
      <c r="Q2105" s="11"/>
      <c r="R2105" s="11"/>
      <c r="S2105" s="8">
        <v>6.45</v>
      </c>
      <c r="T2105" s="8"/>
      <c r="U2105" s="8">
        <v>21.92</v>
      </c>
      <c r="V2105" s="8"/>
      <c r="W2105" s="8"/>
      <c r="X2105" s="8"/>
      <c r="Y2105" s="8"/>
      <c r="Z2105" s="8"/>
      <c r="AA2105" s="8"/>
      <c r="AB2105" s="8"/>
      <c r="AC2105" s="8">
        <v>5.99</v>
      </c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11"/>
      <c r="AQ2105" s="8">
        <f>1421*10.72/1000</f>
        <v>15.233120000000001</v>
      </c>
      <c r="AR2105" s="8"/>
      <c r="AS2105" s="8"/>
      <c r="AT2105" s="8">
        <v>912.44</v>
      </c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>
        <v>59.93</v>
      </c>
      <c r="BG2105" s="8">
        <v>67.989999999999995</v>
      </c>
      <c r="BH2105" s="9">
        <f t="shared" si="288"/>
        <v>1493.63</v>
      </c>
      <c r="BI2105" s="9">
        <f t="shared" si="289"/>
        <v>3</v>
      </c>
      <c r="BJ2105" s="9">
        <f t="shared" si="290"/>
        <v>6.45</v>
      </c>
      <c r="BK2105" s="9">
        <f t="shared" si="291"/>
        <v>21.92</v>
      </c>
      <c r="BL2105" s="9">
        <f t="shared" si="292"/>
        <v>0</v>
      </c>
      <c r="BM2105" s="9">
        <f t="shared" si="293"/>
        <v>21.223120000000002</v>
      </c>
      <c r="BN2105" s="9">
        <f t="shared" si="294"/>
        <v>912.44</v>
      </c>
      <c r="BO2105" s="9">
        <f t="shared" si="295"/>
        <v>0</v>
      </c>
      <c r="BP2105" s="9">
        <f t="shared" si="296"/>
        <v>59.93</v>
      </c>
    </row>
    <row r="2106" spans="1:68">
      <c r="A2106" s="6">
        <v>44918</v>
      </c>
      <c r="B2106" s="7">
        <v>3141</v>
      </c>
      <c r="C2106" s="8">
        <v>2437.15</v>
      </c>
      <c r="D2106" s="8">
        <v>431.24</v>
      </c>
      <c r="E2106" s="8"/>
      <c r="F2106" s="8"/>
      <c r="G2106" s="8"/>
      <c r="H2106" s="8"/>
      <c r="I2106" s="8"/>
      <c r="J2106" s="8"/>
      <c r="K2106" s="8"/>
      <c r="L2106" s="8"/>
      <c r="M2106" s="8">
        <v>8.4</v>
      </c>
      <c r="N2106" s="8"/>
      <c r="O2106" s="8"/>
      <c r="P2106" s="8"/>
      <c r="Q2106" s="11"/>
      <c r="R2106" s="11"/>
      <c r="S2106" s="8">
        <v>13.51</v>
      </c>
      <c r="T2106" s="8"/>
      <c r="U2106" s="8">
        <v>43.13</v>
      </c>
      <c r="V2106" s="8"/>
      <c r="W2106" s="8"/>
      <c r="X2106" s="8"/>
      <c r="Y2106" s="8"/>
      <c r="Z2106" s="8"/>
      <c r="AA2106" s="8"/>
      <c r="AB2106" s="8"/>
      <c r="AC2106" s="8">
        <v>11.51</v>
      </c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11"/>
      <c r="AQ2106" s="8"/>
      <c r="AR2106" s="8"/>
      <c r="AS2106" s="8"/>
      <c r="AT2106" s="8">
        <v>1888.84</v>
      </c>
      <c r="AU2106" s="8"/>
      <c r="AV2106" s="8"/>
      <c r="AW2106" s="8"/>
      <c r="AX2106" s="8"/>
      <c r="AY2106" s="8"/>
      <c r="AZ2106" s="8"/>
      <c r="BA2106" s="8">
        <v>65.83</v>
      </c>
      <c r="BB2106" s="8"/>
      <c r="BC2106" s="8"/>
      <c r="BD2106" s="8"/>
      <c r="BE2106" s="8"/>
      <c r="BF2106" s="8"/>
      <c r="BG2106" s="8">
        <v>149.69</v>
      </c>
      <c r="BH2106" s="9">
        <f t="shared" si="288"/>
        <v>2868.3900000000003</v>
      </c>
      <c r="BI2106" s="9">
        <f t="shared" si="289"/>
        <v>8.4</v>
      </c>
      <c r="BJ2106" s="9">
        <f t="shared" si="290"/>
        <v>13.51</v>
      </c>
      <c r="BK2106" s="9">
        <f t="shared" si="291"/>
        <v>43.13</v>
      </c>
      <c r="BL2106" s="9">
        <f t="shared" si="292"/>
        <v>0</v>
      </c>
      <c r="BM2106" s="9">
        <f t="shared" si="293"/>
        <v>11.51</v>
      </c>
      <c r="BN2106" s="9">
        <f t="shared" si="294"/>
        <v>1888.84</v>
      </c>
      <c r="BO2106" s="9">
        <f t="shared" si="295"/>
        <v>65.83</v>
      </c>
      <c r="BP2106" s="9">
        <f t="shared" si="296"/>
        <v>0</v>
      </c>
    </row>
    <row r="2107" spans="1:68">
      <c r="A2107" s="6">
        <v>44918</v>
      </c>
      <c r="B2107" s="7">
        <v>8278</v>
      </c>
      <c r="C2107" s="8">
        <v>1204.4000000000001</v>
      </c>
      <c r="D2107" s="8">
        <v>212.72</v>
      </c>
      <c r="E2107" s="8"/>
      <c r="F2107" s="8"/>
      <c r="G2107" s="8"/>
      <c r="H2107" s="8"/>
      <c r="I2107" s="8"/>
      <c r="J2107" s="8"/>
      <c r="K2107" s="8"/>
      <c r="L2107" s="8"/>
      <c r="M2107" s="8">
        <v>4.1100000000000003</v>
      </c>
      <c r="N2107" s="8"/>
      <c r="O2107" s="8"/>
      <c r="P2107" s="8"/>
      <c r="Q2107" s="11"/>
      <c r="R2107" s="11"/>
      <c r="S2107" s="8">
        <v>6.67</v>
      </c>
      <c r="T2107" s="8"/>
      <c r="U2107" s="8">
        <v>21.28</v>
      </c>
      <c r="V2107" s="8"/>
      <c r="W2107" s="8"/>
      <c r="X2107" s="8"/>
      <c r="Y2107" s="8"/>
      <c r="Z2107" s="8"/>
      <c r="AA2107" s="8"/>
      <c r="AB2107" s="8"/>
      <c r="AC2107" s="8">
        <v>5.67</v>
      </c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11"/>
      <c r="AQ2107" s="8"/>
      <c r="AR2107" s="8"/>
      <c r="AS2107" s="8"/>
      <c r="AT2107" s="8">
        <v>940.95</v>
      </c>
      <c r="AU2107" s="8"/>
      <c r="AV2107" s="8"/>
      <c r="AW2107" s="8"/>
      <c r="AX2107" s="8"/>
      <c r="AY2107" s="8"/>
      <c r="AZ2107" s="8"/>
      <c r="BA2107" s="8"/>
      <c r="BB2107" s="8"/>
      <c r="BC2107" s="8"/>
      <c r="BD2107" s="8">
        <v>3.55</v>
      </c>
      <c r="BE2107" s="8">
        <f>1378*9.45/1000</f>
        <v>13.022099999999998</v>
      </c>
      <c r="BF2107" s="8">
        <v>99.29</v>
      </c>
      <c r="BG2107" s="8">
        <v>73.86</v>
      </c>
      <c r="BH2107" s="9">
        <f t="shared" si="288"/>
        <v>1417.1200000000001</v>
      </c>
      <c r="BI2107" s="9">
        <f t="shared" si="289"/>
        <v>4.1100000000000003</v>
      </c>
      <c r="BJ2107" s="9">
        <f t="shared" si="290"/>
        <v>6.67</v>
      </c>
      <c r="BK2107" s="9">
        <f t="shared" si="291"/>
        <v>21.28</v>
      </c>
      <c r="BL2107" s="9">
        <f t="shared" si="292"/>
        <v>0</v>
      </c>
      <c r="BM2107" s="9">
        <f t="shared" si="293"/>
        <v>5.67</v>
      </c>
      <c r="BN2107" s="9">
        <f t="shared" si="294"/>
        <v>940.95</v>
      </c>
      <c r="BO2107" s="9">
        <f t="shared" si="295"/>
        <v>16.572099999999999</v>
      </c>
      <c r="BP2107" s="9">
        <f t="shared" si="296"/>
        <v>99.29</v>
      </c>
    </row>
    <row r="2108" spans="1:68">
      <c r="A2108" s="6">
        <v>44918</v>
      </c>
      <c r="B2108" s="7">
        <v>3110</v>
      </c>
      <c r="C2108" s="8">
        <v>1259.22</v>
      </c>
      <c r="D2108" s="8"/>
      <c r="E2108" s="8"/>
      <c r="F2108" s="8"/>
      <c r="G2108" s="8"/>
      <c r="H2108" s="8"/>
      <c r="I2108" s="8"/>
      <c r="J2108" s="8"/>
      <c r="K2108" s="8"/>
      <c r="L2108" s="8"/>
      <c r="M2108" s="8">
        <v>2.0099999999999998</v>
      </c>
      <c r="N2108" s="8"/>
      <c r="O2108" s="8"/>
      <c r="P2108" s="8"/>
      <c r="Q2108" s="11"/>
      <c r="R2108" s="11"/>
      <c r="S2108" s="8">
        <v>4.3</v>
      </c>
      <c r="T2108" s="8"/>
      <c r="U2108" s="8">
        <v>12.64</v>
      </c>
      <c r="V2108" s="8"/>
      <c r="W2108" s="8"/>
      <c r="X2108" s="8"/>
      <c r="Y2108" s="8"/>
      <c r="Z2108" s="8"/>
      <c r="AA2108" s="8"/>
      <c r="AB2108" s="8"/>
      <c r="AC2108" s="8">
        <v>5.04</v>
      </c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11"/>
      <c r="AQ2108" s="8"/>
      <c r="AR2108" s="8"/>
      <c r="AS2108" s="8"/>
      <c r="AT2108" s="8">
        <v>660.26</v>
      </c>
      <c r="AU2108" s="8"/>
      <c r="AV2108" s="8">
        <v>21.49</v>
      </c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>
        <v>48.37</v>
      </c>
      <c r="BH2108" s="9">
        <f t="shared" si="288"/>
        <v>1259.22</v>
      </c>
      <c r="BI2108" s="9">
        <f t="shared" si="289"/>
        <v>2.0099999999999998</v>
      </c>
      <c r="BJ2108" s="9">
        <f t="shared" si="290"/>
        <v>4.3</v>
      </c>
      <c r="BK2108" s="9">
        <f t="shared" si="291"/>
        <v>12.64</v>
      </c>
      <c r="BL2108" s="9">
        <f t="shared" si="292"/>
        <v>0</v>
      </c>
      <c r="BM2108" s="9">
        <f t="shared" si="293"/>
        <v>5.04</v>
      </c>
      <c r="BN2108" s="9">
        <f t="shared" si="294"/>
        <v>660.26</v>
      </c>
      <c r="BO2108" s="9">
        <f t="shared" si="295"/>
        <v>21.49</v>
      </c>
      <c r="BP2108" s="9">
        <f t="shared" si="296"/>
        <v>0</v>
      </c>
    </row>
    <row r="2109" spans="1:68">
      <c r="A2109" s="6">
        <v>44921</v>
      </c>
      <c r="B2109" s="7">
        <v>3141</v>
      </c>
      <c r="C2109" s="8">
        <v>2444.31</v>
      </c>
      <c r="D2109" s="8">
        <v>431.88</v>
      </c>
      <c r="E2109" s="8"/>
      <c r="F2109" s="8"/>
      <c r="G2109" s="8"/>
      <c r="H2109" s="8"/>
      <c r="I2109" s="8"/>
      <c r="J2109" s="8"/>
      <c r="K2109" s="8"/>
      <c r="L2109" s="8"/>
      <c r="M2109" s="8">
        <v>8.2799999999999994</v>
      </c>
      <c r="N2109" s="8"/>
      <c r="O2109" s="8"/>
      <c r="P2109" s="8"/>
      <c r="Q2109" s="11"/>
      <c r="R2109" s="11"/>
      <c r="S2109" s="8">
        <v>13.54</v>
      </c>
      <c r="T2109" s="8"/>
      <c r="U2109" s="8">
        <v>43.13</v>
      </c>
      <c r="V2109" s="8"/>
      <c r="W2109" s="8"/>
      <c r="X2109" s="8"/>
      <c r="Y2109" s="8"/>
      <c r="Z2109" s="8"/>
      <c r="AA2109" s="8"/>
      <c r="AB2109" s="8"/>
      <c r="AC2109" s="8">
        <v>11.53</v>
      </c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11"/>
      <c r="AQ2109" s="8"/>
      <c r="AR2109" s="8"/>
      <c r="AS2109" s="8"/>
      <c r="AT2109" s="8">
        <v>1910.96</v>
      </c>
      <c r="AU2109" s="8"/>
      <c r="AV2109" s="8"/>
      <c r="AW2109" s="8"/>
      <c r="AX2109" s="8"/>
      <c r="AY2109" s="8"/>
      <c r="AZ2109" s="8"/>
      <c r="BA2109" s="8">
        <v>66.06</v>
      </c>
      <c r="BB2109" s="8"/>
      <c r="BC2109" s="8"/>
      <c r="BD2109" s="8"/>
      <c r="BE2109" s="8"/>
      <c r="BF2109" s="8">
        <v>201.69</v>
      </c>
      <c r="BG2109" s="8">
        <v>149.66</v>
      </c>
      <c r="BH2109" s="9">
        <f t="shared" si="288"/>
        <v>2876.19</v>
      </c>
      <c r="BI2109" s="9">
        <f t="shared" si="289"/>
        <v>8.2799999999999994</v>
      </c>
      <c r="BJ2109" s="9">
        <f t="shared" si="290"/>
        <v>13.54</v>
      </c>
      <c r="BK2109" s="9">
        <f t="shared" si="291"/>
        <v>43.13</v>
      </c>
      <c r="BL2109" s="9">
        <f t="shared" si="292"/>
        <v>0</v>
      </c>
      <c r="BM2109" s="9">
        <f t="shared" si="293"/>
        <v>11.53</v>
      </c>
      <c r="BN2109" s="9">
        <f t="shared" si="294"/>
        <v>1910.96</v>
      </c>
      <c r="BO2109" s="9">
        <f t="shared" si="295"/>
        <v>66.06</v>
      </c>
      <c r="BP2109" s="9">
        <f t="shared" si="296"/>
        <v>201.69</v>
      </c>
    </row>
    <row r="2110" spans="1:68">
      <c r="A2110" s="6">
        <v>44921</v>
      </c>
      <c r="B2110" s="7">
        <v>3134</v>
      </c>
      <c r="C2110" s="8">
        <v>1079.72</v>
      </c>
      <c r="D2110" s="8">
        <v>151.05000000000001</v>
      </c>
      <c r="E2110" s="8"/>
      <c r="F2110" s="8"/>
      <c r="G2110" s="8"/>
      <c r="H2110" s="8">
        <v>510.49</v>
      </c>
      <c r="I2110" s="8"/>
      <c r="J2110" s="8"/>
      <c r="K2110" s="8"/>
      <c r="L2110" s="8"/>
      <c r="M2110" s="8">
        <v>3.34</v>
      </c>
      <c r="N2110" s="8"/>
      <c r="O2110" s="8"/>
      <c r="P2110" s="8"/>
      <c r="Q2110" s="11"/>
      <c r="R2110" s="11"/>
      <c r="S2110" s="8">
        <v>6.96</v>
      </c>
      <c r="T2110" s="8"/>
      <c r="U2110" s="8">
        <v>19.68</v>
      </c>
      <c r="V2110" s="8"/>
      <c r="W2110" s="8"/>
      <c r="X2110" s="8"/>
      <c r="Y2110" s="8"/>
      <c r="Z2110" s="8"/>
      <c r="AA2110" s="8"/>
      <c r="AB2110" s="8"/>
      <c r="AC2110" s="8">
        <v>6.05</v>
      </c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11"/>
      <c r="AQ2110" s="8"/>
      <c r="AR2110" s="8"/>
      <c r="AS2110" s="8"/>
      <c r="AT2110" s="8">
        <v>1064.95</v>
      </c>
      <c r="AU2110" s="8"/>
      <c r="AV2110" s="8"/>
      <c r="AW2110" s="8"/>
      <c r="AX2110" s="8"/>
      <c r="AY2110" s="8">
        <f>1396*10.82/1000</f>
        <v>15.10472</v>
      </c>
      <c r="AZ2110" s="8"/>
      <c r="BA2110" s="8"/>
      <c r="BB2110" s="8"/>
      <c r="BC2110" s="8"/>
      <c r="BD2110" s="8"/>
      <c r="BE2110" s="8"/>
      <c r="BF2110" s="8">
        <v>68.27</v>
      </c>
      <c r="BG2110" s="8">
        <v>80.13</v>
      </c>
      <c r="BH2110" s="9">
        <f t="shared" si="288"/>
        <v>1741.26</v>
      </c>
      <c r="BI2110" s="9">
        <f t="shared" si="289"/>
        <v>3.34</v>
      </c>
      <c r="BJ2110" s="9">
        <f t="shared" si="290"/>
        <v>6.96</v>
      </c>
      <c r="BK2110" s="9">
        <f t="shared" si="291"/>
        <v>19.68</v>
      </c>
      <c r="BL2110" s="9">
        <f t="shared" si="292"/>
        <v>0</v>
      </c>
      <c r="BM2110" s="9">
        <f t="shared" si="293"/>
        <v>6.05</v>
      </c>
      <c r="BN2110" s="9">
        <f t="shared" si="294"/>
        <v>1064.95</v>
      </c>
      <c r="BO2110" s="9">
        <f t="shared" si="295"/>
        <v>15.10472</v>
      </c>
      <c r="BP2110" s="9">
        <f t="shared" si="296"/>
        <v>68.27</v>
      </c>
    </row>
    <row r="2111" spans="1:68">
      <c r="A2111" s="6">
        <v>44921</v>
      </c>
      <c r="B2111" s="7">
        <v>3106</v>
      </c>
      <c r="C2111" s="8">
        <v>4170.45</v>
      </c>
      <c r="D2111" s="8"/>
      <c r="E2111" s="8"/>
      <c r="F2111" s="8"/>
      <c r="G2111" s="8"/>
      <c r="H2111" s="8"/>
      <c r="I2111" s="8"/>
      <c r="J2111" s="8"/>
      <c r="K2111" s="8"/>
      <c r="L2111" s="8"/>
      <c r="M2111" s="8">
        <v>11.26</v>
      </c>
      <c r="N2111" s="8"/>
      <c r="O2111" s="8"/>
      <c r="P2111" s="8"/>
      <c r="Q2111" s="11"/>
      <c r="R2111" s="11"/>
      <c r="S2111" s="8">
        <v>12.55</v>
      </c>
      <c r="T2111" s="8"/>
      <c r="U2111" s="8">
        <v>53.05</v>
      </c>
      <c r="V2111" s="8"/>
      <c r="W2111" s="8"/>
      <c r="X2111" s="8"/>
      <c r="Y2111" s="8"/>
      <c r="Z2111" s="8"/>
      <c r="AA2111" s="8"/>
      <c r="AB2111" s="8"/>
      <c r="AC2111" s="8">
        <v>10.44</v>
      </c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11"/>
      <c r="AQ2111" s="8"/>
      <c r="AR2111" s="8"/>
      <c r="AS2111" s="8"/>
      <c r="AT2111" s="8">
        <v>2380.46</v>
      </c>
      <c r="AU2111" s="8"/>
      <c r="AV2111" s="8"/>
      <c r="AW2111" s="8"/>
      <c r="AX2111" s="8">
        <v>5.22</v>
      </c>
      <c r="AY2111" s="8"/>
      <c r="AZ2111" s="8"/>
      <c r="BA2111" s="8"/>
      <c r="BB2111" s="8"/>
      <c r="BC2111" s="8"/>
      <c r="BD2111" s="8"/>
      <c r="BE2111" s="8"/>
      <c r="BF2111" s="8"/>
      <c r="BG2111" s="8">
        <v>179.22</v>
      </c>
      <c r="BH2111" s="9">
        <f t="shared" si="288"/>
        <v>4170.45</v>
      </c>
      <c r="BI2111" s="9">
        <f t="shared" si="289"/>
        <v>11.26</v>
      </c>
      <c r="BJ2111" s="9">
        <f t="shared" si="290"/>
        <v>12.55</v>
      </c>
      <c r="BK2111" s="9">
        <f t="shared" si="291"/>
        <v>53.05</v>
      </c>
      <c r="BL2111" s="9">
        <f t="shared" si="292"/>
        <v>0</v>
      </c>
      <c r="BM2111" s="9">
        <f t="shared" si="293"/>
        <v>10.44</v>
      </c>
      <c r="BN2111" s="9">
        <f t="shared" si="294"/>
        <v>2380.46</v>
      </c>
      <c r="BO2111" s="9">
        <f t="shared" si="295"/>
        <v>5.22</v>
      </c>
      <c r="BP2111" s="9">
        <f t="shared" si="296"/>
        <v>0</v>
      </c>
    </row>
    <row r="2112" spans="1:68">
      <c r="A2112" s="6">
        <v>44921</v>
      </c>
      <c r="B2112" s="7">
        <v>3144</v>
      </c>
      <c r="C2112" s="8">
        <v>1258.43</v>
      </c>
      <c r="D2112" s="8">
        <v>222</v>
      </c>
      <c r="E2112" s="8"/>
      <c r="F2112" s="8"/>
      <c r="G2112" s="8"/>
      <c r="H2112" s="8"/>
      <c r="I2112" s="8"/>
      <c r="J2112" s="8"/>
      <c r="K2112" s="8"/>
      <c r="L2112" s="8"/>
      <c r="M2112" s="8">
        <v>4.42</v>
      </c>
      <c r="N2112" s="8"/>
      <c r="O2112" s="8"/>
      <c r="P2112" s="8"/>
      <c r="Q2112" s="11"/>
      <c r="R2112" s="11"/>
      <c r="S2112" s="8">
        <v>6.96</v>
      </c>
      <c r="T2112" s="8"/>
      <c r="U2112" s="8">
        <v>22.22</v>
      </c>
      <c r="V2112" s="8"/>
      <c r="W2112" s="8"/>
      <c r="X2112" s="8"/>
      <c r="Y2112" s="8"/>
      <c r="Z2112" s="8"/>
      <c r="AA2112" s="8"/>
      <c r="AB2112" s="8"/>
      <c r="AC2112" s="8">
        <v>5.93</v>
      </c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11">
        <f>1203*9.85/1000</f>
        <v>11.849549999999999</v>
      </c>
      <c r="AQ2112" s="8"/>
      <c r="AR2112" s="8"/>
      <c r="AS2112" s="8"/>
      <c r="AT2112" s="8">
        <v>974.28</v>
      </c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>
        <v>103.6</v>
      </c>
      <c r="BG2112" s="8">
        <v>77.09</v>
      </c>
      <c r="BH2112" s="9">
        <f t="shared" si="288"/>
        <v>1480.43</v>
      </c>
      <c r="BI2112" s="9">
        <f t="shared" si="289"/>
        <v>4.42</v>
      </c>
      <c r="BJ2112" s="9">
        <f t="shared" si="290"/>
        <v>6.96</v>
      </c>
      <c r="BK2112" s="9">
        <f t="shared" si="291"/>
        <v>22.22</v>
      </c>
      <c r="BL2112" s="9">
        <f t="shared" si="292"/>
        <v>0</v>
      </c>
      <c r="BM2112" s="9">
        <f t="shared" si="293"/>
        <v>17.77955</v>
      </c>
      <c r="BN2112" s="9">
        <f t="shared" si="294"/>
        <v>974.28</v>
      </c>
      <c r="BO2112" s="9">
        <f t="shared" si="295"/>
        <v>0</v>
      </c>
      <c r="BP2112" s="9">
        <f t="shared" si="296"/>
        <v>103.6</v>
      </c>
    </row>
    <row r="2113" spans="1:68">
      <c r="A2113" s="6">
        <v>44921</v>
      </c>
      <c r="B2113" s="7">
        <v>3079</v>
      </c>
      <c r="C2113" s="8"/>
      <c r="D2113" s="8"/>
      <c r="E2113" s="8"/>
      <c r="F2113" s="8">
        <v>342.63</v>
      </c>
      <c r="G2113" s="8"/>
      <c r="H2113" s="8"/>
      <c r="I2113" s="8">
        <v>2771.9</v>
      </c>
      <c r="J2113" s="8"/>
      <c r="K2113" s="8"/>
      <c r="L2113" s="8"/>
      <c r="M2113" s="8"/>
      <c r="N2113" s="8">
        <v>22.14</v>
      </c>
      <c r="O2113" s="8"/>
      <c r="P2113" s="8"/>
      <c r="Q2113" s="11"/>
      <c r="R2113" s="11"/>
      <c r="S2113" s="8">
        <v>1.24</v>
      </c>
      <c r="T2113" s="8"/>
      <c r="U2113" s="8"/>
      <c r="V2113" s="8"/>
      <c r="W2113" s="8">
        <v>31.19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>
        <v>12.46</v>
      </c>
      <c r="AN2113" s="8">
        <f>1715*18.32/1000</f>
        <v>31.418800000000001</v>
      </c>
      <c r="AO2113" s="8"/>
      <c r="AP2113" s="11"/>
      <c r="AQ2113" s="8"/>
      <c r="AR2113" s="8">
        <f>4278*18.32/1000</f>
        <v>78.372960000000006</v>
      </c>
      <c r="AS2113" s="8"/>
      <c r="AT2113" s="8">
        <v>1196.1600000000001</v>
      </c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>
        <v>87.4</v>
      </c>
      <c r="BH2113" s="9">
        <f t="shared" si="288"/>
        <v>3114.53</v>
      </c>
      <c r="BI2113" s="9">
        <f t="shared" si="289"/>
        <v>22.14</v>
      </c>
      <c r="BJ2113" s="9">
        <f t="shared" si="290"/>
        <v>1.24</v>
      </c>
      <c r="BK2113" s="9">
        <f t="shared" si="291"/>
        <v>31.19</v>
      </c>
      <c r="BL2113" s="9">
        <f t="shared" si="292"/>
        <v>0</v>
      </c>
      <c r="BM2113" s="9">
        <f t="shared" si="293"/>
        <v>122.25176</v>
      </c>
      <c r="BN2113" s="9">
        <f t="shared" si="294"/>
        <v>1196.1600000000001</v>
      </c>
      <c r="BO2113" s="9">
        <f t="shared" si="295"/>
        <v>0</v>
      </c>
      <c r="BP2113" s="9">
        <f t="shared" si="296"/>
        <v>0</v>
      </c>
    </row>
    <row r="2114" spans="1:68">
      <c r="A2114" s="6">
        <v>44921</v>
      </c>
      <c r="B2114" s="7">
        <v>3083</v>
      </c>
      <c r="C2114" s="8"/>
      <c r="D2114" s="8">
        <v>737.95</v>
      </c>
      <c r="E2114" s="8"/>
      <c r="F2114" s="8"/>
      <c r="G2114" s="8"/>
      <c r="H2114" s="8"/>
      <c r="I2114" s="8">
        <v>1723.35</v>
      </c>
      <c r="J2114" s="8"/>
      <c r="K2114" s="8"/>
      <c r="L2114" s="8"/>
      <c r="M2114" s="8"/>
      <c r="N2114" s="8">
        <v>15.5</v>
      </c>
      <c r="O2114" s="8"/>
      <c r="P2114" s="8"/>
      <c r="Q2114" s="11"/>
      <c r="R2114" s="11"/>
      <c r="S2114" s="8">
        <v>1.71</v>
      </c>
      <c r="T2114" s="8"/>
      <c r="U2114" s="8"/>
      <c r="V2114" s="8"/>
      <c r="W2114" s="8">
        <v>19.690000000000001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>
        <v>9.84</v>
      </c>
      <c r="AN2114" s="8">
        <f>1920*18.23/1000</f>
        <v>35.001599999999996</v>
      </c>
      <c r="AO2114" s="8"/>
      <c r="AP2114" s="11"/>
      <c r="AQ2114" s="8"/>
      <c r="AR2114" s="8">
        <f>3440*18.23/1000</f>
        <v>62.711200000000005</v>
      </c>
      <c r="AS2114" s="8"/>
      <c r="AT2114" s="8">
        <v>1154.44</v>
      </c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>
        <v>91.74</v>
      </c>
      <c r="BH2114" s="9">
        <f t="shared" si="288"/>
        <v>2461.3000000000002</v>
      </c>
      <c r="BI2114" s="9">
        <f t="shared" si="289"/>
        <v>15.5</v>
      </c>
      <c r="BJ2114" s="9">
        <f t="shared" si="290"/>
        <v>1.71</v>
      </c>
      <c r="BK2114" s="9">
        <f t="shared" si="291"/>
        <v>19.690000000000001</v>
      </c>
      <c r="BL2114" s="9">
        <f t="shared" si="292"/>
        <v>0</v>
      </c>
      <c r="BM2114" s="9">
        <f t="shared" si="293"/>
        <v>107.5528</v>
      </c>
      <c r="BN2114" s="9">
        <f t="shared" si="294"/>
        <v>1154.44</v>
      </c>
      <c r="BO2114" s="9">
        <f t="shared" si="295"/>
        <v>0</v>
      </c>
      <c r="BP2114" s="9">
        <f t="shared" si="296"/>
        <v>0</v>
      </c>
    </row>
    <row r="2115" spans="1:68">
      <c r="A2115" s="6">
        <v>44921</v>
      </c>
      <c r="B2115" s="7">
        <v>3016</v>
      </c>
      <c r="C2115" s="8"/>
      <c r="D2115" s="8">
        <v>1547.31</v>
      </c>
      <c r="E2115" s="8"/>
      <c r="F2115" s="8"/>
      <c r="G2115" s="8"/>
      <c r="H2115" s="8"/>
      <c r="I2115" s="8">
        <v>1433.23</v>
      </c>
      <c r="J2115" s="8"/>
      <c r="K2115" s="8"/>
      <c r="L2115" s="8"/>
      <c r="M2115" s="8"/>
      <c r="N2115" s="8">
        <v>17.91</v>
      </c>
      <c r="O2115" s="8"/>
      <c r="P2115" s="8"/>
      <c r="Q2115" s="11"/>
      <c r="R2115" s="11"/>
      <c r="S2115" s="8">
        <v>2.09</v>
      </c>
      <c r="T2115" s="8"/>
      <c r="U2115" s="8"/>
      <c r="V2115" s="8"/>
      <c r="W2115" s="8">
        <v>30.02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>
        <v>11.89</v>
      </c>
      <c r="AN2115" s="8">
        <f>2049*17.55/1000</f>
        <v>35.959950000000006</v>
      </c>
      <c r="AO2115" s="8"/>
      <c r="AP2115" s="11"/>
      <c r="AQ2115" s="8"/>
      <c r="AR2115" s="8">
        <f>4278*17.55/1000</f>
        <v>75.078900000000004</v>
      </c>
      <c r="AS2115" s="8"/>
      <c r="AT2115" s="8">
        <v>1107.83</v>
      </c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>
        <v>81</v>
      </c>
      <c r="BH2115" s="9">
        <f t="shared" si="288"/>
        <v>2980.54</v>
      </c>
      <c r="BI2115" s="9">
        <f t="shared" si="289"/>
        <v>17.91</v>
      </c>
      <c r="BJ2115" s="9">
        <f t="shared" si="290"/>
        <v>2.09</v>
      </c>
      <c r="BK2115" s="9">
        <f t="shared" si="291"/>
        <v>30.02</v>
      </c>
      <c r="BL2115" s="9">
        <f t="shared" si="292"/>
        <v>0</v>
      </c>
      <c r="BM2115" s="9">
        <f t="shared" si="293"/>
        <v>122.92885000000001</v>
      </c>
      <c r="BN2115" s="9">
        <f t="shared" si="294"/>
        <v>1107.83</v>
      </c>
      <c r="BO2115" s="9">
        <f t="shared" si="295"/>
        <v>0</v>
      </c>
      <c r="BP2115" s="9">
        <f t="shared" si="296"/>
        <v>0</v>
      </c>
    </row>
    <row r="2116" spans="1:68">
      <c r="A2116" s="6">
        <v>44922</v>
      </c>
      <c r="B2116" s="7">
        <v>3203</v>
      </c>
      <c r="C2116" s="8">
        <v>864.33</v>
      </c>
      <c r="D2116" s="8"/>
      <c r="E2116" s="8">
        <v>370.24</v>
      </c>
      <c r="F2116" s="8"/>
      <c r="G2116" s="8"/>
      <c r="H2116" s="8"/>
      <c r="I2116" s="8"/>
      <c r="J2116" s="8"/>
      <c r="K2116" s="8"/>
      <c r="L2116" s="8"/>
      <c r="M2116" s="8"/>
      <c r="N2116" s="8"/>
      <c r="O2116" s="8">
        <v>3.71</v>
      </c>
      <c r="P2116" s="8"/>
      <c r="Q2116" s="11"/>
      <c r="R2116" s="11"/>
      <c r="S2116" s="8">
        <v>4.83</v>
      </c>
      <c r="T2116" s="8"/>
      <c r="U2116" s="8">
        <v>15.34</v>
      </c>
      <c r="V2116" s="8"/>
      <c r="W2116" s="8"/>
      <c r="X2116" s="8"/>
      <c r="Y2116" s="8"/>
      <c r="Z2116" s="8">
        <v>194.85</v>
      </c>
      <c r="AA2116" s="8">
        <f>10426*14.55/1000</f>
        <v>151.69830000000002</v>
      </c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11"/>
      <c r="AQ2116" s="8"/>
      <c r="AR2116" s="8"/>
      <c r="AS2116" s="8"/>
      <c r="AT2116" s="8">
        <v>463.06</v>
      </c>
      <c r="AU2116" s="8">
        <v>231.58</v>
      </c>
      <c r="AV2116" s="8"/>
      <c r="AW2116" s="8"/>
      <c r="AX2116" s="8"/>
      <c r="AY2116" s="8"/>
      <c r="AZ2116" s="8"/>
      <c r="BA2116" s="8"/>
      <c r="BB2116" s="8"/>
      <c r="BC2116" s="8">
        <v>3.22</v>
      </c>
      <c r="BD2116" s="8"/>
      <c r="BE2116" s="8"/>
      <c r="BF2116" s="8"/>
      <c r="BG2116" s="8">
        <v>45.11</v>
      </c>
      <c r="BH2116" s="9">
        <f t="shared" ref="BH2116:BH2179" si="297">SUM(C2116:L2116)</f>
        <v>1234.5700000000002</v>
      </c>
      <c r="BI2116" s="9">
        <f t="shared" ref="BI2116:BI2179" si="298">SUM(M2116:R2116)</f>
        <v>3.71</v>
      </c>
      <c r="BJ2116" s="9">
        <f t="shared" ref="BJ2116:BJ2179" si="299">SUM(S2116)</f>
        <v>4.83</v>
      </c>
      <c r="BK2116" s="9">
        <f t="shared" ref="BK2116:BK2179" si="300">SUM(T2116:Y2116)</f>
        <v>15.34</v>
      </c>
      <c r="BL2116" s="9">
        <f t="shared" ref="BL2116:BL2179" si="301">SUM(Z2116:AA2116)</f>
        <v>346.54830000000004</v>
      </c>
      <c r="BM2116" s="9">
        <f t="shared" ref="BM2116:BM2179" si="302">SUM(AB2116:AS2116)</f>
        <v>0</v>
      </c>
      <c r="BN2116" s="9">
        <f t="shared" ref="BN2116:BN2179" si="303">SUM(AT2116:AU2116)</f>
        <v>694.64</v>
      </c>
      <c r="BO2116" s="9">
        <f t="shared" ref="BO2116:BO2179" si="304">SUM(AV2116:BE2116)</f>
        <v>3.22</v>
      </c>
      <c r="BP2116" s="9">
        <f t="shared" ref="BP2116:BP2179" si="305">SUM(BF2116)</f>
        <v>0</v>
      </c>
    </row>
    <row r="2117" spans="1:68">
      <c r="A2117" s="6">
        <v>44922</v>
      </c>
      <c r="B2117" s="7">
        <v>3200</v>
      </c>
      <c r="C2117" s="8">
        <v>1199.17</v>
      </c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>
        <v>3.01</v>
      </c>
      <c r="P2117" s="8"/>
      <c r="Q2117" s="11"/>
      <c r="R2117" s="11"/>
      <c r="S2117" s="8">
        <v>4.68</v>
      </c>
      <c r="T2117" s="8"/>
      <c r="U2117" s="8">
        <v>17.989999999999998</v>
      </c>
      <c r="V2117" s="8"/>
      <c r="W2117" s="8"/>
      <c r="X2117" s="8"/>
      <c r="Y2117" s="8"/>
      <c r="Z2117" s="8">
        <v>251.96</v>
      </c>
      <c r="AA2117" s="8"/>
      <c r="AB2117" s="8"/>
      <c r="AC2117" s="8"/>
      <c r="AD2117" s="8"/>
      <c r="AE2117" s="8"/>
      <c r="AF2117" s="8">
        <v>60.12</v>
      </c>
      <c r="AG2117" s="8"/>
      <c r="AH2117" s="8"/>
      <c r="AI2117" s="8"/>
      <c r="AJ2117" s="8"/>
      <c r="AK2117" s="8"/>
      <c r="AL2117" s="8"/>
      <c r="AM2117" s="8"/>
      <c r="AN2117" s="8"/>
      <c r="AO2117" s="8"/>
      <c r="AP2117" s="11"/>
      <c r="AQ2117" s="8">
        <f>1529*11.98/1000</f>
        <v>18.317420000000002</v>
      </c>
      <c r="AR2117" s="8"/>
      <c r="AS2117" s="8"/>
      <c r="AT2117" s="8">
        <v>821.04</v>
      </c>
      <c r="AU2117" s="8"/>
      <c r="AV2117" s="8"/>
      <c r="AW2117" s="8">
        <v>3.53</v>
      </c>
      <c r="AX2117" s="8"/>
      <c r="AY2117" s="8"/>
      <c r="AZ2117" s="8"/>
      <c r="BA2117" s="8"/>
      <c r="BB2117" s="8"/>
      <c r="BC2117" s="8"/>
      <c r="BD2117" s="8"/>
      <c r="BE2117" s="8"/>
      <c r="BF2117" s="8">
        <v>57.55</v>
      </c>
      <c r="BG2117" s="8">
        <v>59.58</v>
      </c>
      <c r="BH2117" s="9">
        <f t="shared" si="297"/>
        <v>1199.17</v>
      </c>
      <c r="BI2117" s="9">
        <f t="shared" si="298"/>
        <v>3.01</v>
      </c>
      <c r="BJ2117" s="9">
        <f t="shared" si="299"/>
        <v>4.68</v>
      </c>
      <c r="BK2117" s="9">
        <f t="shared" si="300"/>
        <v>17.989999999999998</v>
      </c>
      <c r="BL2117" s="9">
        <f t="shared" si="301"/>
        <v>251.96</v>
      </c>
      <c r="BM2117" s="9">
        <f t="shared" si="302"/>
        <v>78.437420000000003</v>
      </c>
      <c r="BN2117" s="9">
        <f t="shared" si="303"/>
        <v>821.04</v>
      </c>
      <c r="BO2117" s="9">
        <f t="shared" si="304"/>
        <v>3.53</v>
      </c>
      <c r="BP2117" s="9">
        <f t="shared" si="305"/>
        <v>57.55</v>
      </c>
    </row>
    <row r="2118" spans="1:68">
      <c r="A2118" s="6">
        <v>44922</v>
      </c>
      <c r="B2118" s="7">
        <v>3102</v>
      </c>
      <c r="C2118" s="8">
        <v>453.61</v>
      </c>
      <c r="D2118" s="8"/>
      <c r="E2118" s="8"/>
      <c r="F2118" s="8"/>
      <c r="G2118" s="8"/>
      <c r="H2118" s="8"/>
      <c r="I2118" s="8"/>
      <c r="J2118" s="8"/>
      <c r="K2118" s="8"/>
      <c r="L2118" s="8"/>
      <c r="M2118" s="8">
        <v>1.27</v>
      </c>
      <c r="N2118" s="8"/>
      <c r="O2118" s="8"/>
      <c r="P2118" s="8"/>
      <c r="Q2118" s="11"/>
      <c r="R2118" s="11"/>
      <c r="S2118" s="8">
        <v>2.04</v>
      </c>
      <c r="T2118" s="8"/>
      <c r="U2118" s="8">
        <v>5.44</v>
      </c>
      <c r="V2118" s="8"/>
      <c r="W2118" s="8"/>
      <c r="X2118" s="8"/>
      <c r="Y2118" s="8"/>
      <c r="Z2118" s="8"/>
      <c r="AA2118" s="8"/>
      <c r="AB2118" s="8"/>
      <c r="AC2118" s="8">
        <v>1.81</v>
      </c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11"/>
      <c r="AQ2118" s="8"/>
      <c r="AR2118" s="8"/>
      <c r="AS2118" s="8"/>
      <c r="AT2118" s="8">
        <v>302.16000000000003</v>
      </c>
      <c r="AU2118" s="8"/>
      <c r="AV2118" s="8"/>
      <c r="AW2118" s="8"/>
      <c r="AX2118" s="8"/>
      <c r="AY2118" s="8"/>
      <c r="AZ2118" s="8"/>
      <c r="BA2118" s="8">
        <v>10.34</v>
      </c>
      <c r="BB2118" s="8"/>
      <c r="BC2118" s="8"/>
      <c r="BD2118" s="8"/>
      <c r="BE2118" s="8"/>
      <c r="BF2118" s="8">
        <v>31.75</v>
      </c>
      <c r="BG2118" s="8">
        <v>22.42</v>
      </c>
      <c r="BH2118" s="9">
        <f t="shared" si="297"/>
        <v>453.61</v>
      </c>
      <c r="BI2118" s="9">
        <f t="shared" si="298"/>
        <v>1.27</v>
      </c>
      <c r="BJ2118" s="9">
        <f t="shared" si="299"/>
        <v>2.04</v>
      </c>
      <c r="BK2118" s="9">
        <f t="shared" si="300"/>
        <v>5.44</v>
      </c>
      <c r="BL2118" s="9">
        <f t="shared" si="301"/>
        <v>0</v>
      </c>
      <c r="BM2118" s="9">
        <f t="shared" si="302"/>
        <v>1.81</v>
      </c>
      <c r="BN2118" s="9">
        <f t="shared" si="303"/>
        <v>302.16000000000003</v>
      </c>
      <c r="BO2118" s="9">
        <f t="shared" si="304"/>
        <v>10.34</v>
      </c>
      <c r="BP2118" s="9">
        <f t="shared" si="305"/>
        <v>31.75</v>
      </c>
    </row>
    <row r="2119" spans="1:68">
      <c r="A2119" s="6">
        <v>44922</v>
      </c>
      <c r="B2119" s="7">
        <v>3106</v>
      </c>
      <c r="C2119" s="8">
        <v>6172.17</v>
      </c>
      <c r="D2119" s="8"/>
      <c r="E2119" s="8"/>
      <c r="F2119" s="8"/>
      <c r="G2119" s="8"/>
      <c r="H2119" s="8"/>
      <c r="I2119" s="8"/>
      <c r="J2119" s="8"/>
      <c r="K2119" s="8"/>
      <c r="L2119" s="8"/>
      <c r="M2119" s="8">
        <v>16.62</v>
      </c>
      <c r="N2119" s="8"/>
      <c r="O2119" s="8"/>
      <c r="P2119" s="8"/>
      <c r="Q2119" s="11"/>
      <c r="R2119" s="11"/>
      <c r="S2119" s="8">
        <v>18.559999999999999</v>
      </c>
      <c r="T2119" s="8"/>
      <c r="U2119" s="8">
        <v>78.94</v>
      </c>
      <c r="V2119" s="8"/>
      <c r="W2119" s="8"/>
      <c r="X2119" s="8"/>
      <c r="Y2119" s="8"/>
      <c r="Z2119" s="8"/>
      <c r="AA2119" s="8"/>
      <c r="AB2119" s="8"/>
      <c r="AC2119" s="8">
        <v>15.43</v>
      </c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11"/>
      <c r="AQ2119" s="8"/>
      <c r="AR2119" s="8"/>
      <c r="AS2119" s="8"/>
      <c r="AT2119" s="8">
        <v>3520.89</v>
      </c>
      <c r="AU2119" s="8"/>
      <c r="AV2119" s="8"/>
      <c r="AW2119" s="8"/>
      <c r="AX2119" s="8">
        <v>7.72</v>
      </c>
      <c r="AY2119" s="8"/>
      <c r="AZ2119" s="8"/>
      <c r="BA2119" s="8"/>
      <c r="BB2119" s="8"/>
      <c r="BC2119" s="8"/>
      <c r="BD2119" s="8"/>
      <c r="BE2119" s="8"/>
      <c r="BF2119" s="8"/>
      <c r="BG2119" s="8">
        <v>265.05</v>
      </c>
      <c r="BH2119" s="9">
        <f t="shared" si="297"/>
        <v>6172.17</v>
      </c>
      <c r="BI2119" s="9">
        <f t="shared" si="298"/>
        <v>16.62</v>
      </c>
      <c r="BJ2119" s="9">
        <f t="shared" si="299"/>
        <v>18.559999999999999</v>
      </c>
      <c r="BK2119" s="9">
        <f t="shared" si="300"/>
        <v>78.94</v>
      </c>
      <c r="BL2119" s="9">
        <f t="shared" si="301"/>
        <v>0</v>
      </c>
      <c r="BM2119" s="9">
        <f t="shared" si="302"/>
        <v>15.43</v>
      </c>
      <c r="BN2119" s="9">
        <f t="shared" si="303"/>
        <v>3520.89</v>
      </c>
      <c r="BO2119" s="9">
        <f t="shared" si="304"/>
        <v>7.72</v>
      </c>
      <c r="BP2119" s="9">
        <f t="shared" si="305"/>
        <v>0</v>
      </c>
    </row>
    <row r="2120" spans="1:68">
      <c r="A2120" s="6">
        <v>44922</v>
      </c>
      <c r="B2120" s="7">
        <v>3108</v>
      </c>
      <c r="C2120" s="8">
        <v>2310.15</v>
      </c>
      <c r="D2120" s="8"/>
      <c r="E2120" s="8"/>
      <c r="F2120" s="8"/>
      <c r="G2120" s="8"/>
      <c r="H2120" s="8"/>
      <c r="I2120" s="8"/>
      <c r="J2120" s="8"/>
      <c r="K2120" s="8"/>
      <c r="L2120" s="8"/>
      <c r="M2120" s="8">
        <v>5.78</v>
      </c>
      <c r="N2120" s="8"/>
      <c r="O2120" s="8"/>
      <c r="P2120" s="8"/>
      <c r="Q2120" s="11"/>
      <c r="R2120" s="11"/>
      <c r="S2120" s="8">
        <v>7.4</v>
      </c>
      <c r="T2120" s="8"/>
      <c r="U2120" s="8">
        <v>29.37</v>
      </c>
      <c r="V2120" s="8"/>
      <c r="W2120" s="8"/>
      <c r="X2120" s="8"/>
      <c r="Y2120" s="8"/>
      <c r="Z2120" s="8"/>
      <c r="AA2120" s="8"/>
      <c r="AB2120" s="8"/>
      <c r="AC2120" s="8">
        <v>9.23</v>
      </c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11"/>
      <c r="AQ2120" s="8"/>
      <c r="AR2120" s="8"/>
      <c r="AS2120" s="8"/>
      <c r="AT2120" s="8">
        <v>1256.24</v>
      </c>
      <c r="AU2120" s="8"/>
      <c r="AV2120" s="8"/>
      <c r="AW2120" s="8"/>
      <c r="AX2120" s="8"/>
      <c r="AY2120" s="8"/>
      <c r="AZ2120" s="8"/>
      <c r="BA2120" s="8">
        <v>86.05</v>
      </c>
      <c r="BB2120" s="8"/>
      <c r="BC2120" s="8"/>
      <c r="BD2120" s="8"/>
      <c r="BE2120" s="8"/>
      <c r="BF2120" s="8"/>
      <c r="BG2120" s="8">
        <v>93.47</v>
      </c>
      <c r="BH2120" s="9">
        <f t="shared" si="297"/>
        <v>2310.15</v>
      </c>
      <c r="BI2120" s="9">
        <f t="shared" si="298"/>
        <v>5.78</v>
      </c>
      <c r="BJ2120" s="9">
        <f t="shared" si="299"/>
        <v>7.4</v>
      </c>
      <c r="BK2120" s="9">
        <f t="shared" si="300"/>
        <v>29.37</v>
      </c>
      <c r="BL2120" s="9">
        <f t="shared" si="301"/>
        <v>0</v>
      </c>
      <c r="BM2120" s="9">
        <f t="shared" si="302"/>
        <v>9.23</v>
      </c>
      <c r="BN2120" s="9">
        <f t="shared" si="303"/>
        <v>1256.24</v>
      </c>
      <c r="BO2120" s="9">
        <f t="shared" si="304"/>
        <v>86.05</v>
      </c>
      <c r="BP2120" s="9">
        <f t="shared" si="305"/>
        <v>0</v>
      </c>
    </row>
    <row r="2121" spans="1:68">
      <c r="A2121" s="6">
        <v>44922</v>
      </c>
      <c r="B2121" s="7">
        <v>3121</v>
      </c>
      <c r="C2121" s="8">
        <v>2277.92</v>
      </c>
      <c r="D2121" s="8"/>
      <c r="E2121" s="8"/>
      <c r="F2121" s="8"/>
      <c r="G2121" s="8"/>
      <c r="H2121" s="8"/>
      <c r="I2121" s="8"/>
      <c r="J2121" s="8"/>
      <c r="K2121" s="8"/>
      <c r="L2121" s="8"/>
      <c r="M2121" s="8">
        <v>5.68</v>
      </c>
      <c r="N2121" s="8"/>
      <c r="O2121" s="8"/>
      <c r="P2121" s="8"/>
      <c r="Q2121" s="11"/>
      <c r="R2121" s="11"/>
      <c r="S2121" s="8">
        <v>7.3</v>
      </c>
      <c r="T2121" s="8"/>
      <c r="U2121" s="8">
        <v>22.78</v>
      </c>
      <c r="V2121" s="8"/>
      <c r="W2121" s="8"/>
      <c r="X2121" s="8"/>
      <c r="Y2121" s="8"/>
      <c r="Z2121" s="8"/>
      <c r="AA2121" s="8"/>
      <c r="AB2121" s="8"/>
      <c r="AC2121" s="8">
        <v>9.11</v>
      </c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11"/>
      <c r="AQ2121" s="8">
        <f>2237*10.35/1000</f>
        <v>23.152950000000001</v>
      </c>
      <c r="AR2121" s="8"/>
      <c r="AS2121" s="8"/>
      <c r="AT2121" s="8">
        <v>1202.92</v>
      </c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>
        <v>89.04</v>
      </c>
      <c r="BH2121" s="9">
        <f t="shared" si="297"/>
        <v>2277.92</v>
      </c>
      <c r="BI2121" s="9">
        <f t="shared" si="298"/>
        <v>5.68</v>
      </c>
      <c r="BJ2121" s="9">
        <f t="shared" si="299"/>
        <v>7.3</v>
      </c>
      <c r="BK2121" s="9">
        <f t="shared" si="300"/>
        <v>22.78</v>
      </c>
      <c r="BL2121" s="9">
        <f t="shared" si="301"/>
        <v>0</v>
      </c>
      <c r="BM2121" s="9">
        <f t="shared" si="302"/>
        <v>32.262950000000004</v>
      </c>
      <c r="BN2121" s="9">
        <f t="shared" si="303"/>
        <v>1202.92</v>
      </c>
      <c r="BO2121" s="9">
        <f t="shared" si="304"/>
        <v>0</v>
      </c>
      <c r="BP2121" s="9">
        <f t="shared" si="305"/>
        <v>0</v>
      </c>
    </row>
    <row r="2122" spans="1:68">
      <c r="A2122" s="6">
        <v>44922</v>
      </c>
      <c r="B2122" s="7">
        <v>3029</v>
      </c>
      <c r="C2122" s="8"/>
      <c r="D2122" s="8">
        <v>463.28</v>
      </c>
      <c r="E2122" s="8"/>
      <c r="F2122" s="8">
        <v>327.24</v>
      </c>
      <c r="G2122" s="8"/>
      <c r="H2122" s="8"/>
      <c r="I2122" s="8">
        <v>1935.43</v>
      </c>
      <c r="J2122" s="8"/>
      <c r="K2122" s="8"/>
      <c r="L2122" s="8"/>
      <c r="M2122" s="8"/>
      <c r="N2122" s="8">
        <v>21.03</v>
      </c>
      <c r="O2122" s="8"/>
      <c r="P2122" s="8"/>
      <c r="Q2122" s="11"/>
      <c r="R2122" s="11"/>
      <c r="S2122" s="8">
        <v>1.63</v>
      </c>
      <c r="T2122" s="8"/>
      <c r="U2122" s="8"/>
      <c r="V2122" s="8"/>
      <c r="W2122" s="8">
        <v>27.31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>
        <v>9.5</v>
      </c>
      <c r="AN2122" s="8">
        <f>753*18.18/1000</f>
        <v>13.689539999999999</v>
      </c>
      <c r="AO2122" s="8"/>
      <c r="AP2122" s="11"/>
      <c r="AQ2122" s="8"/>
      <c r="AR2122" s="8">
        <f>4592*18.18/1000</f>
        <v>83.482559999999992</v>
      </c>
      <c r="AS2122" s="8"/>
      <c r="AT2122" s="8">
        <v>1036.44</v>
      </c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>
        <v>72.44</v>
      </c>
      <c r="BH2122" s="9">
        <f t="shared" si="297"/>
        <v>2725.95</v>
      </c>
      <c r="BI2122" s="9">
        <f t="shared" si="298"/>
        <v>21.03</v>
      </c>
      <c r="BJ2122" s="9">
        <f t="shared" si="299"/>
        <v>1.63</v>
      </c>
      <c r="BK2122" s="9">
        <f t="shared" si="300"/>
        <v>27.31</v>
      </c>
      <c r="BL2122" s="9">
        <f t="shared" si="301"/>
        <v>0</v>
      </c>
      <c r="BM2122" s="9">
        <f t="shared" si="302"/>
        <v>106.6721</v>
      </c>
      <c r="BN2122" s="9">
        <f t="shared" si="303"/>
        <v>1036.44</v>
      </c>
      <c r="BO2122" s="9">
        <f t="shared" si="304"/>
        <v>0</v>
      </c>
      <c r="BP2122" s="9">
        <f t="shared" si="305"/>
        <v>0</v>
      </c>
    </row>
    <row r="2123" spans="1:68">
      <c r="A2123" s="6">
        <v>44922</v>
      </c>
      <c r="B2123" s="7">
        <v>3031</v>
      </c>
      <c r="C2123" s="8"/>
      <c r="D2123" s="8"/>
      <c r="E2123" s="8"/>
      <c r="F2123" s="8"/>
      <c r="G2123" s="8"/>
      <c r="H2123" s="8"/>
      <c r="I2123" s="8">
        <v>96.67</v>
      </c>
      <c r="J2123" s="8"/>
      <c r="K2123" s="8"/>
      <c r="L2123" s="8"/>
      <c r="M2123" s="8"/>
      <c r="N2123" s="8">
        <v>0.7</v>
      </c>
      <c r="O2123" s="8"/>
      <c r="P2123" s="8"/>
      <c r="Q2123" s="11"/>
      <c r="R2123" s="11"/>
      <c r="S2123" s="8">
        <v>7.0000000000000007E-2</v>
      </c>
      <c r="T2123" s="8"/>
      <c r="U2123" s="8"/>
      <c r="V2123" s="8"/>
      <c r="W2123" s="8">
        <v>0.98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>
        <f>1795*0.82/1000</f>
        <v>1.4718999999999998</v>
      </c>
      <c r="AJ2123" s="8"/>
      <c r="AK2123" s="8"/>
      <c r="AL2123" s="8"/>
      <c r="AM2123" s="8"/>
      <c r="AN2123" s="8">
        <f>1207*0.82/1000</f>
        <v>0.98973999999999984</v>
      </c>
      <c r="AO2123" s="8"/>
      <c r="AP2123" s="11"/>
      <c r="AQ2123" s="8"/>
      <c r="AR2123" s="8">
        <f>3610*0.82/1000</f>
        <v>2.9601999999999999</v>
      </c>
      <c r="AS2123" s="8"/>
      <c r="AT2123" s="8">
        <v>46.1</v>
      </c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>
        <v>3.16</v>
      </c>
      <c r="BH2123" s="9">
        <f t="shared" si="297"/>
        <v>96.67</v>
      </c>
      <c r="BI2123" s="9">
        <f t="shared" si="298"/>
        <v>0.7</v>
      </c>
      <c r="BJ2123" s="9">
        <f t="shared" si="299"/>
        <v>7.0000000000000007E-2</v>
      </c>
      <c r="BK2123" s="9">
        <f t="shared" si="300"/>
        <v>0.98</v>
      </c>
      <c r="BL2123" s="9">
        <f t="shared" si="301"/>
        <v>0</v>
      </c>
      <c r="BM2123" s="9">
        <f t="shared" si="302"/>
        <v>5.4218399999999995</v>
      </c>
      <c r="BN2123" s="9">
        <f t="shared" si="303"/>
        <v>46.1</v>
      </c>
      <c r="BO2123" s="9">
        <f t="shared" si="304"/>
        <v>0</v>
      </c>
      <c r="BP2123" s="9">
        <f t="shared" si="305"/>
        <v>0</v>
      </c>
    </row>
    <row r="2124" spans="1:68">
      <c r="A2124" s="6">
        <v>44922</v>
      </c>
      <c r="B2124" s="7">
        <v>3020</v>
      </c>
      <c r="C2124" s="8"/>
      <c r="D2124" s="8">
        <v>315.77999999999997</v>
      </c>
      <c r="E2124" s="8"/>
      <c r="F2124" s="8"/>
      <c r="G2124" s="8"/>
      <c r="H2124" s="8"/>
      <c r="I2124" s="8">
        <v>1794.72</v>
      </c>
      <c r="J2124" s="8"/>
      <c r="K2124" s="8"/>
      <c r="L2124" s="8"/>
      <c r="M2124" s="8"/>
      <c r="N2124" s="8">
        <v>12.66</v>
      </c>
      <c r="O2124" s="8"/>
      <c r="P2124" s="8"/>
      <c r="Q2124" s="11"/>
      <c r="R2124" s="11"/>
      <c r="S2124" s="8">
        <v>3.79</v>
      </c>
      <c r="T2124" s="8"/>
      <c r="U2124" s="8"/>
      <c r="V2124" s="8"/>
      <c r="W2124" s="8">
        <v>21.12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>
        <v>21.07</v>
      </c>
      <c r="AN2124" s="8"/>
      <c r="AO2124" s="8"/>
      <c r="AP2124" s="11"/>
      <c r="AQ2124" s="8"/>
      <c r="AR2124" s="8"/>
      <c r="AS2124" s="8">
        <f>3025*17.58/1000</f>
        <v>53.17949999999999</v>
      </c>
      <c r="AT2124" s="8">
        <v>1037.82</v>
      </c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>
        <v>76.05</v>
      </c>
      <c r="BH2124" s="9">
        <f t="shared" si="297"/>
        <v>2110.5</v>
      </c>
      <c r="BI2124" s="9">
        <f t="shared" si="298"/>
        <v>12.66</v>
      </c>
      <c r="BJ2124" s="9">
        <f t="shared" si="299"/>
        <v>3.79</v>
      </c>
      <c r="BK2124" s="9">
        <f t="shared" si="300"/>
        <v>21.12</v>
      </c>
      <c r="BL2124" s="9">
        <f t="shared" si="301"/>
        <v>0</v>
      </c>
      <c r="BM2124" s="9">
        <f t="shared" si="302"/>
        <v>74.249499999999983</v>
      </c>
      <c r="BN2124" s="9">
        <f t="shared" si="303"/>
        <v>1037.82</v>
      </c>
      <c r="BO2124" s="9">
        <f t="shared" si="304"/>
        <v>0</v>
      </c>
      <c r="BP2124" s="9">
        <f t="shared" si="305"/>
        <v>0</v>
      </c>
    </row>
    <row r="2125" spans="1:68">
      <c r="A2125" s="6">
        <v>44922</v>
      </c>
      <c r="B2125" s="7">
        <v>3021</v>
      </c>
      <c r="C2125" s="8"/>
      <c r="D2125" s="8">
        <v>187.92</v>
      </c>
      <c r="E2125" s="8"/>
      <c r="F2125" s="8"/>
      <c r="G2125" s="8"/>
      <c r="H2125" s="8"/>
      <c r="I2125" s="8">
        <v>349.63</v>
      </c>
      <c r="J2125" s="8"/>
      <c r="K2125" s="8"/>
      <c r="L2125" s="8"/>
      <c r="M2125" s="8"/>
      <c r="N2125" s="8">
        <v>2.86</v>
      </c>
      <c r="O2125" s="8"/>
      <c r="P2125" s="8"/>
      <c r="Q2125" s="11"/>
      <c r="R2125" s="11"/>
      <c r="S2125" s="8">
        <v>0.97</v>
      </c>
      <c r="T2125" s="8"/>
      <c r="U2125" s="8"/>
      <c r="V2125" s="8"/>
      <c r="W2125" s="8">
        <v>5.38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>
        <v>5.4</v>
      </c>
      <c r="AN2125" s="8"/>
      <c r="AO2125" s="8"/>
      <c r="AP2125" s="11"/>
      <c r="AQ2125" s="8"/>
      <c r="AR2125" s="8"/>
      <c r="AS2125" s="8">
        <f>2633*5.13/1000</f>
        <v>13.507289999999999</v>
      </c>
      <c r="AT2125" s="8">
        <v>253.88</v>
      </c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>
        <v>19.13</v>
      </c>
      <c r="BH2125" s="9">
        <f t="shared" si="297"/>
        <v>537.54999999999995</v>
      </c>
      <c r="BI2125" s="9">
        <f t="shared" si="298"/>
        <v>2.86</v>
      </c>
      <c r="BJ2125" s="9">
        <f t="shared" si="299"/>
        <v>0.97</v>
      </c>
      <c r="BK2125" s="9">
        <f t="shared" si="300"/>
        <v>5.38</v>
      </c>
      <c r="BL2125" s="9">
        <f t="shared" si="301"/>
        <v>0</v>
      </c>
      <c r="BM2125" s="9">
        <f t="shared" si="302"/>
        <v>18.90729</v>
      </c>
      <c r="BN2125" s="9">
        <f t="shared" si="303"/>
        <v>253.88</v>
      </c>
      <c r="BO2125" s="9">
        <f t="shared" si="304"/>
        <v>0</v>
      </c>
      <c r="BP2125" s="9">
        <f t="shared" si="305"/>
        <v>0</v>
      </c>
    </row>
    <row r="2126" spans="1:68">
      <c r="A2126" s="6">
        <v>44922</v>
      </c>
      <c r="B2126" s="7">
        <v>3028</v>
      </c>
      <c r="C2126" s="8"/>
      <c r="D2126" s="8">
        <v>415.36</v>
      </c>
      <c r="E2126" s="8"/>
      <c r="F2126" s="8">
        <v>381.23</v>
      </c>
      <c r="G2126" s="8"/>
      <c r="H2126" s="8"/>
      <c r="I2126" s="8">
        <v>861.68</v>
      </c>
      <c r="J2126" s="8"/>
      <c r="K2126" s="8"/>
      <c r="L2126" s="8"/>
      <c r="M2126" s="8"/>
      <c r="N2126" s="8">
        <v>12.4</v>
      </c>
      <c r="O2126" s="8"/>
      <c r="P2126" s="8"/>
      <c r="Q2126" s="11"/>
      <c r="R2126" s="11"/>
      <c r="S2126" s="8">
        <v>2.3199999999999998</v>
      </c>
      <c r="T2126" s="8"/>
      <c r="U2126" s="8"/>
      <c r="V2126" s="8"/>
      <c r="W2126" s="8">
        <v>12.44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>
        <v>16.55</v>
      </c>
      <c r="AN2126" s="8">
        <f>1049*11.05/1000</f>
        <v>11.59145</v>
      </c>
      <c r="AO2126" s="8"/>
      <c r="AP2126" s="11"/>
      <c r="AQ2126" s="8"/>
      <c r="AR2126" s="8">
        <f>4947*11.05/1000</f>
        <v>54.664350000000006</v>
      </c>
      <c r="AS2126" s="8"/>
      <c r="AT2126" s="8">
        <v>551.75</v>
      </c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>
        <v>37.6</v>
      </c>
      <c r="BH2126" s="9">
        <f t="shared" si="297"/>
        <v>1658.27</v>
      </c>
      <c r="BI2126" s="9">
        <f t="shared" si="298"/>
        <v>12.4</v>
      </c>
      <c r="BJ2126" s="9">
        <f t="shared" si="299"/>
        <v>2.3199999999999998</v>
      </c>
      <c r="BK2126" s="9">
        <f t="shared" si="300"/>
        <v>12.44</v>
      </c>
      <c r="BL2126" s="9">
        <f t="shared" si="301"/>
        <v>0</v>
      </c>
      <c r="BM2126" s="9">
        <f t="shared" si="302"/>
        <v>82.805800000000005</v>
      </c>
      <c r="BN2126" s="9">
        <f t="shared" si="303"/>
        <v>551.75</v>
      </c>
      <c r="BO2126" s="9">
        <f t="shared" si="304"/>
        <v>0</v>
      </c>
      <c r="BP2126" s="9">
        <f t="shared" si="305"/>
        <v>0</v>
      </c>
    </row>
    <row r="2127" spans="1:68">
      <c r="A2127" s="6">
        <v>44922</v>
      </c>
      <c r="B2127" s="7">
        <v>3082</v>
      </c>
      <c r="C2127" s="8"/>
      <c r="D2127" s="8"/>
      <c r="E2127" s="8"/>
      <c r="F2127" s="8">
        <f>3.71+44.25</f>
        <v>47.96</v>
      </c>
      <c r="G2127" s="8"/>
      <c r="H2127" s="8"/>
      <c r="I2127" s="8">
        <f>4.12+34.05</f>
        <v>38.169999999999995</v>
      </c>
      <c r="J2127" s="8"/>
      <c r="K2127" s="8">
        <f>65200*2.37/1000</f>
        <v>154.524</v>
      </c>
      <c r="L2127" s="8"/>
      <c r="M2127" s="8"/>
      <c r="N2127" s="8">
        <f>0.14+1.72</f>
        <v>1.8599999999999999</v>
      </c>
      <c r="O2127" s="8"/>
      <c r="P2127" s="8"/>
      <c r="Q2127" s="11"/>
      <c r="R2127" s="11"/>
      <c r="S2127" s="8"/>
      <c r="T2127" s="8"/>
      <c r="U2127" s="8"/>
      <c r="V2127" s="8"/>
      <c r="W2127" s="8">
        <f>0.18+2.21</f>
        <v>2.39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>
        <f>4494*2.37/1000</f>
        <v>10.650780000000001</v>
      </c>
      <c r="AI2127" s="8"/>
      <c r="AJ2127" s="8"/>
      <c r="AK2127" s="8"/>
      <c r="AL2127" s="8"/>
      <c r="AM2127" s="8"/>
      <c r="AN2127" s="8"/>
      <c r="AO2127" s="8"/>
      <c r="AP2127" s="11"/>
      <c r="AQ2127" s="8"/>
      <c r="AR2127" s="8">
        <f>2116*2.37/1000</f>
        <v>5.01492</v>
      </c>
      <c r="AS2127" s="8"/>
      <c r="AT2127" s="8"/>
      <c r="AU2127" s="8">
        <f>8.1+103.77</f>
        <v>111.86999999999999</v>
      </c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>
        <f>0.35+4.14</f>
        <v>4.4899999999999993</v>
      </c>
      <c r="BH2127" s="9">
        <f t="shared" si="297"/>
        <v>240.654</v>
      </c>
      <c r="BI2127" s="9">
        <f t="shared" si="298"/>
        <v>1.8599999999999999</v>
      </c>
      <c r="BJ2127" s="9">
        <f t="shared" si="299"/>
        <v>0</v>
      </c>
      <c r="BK2127" s="9">
        <f t="shared" si="300"/>
        <v>2.39</v>
      </c>
      <c r="BL2127" s="9">
        <f t="shared" si="301"/>
        <v>0</v>
      </c>
      <c r="BM2127" s="9">
        <f t="shared" si="302"/>
        <v>15.665700000000001</v>
      </c>
      <c r="BN2127" s="9">
        <f t="shared" si="303"/>
        <v>111.86999999999999</v>
      </c>
      <c r="BO2127" s="9">
        <f t="shared" si="304"/>
        <v>0</v>
      </c>
      <c r="BP2127" s="9">
        <f t="shared" si="305"/>
        <v>0</v>
      </c>
    </row>
    <row r="2128" spans="1:68">
      <c r="A2128" s="6">
        <v>44922</v>
      </c>
      <c r="B2128" s="7">
        <v>3702</v>
      </c>
      <c r="C2128" s="8">
        <v>558.99</v>
      </c>
      <c r="D2128" s="8">
        <v>373.65</v>
      </c>
      <c r="E2128" s="8"/>
      <c r="F2128" s="8"/>
      <c r="G2128" s="8"/>
      <c r="H2128" s="8"/>
      <c r="I2128" s="8"/>
      <c r="J2128" s="8"/>
      <c r="K2128" s="8"/>
      <c r="L2128" s="8"/>
      <c r="M2128" s="8">
        <v>1.87</v>
      </c>
      <c r="N2128" s="8"/>
      <c r="O2128" s="8"/>
      <c r="P2128" s="8"/>
      <c r="Q2128" s="11"/>
      <c r="R2128" s="11"/>
      <c r="S2128" s="8">
        <v>4.4000000000000004</v>
      </c>
      <c r="T2128" s="8"/>
      <c r="U2128" s="8">
        <v>7.01</v>
      </c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11"/>
      <c r="AQ2128" s="8"/>
      <c r="AR2128" s="8"/>
      <c r="AS2128" s="8"/>
      <c r="AT2128" s="8">
        <v>227.95</v>
      </c>
      <c r="AU2128" s="8">
        <v>113.92</v>
      </c>
      <c r="AV2128" s="8"/>
      <c r="AW2128" s="8">
        <v>2.08</v>
      </c>
      <c r="AX2128" s="8"/>
      <c r="AY2128" s="8"/>
      <c r="AZ2128" s="8"/>
      <c r="BA2128" s="8"/>
      <c r="BB2128" s="8"/>
      <c r="BC2128" s="8"/>
      <c r="BD2128" s="8"/>
      <c r="BE2128" s="8"/>
      <c r="BF2128" s="8"/>
      <c r="BG2128" s="8">
        <v>23.92</v>
      </c>
      <c r="BH2128" s="9">
        <f t="shared" si="297"/>
        <v>932.64</v>
      </c>
      <c r="BI2128" s="9">
        <f t="shared" si="298"/>
        <v>1.87</v>
      </c>
      <c r="BJ2128" s="9">
        <f t="shared" si="299"/>
        <v>4.4000000000000004</v>
      </c>
      <c r="BK2128" s="9">
        <f t="shared" si="300"/>
        <v>7.01</v>
      </c>
      <c r="BL2128" s="9">
        <f t="shared" si="301"/>
        <v>0</v>
      </c>
      <c r="BM2128" s="9">
        <f t="shared" si="302"/>
        <v>0</v>
      </c>
      <c r="BN2128" s="9">
        <f t="shared" si="303"/>
        <v>341.87</v>
      </c>
      <c r="BO2128" s="9">
        <f t="shared" si="304"/>
        <v>2.08</v>
      </c>
      <c r="BP2128" s="9">
        <f t="shared" si="305"/>
        <v>0</v>
      </c>
    </row>
    <row r="2129" spans="1:68">
      <c r="A2129" s="6">
        <v>44923</v>
      </c>
      <c r="B2129" s="7">
        <v>3139</v>
      </c>
      <c r="C2129" s="8">
        <v>1567.22</v>
      </c>
      <c r="D2129" s="8"/>
      <c r="E2129" s="8"/>
      <c r="F2129" s="8"/>
      <c r="G2129" s="8"/>
      <c r="H2129" s="8">
        <v>651.23</v>
      </c>
      <c r="I2129" s="8"/>
      <c r="J2129" s="8"/>
      <c r="K2129" s="8"/>
      <c r="L2129" s="8"/>
      <c r="M2129" s="8">
        <v>3.67</v>
      </c>
      <c r="N2129" s="8"/>
      <c r="O2129" s="8"/>
      <c r="P2129" s="8"/>
      <c r="Q2129" s="11"/>
      <c r="R2129" s="11"/>
      <c r="S2129" s="8">
        <v>7.09</v>
      </c>
      <c r="T2129" s="8"/>
      <c r="U2129" s="8">
        <v>23.17</v>
      </c>
      <c r="V2129" s="8"/>
      <c r="W2129" s="8"/>
      <c r="X2129" s="8"/>
      <c r="Y2129" s="8"/>
      <c r="Z2129" s="8"/>
      <c r="AA2129" s="8"/>
      <c r="AB2129" s="8"/>
      <c r="AC2129" s="8">
        <v>7.72</v>
      </c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11"/>
      <c r="AQ2129" s="8"/>
      <c r="AR2129" s="8"/>
      <c r="AS2129" s="8"/>
      <c r="AT2129" s="8">
        <v>1142.52</v>
      </c>
      <c r="AU2129" s="8"/>
      <c r="AV2129" s="8">
        <v>38.61</v>
      </c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>
        <v>82.97</v>
      </c>
      <c r="BH2129" s="9">
        <f t="shared" si="297"/>
        <v>2218.4499999999998</v>
      </c>
      <c r="BI2129" s="9">
        <f t="shared" si="298"/>
        <v>3.67</v>
      </c>
      <c r="BJ2129" s="9">
        <f t="shared" si="299"/>
        <v>7.09</v>
      </c>
      <c r="BK2129" s="9">
        <f t="shared" si="300"/>
        <v>23.17</v>
      </c>
      <c r="BL2129" s="9">
        <f t="shared" si="301"/>
        <v>0</v>
      </c>
      <c r="BM2129" s="9">
        <f t="shared" si="302"/>
        <v>7.72</v>
      </c>
      <c r="BN2129" s="9">
        <f t="shared" si="303"/>
        <v>1142.52</v>
      </c>
      <c r="BO2129" s="9">
        <f t="shared" si="304"/>
        <v>38.61</v>
      </c>
      <c r="BP2129" s="9">
        <f t="shared" si="305"/>
        <v>0</v>
      </c>
    </row>
    <row r="2130" spans="1:68">
      <c r="A2130" s="6">
        <v>44923</v>
      </c>
      <c r="B2130" s="7">
        <v>3801</v>
      </c>
      <c r="C2130" s="8">
        <v>75.8</v>
      </c>
      <c r="D2130" s="8"/>
      <c r="E2130" s="8"/>
      <c r="F2130" s="8"/>
      <c r="G2130" s="8"/>
      <c r="H2130" s="8"/>
      <c r="I2130" s="8"/>
      <c r="J2130" s="8"/>
      <c r="K2130" s="8"/>
      <c r="L2130" s="8">
        <f>42316*1.47/1000</f>
        <v>62.204519999999995</v>
      </c>
      <c r="M2130" s="8"/>
      <c r="N2130" s="8">
        <v>0.15</v>
      </c>
      <c r="O2130" s="8"/>
      <c r="P2130" s="8"/>
      <c r="Q2130" s="11"/>
      <c r="R2130" s="11"/>
      <c r="S2130" s="8">
        <v>0.61</v>
      </c>
      <c r="T2130" s="8"/>
      <c r="U2130" s="8">
        <v>0.67</v>
      </c>
      <c r="V2130" s="8"/>
      <c r="W2130" s="8"/>
      <c r="X2130" s="8"/>
      <c r="Y2130" s="8"/>
      <c r="Z2130" s="8">
        <v>11.07</v>
      </c>
      <c r="AA2130" s="8">
        <f>3027*1.47/1000</f>
        <v>4.4496899999999995</v>
      </c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11"/>
      <c r="AQ2130" s="8">
        <f>266*1.47/1000</f>
        <v>0.39101999999999998</v>
      </c>
      <c r="AR2130" s="8"/>
      <c r="AS2130" s="8"/>
      <c r="AT2130" s="8">
        <v>53.63</v>
      </c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>
        <v>4.08</v>
      </c>
      <c r="BH2130" s="9">
        <f t="shared" si="297"/>
        <v>138.00451999999999</v>
      </c>
      <c r="BI2130" s="9">
        <f t="shared" si="298"/>
        <v>0.15</v>
      </c>
      <c r="BJ2130" s="9">
        <f t="shared" si="299"/>
        <v>0.61</v>
      </c>
      <c r="BK2130" s="9">
        <f t="shared" si="300"/>
        <v>0.67</v>
      </c>
      <c r="BL2130" s="9">
        <f t="shared" si="301"/>
        <v>15.519690000000001</v>
      </c>
      <c r="BM2130" s="9">
        <f t="shared" si="302"/>
        <v>0.39101999999999998</v>
      </c>
      <c r="BN2130" s="9">
        <f t="shared" si="303"/>
        <v>53.63</v>
      </c>
      <c r="BO2130" s="9">
        <f t="shared" si="304"/>
        <v>0</v>
      </c>
      <c r="BP2130" s="9">
        <f t="shared" si="305"/>
        <v>0</v>
      </c>
    </row>
    <row r="2131" spans="1:68">
      <c r="A2131" s="6">
        <v>44923</v>
      </c>
      <c r="B2131" s="7">
        <v>3134</v>
      </c>
      <c r="C2131" s="8">
        <v>1091.51</v>
      </c>
      <c r="D2131" s="8">
        <v>153.37</v>
      </c>
      <c r="E2131" s="8"/>
      <c r="F2131" s="8"/>
      <c r="G2131" s="8"/>
      <c r="H2131" s="8">
        <v>517.16999999999996</v>
      </c>
      <c r="I2131" s="8"/>
      <c r="J2131" s="8"/>
      <c r="K2131" s="8"/>
      <c r="L2131" s="8"/>
      <c r="M2131" s="8">
        <v>3.37</v>
      </c>
      <c r="N2131" s="8"/>
      <c r="O2131" s="8"/>
      <c r="P2131" s="8"/>
      <c r="Q2131" s="11"/>
      <c r="R2131" s="11"/>
      <c r="S2131" s="8">
        <v>7.06</v>
      </c>
      <c r="T2131" s="8"/>
      <c r="U2131" s="8">
        <v>19.93</v>
      </c>
      <c r="V2131" s="8"/>
      <c r="W2131" s="8"/>
      <c r="X2131" s="8"/>
      <c r="Y2131" s="8"/>
      <c r="Z2131" s="8"/>
      <c r="AA2131" s="8"/>
      <c r="AB2131" s="8"/>
      <c r="AC2131" s="8">
        <v>6.13</v>
      </c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11"/>
      <c r="AQ2131" s="8"/>
      <c r="AR2131" s="8"/>
      <c r="AS2131" s="8"/>
      <c r="AT2131" s="8">
        <v>1080.42</v>
      </c>
      <c r="AU2131" s="8"/>
      <c r="AV2131" s="8"/>
      <c r="AW2131" s="8"/>
      <c r="AX2131" s="8"/>
      <c r="AY2131" s="8">
        <f>1426*10.95/1000</f>
        <v>15.614699999999999</v>
      </c>
      <c r="AZ2131" s="8"/>
      <c r="BA2131" s="8"/>
      <c r="BB2131" s="8"/>
      <c r="BC2131" s="8"/>
      <c r="BD2131" s="8"/>
      <c r="BE2131" s="8"/>
      <c r="BF2131" s="8">
        <v>69.02</v>
      </c>
      <c r="BG2131" s="8">
        <v>81.209999999999994</v>
      </c>
      <c r="BH2131" s="9">
        <f t="shared" si="297"/>
        <v>1762.0500000000002</v>
      </c>
      <c r="BI2131" s="9">
        <f t="shared" si="298"/>
        <v>3.37</v>
      </c>
      <c r="BJ2131" s="9">
        <f t="shared" si="299"/>
        <v>7.06</v>
      </c>
      <c r="BK2131" s="9">
        <f t="shared" si="300"/>
        <v>19.93</v>
      </c>
      <c r="BL2131" s="9">
        <f t="shared" si="301"/>
        <v>0</v>
      </c>
      <c r="BM2131" s="9">
        <f t="shared" si="302"/>
        <v>6.13</v>
      </c>
      <c r="BN2131" s="9">
        <f t="shared" si="303"/>
        <v>1080.42</v>
      </c>
      <c r="BO2131" s="9">
        <f t="shared" si="304"/>
        <v>15.614699999999999</v>
      </c>
      <c r="BP2131" s="9">
        <f t="shared" si="305"/>
        <v>69.02</v>
      </c>
    </row>
    <row r="2132" spans="1:68">
      <c r="A2132" s="6">
        <v>44923</v>
      </c>
      <c r="B2132" s="7">
        <v>3106</v>
      </c>
      <c r="C2132" s="8">
        <v>6147.8</v>
      </c>
      <c r="D2132" s="8"/>
      <c r="E2132" s="8"/>
      <c r="F2132" s="8"/>
      <c r="G2132" s="8"/>
      <c r="H2132" s="8"/>
      <c r="I2132" s="8"/>
      <c r="J2132" s="8"/>
      <c r="K2132" s="8"/>
      <c r="L2132" s="8"/>
      <c r="M2132" s="8">
        <v>16.59</v>
      </c>
      <c r="N2132" s="8"/>
      <c r="O2132" s="8"/>
      <c r="P2132" s="8"/>
      <c r="Q2132" s="11"/>
      <c r="R2132" s="11"/>
      <c r="S2132" s="8">
        <v>18.5</v>
      </c>
      <c r="T2132" s="8"/>
      <c r="U2132" s="8">
        <v>78.78</v>
      </c>
      <c r="V2132" s="8"/>
      <c r="W2132" s="8"/>
      <c r="X2132" s="8"/>
      <c r="Y2132" s="8"/>
      <c r="Z2132" s="8"/>
      <c r="AA2132" s="8"/>
      <c r="AB2132" s="8"/>
      <c r="AC2132" s="8">
        <v>15.39</v>
      </c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11"/>
      <c r="AQ2132" s="8"/>
      <c r="AR2132" s="8"/>
      <c r="AS2132" s="8"/>
      <c r="AT2132" s="8">
        <v>3505.53</v>
      </c>
      <c r="AU2132" s="8"/>
      <c r="AV2132" s="8"/>
      <c r="AW2132" s="8"/>
      <c r="AX2132" s="8">
        <v>7.7</v>
      </c>
      <c r="AY2132" s="8"/>
      <c r="AZ2132" s="8"/>
      <c r="BA2132" s="8"/>
      <c r="BB2132" s="8"/>
      <c r="BC2132" s="8"/>
      <c r="BD2132" s="8"/>
      <c r="BE2132" s="8"/>
      <c r="BF2132" s="8"/>
      <c r="BG2132" s="8">
        <v>264.27</v>
      </c>
      <c r="BH2132" s="9">
        <f t="shared" si="297"/>
        <v>6147.8</v>
      </c>
      <c r="BI2132" s="9">
        <f t="shared" si="298"/>
        <v>16.59</v>
      </c>
      <c r="BJ2132" s="9">
        <f t="shared" si="299"/>
        <v>18.5</v>
      </c>
      <c r="BK2132" s="9">
        <f t="shared" si="300"/>
        <v>78.78</v>
      </c>
      <c r="BL2132" s="9">
        <f t="shared" si="301"/>
        <v>0</v>
      </c>
      <c r="BM2132" s="9">
        <f t="shared" si="302"/>
        <v>15.39</v>
      </c>
      <c r="BN2132" s="9">
        <f t="shared" si="303"/>
        <v>3505.53</v>
      </c>
      <c r="BO2132" s="9">
        <f t="shared" si="304"/>
        <v>7.7</v>
      </c>
      <c r="BP2132" s="9">
        <f t="shared" si="305"/>
        <v>0</v>
      </c>
    </row>
    <row r="2133" spans="1:68">
      <c r="A2133" s="6">
        <v>44923</v>
      </c>
      <c r="B2133" s="7">
        <v>3121</v>
      </c>
      <c r="C2133" s="8">
        <v>1494.25</v>
      </c>
      <c r="D2133" s="8"/>
      <c r="E2133" s="8"/>
      <c r="F2133" s="8"/>
      <c r="G2133" s="8"/>
      <c r="H2133" s="8"/>
      <c r="I2133" s="8"/>
      <c r="J2133" s="8"/>
      <c r="K2133" s="8"/>
      <c r="L2133" s="8"/>
      <c r="M2133" s="8">
        <v>3.74</v>
      </c>
      <c r="N2133" s="8"/>
      <c r="O2133" s="8"/>
      <c r="P2133" s="8"/>
      <c r="Q2133" s="11"/>
      <c r="R2133" s="11"/>
      <c r="S2133" s="8">
        <v>4.79</v>
      </c>
      <c r="T2133" s="8"/>
      <c r="U2133" s="8">
        <v>14.97</v>
      </c>
      <c r="V2133" s="8"/>
      <c r="W2133" s="8"/>
      <c r="X2133" s="8"/>
      <c r="Y2133" s="8"/>
      <c r="Z2133" s="8"/>
      <c r="AA2133" s="8"/>
      <c r="AB2133" s="8"/>
      <c r="AC2133" s="8">
        <v>5.97</v>
      </c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11">
        <f>2213*6.8/1000</f>
        <v>15.048399999999999</v>
      </c>
      <c r="AQ2133" s="8"/>
      <c r="AR2133" s="8"/>
      <c r="AS2133" s="8"/>
      <c r="AT2133" s="8">
        <v>790.59</v>
      </c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>
        <v>58.34</v>
      </c>
      <c r="BH2133" s="9">
        <f t="shared" si="297"/>
        <v>1494.25</v>
      </c>
      <c r="BI2133" s="9">
        <f t="shared" si="298"/>
        <v>3.74</v>
      </c>
      <c r="BJ2133" s="9">
        <f t="shared" si="299"/>
        <v>4.79</v>
      </c>
      <c r="BK2133" s="9">
        <f t="shared" si="300"/>
        <v>14.97</v>
      </c>
      <c r="BL2133" s="9">
        <f t="shared" si="301"/>
        <v>0</v>
      </c>
      <c r="BM2133" s="9">
        <f t="shared" si="302"/>
        <v>21.0184</v>
      </c>
      <c r="BN2133" s="9">
        <f t="shared" si="303"/>
        <v>790.59</v>
      </c>
      <c r="BO2133" s="9">
        <f t="shared" si="304"/>
        <v>0</v>
      </c>
      <c r="BP2133" s="9">
        <f t="shared" si="305"/>
        <v>0</v>
      </c>
    </row>
    <row r="2134" spans="1:68">
      <c r="A2134" s="6">
        <v>44923</v>
      </c>
      <c r="B2134" s="7">
        <v>3010</v>
      </c>
      <c r="C2134" s="8">
        <v>673.83</v>
      </c>
      <c r="D2134" s="8">
        <v>450.41</v>
      </c>
      <c r="E2134" s="8"/>
      <c r="F2134" s="8"/>
      <c r="G2134" s="8"/>
      <c r="H2134" s="8"/>
      <c r="I2134" s="8"/>
      <c r="J2134" s="8"/>
      <c r="K2134" s="8"/>
      <c r="L2134" s="8"/>
      <c r="M2134" s="8"/>
      <c r="N2134" s="8">
        <v>2.25</v>
      </c>
      <c r="O2134" s="8"/>
      <c r="P2134" s="8"/>
      <c r="Q2134" s="11"/>
      <c r="R2134" s="11"/>
      <c r="S2134" s="8">
        <v>3.04</v>
      </c>
      <c r="T2134" s="8"/>
      <c r="U2134" s="8"/>
      <c r="V2134" s="8"/>
      <c r="W2134" s="8">
        <v>11.26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11"/>
      <c r="AQ2134" s="8"/>
      <c r="AR2134" s="8"/>
      <c r="AS2134" s="8"/>
      <c r="AT2134" s="8">
        <v>376.53</v>
      </c>
      <c r="AU2134" s="8"/>
      <c r="AV2134" s="8"/>
      <c r="AW2134" s="8">
        <v>12.48</v>
      </c>
      <c r="AX2134" s="8"/>
      <c r="AY2134" s="8"/>
      <c r="AZ2134" s="8"/>
      <c r="BA2134" s="8"/>
      <c r="BB2134" s="8"/>
      <c r="BC2134" s="8"/>
      <c r="BD2134" s="8"/>
      <c r="BE2134" s="8"/>
      <c r="BF2134" s="8"/>
      <c r="BG2134" s="8">
        <v>24.8</v>
      </c>
      <c r="BH2134" s="9">
        <f t="shared" si="297"/>
        <v>1124.24</v>
      </c>
      <c r="BI2134" s="9">
        <f t="shared" si="298"/>
        <v>2.25</v>
      </c>
      <c r="BJ2134" s="9">
        <f t="shared" si="299"/>
        <v>3.04</v>
      </c>
      <c r="BK2134" s="9">
        <f t="shared" si="300"/>
        <v>11.26</v>
      </c>
      <c r="BL2134" s="9">
        <f t="shared" si="301"/>
        <v>0</v>
      </c>
      <c r="BM2134" s="9">
        <f t="shared" si="302"/>
        <v>0</v>
      </c>
      <c r="BN2134" s="9">
        <f t="shared" si="303"/>
        <v>376.53</v>
      </c>
      <c r="BO2134" s="9">
        <f t="shared" si="304"/>
        <v>12.48</v>
      </c>
      <c r="BP2134" s="9">
        <f t="shared" si="305"/>
        <v>0</v>
      </c>
    </row>
    <row r="2135" spans="1:68">
      <c r="A2135" s="6">
        <v>44923</v>
      </c>
      <c r="B2135" s="7">
        <v>3307</v>
      </c>
      <c r="C2135" s="8"/>
      <c r="D2135" s="8">
        <v>1714.99</v>
      </c>
      <c r="E2135" s="8"/>
      <c r="F2135" s="8"/>
      <c r="G2135" s="8"/>
      <c r="H2135" s="8"/>
      <c r="I2135" s="8"/>
      <c r="J2135" s="8"/>
      <c r="K2135" s="8"/>
      <c r="L2135" s="8"/>
      <c r="M2135" s="8">
        <v>1.57</v>
      </c>
      <c r="N2135" s="8"/>
      <c r="O2135" s="8"/>
      <c r="P2135" s="8"/>
      <c r="Q2135" s="11"/>
      <c r="R2135" s="11"/>
      <c r="S2135" s="8">
        <v>11.65</v>
      </c>
      <c r="T2135" s="8"/>
      <c r="U2135" s="8">
        <v>17.170000000000002</v>
      </c>
      <c r="V2135" s="8"/>
      <c r="W2135" s="8"/>
      <c r="X2135" s="8"/>
      <c r="Y2135" s="8"/>
      <c r="Z2135" s="8"/>
      <c r="AA2135" s="8"/>
      <c r="AB2135" s="8"/>
      <c r="AC2135" s="8">
        <v>10.29</v>
      </c>
      <c r="AD2135" s="8"/>
      <c r="AE2135" s="8"/>
      <c r="AF2135" s="8"/>
      <c r="AG2135" s="8">
        <v>17.2</v>
      </c>
      <c r="AH2135" s="8"/>
      <c r="AI2135" s="8"/>
      <c r="AJ2135" s="8"/>
      <c r="AK2135" s="8"/>
      <c r="AL2135" s="8"/>
      <c r="AM2135" s="8"/>
      <c r="AN2135" s="8"/>
      <c r="AO2135" s="8"/>
      <c r="AP2135" s="11"/>
      <c r="AQ2135" s="8"/>
      <c r="AR2135" s="8"/>
      <c r="AS2135" s="8"/>
      <c r="AT2135" s="8"/>
      <c r="AU2135" s="8">
        <v>859.42</v>
      </c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>
        <v>61.63</v>
      </c>
      <c r="BH2135" s="9">
        <f t="shared" si="297"/>
        <v>1714.99</v>
      </c>
      <c r="BI2135" s="9">
        <f t="shared" si="298"/>
        <v>1.57</v>
      </c>
      <c r="BJ2135" s="9">
        <f t="shared" si="299"/>
        <v>11.65</v>
      </c>
      <c r="BK2135" s="9">
        <f t="shared" si="300"/>
        <v>17.170000000000002</v>
      </c>
      <c r="BL2135" s="9">
        <f t="shared" si="301"/>
        <v>0</v>
      </c>
      <c r="BM2135" s="9">
        <f t="shared" si="302"/>
        <v>27.49</v>
      </c>
      <c r="BN2135" s="9">
        <f t="shared" si="303"/>
        <v>859.42</v>
      </c>
      <c r="BO2135" s="9">
        <f t="shared" si="304"/>
        <v>0</v>
      </c>
      <c r="BP2135" s="9">
        <f t="shared" si="305"/>
        <v>0</v>
      </c>
    </row>
    <row r="2136" spans="1:68">
      <c r="A2136" s="6">
        <v>44924</v>
      </c>
      <c r="B2136" s="7">
        <v>3601</v>
      </c>
      <c r="C2136" s="8">
        <v>558.4</v>
      </c>
      <c r="D2136" s="8"/>
      <c r="E2136" s="8"/>
      <c r="F2136" s="8"/>
      <c r="G2136" s="8">
        <v>836.7</v>
      </c>
      <c r="H2136" s="8"/>
      <c r="I2136" s="8"/>
      <c r="J2136" s="8"/>
      <c r="K2136" s="8"/>
      <c r="L2136" s="8"/>
      <c r="M2136" s="8">
        <v>1.63</v>
      </c>
      <c r="N2136" s="8"/>
      <c r="O2136" s="8"/>
      <c r="P2136" s="8"/>
      <c r="Q2136" s="11"/>
      <c r="R2136" s="11"/>
      <c r="S2136" s="8">
        <v>6.7</v>
      </c>
      <c r="T2136" s="8"/>
      <c r="U2136" s="8">
        <v>8.3800000000000008</v>
      </c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11"/>
      <c r="AQ2136" s="8"/>
      <c r="AR2136" s="8"/>
      <c r="AS2136" s="8"/>
      <c r="AT2136" s="8">
        <v>683.97</v>
      </c>
      <c r="AU2136" s="8"/>
      <c r="AV2136" s="8"/>
      <c r="AW2136" s="8">
        <v>42.48</v>
      </c>
      <c r="AX2136" s="8"/>
      <c r="AY2136" s="8"/>
      <c r="AZ2136" s="8"/>
      <c r="BA2136" s="8"/>
      <c r="BB2136" s="8"/>
      <c r="BC2136" s="8"/>
      <c r="BD2136" s="8"/>
      <c r="BE2136" s="8"/>
      <c r="BF2136" s="8">
        <v>78.23</v>
      </c>
      <c r="BG2136" s="8">
        <v>49.78</v>
      </c>
      <c r="BH2136" s="9">
        <f t="shared" si="297"/>
        <v>1395.1</v>
      </c>
      <c r="BI2136" s="9">
        <f t="shared" si="298"/>
        <v>1.63</v>
      </c>
      <c r="BJ2136" s="9">
        <f t="shared" si="299"/>
        <v>6.7</v>
      </c>
      <c r="BK2136" s="9">
        <f t="shared" si="300"/>
        <v>8.3800000000000008</v>
      </c>
      <c r="BL2136" s="9">
        <f t="shared" si="301"/>
        <v>0</v>
      </c>
      <c r="BM2136" s="9">
        <f t="shared" si="302"/>
        <v>0</v>
      </c>
      <c r="BN2136" s="9">
        <f t="shared" si="303"/>
        <v>683.97</v>
      </c>
      <c r="BO2136" s="9">
        <f t="shared" si="304"/>
        <v>42.48</v>
      </c>
      <c r="BP2136" s="9">
        <f t="shared" si="305"/>
        <v>78.23</v>
      </c>
    </row>
    <row r="2137" spans="1:68">
      <c r="A2137" s="6">
        <v>44924</v>
      </c>
      <c r="B2137" s="7">
        <v>3602</v>
      </c>
      <c r="C2137" s="8">
        <v>569.82000000000005</v>
      </c>
      <c r="D2137" s="8"/>
      <c r="E2137" s="8"/>
      <c r="F2137" s="8"/>
      <c r="G2137" s="8">
        <v>853.64</v>
      </c>
      <c r="H2137" s="8"/>
      <c r="I2137" s="8"/>
      <c r="J2137" s="8"/>
      <c r="K2137" s="8"/>
      <c r="L2137" s="8"/>
      <c r="M2137" s="8">
        <v>1.48</v>
      </c>
      <c r="N2137" s="8"/>
      <c r="O2137" s="8"/>
      <c r="P2137" s="8"/>
      <c r="Q2137" s="11"/>
      <c r="R2137" s="11"/>
      <c r="S2137" s="8">
        <v>6.83</v>
      </c>
      <c r="T2137" s="8"/>
      <c r="U2137" s="8">
        <v>11.4</v>
      </c>
      <c r="V2137" s="8">
        <f>826*16.27/1000</f>
        <v>13.439020000000001</v>
      </c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11"/>
      <c r="AQ2137" s="8"/>
      <c r="AR2137" s="8"/>
      <c r="AS2137" s="8"/>
      <c r="AT2137" s="8">
        <v>574.5</v>
      </c>
      <c r="AU2137" s="8"/>
      <c r="AV2137" s="8"/>
      <c r="AW2137" s="8">
        <v>36.770000000000003</v>
      </c>
      <c r="AX2137" s="8"/>
      <c r="AY2137" s="8"/>
      <c r="AZ2137" s="8"/>
      <c r="BA2137" s="8"/>
      <c r="BB2137" s="8"/>
      <c r="BC2137" s="8"/>
      <c r="BD2137" s="8"/>
      <c r="BE2137" s="8"/>
      <c r="BF2137" s="8">
        <v>45.59</v>
      </c>
      <c r="BG2137" s="8">
        <v>42.71</v>
      </c>
      <c r="BH2137" s="9">
        <f t="shared" si="297"/>
        <v>1423.46</v>
      </c>
      <c r="BI2137" s="9">
        <f t="shared" si="298"/>
        <v>1.48</v>
      </c>
      <c r="BJ2137" s="9">
        <f t="shared" si="299"/>
        <v>6.83</v>
      </c>
      <c r="BK2137" s="9">
        <f t="shared" si="300"/>
        <v>24.839020000000001</v>
      </c>
      <c r="BL2137" s="9">
        <f t="shared" si="301"/>
        <v>0</v>
      </c>
      <c r="BM2137" s="9">
        <f t="shared" si="302"/>
        <v>0</v>
      </c>
      <c r="BN2137" s="9">
        <f t="shared" si="303"/>
        <v>574.5</v>
      </c>
      <c r="BO2137" s="9">
        <f t="shared" si="304"/>
        <v>36.770000000000003</v>
      </c>
      <c r="BP2137" s="9">
        <f t="shared" si="305"/>
        <v>45.59</v>
      </c>
    </row>
    <row r="2138" spans="1:68">
      <c r="A2138" s="6">
        <v>44924</v>
      </c>
      <c r="B2138" s="7">
        <v>3134</v>
      </c>
      <c r="C2138" s="8">
        <v>1094.21</v>
      </c>
      <c r="D2138" s="8">
        <v>152.94999999999999</v>
      </c>
      <c r="E2138" s="8"/>
      <c r="F2138" s="8"/>
      <c r="G2138" s="8"/>
      <c r="H2138" s="8">
        <v>514.30999999999995</v>
      </c>
      <c r="I2138" s="8"/>
      <c r="J2138" s="8"/>
      <c r="K2138" s="8"/>
      <c r="L2138" s="8"/>
      <c r="M2138" s="8">
        <v>3.41</v>
      </c>
      <c r="N2138" s="8"/>
      <c r="O2138" s="8"/>
      <c r="P2138" s="8"/>
      <c r="Q2138" s="11"/>
      <c r="R2138" s="11"/>
      <c r="S2138" s="8">
        <v>7.11</v>
      </c>
      <c r="T2138" s="8"/>
      <c r="U2138" s="8">
        <v>20.05</v>
      </c>
      <c r="V2138" s="8"/>
      <c r="W2138" s="8"/>
      <c r="X2138" s="8"/>
      <c r="Y2138" s="8"/>
      <c r="Z2138" s="8"/>
      <c r="AA2138" s="8"/>
      <c r="AB2138" s="8"/>
      <c r="AC2138" s="8">
        <v>6.17</v>
      </c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11"/>
      <c r="AQ2138" s="8"/>
      <c r="AR2138" s="8"/>
      <c r="AS2138" s="8"/>
      <c r="AT2138" s="8">
        <v>1079.3800000000001</v>
      </c>
      <c r="AU2138" s="8"/>
      <c r="AV2138" s="8"/>
      <c r="AW2138" s="8"/>
      <c r="AX2138" s="8"/>
      <c r="AY2138" s="8">
        <f>1415*11.02/1000</f>
        <v>15.593299999999999</v>
      </c>
      <c r="AZ2138" s="8"/>
      <c r="BA2138" s="8"/>
      <c r="BB2138" s="8"/>
      <c r="BC2138" s="8"/>
      <c r="BD2138" s="8"/>
      <c r="BE2138" s="8"/>
      <c r="BF2138" s="8">
        <v>69.34</v>
      </c>
      <c r="BG2138" s="8">
        <v>81.69</v>
      </c>
      <c r="BH2138" s="9">
        <f t="shared" si="297"/>
        <v>1761.47</v>
      </c>
      <c r="BI2138" s="9">
        <f t="shared" si="298"/>
        <v>3.41</v>
      </c>
      <c r="BJ2138" s="9">
        <f t="shared" si="299"/>
        <v>7.11</v>
      </c>
      <c r="BK2138" s="9">
        <f t="shared" si="300"/>
        <v>20.05</v>
      </c>
      <c r="BL2138" s="9">
        <f t="shared" si="301"/>
        <v>0</v>
      </c>
      <c r="BM2138" s="9">
        <f t="shared" si="302"/>
        <v>6.17</v>
      </c>
      <c r="BN2138" s="9">
        <f t="shared" si="303"/>
        <v>1079.3800000000001</v>
      </c>
      <c r="BO2138" s="9">
        <f t="shared" si="304"/>
        <v>15.593299999999999</v>
      </c>
      <c r="BP2138" s="9">
        <f t="shared" si="305"/>
        <v>69.34</v>
      </c>
    </row>
    <row r="2139" spans="1:68">
      <c r="A2139" s="6">
        <v>44924</v>
      </c>
      <c r="B2139" s="7">
        <v>3135</v>
      </c>
      <c r="C2139" s="8">
        <v>1072.25</v>
      </c>
      <c r="D2139" s="8">
        <v>149.66</v>
      </c>
      <c r="E2139" s="8"/>
      <c r="F2139" s="8"/>
      <c r="G2139" s="8"/>
      <c r="H2139" s="8">
        <v>506.33</v>
      </c>
      <c r="I2139" s="8"/>
      <c r="J2139" s="8"/>
      <c r="K2139" s="8"/>
      <c r="L2139" s="8"/>
      <c r="M2139" s="8">
        <v>3.32</v>
      </c>
      <c r="N2139" s="8"/>
      <c r="O2139" s="8"/>
      <c r="P2139" s="8"/>
      <c r="Q2139" s="11"/>
      <c r="R2139" s="11"/>
      <c r="S2139" s="8">
        <v>6.92</v>
      </c>
      <c r="T2139" s="8"/>
      <c r="U2139" s="8">
        <v>19.57</v>
      </c>
      <c r="V2139" s="8"/>
      <c r="W2139" s="8"/>
      <c r="X2139" s="8"/>
      <c r="Y2139" s="8"/>
      <c r="Z2139" s="8"/>
      <c r="AA2139" s="8"/>
      <c r="AB2139" s="8"/>
      <c r="AC2139" s="8">
        <v>6.02</v>
      </c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11"/>
      <c r="AQ2139" s="8"/>
      <c r="AR2139" s="8"/>
      <c r="AS2139" s="8"/>
      <c r="AT2139" s="8">
        <v>1060.92</v>
      </c>
      <c r="AU2139" s="8"/>
      <c r="AV2139" s="8"/>
      <c r="AW2139" s="8"/>
      <c r="AX2139" s="8"/>
      <c r="AY2139" s="8"/>
      <c r="AZ2139" s="8"/>
      <c r="BA2139" s="8">
        <v>34.35</v>
      </c>
      <c r="BB2139" s="8"/>
      <c r="BC2139" s="8"/>
      <c r="BD2139" s="8"/>
      <c r="BE2139" s="8"/>
      <c r="BF2139" s="8">
        <v>67.72</v>
      </c>
      <c r="BG2139" s="8">
        <v>79.73</v>
      </c>
      <c r="BH2139" s="9">
        <f t="shared" si="297"/>
        <v>1728.24</v>
      </c>
      <c r="BI2139" s="9">
        <f t="shared" si="298"/>
        <v>3.32</v>
      </c>
      <c r="BJ2139" s="9">
        <f t="shared" si="299"/>
        <v>6.92</v>
      </c>
      <c r="BK2139" s="9">
        <f t="shared" si="300"/>
        <v>19.57</v>
      </c>
      <c r="BL2139" s="9">
        <f t="shared" si="301"/>
        <v>0</v>
      </c>
      <c r="BM2139" s="9">
        <f t="shared" si="302"/>
        <v>6.02</v>
      </c>
      <c r="BN2139" s="9">
        <f t="shared" si="303"/>
        <v>1060.92</v>
      </c>
      <c r="BO2139" s="9">
        <f t="shared" si="304"/>
        <v>34.35</v>
      </c>
      <c r="BP2139" s="9">
        <f t="shared" si="305"/>
        <v>67.72</v>
      </c>
    </row>
    <row r="2140" spans="1:68">
      <c r="A2140" s="6">
        <v>44924</v>
      </c>
      <c r="B2140" s="7">
        <v>3136</v>
      </c>
      <c r="C2140" s="8">
        <v>1226.01</v>
      </c>
      <c r="D2140" s="8"/>
      <c r="E2140" s="8"/>
      <c r="F2140" s="8"/>
      <c r="G2140" s="8"/>
      <c r="H2140" s="8">
        <v>509.76</v>
      </c>
      <c r="I2140" s="8"/>
      <c r="J2140" s="8"/>
      <c r="K2140" s="8"/>
      <c r="L2140" s="8"/>
      <c r="M2140" s="8">
        <v>1.82</v>
      </c>
      <c r="N2140" s="8"/>
      <c r="O2140" s="8"/>
      <c r="P2140" s="8"/>
      <c r="Q2140" s="11"/>
      <c r="R2140" s="11"/>
      <c r="S2140" s="8">
        <v>7.56</v>
      </c>
      <c r="T2140" s="8"/>
      <c r="U2140" s="8">
        <v>19.64</v>
      </c>
      <c r="V2140" s="8"/>
      <c r="W2140" s="8"/>
      <c r="X2140" s="8"/>
      <c r="Y2140" s="8"/>
      <c r="Z2140" s="8"/>
      <c r="AA2140" s="8"/>
      <c r="AB2140" s="8"/>
      <c r="AC2140" s="8">
        <v>6.04</v>
      </c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11"/>
      <c r="AQ2140" s="8"/>
      <c r="AR2140" s="8"/>
      <c r="AS2140" s="8"/>
      <c r="AT2140" s="8">
        <v>983.46</v>
      </c>
      <c r="AU2140" s="8"/>
      <c r="AV2140" s="8"/>
      <c r="AW2140" s="8"/>
      <c r="AX2140" s="8"/>
      <c r="AY2140" s="8"/>
      <c r="AZ2140" s="8"/>
      <c r="BA2140" s="8">
        <v>14.99</v>
      </c>
      <c r="BB2140" s="8"/>
      <c r="BC2140" s="8"/>
      <c r="BD2140" s="8"/>
      <c r="BE2140" s="8"/>
      <c r="BF2140" s="8">
        <v>60.43</v>
      </c>
      <c r="BG2140" s="8">
        <v>74.2</v>
      </c>
      <c r="BH2140" s="9">
        <f t="shared" si="297"/>
        <v>1735.77</v>
      </c>
      <c r="BI2140" s="9">
        <f t="shared" si="298"/>
        <v>1.82</v>
      </c>
      <c r="BJ2140" s="9">
        <f t="shared" si="299"/>
        <v>7.56</v>
      </c>
      <c r="BK2140" s="9">
        <f t="shared" si="300"/>
        <v>19.64</v>
      </c>
      <c r="BL2140" s="9">
        <f t="shared" si="301"/>
        <v>0</v>
      </c>
      <c r="BM2140" s="9">
        <f t="shared" si="302"/>
        <v>6.04</v>
      </c>
      <c r="BN2140" s="9">
        <f t="shared" si="303"/>
        <v>983.46</v>
      </c>
      <c r="BO2140" s="9">
        <f t="shared" si="304"/>
        <v>14.99</v>
      </c>
      <c r="BP2140" s="9">
        <f t="shared" si="305"/>
        <v>60.43</v>
      </c>
    </row>
    <row r="2141" spans="1:68">
      <c r="A2141" s="6">
        <v>44924</v>
      </c>
      <c r="B2141" s="7">
        <v>3016</v>
      </c>
      <c r="C2141" s="8"/>
      <c r="D2141" s="8">
        <v>2311</v>
      </c>
      <c r="E2141" s="8"/>
      <c r="F2141" s="8"/>
      <c r="G2141" s="8"/>
      <c r="H2141" s="8"/>
      <c r="I2141" s="8">
        <v>2132.4499999999998</v>
      </c>
      <c r="J2141" s="8"/>
      <c r="K2141" s="8"/>
      <c r="L2141" s="8"/>
      <c r="M2141" s="8"/>
      <c r="N2141" s="8">
        <v>26.64</v>
      </c>
      <c r="O2141" s="8"/>
      <c r="P2141" s="8"/>
      <c r="Q2141" s="11"/>
      <c r="R2141" s="11"/>
      <c r="S2141" s="8">
        <v>3.1</v>
      </c>
      <c r="T2141" s="8"/>
      <c r="U2141" s="8"/>
      <c r="V2141" s="8"/>
      <c r="W2141" s="8">
        <v>44.49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>
        <v>17.690000000000001</v>
      </c>
      <c r="AN2141" s="8">
        <f>2019*26.13/1000</f>
        <v>52.75647</v>
      </c>
      <c r="AO2141" s="8"/>
      <c r="AP2141" s="11"/>
      <c r="AQ2141" s="8"/>
      <c r="AR2141" s="8">
        <f>4284*26.13/1000</f>
        <v>111.94091999999999</v>
      </c>
      <c r="AS2141" s="8"/>
      <c r="AT2141" s="8">
        <v>1652.08</v>
      </c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>
        <v>120.59</v>
      </c>
      <c r="BH2141" s="9">
        <f t="shared" si="297"/>
        <v>4443.45</v>
      </c>
      <c r="BI2141" s="9">
        <f t="shared" si="298"/>
        <v>26.64</v>
      </c>
      <c r="BJ2141" s="9">
        <f t="shared" si="299"/>
        <v>3.1</v>
      </c>
      <c r="BK2141" s="9">
        <f t="shared" si="300"/>
        <v>44.49</v>
      </c>
      <c r="BL2141" s="9">
        <f t="shared" si="301"/>
        <v>0</v>
      </c>
      <c r="BM2141" s="9">
        <f t="shared" si="302"/>
        <v>182.38738999999998</v>
      </c>
      <c r="BN2141" s="9">
        <f t="shared" si="303"/>
        <v>1652.08</v>
      </c>
      <c r="BO2141" s="9">
        <f t="shared" si="304"/>
        <v>0</v>
      </c>
      <c r="BP2141" s="9">
        <f t="shared" si="305"/>
        <v>0</v>
      </c>
    </row>
    <row r="2142" spans="1:68">
      <c r="A2142" s="6">
        <v>44928</v>
      </c>
      <c r="B2142" s="7">
        <v>3141</v>
      </c>
      <c r="C2142" s="8">
        <v>2433.25</v>
      </c>
      <c r="D2142" s="8">
        <v>429.95</v>
      </c>
      <c r="E2142" s="8"/>
      <c r="F2142" s="8"/>
      <c r="G2142" s="8"/>
      <c r="H2142" s="8"/>
      <c r="I2142" s="8"/>
      <c r="J2142" s="8"/>
      <c r="K2142" s="8"/>
      <c r="L2142" s="8"/>
      <c r="M2142" s="8">
        <v>8.33</v>
      </c>
      <c r="N2142" s="8"/>
      <c r="O2142" s="8"/>
      <c r="P2142" s="8"/>
      <c r="Q2142" s="8"/>
      <c r="R2142" s="8"/>
      <c r="S2142" s="8">
        <v>13.48</v>
      </c>
      <c r="T2142" s="8"/>
      <c r="U2142" s="8">
        <v>43.03</v>
      </c>
      <c r="V2142" s="8"/>
      <c r="W2142" s="8"/>
      <c r="X2142" s="8"/>
      <c r="Y2142" s="8"/>
      <c r="Z2142" s="8"/>
      <c r="AA2142" s="8"/>
      <c r="AB2142" s="8"/>
      <c r="AC2142" s="8">
        <v>11.47</v>
      </c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>
        <v>65.709999999999994</v>
      </c>
      <c r="BB2142" s="8"/>
      <c r="BC2142" s="8"/>
      <c r="BD2142" s="8"/>
      <c r="BE2142" s="8"/>
      <c r="BF2142" s="8">
        <v>200.7</v>
      </c>
      <c r="BG2142" s="8">
        <v>149.44</v>
      </c>
      <c r="BH2142" s="9">
        <f t="shared" si="297"/>
        <v>2863.2</v>
      </c>
      <c r="BI2142" s="9">
        <f t="shared" si="298"/>
        <v>8.33</v>
      </c>
      <c r="BJ2142" s="9">
        <f t="shared" si="299"/>
        <v>13.48</v>
      </c>
      <c r="BK2142" s="9">
        <f t="shared" si="300"/>
        <v>43.03</v>
      </c>
      <c r="BL2142" s="9">
        <f t="shared" si="301"/>
        <v>0</v>
      </c>
      <c r="BM2142" s="9">
        <f t="shared" si="302"/>
        <v>11.47</v>
      </c>
      <c r="BN2142" s="9">
        <f t="shared" si="303"/>
        <v>0</v>
      </c>
      <c r="BO2142" s="9">
        <f t="shared" si="304"/>
        <v>65.709999999999994</v>
      </c>
      <c r="BP2142" s="9">
        <f t="shared" si="305"/>
        <v>200.7</v>
      </c>
    </row>
    <row r="2143" spans="1:68">
      <c r="A2143" s="6">
        <v>44928</v>
      </c>
      <c r="B2143" s="7">
        <v>3405</v>
      </c>
      <c r="C2143" s="8">
        <v>875.85</v>
      </c>
      <c r="D2143" s="8">
        <v>218.63</v>
      </c>
      <c r="E2143" s="8"/>
      <c r="F2143" s="8"/>
      <c r="G2143" s="8"/>
      <c r="H2143" s="8"/>
      <c r="I2143" s="8"/>
      <c r="J2143" s="8"/>
      <c r="K2143" s="8"/>
      <c r="L2143" s="8"/>
      <c r="M2143" s="8">
        <v>2.4900000000000002</v>
      </c>
      <c r="N2143" s="8"/>
      <c r="O2143" s="8"/>
      <c r="P2143" s="8"/>
      <c r="Q2143" s="8"/>
      <c r="R2143" s="8"/>
      <c r="S2143" s="8">
        <v>2.52</v>
      </c>
      <c r="T2143" s="8"/>
      <c r="U2143" s="8"/>
      <c r="V2143" s="8"/>
      <c r="W2143" s="8"/>
      <c r="X2143" s="8">
        <f>1205*10.95/1000</f>
        <v>13.194750000000001</v>
      </c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>
        <v>535.48</v>
      </c>
      <c r="AU2143" s="8"/>
      <c r="AV2143" s="8"/>
      <c r="AW2143" s="8"/>
      <c r="AX2143" s="8"/>
      <c r="AY2143" s="8"/>
      <c r="AZ2143" s="8"/>
      <c r="BA2143" s="8">
        <v>4.9400000000000004</v>
      </c>
      <c r="BB2143" s="8"/>
      <c r="BC2143" s="8"/>
      <c r="BD2143" s="8"/>
      <c r="BE2143" s="8"/>
      <c r="BF2143" s="8"/>
      <c r="BG2143" s="8">
        <v>36.18</v>
      </c>
      <c r="BH2143" s="9">
        <f t="shared" si="297"/>
        <v>1094.48</v>
      </c>
      <c r="BI2143" s="9">
        <f t="shared" si="298"/>
        <v>2.4900000000000002</v>
      </c>
      <c r="BJ2143" s="9">
        <f t="shared" si="299"/>
        <v>2.52</v>
      </c>
      <c r="BK2143" s="9">
        <f t="shared" si="300"/>
        <v>13.194750000000001</v>
      </c>
      <c r="BL2143" s="9">
        <f t="shared" si="301"/>
        <v>0</v>
      </c>
      <c r="BM2143" s="9">
        <f t="shared" si="302"/>
        <v>0</v>
      </c>
      <c r="BN2143" s="9">
        <f t="shared" si="303"/>
        <v>535.48</v>
      </c>
      <c r="BO2143" s="9">
        <f t="shared" si="304"/>
        <v>4.9400000000000004</v>
      </c>
      <c r="BP2143" s="9">
        <f t="shared" si="305"/>
        <v>0</v>
      </c>
    </row>
    <row r="2144" spans="1:68">
      <c r="A2144" s="6">
        <v>44928</v>
      </c>
      <c r="B2144" s="7">
        <v>3022</v>
      </c>
      <c r="C2144" s="8"/>
      <c r="D2144" s="8">
        <v>1069.27</v>
      </c>
      <c r="E2144" s="8"/>
      <c r="F2144" s="8"/>
      <c r="G2144" s="8"/>
      <c r="H2144" s="8"/>
      <c r="I2144" s="8">
        <v>908.08</v>
      </c>
      <c r="J2144" s="8"/>
      <c r="K2144" s="8"/>
      <c r="L2144" s="8"/>
      <c r="M2144" s="8"/>
      <c r="N2144" s="8">
        <v>9.67</v>
      </c>
      <c r="O2144" s="8"/>
      <c r="P2144" s="8"/>
      <c r="Q2144" s="8"/>
      <c r="R2144" s="8"/>
      <c r="S2144" s="8">
        <v>3.5</v>
      </c>
      <c r="T2144" s="8"/>
      <c r="U2144" s="8"/>
      <c r="V2144" s="8"/>
      <c r="W2144" s="8">
        <v>19.440000000000001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>
        <v>25.22</v>
      </c>
      <c r="AN2144" s="8"/>
      <c r="AO2144" s="8"/>
      <c r="AP2144" s="8"/>
      <c r="AQ2144" s="8"/>
      <c r="AR2144" s="8"/>
      <c r="AS2144" s="8">
        <f>3945*17.63/1000</f>
        <v>69.550349999999995</v>
      </c>
      <c r="AT2144" s="8">
        <v>908.08</v>
      </c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>
        <v>69.92</v>
      </c>
      <c r="BH2144" s="9">
        <f t="shared" si="297"/>
        <v>1977.35</v>
      </c>
      <c r="BI2144" s="9">
        <f t="shared" si="298"/>
        <v>9.67</v>
      </c>
      <c r="BJ2144" s="9">
        <f t="shared" si="299"/>
        <v>3.5</v>
      </c>
      <c r="BK2144" s="9">
        <f t="shared" si="300"/>
        <v>19.440000000000001</v>
      </c>
      <c r="BL2144" s="9">
        <f t="shared" si="301"/>
        <v>0</v>
      </c>
      <c r="BM2144" s="9">
        <f t="shared" si="302"/>
        <v>94.770349999999993</v>
      </c>
      <c r="BN2144" s="9">
        <f t="shared" si="303"/>
        <v>908.08</v>
      </c>
      <c r="BO2144" s="9">
        <f t="shared" si="304"/>
        <v>0</v>
      </c>
      <c r="BP2144" s="9">
        <f t="shared" si="305"/>
        <v>0</v>
      </c>
    </row>
    <row r="2145" spans="1:68">
      <c r="A2145" s="6">
        <v>44928</v>
      </c>
      <c r="B2145" s="7">
        <v>3023</v>
      </c>
      <c r="C2145" s="8"/>
      <c r="D2145" s="8">
        <v>1624.76</v>
      </c>
      <c r="E2145" s="8"/>
      <c r="F2145" s="8"/>
      <c r="G2145" s="8"/>
      <c r="H2145" s="8"/>
      <c r="I2145" s="8">
        <v>874.55</v>
      </c>
      <c r="J2145" s="8"/>
      <c r="K2145" s="8"/>
      <c r="L2145" s="8"/>
      <c r="M2145" s="8"/>
      <c r="N2145" s="8">
        <v>13.99</v>
      </c>
      <c r="O2145" s="8"/>
      <c r="P2145" s="8"/>
      <c r="Q2145" s="8"/>
      <c r="R2145" s="8"/>
      <c r="S2145" s="8">
        <v>3.99</v>
      </c>
      <c r="T2145" s="8"/>
      <c r="U2145" s="8"/>
      <c r="V2145" s="8"/>
      <c r="W2145" s="8">
        <v>22.48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>
        <v>24.94</v>
      </c>
      <c r="AN2145" s="8">
        <f>1029*17.22/1000</f>
        <v>17.719379999999997</v>
      </c>
      <c r="AO2145" s="8"/>
      <c r="AP2145" s="8"/>
      <c r="AQ2145" s="8"/>
      <c r="AR2145" s="8"/>
      <c r="AS2145" s="8">
        <f>4791*17.22/1000</f>
        <v>82.501019999999983</v>
      </c>
      <c r="AT2145" s="8">
        <v>1024.6099999999999</v>
      </c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>
        <v>77.37</v>
      </c>
      <c r="BH2145" s="9">
        <f t="shared" si="297"/>
        <v>2499.31</v>
      </c>
      <c r="BI2145" s="9">
        <f t="shared" si="298"/>
        <v>13.99</v>
      </c>
      <c r="BJ2145" s="9">
        <f t="shared" si="299"/>
        <v>3.99</v>
      </c>
      <c r="BK2145" s="9">
        <f t="shared" si="300"/>
        <v>22.48</v>
      </c>
      <c r="BL2145" s="9">
        <f t="shared" si="301"/>
        <v>0</v>
      </c>
      <c r="BM2145" s="9">
        <f t="shared" si="302"/>
        <v>125.16039999999998</v>
      </c>
      <c r="BN2145" s="9">
        <f t="shared" si="303"/>
        <v>1024.6099999999999</v>
      </c>
      <c r="BO2145" s="9">
        <f t="shared" si="304"/>
        <v>0</v>
      </c>
      <c r="BP2145" s="9">
        <f t="shared" si="305"/>
        <v>0</v>
      </c>
    </row>
    <row r="2146" spans="1:68">
      <c r="A2146" s="6">
        <v>44928</v>
      </c>
      <c r="B2146" s="7">
        <v>3081</v>
      </c>
      <c r="C2146" s="8"/>
      <c r="D2146" s="8">
        <v>289.18</v>
      </c>
      <c r="E2146" s="8"/>
      <c r="F2146" s="8">
        <v>325.01</v>
      </c>
      <c r="G2146" s="8"/>
      <c r="H2146" s="8"/>
      <c r="I2146" s="8">
        <v>1188.9000000000001</v>
      </c>
      <c r="J2146" s="8"/>
      <c r="K2146" s="8"/>
      <c r="L2146" s="8"/>
      <c r="M2146" s="8"/>
      <c r="N2146" s="8">
        <v>13.22</v>
      </c>
      <c r="O2146" s="8"/>
      <c r="P2146" s="8">
        <f>622*11.68/1000</f>
        <v>7.2649600000000003</v>
      </c>
      <c r="Q2146" s="8"/>
      <c r="R2146" s="8"/>
      <c r="S2146" s="8">
        <v>1.25</v>
      </c>
      <c r="T2146" s="8"/>
      <c r="U2146" s="8"/>
      <c r="V2146" s="8"/>
      <c r="W2146" s="8">
        <v>18.13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>
        <f>1560*11.68/1000</f>
        <v>18.220800000000001</v>
      </c>
      <c r="AR2146" s="8">
        <f>5433*11.68/1000</f>
        <v>63.457439999999998</v>
      </c>
      <c r="AS2146" s="8"/>
      <c r="AT2146" s="8">
        <v>565.78</v>
      </c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>
        <v>37.880000000000003</v>
      </c>
      <c r="BH2146" s="9">
        <f t="shared" si="297"/>
        <v>1803.0900000000001</v>
      </c>
      <c r="BI2146" s="9">
        <f t="shared" si="298"/>
        <v>20.484960000000001</v>
      </c>
      <c r="BJ2146" s="9">
        <f t="shared" si="299"/>
        <v>1.25</v>
      </c>
      <c r="BK2146" s="9">
        <f t="shared" si="300"/>
        <v>18.13</v>
      </c>
      <c r="BL2146" s="9">
        <f t="shared" si="301"/>
        <v>0</v>
      </c>
      <c r="BM2146" s="9">
        <f t="shared" si="302"/>
        <v>81.678240000000002</v>
      </c>
      <c r="BN2146" s="9">
        <f t="shared" si="303"/>
        <v>565.78</v>
      </c>
      <c r="BO2146" s="9">
        <f t="shared" si="304"/>
        <v>0</v>
      </c>
      <c r="BP2146" s="9">
        <f t="shared" si="305"/>
        <v>0</v>
      </c>
    </row>
    <row r="2147" spans="1:68">
      <c r="A2147" s="6">
        <v>44928</v>
      </c>
      <c r="B2147" s="7">
        <v>3203</v>
      </c>
      <c r="C2147" s="8">
        <v>890</v>
      </c>
      <c r="D2147" s="8"/>
      <c r="E2147" s="8">
        <v>381.6</v>
      </c>
      <c r="F2147" s="8"/>
      <c r="G2147" s="8"/>
      <c r="H2147" s="8"/>
      <c r="I2147" s="8"/>
      <c r="J2147" s="8"/>
      <c r="K2147" s="8"/>
      <c r="L2147" s="8"/>
      <c r="M2147" s="8"/>
      <c r="N2147" s="8"/>
      <c r="O2147" s="8">
        <v>3.81</v>
      </c>
      <c r="P2147" s="8"/>
      <c r="Q2147" s="8"/>
      <c r="R2147" s="8"/>
      <c r="S2147" s="8">
        <v>4.96</v>
      </c>
      <c r="T2147" s="8"/>
      <c r="U2147" s="8">
        <v>15.75</v>
      </c>
      <c r="V2147" s="8"/>
      <c r="W2147" s="8"/>
      <c r="X2147" s="8"/>
      <c r="Y2147" s="8"/>
      <c r="Z2147" s="8">
        <v>200.14</v>
      </c>
      <c r="AA2147" s="8">
        <f>10382*14.93/1000</f>
        <v>155.00326000000001</v>
      </c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>
        <v>475.73</v>
      </c>
      <c r="AU2147" s="8">
        <v>237.66</v>
      </c>
      <c r="AV2147" s="8"/>
      <c r="AW2147" s="8"/>
      <c r="AX2147" s="8"/>
      <c r="AY2147" s="8"/>
      <c r="AZ2147" s="8"/>
      <c r="BA2147" s="8"/>
      <c r="BB2147" s="8"/>
      <c r="BC2147" s="8">
        <v>3.3</v>
      </c>
      <c r="BD2147" s="8"/>
      <c r="BE2147" s="8"/>
      <c r="BF2147" s="8"/>
      <c r="BG2147" s="8">
        <v>46.5</v>
      </c>
      <c r="BH2147" s="9">
        <f t="shared" si="297"/>
        <v>1271.5999999999999</v>
      </c>
      <c r="BI2147" s="9">
        <f t="shared" si="298"/>
        <v>3.81</v>
      </c>
      <c r="BJ2147" s="9">
        <f t="shared" si="299"/>
        <v>4.96</v>
      </c>
      <c r="BK2147" s="9">
        <f t="shared" si="300"/>
        <v>15.75</v>
      </c>
      <c r="BL2147" s="9">
        <f t="shared" si="301"/>
        <v>355.14326</v>
      </c>
      <c r="BM2147" s="9">
        <f t="shared" si="302"/>
        <v>0</v>
      </c>
      <c r="BN2147" s="9">
        <f t="shared" si="303"/>
        <v>713.39</v>
      </c>
      <c r="BO2147" s="9">
        <f t="shared" si="304"/>
        <v>3.3</v>
      </c>
      <c r="BP2147" s="9">
        <f t="shared" si="305"/>
        <v>0</v>
      </c>
    </row>
    <row r="2148" spans="1:68">
      <c r="A2148" s="6">
        <v>44928</v>
      </c>
      <c r="B2148" s="7">
        <v>3310</v>
      </c>
      <c r="C2148" s="8"/>
      <c r="D2148" s="8">
        <v>996.07</v>
      </c>
      <c r="E2148" s="8"/>
      <c r="F2148" s="8"/>
      <c r="G2148" s="8"/>
      <c r="H2148" s="8"/>
      <c r="I2148" s="8"/>
      <c r="J2148" s="8"/>
      <c r="K2148" s="8"/>
      <c r="L2148" s="8"/>
      <c r="M2148" s="8">
        <v>1.99</v>
      </c>
      <c r="N2148" s="8"/>
      <c r="O2148" s="8"/>
      <c r="P2148" s="8"/>
      <c r="Q2148" s="8"/>
      <c r="R2148" s="8"/>
      <c r="S2148" s="8">
        <v>1.99</v>
      </c>
      <c r="T2148" s="8"/>
      <c r="U2148" s="8">
        <v>8.99</v>
      </c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>
        <v>10</v>
      </c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>
        <v>265.86</v>
      </c>
      <c r="AU2148" s="8">
        <v>133.46</v>
      </c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>
        <v>27.52</v>
      </c>
      <c r="BH2148" s="9">
        <f t="shared" si="297"/>
        <v>996.07</v>
      </c>
      <c r="BI2148" s="9">
        <f t="shared" si="298"/>
        <v>1.99</v>
      </c>
      <c r="BJ2148" s="9">
        <f t="shared" si="299"/>
        <v>1.99</v>
      </c>
      <c r="BK2148" s="9">
        <f t="shared" si="300"/>
        <v>8.99</v>
      </c>
      <c r="BL2148" s="9">
        <f t="shared" si="301"/>
        <v>0</v>
      </c>
      <c r="BM2148" s="9">
        <f t="shared" si="302"/>
        <v>10</v>
      </c>
      <c r="BN2148" s="9">
        <f t="shared" si="303"/>
        <v>399.32000000000005</v>
      </c>
      <c r="BO2148" s="9">
        <f t="shared" si="304"/>
        <v>0</v>
      </c>
      <c r="BP2148" s="9">
        <f t="shared" si="305"/>
        <v>0</v>
      </c>
    </row>
    <row r="2149" spans="1:68">
      <c r="A2149" s="6">
        <v>44929</v>
      </c>
      <c r="B2149" s="7">
        <v>3101</v>
      </c>
      <c r="C2149" s="8">
        <v>635.45000000000005</v>
      </c>
      <c r="D2149" s="8"/>
      <c r="E2149" s="8"/>
      <c r="F2149" s="8"/>
      <c r="G2149" s="8"/>
      <c r="H2149" s="8"/>
      <c r="I2149" s="8"/>
      <c r="J2149" s="8"/>
      <c r="K2149" s="8"/>
      <c r="L2149" s="8"/>
      <c r="M2149" s="8">
        <v>1.46</v>
      </c>
      <c r="N2149" s="8"/>
      <c r="O2149" s="8"/>
      <c r="P2149" s="8"/>
      <c r="Q2149" s="8"/>
      <c r="R2149" s="8"/>
      <c r="S2149" s="8">
        <v>3.69</v>
      </c>
      <c r="T2149" s="8"/>
      <c r="U2149" s="8">
        <v>10.17</v>
      </c>
      <c r="V2149" s="8"/>
      <c r="W2149" s="8"/>
      <c r="X2149" s="8"/>
      <c r="Y2149" s="8"/>
      <c r="Z2149" s="8"/>
      <c r="AA2149" s="8"/>
      <c r="AB2149" s="8"/>
      <c r="AC2149" s="8">
        <v>2.5499999999999998</v>
      </c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>
        <v>426.82</v>
      </c>
      <c r="AU2149" s="8"/>
      <c r="AV2149" s="8"/>
      <c r="AW2149" s="8">
        <v>13.55</v>
      </c>
      <c r="AX2149" s="8"/>
      <c r="AY2149" s="8"/>
      <c r="AZ2149" s="8"/>
      <c r="BA2149" s="8"/>
      <c r="BB2149" s="8"/>
      <c r="BC2149" s="8"/>
      <c r="BD2149" s="8"/>
      <c r="BE2149" s="8"/>
      <c r="BF2149" s="8">
        <v>82.69</v>
      </c>
      <c r="BG2149" s="8">
        <v>32.76</v>
      </c>
      <c r="BH2149" s="9">
        <f t="shared" si="297"/>
        <v>635.45000000000005</v>
      </c>
      <c r="BI2149" s="9">
        <f t="shared" si="298"/>
        <v>1.46</v>
      </c>
      <c r="BJ2149" s="9">
        <f t="shared" si="299"/>
        <v>3.69</v>
      </c>
      <c r="BK2149" s="9">
        <f t="shared" si="300"/>
        <v>10.17</v>
      </c>
      <c r="BL2149" s="9">
        <f t="shared" si="301"/>
        <v>0</v>
      </c>
      <c r="BM2149" s="9">
        <f t="shared" si="302"/>
        <v>2.5499999999999998</v>
      </c>
      <c r="BN2149" s="9">
        <f t="shared" si="303"/>
        <v>426.82</v>
      </c>
      <c r="BO2149" s="9">
        <f t="shared" si="304"/>
        <v>13.55</v>
      </c>
      <c r="BP2149" s="9">
        <f t="shared" si="305"/>
        <v>82.69</v>
      </c>
    </row>
    <row r="2150" spans="1:68">
      <c r="A2150" s="6">
        <v>44929</v>
      </c>
      <c r="B2150" s="7">
        <v>3114</v>
      </c>
      <c r="C2150" s="8">
        <v>1709.26</v>
      </c>
      <c r="D2150" s="8"/>
      <c r="E2150" s="8"/>
      <c r="F2150" s="8"/>
      <c r="G2150" s="8"/>
      <c r="H2150" s="8"/>
      <c r="I2150" s="8"/>
      <c r="J2150" s="8"/>
      <c r="K2150" s="8"/>
      <c r="L2150" s="8"/>
      <c r="M2150" s="8">
        <v>2.92</v>
      </c>
      <c r="N2150" s="8">
        <v>2.91</v>
      </c>
      <c r="O2150" s="8"/>
      <c r="P2150" s="8"/>
      <c r="Q2150" s="8"/>
      <c r="R2150" s="8"/>
      <c r="S2150" s="8">
        <v>5.47</v>
      </c>
      <c r="T2150" s="8"/>
      <c r="U2150" s="8">
        <v>17.11</v>
      </c>
      <c r="V2150" s="8"/>
      <c r="W2150" s="8"/>
      <c r="X2150" s="8"/>
      <c r="Y2150" s="8"/>
      <c r="Z2150" s="8"/>
      <c r="AA2150" s="8"/>
      <c r="AB2150" s="8"/>
      <c r="AC2150" s="8">
        <v>6.84</v>
      </c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>
        <v>720.48</v>
      </c>
      <c r="AU2150" s="8"/>
      <c r="AV2150" s="8">
        <v>58.13</v>
      </c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>
        <v>48.77</v>
      </c>
      <c r="BH2150" s="9">
        <f t="shared" si="297"/>
        <v>1709.26</v>
      </c>
      <c r="BI2150" s="9">
        <f t="shared" si="298"/>
        <v>5.83</v>
      </c>
      <c r="BJ2150" s="9">
        <f t="shared" si="299"/>
        <v>5.47</v>
      </c>
      <c r="BK2150" s="9">
        <f t="shared" si="300"/>
        <v>17.11</v>
      </c>
      <c r="BL2150" s="9">
        <f t="shared" si="301"/>
        <v>0</v>
      </c>
      <c r="BM2150" s="9">
        <f t="shared" si="302"/>
        <v>6.84</v>
      </c>
      <c r="BN2150" s="9">
        <f t="shared" si="303"/>
        <v>720.48</v>
      </c>
      <c r="BO2150" s="9">
        <f t="shared" si="304"/>
        <v>58.13</v>
      </c>
      <c r="BP2150" s="9">
        <f t="shared" si="305"/>
        <v>0</v>
      </c>
    </row>
    <row r="2151" spans="1:68">
      <c r="A2151" s="6">
        <v>44929</v>
      </c>
      <c r="B2151" s="7">
        <v>3602</v>
      </c>
      <c r="C2151" s="8">
        <v>574.87</v>
      </c>
      <c r="D2151" s="8"/>
      <c r="E2151" s="8"/>
      <c r="F2151" s="8"/>
      <c r="G2151" s="8">
        <v>860.6</v>
      </c>
      <c r="H2151" s="8"/>
      <c r="I2151" s="8"/>
      <c r="J2151" s="8"/>
      <c r="K2151" s="8"/>
      <c r="L2151" s="8"/>
      <c r="M2151" s="8">
        <v>1.5</v>
      </c>
      <c r="N2151" s="8"/>
      <c r="O2151" s="8"/>
      <c r="P2151" s="8"/>
      <c r="Q2151" s="8"/>
      <c r="R2151" s="8"/>
      <c r="S2151" s="8">
        <v>6.9</v>
      </c>
      <c r="T2151" s="8"/>
      <c r="U2151" s="8">
        <v>11.52</v>
      </c>
      <c r="V2151" s="8">
        <f>836*16.43/1000</f>
        <v>13.735479999999999</v>
      </c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>
        <v>579.03</v>
      </c>
      <c r="AU2151" s="8"/>
      <c r="AV2151" s="8"/>
      <c r="AW2151" s="8">
        <v>37.18</v>
      </c>
      <c r="AX2151" s="8"/>
      <c r="AY2151" s="8"/>
      <c r="AZ2151" s="8"/>
      <c r="BA2151" s="8"/>
      <c r="BB2151" s="8"/>
      <c r="BC2151" s="8"/>
      <c r="BD2151" s="8"/>
      <c r="BE2151" s="8"/>
      <c r="BF2151" s="8">
        <v>46.06</v>
      </c>
      <c r="BG2151" s="8">
        <v>42.99</v>
      </c>
      <c r="BH2151" s="9">
        <f t="shared" si="297"/>
        <v>1435.47</v>
      </c>
      <c r="BI2151" s="9">
        <f t="shared" si="298"/>
        <v>1.5</v>
      </c>
      <c r="BJ2151" s="9">
        <f t="shared" si="299"/>
        <v>6.9</v>
      </c>
      <c r="BK2151" s="9">
        <f t="shared" si="300"/>
        <v>25.255479999999999</v>
      </c>
      <c r="BL2151" s="9">
        <f t="shared" si="301"/>
        <v>0</v>
      </c>
      <c r="BM2151" s="9">
        <f t="shared" si="302"/>
        <v>0</v>
      </c>
      <c r="BN2151" s="9">
        <f t="shared" si="303"/>
        <v>579.03</v>
      </c>
      <c r="BO2151" s="9">
        <f t="shared" si="304"/>
        <v>37.18</v>
      </c>
      <c r="BP2151" s="9">
        <f t="shared" si="305"/>
        <v>46.06</v>
      </c>
    </row>
    <row r="2152" spans="1:68">
      <c r="A2152" s="6">
        <v>44929</v>
      </c>
      <c r="B2152" s="7">
        <v>3307</v>
      </c>
      <c r="C2152" s="8"/>
      <c r="D2152" s="8">
        <v>988.76</v>
      </c>
      <c r="E2152" s="8"/>
      <c r="F2152" s="8"/>
      <c r="G2152" s="8"/>
      <c r="H2152" s="8"/>
      <c r="I2152" s="8"/>
      <c r="J2152" s="8"/>
      <c r="K2152" s="8"/>
      <c r="L2152" s="8"/>
      <c r="M2152" s="8">
        <v>0.99</v>
      </c>
      <c r="N2152" s="8"/>
      <c r="O2152" s="8"/>
      <c r="P2152" s="8"/>
      <c r="Q2152" s="8"/>
      <c r="R2152" s="8"/>
      <c r="S2152" s="8">
        <v>6.72</v>
      </c>
      <c r="T2152" s="8"/>
      <c r="U2152" s="8">
        <v>9.9</v>
      </c>
      <c r="V2152" s="8"/>
      <c r="W2152" s="8"/>
      <c r="X2152" s="8"/>
      <c r="Y2152" s="8"/>
      <c r="Z2152" s="8"/>
      <c r="AA2152" s="8"/>
      <c r="AB2152" s="8"/>
      <c r="AC2152" s="8">
        <v>5.94</v>
      </c>
      <c r="AD2152" s="8"/>
      <c r="AE2152" s="8"/>
      <c r="AF2152" s="8"/>
      <c r="AG2152" s="8">
        <v>9.92</v>
      </c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>
        <v>496.03</v>
      </c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>
        <v>35.56</v>
      </c>
      <c r="BH2152" s="9">
        <f t="shared" si="297"/>
        <v>988.76</v>
      </c>
      <c r="BI2152" s="9">
        <f t="shared" si="298"/>
        <v>0.99</v>
      </c>
      <c r="BJ2152" s="9">
        <f t="shared" si="299"/>
        <v>6.72</v>
      </c>
      <c r="BK2152" s="9">
        <f t="shared" si="300"/>
        <v>9.9</v>
      </c>
      <c r="BL2152" s="9">
        <f t="shared" si="301"/>
        <v>0</v>
      </c>
      <c r="BM2152" s="9">
        <f t="shared" si="302"/>
        <v>15.86</v>
      </c>
      <c r="BN2152" s="9">
        <f t="shared" si="303"/>
        <v>496.03</v>
      </c>
      <c r="BO2152" s="9">
        <f t="shared" si="304"/>
        <v>0</v>
      </c>
      <c r="BP2152" s="9">
        <f t="shared" si="305"/>
        <v>0</v>
      </c>
    </row>
    <row r="2153" spans="1:68">
      <c r="A2153" s="6">
        <v>44929</v>
      </c>
      <c r="B2153" s="7">
        <v>3104</v>
      </c>
      <c r="C2153" s="8">
        <v>830.28</v>
      </c>
      <c r="D2153" s="8"/>
      <c r="E2153" s="8"/>
      <c r="F2153" s="8"/>
      <c r="G2153" s="8"/>
      <c r="H2153" s="8">
        <v>212.37</v>
      </c>
      <c r="I2153" s="8"/>
      <c r="J2153" s="8"/>
      <c r="K2153" s="8"/>
      <c r="L2153" s="8"/>
      <c r="M2153" s="8">
        <v>2.37</v>
      </c>
      <c r="N2153" s="8"/>
      <c r="O2153" s="8"/>
      <c r="P2153" s="8"/>
      <c r="Q2153" s="8"/>
      <c r="R2153" s="8"/>
      <c r="S2153" s="8">
        <v>4.37</v>
      </c>
      <c r="T2153" s="8"/>
      <c r="U2153" s="8">
        <v>10.93</v>
      </c>
      <c r="V2153" s="8"/>
      <c r="W2153" s="8"/>
      <c r="X2153" s="8"/>
      <c r="Y2153" s="8"/>
      <c r="Z2153" s="8"/>
      <c r="AA2153" s="8"/>
      <c r="AB2153" s="8"/>
      <c r="AC2153" s="8">
        <v>3.8</v>
      </c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>
        <v>607.80999999999995</v>
      </c>
      <c r="AU2153" s="8"/>
      <c r="AV2153" s="8"/>
      <c r="AW2153" s="8"/>
      <c r="AX2153" s="8"/>
      <c r="AY2153" s="8"/>
      <c r="AZ2153" s="8"/>
      <c r="BA2153" s="8">
        <v>21.69</v>
      </c>
      <c r="BB2153" s="8"/>
      <c r="BC2153" s="8"/>
      <c r="BD2153" s="8"/>
      <c r="BE2153" s="8"/>
      <c r="BF2153" s="8">
        <v>19.010000000000002</v>
      </c>
      <c r="BG2153" s="8">
        <v>47.01</v>
      </c>
      <c r="BH2153" s="9">
        <f t="shared" si="297"/>
        <v>1042.6500000000001</v>
      </c>
      <c r="BI2153" s="9">
        <f t="shared" si="298"/>
        <v>2.37</v>
      </c>
      <c r="BJ2153" s="9">
        <f t="shared" si="299"/>
        <v>4.37</v>
      </c>
      <c r="BK2153" s="9">
        <f t="shared" si="300"/>
        <v>10.93</v>
      </c>
      <c r="BL2153" s="9">
        <f t="shared" si="301"/>
        <v>0</v>
      </c>
      <c r="BM2153" s="9">
        <f t="shared" si="302"/>
        <v>3.8</v>
      </c>
      <c r="BN2153" s="9">
        <f t="shared" si="303"/>
        <v>607.80999999999995</v>
      </c>
      <c r="BO2153" s="9">
        <f t="shared" si="304"/>
        <v>21.69</v>
      </c>
      <c r="BP2153" s="9">
        <f t="shared" si="305"/>
        <v>19.010000000000002</v>
      </c>
    </row>
    <row r="2154" spans="1:68">
      <c r="A2154" s="6">
        <v>44929</v>
      </c>
      <c r="B2154" s="7">
        <v>3106</v>
      </c>
      <c r="C2154" s="8">
        <v>6194.54</v>
      </c>
      <c r="D2154" s="8"/>
      <c r="E2154" s="8"/>
      <c r="F2154" s="8"/>
      <c r="G2154" s="8"/>
      <c r="H2154" s="8"/>
      <c r="I2154" s="8"/>
      <c r="J2154" s="8"/>
      <c r="K2154" s="8"/>
      <c r="L2154" s="8"/>
      <c r="M2154" s="8">
        <v>16.71</v>
      </c>
      <c r="N2154" s="8"/>
      <c r="O2154" s="8"/>
      <c r="P2154" s="8"/>
      <c r="Q2154" s="8"/>
      <c r="R2154" s="8"/>
      <c r="S2154" s="8">
        <v>18.63</v>
      </c>
      <c r="T2154" s="8"/>
      <c r="U2154" s="8">
        <v>78.790000000000006</v>
      </c>
      <c r="V2154" s="8"/>
      <c r="W2154" s="8"/>
      <c r="X2154" s="8"/>
      <c r="Y2154" s="8"/>
      <c r="Z2154" s="8"/>
      <c r="AA2154" s="8"/>
      <c r="AB2154" s="8"/>
      <c r="AC2154" s="8">
        <v>15.49</v>
      </c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>
        <v>3533.56</v>
      </c>
      <c r="AU2154" s="8"/>
      <c r="AV2154" s="8"/>
      <c r="AW2154" s="8"/>
      <c r="AX2154" s="8">
        <v>7.75</v>
      </c>
      <c r="AY2154" s="8"/>
      <c r="AZ2154" s="8"/>
      <c r="BA2154" s="8"/>
      <c r="BB2154" s="8"/>
      <c r="BC2154" s="8"/>
      <c r="BD2154" s="8"/>
      <c r="BE2154" s="8"/>
      <c r="BF2154" s="8"/>
      <c r="BG2154" s="8">
        <v>266.27999999999997</v>
      </c>
      <c r="BH2154" s="9">
        <f t="shared" si="297"/>
        <v>6194.54</v>
      </c>
      <c r="BI2154" s="9">
        <f t="shared" si="298"/>
        <v>16.71</v>
      </c>
      <c r="BJ2154" s="9">
        <f t="shared" si="299"/>
        <v>18.63</v>
      </c>
      <c r="BK2154" s="9">
        <f t="shared" si="300"/>
        <v>78.790000000000006</v>
      </c>
      <c r="BL2154" s="9">
        <f t="shared" si="301"/>
        <v>0</v>
      </c>
      <c r="BM2154" s="9">
        <f t="shared" si="302"/>
        <v>15.49</v>
      </c>
      <c r="BN2154" s="9">
        <f t="shared" si="303"/>
        <v>3533.56</v>
      </c>
      <c r="BO2154" s="9">
        <f t="shared" si="304"/>
        <v>7.75</v>
      </c>
      <c r="BP2154" s="9">
        <f t="shared" si="305"/>
        <v>0</v>
      </c>
    </row>
    <row r="2155" spans="1:68">
      <c r="A2155" s="6">
        <v>44929</v>
      </c>
      <c r="B2155" s="7">
        <v>3402</v>
      </c>
      <c r="C2155" s="8">
        <v>688.11</v>
      </c>
      <c r="D2155" s="8">
        <v>458.76</v>
      </c>
      <c r="E2155" s="8"/>
      <c r="F2155" s="8"/>
      <c r="G2155" s="8"/>
      <c r="H2155" s="8"/>
      <c r="I2155" s="8"/>
      <c r="J2155" s="8"/>
      <c r="K2155" s="8"/>
      <c r="L2155" s="8"/>
      <c r="M2155" s="8">
        <v>2.2999999999999998</v>
      </c>
      <c r="N2155" s="8"/>
      <c r="O2155" s="8"/>
      <c r="P2155" s="8"/>
      <c r="Q2155" s="8"/>
      <c r="R2155" s="8"/>
      <c r="S2155" s="8">
        <v>2.64</v>
      </c>
      <c r="T2155" s="8"/>
      <c r="U2155" s="8"/>
      <c r="V2155" s="8"/>
      <c r="W2155" s="8"/>
      <c r="X2155" s="8">
        <f>1015*11.48/1000</f>
        <v>11.652200000000001</v>
      </c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>
        <v>538.73</v>
      </c>
      <c r="AU2155" s="8"/>
      <c r="AV2155" s="8"/>
      <c r="AW2155" s="8"/>
      <c r="AX2155" s="8"/>
      <c r="AY2155" s="8"/>
      <c r="AZ2155" s="8"/>
      <c r="BA2155" s="8">
        <v>5.18</v>
      </c>
      <c r="BB2155" s="8"/>
      <c r="BC2155" s="8"/>
      <c r="BD2155" s="8"/>
      <c r="BE2155" s="8"/>
      <c r="BF2155" s="8"/>
      <c r="BG2155" s="8">
        <v>37.94</v>
      </c>
      <c r="BH2155" s="9">
        <f t="shared" si="297"/>
        <v>1146.8699999999999</v>
      </c>
      <c r="BI2155" s="9">
        <f t="shared" si="298"/>
        <v>2.2999999999999998</v>
      </c>
      <c r="BJ2155" s="9">
        <f t="shared" si="299"/>
        <v>2.64</v>
      </c>
      <c r="BK2155" s="9">
        <f t="shared" si="300"/>
        <v>11.652200000000001</v>
      </c>
      <c r="BL2155" s="9">
        <f t="shared" si="301"/>
        <v>0</v>
      </c>
      <c r="BM2155" s="9">
        <f t="shared" si="302"/>
        <v>0</v>
      </c>
      <c r="BN2155" s="9">
        <f t="shared" si="303"/>
        <v>538.73</v>
      </c>
      <c r="BO2155" s="9">
        <f t="shared" si="304"/>
        <v>5.18</v>
      </c>
      <c r="BP2155" s="9">
        <f t="shared" si="305"/>
        <v>0</v>
      </c>
    </row>
    <row r="2156" spans="1:68">
      <c r="A2156" s="6">
        <v>44929</v>
      </c>
      <c r="B2156" s="7">
        <v>3433</v>
      </c>
      <c r="C2156" s="8">
        <v>942.9</v>
      </c>
      <c r="D2156" s="8"/>
      <c r="E2156" s="8"/>
      <c r="F2156" s="8"/>
      <c r="G2156" s="8"/>
      <c r="H2156" s="8"/>
      <c r="I2156" s="8"/>
      <c r="J2156" s="8"/>
      <c r="K2156" s="8"/>
      <c r="L2156" s="8"/>
      <c r="M2156" s="8">
        <v>2.37</v>
      </c>
      <c r="N2156" s="8"/>
      <c r="O2156" s="8"/>
      <c r="P2156" s="8"/>
      <c r="Q2156" s="8"/>
      <c r="R2156" s="8"/>
      <c r="S2156" s="8">
        <v>3.78</v>
      </c>
      <c r="T2156" s="8"/>
      <c r="U2156" s="8"/>
      <c r="V2156" s="8"/>
      <c r="W2156" s="8"/>
      <c r="X2156" s="8">
        <f>859*11.12/1000</f>
        <v>9.5520800000000001</v>
      </c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>
        <v>440.14</v>
      </c>
      <c r="AU2156" s="8"/>
      <c r="AV2156" s="8"/>
      <c r="AW2156" s="8"/>
      <c r="AX2156" s="8"/>
      <c r="AY2156" s="8"/>
      <c r="AZ2156" s="8"/>
      <c r="BA2156" s="8">
        <v>4.2300000000000004</v>
      </c>
      <c r="BB2156" s="8"/>
      <c r="BC2156" s="8"/>
      <c r="BD2156" s="8"/>
      <c r="BE2156" s="8"/>
      <c r="BF2156" s="8">
        <v>47.23</v>
      </c>
      <c r="BG2156" s="8">
        <v>31.94</v>
      </c>
      <c r="BH2156" s="9">
        <f t="shared" si="297"/>
        <v>942.9</v>
      </c>
      <c r="BI2156" s="9">
        <f t="shared" si="298"/>
        <v>2.37</v>
      </c>
      <c r="BJ2156" s="9">
        <f t="shared" si="299"/>
        <v>3.78</v>
      </c>
      <c r="BK2156" s="9">
        <f t="shared" si="300"/>
        <v>9.5520800000000001</v>
      </c>
      <c r="BL2156" s="9">
        <f t="shared" si="301"/>
        <v>0</v>
      </c>
      <c r="BM2156" s="9">
        <f t="shared" si="302"/>
        <v>0</v>
      </c>
      <c r="BN2156" s="9">
        <f t="shared" si="303"/>
        <v>440.14</v>
      </c>
      <c r="BO2156" s="9">
        <f t="shared" si="304"/>
        <v>4.2300000000000004</v>
      </c>
      <c r="BP2156" s="9">
        <f t="shared" si="305"/>
        <v>47.23</v>
      </c>
    </row>
    <row r="2157" spans="1:68">
      <c r="A2157" s="6">
        <v>44929</v>
      </c>
      <c r="B2157" s="7">
        <v>3200</v>
      </c>
      <c r="C2157" s="8">
        <v>2293.25</v>
      </c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>
        <v>5.74</v>
      </c>
      <c r="P2157" s="8"/>
      <c r="Q2157" s="8"/>
      <c r="R2157" s="8"/>
      <c r="S2157" s="8">
        <v>8.9499999999999993</v>
      </c>
      <c r="T2157" s="8"/>
      <c r="U2157" s="8">
        <v>34.39</v>
      </c>
      <c r="V2157" s="8"/>
      <c r="W2157" s="8"/>
      <c r="X2157" s="8"/>
      <c r="Y2157" s="8"/>
      <c r="Z2157" s="8">
        <v>481.88</v>
      </c>
      <c r="AA2157" s="8"/>
      <c r="AB2157" s="8"/>
      <c r="AC2157" s="8"/>
      <c r="AD2157" s="8"/>
      <c r="AE2157" s="8"/>
      <c r="AF2157" s="8">
        <v>114.87</v>
      </c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>
        <f>1514*22.93/1000</f>
        <v>34.71602</v>
      </c>
      <c r="AR2157" s="8"/>
      <c r="AS2157" s="8"/>
      <c r="AT2157" s="8">
        <v>1570.29</v>
      </c>
      <c r="AU2157" s="8"/>
      <c r="AV2157" s="8"/>
      <c r="AW2157" s="8">
        <v>6.7</v>
      </c>
      <c r="AX2157" s="8"/>
      <c r="AY2157" s="8"/>
      <c r="AZ2157" s="8"/>
      <c r="BA2157" s="8"/>
      <c r="BB2157" s="8"/>
      <c r="BC2157" s="8"/>
      <c r="BD2157" s="8"/>
      <c r="BE2157" s="8"/>
      <c r="BF2157" s="8">
        <v>110.08</v>
      </c>
      <c r="BG2157" s="8">
        <v>113.56</v>
      </c>
      <c r="BH2157" s="9">
        <f t="shared" si="297"/>
        <v>2293.25</v>
      </c>
      <c r="BI2157" s="9">
        <f t="shared" si="298"/>
        <v>5.74</v>
      </c>
      <c r="BJ2157" s="9">
        <f t="shared" si="299"/>
        <v>8.9499999999999993</v>
      </c>
      <c r="BK2157" s="9">
        <f t="shared" si="300"/>
        <v>34.39</v>
      </c>
      <c r="BL2157" s="9">
        <f t="shared" si="301"/>
        <v>481.88</v>
      </c>
      <c r="BM2157" s="9">
        <f t="shared" si="302"/>
        <v>149.58602000000002</v>
      </c>
      <c r="BN2157" s="9">
        <f t="shared" si="303"/>
        <v>1570.29</v>
      </c>
      <c r="BO2157" s="9">
        <f t="shared" si="304"/>
        <v>6.7</v>
      </c>
      <c r="BP2157" s="9">
        <f t="shared" si="305"/>
        <v>110.08</v>
      </c>
    </row>
    <row r="2158" spans="1:68">
      <c r="A2158" s="6">
        <v>44929</v>
      </c>
      <c r="B2158" s="7">
        <v>3020</v>
      </c>
      <c r="C2158" s="8"/>
      <c r="D2158" s="8">
        <v>318.12</v>
      </c>
      <c r="E2158" s="8"/>
      <c r="F2158" s="8"/>
      <c r="G2158" s="8"/>
      <c r="H2158" s="8"/>
      <c r="I2158" s="8">
        <v>1798.73</v>
      </c>
      <c r="J2158" s="8"/>
      <c r="K2158" s="8"/>
      <c r="L2158" s="8"/>
      <c r="M2158" s="8"/>
      <c r="N2158" s="8">
        <v>12.7</v>
      </c>
      <c r="O2158" s="8"/>
      <c r="P2158" s="8"/>
      <c r="Q2158" s="8"/>
      <c r="R2158" s="8"/>
      <c r="S2158" s="8">
        <v>3.8</v>
      </c>
      <c r="T2158" s="8"/>
      <c r="U2158" s="8"/>
      <c r="V2158" s="8"/>
      <c r="W2158" s="8">
        <v>21.17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>
        <v>21.1</v>
      </c>
      <c r="AN2158" s="8"/>
      <c r="AO2158" s="8"/>
      <c r="AP2158" s="8"/>
      <c r="AQ2158" s="8"/>
      <c r="AR2158" s="8"/>
      <c r="AS2158" s="8">
        <f>3023*17.63/1000</f>
        <v>53.295490000000001</v>
      </c>
      <c r="AT2158" s="8">
        <v>1038.95</v>
      </c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>
        <v>76.08</v>
      </c>
      <c r="BH2158" s="9">
        <f t="shared" si="297"/>
        <v>2116.85</v>
      </c>
      <c r="BI2158" s="9">
        <f t="shared" si="298"/>
        <v>12.7</v>
      </c>
      <c r="BJ2158" s="9">
        <f t="shared" si="299"/>
        <v>3.8</v>
      </c>
      <c r="BK2158" s="9">
        <f t="shared" si="300"/>
        <v>21.17</v>
      </c>
      <c r="BL2158" s="9">
        <f t="shared" si="301"/>
        <v>0</v>
      </c>
      <c r="BM2158" s="9">
        <f t="shared" si="302"/>
        <v>74.395489999999995</v>
      </c>
      <c r="BN2158" s="9">
        <f t="shared" si="303"/>
        <v>1038.95</v>
      </c>
      <c r="BO2158" s="9">
        <f t="shared" si="304"/>
        <v>0</v>
      </c>
      <c r="BP2158" s="9">
        <f t="shared" si="305"/>
        <v>0</v>
      </c>
    </row>
    <row r="2159" spans="1:68">
      <c r="A2159" s="6">
        <v>44929</v>
      </c>
      <c r="B2159" s="7">
        <v>3021</v>
      </c>
      <c r="C2159" s="8"/>
      <c r="D2159" s="8">
        <v>188.37</v>
      </c>
      <c r="E2159" s="8"/>
      <c r="F2159" s="8"/>
      <c r="G2159" s="8"/>
      <c r="H2159" s="8"/>
      <c r="I2159" s="8">
        <v>350.71</v>
      </c>
      <c r="J2159" s="8"/>
      <c r="K2159" s="8"/>
      <c r="L2159" s="8"/>
      <c r="M2159" s="8"/>
      <c r="N2159" s="8">
        <v>2.86</v>
      </c>
      <c r="O2159" s="8"/>
      <c r="P2159" s="8"/>
      <c r="Q2159" s="8"/>
      <c r="R2159" s="8"/>
      <c r="S2159" s="8">
        <v>0.97</v>
      </c>
      <c r="T2159" s="8"/>
      <c r="U2159" s="8"/>
      <c r="V2159" s="8"/>
      <c r="W2159" s="8">
        <v>5.39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>
        <v>5.39</v>
      </c>
      <c r="AN2159" s="8"/>
      <c r="AO2159" s="8"/>
      <c r="AP2159" s="8"/>
      <c r="AQ2159" s="8"/>
      <c r="AR2159" s="8"/>
      <c r="AS2159" s="8">
        <f>2639*5.13/1000</f>
        <v>13.538069999999999</v>
      </c>
      <c r="AT2159" s="8">
        <v>253.75</v>
      </c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>
        <v>19.22</v>
      </c>
      <c r="BH2159" s="9">
        <f t="shared" si="297"/>
        <v>539.07999999999993</v>
      </c>
      <c r="BI2159" s="9">
        <f t="shared" si="298"/>
        <v>2.86</v>
      </c>
      <c r="BJ2159" s="9">
        <f t="shared" si="299"/>
        <v>0.97</v>
      </c>
      <c r="BK2159" s="9">
        <f t="shared" si="300"/>
        <v>5.39</v>
      </c>
      <c r="BL2159" s="9">
        <f t="shared" si="301"/>
        <v>0</v>
      </c>
      <c r="BM2159" s="9">
        <f t="shared" si="302"/>
        <v>18.928069999999998</v>
      </c>
      <c r="BN2159" s="9">
        <f t="shared" si="303"/>
        <v>253.75</v>
      </c>
      <c r="BO2159" s="9">
        <f t="shared" si="304"/>
        <v>0</v>
      </c>
      <c r="BP2159" s="9">
        <f t="shared" si="305"/>
        <v>0</v>
      </c>
    </row>
    <row r="2160" spans="1:68">
      <c r="A2160" s="6">
        <v>44930</v>
      </c>
      <c r="B2160" s="7">
        <v>3203</v>
      </c>
      <c r="C2160" s="8">
        <v>886.66</v>
      </c>
      <c r="D2160" s="8"/>
      <c r="E2160" s="8">
        <v>379.96</v>
      </c>
      <c r="F2160" s="8"/>
      <c r="G2160" s="8"/>
      <c r="H2160" s="8"/>
      <c r="I2160" s="8"/>
      <c r="J2160" s="8"/>
      <c r="K2160" s="8"/>
      <c r="L2160" s="8"/>
      <c r="M2160" s="8"/>
      <c r="N2160" s="8"/>
      <c r="O2160" s="8">
        <v>3.79</v>
      </c>
      <c r="P2160" s="8"/>
      <c r="Q2160" s="8"/>
      <c r="R2160" s="8"/>
      <c r="S2160" s="8">
        <v>4.95</v>
      </c>
      <c r="T2160" s="8"/>
      <c r="U2160" s="8">
        <v>15.72</v>
      </c>
      <c r="V2160" s="8"/>
      <c r="W2160" s="8"/>
      <c r="X2160" s="8"/>
      <c r="Y2160" s="8"/>
      <c r="Z2160" s="8">
        <v>199.8</v>
      </c>
      <c r="AA2160" s="8">
        <f>10478*14.92/1000</f>
        <v>156.33176</v>
      </c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>
        <v>473.63</v>
      </c>
      <c r="AU2160" s="8">
        <v>237.12</v>
      </c>
      <c r="AV2160" s="8"/>
      <c r="AW2160" s="8"/>
      <c r="AX2160" s="8"/>
      <c r="AY2160" s="8"/>
      <c r="AZ2160" s="8"/>
      <c r="BA2160" s="8"/>
      <c r="BB2160" s="8"/>
      <c r="BC2160" s="8">
        <v>3.3</v>
      </c>
      <c r="BD2160" s="8"/>
      <c r="BE2160" s="8"/>
      <c r="BF2160" s="8"/>
      <c r="BG2160" s="8">
        <v>46.31</v>
      </c>
      <c r="BH2160" s="9">
        <f t="shared" si="297"/>
        <v>1266.6199999999999</v>
      </c>
      <c r="BI2160" s="9">
        <f t="shared" si="298"/>
        <v>3.79</v>
      </c>
      <c r="BJ2160" s="9">
        <f t="shared" si="299"/>
        <v>4.95</v>
      </c>
      <c r="BK2160" s="9">
        <f t="shared" si="300"/>
        <v>15.72</v>
      </c>
      <c r="BL2160" s="9">
        <f t="shared" si="301"/>
        <v>356.13175999999999</v>
      </c>
      <c r="BM2160" s="9">
        <f t="shared" si="302"/>
        <v>0</v>
      </c>
      <c r="BN2160" s="9">
        <f t="shared" si="303"/>
        <v>710.75</v>
      </c>
      <c r="BO2160" s="9">
        <f t="shared" si="304"/>
        <v>3.3</v>
      </c>
      <c r="BP2160" s="9">
        <f t="shared" si="305"/>
        <v>0</v>
      </c>
    </row>
    <row r="2161" spans="1:68">
      <c r="A2161" s="6">
        <v>44930</v>
      </c>
      <c r="B2161" s="7">
        <v>3201</v>
      </c>
      <c r="C2161" s="8">
        <v>1200.4000000000001</v>
      </c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>
        <v>2.99</v>
      </c>
      <c r="P2161" s="8"/>
      <c r="Q2161" s="8"/>
      <c r="R2161" s="8"/>
      <c r="S2161" s="8">
        <v>4.57</v>
      </c>
      <c r="T2161" s="8"/>
      <c r="U2161" s="8">
        <v>18.05</v>
      </c>
      <c r="V2161" s="8"/>
      <c r="W2161" s="8"/>
      <c r="X2161" s="8"/>
      <c r="Y2161" s="8"/>
      <c r="Z2161" s="8">
        <v>252.64</v>
      </c>
      <c r="AA2161" s="8"/>
      <c r="AB2161" s="8"/>
      <c r="AC2161" s="8"/>
      <c r="AD2161" s="8"/>
      <c r="AE2161" s="8"/>
      <c r="AF2161" s="8">
        <v>59.96</v>
      </c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>
        <f>1502*12.02/1000</f>
        <v>18.054040000000001</v>
      </c>
      <c r="AR2161" s="8"/>
      <c r="AS2161" s="8"/>
      <c r="AT2161" s="8">
        <v>825.79</v>
      </c>
      <c r="AU2161" s="8"/>
      <c r="AV2161" s="8"/>
      <c r="AW2161" s="8"/>
      <c r="AX2161" s="8"/>
      <c r="AY2161" s="8"/>
      <c r="AZ2161" s="8"/>
      <c r="BA2161" s="8"/>
      <c r="BB2161" s="8"/>
      <c r="BC2161" s="8">
        <v>3.12</v>
      </c>
      <c r="BD2161" s="8"/>
      <c r="BE2161" s="8"/>
      <c r="BF2161" s="8">
        <v>57.74</v>
      </c>
      <c r="BG2161" s="8">
        <v>59.15</v>
      </c>
      <c r="BH2161" s="9">
        <f t="shared" si="297"/>
        <v>1200.4000000000001</v>
      </c>
      <c r="BI2161" s="9">
        <f t="shared" si="298"/>
        <v>2.99</v>
      </c>
      <c r="BJ2161" s="9">
        <f t="shared" si="299"/>
        <v>4.57</v>
      </c>
      <c r="BK2161" s="9">
        <f t="shared" si="300"/>
        <v>18.05</v>
      </c>
      <c r="BL2161" s="9">
        <f t="shared" si="301"/>
        <v>252.64</v>
      </c>
      <c r="BM2161" s="9">
        <f t="shared" si="302"/>
        <v>78.014039999999994</v>
      </c>
      <c r="BN2161" s="9">
        <f t="shared" si="303"/>
        <v>825.79</v>
      </c>
      <c r="BO2161" s="9">
        <f t="shared" si="304"/>
        <v>3.12</v>
      </c>
      <c r="BP2161" s="9">
        <f t="shared" si="305"/>
        <v>57.74</v>
      </c>
    </row>
    <row r="2162" spans="1:68">
      <c r="A2162" s="6">
        <v>44930</v>
      </c>
      <c r="B2162" s="7">
        <v>3200</v>
      </c>
      <c r="C2162" s="8">
        <v>1224.0999999999999</v>
      </c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>
        <v>3.06</v>
      </c>
      <c r="P2162" s="8"/>
      <c r="Q2162" s="8"/>
      <c r="R2162" s="8"/>
      <c r="S2162" s="8">
        <v>4.79</v>
      </c>
      <c r="T2162" s="8"/>
      <c r="U2162" s="8">
        <v>18.41</v>
      </c>
      <c r="V2162" s="8"/>
      <c r="W2162" s="8"/>
      <c r="X2162" s="8"/>
      <c r="Y2162" s="8"/>
      <c r="Z2162" s="8">
        <v>257.89999999999998</v>
      </c>
      <c r="AA2162" s="8"/>
      <c r="AB2162" s="8"/>
      <c r="AC2162" s="8"/>
      <c r="AD2162" s="8"/>
      <c r="AE2162" s="8"/>
      <c r="AF2162" s="8">
        <v>60.97</v>
      </c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>
        <f>1502*12.27/1000</f>
        <v>18.429539999999999</v>
      </c>
      <c r="AR2162" s="8"/>
      <c r="AS2162" s="8"/>
      <c r="AT2162" s="8">
        <v>839.39</v>
      </c>
      <c r="AU2162" s="8"/>
      <c r="AV2162" s="8"/>
      <c r="AW2162" s="8">
        <v>3.47</v>
      </c>
      <c r="AX2162" s="8"/>
      <c r="AY2162" s="8"/>
      <c r="AZ2162" s="8"/>
      <c r="BA2162" s="8"/>
      <c r="BB2162" s="8"/>
      <c r="BC2162" s="8"/>
      <c r="BD2162" s="8"/>
      <c r="BE2162" s="8"/>
      <c r="BF2162" s="8">
        <v>58.95</v>
      </c>
      <c r="BG2162" s="8">
        <v>60.96</v>
      </c>
      <c r="BH2162" s="9">
        <f t="shared" si="297"/>
        <v>1224.0999999999999</v>
      </c>
      <c r="BI2162" s="9">
        <f t="shared" si="298"/>
        <v>3.06</v>
      </c>
      <c r="BJ2162" s="9">
        <f t="shared" si="299"/>
        <v>4.79</v>
      </c>
      <c r="BK2162" s="9">
        <f t="shared" si="300"/>
        <v>18.41</v>
      </c>
      <c r="BL2162" s="9">
        <f t="shared" si="301"/>
        <v>257.89999999999998</v>
      </c>
      <c r="BM2162" s="9">
        <f t="shared" si="302"/>
        <v>79.399540000000002</v>
      </c>
      <c r="BN2162" s="9">
        <f t="shared" si="303"/>
        <v>839.39</v>
      </c>
      <c r="BO2162" s="9">
        <f t="shared" si="304"/>
        <v>3.47</v>
      </c>
      <c r="BP2162" s="9">
        <f t="shared" si="305"/>
        <v>58.95</v>
      </c>
    </row>
    <row r="2163" spans="1:68">
      <c r="A2163" s="6">
        <v>44930</v>
      </c>
      <c r="B2163" s="7">
        <v>3141</v>
      </c>
      <c r="C2163" s="8">
        <v>2439.64</v>
      </c>
      <c r="D2163" s="8">
        <v>429.29</v>
      </c>
      <c r="E2163" s="8"/>
      <c r="F2163" s="8"/>
      <c r="G2163" s="8"/>
      <c r="H2163" s="8"/>
      <c r="I2163" s="8"/>
      <c r="J2163" s="8"/>
      <c r="K2163" s="8"/>
      <c r="L2163" s="8"/>
      <c r="M2163" s="8">
        <v>7.84</v>
      </c>
      <c r="N2163" s="8"/>
      <c r="O2163" s="8"/>
      <c r="P2163" s="8"/>
      <c r="Q2163" s="8"/>
      <c r="R2163" s="8"/>
      <c r="S2163" s="8">
        <v>13.55</v>
      </c>
      <c r="T2163" s="8"/>
      <c r="U2163" s="8">
        <v>43.21</v>
      </c>
      <c r="V2163" s="8"/>
      <c r="W2163" s="8"/>
      <c r="X2163" s="8"/>
      <c r="Y2163" s="8"/>
      <c r="Z2163" s="8"/>
      <c r="AA2163" s="8"/>
      <c r="AB2163" s="8"/>
      <c r="AC2163" s="8">
        <v>11.52</v>
      </c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>
        <v>1897.03</v>
      </c>
      <c r="AU2163" s="8"/>
      <c r="AV2163" s="8"/>
      <c r="AW2163" s="8"/>
      <c r="AX2163" s="8"/>
      <c r="AY2163" s="8"/>
      <c r="AZ2163" s="8"/>
      <c r="BA2163" s="8">
        <v>65.98</v>
      </c>
      <c r="BB2163" s="8"/>
      <c r="BC2163" s="8"/>
      <c r="BD2163" s="8"/>
      <c r="BE2163" s="8"/>
      <c r="BF2163" s="8">
        <v>201.57</v>
      </c>
      <c r="BG2163" s="8">
        <v>149.68</v>
      </c>
      <c r="BH2163" s="9">
        <f t="shared" si="297"/>
        <v>2868.93</v>
      </c>
      <c r="BI2163" s="9">
        <f t="shared" si="298"/>
        <v>7.84</v>
      </c>
      <c r="BJ2163" s="9">
        <f t="shared" si="299"/>
        <v>13.55</v>
      </c>
      <c r="BK2163" s="9">
        <f t="shared" si="300"/>
        <v>43.21</v>
      </c>
      <c r="BL2163" s="9">
        <f t="shared" si="301"/>
        <v>0</v>
      </c>
      <c r="BM2163" s="9">
        <f t="shared" si="302"/>
        <v>11.52</v>
      </c>
      <c r="BN2163" s="9">
        <f t="shared" si="303"/>
        <v>1897.03</v>
      </c>
      <c r="BO2163" s="9">
        <f t="shared" si="304"/>
        <v>65.98</v>
      </c>
      <c r="BP2163" s="9">
        <f t="shared" si="305"/>
        <v>201.57</v>
      </c>
    </row>
    <row r="2164" spans="1:68">
      <c r="A2164" s="6">
        <v>44930</v>
      </c>
      <c r="B2164" s="7">
        <v>3106</v>
      </c>
      <c r="C2164" s="8">
        <v>4147.3500000000004</v>
      </c>
      <c r="D2164" s="8"/>
      <c r="E2164" s="8"/>
      <c r="F2164" s="8"/>
      <c r="G2164" s="8"/>
      <c r="H2164" s="8"/>
      <c r="I2164" s="8"/>
      <c r="J2164" s="8"/>
      <c r="K2164" s="8"/>
      <c r="L2164" s="8"/>
      <c r="M2164" s="8">
        <v>11.14</v>
      </c>
      <c r="N2164" s="8"/>
      <c r="O2164" s="8"/>
      <c r="P2164" s="8"/>
      <c r="Q2164" s="8"/>
      <c r="R2164" s="8"/>
      <c r="S2164" s="8">
        <v>12.48</v>
      </c>
      <c r="T2164" s="8"/>
      <c r="U2164" s="8">
        <v>52.83</v>
      </c>
      <c r="V2164" s="8"/>
      <c r="W2164" s="8"/>
      <c r="X2164" s="8"/>
      <c r="Y2164" s="8"/>
      <c r="Z2164" s="8"/>
      <c r="AA2164" s="8"/>
      <c r="AB2164" s="8"/>
      <c r="AC2164" s="8">
        <v>10.38</v>
      </c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>
        <v>2365.83</v>
      </c>
      <c r="AU2164" s="8"/>
      <c r="AV2164" s="8"/>
      <c r="AW2164" s="8"/>
      <c r="AX2164" s="8">
        <v>5.19</v>
      </c>
      <c r="AY2164" s="8"/>
      <c r="AZ2164" s="8"/>
      <c r="BA2164" s="8"/>
      <c r="BB2164" s="8"/>
      <c r="BC2164" s="8"/>
      <c r="BD2164" s="8"/>
      <c r="BE2164" s="8"/>
      <c r="BF2164" s="8"/>
      <c r="BG2164" s="8">
        <v>178.09</v>
      </c>
      <c r="BH2164" s="9">
        <f t="shared" si="297"/>
        <v>4147.3500000000004</v>
      </c>
      <c r="BI2164" s="9">
        <f t="shared" si="298"/>
        <v>11.14</v>
      </c>
      <c r="BJ2164" s="9">
        <f t="shared" si="299"/>
        <v>12.48</v>
      </c>
      <c r="BK2164" s="9">
        <f t="shared" si="300"/>
        <v>52.83</v>
      </c>
      <c r="BL2164" s="9">
        <f t="shared" si="301"/>
        <v>0</v>
      </c>
      <c r="BM2164" s="9">
        <f t="shared" si="302"/>
        <v>10.38</v>
      </c>
      <c r="BN2164" s="9">
        <f t="shared" si="303"/>
        <v>2365.83</v>
      </c>
      <c r="BO2164" s="9">
        <f t="shared" si="304"/>
        <v>5.19</v>
      </c>
      <c r="BP2164" s="9">
        <f t="shared" si="305"/>
        <v>0</v>
      </c>
    </row>
    <row r="2165" spans="1:68">
      <c r="A2165" s="6">
        <v>44930</v>
      </c>
      <c r="B2165" s="7">
        <v>3403</v>
      </c>
      <c r="C2165" s="8">
        <f>220.45+227.14</f>
        <v>447.59</v>
      </c>
      <c r="D2165" s="8">
        <f>219.9+227.15</f>
        <v>447.05</v>
      </c>
      <c r="E2165" s="8"/>
      <c r="F2165" s="8"/>
      <c r="G2165" s="8"/>
      <c r="H2165" s="8"/>
      <c r="I2165" s="8"/>
      <c r="J2165" s="8"/>
      <c r="K2165" s="8"/>
      <c r="L2165" s="8"/>
      <c r="M2165" s="8">
        <f>0.97+1</f>
        <v>1.97</v>
      </c>
      <c r="N2165" s="8"/>
      <c r="O2165" s="8"/>
      <c r="P2165" s="8"/>
      <c r="Q2165" s="8"/>
      <c r="R2165" s="8"/>
      <c r="S2165" s="8">
        <f>1.1+1.14</f>
        <v>2.2400000000000002</v>
      </c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>
        <f>761*8.95/1000</f>
        <v>6.8109500000000001</v>
      </c>
      <c r="AO2165" s="8"/>
      <c r="AP2165" s="8"/>
      <c r="AQ2165" s="8"/>
      <c r="AR2165" s="8">
        <f>4606*8.95/1000</f>
        <v>41.223699999999994</v>
      </c>
      <c r="AS2165" s="8"/>
      <c r="AT2165" s="8">
        <f>204.86+211.07</f>
        <v>415.93</v>
      </c>
      <c r="AU2165" s="8"/>
      <c r="AV2165" s="8">
        <f>13.2+13.65</f>
        <v>26.85</v>
      </c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>
        <f>14.54+15.02</f>
        <v>29.56</v>
      </c>
      <c r="BH2165" s="9">
        <f t="shared" si="297"/>
        <v>894.64</v>
      </c>
      <c r="BI2165" s="9">
        <f t="shared" si="298"/>
        <v>1.97</v>
      </c>
      <c r="BJ2165" s="9">
        <f t="shared" si="299"/>
        <v>2.2400000000000002</v>
      </c>
      <c r="BK2165" s="9">
        <f t="shared" si="300"/>
        <v>0</v>
      </c>
      <c r="BL2165" s="9">
        <f t="shared" si="301"/>
        <v>0</v>
      </c>
      <c r="BM2165" s="9">
        <f t="shared" si="302"/>
        <v>48.034649999999992</v>
      </c>
      <c r="BN2165" s="9">
        <f t="shared" si="303"/>
        <v>415.93</v>
      </c>
      <c r="BO2165" s="9">
        <f t="shared" si="304"/>
        <v>26.85</v>
      </c>
      <c r="BP2165" s="9">
        <f t="shared" si="305"/>
        <v>0</v>
      </c>
    </row>
    <row r="2166" spans="1:68">
      <c r="A2166" s="6">
        <v>44930</v>
      </c>
      <c r="B2166" s="7">
        <v>3083</v>
      </c>
      <c r="C2166" s="8"/>
      <c r="D2166" s="8">
        <v>738.54</v>
      </c>
      <c r="E2166" s="8"/>
      <c r="F2166" s="8"/>
      <c r="G2166" s="8"/>
      <c r="H2166" s="8"/>
      <c r="I2166" s="8">
        <v>1723.04</v>
      </c>
      <c r="J2166" s="8"/>
      <c r="K2166" s="8"/>
      <c r="L2166" s="8"/>
      <c r="M2166" s="8"/>
      <c r="N2166" s="8">
        <v>15.52</v>
      </c>
      <c r="O2166" s="8"/>
      <c r="P2166" s="8"/>
      <c r="Q2166" s="8"/>
      <c r="R2166" s="8"/>
      <c r="S2166" s="8">
        <v>1.72</v>
      </c>
      <c r="T2166" s="8"/>
      <c r="U2166" s="8"/>
      <c r="V2166" s="8"/>
      <c r="W2166" s="8">
        <v>19.71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>
        <v>9.85</v>
      </c>
      <c r="AN2166" s="8">
        <f>1902*18.22/1000</f>
        <v>34.654439999999994</v>
      </c>
      <c r="AO2166" s="8"/>
      <c r="AP2166" s="8"/>
      <c r="AQ2166" s="8"/>
      <c r="AR2166" s="8">
        <f>3378*18.22/1000</f>
        <v>61.547159999999998</v>
      </c>
      <c r="AS2166" s="8"/>
      <c r="AT2166" s="8">
        <v>1156.78</v>
      </c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>
        <v>91.72</v>
      </c>
      <c r="BH2166" s="9">
        <f t="shared" si="297"/>
        <v>2461.58</v>
      </c>
      <c r="BI2166" s="9">
        <f t="shared" si="298"/>
        <v>15.52</v>
      </c>
      <c r="BJ2166" s="9">
        <f t="shared" si="299"/>
        <v>1.72</v>
      </c>
      <c r="BK2166" s="9">
        <f t="shared" si="300"/>
        <v>19.71</v>
      </c>
      <c r="BL2166" s="9">
        <f t="shared" si="301"/>
        <v>0</v>
      </c>
      <c r="BM2166" s="9">
        <f t="shared" si="302"/>
        <v>106.05159999999999</v>
      </c>
      <c r="BN2166" s="9">
        <f t="shared" si="303"/>
        <v>1156.78</v>
      </c>
      <c r="BO2166" s="9">
        <f t="shared" si="304"/>
        <v>0</v>
      </c>
      <c r="BP2166" s="9">
        <f t="shared" si="305"/>
        <v>0</v>
      </c>
    </row>
    <row r="2167" spans="1:68">
      <c r="A2167" s="6">
        <v>44930</v>
      </c>
      <c r="B2167" s="7">
        <v>3307</v>
      </c>
      <c r="C2167" s="8"/>
      <c r="D2167" s="8">
        <v>991.67</v>
      </c>
      <c r="E2167" s="8"/>
      <c r="F2167" s="8"/>
      <c r="G2167" s="8"/>
      <c r="H2167" s="8"/>
      <c r="I2167" s="8"/>
      <c r="J2167" s="8"/>
      <c r="K2167" s="8"/>
      <c r="L2167" s="8"/>
      <c r="M2167" s="8">
        <v>0.99</v>
      </c>
      <c r="N2167" s="8"/>
      <c r="O2167" s="8"/>
      <c r="P2167" s="8"/>
      <c r="Q2167" s="8"/>
      <c r="R2167" s="8"/>
      <c r="S2167" s="8">
        <v>6.74</v>
      </c>
      <c r="T2167" s="8"/>
      <c r="U2167" s="8">
        <v>9.91</v>
      </c>
      <c r="V2167" s="8"/>
      <c r="W2167" s="8"/>
      <c r="X2167" s="8"/>
      <c r="Y2167" s="8"/>
      <c r="Z2167" s="8"/>
      <c r="AA2167" s="8"/>
      <c r="AB2167" s="8"/>
      <c r="AC2167" s="8">
        <v>5.95</v>
      </c>
      <c r="AD2167" s="8"/>
      <c r="AE2167" s="8"/>
      <c r="AF2167" s="8"/>
      <c r="AG2167" s="8">
        <v>9.9</v>
      </c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>
        <v>496.81</v>
      </c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>
        <v>35.64</v>
      </c>
      <c r="BH2167" s="9">
        <f t="shared" si="297"/>
        <v>991.67</v>
      </c>
      <c r="BI2167" s="9">
        <f t="shared" si="298"/>
        <v>0.99</v>
      </c>
      <c r="BJ2167" s="9">
        <f t="shared" si="299"/>
        <v>6.74</v>
      </c>
      <c r="BK2167" s="9">
        <f t="shared" si="300"/>
        <v>9.91</v>
      </c>
      <c r="BL2167" s="9">
        <f t="shared" si="301"/>
        <v>0</v>
      </c>
      <c r="BM2167" s="9">
        <f t="shared" si="302"/>
        <v>15.850000000000001</v>
      </c>
      <c r="BN2167" s="9">
        <f t="shared" si="303"/>
        <v>496.81</v>
      </c>
      <c r="BO2167" s="9">
        <f t="shared" si="304"/>
        <v>0</v>
      </c>
      <c r="BP2167" s="9">
        <f t="shared" si="305"/>
        <v>0</v>
      </c>
    </row>
    <row r="2168" spans="1:68">
      <c r="A2168" s="6">
        <v>44930</v>
      </c>
      <c r="B2168" s="7">
        <v>3602</v>
      </c>
      <c r="C2168" s="8">
        <v>568.75</v>
      </c>
      <c r="D2168" s="8"/>
      <c r="E2168" s="8"/>
      <c r="F2168" s="8"/>
      <c r="G2168" s="8">
        <v>851.22</v>
      </c>
      <c r="H2168" s="8"/>
      <c r="I2168" s="8"/>
      <c r="J2168" s="8"/>
      <c r="K2168" s="8"/>
      <c r="L2168" s="8"/>
      <c r="M2168" s="8">
        <v>1.48</v>
      </c>
      <c r="N2168" s="8"/>
      <c r="O2168" s="8"/>
      <c r="P2168" s="8"/>
      <c r="Q2168" s="8"/>
      <c r="R2168" s="8"/>
      <c r="S2168" s="8">
        <v>6.83</v>
      </c>
      <c r="T2168" s="8"/>
      <c r="U2168" s="8">
        <v>11.37</v>
      </c>
      <c r="V2168" s="8">
        <f>854*16.27/1000</f>
        <v>13.894579999999999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>
        <v>572.07000000000005</v>
      </c>
      <c r="AU2168" s="8"/>
      <c r="AV2168" s="8"/>
      <c r="AW2168" s="8">
        <v>36.78</v>
      </c>
      <c r="AX2168" s="8"/>
      <c r="AY2168" s="8"/>
      <c r="AZ2168" s="8"/>
      <c r="BA2168" s="8"/>
      <c r="BB2168" s="8"/>
      <c r="BC2168" s="8"/>
      <c r="BD2168" s="8"/>
      <c r="BE2168" s="8"/>
      <c r="BF2168" s="8">
        <v>45.54</v>
      </c>
      <c r="BG2168" s="8">
        <v>42.44</v>
      </c>
      <c r="BH2168" s="9">
        <f t="shared" si="297"/>
        <v>1419.97</v>
      </c>
      <c r="BI2168" s="9">
        <f t="shared" si="298"/>
        <v>1.48</v>
      </c>
      <c r="BJ2168" s="9">
        <f t="shared" si="299"/>
        <v>6.83</v>
      </c>
      <c r="BK2168" s="9">
        <f t="shared" si="300"/>
        <v>25.264579999999999</v>
      </c>
      <c r="BL2168" s="9">
        <f t="shared" si="301"/>
        <v>0</v>
      </c>
      <c r="BM2168" s="9">
        <f t="shared" si="302"/>
        <v>0</v>
      </c>
      <c r="BN2168" s="9">
        <f t="shared" si="303"/>
        <v>572.07000000000005</v>
      </c>
      <c r="BO2168" s="9">
        <f t="shared" si="304"/>
        <v>36.78</v>
      </c>
      <c r="BP2168" s="9">
        <f t="shared" si="305"/>
        <v>45.54</v>
      </c>
    </row>
    <row r="2169" spans="1:68">
      <c r="A2169" s="6">
        <v>44930</v>
      </c>
      <c r="B2169" s="7">
        <v>3029</v>
      </c>
      <c r="C2169" s="8"/>
      <c r="D2169" s="8">
        <v>459.58</v>
      </c>
      <c r="E2169" s="8"/>
      <c r="F2169" s="8">
        <v>324.61</v>
      </c>
      <c r="G2169" s="8"/>
      <c r="H2169" s="8"/>
      <c r="I2169" s="8">
        <v>1918.7</v>
      </c>
      <c r="J2169" s="8"/>
      <c r="K2169" s="8"/>
      <c r="L2169" s="8"/>
      <c r="M2169" s="8"/>
      <c r="N2169" s="8">
        <v>20.84</v>
      </c>
      <c r="O2169" s="8"/>
      <c r="P2169" s="8"/>
      <c r="Q2169" s="8"/>
      <c r="R2169" s="8"/>
      <c r="S2169" s="8">
        <v>1.62</v>
      </c>
      <c r="T2169" s="8"/>
      <c r="U2169" s="8"/>
      <c r="V2169" s="8"/>
      <c r="W2169" s="8">
        <v>27.08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>
        <v>9.4600000000000009</v>
      </c>
      <c r="AN2169" s="8">
        <f>761*18.02/1000</f>
        <v>13.71322</v>
      </c>
      <c r="AO2169" s="8"/>
      <c r="AP2169" s="8"/>
      <c r="AQ2169" s="8"/>
      <c r="AR2169" s="8">
        <f>4606*18.02/1000</f>
        <v>83.000119999999995</v>
      </c>
      <c r="AS2169" s="8"/>
      <c r="AT2169" s="8">
        <v>1028.32</v>
      </c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>
        <v>71.81</v>
      </c>
      <c r="BH2169" s="9">
        <f t="shared" si="297"/>
        <v>2702.8900000000003</v>
      </c>
      <c r="BI2169" s="9">
        <f t="shared" si="298"/>
        <v>20.84</v>
      </c>
      <c r="BJ2169" s="9">
        <f t="shared" si="299"/>
        <v>1.62</v>
      </c>
      <c r="BK2169" s="9">
        <f t="shared" si="300"/>
        <v>27.08</v>
      </c>
      <c r="BL2169" s="9">
        <f t="shared" si="301"/>
        <v>0</v>
      </c>
      <c r="BM2169" s="9">
        <f t="shared" si="302"/>
        <v>106.17334</v>
      </c>
      <c r="BN2169" s="9">
        <f t="shared" si="303"/>
        <v>1028.32</v>
      </c>
      <c r="BO2169" s="9">
        <f t="shared" si="304"/>
        <v>0</v>
      </c>
      <c r="BP2169" s="9">
        <f t="shared" si="305"/>
        <v>0</v>
      </c>
    </row>
    <row r="2170" spans="1:68">
      <c r="A2170" s="6">
        <v>44931</v>
      </c>
      <c r="B2170" s="7">
        <v>3116</v>
      </c>
      <c r="C2170" s="8">
        <v>1496.79</v>
      </c>
      <c r="D2170" s="8"/>
      <c r="E2170" s="8"/>
      <c r="F2170" s="8"/>
      <c r="G2170" s="8"/>
      <c r="H2170" s="8"/>
      <c r="I2170" s="8"/>
      <c r="J2170" s="8"/>
      <c r="K2170" s="8"/>
      <c r="L2170" s="8"/>
      <c r="M2170" s="8">
        <v>2.99</v>
      </c>
      <c r="N2170" s="8"/>
      <c r="O2170" s="8"/>
      <c r="P2170" s="8"/>
      <c r="Q2170" s="8"/>
      <c r="R2170" s="8"/>
      <c r="S2170" s="8">
        <v>6.45</v>
      </c>
      <c r="T2170" s="8"/>
      <c r="U2170" s="8">
        <v>22.08</v>
      </c>
      <c r="V2170" s="8"/>
      <c r="W2170" s="8"/>
      <c r="X2170" s="8"/>
      <c r="Y2170" s="8"/>
      <c r="Z2170" s="8"/>
      <c r="AA2170" s="8"/>
      <c r="AB2170" s="8"/>
      <c r="AC2170" s="8">
        <v>6.01</v>
      </c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>
        <f>1442*10.7/1000</f>
        <v>15.429399999999999</v>
      </c>
      <c r="AR2170" s="8"/>
      <c r="AS2170" s="8"/>
      <c r="AT2170" s="8">
        <v>912.18</v>
      </c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>
        <v>60.01</v>
      </c>
      <c r="BG2170" s="8">
        <v>68.010000000000005</v>
      </c>
      <c r="BH2170" s="9">
        <f t="shared" si="297"/>
        <v>1496.79</v>
      </c>
      <c r="BI2170" s="9">
        <f t="shared" si="298"/>
        <v>2.99</v>
      </c>
      <c r="BJ2170" s="9">
        <f t="shared" si="299"/>
        <v>6.45</v>
      </c>
      <c r="BK2170" s="9">
        <f t="shared" si="300"/>
        <v>22.08</v>
      </c>
      <c r="BL2170" s="9">
        <f t="shared" si="301"/>
        <v>0</v>
      </c>
      <c r="BM2170" s="9">
        <f t="shared" si="302"/>
        <v>21.439399999999999</v>
      </c>
      <c r="BN2170" s="9">
        <f t="shared" si="303"/>
        <v>912.18</v>
      </c>
      <c r="BO2170" s="9">
        <f t="shared" si="304"/>
        <v>0</v>
      </c>
      <c r="BP2170" s="9">
        <f t="shared" si="305"/>
        <v>60.01</v>
      </c>
    </row>
    <row r="2171" spans="1:68">
      <c r="A2171" s="6">
        <v>44931</v>
      </c>
      <c r="B2171" s="7">
        <v>3145</v>
      </c>
      <c r="C2171" s="8">
        <v>1275.58</v>
      </c>
      <c r="D2171" s="8">
        <v>225.2</v>
      </c>
      <c r="E2171" s="8"/>
      <c r="F2171" s="8"/>
      <c r="G2171" s="8"/>
      <c r="H2171" s="8"/>
      <c r="I2171" s="8"/>
      <c r="J2171" s="8"/>
      <c r="K2171" s="8"/>
      <c r="L2171" s="8"/>
      <c r="M2171" s="8">
        <v>4.3600000000000003</v>
      </c>
      <c r="N2171" s="8"/>
      <c r="O2171" s="8"/>
      <c r="P2171" s="8"/>
      <c r="Q2171" s="8"/>
      <c r="R2171" s="8"/>
      <c r="S2171" s="8">
        <v>7.06</v>
      </c>
      <c r="T2171" s="8"/>
      <c r="U2171" s="8">
        <v>22.55</v>
      </c>
      <c r="V2171" s="8"/>
      <c r="W2171" s="8"/>
      <c r="X2171" s="8"/>
      <c r="Y2171" s="8"/>
      <c r="Z2171" s="8"/>
      <c r="AA2171" s="8"/>
      <c r="AB2171" s="8"/>
      <c r="AC2171" s="8">
        <v>6.02</v>
      </c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>
        <v>990.06</v>
      </c>
      <c r="AU2171" s="8"/>
      <c r="AV2171" s="8"/>
      <c r="AW2171" s="8"/>
      <c r="AX2171" s="8"/>
      <c r="AY2171" s="8"/>
      <c r="AZ2171" s="8"/>
      <c r="BA2171" s="8"/>
      <c r="BB2171" s="8"/>
      <c r="BC2171" s="8"/>
      <c r="BD2171" s="8">
        <v>3.75</v>
      </c>
      <c r="BE2171" s="8">
        <f>1387*10.02/1000</f>
        <v>13.897740000000001</v>
      </c>
      <c r="BF2171" s="8">
        <v>105.11</v>
      </c>
      <c r="BG2171" s="8">
        <v>77.83</v>
      </c>
      <c r="BH2171" s="9">
        <f t="shared" si="297"/>
        <v>1500.78</v>
      </c>
      <c r="BI2171" s="9">
        <f t="shared" si="298"/>
        <v>4.3600000000000003</v>
      </c>
      <c r="BJ2171" s="9">
        <f t="shared" si="299"/>
        <v>7.06</v>
      </c>
      <c r="BK2171" s="9">
        <f t="shared" si="300"/>
        <v>22.55</v>
      </c>
      <c r="BL2171" s="9">
        <f t="shared" si="301"/>
        <v>0</v>
      </c>
      <c r="BM2171" s="9">
        <f t="shared" si="302"/>
        <v>6.02</v>
      </c>
      <c r="BN2171" s="9">
        <f t="shared" si="303"/>
        <v>990.06</v>
      </c>
      <c r="BO2171" s="9">
        <f t="shared" si="304"/>
        <v>17.647739999999999</v>
      </c>
      <c r="BP2171" s="9">
        <f t="shared" si="305"/>
        <v>105.11</v>
      </c>
    </row>
    <row r="2172" spans="1:68">
      <c r="A2172" s="6">
        <v>44931</v>
      </c>
      <c r="B2172" s="7">
        <v>3141</v>
      </c>
      <c r="C2172" s="8">
        <v>3642.81</v>
      </c>
      <c r="D2172" s="8">
        <v>642.88</v>
      </c>
      <c r="E2172" s="8"/>
      <c r="F2172" s="8"/>
      <c r="G2172" s="8"/>
      <c r="H2172" s="8"/>
      <c r="I2172" s="8"/>
      <c r="J2172" s="8"/>
      <c r="K2172" s="8"/>
      <c r="L2172" s="8"/>
      <c r="M2172" s="8">
        <v>12.02</v>
      </c>
      <c r="N2172" s="8"/>
      <c r="O2172" s="8"/>
      <c r="P2172" s="8"/>
      <c r="Q2172" s="8"/>
      <c r="R2172" s="8"/>
      <c r="S2172" s="8">
        <v>20.16</v>
      </c>
      <c r="T2172" s="8"/>
      <c r="U2172" s="8">
        <v>64.33</v>
      </c>
      <c r="V2172" s="8"/>
      <c r="W2172" s="8"/>
      <c r="X2172" s="8"/>
      <c r="Y2172" s="8"/>
      <c r="Z2172" s="8"/>
      <c r="AA2172" s="8"/>
      <c r="AB2172" s="8"/>
      <c r="AC2172" s="8">
        <v>17.149999999999999</v>
      </c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>
        <v>2826.27</v>
      </c>
      <c r="AU2172" s="8"/>
      <c r="AV2172" s="8"/>
      <c r="AW2172" s="8"/>
      <c r="AX2172" s="8"/>
      <c r="AY2172" s="8"/>
      <c r="AZ2172" s="8"/>
      <c r="BA2172" s="8">
        <v>98.28</v>
      </c>
      <c r="BB2172" s="8"/>
      <c r="BC2172" s="8"/>
      <c r="BD2172" s="8"/>
      <c r="BE2172" s="8"/>
      <c r="BF2172" s="8">
        <v>300.27999999999997</v>
      </c>
      <c r="BG2172" s="8">
        <v>223.07</v>
      </c>
      <c r="BH2172" s="9">
        <f t="shared" si="297"/>
        <v>4285.6899999999996</v>
      </c>
      <c r="BI2172" s="9">
        <f t="shared" si="298"/>
        <v>12.02</v>
      </c>
      <c r="BJ2172" s="9">
        <f t="shared" si="299"/>
        <v>20.16</v>
      </c>
      <c r="BK2172" s="9">
        <f t="shared" si="300"/>
        <v>64.33</v>
      </c>
      <c r="BL2172" s="9">
        <f t="shared" si="301"/>
        <v>0</v>
      </c>
      <c r="BM2172" s="9">
        <f t="shared" si="302"/>
        <v>17.149999999999999</v>
      </c>
      <c r="BN2172" s="9">
        <f t="shared" si="303"/>
        <v>2826.27</v>
      </c>
      <c r="BO2172" s="9">
        <f t="shared" si="304"/>
        <v>98.28</v>
      </c>
      <c r="BP2172" s="9">
        <f t="shared" si="305"/>
        <v>300.27999999999997</v>
      </c>
    </row>
    <row r="2173" spans="1:68">
      <c r="A2173" s="6">
        <v>44931</v>
      </c>
      <c r="B2173" s="7">
        <v>3106</v>
      </c>
      <c r="C2173" s="8">
        <v>4176.47</v>
      </c>
      <c r="D2173" s="8"/>
      <c r="E2173" s="8"/>
      <c r="F2173" s="8"/>
      <c r="G2173" s="8"/>
      <c r="H2173" s="8"/>
      <c r="I2173" s="8"/>
      <c r="J2173" s="8"/>
      <c r="K2173" s="8"/>
      <c r="L2173" s="8"/>
      <c r="M2173" s="8">
        <v>11.25</v>
      </c>
      <c r="N2173" s="8"/>
      <c r="O2173" s="8"/>
      <c r="P2173" s="8"/>
      <c r="Q2173" s="8"/>
      <c r="R2173" s="8"/>
      <c r="S2173" s="8">
        <v>12.56</v>
      </c>
      <c r="T2173" s="8"/>
      <c r="U2173" s="8">
        <v>53.12</v>
      </c>
      <c r="V2173" s="8"/>
      <c r="W2173" s="8"/>
      <c r="X2173" s="8"/>
      <c r="Y2173" s="8"/>
      <c r="Z2173" s="8"/>
      <c r="AA2173" s="8"/>
      <c r="AB2173" s="8"/>
      <c r="AC2173" s="8">
        <v>10.44</v>
      </c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>
        <v>2380.63</v>
      </c>
      <c r="AU2173" s="8"/>
      <c r="AV2173" s="8"/>
      <c r="AW2173" s="8"/>
      <c r="AX2173" s="8">
        <v>5.23</v>
      </c>
      <c r="AY2173" s="8"/>
      <c r="AZ2173" s="8"/>
      <c r="BA2173" s="8"/>
      <c r="BB2173" s="8"/>
      <c r="BC2173" s="8"/>
      <c r="BD2173" s="8"/>
      <c r="BE2173" s="8"/>
      <c r="BF2173" s="8"/>
      <c r="BG2173" s="8">
        <v>179.89</v>
      </c>
      <c r="BH2173" s="9">
        <f t="shared" si="297"/>
        <v>4176.47</v>
      </c>
      <c r="BI2173" s="9">
        <f t="shared" si="298"/>
        <v>11.25</v>
      </c>
      <c r="BJ2173" s="9">
        <f t="shared" si="299"/>
        <v>12.56</v>
      </c>
      <c r="BK2173" s="9">
        <f t="shared" si="300"/>
        <v>53.12</v>
      </c>
      <c r="BL2173" s="9">
        <f t="shared" si="301"/>
        <v>0</v>
      </c>
      <c r="BM2173" s="9">
        <f t="shared" si="302"/>
        <v>10.44</v>
      </c>
      <c r="BN2173" s="9">
        <f t="shared" si="303"/>
        <v>2380.63</v>
      </c>
      <c r="BO2173" s="9">
        <f t="shared" si="304"/>
        <v>5.23</v>
      </c>
      <c r="BP2173" s="9">
        <f t="shared" si="305"/>
        <v>0</v>
      </c>
    </row>
    <row r="2174" spans="1:68">
      <c r="A2174" s="6">
        <v>44931</v>
      </c>
      <c r="B2174" s="7">
        <v>3405</v>
      </c>
      <c r="C2174" s="8">
        <v>1492.16</v>
      </c>
      <c r="D2174" s="8">
        <v>372.91</v>
      </c>
      <c r="E2174" s="8"/>
      <c r="F2174" s="8"/>
      <c r="G2174" s="8"/>
      <c r="H2174" s="8"/>
      <c r="I2174" s="8"/>
      <c r="J2174" s="8"/>
      <c r="K2174" s="8"/>
      <c r="L2174" s="8"/>
      <c r="M2174" s="8">
        <v>4.3099999999999996</v>
      </c>
      <c r="N2174" s="8"/>
      <c r="O2174" s="8"/>
      <c r="P2174" s="8"/>
      <c r="Q2174" s="8"/>
      <c r="R2174" s="8"/>
      <c r="S2174" s="8">
        <v>4.3099999999999996</v>
      </c>
      <c r="T2174" s="8"/>
      <c r="U2174" s="8"/>
      <c r="V2174" s="8"/>
      <c r="W2174" s="8"/>
      <c r="X2174" s="8">
        <f>1205*18.73/1000</f>
        <v>22.569650000000003</v>
      </c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>
        <v>915.86</v>
      </c>
      <c r="AU2174" s="8"/>
      <c r="AV2174" s="8"/>
      <c r="AW2174" s="8"/>
      <c r="AX2174" s="8"/>
      <c r="AY2174" s="8"/>
      <c r="AZ2174" s="8"/>
      <c r="BA2174" s="8">
        <v>8.36</v>
      </c>
      <c r="BB2174" s="8"/>
      <c r="BC2174" s="8"/>
      <c r="BD2174" s="8"/>
      <c r="BE2174" s="8"/>
      <c r="BF2174" s="8"/>
      <c r="BG2174" s="8">
        <v>61.86</v>
      </c>
      <c r="BH2174" s="9">
        <f t="shared" si="297"/>
        <v>1865.0700000000002</v>
      </c>
      <c r="BI2174" s="9">
        <f t="shared" si="298"/>
        <v>4.3099999999999996</v>
      </c>
      <c r="BJ2174" s="9">
        <f t="shared" si="299"/>
        <v>4.3099999999999996</v>
      </c>
      <c r="BK2174" s="9">
        <f t="shared" si="300"/>
        <v>22.569650000000003</v>
      </c>
      <c r="BL2174" s="9">
        <f t="shared" si="301"/>
        <v>0</v>
      </c>
      <c r="BM2174" s="9">
        <f t="shared" si="302"/>
        <v>0</v>
      </c>
      <c r="BN2174" s="9">
        <f t="shared" si="303"/>
        <v>915.86</v>
      </c>
      <c r="BO2174" s="9">
        <f t="shared" si="304"/>
        <v>8.36</v>
      </c>
      <c r="BP2174" s="9">
        <f t="shared" si="305"/>
        <v>0</v>
      </c>
    </row>
    <row r="2175" spans="1:68">
      <c r="A2175" s="6">
        <v>44931</v>
      </c>
      <c r="B2175" s="7">
        <v>3023</v>
      </c>
      <c r="C2175" s="8"/>
      <c r="D2175" s="8">
        <v>2434.29</v>
      </c>
      <c r="E2175" s="8"/>
      <c r="F2175" s="8"/>
      <c r="G2175" s="8"/>
      <c r="H2175" s="8"/>
      <c r="I2175" s="8">
        <v>1310.67</v>
      </c>
      <c r="J2175" s="8"/>
      <c r="K2175" s="8"/>
      <c r="L2175" s="8"/>
      <c r="M2175" s="8"/>
      <c r="N2175" s="8">
        <v>20.96</v>
      </c>
      <c r="O2175" s="8"/>
      <c r="P2175" s="8"/>
      <c r="Q2175" s="8"/>
      <c r="R2175" s="8"/>
      <c r="S2175" s="8">
        <v>5.98</v>
      </c>
      <c r="T2175" s="8"/>
      <c r="U2175" s="8"/>
      <c r="V2175" s="8"/>
      <c r="W2175" s="8">
        <v>33.72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>
        <v>37.43</v>
      </c>
      <c r="AN2175" s="8">
        <f>1026*25.8/1000</f>
        <v>26.470800000000001</v>
      </c>
      <c r="AO2175" s="8"/>
      <c r="AP2175" s="8"/>
      <c r="AQ2175" s="8"/>
      <c r="AR2175" s="8"/>
      <c r="AS2175" s="8">
        <f>4792*25.8/1000</f>
        <v>123.6336</v>
      </c>
      <c r="AT2175" s="8">
        <v>1535.26</v>
      </c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>
        <v>115.98</v>
      </c>
      <c r="BH2175" s="9">
        <f t="shared" si="297"/>
        <v>3744.96</v>
      </c>
      <c r="BI2175" s="9">
        <f t="shared" si="298"/>
        <v>20.96</v>
      </c>
      <c r="BJ2175" s="9">
        <f t="shared" si="299"/>
        <v>5.98</v>
      </c>
      <c r="BK2175" s="9">
        <f t="shared" si="300"/>
        <v>33.72</v>
      </c>
      <c r="BL2175" s="9">
        <f t="shared" si="301"/>
        <v>0</v>
      </c>
      <c r="BM2175" s="9">
        <f t="shared" si="302"/>
        <v>187.53440000000001</v>
      </c>
      <c r="BN2175" s="9">
        <f t="shared" si="303"/>
        <v>1535.26</v>
      </c>
      <c r="BO2175" s="9">
        <f t="shared" si="304"/>
        <v>0</v>
      </c>
      <c r="BP2175" s="9">
        <f t="shared" si="305"/>
        <v>0</v>
      </c>
    </row>
    <row r="2176" spans="1:68">
      <c r="A2176" s="6">
        <v>44931</v>
      </c>
      <c r="B2176" s="7">
        <v>3083</v>
      </c>
      <c r="C2176" s="8"/>
      <c r="D2176" s="8">
        <v>1087.4100000000001</v>
      </c>
      <c r="E2176" s="8"/>
      <c r="F2176" s="8"/>
      <c r="G2176" s="8"/>
      <c r="H2176" s="8"/>
      <c r="I2176" s="8">
        <v>2541.42</v>
      </c>
      <c r="J2176" s="8"/>
      <c r="K2176" s="8"/>
      <c r="L2176" s="8"/>
      <c r="M2176" s="8"/>
      <c r="N2176" s="8">
        <v>22.9</v>
      </c>
      <c r="O2176" s="8"/>
      <c r="P2176" s="8"/>
      <c r="Q2176" s="8"/>
      <c r="R2176" s="8"/>
      <c r="S2176" s="8">
        <v>2.54</v>
      </c>
      <c r="T2176" s="8"/>
      <c r="U2176" s="8"/>
      <c r="V2176" s="8"/>
      <c r="W2176" s="8">
        <v>29.06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>
        <v>14.49</v>
      </c>
      <c r="AN2176" s="8">
        <f>1898*26.9/1000</f>
        <v>51.056199999999997</v>
      </c>
      <c r="AO2176" s="8"/>
      <c r="AP2176" s="8"/>
      <c r="AQ2176" s="8"/>
      <c r="AR2176" s="8">
        <f>3391*26.9/1000</f>
        <v>91.2179</v>
      </c>
      <c r="AS2176" s="8"/>
      <c r="AT2176" s="8">
        <v>1706.74</v>
      </c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>
        <v>135.65</v>
      </c>
      <c r="BH2176" s="9">
        <f t="shared" si="297"/>
        <v>3628.83</v>
      </c>
      <c r="BI2176" s="9">
        <f t="shared" si="298"/>
        <v>22.9</v>
      </c>
      <c r="BJ2176" s="9">
        <f t="shared" si="299"/>
        <v>2.54</v>
      </c>
      <c r="BK2176" s="9">
        <f t="shared" si="300"/>
        <v>29.06</v>
      </c>
      <c r="BL2176" s="9">
        <f t="shared" si="301"/>
        <v>0</v>
      </c>
      <c r="BM2176" s="9">
        <f t="shared" si="302"/>
        <v>156.76409999999998</v>
      </c>
      <c r="BN2176" s="9">
        <f t="shared" si="303"/>
        <v>1706.74</v>
      </c>
      <c r="BO2176" s="9">
        <f t="shared" si="304"/>
        <v>0</v>
      </c>
      <c r="BP2176" s="9">
        <f t="shared" si="305"/>
        <v>0</v>
      </c>
    </row>
    <row r="2177" spans="1:68">
      <c r="A2177" s="6">
        <v>44932</v>
      </c>
      <c r="B2177" s="7">
        <v>3141</v>
      </c>
      <c r="C2177" s="8">
        <v>2463.3000000000002</v>
      </c>
      <c r="D2177" s="8">
        <v>435.31</v>
      </c>
      <c r="E2177" s="8"/>
      <c r="F2177" s="8"/>
      <c r="G2177" s="8"/>
      <c r="H2177" s="8"/>
      <c r="I2177" s="8"/>
      <c r="J2177" s="8"/>
      <c r="K2177" s="8"/>
      <c r="L2177" s="8"/>
      <c r="M2177" s="8">
        <v>8.44</v>
      </c>
      <c r="N2177" s="8"/>
      <c r="O2177" s="8"/>
      <c r="P2177" s="8"/>
      <c r="Q2177" s="8"/>
      <c r="R2177" s="8"/>
      <c r="S2177" s="8">
        <v>13.67</v>
      </c>
      <c r="T2177" s="8"/>
      <c r="U2177" s="8">
        <v>43.61</v>
      </c>
      <c r="V2177" s="8"/>
      <c r="W2177" s="8"/>
      <c r="X2177" s="8"/>
      <c r="Y2177" s="8"/>
      <c r="Z2177" s="8"/>
      <c r="AA2177" s="8"/>
      <c r="AB2177" s="8"/>
      <c r="AC2177" s="8">
        <v>11.64</v>
      </c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>
        <v>1911.59</v>
      </c>
      <c r="AU2177" s="8"/>
      <c r="AV2177" s="8"/>
      <c r="AW2177" s="8"/>
      <c r="AX2177" s="8"/>
      <c r="AY2177" s="8"/>
      <c r="AZ2177" s="8"/>
      <c r="BA2177" s="8">
        <v>66.540000000000006</v>
      </c>
      <c r="BB2177" s="8"/>
      <c r="BC2177" s="8"/>
      <c r="BD2177" s="8"/>
      <c r="BE2177" s="8"/>
      <c r="BF2177" s="8">
        <v>203.46</v>
      </c>
      <c r="BG2177" s="8">
        <v>151.59</v>
      </c>
      <c r="BH2177" s="9">
        <f t="shared" si="297"/>
        <v>2898.61</v>
      </c>
      <c r="BI2177" s="9">
        <f t="shared" si="298"/>
        <v>8.44</v>
      </c>
      <c r="BJ2177" s="9">
        <f t="shared" si="299"/>
        <v>13.67</v>
      </c>
      <c r="BK2177" s="9">
        <f t="shared" si="300"/>
        <v>43.61</v>
      </c>
      <c r="BL2177" s="9">
        <f t="shared" si="301"/>
        <v>0</v>
      </c>
      <c r="BM2177" s="9">
        <f t="shared" si="302"/>
        <v>11.64</v>
      </c>
      <c r="BN2177" s="9">
        <f t="shared" si="303"/>
        <v>1911.59</v>
      </c>
      <c r="BO2177" s="9">
        <f t="shared" si="304"/>
        <v>66.540000000000006</v>
      </c>
      <c r="BP2177" s="9">
        <f t="shared" si="305"/>
        <v>203.46</v>
      </c>
    </row>
    <row r="2178" spans="1:68">
      <c r="A2178" s="6">
        <v>44932</v>
      </c>
      <c r="B2178" s="7">
        <v>3106</v>
      </c>
      <c r="C2178" s="8">
        <v>6248.98</v>
      </c>
      <c r="D2178" s="8"/>
      <c r="E2178" s="8"/>
      <c r="F2178" s="8"/>
      <c r="G2178" s="8"/>
      <c r="H2178" s="8"/>
      <c r="I2178" s="8"/>
      <c r="J2178" s="8"/>
      <c r="K2178" s="8"/>
      <c r="L2178" s="8"/>
      <c r="M2178" s="8">
        <v>15.59</v>
      </c>
      <c r="N2178" s="8"/>
      <c r="O2178" s="8"/>
      <c r="P2178" s="8"/>
      <c r="Q2178" s="8"/>
      <c r="R2178" s="8"/>
      <c r="S2178" s="8">
        <v>18.97</v>
      </c>
      <c r="T2178" s="8"/>
      <c r="U2178" s="8">
        <v>79.47</v>
      </c>
      <c r="V2178" s="8"/>
      <c r="W2178" s="8"/>
      <c r="X2178" s="8"/>
      <c r="Y2178" s="8"/>
      <c r="Z2178" s="8"/>
      <c r="AA2178" s="8"/>
      <c r="AB2178" s="8"/>
      <c r="AC2178" s="8">
        <v>15.62</v>
      </c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>
        <v>3562.07</v>
      </c>
      <c r="AU2178" s="8"/>
      <c r="AV2178" s="8"/>
      <c r="AW2178" s="8"/>
      <c r="AX2178" s="8">
        <v>7.82</v>
      </c>
      <c r="AY2178" s="8"/>
      <c r="AZ2178" s="8"/>
      <c r="BA2178" s="8"/>
      <c r="BB2178" s="8"/>
      <c r="BC2178" s="8"/>
      <c r="BD2178" s="8"/>
      <c r="BE2178" s="8"/>
      <c r="BF2178" s="8"/>
      <c r="BG2178" s="8">
        <v>268.29000000000002</v>
      </c>
      <c r="BH2178" s="9">
        <f t="shared" si="297"/>
        <v>6248.98</v>
      </c>
      <c r="BI2178" s="9">
        <f t="shared" si="298"/>
        <v>15.59</v>
      </c>
      <c r="BJ2178" s="9">
        <f t="shared" si="299"/>
        <v>18.97</v>
      </c>
      <c r="BK2178" s="9">
        <f t="shared" si="300"/>
        <v>79.47</v>
      </c>
      <c r="BL2178" s="9">
        <f t="shared" si="301"/>
        <v>0</v>
      </c>
      <c r="BM2178" s="9">
        <f t="shared" si="302"/>
        <v>15.62</v>
      </c>
      <c r="BN2178" s="9">
        <f t="shared" si="303"/>
        <v>3562.07</v>
      </c>
      <c r="BO2178" s="9">
        <f t="shared" si="304"/>
        <v>7.82</v>
      </c>
      <c r="BP2178" s="9">
        <f t="shared" si="305"/>
        <v>0</v>
      </c>
    </row>
    <row r="2179" spans="1:68">
      <c r="A2179" s="6">
        <v>44932</v>
      </c>
      <c r="B2179" s="7">
        <v>3200</v>
      </c>
      <c r="C2179" s="8">
        <v>2283.1999999999998</v>
      </c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>
        <v>5.71</v>
      </c>
      <c r="P2179" s="8"/>
      <c r="Q2179" s="8"/>
      <c r="R2179" s="8"/>
      <c r="S2179" s="8">
        <v>8.92</v>
      </c>
      <c r="T2179" s="8"/>
      <c r="U2179" s="8">
        <v>34.270000000000003</v>
      </c>
      <c r="V2179" s="8"/>
      <c r="W2179" s="8"/>
      <c r="X2179" s="8"/>
      <c r="Y2179" s="8"/>
      <c r="Z2179" s="8">
        <v>480.4</v>
      </c>
      <c r="AA2179" s="8"/>
      <c r="AB2179" s="8"/>
      <c r="AC2179" s="8"/>
      <c r="AD2179" s="8"/>
      <c r="AE2179" s="8"/>
      <c r="AF2179" s="8">
        <v>113.83</v>
      </c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>
        <f>1505*22.85/1000</f>
        <v>34.389249999999997</v>
      </c>
      <c r="AR2179" s="8"/>
      <c r="AS2179" s="8"/>
      <c r="AT2179" s="8">
        <v>1566.38</v>
      </c>
      <c r="AU2179" s="8"/>
      <c r="AV2179" s="8"/>
      <c r="AW2179" s="8">
        <v>6.65</v>
      </c>
      <c r="AX2179" s="8"/>
      <c r="AY2179" s="8"/>
      <c r="AZ2179" s="8"/>
      <c r="BA2179" s="8"/>
      <c r="BB2179" s="8"/>
      <c r="BC2179" s="8"/>
      <c r="BD2179" s="8"/>
      <c r="BE2179" s="8"/>
      <c r="BF2179" s="8">
        <v>109.63</v>
      </c>
      <c r="BG2179" s="8">
        <v>112.97</v>
      </c>
      <c r="BH2179" s="9">
        <f t="shared" si="297"/>
        <v>2283.1999999999998</v>
      </c>
      <c r="BI2179" s="9">
        <f t="shared" si="298"/>
        <v>5.71</v>
      </c>
      <c r="BJ2179" s="9">
        <f t="shared" si="299"/>
        <v>8.92</v>
      </c>
      <c r="BK2179" s="9">
        <f t="shared" si="300"/>
        <v>34.270000000000003</v>
      </c>
      <c r="BL2179" s="9">
        <f t="shared" si="301"/>
        <v>480.4</v>
      </c>
      <c r="BM2179" s="9">
        <f t="shared" si="302"/>
        <v>148.21924999999999</v>
      </c>
      <c r="BN2179" s="9">
        <f t="shared" si="303"/>
        <v>1566.38</v>
      </c>
      <c r="BO2179" s="9">
        <f t="shared" si="304"/>
        <v>6.65</v>
      </c>
      <c r="BP2179" s="9">
        <f t="shared" si="305"/>
        <v>109.63</v>
      </c>
    </row>
    <row r="2180" spans="1:68">
      <c r="A2180" s="6">
        <v>44932</v>
      </c>
      <c r="B2180" s="7">
        <v>3307</v>
      </c>
      <c r="C2180" s="8"/>
      <c r="D2180" s="8">
        <v>989.93</v>
      </c>
      <c r="E2180" s="8"/>
      <c r="F2180" s="8"/>
      <c r="G2180" s="8"/>
      <c r="H2180" s="8"/>
      <c r="I2180" s="8"/>
      <c r="J2180" s="8"/>
      <c r="K2180" s="8"/>
      <c r="L2180" s="8"/>
      <c r="M2180" s="8">
        <v>0.98</v>
      </c>
      <c r="N2180" s="8"/>
      <c r="O2180" s="8"/>
      <c r="P2180" s="8"/>
      <c r="Q2180" s="8"/>
      <c r="R2180" s="8"/>
      <c r="S2180" s="8">
        <v>6.72</v>
      </c>
      <c r="T2180" s="8"/>
      <c r="U2180" s="8">
        <v>9.91</v>
      </c>
      <c r="V2180" s="8"/>
      <c r="W2180" s="8"/>
      <c r="X2180" s="8"/>
      <c r="Y2180" s="8"/>
      <c r="Z2180" s="8"/>
      <c r="AA2180" s="8"/>
      <c r="AB2180" s="8"/>
      <c r="AC2180" s="8">
        <v>5.94</v>
      </c>
      <c r="AD2180" s="8"/>
      <c r="AE2180" s="8"/>
      <c r="AF2180" s="8"/>
      <c r="AG2180" s="8">
        <v>9.94</v>
      </c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>
        <v>496.2</v>
      </c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>
        <v>35.58</v>
      </c>
      <c r="BH2180" s="9">
        <f t="shared" ref="BH2180:BH2243" si="306">SUM(C2180:L2180)</f>
        <v>989.93</v>
      </c>
      <c r="BI2180" s="9">
        <f t="shared" ref="BI2180:BI2243" si="307">SUM(M2180:R2180)</f>
        <v>0.98</v>
      </c>
      <c r="BJ2180" s="9">
        <f t="shared" ref="BJ2180:BJ2243" si="308">SUM(S2180)</f>
        <v>6.72</v>
      </c>
      <c r="BK2180" s="9">
        <f t="shared" ref="BK2180:BK2243" si="309">SUM(T2180:Y2180)</f>
        <v>9.91</v>
      </c>
      <c r="BL2180" s="9">
        <f t="shared" ref="BL2180:BL2243" si="310">SUM(Z2180:AA2180)</f>
        <v>0</v>
      </c>
      <c r="BM2180" s="9">
        <f t="shared" ref="BM2180:BM2243" si="311">SUM(AB2180:AS2180)</f>
        <v>15.879999999999999</v>
      </c>
      <c r="BN2180" s="9">
        <f t="shared" ref="BN2180:BN2243" si="312">SUM(AT2180:AU2180)</f>
        <v>496.2</v>
      </c>
      <c r="BO2180" s="9">
        <f t="shared" ref="BO2180:BO2243" si="313">SUM(AV2180:BE2180)</f>
        <v>0</v>
      </c>
      <c r="BP2180" s="9">
        <f t="shared" ref="BP2180:BP2243" si="314">SUM(BF2180)</f>
        <v>0</v>
      </c>
    </row>
    <row r="2181" spans="1:68">
      <c r="A2181" s="6">
        <v>44932</v>
      </c>
      <c r="B2181" s="7">
        <v>3117</v>
      </c>
      <c r="C2181" s="8">
        <v>757.89</v>
      </c>
      <c r="D2181" s="8"/>
      <c r="E2181" s="8"/>
      <c r="F2181" s="8"/>
      <c r="G2181" s="8"/>
      <c r="H2181" s="8"/>
      <c r="I2181" s="8"/>
      <c r="J2181" s="8"/>
      <c r="K2181" s="8"/>
      <c r="L2181" s="8"/>
      <c r="M2181" s="8">
        <v>2.19</v>
      </c>
      <c r="N2181" s="8"/>
      <c r="O2181" s="8"/>
      <c r="P2181" s="8"/>
      <c r="Q2181" s="8"/>
      <c r="R2181" s="8"/>
      <c r="S2181" s="8">
        <v>3.04</v>
      </c>
      <c r="T2181" s="8"/>
      <c r="U2181" s="8">
        <v>7.59</v>
      </c>
      <c r="V2181" s="8"/>
      <c r="W2181" s="8"/>
      <c r="X2181" s="8"/>
      <c r="Y2181" s="8"/>
      <c r="Z2181" s="8"/>
      <c r="AA2181" s="8"/>
      <c r="AB2181" s="8"/>
      <c r="AC2181" s="8">
        <v>3.04</v>
      </c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>
        <v>479.57</v>
      </c>
      <c r="AU2181" s="8"/>
      <c r="AV2181" s="8">
        <v>19.04</v>
      </c>
      <c r="AW2181" s="8"/>
      <c r="AX2181" s="8"/>
      <c r="AY2181" s="8"/>
      <c r="AZ2181" s="8"/>
      <c r="BA2181" s="8"/>
      <c r="BB2181" s="8"/>
      <c r="BC2181" s="8"/>
      <c r="BD2181" s="8"/>
      <c r="BE2181" s="8"/>
      <c r="BF2181" s="8">
        <v>38.01</v>
      </c>
      <c r="BG2181" s="8">
        <v>36.46</v>
      </c>
      <c r="BH2181" s="9">
        <f t="shared" si="306"/>
        <v>757.89</v>
      </c>
      <c r="BI2181" s="9">
        <f t="shared" si="307"/>
        <v>2.19</v>
      </c>
      <c r="BJ2181" s="9">
        <f t="shared" si="308"/>
        <v>3.04</v>
      </c>
      <c r="BK2181" s="9">
        <f t="shared" si="309"/>
        <v>7.59</v>
      </c>
      <c r="BL2181" s="9">
        <f t="shared" si="310"/>
        <v>0</v>
      </c>
      <c r="BM2181" s="9">
        <f t="shared" si="311"/>
        <v>3.04</v>
      </c>
      <c r="BN2181" s="9">
        <f t="shared" si="312"/>
        <v>479.57</v>
      </c>
      <c r="BO2181" s="9">
        <f t="shared" si="313"/>
        <v>19.04</v>
      </c>
      <c r="BP2181" s="9">
        <f t="shared" si="314"/>
        <v>38.01</v>
      </c>
    </row>
    <row r="2182" spans="1:68">
      <c r="A2182" s="6">
        <v>44932</v>
      </c>
      <c r="B2182" s="7">
        <v>3122</v>
      </c>
      <c r="C2182" s="8">
        <v>1276.21</v>
      </c>
      <c r="D2182" s="8"/>
      <c r="E2182" s="8"/>
      <c r="F2182" s="8"/>
      <c r="G2182" s="8"/>
      <c r="H2182" s="8"/>
      <c r="I2182" s="8"/>
      <c r="J2182" s="8"/>
      <c r="K2182" s="8"/>
      <c r="L2182" s="8"/>
      <c r="M2182" s="8">
        <v>2.2999999999999998</v>
      </c>
      <c r="N2182" s="8">
        <v>2.2999999999999998</v>
      </c>
      <c r="O2182" s="8"/>
      <c r="P2182" s="8"/>
      <c r="Q2182" s="8"/>
      <c r="R2182" s="8"/>
      <c r="S2182" s="8">
        <v>5.25</v>
      </c>
      <c r="T2182" s="8"/>
      <c r="U2182" s="8">
        <v>12.77</v>
      </c>
      <c r="V2182" s="8"/>
      <c r="W2182" s="8"/>
      <c r="X2182" s="8"/>
      <c r="Y2182" s="8"/>
      <c r="Z2182" s="8"/>
      <c r="AA2182" s="8"/>
      <c r="AB2182" s="8"/>
      <c r="AC2182" s="8">
        <v>5.0999999999999996</v>
      </c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>
        <v>566.20000000000005</v>
      </c>
      <c r="AU2182" s="8"/>
      <c r="AV2182" s="8">
        <v>43.41</v>
      </c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>
        <v>41.53</v>
      </c>
      <c r="BH2182" s="9">
        <f t="shared" si="306"/>
        <v>1276.21</v>
      </c>
      <c r="BI2182" s="9">
        <f t="shared" si="307"/>
        <v>4.5999999999999996</v>
      </c>
      <c r="BJ2182" s="9">
        <f t="shared" si="308"/>
        <v>5.25</v>
      </c>
      <c r="BK2182" s="9">
        <f t="shared" si="309"/>
        <v>12.77</v>
      </c>
      <c r="BL2182" s="9">
        <f t="shared" si="310"/>
        <v>0</v>
      </c>
      <c r="BM2182" s="9">
        <f t="shared" si="311"/>
        <v>5.0999999999999996</v>
      </c>
      <c r="BN2182" s="9">
        <f t="shared" si="312"/>
        <v>566.20000000000005</v>
      </c>
      <c r="BO2182" s="9">
        <f t="shared" si="313"/>
        <v>43.41</v>
      </c>
      <c r="BP2182" s="9">
        <f t="shared" si="314"/>
        <v>0</v>
      </c>
    </row>
    <row r="2183" spans="1:68">
      <c r="A2183" s="6">
        <v>44932</v>
      </c>
      <c r="B2183" s="7">
        <v>3100</v>
      </c>
      <c r="C2183" s="8">
        <v>627.96</v>
      </c>
      <c r="D2183" s="8"/>
      <c r="E2183" s="8"/>
      <c r="F2183" s="8"/>
      <c r="G2183" s="8"/>
      <c r="H2183" s="8"/>
      <c r="I2183" s="8"/>
      <c r="J2183" s="8"/>
      <c r="K2183" s="8"/>
      <c r="L2183" s="8"/>
      <c r="M2183" s="8">
        <v>1.39</v>
      </c>
      <c r="N2183" s="8"/>
      <c r="O2183" s="8"/>
      <c r="P2183" s="8"/>
      <c r="Q2183" s="8"/>
      <c r="R2183" s="8"/>
      <c r="S2183" s="8">
        <v>3.67</v>
      </c>
      <c r="T2183" s="8"/>
      <c r="U2183" s="8">
        <v>10.11</v>
      </c>
      <c r="V2183" s="8"/>
      <c r="W2183" s="8"/>
      <c r="X2183" s="8"/>
      <c r="Y2183" s="8"/>
      <c r="Z2183" s="8"/>
      <c r="AA2183" s="8"/>
      <c r="AB2183" s="8"/>
      <c r="AC2183" s="8">
        <v>2.5299999999999998</v>
      </c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>
        <v>424.51</v>
      </c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>
        <v>82.22</v>
      </c>
      <c r="BG2183" s="8">
        <v>32.53</v>
      </c>
      <c r="BH2183" s="9">
        <f t="shared" si="306"/>
        <v>627.96</v>
      </c>
      <c r="BI2183" s="9">
        <f t="shared" si="307"/>
        <v>1.39</v>
      </c>
      <c r="BJ2183" s="9">
        <f t="shared" si="308"/>
        <v>3.67</v>
      </c>
      <c r="BK2183" s="9">
        <f t="shared" si="309"/>
        <v>10.11</v>
      </c>
      <c r="BL2183" s="9">
        <f t="shared" si="310"/>
        <v>0</v>
      </c>
      <c r="BM2183" s="9">
        <f t="shared" si="311"/>
        <v>2.5299999999999998</v>
      </c>
      <c r="BN2183" s="9">
        <f t="shared" si="312"/>
        <v>424.51</v>
      </c>
      <c r="BO2183" s="9">
        <f t="shared" si="313"/>
        <v>0</v>
      </c>
      <c r="BP2183" s="9">
        <f t="shared" si="314"/>
        <v>82.22</v>
      </c>
    </row>
    <row r="2184" spans="1:68">
      <c r="A2184" s="6">
        <v>44932</v>
      </c>
      <c r="B2184" s="7">
        <v>3602</v>
      </c>
      <c r="C2184" s="8">
        <v>569.44000000000005</v>
      </c>
      <c r="D2184" s="8"/>
      <c r="E2184" s="8"/>
      <c r="F2184" s="8"/>
      <c r="G2184" s="8">
        <v>852.73</v>
      </c>
      <c r="H2184" s="8"/>
      <c r="I2184" s="8"/>
      <c r="J2184" s="8"/>
      <c r="K2184" s="8"/>
      <c r="L2184" s="8"/>
      <c r="M2184" s="8">
        <v>1.51</v>
      </c>
      <c r="N2184" s="8"/>
      <c r="O2184" s="8"/>
      <c r="P2184" s="8"/>
      <c r="Q2184" s="8"/>
      <c r="R2184" s="8"/>
      <c r="S2184" s="8">
        <v>6.82</v>
      </c>
      <c r="T2184" s="8"/>
      <c r="U2184" s="8">
        <v>11.39</v>
      </c>
      <c r="V2184" s="8">
        <f>839*16.23/1000</f>
        <v>13.616970000000002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>
        <v>572.09</v>
      </c>
      <c r="AU2184" s="8"/>
      <c r="AV2184" s="8"/>
      <c r="AW2184" s="8">
        <v>36.76</v>
      </c>
      <c r="AX2184" s="8"/>
      <c r="AY2184" s="8"/>
      <c r="AZ2184" s="8"/>
      <c r="BA2184" s="8"/>
      <c r="BB2184" s="8"/>
      <c r="BC2184" s="8"/>
      <c r="BD2184" s="8"/>
      <c r="BE2184" s="8"/>
      <c r="BF2184" s="8">
        <v>45.48</v>
      </c>
      <c r="BG2184" s="8">
        <v>42.88</v>
      </c>
      <c r="BH2184" s="9">
        <f t="shared" si="306"/>
        <v>1422.17</v>
      </c>
      <c r="BI2184" s="9">
        <f t="shared" si="307"/>
        <v>1.51</v>
      </c>
      <c r="BJ2184" s="9">
        <f t="shared" si="308"/>
        <v>6.82</v>
      </c>
      <c r="BK2184" s="9">
        <f t="shared" si="309"/>
        <v>25.006970000000003</v>
      </c>
      <c r="BL2184" s="9">
        <f t="shared" si="310"/>
        <v>0</v>
      </c>
      <c r="BM2184" s="9">
        <f t="shared" si="311"/>
        <v>0</v>
      </c>
      <c r="BN2184" s="9">
        <f t="shared" si="312"/>
        <v>572.09</v>
      </c>
      <c r="BO2184" s="9">
        <f t="shared" si="313"/>
        <v>36.76</v>
      </c>
      <c r="BP2184" s="9">
        <f t="shared" si="314"/>
        <v>45.48</v>
      </c>
    </row>
    <row r="2185" spans="1:68">
      <c r="A2185" s="6">
        <v>44935</v>
      </c>
      <c r="B2185" s="7">
        <v>3139</v>
      </c>
      <c r="C2185" s="8">
        <v>1572.27</v>
      </c>
      <c r="D2185" s="8"/>
      <c r="E2185" s="8"/>
      <c r="F2185" s="8"/>
      <c r="G2185" s="8"/>
      <c r="H2185" s="8">
        <v>653.91999999999996</v>
      </c>
      <c r="I2185" s="8"/>
      <c r="J2185" s="8"/>
      <c r="K2185" s="8"/>
      <c r="L2185" s="8"/>
      <c r="M2185" s="8">
        <v>3.67</v>
      </c>
      <c r="N2185" s="8"/>
      <c r="O2185" s="8"/>
      <c r="P2185" s="8"/>
      <c r="Q2185" s="8"/>
      <c r="R2185" s="8"/>
      <c r="S2185" s="8">
        <v>6.96</v>
      </c>
      <c r="T2185" s="8"/>
      <c r="U2185" s="8">
        <v>23.19</v>
      </c>
      <c r="V2185" s="8"/>
      <c r="W2185" s="8"/>
      <c r="X2185" s="8"/>
      <c r="Y2185" s="8"/>
      <c r="Z2185" s="8"/>
      <c r="AA2185" s="8"/>
      <c r="AB2185" s="8"/>
      <c r="AC2185" s="8">
        <v>7.74</v>
      </c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>
        <v>1147.05</v>
      </c>
      <c r="AU2185" s="8"/>
      <c r="AV2185" s="8">
        <v>38.56</v>
      </c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>
        <v>83.14</v>
      </c>
      <c r="BH2185" s="9">
        <f t="shared" si="306"/>
        <v>2226.19</v>
      </c>
      <c r="BI2185" s="9">
        <f t="shared" si="307"/>
        <v>3.67</v>
      </c>
      <c r="BJ2185" s="9">
        <f t="shared" si="308"/>
        <v>6.96</v>
      </c>
      <c r="BK2185" s="9">
        <f t="shared" si="309"/>
        <v>23.19</v>
      </c>
      <c r="BL2185" s="9">
        <f t="shared" si="310"/>
        <v>0</v>
      </c>
      <c r="BM2185" s="9">
        <f t="shared" si="311"/>
        <v>7.74</v>
      </c>
      <c r="BN2185" s="9">
        <f t="shared" si="312"/>
        <v>1147.05</v>
      </c>
      <c r="BO2185" s="9">
        <f t="shared" si="313"/>
        <v>38.56</v>
      </c>
      <c r="BP2185" s="9">
        <f t="shared" si="314"/>
        <v>0</v>
      </c>
    </row>
    <row r="2186" spans="1:68">
      <c r="A2186" s="6">
        <v>44935</v>
      </c>
      <c r="B2186" s="7">
        <v>3502</v>
      </c>
      <c r="C2186" s="8">
        <v>311.91000000000003</v>
      </c>
      <c r="D2186" s="8">
        <v>207.92</v>
      </c>
      <c r="E2186" s="8"/>
      <c r="F2186" s="8"/>
      <c r="G2186" s="8"/>
      <c r="H2186" s="8"/>
      <c r="I2186" s="8"/>
      <c r="J2186" s="8"/>
      <c r="K2186" s="8"/>
      <c r="L2186" s="8"/>
      <c r="M2186" s="8">
        <v>0.78</v>
      </c>
      <c r="N2186" s="8">
        <v>0.78</v>
      </c>
      <c r="O2186" s="8"/>
      <c r="P2186" s="8"/>
      <c r="Q2186" s="8"/>
      <c r="R2186" s="8"/>
      <c r="S2186" s="8">
        <v>2.08</v>
      </c>
      <c r="T2186" s="8"/>
      <c r="U2186" s="8">
        <v>5.2</v>
      </c>
      <c r="V2186" s="8"/>
      <c r="W2186" s="8"/>
      <c r="X2186" s="8"/>
      <c r="Y2186" s="8"/>
      <c r="Z2186" s="8">
        <v>104.13</v>
      </c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>
        <v>215</v>
      </c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>
        <v>16.91</v>
      </c>
      <c r="BH2186" s="9">
        <f t="shared" si="306"/>
        <v>519.83000000000004</v>
      </c>
      <c r="BI2186" s="9">
        <f t="shared" si="307"/>
        <v>1.56</v>
      </c>
      <c r="BJ2186" s="9">
        <f t="shared" si="308"/>
        <v>2.08</v>
      </c>
      <c r="BK2186" s="9">
        <f t="shared" si="309"/>
        <v>5.2</v>
      </c>
      <c r="BL2186" s="9">
        <f t="shared" si="310"/>
        <v>104.13</v>
      </c>
      <c r="BM2186" s="9">
        <f t="shared" si="311"/>
        <v>0</v>
      </c>
      <c r="BN2186" s="9">
        <f t="shared" si="312"/>
        <v>215</v>
      </c>
      <c r="BO2186" s="9">
        <f t="shared" si="313"/>
        <v>0</v>
      </c>
      <c r="BP2186" s="9">
        <f t="shared" si="314"/>
        <v>0</v>
      </c>
    </row>
    <row r="2187" spans="1:68">
      <c r="A2187" s="6">
        <v>44935</v>
      </c>
      <c r="B2187" s="7">
        <v>3141</v>
      </c>
      <c r="C2187" s="8">
        <v>1267.03</v>
      </c>
      <c r="D2187" s="8">
        <v>223.74</v>
      </c>
      <c r="E2187" s="8"/>
      <c r="F2187" s="8"/>
      <c r="G2187" s="8"/>
      <c r="H2187" s="8"/>
      <c r="I2187" s="8"/>
      <c r="J2187" s="8"/>
      <c r="K2187" s="8"/>
      <c r="L2187" s="8"/>
      <c r="M2187" s="8">
        <v>4.33</v>
      </c>
      <c r="N2187" s="8"/>
      <c r="O2187" s="8"/>
      <c r="P2187" s="8"/>
      <c r="Q2187" s="8"/>
      <c r="R2187" s="8"/>
      <c r="S2187" s="8">
        <v>7.02</v>
      </c>
      <c r="T2187" s="8"/>
      <c r="U2187" s="8">
        <v>22.38</v>
      </c>
      <c r="V2187" s="8"/>
      <c r="W2187" s="8"/>
      <c r="X2187" s="8"/>
      <c r="Y2187" s="8"/>
      <c r="Z2187" s="8"/>
      <c r="AA2187" s="8"/>
      <c r="AB2187" s="8"/>
      <c r="AC2187" s="8">
        <v>5.98</v>
      </c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>
        <v>987.36</v>
      </c>
      <c r="AU2187" s="8"/>
      <c r="AV2187" s="8"/>
      <c r="AW2187" s="8"/>
      <c r="AX2187" s="8"/>
      <c r="AY2187" s="8"/>
      <c r="AZ2187" s="8"/>
      <c r="BA2187" s="8">
        <v>34.19</v>
      </c>
      <c r="BB2187" s="8"/>
      <c r="BC2187" s="8"/>
      <c r="BD2187" s="8"/>
      <c r="BE2187" s="8"/>
      <c r="BF2187" s="8">
        <v>104.51</v>
      </c>
      <c r="BG2187" s="8">
        <v>77.34</v>
      </c>
      <c r="BH2187" s="9">
        <f t="shared" si="306"/>
        <v>1490.77</v>
      </c>
      <c r="BI2187" s="9">
        <f t="shared" si="307"/>
        <v>4.33</v>
      </c>
      <c r="BJ2187" s="9">
        <f t="shared" si="308"/>
        <v>7.02</v>
      </c>
      <c r="BK2187" s="9">
        <f t="shared" si="309"/>
        <v>22.38</v>
      </c>
      <c r="BL2187" s="9">
        <f t="shared" si="310"/>
        <v>0</v>
      </c>
      <c r="BM2187" s="9">
        <f t="shared" si="311"/>
        <v>5.98</v>
      </c>
      <c r="BN2187" s="9">
        <f t="shared" si="312"/>
        <v>987.36</v>
      </c>
      <c r="BO2187" s="9">
        <f t="shared" si="313"/>
        <v>34.19</v>
      </c>
      <c r="BP2187" s="9">
        <f t="shared" si="314"/>
        <v>104.51</v>
      </c>
    </row>
    <row r="2188" spans="1:68">
      <c r="A2188" s="6">
        <v>44935</v>
      </c>
      <c r="B2188" s="7">
        <v>3134</v>
      </c>
      <c r="C2188" s="8">
        <v>1058.74</v>
      </c>
      <c r="D2188" s="8">
        <v>148.08000000000001</v>
      </c>
      <c r="E2188" s="8"/>
      <c r="F2188" s="8"/>
      <c r="G2188" s="8"/>
      <c r="H2188" s="8">
        <v>500.58</v>
      </c>
      <c r="I2188" s="8"/>
      <c r="J2188" s="8"/>
      <c r="K2188" s="8"/>
      <c r="L2188" s="8"/>
      <c r="M2188" s="8">
        <v>3.26</v>
      </c>
      <c r="N2188" s="8"/>
      <c r="O2188" s="8"/>
      <c r="P2188" s="8"/>
      <c r="Q2188" s="8"/>
      <c r="R2188" s="8"/>
      <c r="S2188" s="8">
        <v>6.82</v>
      </c>
      <c r="T2188" s="8"/>
      <c r="U2188" s="8">
        <v>19.3</v>
      </c>
      <c r="V2188" s="8"/>
      <c r="W2188" s="8"/>
      <c r="X2188" s="8"/>
      <c r="Y2188" s="8"/>
      <c r="Z2188" s="8"/>
      <c r="AA2188" s="8"/>
      <c r="AB2188" s="8"/>
      <c r="AC2188" s="8">
        <v>5.93</v>
      </c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>
        <v>1044.21</v>
      </c>
      <c r="AU2188" s="8"/>
      <c r="AV2188" s="8"/>
      <c r="AW2188" s="8"/>
      <c r="AX2188" s="8"/>
      <c r="AY2188" s="8">
        <f>1438*10.6/1000</f>
        <v>15.242799999999999</v>
      </c>
      <c r="AZ2188" s="8"/>
      <c r="BA2188" s="8"/>
      <c r="BB2188" s="8"/>
      <c r="BC2188" s="8"/>
      <c r="BD2188" s="8"/>
      <c r="BE2188" s="8"/>
      <c r="BF2188" s="8">
        <v>66.849999999999994</v>
      </c>
      <c r="BG2188" s="8">
        <v>78.58</v>
      </c>
      <c r="BH2188" s="9">
        <f t="shared" si="306"/>
        <v>1707.3999999999999</v>
      </c>
      <c r="BI2188" s="9">
        <f t="shared" si="307"/>
        <v>3.26</v>
      </c>
      <c r="BJ2188" s="9">
        <f t="shared" si="308"/>
        <v>6.82</v>
      </c>
      <c r="BK2188" s="9">
        <f t="shared" si="309"/>
        <v>19.3</v>
      </c>
      <c r="BL2188" s="9">
        <f t="shared" si="310"/>
        <v>0</v>
      </c>
      <c r="BM2188" s="9">
        <f t="shared" si="311"/>
        <v>5.93</v>
      </c>
      <c r="BN2188" s="9">
        <f t="shared" si="312"/>
        <v>1044.21</v>
      </c>
      <c r="BO2188" s="9">
        <f t="shared" si="313"/>
        <v>15.242799999999999</v>
      </c>
      <c r="BP2188" s="9">
        <f t="shared" si="314"/>
        <v>66.849999999999994</v>
      </c>
    </row>
    <row r="2189" spans="1:68">
      <c r="A2189" s="6">
        <v>44935</v>
      </c>
      <c r="B2189" s="7">
        <v>3106</v>
      </c>
      <c r="C2189" s="8">
        <v>4199.1899999999996</v>
      </c>
      <c r="D2189" s="8"/>
      <c r="E2189" s="8"/>
      <c r="F2189" s="8"/>
      <c r="G2189" s="8"/>
      <c r="H2189" s="8"/>
      <c r="I2189" s="8"/>
      <c r="J2189" s="8"/>
      <c r="K2189" s="8"/>
      <c r="L2189" s="8"/>
      <c r="M2189" s="8">
        <v>10.68</v>
      </c>
      <c r="N2189" s="8"/>
      <c r="O2189" s="8"/>
      <c r="P2189" s="8"/>
      <c r="Q2189" s="8"/>
      <c r="R2189" s="8"/>
      <c r="S2189" s="8">
        <v>12.66</v>
      </c>
      <c r="T2189" s="8"/>
      <c r="U2189" s="8">
        <v>53.48</v>
      </c>
      <c r="V2189" s="8"/>
      <c r="W2189" s="8"/>
      <c r="X2189" s="8"/>
      <c r="Y2189" s="8"/>
      <c r="Z2189" s="8"/>
      <c r="AA2189" s="8"/>
      <c r="AB2189" s="8"/>
      <c r="AC2189" s="8">
        <v>10.51</v>
      </c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>
        <v>2394.52</v>
      </c>
      <c r="AU2189" s="8"/>
      <c r="AV2189" s="8"/>
      <c r="AW2189" s="8"/>
      <c r="AX2189" s="8">
        <v>5.26</v>
      </c>
      <c r="AY2189" s="8"/>
      <c r="AZ2189" s="8"/>
      <c r="BA2189" s="8"/>
      <c r="BB2189" s="8"/>
      <c r="BC2189" s="8"/>
      <c r="BD2189" s="8"/>
      <c r="BE2189" s="8"/>
      <c r="BF2189" s="8"/>
      <c r="BG2189" s="8">
        <v>180.51</v>
      </c>
      <c r="BH2189" s="9">
        <f t="shared" si="306"/>
        <v>4199.1899999999996</v>
      </c>
      <c r="BI2189" s="9">
        <f t="shared" si="307"/>
        <v>10.68</v>
      </c>
      <c r="BJ2189" s="9">
        <f t="shared" si="308"/>
        <v>12.66</v>
      </c>
      <c r="BK2189" s="9">
        <f t="shared" si="309"/>
        <v>53.48</v>
      </c>
      <c r="BL2189" s="9">
        <f t="shared" si="310"/>
        <v>0</v>
      </c>
      <c r="BM2189" s="9">
        <f t="shared" si="311"/>
        <v>10.51</v>
      </c>
      <c r="BN2189" s="9">
        <f t="shared" si="312"/>
        <v>2394.52</v>
      </c>
      <c r="BO2189" s="9">
        <f t="shared" si="313"/>
        <v>5.26</v>
      </c>
      <c r="BP2189" s="9">
        <f t="shared" si="314"/>
        <v>0</v>
      </c>
    </row>
    <row r="2190" spans="1:68">
      <c r="A2190" s="6">
        <v>44935</v>
      </c>
      <c r="B2190" s="7">
        <v>3127</v>
      </c>
      <c r="C2190" s="8">
        <v>1068.42</v>
      </c>
      <c r="D2190" s="8"/>
      <c r="E2190" s="8"/>
      <c r="F2190" s="8"/>
      <c r="G2190" s="8"/>
      <c r="H2190" s="8"/>
      <c r="I2190" s="8"/>
      <c r="J2190" s="8"/>
      <c r="K2190" s="8"/>
      <c r="L2190" s="8"/>
      <c r="M2190" s="8">
        <v>3.18</v>
      </c>
      <c r="N2190" s="8"/>
      <c r="O2190" s="8"/>
      <c r="P2190" s="8"/>
      <c r="Q2190" s="8"/>
      <c r="R2190" s="8"/>
      <c r="S2190" s="8">
        <v>5.12</v>
      </c>
      <c r="T2190" s="8"/>
      <c r="U2190" s="8">
        <v>10.65</v>
      </c>
      <c r="V2190" s="8"/>
      <c r="W2190" s="8"/>
      <c r="X2190" s="8"/>
      <c r="Y2190" s="8"/>
      <c r="Z2190" s="8">
        <v>160.26</v>
      </c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>
        <v>523.89</v>
      </c>
      <c r="AU2190" s="8"/>
      <c r="AV2190" s="8">
        <v>21.35</v>
      </c>
      <c r="AW2190" s="8"/>
      <c r="AX2190" s="8"/>
      <c r="AY2190" s="8"/>
      <c r="AZ2190" s="8"/>
      <c r="BA2190" s="8"/>
      <c r="BB2190" s="8"/>
      <c r="BC2190" s="8"/>
      <c r="BD2190" s="8"/>
      <c r="BE2190" s="8"/>
      <c r="BF2190" s="8">
        <v>53.35</v>
      </c>
      <c r="BG2190" s="8">
        <v>37.409999999999997</v>
      </c>
      <c r="BH2190" s="9">
        <f t="shared" si="306"/>
        <v>1068.42</v>
      </c>
      <c r="BI2190" s="9">
        <f t="shared" si="307"/>
        <v>3.18</v>
      </c>
      <c r="BJ2190" s="9">
        <f t="shared" si="308"/>
        <v>5.12</v>
      </c>
      <c r="BK2190" s="9">
        <f t="shared" si="309"/>
        <v>10.65</v>
      </c>
      <c r="BL2190" s="9">
        <f t="shared" si="310"/>
        <v>160.26</v>
      </c>
      <c r="BM2190" s="9">
        <f t="shared" si="311"/>
        <v>0</v>
      </c>
      <c r="BN2190" s="9">
        <f t="shared" si="312"/>
        <v>523.89</v>
      </c>
      <c r="BO2190" s="9">
        <f t="shared" si="313"/>
        <v>21.35</v>
      </c>
      <c r="BP2190" s="9">
        <f t="shared" si="314"/>
        <v>53.35</v>
      </c>
    </row>
    <row r="2191" spans="1:68">
      <c r="A2191" s="6">
        <v>44935</v>
      </c>
      <c r="B2191" s="7">
        <v>3081</v>
      </c>
      <c r="C2191" s="8"/>
      <c r="D2191" s="8">
        <v>291.75</v>
      </c>
      <c r="E2191" s="8"/>
      <c r="F2191" s="8">
        <v>324.27999999999997</v>
      </c>
      <c r="G2191" s="8"/>
      <c r="H2191" s="8"/>
      <c r="I2191" s="8">
        <v>1192.53</v>
      </c>
      <c r="J2191" s="8"/>
      <c r="K2191" s="8"/>
      <c r="L2191" s="8"/>
      <c r="M2191" s="8"/>
      <c r="N2191" s="8">
        <v>13.34</v>
      </c>
      <c r="O2191" s="8"/>
      <c r="P2191" s="8">
        <f>1568*11.78/1000</f>
        <v>18.471039999999999</v>
      </c>
      <c r="Q2191" s="8"/>
      <c r="R2191" s="8"/>
      <c r="S2191" s="8">
        <v>1.28</v>
      </c>
      <c r="T2191" s="8"/>
      <c r="U2191" s="8"/>
      <c r="V2191" s="8"/>
      <c r="W2191" s="8">
        <v>18.32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>
        <f>621*11.78/1000</f>
        <v>7.3153799999999993</v>
      </c>
      <c r="AR2191" s="8">
        <f>5422*11.78/1000</f>
        <v>63.871159999999996</v>
      </c>
      <c r="AS2191" s="8"/>
      <c r="AT2191" s="8">
        <v>571.01</v>
      </c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>
        <v>38.049999999999997</v>
      </c>
      <c r="BH2191" s="9">
        <f t="shared" si="306"/>
        <v>1808.56</v>
      </c>
      <c r="BI2191" s="9">
        <f t="shared" si="307"/>
        <v>31.811039999999998</v>
      </c>
      <c r="BJ2191" s="9">
        <f t="shared" si="308"/>
        <v>1.28</v>
      </c>
      <c r="BK2191" s="9">
        <f t="shared" si="309"/>
        <v>18.32</v>
      </c>
      <c r="BL2191" s="9">
        <f t="shared" si="310"/>
        <v>0</v>
      </c>
      <c r="BM2191" s="9">
        <f t="shared" si="311"/>
        <v>71.186539999999994</v>
      </c>
      <c r="BN2191" s="9">
        <f t="shared" si="312"/>
        <v>571.01</v>
      </c>
      <c r="BO2191" s="9">
        <f t="shared" si="313"/>
        <v>0</v>
      </c>
      <c r="BP2191" s="9">
        <f t="shared" si="314"/>
        <v>0</v>
      </c>
    </row>
    <row r="2192" spans="1:68">
      <c r="A2192" s="6">
        <v>44935</v>
      </c>
      <c r="B2192" s="7">
        <v>3020</v>
      </c>
      <c r="C2192" s="8"/>
      <c r="D2192" s="8">
        <v>168.61</v>
      </c>
      <c r="E2192" s="8"/>
      <c r="F2192" s="8"/>
      <c r="G2192" s="8"/>
      <c r="H2192" s="8"/>
      <c r="I2192" s="8">
        <v>956.49</v>
      </c>
      <c r="J2192" s="8"/>
      <c r="K2192" s="8"/>
      <c r="L2192" s="8"/>
      <c r="M2192" s="8"/>
      <c r="N2192" s="8">
        <v>6.75</v>
      </c>
      <c r="O2192" s="8"/>
      <c r="P2192" s="8"/>
      <c r="Q2192" s="8"/>
      <c r="R2192" s="8"/>
      <c r="S2192" s="8">
        <v>2.02</v>
      </c>
      <c r="T2192" s="8"/>
      <c r="U2192" s="8"/>
      <c r="V2192" s="8"/>
      <c r="W2192" s="8">
        <v>11.25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>
        <v>11.2</v>
      </c>
      <c r="AN2192" s="8"/>
      <c r="AO2192" s="8"/>
      <c r="AP2192" s="8"/>
      <c r="AQ2192" s="8"/>
      <c r="AR2192" s="8"/>
      <c r="AS2192" s="8">
        <f>2996*9.37/1000</f>
        <v>28.072519999999997</v>
      </c>
      <c r="AT2192" s="8">
        <v>552.4</v>
      </c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>
        <v>40.44</v>
      </c>
      <c r="BH2192" s="9">
        <f t="shared" si="306"/>
        <v>1125.0999999999999</v>
      </c>
      <c r="BI2192" s="9">
        <f t="shared" si="307"/>
        <v>6.75</v>
      </c>
      <c r="BJ2192" s="9">
        <f t="shared" si="308"/>
        <v>2.02</v>
      </c>
      <c r="BK2192" s="9">
        <f t="shared" si="309"/>
        <v>11.25</v>
      </c>
      <c r="BL2192" s="9">
        <f t="shared" si="310"/>
        <v>0</v>
      </c>
      <c r="BM2192" s="9">
        <f t="shared" si="311"/>
        <v>39.27252</v>
      </c>
      <c r="BN2192" s="9">
        <f t="shared" si="312"/>
        <v>552.4</v>
      </c>
      <c r="BO2192" s="9">
        <f t="shared" si="313"/>
        <v>0</v>
      </c>
      <c r="BP2192" s="9">
        <f t="shared" si="314"/>
        <v>0</v>
      </c>
    </row>
    <row r="2193" spans="1:68">
      <c r="A2193" s="6">
        <v>44935</v>
      </c>
      <c r="B2193" s="7">
        <v>3021</v>
      </c>
      <c r="C2193" s="8"/>
      <c r="D2193" s="8">
        <v>189.7</v>
      </c>
      <c r="E2193" s="8"/>
      <c r="F2193" s="8"/>
      <c r="G2193" s="8"/>
      <c r="H2193" s="8"/>
      <c r="I2193" s="8">
        <v>354.51</v>
      </c>
      <c r="J2193" s="8"/>
      <c r="K2193" s="8"/>
      <c r="L2193" s="8"/>
      <c r="M2193" s="8"/>
      <c r="N2193" s="8">
        <v>2.88</v>
      </c>
      <c r="O2193" s="8"/>
      <c r="P2193" s="8"/>
      <c r="Q2193" s="8"/>
      <c r="R2193" s="8"/>
      <c r="S2193" s="8">
        <v>0.98</v>
      </c>
      <c r="T2193" s="8"/>
      <c r="U2193" s="8"/>
      <c r="V2193" s="8"/>
      <c r="W2193" s="8">
        <v>5.45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>
        <v>5.44</v>
      </c>
      <c r="AN2193" s="8"/>
      <c r="AO2193" s="8"/>
      <c r="AP2193" s="8"/>
      <c r="AQ2193" s="8"/>
      <c r="AR2193" s="8"/>
      <c r="AS2193" s="8">
        <f>2689*5.18/1000</f>
        <v>13.929019999999998</v>
      </c>
      <c r="AT2193" s="8">
        <v>256.77999999999997</v>
      </c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>
        <v>19.309999999999999</v>
      </c>
      <c r="BH2193" s="9">
        <f t="shared" si="306"/>
        <v>544.21</v>
      </c>
      <c r="BI2193" s="9">
        <f t="shared" si="307"/>
        <v>2.88</v>
      </c>
      <c r="BJ2193" s="9">
        <f t="shared" si="308"/>
        <v>0.98</v>
      </c>
      <c r="BK2193" s="9">
        <f t="shared" si="309"/>
        <v>5.45</v>
      </c>
      <c r="BL2193" s="9">
        <f t="shared" si="310"/>
        <v>0</v>
      </c>
      <c r="BM2193" s="9">
        <f t="shared" si="311"/>
        <v>19.369019999999999</v>
      </c>
      <c r="BN2193" s="9">
        <f t="shared" si="312"/>
        <v>256.77999999999997</v>
      </c>
      <c r="BO2193" s="9">
        <f t="shared" si="313"/>
        <v>0</v>
      </c>
      <c r="BP2193" s="9">
        <f t="shared" si="314"/>
        <v>0</v>
      </c>
    </row>
    <row r="2194" spans="1:68">
      <c r="A2194" s="6">
        <v>44935</v>
      </c>
      <c r="B2194" s="7">
        <v>3023</v>
      </c>
      <c r="C2194" s="8"/>
      <c r="D2194" s="8">
        <v>868.68</v>
      </c>
      <c r="E2194" s="8"/>
      <c r="F2194" s="8"/>
      <c r="G2194" s="8"/>
      <c r="H2194" s="8"/>
      <c r="I2194" s="8">
        <v>469.44</v>
      </c>
      <c r="J2194" s="8"/>
      <c r="K2194" s="8"/>
      <c r="L2194" s="8"/>
      <c r="M2194" s="8"/>
      <c r="N2194" s="8">
        <v>7.52</v>
      </c>
      <c r="O2194" s="8"/>
      <c r="P2194" s="8"/>
      <c r="Q2194" s="8"/>
      <c r="R2194" s="8"/>
      <c r="S2194" s="8">
        <v>2.14</v>
      </c>
      <c r="T2194" s="8"/>
      <c r="U2194" s="8"/>
      <c r="V2194" s="8"/>
      <c r="W2194" s="8">
        <v>12.05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>
        <v>13.4</v>
      </c>
      <c r="AN2194" s="8">
        <f>1040*9.25/1000</f>
        <v>9.6199999999999992</v>
      </c>
      <c r="AO2194" s="8"/>
      <c r="AP2194" s="8"/>
      <c r="AQ2194" s="8"/>
      <c r="AR2194" s="8"/>
      <c r="AS2194" s="8">
        <f>4790*9.25/1000</f>
        <v>44.307499999999997</v>
      </c>
      <c r="AT2194" s="8">
        <v>549.44000000000005</v>
      </c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>
        <v>41.47</v>
      </c>
      <c r="BH2194" s="9">
        <f t="shared" si="306"/>
        <v>1338.12</v>
      </c>
      <c r="BI2194" s="9">
        <f t="shared" si="307"/>
        <v>7.52</v>
      </c>
      <c r="BJ2194" s="9">
        <f t="shared" si="308"/>
        <v>2.14</v>
      </c>
      <c r="BK2194" s="9">
        <f t="shared" si="309"/>
        <v>12.05</v>
      </c>
      <c r="BL2194" s="9">
        <f t="shared" si="310"/>
        <v>0</v>
      </c>
      <c r="BM2194" s="9">
        <f t="shared" si="311"/>
        <v>67.327500000000001</v>
      </c>
      <c r="BN2194" s="9">
        <f t="shared" si="312"/>
        <v>549.44000000000005</v>
      </c>
      <c r="BO2194" s="9">
        <f t="shared" si="313"/>
        <v>0</v>
      </c>
      <c r="BP2194" s="9">
        <f t="shared" si="314"/>
        <v>0</v>
      </c>
    </row>
    <row r="2195" spans="1:68">
      <c r="A2195" s="6">
        <v>44935</v>
      </c>
      <c r="B2195" s="7">
        <v>3200</v>
      </c>
      <c r="C2195" s="8">
        <v>2311.96</v>
      </c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>
        <v>5.78</v>
      </c>
      <c r="P2195" s="8"/>
      <c r="Q2195" s="8"/>
      <c r="R2195" s="8"/>
      <c r="S2195" s="8">
        <v>9.0399999999999991</v>
      </c>
      <c r="T2195" s="8"/>
      <c r="U2195" s="8">
        <v>34.700000000000003</v>
      </c>
      <c r="V2195" s="8"/>
      <c r="W2195" s="8"/>
      <c r="X2195" s="8"/>
      <c r="Y2195" s="8"/>
      <c r="Z2195" s="8">
        <v>486.19</v>
      </c>
      <c r="AA2195" s="8"/>
      <c r="AB2195" s="8"/>
      <c r="AC2195" s="8"/>
      <c r="AD2195" s="8"/>
      <c r="AE2195" s="8"/>
      <c r="AF2195" s="8">
        <v>114.99</v>
      </c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>
        <f>1541*23.15/1000</f>
        <v>35.674149999999997</v>
      </c>
      <c r="AR2195" s="8"/>
      <c r="AS2195" s="8"/>
      <c r="AT2195" s="8">
        <v>1586.68</v>
      </c>
      <c r="AU2195" s="8"/>
      <c r="AV2195" s="8"/>
      <c r="AW2195" s="8">
        <v>6.86</v>
      </c>
      <c r="AX2195" s="8"/>
      <c r="AY2195" s="8"/>
      <c r="AZ2195" s="8"/>
      <c r="BA2195" s="8"/>
      <c r="BB2195" s="8"/>
      <c r="BC2195" s="8"/>
      <c r="BD2195" s="8"/>
      <c r="BE2195" s="8"/>
      <c r="BF2195" s="8">
        <v>111.08</v>
      </c>
      <c r="BG2195" s="8">
        <v>113.99</v>
      </c>
      <c r="BH2195" s="9">
        <f t="shared" si="306"/>
        <v>2311.96</v>
      </c>
      <c r="BI2195" s="9">
        <f t="shared" si="307"/>
        <v>5.78</v>
      </c>
      <c r="BJ2195" s="9">
        <f t="shared" si="308"/>
        <v>9.0399999999999991</v>
      </c>
      <c r="BK2195" s="9">
        <f t="shared" si="309"/>
        <v>34.700000000000003</v>
      </c>
      <c r="BL2195" s="9">
        <f t="shared" si="310"/>
        <v>486.19</v>
      </c>
      <c r="BM2195" s="9">
        <f t="shared" si="311"/>
        <v>150.66415000000001</v>
      </c>
      <c r="BN2195" s="9">
        <f t="shared" si="312"/>
        <v>1586.68</v>
      </c>
      <c r="BO2195" s="9">
        <f t="shared" si="313"/>
        <v>6.86</v>
      </c>
      <c r="BP2195" s="9">
        <f t="shared" si="314"/>
        <v>111.08</v>
      </c>
    </row>
    <row r="2196" spans="1:68">
      <c r="A2196" s="6">
        <v>44935</v>
      </c>
      <c r="B2196" s="7">
        <v>3121</v>
      </c>
      <c r="C2196" s="8">
        <v>1188.04</v>
      </c>
      <c r="D2196" s="8"/>
      <c r="E2196" s="8"/>
      <c r="F2196" s="8"/>
      <c r="G2196" s="8"/>
      <c r="H2196" s="8"/>
      <c r="I2196" s="8"/>
      <c r="J2196" s="8"/>
      <c r="K2196" s="8"/>
      <c r="L2196" s="8"/>
      <c r="M2196" s="8">
        <v>2.97</v>
      </c>
      <c r="N2196" s="8"/>
      <c r="O2196" s="8"/>
      <c r="P2196" s="8"/>
      <c r="Q2196" s="8"/>
      <c r="R2196" s="8"/>
      <c r="S2196" s="8">
        <v>3.8</v>
      </c>
      <c r="T2196" s="8"/>
      <c r="U2196" s="8">
        <v>11.89</v>
      </c>
      <c r="V2196" s="8"/>
      <c r="W2196" s="8"/>
      <c r="X2196" s="8"/>
      <c r="Y2196" s="8"/>
      <c r="Z2196" s="8"/>
      <c r="AA2196" s="8"/>
      <c r="AB2196" s="8"/>
      <c r="AC2196" s="8">
        <v>4.75</v>
      </c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>
        <f>2213*5.4/1000</f>
        <v>11.950200000000001</v>
      </c>
      <c r="AQ2196" s="8"/>
      <c r="AR2196" s="8"/>
      <c r="AS2196" s="8"/>
      <c r="AT2196" s="8">
        <v>628.41</v>
      </c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>
        <v>46.37</v>
      </c>
      <c r="BH2196" s="9">
        <f t="shared" si="306"/>
        <v>1188.04</v>
      </c>
      <c r="BI2196" s="9">
        <f t="shared" si="307"/>
        <v>2.97</v>
      </c>
      <c r="BJ2196" s="9">
        <f t="shared" si="308"/>
        <v>3.8</v>
      </c>
      <c r="BK2196" s="9">
        <f t="shared" si="309"/>
        <v>11.89</v>
      </c>
      <c r="BL2196" s="9">
        <f t="shared" si="310"/>
        <v>0</v>
      </c>
      <c r="BM2196" s="9">
        <f t="shared" si="311"/>
        <v>16.700200000000002</v>
      </c>
      <c r="BN2196" s="9">
        <f t="shared" si="312"/>
        <v>628.41</v>
      </c>
      <c r="BO2196" s="9">
        <f t="shared" si="313"/>
        <v>0</v>
      </c>
      <c r="BP2196" s="9">
        <f t="shared" si="314"/>
        <v>0</v>
      </c>
    </row>
    <row r="2197" spans="1:68">
      <c r="A2197" s="6">
        <v>44935</v>
      </c>
      <c r="B2197" s="7">
        <v>3119</v>
      </c>
      <c r="C2197" s="8">
        <v>702.87</v>
      </c>
      <c r="D2197" s="8"/>
      <c r="E2197" s="8"/>
      <c r="F2197" s="8"/>
      <c r="G2197" s="8"/>
      <c r="H2197" s="8"/>
      <c r="I2197" s="8"/>
      <c r="J2197" s="8"/>
      <c r="K2197" s="8"/>
      <c r="L2197" s="8"/>
      <c r="M2197" s="8">
        <v>2.23</v>
      </c>
      <c r="N2197" s="8"/>
      <c r="O2197" s="8"/>
      <c r="P2197" s="8"/>
      <c r="Q2197" s="8"/>
      <c r="R2197" s="8"/>
      <c r="S2197" s="8">
        <v>3.18</v>
      </c>
      <c r="T2197" s="8"/>
      <c r="U2197" s="8">
        <v>7.03</v>
      </c>
      <c r="V2197" s="8"/>
      <c r="W2197" s="8"/>
      <c r="X2197" s="8"/>
      <c r="Y2197" s="8"/>
      <c r="Z2197" s="8"/>
      <c r="AA2197" s="8"/>
      <c r="AB2197" s="8"/>
      <c r="AC2197" s="8">
        <v>1.76</v>
      </c>
      <c r="AD2197" s="8"/>
      <c r="AE2197" s="8"/>
      <c r="AF2197" s="8"/>
      <c r="AG2197" s="8">
        <v>2.12</v>
      </c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>
        <v>263.8</v>
      </c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>
        <v>49.18</v>
      </c>
      <c r="BG2197" s="8">
        <v>18.760000000000002</v>
      </c>
      <c r="BH2197" s="9">
        <f t="shared" si="306"/>
        <v>702.87</v>
      </c>
      <c r="BI2197" s="9">
        <f t="shared" si="307"/>
        <v>2.23</v>
      </c>
      <c r="BJ2197" s="9">
        <f t="shared" si="308"/>
        <v>3.18</v>
      </c>
      <c r="BK2197" s="9">
        <f t="shared" si="309"/>
        <v>7.03</v>
      </c>
      <c r="BL2197" s="9">
        <f t="shared" si="310"/>
        <v>0</v>
      </c>
      <c r="BM2197" s="9">
        <f t="shared" si="311"/>
        <v>3.88</v>
      </c>
      <c r="BN2197" s="9">
        <f t="shared" si="312"/>
        <v>263.8</v>
      </c>
      <c r="BO2197" s="9">
        <f t="shared" si="313"/>
        <v>0</v>
      </c>
      <c r="BP2197" s="9">
        <f t="shared" si="314"/>
        <v>49.18</v>
      </c>
    </row>
    <row r="2198" spans="1:68">
      <c r="A2198" s="6">
        <v>44936</v>
      </c>
      <c r="B2198" s="7">
        <v>3203</v>
      </c>
      <c r="C2198" s="8">
        <v>878.26</v>
      </c>
      <c r="D2198" s="8"/>
      <c r="E2198" s="8">
        <v>377.62</v>
      </c>
      <c r="F2198" s="8"/>
      <c r="G2198" s="8"/>
      <c r="H2198" s="8"/>
      <c r="I2198" s="8"/>
      <c r="J2198" s="8"/>
      <c r="K2198" s="8"/>
      <c r="L2198" s="8"/>
      <c r="M2198" s="8"/>
      <c r="N2198" s="8"/>
      <c r="O2198" s="8">
        <v>3.77</v>
      </c>
      <c r="P2198" s="8"/>
      <c r="Q2198" s="8"/>
      <c r="R2198" s="8"/>
      <c r="S2198" s="8">
        <v>4.8899999999999997</v>
      </c>
      <c r="T2198" s="8"/>
      <c r="U2198" s="8">
        <v>15.6</v>
      </c>
      <c r="V2198" s="8"/>
      <c r="W2198" s="8"/>
      <c r="X2198" s="8"/>
      <c r="Y2198" s="8"/>
      <c r="Z2198" s="8">
        <v>198.11</v>
      </c>
      <c r="AA2198" s="8">
        <f>10426*14.8/1000</f>
        <v>154.30480000000003</v>
      </c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>
        <v>470.52</v>
      </c>
      <c r="AU2198" s="8">
        <v>235.02</v>
      </c>
      <c r="AV2198" s="8"/>
      <c r="AW2198" s="8"/>
      <c r="AX2198" s="8"/>
      <c r="AY2198" s="8"/>
      <c r="AZ2198" s="8"/>
      <c r="BA2198" s="8"/>
      <c r="BB2198" s="8"/>
      <c r="BC2198" s="10">
        <v>3.27</v>
      </c>
      <c r="BD2198" s="8"/>
      <c r="BE2198" s="8"/>
      <c r="BF2198" s="8"/>
      <c r="BG2198" s="8">
        <v>45.95</v>
      </c>
      <c r="BH2198" s="9">
        <f t="shared" si="306"/>
        <v>1255.8800000000001</v>
      </c>
      <c r="BI2198" s="9">
        <f t="shared" si="307"/>
        <v>3.77</v>
      </c>
      <c r="BJ2198" s="9">
        <f t="shared" si="308"/>
        <v>4.8899999999999997</v>
      </c>
      <c r="BK2198" s="9">
        <f t="shared" si="309"/>
        <v>15.6</v>
      </c>
      <c r="BL2198" s="9">
        <f t="shared" si="310"/>
        <v>352.41480000000001</v>
      </c>
      <c r="BM2198" s="9">
        <f t="shared" si="311"/>
        <v>0</v>
      </c>
      <c r="BN2198" s="9">
        <f t="shared" si="312"/>
        <v>705.54</v>
      </c>
      <c r="BO2198" s="9">
        <f t="shared" si="313"/>
        <v>3.27</v>
      </c>
      <c r="BP2198" s="9">
        <f t="shared" si="314"/>
        <v>0</v>
      </c>
    </row>
    <row r="2199" spans="1:68">
      <c r="A2199" s="6">
        <v>44936</v>
      </c>
      <c r="B2199" s="7">
        <v>8279</v>
      </c>
      <c r="C2199" s="8">
        <v>1628.24</v>
      </c>
      <c r="D2199" s="8"/>
      <c r="E2199" s="8"/>
      <c r="F2199" s="8"/>
      <c r="G2199" s="8"/>
      <c r="H2199" s="8"/>
      <c r="I2199" s="8"/>
      <c r="J2199" s="8"/>
      <c r="K2199" s="8"/>
      <c r="L2199" s="8"/>
      <c r="M2199" s="8">
        <v>4.3600000000000003</v>
      </c>
      <c r="N2199" s="8"/>
      <c r="O2199" s="8"/>
      <c r="P2199" s="8"/>
      <c r="Q2199" s="8"/>
      <c r="R2199" s="8"/>
      <c r="S2199" s="8">
        <v>5.22</v>
      </c>
      <c r="T2199" s="8"/>
      <c r="U2199" s="8">
        <v>20.73</v>
      </c>
      <c r="V2199" s="8"/>
      <c r="W2199" s="8"/>
      <c r="X2199" s="8"/>
      <c r="Y2199" s="8"/>
      <c r="Z2199" s="8"/>
      <c r="AA2199" s="8"/>
      <c r="AB2199" s="8"/>
      <c r="AC2199" s="8">
        <v>4.07</v>
      </c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>
        <f>1674*9.87/1000</f>
        <v>16.522379999999998</v>
      </c>
      <c r="AQ2199" s="8"/>
      <c r="AR2199" s="8"/>
      <c r="AS2199" s="8"/>
      <c r="AT2199" s="8">
        <v>932.09</v>
      </c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>
        <v>70.28</v>
      </c>
      <c r="BH2199" s="9">
        <f t="shared" si="306"/>
        <v>1628.24</v>
      </c>
      <c r="BI2199" s="9">
        <f t="shared" si="307"/>
        <v>4.3600000000000003</v>
      </c>
      <c r="BJ2199" s="9">
        <f t="shared" si="308"/>
        <v>5.22</v>
      </c>
      <c r="BK2199" s="9">
        <f t="shared" si="309"/>
        <v>20.73</v>
      </c>
      <c r="BL2199" s="9">
        <f t="shared" si="310"/>
        <v>0</v>
      </c>
      <c r="BM2199" s="9">
        <f t="shared" si="311"/>
        <v>20.592379999999999</v>
      </c>
      <c r="BN2199" s="9">
        <f t="shared" si="312"/>
        <v>932.09</v>
      </c>
      <c r="BO2199" s="9">
        <f t="shared" si="313"/>
        <v>0</v>
      </c>
      <c r="BP2199" s="9">
        <f t="shared" si="314"/>
        <v>0</v>
      </c>
    </row>
    <row r="2200" spans="1:68">
      <c r="A2200" s="6">
        <v>44936</v>
      </c>
      <c r="B2200" s="7">
        <v>3135</v>
      </c>
      <c r="C2200" s="8">
        <v>1092.49</v>
      </c>
      <c r="D2200" s="8">
        <v>154.46</v>
      </c>
      <c r="E2200" s="8"/>
      <c r="F2200" s="8"/>
      <c r="G2200" s="8"/>
      <c r="H2200" s="8">
        <v>516.97</v>
      </c>
      <c r="I2200" s="8"/>
      <c r="J2200" s="8"/>
      <c r="K2200" s="8"/>
      <c r="L2200" s="8"/>
      <c r="M2200" s="8">
        <v>3.27</v>
      </c>
      <c r="N2200" s="8"/>
      <c r="O2200" s="8"/>
      <c r="P2200" s="8"/>
      <c r="Q2200" s="8"/>
      <c r="R2200" s="8"/>
      <c r="S2200" s="8">
        <v>7.06</v>
      </c>
      <c r="T2200" s="8"/>
      <c r="U2200" s="8">
        <v>19.97</v>
      </c>
      <c r="V2200" s="8"/>
      <c r="W2200" s="8"/>
      <c r="X2200" s="8"/>
      <c r="Y2200" s="8"/>
      <c r="Z2200" s="8"/>
      <c r="AA2200" s="8"/>
      <c r="AB2200" s="8"/>
      <c r="AC2200" s="8">
        <v>6.13</v>
      </c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>
        <v>1082.77</v>
      </c>
      <c r="AU2200" s="8"/>
      <c r="AV2200" s="8"/>
      <c r="AW2200" s="8"/>
      <c r="AX2200" s="8"/>
      <c r="AY2200" s="8"/>
      <c r="AZ2200" s="8"/>
      <c r="BA2200" s="8">
        <v>35.020000000000003</v>
      </c>
      <c r="BB2200" s="8"/>
      <c r="BC2200" s="8"/>
      <c r="BD2200" s="8"/>
      <c r="BE2200" s="8"/>
      <c r="BF2200" s="8">
        <v>69.02</v>
      </c>
      <c r="BG2200" s="8">
        <v>81.37</v>
      </c>
      <c r="BH2200" s="9">
        <f t="shared" si="306"/>
        <v>1763.92</v>
      </c>
      <c r="BI2200" s="9">
        <f t="shared" si="307"/>
        <v>3.27</v>
      </c>
      <c r="BJ2200" s="9">
        <f t="shared" si="308"/>
        <v>7.06</v>
      </c>
      <c r="BK2200" s="9">
        <f t="shared" si="309"/>
        <v>19.97</v>
      </c>
      <c r="BL2200" s="9">
        <f t="shared" si="310"/>
        <v>0</v>
      </c>
      <c r="BM2200" s="9">
        <f t="shared" si="311"/>
        <v>6.13</v>
      </c>
      <c r="BN2200" s="9">
        <f t="shared" si="312"/>
        <v>1082.77</v>
      </c>
      <c r="BO2200" s="9">
        <f t="shared" si="313"/>
        <v>35.020000000000003</v>
      </c>
      <c r="BP2200" s="9">
        <f t="shared" si="314"/>
        <v>69.02</v>
      </c>
    </row>
    <row r="2201" spans="1:68">
      <c r="A2201" s="6">
        <v>44936</v>
      </c>
      <c r="B2201" s="7">
        <v>3106</v>
      </c>
      <c r="C2201" s="8">
        <v>4172.6499999999996</v>
      </c>
      <c r="D2201" s="8"/>
      <c r="E2201" s="8"/>
      <c r="F2201" s="8"/>
      <c r="G2201" s="8"/>
      <c r="H2201" s="8"/>
      <c r="I2201" s="8"/>
      <c r="J2201" s="8"/>
      <c r="K2201" s="8"/>
      <c r="L2201" s="8"/>
      <c r="M2201" s="8">
        <v>10.93</v>
      </c>
      <c r="N2201" s="8"/>
      <c r="O2201" s="8"/>
      <c r="P2201" s="8"/>
      <c r="Q2201" s="8"/>
      <c r="R2201" s="8"/>
      <c r="S2201" s="8">
        <v>12.53</v>
      </c>
      <c r="T2201" s="8"/>
      <c r="U2201" s="8">
        <v>53.08</v>
      </c>
      <c r="V2201" s="8"/>
      <c r="W2201" s="8"/>
      <c r="X2201" s="8"/>
      <c r="Y2201" s="8"/>
      <c r="Z2201" s="8"/>
      <c r="AA2201" s="8"/>
      <c r="AB2201" s="8"/>
      <c r="AC2201" s="8">
        <v>10.44</v>
      </c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>
        <v>2380.63</v>
      </c>
      <c r="AU2201" s="8"/>
      <c r="AV2201" s="8"/>
      <c r="AW2201" s="8"/>
      <c r="AX2201" s="8">
        <v>5.22</v>
      </c>
      <c r="AY2201" s="8"/>
      <c r="AZ2201" s="8"/>
      <c r="BA2201" s="8"/>
      <c r="BB2201" s="8"/>
      <c r="BC2201" s="8"/>
      <c r="BD2201" s="8"/>
      <c r="BE2201" s="8"/>
      <c r="BF2201" s="8"/>
      <c r="BG2201" s="8">
        <v>179.87</v>
      </c>
      <c r="BH2201" s="9">
        <f t="shared" si="306"/>
        <v>4172.6499999999996</v>
      </c>
      <c r="BI2201" s="9">
        <f t="shared" si="307"/>
        <v>10.93</v>
      </c>
      <c r="BJ2201" s="9">
        <f t="shared" si="308"/>
        <v>12.53</v>
      </c>
      <c r="BK2201" s="9">
        <f t="shared" si="309"/>
        <v>53.08</v>
      </c>
      <c r="BL2201" s="9">
        <f t="shared" si="310"/>
        <v>0</v>
      </c>
      <c r="BM2201" s="9">
        <f t="shared" si="311"/>
        <v>10.44</v>
      </c>
      <c r="BN2201" s="9">
        <f t="shared" si="312"/>
        <v>2380.63</v>
      </c>
      <c r="BO2201" s="9">
        <f t="shared" si="313"/>
        <v>5.22</v>
      </c>
      <c r="BP2201" s="9">
        <f t="shared" si="314"/>
        <v>0</v>
      </c>
    </row>
    <row r="2202" spans="1:68">
      <c r="A2202" s="6">
        <v>44936</v>
      </c>
      <c r="B2202" s="7">
        <v>3112</v>
      </c>
      <c r="C2202" s="8">
        <v>3148.81</v>
      </c>
      <c r="D2202" s="8"/>
      <c r="E2202" s="8"/>
      <c r="F2202" s="8"/>
      <c r="G2202" s="8"/>
      <c r="H2202" s="8"/>
      <c r="I2202" s="8"/>
      <c r="J2202" s="8"/>
      <c r="K2202" s="8"/>
      <c r="L2202" s="8"/>
      <c r="M2202" s="8">
        <v>2.86</v>
      </c>
      <c r="N2202" s="8">
        <v>2.85</v>
      </c>
      <c r="O2202" s="8"/>
      <c r="P2202" s="8"/>
      <c r="Q2202" s="8"/>
      <c r="R2202" s="8"/>
      <c r="S2202" s="8">
        <v>9.4499999999999993</v>
      </c>
      <c r="T2202" s="8"/>
      <c r="U2202" s="8">
        <v>31.46</v>
      </c>
      <c r="V2202" s="8"/>
      <c r="W2202" s="8"/>
      <c r="X2202" s="8"/>
      <c r="Y2202" s="8"/>
      <c r="Z2202" s="8"/>
      <c r="AA2202" s="8"/>
      <c r="AB2202" s="8"/>
      <c r="AC2202" s="8">
        <v>12.58</v>
      </c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>
        <v>1317.88</v>
      </c>
      <c r="AU2202" s="8"/>
      <c r="AV2202" s="8"/>
      <c r="AW2202" s="8"/>
      <c r="AX2202" s="8"/>
      <c r="AY2202" s="8"/>
      <c r="AZ2202" s="8"/>
      <c r="BA2202" s="8">
        <v>41.65</v>
      </c>
      <c r="BB2202" s="8"/>
      <c r="BC2202" s="8"/>
      <c r="BD2202" s="8"/>
      <c r="BE2202" s="8"/>
      <c r="BF2202" s="8"/>
      <c r="BG2202" s="8">
        <v>94.37</v>
      </c>
      <c r="BH2202" s="9">
        <f t="shared" si="306"/>
        <v>3148.81</v>
      </c>
      <c r="BI2202" s="9">
        <f t="shared" si="307"/>
        <v>5.71</v>
      </c>
      <c r="BJ2202" s="9">
        <f t="shared" si="308"/>
        <v>9.4499999999999993</v>
      </c>
      <c r="BK2202" s="9">
        <f t="shared" si="309"/>
        <v>31.46</v>
      </c>
      <c r="BL2202" s="9">
        <f t="shared" si="310"/>
        <v>0</v>
      </c>
      <c r="BM2202" s="9">
        <f t="shared" si="311"/>
        <v>12.58</v>
      </c>
      <c r="BN2202" s="9">
        <f t="shared" si="312"/>
        <v>1317.88</v>
      </c>
      <c r="BO2202" s="9">
        <f t="shared" si="313"/>
        <v>41.65</v>
      </c>
      <c r="BP2202" s="9">
        <f t="shared" si="314"/>
        <v>0</v>
      </c>
    </row>
    <row r="2203" spans="1:68">
      <c r="A2203" s="6">
        <v>44936</v>
      </c>
      <c r="B2203" s="7">
        <v>3119</v>
      </c>
      <c r="C2203" s="8">
        <v>901.52</v>
      </c>
      <c r="D2203" s="8"/>
      <c r="E2203" s="8"/>
      <c r="F2203" s="8"/>
      <c r="G2203" s="8"/>
      <c r="H2203" s="8"/>
      <c r="I2203" s="8"/>
      <c r="J2203" s="8"/>
      <c r="K2203" s="8"/>
      <c r="L2203" s="8"/>
      <c r="M2203" s="8">
        <v>2.84</v>
      </c>
      <c r="N2203" s="8"/>
      <c r="O2203" s="8"/>
      <c r="P2203" s="8"/>
      <c r="Q2203" s="8"/>
      <c r="R2203" s="8"/>
      <c r="S2203" s="8">
        <v>4.12</v>
      </c>
      <c r="T2203" s="8"/>
      <c r="U2203" s="8">
        <v>9.02</v>
      </c>
      <c r="V2203" s="8"/>
      <c r="W2203" s="8"/>
      <c r="X2203" s="8"/>
      <c r="Y2203" s="8"/>
      <c r="Z2203" s="8"/>
      <c r="AA2203" s="8"/>
      <c r="AB2203" s="8"/>
      <c r="AC2203" s="8">
        <v>2.2599999999999998</v>
      </c>
      <c r="AD2203" s="8"/>
      <c r="AE2203" s="8"/>
      <c r="AF2203" s="8"/>
      <c r="AG2203" s="8">
        <v>2.72</v>
      </c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>
        <v>338.01</v>
      </c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>
        <v>63.15</v>
      </c>
      <c r="BG2203" s="8">
        <v>24.05</v>
      </c>
      <c r="BH2203" s="9">
        <f t="shared" si="306"/>
        <v>901.52</v>
      </c>
      <c r="BI2203" s="9">
        <f t="shared" si="307"/>
        <v>2.84</v>
      </c>
      <c r="BJ2203" s="9">
        <f t="shared" si="308"/>
        <v>4.12</v>
      </c>
      <c r="BK2203" s="9">
        <f t="shared" si="309"/>
        <v>9.02</v>
      </c>
      <c r="BL2203" s="9">
        <f t="shared" si="310"/>
        <v>0</v>
      </c>
      <c r="BM2203" s="9">
        <f t="shared" si="311"/>
        <v>4.9800000000000004</v>
      </c>
      <c r="BN2203" s="9">
        <f t="shared" si="312"/>
        <v>338.01</v>
      </c>
      <c r="BO2203" s="9">
        <f t="shared" si="313"/>
        <v>0</v>
      </c>
      <c r="BP2203" s="9">
        <f t="shared" si="314"/>
        <v>63.15</v>
      </c>
    </row>
    <row r="2204" spans="1:68">
      <c r="A2204" s="6">
        <v>44936</v>
      </c>
      <c r="B2204" s="7">
        <v>3081</v>
      </c>
      <c r="C2204" s="8"/>
      <c r="D2204" s="8">
        <v>289.42</v>
      </c>
      <c r="E2204" s="8"/>
      <c r="F2204" s="8">
        <v>326.24</v>
      </c>
      <c r="G2204" s="8"/>
      <c r="H2204" s="8"/>
      <c r="I2204" s="8">
        <v>1190.3599999999999</v>
      </c>
      <c r="J2204" s="8"/>
      <c r="K2204" s="8"/>
      <c r="L2204" s="8"/>
      <c r="M2204" s="8"/>
      <c r="N2204" s="8">
        <v>13.26</v>
      </c>
      <c r="O2204" s="8"/>
      <c r="P2204" s="8">
        <f>618*11.7/1000</f>
        <v>7.230599999999999</v>
      </c>
      <c r="Q2204" s="8"/>
      <c r="R2204" s="8"/>
      <c r="S2204" s="8">
        <v>1.26</v>
      </c>
      <c r="T2204" s="8"/>
      <c r="U2204" s="8"/>
      <c r="V2204" s="8"/>
      <c r="W2204" s="8">
        <v>18.16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>
        <f>1564*11.7/1000</f>
        <v>18.2988</v>
      </c>
      <c r="AR2204" s="8">
        <f>5417*11.7/1000</f>
        <v>63.378899999999994</v>
      </c>
      <c r="AS2204" s="8"/>
      <c r="AT2204" s="8">
        <v>567.09</v>
      </c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>
        <v>37.58</v>
      </c>
      <c r="BH2204" s="9">
        <f t="shared" si="306"/>
        <v>1806.02</v>
      </c>
      <c r="BI2204" s="9">
        <f t="shared" si="307"/>
        <v>20.490600000000001</v>
      </c>
      <c r="BJ2204" s="9">
        <f t="shared" si="308"/>
        <v>1.26</v>
      </c>
      <c r="BK2204" s="9">
        <f t="shared" si="309"/>
        <v>18.16</v>
      </c>
      <c r="BL2204" s="9">
        <f t="shared" si="310"/>
        <v>0</v>
      </c>
      <c r="BM2204" s="9">
        <f t="shared" si="311"/>
        <v>81.677699999999987</v>
      </c>
      <c r="BN2204" s="9">
        <f t="shared" si="312"/>
        <v>567.09</v>
      </c>
      <c r="BO2204" s="9">
        <f t="shared" si="313"/>
        <v>0</v>
      </c>
      <c r="BP2204" s="9">
        <f t="shared" si="314"/>
        <v>0</v>
      </c>
    </row>
    <row r="2205" spans="1:68">
      <c r="A2205" s="6">
        <v>44936</v>
      </c>
      <c r="B2205" s="7">
        <v>3022</v>
      </c>
      <c r="C2205" s="8"/>
      <c r="D2205" s="8">
        <v>325.2</v>
      </c>
      <c r="E2205" s="8"/>
      <c r="F2205" s="8"/>
      <c r="G2205" s="8"/>
      <c r="H2205" s="8"/>
      <c r="I2205" s="8">
        <v>266.47000000000003</v>
      </c>
      <c r="J2205" s="8"/>
      <c r="K2205" s="8"/>
      <c r="L2205" s="8"/>
      <c r="M2205" s="8"/>
      <c r="N2205" s="8">
        <v>2.96</v>
      </c>
      <c r="O2205" s="8"/>
      <c r="P2205" s="8"/>
      <c r="Q2205" s="8"/>
      <c r="R2205" s="8"/>
      <c r="S2205" s="8">
        <v>1.07</v>
      </c>
      <c r="T2205" s="8"/>
      <c r="U2205" s="8"/>
      <c r="V2205" s="8"/>
      <c r="W2205" s="8">
        <v>5.93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>
        <v>7.66</v>
      </c>
      <c r="AN2205" s="8"/>
      <c r="AO2205" s="8"/>
      <c r="AP2205" s="8"/>
      <c r="AQ2205" s="8"/>
      <c r="AR2205" s="8"/>
      <c r="AS2205" s="8">
        <f>3877*5.38/1000</f>
        <v>20.858259999999998</v>
      </c>
      <c r="AT2205" s="8">
        <v>277.04000000000002</v>
      </c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>
        <v>21.33</v>
      </c>
      <c r="BH2205" s="9">
        <f t="shared" si="306"/>
        <v>591.67000000000007</v>
      </c>
      <c r="BI2205" s="9">
        <f t="shared" si="307"/>
        <v>2.96</v>
      </c>
      <c r="BJ2205" s="9">
        <f t="shared" si="308"/>
        <v>1.07</v>
      </c>
      <c r="BK2205" s="9">
        <f t="shared" si="309"/>
        <v>5.93</v>
      </c>
      <c r="BL2205" s="9">
        <f t="shared" si="310"/>
        <v>0</v>
      </c>
      <c r="BM2205" s="9">
        <f t="shared" si="311"/>
        <v>28.518259999999998</v>
      </c>
      <c r="BN2205" s="9">
        <f t="shared" si="312"/>
        <v>277.04000000000002</v>
      </c>
      <c r="BO2205" s="9">
        <f t="shared" si="313"/>
        <v>0</v>
      </c>
      <c r="BP2205" s="9">
        <f t="shared" si="314"/>
        <v>0</v>
      </c>
    </row>
    <row r="2206" spans="1:68">
      <c r="A2206" s="6">
        <v>44936</v>
      </c>
      <c r="B2206" s="7">
        <v>3023</v>
      </c>
      <c r="C2206" s="8"/>
      <c r="D2206" s="8">
        <v>1645.71</v>
      </c>
      <c r="E2206" s="8"/>
      <c r="F2206" s="8"/>
      <c r="G2206" s="8"/>
      <c r="H2206" s="8"/>
      <c r="I2206" s="8">
        <v>887.48</v>
      </c>
      <c r="J2206" s="8"/>
      <c r="K2206" s="8"/>
      <c r="L2206" s="8"/>
      <c r="M2206" s="8"/>
      <c r="N2206" s="8">
        <v>14.14</v>
      </c>
      <c r="O2206" s="8"/>
      <c r="P2206" s="8"/>
      <c r="Q2206" s="8"/>
      <c r="R2206" s="8"/>
      <c r="S2206" s="8">
        <v>4.05</v>
      </c>
      <c r="T2206" s="8"/>
      <c r="U2206" s="8"/>
      <c r="V2206" s="8"/>
      <c r="W2206" s="8">
        <v>22.82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>
        <v>25.18</v>
      </c>
      <c r="AN2206" s="8">
        <f>1034*17.45/1000</f>
        <v>18.043299999999999</v>
      </c>
      <c r="AO2206" s="8"/>
      <c r="AP2206" s="8"/>
      <c r="AQ2206" s="8"/>
      <c r="AR2206" s="8"/>
      <c r="AS2206" s="8">
        <f>4877*17.45/1000</f>
        <v>85.103649999999988</v>
      </c>
      <c r="AT2206" s="8">
        <v>1038.82</v>
      </c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>
        <v>78.349999999999994</v>
      </c>
      <c r="BH2206" s="9">
        <f t="shared" si="306"/>
        <v>2533.19</v>
      </c>
      <c r="BI2206" s="9">
        <f t="shared" si="307"/>
        <v>14.14</v>
      </c>
      <c r="BJ2206" s="9">
        <f t="shared" si="308"/>
        <v>4.05</v>
      </c>
      <c r="BK2206" s="9">
        <f t="shared" si="309"/>
        <v>22.82</v>
      </c>
      <c r="BL2206" s="9">
        <f t="shared" si="310"/>
        <v>0</v>
      </c>
      <c r="BM2206" s="9">
        <f t="shared" si="311"/>
        <v>128.32694999999998</v>
      </c>
      <c r="BN2206" s="9">
        <f t="shared" si="312"/>
        <v>1038.82</v>
      </c>
      <c r="BO2206" s="9">
        <f t="shared" si="313"/>
        <v>0</v>
      </c>
      <c r="BP2206" s="9">
        <f t="shared" si="314"/>
        <v>0</v>
      </c>
    </row>
    <row r="2207" spans="1:68">
      <c r="A2207" s="6">
        <v>44936</v>
      </c>
      <c r="B2207" s="7">
        <v>3405</v>
      </c>
      <c r="C2207" s="8">
        <v>1240.6500000000001</v>
      </c>
      <c r="D2207" s="8">
        <v>310.24</v>
      </c>
      <c r="E2207" s="8"/>
      <c r="F2207" s="8"/>
      <c r="G2207" s="8"/>
      <c r="H2207" s="8"/>
      <c r="I2207" s="8"/>
      <c r="J2207" s="8"/>
      <c r="K2207" s="8"/>
      <c r="L2207" s="8"/>
      <c r="M2207" s="8">
        <v>3.39</v>
      </c>
      <c r="N2207" s="8"/>
      <c r="O2207" s="8"/>
      <c r="P2207" s="8"/>
      <c r="Q2207" s="8"/>
      <c r="R2207" s="8"/>
      <c r="S2207" s="8">
        <v>3.57</v>
      </c>
      <c r="T2207" s="8"/>
      <c r="U2207" s="8"/>
      <c r="V2207" s="8"/>
      <c r="W2207" s="8"/>
      <c r="X2207" s="8">
        <f>1214*15.53/1000</f>
        <v>18.85342</v>
      </c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>
        <v>758.98</v>
      </c>
      <c r="AU2207" s="8"/>
      <c r="AV2207" s="8"/>
      <c r="AW2207" s="8"/>
      <c r="AX2207" s="8"/>
      <c r="AY2207" s="8"/>
      <c r="AZ2207" s="8"/>
      <c r="BA2207" s="8">
        <v>6.98</v>
      </c>
      <c r="BB2207" s="8"/>
      <c r="BC2207" s="8"/>
      <c r="BD2207" s="8"/>
      <c r="BE2207" s="8"/>
      <c r="BF2207" s="8"/>
      <c r="BG2207" s="8">
        <v>51.28</v>
      </c>
      <c r="BH2207" s="9">
        <f t="shared" si="306"/>
        <v>1550.89</v>
      </c>
      <c r="BI2207" s="9">
        <f t="shared" si="307"/>
        <v>3.39</v>
      </c>
      <c r="BJ2207" s="9">
        <f t="shared" si="308"/>
        <v>3.57</v>
      </c>
      <c r="BK2207" s="9">
        <f t="shared" si="309"/>
        <v>18.85342</v>
      </c>
      <c r="BL2207" s="9">
        <f t="shared" si="310"/>
        <v>0</v>
      </c>
      <c r="BM2207" s="9">
        <f t="shared" si="311"/>
        <v>0</v>
      </c>
      <c r="BN2207" s="9">
        <f t="shared" si="312"/>
        <v>758.98</v>
      </c>
      <c r="BO2207" s="9">
        <f t="shared" si="313"/>
        <v>6.98</v>
      </c>
      <c r="BP2207" s="9">
        <f t="shared" si="314"/>
        <v>0</v>
      </c>
    </row>
    <row r="2208" spans="1:68">
      <c r="A2208" s="6">
        <v>44936</v>
      </c>
      <c r="B2208" s="7">
        <v>3118</v>
      </c>
      <c r="C2208" s="8">
        <v>343.48</v>
      </c>
      <c r="D2208" s="8"/>
      <c r="E2208" s="8"/>
      <c r="F2208" s="8"/>
      <c r="G2208" s="8"/>
      <c r="H2208" s="8"/>
      <c r="I2208" s="8"/>
      <c r="J2208" s="8"/>
      <c r="K2208" s="8"/>
      <c r="L2208" s="8"/>
      <c r="M2208" s="8">
        <v>1.1399999999999999</v>
      </c>
      <c r="N2208" s="8"/>
      <c r="O2208" s="8"/>
      <c r="P2208" s="8"/>
      <c r="Q2208" s="8"/>
      <c r="R2208" s="8"/>
      <c r="S2208" s="8">
        <v>1.89</v>
      </c>
      <c r="T2208" s="8"/>
      <c r="U2208" s="8">
        <v>4.13</v>
      </c>
      <c r="V2208" s="8"/>
      <c r="W2208" s="8"/>
      <c r="X2208" s="8"/>
      <c r="Y2208" s="8"/>
      <c r="Z2208" s="8"/>
      <c r="AA2208" s="8"/>
      <c r="AB2208" s="8"/>
      <c r="AC2208" s="8">
        <v>1.38</v>
      </c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>
        <f>704*4.9/1000</f>
        <v>3.4496000000000002</v>
      </c>
      <c r="AR2208" s="8"/>
      <c r="AS2208" s="8"/>
      <c r="AT2208" s="8">
        <v>222.18</v>
      </c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>
        <v>24.07</v>
      </c>
      <c r="BG2208" s="8">
        <v>17.05</v>
      </c>
      <c r="BH2208" s="9">
        <f t="shared" si="306"/>
        <v>343.48</v>
      </c>
      <c r="BI2208" s="9">
        <f t="shared" si="307"/>
        <v>1.1399999999999999</v>
      </c>
      <c r="BJ2208" s="9">
        <f t="shared" si="308"/>
        <v>1.89</v>
      </c>
      <c r="BK2208" s="9">
        <f t="shared" si="309"/>
        <v>4.13</v>
      </c>
      <c r="BL2208" s="9">
        <f t="shared" si="310"/>
        <v>0</v>
      </c>
      <c r="BM2208" s="9">
        <f t="shared" si="311"/>
        <v>4.8296000000000001</v>
      </c>
      <c r="BN2208" s="9">
        <f t="shared" si="312"/>
        <v>222.18</v>
      </c>
      <c r="BO2208" s="9">
        <f t="shared" si="313"/>
        <v>0</v>
      </c>
      <c r="BP2208" s="9">
        <f t="shared" si="314"/>
        <v>24.07</v>
      </c>
    </row>
    <row r="2209" spans="1:68">
      <c r="A2209" s="6">
        <v>44936</v>
      </c>
      <c r="B2209" s="7">
        <v>3602</v>
      </c>
      <c r="C2209" s="8">
        <v>565.64</v>
      </c>
      <c r="D2209" s="8"/>
      <c r="E2209" s="8"/>
      <c r="F2209" s="8"/>
      <c r="G2209" s="8">
        <v>848</v>
      </c>
      <c r="H2209" s="8"/>
      <c r="I2209" s="8"/>
      <c r="J2209" s="8"/>
      <c r="K2209" s="8"/>
      <c r="L2209" s="8"/>
      <c r="M2209" s="8">
        <v>1.49</v>
      </c>
      <c r="N2209" s="8"/>
      <c r="O2209" s="8"/>
      <c r="P2209" s="8"/>
      <c r="Q2209" s="8"/>
      <c r="R2209" s="8"/>
      <c r="S2209" s="8">
        <v>6.79</v>
      </c>
      <c r="T2209" s="8"/>
      <c r="U2209" s="8">
        <v>11.33</v>
      </c>
      <c r="V2209" s="8">
        <f>839*16.18/1000</f>
        <v>13.57502</v>
      </c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>
        <v>570.11</v>
      </c>
      <c r="AU2209" s="8"/>
      <c r="AV2209" s="8"/>
      <c r="AW2209" s="8">
        <v>36.590000000000003</v>
      </c>
      <c r="AX2209" s="8"/>
      <c r="AY2209" s="8"/>
      <c r="AZ2209" s="8"/>
      <c r="BA2209" s="8"/>
      <c r="BB2209" s="8"/>
      <c r="BC2209" s="8"/>
      <c r="BD2209" s="8"/>
      <c r="BE2209" s="8"/>
      <c r="BF2209" s="8">
        <v>45.29</v>
      </c>
      <c r="BG2209" s="8">
        <v>42.44</v>
      </c>
      <c r="BH2209" s="9">
        <f t="shared" si="306"/>
        <v>1413.6399999999999</v>
      </c>
      <c r="BI2209" s="9">
        <f t="shared" si="307"/>
        <v>1.49</v>
      </c>
      <c r="BJ2209" s="9">
        <f t="shared" si="308"/>
        <v>6.79</v>
      </c>
      <c r="BK2209" s="9">
        <f t="shared" si="309"/>
        <v>24.90502</v>
      </c>
      <c r="BL2209" s="9">
        <f t="shared" si="310"/>
        <v>0</v>
      </c>
      <c r="BM2209" s="9">
        <f t="shared" si="311"/>
        <v>0</v>
      </c>
      <c r="BN2209" s="9">
        <f t="shared" si="312"/>
        <v>570.11</v>
      </c>
      <c r="BO2209" s="9">
        <f t="shared" si="313"/>
        <v>36.590000000000003</v>
      </c>
      <c r="BP2209" s="9">
        <f t="shared" si="314"/>
        <v>45.29</v>
      </c>
    </row>
    <row r="2210" spans="1:68">
      <c r="A2210" s="6">
        <v>44937</v>
      </c>
      <c r="B2210" s="7">
        <v>3801</v>
      </c>
      <c r="C2210" s="8">
        <v>127.96</v>
      </c>
      <c r="D2210" s="8"/>
      <c r="E2210" s="8"/>
      <c r="F2210" s="8"/>
      <c r="G2210" s="8"/>
      <c r="H2210" s="8"/>
      <c r="I2210" s="8"/>
      <c r="J2210" s="8"/>
      <c r="K2210" s="8"/>
      <c r="L2210" s="8">
        <f>42240*2.47/1000</f>
        <v>104.33280000000001</v>
      </c>
      <c r="M2210" s="8"/>
      <c r="N2210" s="8">
        <v>0.26</v>
      </c>
      <c r="O2210" s="8"/>
      <c r="P2210" s="8"/>
      <c r="Q2210" s="8"/>
      <c r="R2210" s="8"/>
      <c r="S2210" s="8">
        <v>1.03</v>
      </c>
      <c r="T2210" s="8"/>
      <c r="U2210" s="8">
        <v>1.1200000000000001</v>
      </c>
      <c r="V2210" s="8"/>
      <c r="W2210" s="8"/>
      <c r="X2210" s="8"/>
      <c r="Y2210" s="8"/>
      <c r="Z2210" s="8">
        <v>18.670000000000002</v>
      </c>
      <c r="AA2210" s="8">
        <f>3016*2.47/1000</f>
        <v>7.4495200000000006</v>
      </c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>
        <f>264*2.47/1000</f>
        <v>0.65207999999999999</v>
      </c>
      <c r="AR2210" s="8"/>
      <c r="AS2210" s="8"/>
      <c r="AT2210" s="8">
        <v>91.27</v>
      </c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>
        <v>6.88</v>
      </c>
      <c r="BH2210" s="9">
        <f t="shared" si="306"/>
        <v>232.2928</v>
      </c>
      <c r="BI2210" s="9">
        <f t="shared" si="307"/>
        <v>0.26</v>
      </c>
      <c r="BJ2210" s="9">
        <f t="shared" si="308"/>
        <v>1.03</v>
      </c>
      <c r="BK2210" s="9">
        <f t="shared" si="309"/>
        <v>1.1200000000000001</v>
      </c>
      <c r="BL2210" s="9">
        <f t="shared" si="310"/>
        <v>26.119520000000001</v>
      </c>
      <c r="BM2210" s="9">
        <f t="shared" si="311"/>
        <v>0.65207999999999999</v>
      </c>
      <c r="BN2210" s="9">
        <f t="shared" si="312"/>
        <v>91.27</v>
      </c>
      <c r="BO2210" s="9">
        <f t="shared" si="313"/>
        <v>0</v>
      </c>
      <c r="BP2210" s="9">
        <f t="shared" si="314"/>
        <v>0</v>
      </c>
    </row>
    <row r="2211" spans="1:68">
      <c r="A2211" s="6">
        <v>44937</v>
      </c>
      <c r="B2211" s="7">
        <v>3406</v>
      </c>
      <c r="C2211" s="8">
        <v>631.12</v>
      </c>
      <c r="D2211" s="8">
        <v>158.04</v>
      </c>
      <c r="E2211" s="8"/>
      <c r="F2211" s="8"/>
      <c r="G2211" s="8"/>
      <c r="H2211" s="8"/>
      <c r="I2211" s="8"/>
      <c r="J2211" s="8"/>
      <c r="K2211" s="8"/>
      <c r="L2211" s="8"/>
      <c r="M2211" s="8">
        <v>1.73</v>
      </c>
      <c r="N2211" s="8"/>
      <c r="O2211" s="8"/>
      <c r="P2211" s="8"/>
      <c r="Q2211" s="8"/>
      <c r="R2211" s="8"/>
      <c r="S2211" s="8">
        <v>1.83</v>
      </c>
      <c r="T2211" s="8"/>
      <c r="U2211" s="8"/>
      <c r="V2211" s="8"/>
      <c r="W2211" s="8"/>
      <c r="X2211" s="8">
        <f>1220*7.93/1000</f>
        <v>9.6745999999999999</v>
      </c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>
        <v>399.03</v>
      </c>
      <c r="AU2211" s="8"/>
      <c r="AV2211" s="8">
        <v>23.78</v>
      </c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>
        <v>27.13</v>
      </c>
      <c r="BH2211" s="9">
        <f t="shared" si="306"/>
        <v>789.16</v>
      </c>
      <c r="BI2211" s="9">
        <f t="shared" si="307"/>
        <v>1.73</v>
      </c>
      <c r="BJ2211" s="9">
        <f t="shared" si="308"/>
        <v>1.83</v>
      </c>
      <c r="BK2211" s="9">
        <f t="shared" si="309"/>
        <v>9.6745999999999999</v>
      </c>
      <c r="BL2211" s="9">
        <f t="shared" si="310"/>
        <v>0</v>
      </c>
      <c r="BM2211" s="9">
        <f t="shared" si="311"/>
        <v>0</v>
      </c>
      <c r="BN2211" s="9">
        <f t="shared" si="312"/>
        <v>399.03</v>
      </c>
      <c r="BO2211" s="9">
        <f t="shared" si="313"/>
        <v>23.78</v>
      </c>
      <c r="BP2211" s="9">
        <f t="shared" si="314"/>
        <v>0</v>
      </c>
    </row>
    <row r="2212" spans="1:68">
      <c r="A2212" s="6">
        <v>44937</v>
      </c>
      <c r="B2212" s="7">
        <v>3141</v>
      </c>
      <c r="C2212" s="8">
        <v>3643.17</v>
      </c>
      <c r="D2212" s="8">
        <v>643.05999999999995</v>
      </c>
      <c r="E2212" s="8"/>
      <c r="F2212" s="8"/>
      <c r="G2212" s="8"/>
      <c r="H2212" s="8"/>
      <c r="I2212" s="8"/>
      <c r="J2212" s="8"/>
      <c r="K2212" s="8"/>
      <c r="L2212" s="8"/>
      <c r="M2212" s="8">
        <v>12.43</v>
      </c>
      <c r="N2212" s="8"/>
      <c r="O2212" s="8"/>
      <c r="P2212" s="8"/>
      <c r="Q2212" s="8"/>
      <c r="R2212" s="8"/>
      <c r="S2212" s="8">
        <v>20.170000000000002</v>
      </c>
      <c r="T2212" s="8"/>
      <c r="U2212" s="8">
        <v>64.349999999999994</v>
      </c>
      <c r="V2212" s="8"/>
      <c r="W2212" s="8"/>
      <c r="X2212" s="8"/>
      <c r="Y2212" s="8"/>
      <c r="Z2212" s="8"/>
      <c r="AA2212" s="8"/>
      <c r="AB2212" s="8"/>
      <c r="AC2212" s="8">
        <v>17.14</v>
      </c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>
        <v>2828.05</v>
      </c>
      <c r="AU2212" s="8"/>
      <c r="AV2212" s="8"/>
      <c r="AW2212" s="8"/>
      <c r="AX2212" s="8"/>
      <c r="AY2212" s="8"/>
      <c r="AZ2212" s="8"/>
      <c r="BA2212" s="8">
        <v>98.23</v>
      </c>
      <c r="BB2212" s="8"/>
      <c r="BC2212" s="8"/>
      <c r="BD2212" s="8"/>
      <c r="BE2212" s="8"/>
      <c r="BF2212" s="8">
        <v>300.11</v>
      </c>
      <c r="BG2212" s="8">
        <v>223.42</v>
      </c>
      <c r="BH2212" s="9">
        <f t="shared" si="306"/>
        <v>4286.2299999999996</v>
      </c>
      <c r="BI2212" s="9">
        <f t="shared" si="307"/>
        <v>12.43</v>
      </c>
      <c r="BJ2212" s="9">
        <f t="shared" si="308"/>
        <v>20.170000000000002</v>
      </c>
      <c r="BK2212" s="9">
        <f t="shared" si="309"/>
        <v>64.349999999999994</v>
      </c>
      <c r="BL2212" s="9">
        <f t="shared" si="310"/>
        <v>0</v>
      </c>
      <c r="BM2212" s="9">
        <f t="shared" si="311"/>
        <v>17.14</v>
      </c>
      <c r="BN2212" s="9">
        <f t="shared" si="312"/>
        <v>2828.05</v>
      </c>
      <c r="BO2212" s="9">
        <f t="shared" si="313"/>
        <v>98.23</v>
      </c>
      <c r="BP2212" s="9">
        <f t="shared" si="314"/>
        <v>300.11</v>
      </c>
    </row>
    <row r="2213" spans="1:68">
      <c r="A2213" s="6">
        <v>44937</v>
      </c>
      <c r="B2213" s="7">
        <v>3134</v>
      </c>
      <c r="C2213" s="8">
        <v>1057.78</v>
      </c>
      <c r="D2213" s="8">
        <v>147.94999999999999</v>
      </c>
      <c r="E2213" s="8"/>
      <c r="F2213" s="8"/>
      <c r="G2213" s="8"/>
      <c r="H2213" s="8">
        <v>499.5</v>
      </c>
      <c r="I2213" s="8"/>
      <c r="J2213" s="8"/>
      <c r="K2213" s="8"/>
      <c r="L2213" s="8"/>
      <c r="M2213" s="8">
        <v>3.26</v>
      </c>
      <c r="N2213" s="8"/>
      <c r="O2213" s="8"/>
      <c r="P2213" s="8"/>
      <c r="Q2213" s="8"/>
      <c r="R2213" s="8"/>
      <c r="S2213" s="8">
        <v>6.82</v>
      </c>
      <c r="T2213" s="8"/>
      <c r="U2213" s="8">
        <v>19.260000000000002</v>
      </c>
      <c r="V2213" s="8"/>
      <c r="W2213" s="8"/>
      <c r="X2213" s="8"/>
      <c r="Y2213" s="8"/>
      <c r="Z2213" s="8"/>
      <c r="AA2213" s="8"/>
      <c r="AB2213" s="8"/>
      <c r="AC2213" s="8">
        <v>5.93</v>
      </c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>
        <v>1042.99</v>
      </c>
      <c r="AU2213" s="8"/>
      <c r="AV2213" s="8"/>
      <c r="AW2213" s="8"/>
      <c r="AX2213" s="8"/>
      <c r="AY2213" s="8">
        <f>1435*10.58/1000</f>
        <v>15.1823</v>
      </c>
      <c r="AZ2213" s="8"/>
      <c r="BA2213" s="8"/>
      <c r="BB2213" s="8"/>
      <c r="BC2213" s="8"/>
      <c r="BD2213" s="8"/>
      <c r="BE2213" s="8"/>
      <c r="BF2213" s="8">
        <v>66.819999999999993</v>
      </c>
      <c r="BG2213" s="8">
        <v>78.599999999999994</v>
      </c>
      <c r="BH2213" s="9">
        <f t="shared" si="306"/>
        <v>1705.23</v>
      </c>
      <c r="BI2213" s="9">
        <f t="shared" si="307"/>
        <v>3.26</v>
      </c>
      <c r="BJ2213" s="9">
        <f t="shared" si="308"/>
        <v>6.82</v>
      </c>
      <c r="BK2213" s="9">
        <f t="shared" si="309"/>
        <v>19.260000000000002</v>
      </c>
      <c r="BL2213" s="9">
        <f t="shared" si="310"/>
        <v>0</v>
      </c>
      <c r="BM2213" s="9">
        <f t="shared" si="311"/>
        <v>5.93</v>
      </c>
      <c r="BN2213" s="9">
        <f t="shared" si="312"/>
        <v>1042.99</v>
      </c>
      <c r="BO2213" s="9">
        <f t="shared" si="313"/>
        <v>15.1823</v>
      </c>
      <c r="BP2213" s="9">
        <f t="shared" si="314"/>
        <v>66.819999999999993</v>
      </c>
    </row>
    <row r="2214" spans="1:68">
      <c r="A2214" s="6">
        <v>44937</v>
      </c>
      <c r="B2214" s="7">
        <v>3029</v>
      </c>
      <c r="C2214" s="8"/>
      <c r="D2214" s="8">
        <v>459.17</v>
      </c>
      <c r="E2214" s="8"/>
      <c r="F2214" s="8">
        <v>323.36</v>
      </c>
      <c r="G2214" s="8"/>
      <c r="H2214" s="8"/>
      <c r="I2214" s="8">
        <v>1914.54</v>
      </c>
      <c r="J2214" s="8"/>
      <c r="K2214" s="8"/>
      <c r="L2214" s="8"/>
      <c r="M2214" s="8"/>
      <c r="N2214" s="8">
        <v>20.78</v>
      </c>
      <c r="O2214" s="8"/>
      <c r="P2214" s="8"/>
      <c r="Q2214" s="8"/>
      <c r="R2214" s="8"/>
      <c r="S2214" s="8">
        <v>1.61</v>
      </c>
      <c r="T2214" s="8"/>
      <c r="U2214" s="8"/>
      <c r="V2214" s="8"/>
      <c r="W2214" s="8">
        <v>27.01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>
        <v>9.4</v>
      </c>
      <c r="AN2214" s="8"/>
      <c r="AO2214" s="8"/>
      <c r="AP2214" s="8"/>
      <c r="AQ2214" s="8"/>
      <c r="AR2214" s="8"/>
      <c r="AS2214" s="8"/>
      <c r="AT2214" s="8">
        <v>1024.1400000000001</v>
      </c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>
        <v>71.63</v>
      </c>
      <c r="BH2214" s="9">
        <f t="shared" si="306"/>
        <v>2697.0699999999997</v>
      </c>
      <c r="BI2214" s="9">
        <f t="shared" si="307"/>
        <v>20.78</v>
      </c>
      <c r="BJ2214" s="9">
        <f t="shared" si="308"/>
        <v>1.61</v>
      </c>
      <c r="BK2214" s="9">
        <f t="shared" si="309"/>
        <v>27.01</v>
      </c>
      <c r="BL2214" s="9">
        <f t="shared" si="310"/>
        <v>0</v>
      </c>
      <c r="BM2214" s="9">
        <f t="shared" si="311"/>
        <v>9.4</v>
      </c>
      <c r="BN2214" s="9">
        <f t="shared" si="312"/>
        <v>1024.1400000000001</v>
      </c>
      <c r="BO2214" s="9">
        <f t="shared" si="313"/>
        <v>0</v>
      </c>
      <c r="BP2214" s="9">
        <f t="shared" si="314"/>
        <v>0</v>
      </c>
    </row>
    <row r="2215" spans="1:68">
      <c r="A2215" s="6">
        <v>44937</v>
      </c>
      <c r="B2215" s="7">
        <v>3016</v>
      </c>
      <c r="C2215" s="8"/>
      <c r="D2215" s="8">
        <v>1571.34</v>
      </c>
      <c r="E2215" s="8"/>
      <c r="F2215" s="8"/>
      <c r="G2215" s="8"/>
      <c r="H2215" s="8"/>
      <c r="I2215" s="8">
        <v>1446.05</v>
      </c>
      <c r="J2215" s="8"/>
      <c r="K2215" s="8"/>
      <c r="L2215" s="8"/>
      <c r="M2215" s="8"/>
      <c r="N2215" s="8">
        <v>18.13</v>
      </c>
      <c r="O2215" s="8"/>
      <c r="P2215" s="8"/>
      <c r="Q2215" s="8"/>
      <c r="R2215" s="8"/>
      <c r="S2215" s="8">
        <v>2.11</v>
      </c>
      <c r="T2215" s="8"/>
      <c r="U2215" s="8"/>
      <c r="V2215" s="8"/>
      <c r="W2215" s="8">
        <v>30.25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>
        <v>11.97</v>
      </c>
      <c r="AN2215" s="8">
        <f>2048*17.77/1000</f>
        <v>36.392960000000002</v>
      </c>
      <c r="AO2215" s="8"/>
      <c r="AP2215" s="8"/>
      <c r="AQ2215" s="8"/>
      <c r="AR2215" s="8">
        <f>4269*17.77/1000</f>
        <v>75.860129999999998</v>
      </c>
      <c r="AS2215" s="8"/>
      <c r="AT2215" s="8">
        <v>1121.23</v>
      </c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>
        <v>82.05</v>
      </c>
      <c r="BH2215" s="9">
        <f t="shared" si="306"/>
        <v>3017.39</v>
      </c>
      <c r="BI2215" s="9">
        <f t="shared" si="307"/>
        <v>18.13</v>
      </c>
      <c r="BJ2215" s="9">
        <f t="shared" si="308"/>
        <v>2.11</v>
      </c>
      <c r="BK2215" s="9">
        <f t="shared" si="309"/>
        <v>30.25</v>
      </c>
      <c r="BL2215" s="9">
        <f t="shared" si="310"/>
        <v>0</v>
      </c>
      <c r="BM2215" s="9">
        <f t="shared" si="311"/>
        <v>124.22309</v>
      </c>
      <c r="BN2215" s="9">
        <f t="shared" si="312"/>
        <v>1121.23</v>
      </c>
      <c r="BO2215" s="9">
        <f t="shared" si="313"/>
        <v>0</v>
      </c>
      <c r="BP2215" s="9">
        <f t="shared" si="314"/>
        <v>0</v>
      </c>
    </row>
    <row r="2216" spans="1:68">
      <c r="A2216" s="6">
        <v>44937</v>
      </c>
      <c r="B2216" s="7">
        <v>3005</v>
      </c>
      <c r="C2216" s="8">
        <v>444.84</v>
      </c>
      <c r="D2216" s="8">
        <v>297.57</v>
      </c>
      <c r="E2216" s="8"/>
      <c r="F2216" s="8"/>
      <c r="G2216" s="8"/>
      <c r="H2216" s="8"/>
      <c r="I2216" s="8"/>
      <c r="J2216" s="8"/>
      <c r="K2216" s="8"/>
      <c r="L2216" s="8"/>
      <c r="M2216" s="8"/>
      <c r="N2216" s="8">
        <v>0.73</v>
      </c>
      <c r="O2216" s="8"/>
      <c r="P2216" s="8"/>
      <c r="Q2216" s="8"/>
      <c r="R2216" s="8"/>
      <c r="S2216" s="8">
        <v>2.6</v>
      </c>
      <c r="T2216" s="8"/>
      <c r="U2216" s="8"/>
      <c r="V2216" s="8"/>
      <c r="W2216" s="8">
        <v>8.18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>
        <v>363.11</v>
      </c>
      <c r="AU2216" s="8"/>
      <c r="AV2216" s="8"/>
      <c r="AW2216" s="8">
        <v>8.25</v>
      </c>
      <c r="AX2216" s="8"/>
      <c r="AY2216" s="8"/>
      <c r="AZ2216" s="8"/>
      <c r="BA2216" s="8"/>
      <c r="BB2216" s="8"/>
      <c r="BC2216" s="8"/>
      <c r="BD2216" s="8"/>
      <c r="BE2216" s="8"/>
      <c r="BF2216" s="8"/>
      <c r="BG2216" s="8">
        <v>27.07</v>
      </c>
      <c r="BH2216" s="9">
        <f t="shared" si="306"/>
        <v>742.41</v>
      </c>
      <c r="BI2216" s="9">
        <f t="shared" si="307"/>
        <v>0.73</v>
      </c>
      <c r="BJ2216" s="9">
        <f t="shared" si="308"/>
        <v>2.6</v>
      </c>
      <c r="BK2216" s="9">
        <f t="shared" si="309"/>
        <v>8.18</v>
      </c>
      <c r="BL2216" s="9">
        <f t="shared" si="310"/>
        <v>0</v>
      </c>
      <c r="BM2216" s="9">
        <f t="shared" si="311"/>
        <v>0</v>
      </c>
      <c r="BN2216" s="9">
        <f t="shared" si="312"/>
        <v>363.11</v>
      </c>
      <c r="BO2216" s="9">
        <f t="shared" si="313"/>
        <v>8.25</v>
      </c>
      <c r="BP2216" s="9">
        <f t="shared" si="314"/>
        <v>0</v>
      </c>
    </row>
    <row r="2217" spans="1:68">
      <c r="A2217" s="6">
        <v>44937</v>
      </c>
      <c r="B2217" s="7">
        <v>3200</v>
      </c>
      <c r="C2217" s="8">
        <v>2280.0100000000002</v>
      </c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>
        <v>5.69</v>
      </c>
      <c r="P2217" s="8"/>
      <c r="Q2217" s="8"/>
      <c r="R2217" s="8"/>
      <c r="S2217" s="8">
        <v>8.8800000000000008</v>
      </c>
      <c r="T2217" s="8"/>
      <c r="U2217" s="8">
        <v>34.200000000000003</v>
      </c>
      <c r="V2217" s="8"/>
      <c r="W2217" s="8"/>
      <c r="X2217" s="8"/>
      <c r="Y2217" s="8"/>
      <c r="Z2217" s="8">
        <v>479.34</v>
      </c>
      <c r="AA2217" s="8"/>
      <c r="AB2217" s="8"/>
      <c r="AC2217" s="8"/>
      <c r="AD2217" s="8"/>
      <c r="AE2217" s="8"/>
      <c r="AF2217" s="8">
        <v>113.41</v>
      </c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>
        <f>1516*22.8/1000</f>
        <v>34.564800000000005</v>
      </c>
      <c r="AR2217" s="8"/>
      <c r="AS2217" s="8"/>
      <c r="AT2217" s="8">
        <v>1559.96</v>
      </c>
      <c r="AU2217" s="8"/>
      <c r="AV2217" s="8"/>
      <c r="AW2217" s="8">
        <v>6.63</v>
      </c>
      <c r="AX2217" s="8"/>
      <c r="AY2217" s="8"/>
      <c r="AZ2217" s="8"/>
      <c r="BA2217" s="8"/>
      <c r="BB2217" s="8"/>
      <c r="BC2217" s="8"/>
      <c r="BD2217" s="8"/>
      <c r="BE2217" s="8"/>
      <c r="BF2217" s="8">
        <v>109.49</v>
      </c>
      <c r="BG2217" s="8">
        <v>113.24</v>
      </c>
      <c r="BH2217" s="9">
        <f t="shared" si="306"/>
        <v>2280.0100000000002</v>
      </c>
      <c r="BI2217" s="9">
        <f t="shared" si="307"/>
        <v>5.69</v>
      </c>
      <c r="BJ2217" s="9">
        <f t="shared" si="308"/>
        <v>8.8800000000000008</v>
      </c>
      <c r="BK2217" s="9">
        <f t="shared" si="309"/>
        <v>34.200000000000003</v>
      </c>
      <c r="BL2217" s="9">
        <f t="shared" si="310"/>
        <v>479.34</v>
      </c>
      <c r="BM2217" s="9">
        <f t="shared" si="311"/>
        <v>147.97480000000002</v>
      </c>
      <c r="BN2217" s="9">
        <f t="shared" si="312"/>
        <v>1559.96</v>
      </c>
      <c r="BO2217" s="9">
        <f t="shared" si="313"/>
        <v>6.63</v>
      </c>
      <c r="BP2217" s="9">
        <f t="shared" si="314"/>
        <v>109.49</v>
      </c>
    </row>
    <row r="2218" spans="1:68">
      <c r="A2218" s="6">
        <v>44938</v>
      </c>
      <c r="B2218" s="7">
        <v>3205</v>
      </c>
      <c r="C2218" s="8">
        <v>702.18</v>
      </c>
      <c r="D2218" s="8">
        <v>391.26</v>
      </c>
      <c r="E2218" s="8">
        <v>467.44</v>
      </c>
      <c r="F2218" s="8"/>
      <c r="G2218" s="8"/>
      <c r="H2218" s="8"/>
      <c r="I2218" s="8"/>
      <c r="J2218" s="8"/>
      <c r="K2218" s="8"/>
      <c r="L2218" s="8"/>
      <c r="M2218" s="8"/>
      <c r="N2218" s="8"/>
      <c r="O2218" s="8">
        <v>6.23</v>
      </c>
      <c r="P2218" s="8"/>
      <c r="Q2218" s="8"/>
      <c r="R2218" s="8"/>
      <c r="S2218" s="8">
        <v>5.78</v>
      </c>
      <c r="T2218" s="8"/>
      <c r="U2218" s="8">
        <v>18.75</v>
      </c>
      <c r="V2218" s="8"/>
      <c r="W2218" s="8"/>
      <c r="X2218" s="8"/>
      <c r="Y2218" s="8"/>
      <c r="Z2218" s="8">
        <v>156.15</v>
      </c>
      <c r="AA2218" s="8"/>
      <c r="AB2218" s="8">
        <f>1004*15.6/1000</f>
        <v>15.6624</v>
      </c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>
        <f>510*15.6/1000</f>
        <v>7.9560000000000004</v>
      </c>
      <c r="AR2218" s="8"/>
      <c r="AS2218" s="8"/>
      <c r="AT2218" s="8">
        <v>407.85</v>
      </c>
      <c r="AU2218" s="8">
        <v>203.34</v>
      </c>
      <c r="AV2218" s="8"/>
      <c r="AW2218" s="8">
        <v>6.7</v>
      </c>
      <c r="AX2218" s="8"/>
      <c r="AY2218" s="8"/>
      <c r="AZ2218" s="8"/>
      <c r="BA2218" s="8"/>
      <c r="BB2218" s="8"/>
      <c r="BC2218" s="8"/>
      <c r="BD2218" s="8"/>
      <c r="BE2218" s="8"/>
      <c r="BF2218" s="8"/>
      <c r="BG2218" s="8">
        <v>36.68</v>
      </c>
      <c r="BH2218" s="9">
        <f t="shared" si="306"/>
        <v>1560.88</v>
      </c>
      <c r="BI2218" s="9">
        <f t="shared" si="307"/>
        <v>6.23</v>
      </c>
      <c r="BJ2218" s="9">
        <f t="shared" si="308"/>
        <v>5.78</v>
      </c>
      <c r="BK2218" s="9">
        <f t="shared" si="309"/>
        <v>18.75</v>
      </c>
      <c r="BL2218" s="9">
        <f t="shared" si="310"/>
        <v>156.15</v>
      </c>
      <c r="BM2218" s="9">
        <f t="shared" si="311"/>
        <v>23.618400000000001</v>
      </c>
      <c r="BN2218" s="9">
        <f t="shared" si="312"/>
        <v>611.19000000000005</v>
      </c>
      <c r="BO2218" s="9">
        <f t="shared" si="313"/>
        <v>6.7</v>
      </c>
      <c r="BP2218" s="9">
        <f t="shared" si="314"/>
        <v>0</v>
      </c>
    </row>
    <row r="2219" spans="1:68">
      <c r="A2219" s="6">
        <v>44938</v>
      </c>
      <c r="B2219" s="7">
        <v>3108</v>
      </c>
      <c r="C2219" s="8">
        <v>2335.38</v>
      </c>
      <c r="D2219" s="8"/>
      <c r="E2219" s="8"/>
      <c r="F2219" s="8"/>
      <c r="G2219" s="8"/>
      <c r="H2219" s="8"/>
      <c r="I2219" s="8"/>
      <c r="J2219" s="8"/>
      <c r="K2219" s="8"/>
      <c r="L2219" s="8"/>
      <c r="M2219" s="8">
        <v>5.84</v>
      </c>
      <c r="N2219" s="8"/>
      <c r="O2219" s="8"/>
      <c r="P2219" s="8"/>
      <c r="Q2219" s="8"/>
      <c r="R2219" s="8"/>
      <c r="S2219" s="8">
        <v>7.47</v>
      </c>
      <c r="T2219" s="8"/>
      <c r="U2219" s="8">
        <v>29.67</v>
      </c>
      <c r="V2219" s="8"/>
      <c r="W2219" s="8"/>
      <c r="X2219" s="8"/>
      <c r="Y2219" s="8"/>
      <c r="Z2219" s="8"/>
      <c r="AA2219" s="8"/>
      <c r="AB2219" s="8"/>
      <c r="AC2219" s="8">
        <v>9.33</v>
      </c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>
        <v>1268.1099999999999</v>
      </c>
      <c r="AU2219" s="8"/>
      <c r="AV2219" s="8"/>
      <c r="AW2219" s="8"/>
      <c r="AX2219" s="8"/>
      <c r="AY2219" s="8"/>
      <c r="AZ2219" s="8"/>
      <c r="BA2219" s="8">
        <v>87</v>
      </c>
      <c r="BB2219" s="8"/>
      <c r="BC2219" s="8"/>
      <c r="BD2219" s="8"/>
      <c r="BE2219" s="8"/>
      <c r="BF2219" s="8"/>
      <c r="BG2219" s="8">
        <v>94.41</v>
      </c>
      <c r="BH2219" s="9">
        <f t="shared" si="306"/>
        <v>2335.38</v>
      </c>
      <c r="BI2219" s="9">
        <f t="shared" si="307"/>
        <v>5.84</v>
      </c>
      <c r="BJ2219" s="9">
        <f t="shared" si="308"/>
        <v>7.47</v>
      </c>
      <c r="BK2219" s="9">
        <f t="shared" si="309"/>
        <v>29.67</v>
      </c>
      <c r="BL2219" s="9">
        <f t="shared" si="310"/>
        <v>0</v>
      </c>
      <c r="BM2219" s="9">
        <f t="shared" si="311"/>
        <v>9.33</v>
      </c>
      <c r="BN2219" s="9">
        <f t="shared" si="312"/>
        <v>1268.1099999999999</v>
      </c>
      <c r="BO2219" s="9">
        <f t="shared" si="313"/>
        <v>87</v>
      </c>
      <c r="BP2219" s="9">
        <f t="shared" si="314"/>
        <v>0</v>
      </c>
    </row>
    <row r="2220" spans="1:68">
      <c r="A2220" s="6">
        <v>44938</v>
      </c>
      <c r="B2220" s="7">
        <v>3106</v>
      </c>
      <c r="C2220" s="8">
        <v>6203.73</v>
      </c>
      <c r="D2220" s="8"/>
      <c r="E2220" s="8"/>
      <c r="F2220" s="8"/>
      <c r="G2220" s="8"/>
      <c r="H2220" s="8"/>
      <c r="I2220" s="8"/>
      <c r="J2220" s="8"/>
      <c r="K2220" s="8"/>
      <c r="L2220" s="8"/>
      <c r="M2220" s="8">
        <v>16.47</v>
      </c>
      <c r="N2220" s="8"/>
      <c r="O2220" s="8"/>
      <c r="P2220" s="8"/>
      <c r="Q2220" s="8"/>
      <c r="R2220" s="8"/>
      <c r="S2220" s="8">
        <v>18.63</v>
      </c>
      <c r="T2220" s="8"/>
      <c r="U2220" s="8">
        <v>78.83</v>
      </c>
      <c r="V2220" s="8"/>
      <c r="W2220" s="8"/>
      <c r="X2220" s="8"/>
      <c r="Y2220" s="8"/>
      <c r="Z2220" s="8"/>
      <c r="AA2220" s="8"/>
      <c r="AB2220" s="8"/>
      <c r="AC2220" s="8">
        <v>15.5</v>
      </c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>
        <v>3532.49</v>
      </c>
      <c r="AU2220" s="8"/>
      <c r="AV2220" s="8"/>
      <c r="AW2220" s="8"/>
      <c r="AX2220" s="8">
        <v>7.75</v>
      </c>
      <c r="AY2220" s="8"/>
      <c r="AZ2220" s="8"/>
      <c r="BA2220" s="8"/>
      <c r="BB2220" s="8"/>
      <c r="BC2220" s="8"/>
      <c r="BD2220" s="8"/>
      <c r="BE2220" s="8"/>
      <c r="BF2220" s="8"/>
      <c r="BG2220" s="8">
        <v>266.88</v>
      </c>
      <c r="BH2220" s="9">
        <f t="shared" si="306"/>
        <v>6203.73</v>
      </c>
      <c r="BI2220" s="9">
        <f t="shared" si="307"/>
        <v>16.47</v>
      </c>
      <c r="BJ2220" s="9">
        <f t="shared" si="308"/>
        <v>18.63</v>
      </c>
      <c r="BK2220" s="9">
        <f t="shared" si="309"/>
        <v>78.83</v>
      </c>
      <c r="BL2220" s="9">
        <f t="shared" si="310"/>
        <v>0</v>
      </c>
      <c r="BM2220" s="9">
        <f t="shared" si="311"/>
        <v>15.5</v>
      </c>
      <c r="BN2220" s="9">
        <f t="shared" si="312"/>
        <v>3532.49</v>
      </c>
      <c r="BO2220" s="9">
        <f t="shared" si="313"/>
        <v>7.75</v>
      </c>
      <c r="BP2220" s="9">
        <f t="shared" si="314"/>
        <v>0</v>
      </c>
    </row>
    <row r="2221" spans="1:68">
      <c r="A2221" s="6">
        <v>44938</v>
      </c>
      <c r="B2221" s="7">
        <v>3205</v>
      </c>
      <c r="C2221" s="8">
        <v>664.78</v>
      </c>
      <c r="D2221" s="8">
        <v>371.87</v>
      </c>
      <c r="E2221" s="8">
        <v>444.61</v>
      </c>
      <c r="F2221" s="8"/>
      <c r="G2221" s="8"/>
      <c r="H2221" s="8"/>
      <c r="I2221" s="8"/>
      <c r="J2221" s="8"/>
      <c r="K2221" s="8"/>
      <c r="L2221" s="8"/>
      <c r="M2221" s="8"/>
      <c r="N2221" s="8"/>
      <c r="O2221" s="8">
        <v>5.94</v>
      </c>
      <c r="P2221" s="8"/>
      <c r="Q2221" s="8"/>
      <c r="R2221" s="8"/>
      <c r="S2221" s="8">
        <v>5.5</v>
      </c>
      <c r="T2221" s="8"/>
      <c r="U2221" s="8">
        <v>17.82</v>
      </c>
      <c r="V2221" s="8"/>
      <c r="W2221" s="8"/>
      <c r="X2221" s="8"/>
      <c r="Y2221" s="8"/>
      <c r="Z2221" s="8">
        <v>148.59</v>
      </c>
      <c r="AA2221" s="8"/>
      <c r="AB2221" s="8">
        <f>1004*14.83/1000</f>
        <v>14.88932</v>
      </c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>
        <f>510*14.83/1000</f>
        <v>7.5632999999999999</v>
      </c>
      <c r="AR2221" s="8"/>
      <c r="AS2221" s="8"/>
      <c r="AT2221" s="8">
        <v>386.52</v>
      </c>
      <c r="AU2221" s="8">
        <v>193.19</v>
      </c>
      <c r="AV2221" s="8"/>
      <c r="AW2221" s="8">
        <v>6.43</v>
      </c>
      <c r="AX2221" s="8"/>
      <c r="AY2221" s="8"/>
      <c r="AZ2221" s="8"/>
      <c r="BA2221" s="8"/>
      <c r="BB2221" s="8"/>
      <c r="BC2221" s="8"/>
      <c r="BD2221" s="8"/>
      <c r="BE2221" s="8"/>
      <c r="BF2221" s="8"/>
      <c r="BG2221" s="8">
        <v>35.24</v>
      </c>
      <c r="BH2221" s="9">
        <f t="shared" si="306"/>
        <v>1481.2600000000002</v>
      </c>
      <c r="BI2221" s="9">
        <f t="shared" si="307"/>
        <v>5.94</v>
      </c>
      <c r="BJ2221" s="9">
        <f t="shared" si="308"/>
        <v>5.5</v>
      </c>
      <c r="BK2221" s="9">
        <f t="shared" si="309"/>
        <v>17.82</v>
      </c>
      <c r="BL2221" s="9">
        <f t="shared" si="310"/>
        <v>148.59</v>
      </c>
      <c r="BM2221" s="9">
        <f t="shared" si="311"/>
        <v>22.45262</v>
      </c>
      <c r="BN2221" s="9">
        <f t="shared" si="312"/>
        <v>579.71</v>
      </c>
      <c r="BO2221" s="9">
        <f t="shared" si="313"/>
        <v>6.43</v>
      </c>
      <c r="BP2221" s="9">
        <f t="shared" si="314"/>
        <v>0</v>
      </c>
    </row>
    <row r="2222" spans="1:68">
      <c r="A2222" s="6">
        <v>44938</v>
      </c>
      <c r="B2222" s="7">
        <v>3705</v>
      </c>
      <c r="C2222" s="8"/>
      <c r="D2222" s="8">
        <v>730.19</v>
      </c>
      <c r="E2222" s="8"/>
      <c r="F2222" s="8"/>
      <c r="G2222" s="8"/>
      <c r="H2222" s="8"/>
      <c r="I2222" s="8">
        <v>162.34</v>
      </c>
      <c r="J2222" s="8"/>
      <c r="K2222" s="8"/>
      <c r="L2222" s="8"/>
      <c r="M2222" s="8">
        <v>2.67</v>
      </c>
      <c r="N2222" s="8"/>
      <c r="O2222" s="8"/>
      <c r="P2222" s="8"/>
      <c r="Q2222" s="8"/>
      <c r="R2222" s="8"/>
      <c r="S2222" s="8">
        <v>3.11</v>
      </c>
      <c r="T2222" s="8"/>
      <c r="U2222" s="8">
        <v>6.24</v>
      </c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>
        <v>53.15</v>
      </c>
      <c r="AU2222" s="8">
        <v>105.71</v>
      </c>
      <c r="AV2222" s="8">
        <v>1.78</v>
      </c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>
        <v>8.73</v>
      </c>
      <c r="BH2222" s="9">
        <f t="shared" si="306"/>
        <v>892.53000000000009</v>
      </c>
      <c r="BI2222" s="9">
        <f t="shared" si="307"/>
        <v>2.67</v>
      </c>
      <c r="BJ2222" s="9">
        <f t="shared" si="308"/>
        <v>3.11</v>
      </c>
      <c r="BK2222" s="9">
        <f t="shared" si="309"/>
        <v>6.24</v>
      </c>
      <c r="BL2222" s="9">
        <f t="shared" si="310"/>
        <v>0</v>
      </c>
      <c r="BM2222" s="9">
        <f t="shared" si="311"/>
        <v>0</v>
      </c>
      <c r="BN2222" s="9">
        <f t="shared" si="312"/>
        <v>158.85999999999999</v>
      </c>
      <c r="BO2222" s="9">
        <f t="shared" si="313"/>
        <v>1.78</v>
      </c>
      <c r="BP2222" s="9">
        <f t="shared" si="314"/>
        <v>0</v>
      </c>
    </row>
    <row r="2223" spans="1:68">
      <c r="A2223" s="6">
        <v>44938</v>
      </c>
      <c r="B2223" s="7">
        <v>3101</v>
      </c>
      <c r="C2223" s="8">
        <v>632.70000000000005</v>
      </c>
      <c r="D2223" s="8"/>
      <c r="E2223" s="8"/>
      <c r="F2223" s="8"/>
      <c r="G2223" s="8"/>
      <c r="H2223" s="8"/>
      <c r="I2223" s="8"/>
      <c r="J2223" s="8"/>
      <c r="K2223" s="8"/>
      <c r="L2223" s="8"/>
      <c r="M2223" s="8">
        <v>1.44</v>
      </c>
      <c r="N2223" s="8"/>
      <c r="O2223" s="8"/>
      <c r="P2223" s="8"/>
      <c r="Q2223" s="8"/>
      <c r="R2223" s="8"/>
      <c r="S2223" s="8">
        <v>3.7</v>
      </c>
      <c r="T2223" s="8"/>
      <c r="U2223" s="8">
        <v>10.19</v>
      </c>
      <c r="V2223" s="8"/>
      <c r="W2223" s="8"/>
      <c r="X2223" s="8"/>
      <c r="Y2223" s="8"/>
      <c r="Z2223" s="8"/>
      <c r="AA2223" s="8"/>
      <c r="AB2223" s="8"/>
      <c r="AC2223" s="8">
        <v>2.5499999999999998</v>
      </c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>
        <v>426.19</v>
      </c>
      <c r="AU2223" s="8"/>
      <c r="AV2223" s="8"/>
      <c r="AW2223" s="8">
        <v>13.58</v>
      </c>
      <c r="AX2223" s="8"/>
      <c r="AY2223" s="8"/>
      <c r="AZ2223" s="8"/>
      <c r="BA2223" s="8"/>
      <c r="BB2223" s="8"/>
      <c r="BC2223" s="8"/>
      <c r="BD2223" s="8"/>
      <c r="BE2223" s="8"/>
      <c r="BF2223" s="8">
        <v>82.81</v>
      </c>
      <c r="BG2223" s="8">
        <v>32.78</v>
      </c>
      <c r="BH2223" s="9">
        <f t="shared" si="306"/>
        <v>632.70000000000005</v>
      </c>
      <c r="BI2223" s="9">
        <f t="shared" si="307"/>
        <v>1.44</v>
      </c>
      <c r="BJ2223" s="9">
        <f t="shared" si="308"/>
        <v>3.7</v>
      </c>
      <c r="BK2223" s="9">
        <f t="shared" si="309"/>
        <v>10.19</v>
      </c>
      <c r="BL2223" s="9">
        <f t="shared" si="310"/>
        <v>0</v>
      </c>
      <c r="BM2223" s="9">
        <f t="shared" si="311"/>
        <v>2.5499999999999998</v>
      </c>
      <c r="BN2223" s="9">
        <f t="shared" si="312"/>
        <v>426.19</v>
      </c>
      <c r="BO2223" s="9">
        <f t="shared" si="313"/>
        <v>13.58</v>
      </c>
      <c r="BP2223" s="9">
        <f t="shared" si="314"/>
        <v>82.81</v>
      </c>
    </row>
    <row r="2224" spans="1:68">
      <c r="A2224" s="6">
        <v>44938</v>
      </c>
      <c r="B2224" s="7">
        <v>3117</v>
      </c>
      <c r="C2224" s="8">
        <v>754.4</v>
      </c>
      <c r="D2224" s="8"/>
      <c r="E2224" s="8"/>
      <c r="F2224" s="8"/>
      <c r="G2224" s="8"/>
      <c r="H2224" s="8"/>
      <c r="I2224" s="8"/>
      <c r="J2224" s="8"/>
      <c r="K2224" s="8"/>
      <c r="L2224" s="8"/>
      <c r="M2224" s="8">
        <v>2.2000000000000002</v>
      </c>
      <c r="N2224" s="8"/>
      <c r="O2224" s="8"/>
      <c r="P2224" s="8"/>
      <c r="Q2224" s="8"/>
      <c r="R2224" s="8"/>
      <c r="S2224" s="8">
        <v>3.02</v>
      </c>
      <c r="T2224" s="8"/>
      <c r="U2224" s="8">
        <v>7.55</v>
      </c>
      <c r="V2224" s="8"/>
      <c r="W2224" s="8"/>
      <c r="X2224" s="8"/>
      <c r="Y2224" s="8"/>
      <c r="Z2224" s="8"/>
      <c r="AA2224" s="8"/>
      <c r="AB2224" s="8"/>
      <c r="AC2224" s="8">
        <v>3.02</v>
      </c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>
        <v>472.5</v>
      </c>
      <c r="AU2224" s="8"/>
      <c r="AV2224" s="8">
        <v>18.88</v>
      </c>
      <c r="AW2224" s="8"/>
      <c r="AX2224" s="8"/>
      <c r="AY2224" s="8"/>
      <c r="AZ2224" s="8"/>
      <c r="BA2224" s="8"/>
      <c r="BB2224" s="8"/>
      <c r="BC2224" s="8"/>
      <c r="BD2224" s="8"/>
      <c r="BE2224" s="8"/>
      <c r="BF2224" s="8">
        <v>37.68</v>
      </c>
      <c r="BG2224" s="8">
        <v>36.299999999999997</v>
      </c>
      <c r="BH2224" s="9">
        <f t="shared" si="306"/>
        <v>754.4</v>
      </c>
      <c r="BI2224" s="9">
        <f t="shared" si="307"/>
        <v>2.2000000000000002</v>
      </c>
      <c r="BJ2224" s="9">
        <f t="shared" si="308"/>
        <v>3.02</v>
      </c>
      <c r="BK2224" s="9">
        <f t="shared" si="309"/>
        <v>7.55</v>
      </c>
      <c r="BL2224" s="9">
        <f t="shared" si="310"/>
        <v>0</v>
      </c>
      <c r="BM2224" s="9">
        <f t="shared" si="311"/>
        <v>3.02</v>
      </c>
      <c r="BN2224" s="9">
        <f t="shared" si="312"/>
        <v>472.5</v>
      </c>
      <c r="BO2224" s="9">
        <f t="shared" si="313"/>
        <v>18.88</v>
      </c>
      <c r="BP2224" s="9">
        <f t="shared" si="314"/>
        <v>37.68</v>
      </c>
    </row>
    <row r="2225" spans="1:68">
      <c r="A2225" s="6">
        <v>44939</v>
      </c>
      <c r="B2225" s="7">
        <v>3602</v>
      </c>
      <c r="C2225" s="8">
        <v>569.72</v>
      </c>
      <c r="D2225" s="8"/>
      <c r="E2225" s="8"/>
      <c r="F2225" s="8"/>
      <c r="G2225" s="8">
        <v>854.21</v>
      </c>
      <c r="H2225" s="8"/>
      <c r="I2225" s="8"/>
      <c r="J2225" s="8"/>
      <c r="K2225" s="8"/>
      <c r="L2225" s="8"/>
      <c r="M2225" s="8">
        <v>1.49</v>
      </c>
      <c r="N2225" s="8"/>
      <c r="O2225" s="8"/>
      <c r="P2225" s="8"/>
      <c r="Q2225" s="8"/>
      <c r="R2225" s="8"/>
      <c r="S2225" s="8">
        <v>6.85</v>
      </c>
      <c r="T2225" s="8"/>
      <c r="U2225" s="8">
        <v>11.43</v>
      </c>
      <c r="V2225" s="8">
        <f>836*16.3/1000</f>
        <v>13.626800000000001</v>
      </c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>
        <v>575.66999999999996</v>
      </c>
      <c r="AU2225" s="8"/>
      <c r="AV2225" s="8"/>
      <c r="AW2225" s="8">
        <v>36.86</v>
      </c>
      <c r="AX2225" s="8"/>
      <c r="AY2225" s="8"/>
      <c r="AZ2225" s="8"/>
      <c r="BA2225" s="8"/>
      <c r="BB2225" s="8"/>
      <c r="BC2225" s="8"/>
      <c r="BD2225" s="8"/>
      <c r="BE2225" s="8"/>
      <c r="BF2225" s="8">
        <v>45.7</v>
      </c>
      <c r="BG2225" s="8">
        <v>42.9</v>
      </c>
      <c r="BH2225" s="9">
        <f t="shared" si="306"/>
        <v>1423.93</v>
      </c>
      <c r="BI2225" s="9">
        <f t="shared" si="307"/>
        <v>1.49</v>
      </c>
      <c r="BJ2225" s="9">
        <f t="shared" si="308"/>
        <v>6.85</v>
      </c>
      <c r="BK2225" s="9">
        <f t="shared" si="309"/>
        <v>25.056800000000003</v>
      </c>
      <c r="BL2225" s="9">
        <f t="shared" si="310"/>
        <v>0</v>
      </c>
      <c r="BM2225" s="9">
        <f t="shared" si="311"/>
        <v>0</v>
      </c>
      <c r="BN2225" s="9">
        <f t="shared" si="312"/>
        <v>575.66999999999996</v>
      </c>
      <c r="BO2225" s="9">
        <f t="shared" si="313"/>
        <v>36.86</v>
      </c>
      <c r="BP2225" s="9">
        <f t="shared" si="314"/>
        <v>45.7</v>
      </c>
    </row>
    <row r="2226" spans="1:68">
      <c r="A2226" s="6">
        <v>44939</v>
      </c>
      <c r="B2226" s="7">
        <v>3701</v>
      </c>
      <c r="C2226" s="8">
        <v>203.31</v>
      </c>
      <c r="D2226" s="8"/>
      <c r="E2226" s="8"/>
      <c r="F2226" s="8"/>
      <c r="G2226" s="8"/>
      <c r="H2226" s="8"/>
      <c r="I2226" s="8"/>
      <c r="J2226" s="8">
        <f>47809*6.85/1000</f>
        <v>327.49164999999999</v>
      </c>
      <c r="K2226" s="8"/>
      <c r="L2226" s="8"/>
      <c r="M2226" s="8"/>
      <c r="N2226" s="8">
        <v>1.26</v>
      </c>
      <c r="O2226" s="8"/>
      <c r="P2226" s="8"/>
      <c r="Q2226" s="8"/>
      <c r="R2226" s="8"/>
      <c r="S2226" s="8">
        <v>1.48</v>
      </c>
      <c r="T2226" s="8"/>
      <c r="U2226" s="8">
        <v>3.3</v>
      </c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>
        <v>11</v>
      </c>
      <c r="AH2226" s="8"/>
      <c r="AI2226" s="8"/>
      <c r="AJ2226" s="8">
        <f>2467*6.85/1000</f>
        <v>16.898949999999999</v>
      </c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>
        <v>193.44</v>
      </c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>
        <v>13.25</v>
      </c>
      <c r="BH2226" s="9">
        <f t="shared" si="306"/>
        <v>530.80165</v>
      </c>
      <c r="BI2226" s="9">
        <f t="shared" si="307"/>
        <v>1.26</v>
      </c>
      <c r="BJ2226" s="9">
        <f t="shared" si="308"/>
        <v>1.48</v>
      </c>
      <c r="BK2226" s="9">
        <f t="shared" si="309"/>
        <v>3.3</v>
      </c>
      <c r="BL2226" s="9">
        <f t="shared" si="310"/>
        <v>0</v>
      </c>
      <c r="BM2226" s="9">
        <f t="shared" si="311"/>
        <v>27.898949999999999</v>
      </c>
      <c r="BN2226" s="9">
        <f t="shared" si="312"/>
        <v>193.44</v>
      </c>
      <c r="BO2226" s="9">
        <f t="shared" si="313"/>
        <v>0</v>
      </c>
      <c r="BP2226" s="9">
        <f t="shared" si="314"/>
        <v>0</v>
      </c>
    </row>
    <row r="2227" spans="1:68">
      <c r="A2227" s="6">
        <v>44939</v>
      </c>
      <c r="B2227" s="7">
        <v>3200</v>
      </c>
      <c r="C2227" s="8">
        <v>2275.38</v>
      </c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>
        <v>5.69</v>
      </c>
      <c r="P2227" s="8"/>
      <c r="Q2227" s="8"/>
      <c r="R2227" s="8"/>
      <c r="S2227" s="8">
        <v>8.89</v>
      </c>
      <c r="T2227" s="8"/>
      <c r="U2227" s="8">
        <v>34.130000000000003</v>
      </c>
      <c r="V2227" s="8"/>
      <c r="W2227" s="8"/>
      <c r="X2227" s="8"/>
      <c r="Y2227" s="8"/>
      <c r="Z2227" s="8">
        <v>478.13</v>
      </c>
      <c r="AA2227" s="8"/>
      <c r="AB2227" s="8"/>
      <c r="AC2227" s="8"/>
      <c r="AD2227" s="8"/>
      <c r="AE2227" s="8"/>
      <c r="AF2227" s="8">
        <v>113.5</v>
      </c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>
        <f>1508*22.77/1000</f>
        <v>34.337159999999997</v>
      </c>
      <c r="AR2227" s="8"/>
      <c r="AS2227" s="8"/>
      <c r="AT2227" s="8">
        <v>1557.46</v>
      </c>
      <c r="AU2227" s="8"/>
      <c r="AV2227" s="8"/>
      <c r="AW2227" s="8">
        <v>6.68</v>
      </c>
      <c r="AX2227" s="8"/>
      <c r="AY2227" s="8"/>
      <c r="AZ2227" s="8"/>
      <c r="BA2227" s="8"/>
      <c r="BB2227" s="8"/>
      <c r="BC2227" s="8"/>
      <c r="BD2227" s="8"/>
      <c r="BE2227" s="8"/>
      <c r="BF2227" s="8">
        <v>109.21</v>
      </c>
      <c r="BG2227" s="8">
        <v>112.84</v>
      </c>
      <c r="BH2227" s="9">
        <f t="shared" si="306"/>
        <v>2275.38</v>
      </c>
      <c r="BI2227" s="9">
        <f t="shared" si="307"/>
        <v>5.69</v>
      </c>
      <c r="BJ2227" s="9">
        <f t="shared" si="308"/>
        <v>8.89</v>
      </c>
      <c r="BK2227" s="9">
        <f t="shared" si="309"/>
        <v>34.130000000000003</v>
      </c>
      <c r="BL2227" s="9">
        <f t="shared" si="310"/>
        <v>478.13</v>
      </c>
      <c r="BM2227" s="9">
        <f t="shared" si="311"/>
        <v>147.83715999999998</v>
      </c>
      <c r="BN2227" s="9">
        <f t="shared" si="312"/>
        <v>1557.46</v>
      </c>
      <c r="BO2227" s="9">
        <f t="shared" si="313"/>
        <v>6.68</v>
      </c>
      <c r="BP2227" s="9">
        <f t="shared" si="314"/>
        <v>109.21</v>
      </c>
    </row>
    <row r="2228" spans="1:68">
      <c r="A2228" s="6">
        <v>44939</v>
      </c>
      <c r="B2228" s="7">
        <v>3021</v>
      </c>
      <c r="C2228" s="8"/>
      <c r="D2228" s="8">
        <v>201.18</v>
      </c>
      <c r="E2228" s="8"/>
      <c r="F2228" s="8"/>
      <c r="G2228" s="8"/>
      <c r="H2228" s="8"/>
      <c r="I2228" s="8">
        <v>372.73</v>
      </c>
      <c r="J2228" s="8"/>
      <c r="K2228" s="8"/>
      <c r="L2228" s="8"/>
      <c r="M2228" s="8"/>
      <c r="N2228" s="8">
        <v>3.06</v>
      </c>
      <c r="O2228" s="8"/>
      <c r="P2228" s="8"/>
      <c r="Q2228" s="8"/>
      <c r="R2228" s="8"/>
      <c r="S2228" s="8">
        <v>1.04</v>
      </c>
      <c r="T2228" s="8"/>
      <c r="U2228" s="8"/>
      <c r="V2228" s="8"/>
      <c r="W2228" s="8">
        <v>5.77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>
        <v>5.7</v>
      </c>
      <c r="AN2228" s="8"/>
      <c r="AO2228" s="8"/>
      <c r="AP2228" s="8"/>
      <c r="AQ2228" s="8"/>
      <c r="AR2228" s="8"/>
      <c r="AS2228" s="8">
        <f>2631*5.48/1000</f>
        <v>14.41788</v>
      </c>
      <c r="AT2228" s="8">
        <v>271.16000000000003</v>
      </c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>
        <v>20.440000000000001</v>
      </c>
      <c r="BH2228" s="9">
        <f t="shared" si="306"/>
        <v>573.91000000000008</v>
      </c>
      <c r="BI2228" s="9">
        <f t="shared" si="307"/>
        <v>3.06</v>
      </c>
      <c r="BJ2228" s="9">
        <f t="shared" si="308"/>
        <v>1.04</v>
      </c>
      <c r="BK2228" s="9">
        <f t="shared" si="309"/>
        <v>5.77</v>
      </c>
      <c r="BL2228" s="9">
        <f t="shared" si="310"/>
        <v>0</v>
      </c>
      <c r="BM2228" s="9">
        <f t="shared" si="311"/>
        <v>20.11788</v>
      </c>
      <c r="BN2228" s="9">
        <f t="shared" si="312"/>
        <v>271.16000000000003</v>
      </c>
      <c r="BO2228" s="9">
        <f t="shared" si="313"/>
        <v>0</v>
      </c>
      <c r="BP2228" s="9">
        <f t="shared" si="314"/>
        <v>0</v>
      </c>
    </row>
    <row r="2229" spans="1:68">
      <c r="A2229" s="6">
        <v>44939</v>
      </c>
      <c r="B2229" s="7">
        <v>3028</v>
      </c>
      <c r="C2229" s="8"/>
      <c r="D2229" s="8">
        <v>393.92</v>
      </c>
      <c r="E2229" s="8"/>
      <c r="F2229" s="8">
        <v>363.78</v>
      </c>
      <c r="G2229" s="8"/>
      <c r="H2229" s="8"/>
      <c r="I2229" s="8">
        <v>821.75</v>
      </c>
      <c r="J2229" s="8"/>
      <c r="K2229" s="8"/>
      <c r="L2229" s="8"/>
      <c r="M2229" s="8"/>
      <c r="N2229" s="8">
        <v>11.84</v>
      </c>
      <c r="O2229" s="8"/>
      <c r="P2229" s="8"/>
      <c r="Q2229" s="8"/>
      <c r="R2229" s="8"/>
      <c r="S2229" s="8">
        <v>2.21</v>
      </c>
      <c r="T2229" s="8"/>
      <c r="U2229" s="8"/>
      <c r="V2229" s="8"/>
      <c r="W2229" s="8">
        <v>11.87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>
        <v>15.75</v>
      </c>
      <c r="AN2229" s="8">
        <f>1048*10.53/1000</f>
        <v>11.035439999999999</v>
      </c>
      <c r="AO2229" s="8"/>
      <c r="AP2229" s="8"/>
      <c r="AQ2229" s="8"/>
      <c r="AR2229" s="8"/>
      <c r="AS2229" s="8">
        <f>4963*10.53/1000</f>
        <v>52.260390000000001</v>
      </c>
      <c r="AT2229" s="8">
        <v>526.70000000000005</v>
      </c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>
        <v>35.9</v>
      </c>
      <c r="BH2229" s="9">
        <f t="shared" si="306"/>
        <v>1579.45</v>
      </c>
      <c r="BI2229" s="9">
        <f t="shared" si="307"/>
        <v>11.84</v>
      </c>
      <c r="BJ2229" s="9">
        <f t="shared" si="308"/>
        <v>2.21</v>
      </c>
      <c r="BK2229" s="9">
        <f t="shared" si="309"/>
        <v>11.87</v>
      </c>
      <c r="BL2229" s="9">
        <f t="shared" si="310"/>
        <v>0</v>
      </c>
      <c r="BM2229" s="9">
        <f t="shared" si="311"/>
        <v>79.045829999999995</v>
      </c>
      <c r="BN2229" s="9">
        <f t="shared" si="312"/>
        <v>526.70000000000005</v>
      </c>
      <c r="BO2229" s="9">
        <f t="shared" si="313"/>
        <v>0</v>
      </c>
      <c r="BP2229" s="9">
        <f t="shared" si="314"/>
        <v>0</v>
      </c>
    </row>
    <row r="2230" spans="1:68">
      <c r="A2230" s="6">
        <v>44939</v>
      </c>
      <c r="B2230" s="7">
        <v>3079</v>
      </c>
      <c r="C2230" s="8"/>
      <c r="D2230" s="8"/>
      <c r="E2230" s="8"/>
      <c r="F2230" s="8">
        <f>180.85+181.08</f>
        <v>361.93</v>
      </c>
      <c r="G2230" s="8"/>
      <c r="H2230" s="8"/>
      <c r="I2230" s="8">
        <f>1467.41+1464.17</f>
        <v>2931.58</v>
      </c>
      <c r="J2230" s="8"/>
      <c r="K2230" s="8"/>
      <c r="L2230" s="8"/>
      <c r="M2230" s="8"/>
      <c r="N2230" s="8">
        <f>11.71+11.69</f>
        <v>23.4</v>
      </c>
      <c r="O2230" s="8"/>
      <c r="P2230" s="8"/>
      <c r="Q2230" s="8"/>
      <c r="R2230" s="8"/>
      <c r="S2230" s="8">
        <f>0.66+0.65</f>
        <v>1.31</v>
      </c>
      <c r="T2230" s="8"/>
      <c r="U2230" s="8"/>
      <c r="V2230" s="8"/>
      <c r="W2230" s="8">
        <f>16.52+16.46</f>
        <v>32.980000000000004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>
        <f>6.54+6.52</f>
        <v>13.059999999999999</v>
      </c>
      <c r="AN2230" s="8">
        <f>1720*19.37/1000</f>
        <v>33.316400000000002</v>
      </c>
      <c r="AO2230" s="8"/>
      <c r="AP2230" s="8"/>
      <c r="AQ2230" s="8"/>
      <c r="AR2230" s="8">
        <f>4310*19.37/1000</f>
        <v>83.484700000000004</v>
      </c>
      <c r="AS2230" s="8"/>
      <c r="AT2230" s="8">
        <f>637.2+635.75</f>
        <v>1272.95</v>
      </c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>
        <f>46.25+46.19</f>
        <v>92.44</v>
      </c>
      <c r="BH2230" s="9">
        <f t="shared" si="306"/>
        <v>3293.5099999999998</v>
      </c>
      <c r="BI2230" s="9">
        <f t="shared" si="307"/>
        <v>23.4</v>
      </c>
      <c r="BJ2230" s="9">
        <f t="shared" si="308"/>
        <v>1.31</v>
      </c>
      <c r="BK2230" s="9">
        <f t="shared" si="309"/>
        <v>32.980000000000004</v>
      </c>
      <c r="BL2230" s="9">
        <f t="shared" si="310"/>
        <v>0</v>
      </c>
      <c r="BM2230" s="9">
        <f t="shared" si="311"/>
        <v>129.86110000000002</v>
      </c>
      <c r="BN2230" s="9">
        <f t="shared" si="312"/>
        <v>1272.95</v>
      </c>
      <c r="BO2230" s="9">
        <f t="shared" si="313"/>
        <v>0</v>
      </c>
      <c r="BP2230" s="9">
        <f t="shared" si="314"/>
        <v>0</v>
      </c>
    </row>
    <row r="2231" spans="1:68">
      <c r="A2231" s="6">
        <v>44939</v>
      </c>
      <c r="B2231" s="7">
        <v>3031</v>
      </c>
      <c r="C2231" s="8"/>
      <c r="D2231" s="8"/>
      <c r="E2231" s="8"/>
      <c r="F2231" s="8"/>
      <c r="G2231" s="8"/>
      <c r="H2231" s="8"/>
      <c r="I2231" s="8">
        <v>689.55</v>
      </c>
      <c r="J2231" s="8"/>
      <c r="K2231" s="8"/>
      <c r="L2231" s="8"/>
      <c r="M2231" s="8"/>
      <c r="N2231" s="8">
        <v>4.93</v>
      </c>
      <c r="O2231" s="8"/>
      <c r="P2231" s="8"/>
      <c r="Q2231" s="8"/>
      <c r="R2231" s="8"/>
      <c r="S2231" s="8">
        <v>0.49</v>
      </c>
      <c r="T2231" s="8"/>
      <c r="U2231" s="8"/>
      <c r="V2231" s="8"/>
      <c r="W2231" s="8">
        <v>6.95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>
        <f>1798*5.78/1000</f>
        <v>10.392440000000001</v>
      </c>
      <c r="AJ2231" s="8"/>
      <c r="AK2231" s="8"/>
      <c r="AL2231" s="8"/>
      <c r="AM2231" s="8"/>
      <c r="AN2231" s="8">
        <f>1203*5.78/1000</f>
        <v>6.9533399999999999</v>
      </c>
      <c r="AO2231" s="8"/>
      <c r="AP2231" s="8"/>
      <c r="AQ2231" s="8"/>
      <c r="AR2231" s="8">
        <f>3612*5.78/1000</f>
        <v>20.877359999999999</v>
      </c>
      <c r="AS2231" s="8"/>
      <c r="AT2231" s="8">
        <v>329.14</v>
      </c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>
        <v>22.5</v>
      </c>
      <c r="BH2231" s="9">
        <f t="shared" si="306"/>
        <v>689.55</v>
      </c>
      <c r="BI2231" s="9">
        <f t="shared" si="307"/>
        <v>4.93</v>
      </c>
      <c r="BJ2231" s="9">
        <f t="shared" si="308"/>
        <v>0.49</v>
      </c>
      <c r="BK2231" s="9">
        <f t="shared" si="309"/>
        <v>6.95</v>
      </c>
      <c r="BL2231" s="9">
        <f t="shared" si="310"/>
        <v>0</v>
      </c>
      <c r="BM2231" s="9">
        <f t="shared" si="311"/>
        <v>38.223140000000001</v>
      </c>
      <c r="BN2231" s="9">
        <f t="shared" si="312"/>
        <v>329.14</v>
      </c>
      <c r="BO2231" s="9">
        <f t="shared" si="313"/>
        <v>0</v>
      </c>
      <c r="BP2231" s="9">
        <f t="shared" si="314"/>
        <v>0</v>
      </c>
    </row>
    <row r="2232" spans="1:68">
      <c r="A2232" s="6">
        <v>44939</v>
      </c>
      <c r="B2232" s="7">
        <v>3145</v>
      </c>
      <c r="C2232" s="8">
        <v>1264.46</v>
      </c>
      <c r="D2232" s="8">
        <v>223.07</v>
      </c>
      <c r="E2232" s="8"/>
      <c r="F2232" s="8"/>
      <c r="G2232" s="8"/>
      <c r="H2232" s="8"/>
      <c r="I2232" s="8"/>
      <c r="J2232" s="8"/>
      <c r="K2232" s="8"/>
      <c r="L2232" s="8"/>
      <c r="M2232" s="8">
        <v>4.32</v>
      </c>
      <c r="N2232" s="8"/>
      <c r="O2232" s="8"/>
      <c r="P2232" s="8"/>
      <c r="Q2232" s="8"/>
      <c r="R2232" s="8"/>
      <c r="S2232" s="8">
        <v>7</v>
      </c>
      <c r="T2232" s="8"/>
      <c r="U2232" s="8">
        <v>22.32</v>
      </c>
      <c r="V2232" s="8"/>
      <c r="W2232" s="8"/>
      <c r="X2232" s="8"/>
      <c r="Y2232" s="8"/>
      <c r="Z2232" s="8"/>
      <c r="AA2232" s="8"/>
      <c r="AB2232" s="8"/>
      <c r="AC2232" s="8">
        <v>5.95</v>
      </c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>
        <v>983.64</v>
      </c>
      <c r="AU2232" s="8"/>
      <c r="AV2232" s="8"/>
      <c r="AW2232" s="8"/>
      <c r="AX2232" s="8"/>
      <c r="AY2232" s="8"/>
      <c r="AZ2232" s="8"/>
      <c r="BA2232" s="8"/>
      <c r="BB2232" s="8"/>
      <c r="BC2232" s="8"/>
      <c r="BD2232" s="8">
        <v>3.72</v>
      </c>
      <c r="BE2232" s="8">
        <f>1364*9.9/1000</f>
        <v>13.5036</v>
      </c>
      <c r="BF2232" s="8">
        <v>104.14</v>
      </c>
      <c r="BG2232" s="8">
        <v>77.540000000000006</v>
      </c>
      <c r="BH2232" s="9">
        <f t="shared" si="306"/>
        <v>1487.53</v>
      </c>
      <c r="BI2232" s="9">
        <f t="shared" si="307"/>
        <v>4.32</v>
      </c>
      <c r="BJ2232" s="9">
        <f t="shared" si="308"/>
        <v>7</v>
      </c>
      <c r="BK2232" s="9">
        <f t="shared" si="309"/>
        <v>22.32</v>
      </c>
      <c r="BL2232" s="9">
        <f t="shared" si="310"/>
        <v>0</v>
      </c>
      <c r="BM2232" s="9">
        <f t="shared" si="311"/>
        <v>5.95</v>
      </c>
      <c r="BN2232" s="9">
        <f t="shared" si="312"/>
        <v>983.64</v>
      </c>
      <c r="BO2232" s="9">
        <f t="shared" si="313"/>
        <v>17.223600000000001</v>
      </c>
      <c r="BP2232" s="9">
        <f t="shared" si="314"/>
        <v>104.14</v>
      </c>
    </row>
    <row r="2233" spans="1:68">
      <c r="A2233" s="6">
        <v>44939</v>
      </c>
      <c r="B2233" s="7">
        <v>3134</v>
      </c>
      <c r="C2233" s="8">
        <v>1063.53</v>
      </c>
      <c r="D2233" s="8">
        <v>148.57</v>
      </c>
      <c r="E2233" s="8"/>
      <c r="F2233" s="8"/>
      <c r="G2233" s="8"/>
      <c r="H2233" s="8">
        <v>503.3</v>
      </c>
      <c r="I2233" s="8"/>
      <c r="J2233" s="8"/>
      <c r="K2233" s="8"/>
      <c r="L2233" s="8"/>
      <c r="M2233" s="8">
        <v>3.05</v>
      </c>
      <c r="N2233" s="8"/>
      <c r="O2233" s="8"/>
      <c r="P2233" s="8"/>
      <c r="Q2233" s="8"/>
      <c r="R2233" s="8"/>
      <c r="S2233" s="8">
        <v>6.86</v>
      </c>
      <c r="T2233" s="8"/>
      <c r="U2233" s="8">
        <v>19.41</v>
      </c>
      <c r="V2233" s="8"/>
      <c r="W2233" s="8"/>
      <c r="X2233" s="8"/>
      <c r="Y2233" s="8"/>
      <c r="Z2233" s="8"/>
      <c r="AA2233" s="8"/>
      <c r="AB2233" s="8"/>
      <c r="AC2233" s="8">
        <v>5.97</v>
      </c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>
        <v>1049.53</v>
      </c>
      <c r="AU2233" s="8"/>
      <c r="AV2233" s="8"/>
      <c r="AW2233" s="8"/>
      <c r="AX2233" s="8"/>
      <c r="AY2233" s="8">
        <f>1426*10.67/1000</f>
        <v>15.21542</v>
      </c>
      <c r="AZ2233" s="8"/>
      <c r="BA2233" s="8"/>
      <c r="BB2233" s="8"/>
      <c r="BC2233" s="8"/>
      <c r="BD2233" s="8"/>
      <c r="BE2233" s="8"/>
      <c r="BF2233" s="8">
        <v>67.27</v>
      </c>
      <c r="BG2233" s="8">
        <v>79.16</v>
      </c>
      <c r="BH2233" s="9">
        <f t="shared" si="306"/>
        <v>1715.3999999999999</v>
      </c>
      <c r="BI2233" s="9">
        <f t="shared" si="307"/>
        <v>3.05</v>
      </c>
      <c r="BJ2233" s="9">
        <f t="shared" si="308"/>
        <v>6.86</v>
      </c>
      <c r="BK2233" s="9">
        <f t="shared" si="309"/>
        <v>19.41</v>
      </c>
      <c r="BL2233" s="9">
        <f t="shared" si="310"/>
        <v>0</v>
      </c>
      <c r="BM2233" s="9">
        <f t="shared" si="311"/>
        <v>5.97</v>
      </c>
      <c r="BN2233" s="9">
        <f t="shared" si="312"/>
        <v>1049.53</v>
      </c>
      <c r="BO2233" s="9">
        <f t="shared" si="313"/>
        <v>15.21542</v>
      </c>
      <c r="BP2233" s="9">
        <f t="shared" si="314"/>
        <v>67.27</v>
      </c>
    </row>
    <row r="2234" spans="1:68">
      <c r="A2234" s="6">
        <v>44939</v>
      </c>
      <c r="B2234" s="7">
        <v>3104</v>
      </c>
      <c r="C2234" s="8">
        <v>1533.27</v>
      </c>
      <c r="D2234" s="8"/>
      <c r="E2234" s="8"/>
      <c r="F2234" s="8"/>
      <c r="G2234" s="8"/>
      <c r="H2234" s="8">
        <v>395.88</v>
      </c>
      <c r="I2234" s="8"/>
      <c r="J2234" s="8"/>
      <c r="K2234" s="8"/>
      <c r="L2234" s="8"/>
      <c r="M2234" s="8">
        <v>4.37</v>
      </c>
      <c r="N2234" s="8"/>
      <c r="O2234" s="8"/>
      <c r="P2234" s="8"/>
      <c r="Q2234" s="8"/>
      <c r="R2234" s="8"/>
      <c r="S2234" s="8">
        <v>8.08</v>
      </c>
      <c r="T2234" s="8"/>
      <c r="U2234" s="8">
        <v>20.190000000000001</v>
      </c>
      <c r="V2234" s="8"/>
      <c r="W2234" s="8"/>
      <c r="X2234" s="8"/>
      <c r="Y2234" s="8"/>
      <c r="Z2234" s="8"/>
      <c r="AA2234" s="8"/>
      <c r="AB2234" s="8"/>
      <c r="AC2234" s="8">
        <v>7.02</v>
      </c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>
        <v>1120.95</v>
      </c>
      <c r="AU2234" s="8"/>
      <c r="AV2234" s="8"/>
      <c r="AW2234" s="8"/>
      <c r="AX2234" s="8"/>
      <c r="AY2234" s="8"/>
      <c r="AZ2234" s="8"/>
      <c r="BA2234" s="8">
        <v>40.01</v>
      </c>
      <c r="BB2234" s="8"/>
      <c r="BC2234" s="8"/>
      <c r="BD2234" s="8"/>
      <c r="BE2234" s="8"/>
      <c r="BF2234" s="8">
        <v>35.18</v>
      </c>
      <c r="BG2234" s="8">
        <v>86.79</v>
      </c>
      <c r="BH2234" s="9">
        <f t="shared" si="306"/>
        <v>1929.15</v>
      </c>
      <c r="BI2234" s="9">
        <f t="shared" si="307"/>
        <v>4.37</v>
      </c>
      <c r="BJ2234" s="9">
        <f t="shared" si="308"/>
        <v>8.08</v>
      </c>
      <c r="BK2234" s="9">
        <f t="shared" si="309"/>
        <v>20.190000000000001</v>
      </c>
      <c r="BL2234" s="9">
        <f t="shared" si="310"/>
        <v>0</v>
      </c>
      <c r="BM2234" s="9">
        <f t="shared" si="311"/>
        <v>7.02</v>
      </c>
      <c r="BN2234" s="9">
        <f t="shared" si="312"/>
        <v>1120.95</v>
      </c>
      <c r="BO2234" s="9">
        <f t="shared" si="313"/>
        <v>40.01</v>
      </c>
      <c r="BP2234" s="9">
        <f t="shared" si="314"/>
        <v>35.18</v>
      </c>
    </row>
    <row r="2235" spans="1:68">
      <c r="A2235" s="6">
        <v>44942</v>
      </c>
      <c r="B2235" s="7">
        <v>3134</v>
      </c>
      <c r="C2235" s="8">
        <v>1098.26</v>
      </c>
      <c r="D2235" s="8">
        <v>155.52000000000001</v>
      </c>
      <c r="E2235" s="8"/>
      <c r="F2235" s="8"/>
      <c r="G2235" s="8"/>
      <c r="H2235" s="8">
        <v>516.79</v>
      </c>
      <c r="I2235" s="8"/>
      <c r="J2235" s="8"/>
      <c r="K2235" s="8"/>
      <c r="L2235" s="8"/>
      <c r="M2235" s="8">
        <v>3.14</v>
      </c>
      <c r="N2235" s="8"/>
      <c r="O2235" s="8"/>
      <c r="P2235" s="8"/>
      <c r="Q2235" s="8"/>
      <c r="R2235" s="8"/>
      <c r="S2235" s="8">
        <v>7.13</v>
      </c>
      <c r="T2235" s="8"/>
      <c r="U2235" s="8">
        <v>20.18</v>
      </c>
      <c r="V2235" s="8"/>
      <c r="W2235" s="8"/>
      <c r="X2235" s="8"/>
      <c r="Y2235" s="8"/>
      <c r="Z2235" s="8"/>
      <c r="AA2235" s="8"/>
      <c r="AB2235" s="8"/>
      <c r="AC2235" s="8">
        <v>6.2</v>
      </c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>
        <v>1089.04</v>
      </c>
      <c r="AU2235" s="8"/>
      <c r="AV2235" s="8"/>
      <c r="AW2235" s="8"/>
      <c r="AX2235" s="8"/>
      <c r="AY2235" s="8">
        <f>1433*11.05/1000</f>
        <v>15.834650000000002</v>
      </c>
      <c r="AZ2235" s="8"/>
      <c r="BA2235" s="8"/>
      <c r="BB2235" s="8"/>
      <c r="BC2235" s="8"/>
      <c r="BD2235" s="8"/>
      <c r="BE2235" s="8"/>
      <c r="BF2235" s="8">
        <v>69.760000000000005</v>
      </c>
      <c r="BG2235" s="8">
        <v>82.03</v>
      </c>
      <c r="BH2235" s="9">
        <f t="shared" si="306"/>
        <v>1770.57</v>
      </c>
      <c r="BI2235" s="9">
        <f t="shared" si="307"/>
        <v>3.14</v>
      </c>
      <c r="BJ2235" s="9">
        <f t="shared" si="308"/>
        <v>7.13</v>
      </c>
      <c r="BK2235" s="9">
        <f t="shared" si="309"/>
        <v>20.18</v>
      </c>
      <c r="BL2235" s="9">
        <f t="shared" si="310"/>
        <v>0</v>
      </c>
      <c r="BM2235" s="9">
        <f t="shared" si="311"/>
        <v>6.2</v>
      </c>
      <c r="BN2235" s="9">
        <f t="shared" si="312"/>
        <v>1089.04</v>
      </c>
      <c r="BO2235" s="9">
        <f t="shared" si="313"/>
        <v>15.834650000000002</v>
      </c>
      <c r="BP2235" s="9">
        <f t="shared" si="314"/>
        <v>69.760000000000005</v>
      </c>
    </row>
    <row r="2236" spans="1:68">
      <c r="A2236" s="6">
        <v>44942</v>
      </c>
      <c r="B2236" s="7">
        <v>3106</v>
      </c>
      <c r="C2236" s="8">
        <v>4162.22</v>
      </c>
      <c r="D2236" s="8"/>
      <c r="E2236" s="8"/>
      <c r="F2236" s="8"/>
      <c r="G2236" s="8"/>
      <c r="H2236" s="8"/>
      <c r="I2236" s="8"/>
      <c r="J2236" s="8"/>
      <c r="K2236" s="8"/>
      <c r="L2236" s="8"/>
      <c r="M2236" s="8">
        <v>10.53</v>
      </c>
      <c r="N2236" s="8"/>
      <c r="O2236" s="8"/>
      <c r="P2236" s="8"/>
      <c r="Q2236" s="8"/>
      <c r="R2236" s="8"/>
      <c r="S2236" s="8">
        <v>12.54</v>
      </c>
      <c r="T2236" s="8"/>
      <c r="U2236" s="8">
        <v>53.05</v>
      </c>
      <c r="V2236" s="8"/>
      <c r="W2236" s="8"/>
      <c r="X2236" s="8"/>
      <c r="Y2236" s="8"/>
      <c r="Z2236" s="8"/>
      <c r="AA2236" s="8"/>
      <c r="AB2236" s="8"/>
      <c r="AC2236" s="8">
        <v>10.42</v>
      </c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>
        <v>2376.02</v>
      </c>
      <c r="AU2236" s="8"/>
      <c r="AV2236" s="8"/>
      <c r="AW2236" s="8"/>
      <c r="AX2236" s="8">
        <v>5.22</v>
      </c>
      <c r="AY2236" s="8"/>
      <c r="AZ2236" s="8"/>
      <c r="BA2236" s="8"/>
      <c r="BB2236" s="8"/>
      <c r="BC2236" s="8"/>
      <c r="BD2236" s="8"/>
      <c r="BE2236" s="8"/>
      <c r="BF2236" s="8"/>
      <c r="BG2236" s="8">
        <v>179.56</v>
      </c>
      <c r="BH2236" s="9">
        <f t="shared" si="306"/>
        <v>4162.22</v>
      </c>
      <c r="BI2236" s="9">
        <f t="shared" si="307"/>
        <v>10.53</v>
      </c>
      <c r="BJ2236" s="9">
        <f t="shared" si="308"/>
        <v>12.54</v>
      </c>
      <c r="BK2236" s="9">
        <f t="shared" si="309"/>
        <v>53.05</v>
      </c>
      <c r="BL2236" s="9">
        <f t="shared" si="310"/>
        <v>0</v>
      </c>
      <c r="BM2236" s="9">
        <f t="shared" si="311"/>
        <v>10.42</v>
      </c>
      <c r="BN2236" s="9">
        <f t="shared" si="312"/>
        <v>2376.02</v>
      </c>
      <c r="BO2236" s="9">
        <f t="shared" si="313"/>
        <v>5.22</v>
      </c>
      <c r="BP2236" s="9">
        <f t="shared" si="314"/>
        <v>0</v>
      </c>
    </row>
    <row r="2237" spans="1:68">
      <c r="A2237" s="6">
        <v>44942</v>
      </c>
      <c r="B2237" s="7">
        <v>3121</v>
      </c>
      <c r="C2237" s="8">
        <v>1654.07</v>
      </c>
      <c r="D2237" s="8"/>
      <c r="E2237" s="8"/>
      <c r="F2237" s="8"/>
      <c r="G2237" s="8"/>
      <c r="H2237" s="8"/>
      <c r="I2237" s="8"/>
      <c r="J2237" s="8"/>
      <c r="K2237" s="8"/>
      <c r="L2237" s="8"/>
      <c r="M2237" s="8">
        <v>4.03</v>
      </c>
      <c r="N2237" s="8"/>
      <c r="O2237" s="8"/>
      <c r="P2237" s="8"/>
      <c r="Q2237" s="8"/>
      <c r="R2237" s="8"/>
      <c r="S2237" s="8">
        <v>5.3</v>
      </c>
      <c r="T2237" s="8"/>
      <c r="U2237" s="8">
        <v>16.559999999999999</v>
      </c>
      <c r="V2237" s="8"/>
      <c r="W2237" s="8"/>
      <c r="X2237" s="8"/>
      <c r="Y2237" s="8"/>
      <c r="Z2237" s="8"/>
      <c r="AA2237" s="8"/>
      <c r="AB2237" s="8"/>
      <c r="AC2237" s="8">
        <v>6.61</v>
      </c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>
        <f>2218*7.52/1000</f>
        <v>16.679359999999999</v>
      </c>
      <c r="AQ2237" s="8"/>
      <c r="AR2237" s="8"/>
      <c r="AS2237" s="8"/>
      <c r="AT2237" s="8">
        <v>875.08</v>
      </c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>
        <v>64.540000000000006</v>
      </c>
      <c r="BH2237" s="9">
        <f t="shared" si="306"/>
        <v>1654.07</v>
      </c>
      <c r="BI2237" s="9">
        <f t="shared" si="307"/>
        <v>4.03</v>
      </c>
      <c r="BJ2237" s="9">
        <f t="shared" si="308"/>
        <v>5.3</v>
      </c>
      <c r="BK2237" s="9">
        <f t="shared" si="309"/>
        <v>16.559999999999999</v>
      </c>
      <c r="BL2237" s="9">
        <f t="shared" si="310"/>
        <v>0</v>
      </c>
      <c r="BM2237" s="9">
        <f t="shared" si="311"/>
        <v>23.289359999999999</v>
      </c>
      <c r="BN2237" s="9">
        <f t="shared" si="312"/>
        <v>875.08</v>
      </c>
      <c r="BO2237" s="9">
        <f t="shared" si="313"/>
        <v>0</v>
      </c>
      <c r="BP2237" s="9">
        <f t="shared" si="314"/>
        <v>0</v>
      </c>
    </row>
    <row r="2238" spans="1:68">
      <c r="A2238" s="6">
        <v>44942</v>
      </c>
      <c r="B2238" s="7">
        <v>3113</v>
      </c>
      <c r="C2238" s="8">
        <v>2982.19</v>
      </c>
      <c r="D2238" s="8"/>
      <c r="E2238" s="8"/>
      <c r="F2238" s="8"/>
      <c r="G2238" s="8"/>
      <c r="H2238" s="8"/>
      <c r="I2238" s="8"/>
      <c r="J2238" s="8"/>
      <c r="K2238" s="8"/>
      <c r="L2238" s="8"/>
      <c r="M2238" s="8">
        <v>3.01</v>
      </c>
      <c r="N2238" s="8">
        <v>2.99</v>
      </c>
      <c r="O2238" s="8"/>
      <c r="P2238" s="8"/>
      <c r="Q2238" s="8"/>
      <c r="R2238" s="8"/>
      <c r="S2238" s="8">
        <v>8.9600000000000009</v>
      </c>
      <c r="T2238" s="8"/>
      <c r="U2238" s="8">
        <v>29.8</v>
      </c>
      <c r="V2238" s="8"/>
      <c r="W2238" s="8"/>
      <c r="X2238" s="8"/>
      <c r="Y2238" s="8"/>
      <c r="Z2238" s="8"/>
      <c r="AA2238" s="8"/>
      <c r="AB2238" s="8"/>
      <c r="AC2238" s="8">
        <v>11.92</v>
      </c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>
        <v>1250.8399999999999</v>
      </c>
      <c r="AU2238" s="8"/>
      <c r="AV2238" s="8">
        <v>101.37</v>
      </c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>
        <v>89.5</v>
      </c>
      <c r="BH2238" s="9">
        <f t="shared" si="306"/>
        <v>2982.19</v>
      </c>
      <c r="BI2238" s="9">
        <f t="shared" si="307"/>
        <v>6</v>
      </c>
      <c r="BJ2238" s="9">
        <f t="shared" si="308"/>
        <v>8.9600000000000009</v>
      </c>
      <c r="BK2238" s="9">
        <f t="shared" si="309"/>
        <v>29.8</v>
      </c>
      <c r="BL2238" s="9">
        <f t="shared" si="310"/>
        <v>0</v>
      </c>
      <c r="BM2238" s="9">
        <f t="shared" si="311"/>
        <v>11.92</v>
      </c>
      <c r="BN2238" s="9">
        <f t="shared" si="312"/>
        <v>1250.8399999999999</v>
      </c>
      <c r="BO2238" s="9">
        <f t="shared" si="313"/>
        <v>101.37</v>
      </c>
      <c r="BP2238" s="9">
        <f t="shared" si="314"/>
        <v>0</v>
      </c>
    </row>
    <row r="2239" spans="1:68">
      <c r="A2239" s="6">
        <v>44942</v>
      </c>
      <c r="B2239" s="7">
        <v>3029</v>
      </c>
      <c r="C2239" s="8"/>
      <c r="D2239" s="8">
        <v>462.81</v>
      </c>
      <c r="E2239" s="8"/>
      <c r="F2239" s="8">
        <v>325.01</v>
      </c>
      <c r="G2239" s="8"/>
      <c r="H2239" s="8"/>
      <c r="I2239" s="8">
        <v>1928.42</v>
      </c>
      <c r="J2239" s="8"/>
      <c r="K2239" s="8"/>
      <c r="L2239" s="8"/>
      <c r="M2239" s="8"/>
      <c r="N2239" s="8">
        <v>20.97</v>
      </c>
      <c r="O2239" s="8"/>
      <c r="P2239" s="8"/>
      <c r="Q2239" s="8"/>
      <c r="R2239" s="8"/>
      <c r="S2239" s="8">
        <v>1.63</v>
      </c>
      <c r="T2239" s="8"/>
      <c r="U2239" s="8"/>
      <c r="V2239" s="8"/>
      <c r="W2239" s="8">
        <v>27.22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>
        <v>9.42</v>
      </c>
      <c r="AN2239" s="8">
        <f>742*18.13/1000</f>
        <v>13.452459999999999</v>
      </c>
      <c r="AO2239" s="8"/>
      <c r="AP2239" s="8"/>
      <c r="AQ2239" s="8"/>
      <c r="AR2239" s="8">
        <f>4594*18.13/1000</f>
        <v>83.28922</v>
      </c>
      <c r="AS2239" s="8"/>
      <c r="AT2239" s="8">
        <v>1030.4100000000001</v>
      </c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>
        <v>71.959999999999994</v>
      </c>
      <c r="BH2239" s="9">
        <f t="shared" si="306"/>
        <v>2716.24</v>
      </c>
      <c r="BI2239" s="9">
        <f t="shared" si="307"/>
        <v>20.97</v>
      </c>
      <c r="BJ2239" s="9">
        <f t="shared" si="308"/>
        <v>1.63</v>
      </c>
      <c r="BK2239" s="9">
        <f t="shared" si="309"/>
        <v>27.22</v>
      </c>
      <c r="BL2239" s="9">
        <f t="shared" si="310"/>
        <v>0</v>
      </c>
      <c r="BM2239" s="9">
        <f t="shared" si="311"/>
        <v>106.16167999999999</v>
      </c>
      <c r="BN2239" s="9">
        <f t="shared" si="312"/>
        <v>1030.4100000000001</v>
      </c>
      <c r="BO2239" s="9">
        <f t="shared" si="313"/>
        <v>0</v>
      </c>
      <c r="BP2239" s="9">
        <f t="shared" si="314"/>
        <v>0</v>
      </c>
    </row>
    <row r="2240" spans="1:68">
      <c r="A2240" s="6">
        <v>44942</v>
      </c>
      <c r="B2240" s="7">
        <v>3081</v>
      </c>
      <c r="C2240" s="8"/>
      <c r="D2240" s="8">
        <v>290.45</v>
      </c>
      <c r="E2240" s="8"/>
      <c r="F2240" s="8">
        <v>325.75</v>
      </c>
      <c r="G2240" s="8"/>
      <c r="H2240" s="8"/>
      <c r="I2240" s="8">
        <v>1191.0899999999999</v>
      </c>
      <c r="J2240" s="8"/>
      <c r="K2240" s="8"/>
      <c r="L2240" s="8"/>
      <c r="M2240" s="8"/>
      <c r="N2240" s="8">
        <v>13.27</v>
      </c>
      <c r="O2240" s="8"/>
      <c r="P2240" s="8">
        <f>615*11.72/1000</f>
        <v>7.2077999999999998</v>
      </c>
      <c r="Q2240" s="11"/>
      <c r="R2240" s="11"/>
      <c r="S2240" s="8">
        <v>1.27</v>
      </c>
      <c r="T2240" s="8"/>
      <c r="U2240" s="8"/>
      <c r="V2240" s="8"/>
      <c r="W2240" s="8">
        <v>18.18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11"/>
      <c r="AQ2240" s="8">
        <f>1558*11.72/1000</f>
        <v>18.259760000000004</v>
      </c>
      <c r="AR2240" s="8">
        <f>5437*11.72/1000</f>
        <v>63.721640000000008</v>
      </c>
      <c r="AS2240" s="8"/>
      <c r="AT2240" s="8">
        <v>568.05999999999995</v>
      </c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>
        <v>37.76</v>
      </c>
      <c r="BH2240" s="9">
        <f t="shared" si="306"/>
        <v>1807.29</v>
      </c>
      <c r="BI2240" s="9">
        <f t="shared" si="307"/>
        <v>20.477799999999998</v>
      </c>
      <c r="BJ2240" s="9">
        <f t="shared" si="308"/>
        <v>1.27</v>
      </c>
      <c r="BK2240" s="9">
        <f t="shared" si="309"/>
        <v>18.18</v>
      </c>
      <c r="BL2240" s="9">
        <f t="shared" si="310"/>
        <v>0</v>
      </c>
      <c r="BM2240" s="9">
        <f t="shared" si="311"/>
        <v>81.981400000000008</v>
      </c>
      <c r="BN2240" s="9">
        <f t="shared" si="312"/>
        <v>568.05999999999995</v>
      </c>
      <c r="BO2240" s="9">
        <f t="shared" si="313"/>
        <v>0</v>
      </c>
      <c r="BP2240" s="9">
        <f t="shared" si="314"/>
        <v>0</v>
      </c>
    </row>
    <row r="2241" spans="1:68">
      <c r="A2241" s="6">
        <v>44942</v>
      </c>
      <c r="B2241" s="7">
        <v>3023</v>
      </c>
      <c r="C2241" s="8"/>
      <c r="D2241" s="8">
        <v>1639.88</v>
      </c>
      <c r="E2241" s="8"/>
      <c r="F2241" s="8"/>
      <c r="G2241" s="8"/>
      <c r="H2241" s="8"/>
      <c r="I2241" s="8">
        <v>883.71</v>
      </c>
      <c r="J2241" s="8"/>
      <c r="K2241" s="8"/>
      <c r="L2241" s="8"/>
      <c r="M2241" s="8"/>
      <c r="N2241" s="8">
        <v>14.1</v>
      </c>
      <c r="O2241" s="8"/>
      <c r="P2241" s="8"/>
      <c r="Q2241" s="11"/>
      <c r="R2241" s="11"/>
      <c r="S2241" s="8">
        <v>4.04</v>
      </c>
      <c r="T2241" s="8"/>
      <c r="U2241" s="8"/>
      <c r="V2241" s="8"/>
      <c r="W2241" s="8">
        <v>22.7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>
        <v>25.02</v>
      </c>
      <c r="AN2241" s="8">
        <f>1020*17.35/1000</f>
        <v>17.696999999999999</v>
      </c>
      <c r="AO2241" s="8"/>
      <c r="AP2241" s="11"/>
      <c r="AQ2241" s="8"/>
      <c r="AR2241" s="8"/>
      <c r="AS2241" s="8">
        <f>4716*17.35/1000</f>
        <v>81.822600000000008</v>
      </c>
      <c r="AT2241" s="8">
        <v>1030.94</v>
      </c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>
        <v>78</v>
      </c>
      <c r="BH2241" s="9">
        <f t="shared" si="306"/>
        <v>2523.59</v>
      </c>
      <c r="BI2241" s="9">
        <f t="shared" si="307"/>
        <v>14.1</v>
      </c>
      <c r="BJ2241" s="9">
        <f t="shared" si="308"/>
        <v>4.04</v>
      </c>
      <c r="BK2241" s="9">
        <f t="shared" si="309"/>
        <v>22.7</v>
      </c>
      <c r="BL2241" s="9">
        <f t="shared" si="310"/>
        <v>0</v>
      </c>
      <c r="BM2241" s="9">
        <f t="shared" si="311"/>
        <v>124.53960000000001</v>
      </c>
      <c r="BN2241" s="9">
        <f t="shared" si="312"/>
        <v>1030.94</v>
      </c>
      <c r="BO2241" s="9">
        <f t="shared" si="313"/>
        <v>0</v>
      </c>
      <c r="BP2241" s="9">
        <f t="shared" si="314"/>
        <v>0</v>
      </c>
    </row>
    <row r="2242" spans="1:68">
      <c r="A2242" s="6">
        <v>44942</v>
      </c>
      <c r="B2242" s="7">
        <v>3020</v>
      </c>
      <c r="C2242" s="8"/>
      <c r="D2242" s="8">
        <v>167.44</v>
      </c>
      <c r="E2242" s="8"/>
      <c r="F2242" s="8"/>
      <c r="G2242" s="8"/>
      <c r="H2242" s="8"/>
      <c r="I2242" s="8">
        <v>928.88</v>
      </c>
      <c r="J2242" s="8"/>
      <c r="K2242" s="8"/>
      <c r="L2242" s="8"/>
      <c r="M2242" s="8"/>
      <c r="N2242" s="8">
        <v>6.59</v>
      </c>
      <c r="O2242" s="8"/>
      <c r="P2242" s="8"/>
      <c r="Q2242" s="8"/>
      <c r="R2242" s="8"/>
      <c r="S2242" s="8">
        <v>1.97</v>
      </c>
      <c r="T2242" s="8"/>
      <c r="U2242" s="8"/>
      <c r="V2242" s="8"/>
      <c r="W2242" s="8">
        <v>10.98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>
        <v>10.95</v>
      </c>
      <c r="AN2242" s="8"/>
      <c r="AO2242" s="8"/>
      <c r="AP2242" s="8"/>
      <c r="AQ2242" s="8"/>
      <c r="AR2242" s="8"/>
      <c r="AS2242" s="8">
        <f>3025*9.15/1000</f>
        <v>27.678750000000001</v>
      </c>
      <c r="AT2242" s="8">
        <v>539.92999999999995</v>
      </c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>
        <v>39.51</v>
      </c>
      <c r="BH2242" s="9">
        <f t="shared" si="306"/>
        <v>1096.32</v>
      </c>
      <c r="BI2242" s="9">
        <f t="shared" si="307"/>
        <v>6.59</v>
      </c>
      <c r="BJ2242" s="9">
        <f t="shared" si="308"/>
        <v>1.97</v>
      </c>
      <c r="BK2242" s="9">
        <f t="shared" si="309"/>
        <v>10.98</v>
      </c>
      <c r="BL2242" s="9">
        <f t="shared" si="310"/>
        <v>0</v>
      </c>
      <c r="BM2242" s="9">
        <f t="shared" si="311"/>
        <v>38.628749999999997</v>
      </c>
      <c r="BN2242" s="9">
        <f t="shared" si="312"/>
        <v>539.92999999999995</v>
      </c>
      <c r="BO2242" s="9">
        <f t="shared" si="313"/>
        <v>0</v>
      </c>
      <c r="BP2242" s="9">
        <f t="shared" si="314"/>
        <v>0</v>
      </c>
    </row>
    <row r="2243" spans="1:68">
      <c r="A2243" s="6">
        <v>44942</v>
      </c>
      <c r="B2243" s="7">
        <v>3204</v>
      </c>
      <c r="C2243" s="8"/>
      <c r="D2243" s="8">
        <v>1760.83</v>
      </c>
      <c r="E2243" s="8">
        <v>750.54</v>
      </c>
      <c r="F2243" s="8"/>
      <c r="G2243" s="8"/>
      <c r="H2243" s="8"/>
      <c r="I2243" s="8"/>
      <c r="J2243" s="8"/>
      <c r="K2243" s="8"/>
      <c r="L2243" s="8"/>
      <c r="M2243" s="8"/>
      <c r="N2243" s="8"/>
      <c r="O2243" s="8">
        <v>12.64</v>
      </c>
      <c r="P2243" s="8"/>
      <c r="Q2243" s="8"/>
      <c r="R2243" s="8"/>
      <c r="S2243" s="8">
        <v>8.59</v>
      </c>
      <c r="T2243" s="8"/>
      <c r="U2243" s="8">
        <v>27.87</v>
      </c>
      <c r="V2243" s="8"/>
      <c r="W2243" s="8"/>
      <c r="X2243" s="8"/>
      <c r="Y2243" s="8"/>
      <c r="Z2243" s="8">
        <v>379.75</v>
      </c>
      <c r="AA2243" s="8"/>
      <c r="AB2243" s="8">
        <f>707*18.07/1000</f>
        <v>12.77549</v>
      </c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>
        <v>1113.06</v>
      </c>
      <c r="AU2243" s="8"/>
      <c r="AV2243" s="8"/>
      <c r="AW2243" s="8">
        <v>8.0399999999999991</v>
      </c>
      <c r="AX2243" s="8"/>
      <c r="AY2243" s="8"/>
      <c r="AZ2243" s="8"/>
      <c r="BA2243" s="8"/>
      <c r="BB2243" s="8"/>
      <c r="BC2243" s="8"/>
      <c r="BD2243" s="8"/>
      <c r="BE2243" s="8"/>
      <c r="BF2243" s="8"/>
      <c r="BG2243" s="8">
        <v>82.27</v>
      </c>
      <c r="BH2243" s="9">
        <f t="shared" si="306"/>
        <v>2511.37</v>
      </c>
      <c r="BI2243" s="9">
        <f t="shared" si="307"/>
        <v>12.64</v>
      </c>
      <c r="BJ2243" s="9">
        <f t="shared" si="308"/>
        <v>8.59</v>
      </c>
      <c r="BK2243" s="9">
        <f t="shared" si="309"/>
        <v>27.87</v>
      </c>
      <c r="BL2243" s="9">
        <f t="shared" si="310"/>
        <v>379.75</v>
      </c>
      <c r="BM2243" s="9">
        <f t="shared" si="311"/>
        <v>12.77549</v>
      </c>
      <c r="BN2243" s="9">
        <f t="shared" si="312"/>
        <v>1113.06</v>
      </c>
      <c r="BO2243" s="9">
        <f t="shared" si="313"/>
        <v>8.0399999999999991</v>
      </c>
      <c r="BP2243" s="9">
        <f t="shared" si="314"/>
        <v>0</v>
      </c>
    </row>
    <row r="2244" spans="1:68">
      <c r="A2244" s="6">
        <v>44942</v>
      </c>
      <c r="B2244" s="7">
        <v>3601</v>
      </c>
      <c r="C2244" s="8">
        <v>286.79000000000002</v>
      </c>
      <c r="D2244" s="8"/>
      <c r="E2244" s="8"/>
      <c r="F2244" s="8"/>
      <c r="G2244" s="8">
        <v>431.47</v>
      </c>
      <c r="H2244" s="8"/>
      <c r="I2244" s="8"/>
      <c r="J2244" s="8"/>
      <c r="K2244" s="8"/>
      <c r="L2244" s="8"/>
      <c r="M2244" s="8">
        <v>0.86</v>
      </c>
      <c r="N2244" s="8"/>
      <c r="O2244" s="8"/>
      <c r="P2244" s="8"/>
      <c r="Q2244" s="8"/>
      <c r="R2244" s="8"/>
      <c r="S2244" s="8">
        <v>3.46</v>
      </c>
      <c r="T2244" s="8"/>
      <c r="U2244" s="8">
        <v>4.3499999999999996</v>
      </c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>
        <v>354.43</v>
      </c>
      <c r="AU2244" s="8"/>
      <c r="AV2244" s="8"/>
      <c r="AW2244" s="8">
        <v>21.96</v>
      </c>
      <c r="AX2244" s="8"/>
      <c r="AY2244" s="8"/>
      <c r="AZ2244" s="8"/>
      <c r="BA2244" s="8"/>
      <c r="BB2244" s="8"/>
      <c r="BC2244" s="8"/>
      <c r="BD2244" s="8"/>
      <c r="BE2244" s="8"/>
      <c r="BF2244" s="8">
        <v>40.39</v>
      </c>
      <c r="BG2244" s="8">
        <v>25.77</v>
      </c>
      <c r="BH2244" s="9">
        <f t="shared" ref="BH2244:BH2307" si="315">SUM(C2244:L2244)</f>
        <v>718.26</v>
      </c>
      <c r="BI2244" s="9">
        <f t="shared" ref="BI2244:BI2307" si="316">SUM(M2244:R2244)</f>
        <v>0.86</v>
      </c>
      <c r="BJ2244" s="9">
        <f t="shared" ref="BJ2244:BJ2307" si="317">SUM(S2244)</f>
        <v>3.46</v>
      </c>
      <c r="BK2244" s="9">
        <f t="shared" ref="BK2244:BK2307" si="318">SUM(T2244:Y2244)</f>
        <v>4.3499999999999996</v>
      </c>
      <c r="BL2244" s="9">
        <f t="shared" ref="BL2244:BL2307" si="319">SUM(Z2244:AA2244)</f>
        <v>0</v>
      </c>
      <c r="BM2244" s="9">
        <f t="shared" ref="BM2244:BM2307" si="320">SUM(AB2244:AS2244)</f>
        <v>0</v>
      </c>
      <c r="BN2244" s="9">
        <f t="shared" ref="BN2244:BN2307" si="321">SUM(AT2244:AU2244)</f>
        <v>354.43</v>
      </c>
      <c r="BO2244" s="9">
        <f t="shared" ref="BO2244:BO2307" si="322">SUM(AV2244:BE2244)</f>
        <v>21.96</v>
      </c>
      <c r="BP2244" s="9">
        <f t="shared" ref="BP2244:BP2307" si="323">SUM(BF2244)</f>
        <v>40.39</v>
      </c>
    </row>
    <row r="2245" spans="1:68">
      <c r="A2245" s="6">
        <v>44943</v>
      </c>
      <c r="B2245" s="7">
        <v>3141</v>
      </c>
      <c r="C2245" s="8">
        <v>2440.2600000000002</v>
      </c>
      <c r="D2245" s="8">
        <v>428.8</v>
      </c>
      <c r="E2245" s="8"/>
      <c r="F2245" s="8"/>
      <c r="G2245" s="8"/>
      <c r="H2245" s="8"/>
      <c r="I2245" s="8"/>
      <c r="J2245" s="8"/>
      <c r="K2245" s="8"/>
      <c r="L2245" s="8"/>
      <c r="M2245" s="8">
        <v>8.3699999999999992</v>
      </c>
      <c r="N2245" s="8"/>
      <c r="O2245" s="8"/>
      <c r="P2245" s="8"/>
      <c r="Q2245" s="8"/>
      <c r="R2245" s="8"/>
      <c r="S2245" s="8">
        <v>13.57</v>
      </c>
      <c r="T2245" s="8"/>
      <c r="U2245" s="8">
        <v>43.3</v>
      </c>
      <c r="V2245" s="8"/>
      <c r="W2245" s="8"/>
      <c r="X2245" s="8"/>
      <c r="Y2245" s="8"/>
      <c r="Z2245" s="8"/>
      <c r="AA2245" s="8"/>
      <c r="AB2245" s="8"/>
      <c r="AC2245" s="8">
        <v>11.53</v>
      </c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>
        <v>1892.91</v>
      </c>
      <c r="AU2245" s="8"/>
      <c r="AV2245" s="8"/>
      <c r="AW2245" s="8"/>
      <c r="AX2245" s="8"/>
      <c r="AY2245" s="8"/>
      <c r="AZ2245" s="8"/>
      <c r="BA2245" s="8">
        <v>66.06</v>
      </c>
      <c r="BB2245" s="8"/>
      <c r="BC2245" s="8"/>
      <c r="BD2245" s="8"/>
      <c r="BE2245" s="8"/>
      <c r="BF2245" s="8">
        <v>201.77</v>
      </c>
      <c r="BG2245" s="8">
        <v>149.87</v>
      </c>
      <c r="BH2245" s="9">
        <f t="shared" si="315"/>
        <v>2869.0600000000004</v>
      </c>
      <c r="BI2245" s="9">
        <f t="shared" si="316"/>
        <v>8.3699999999999992</v>
      </c>
      <c r="BJ2245" s="9">
        <f t="shared" si="317"/>
        <v>13.57</v>
      </c>
      <c r="BK2245" s="9">
        <f t="shared" si="318"/>
        <v>43.3</v>
      </c>
      <c r="BL2245" s="9">
        <f t="shared" si="319"/>
        <v>0</v>
      </c>
      <c r="BM2245" s="9">
        <f t="shared" si="320"/>
        <v>11.53</v>
      </c>
      <c r="BN2245" s="9">
        <f t="shared" si="321"/>
        <v>1892.91</v>
      </c>
      <c r="BO2245" s="9">
        <f t="shared" si="322"/>
        <v>66.06</v>
      </c>
      <c r="BP2245" s="9">
        <f t="shared" si="323"/>
        <v>201.77</v>
      </c>
    </row>
    <row r="2246" spans="1:68">
      <c r="A2246" s="6">
        <v>44943</v>
      </c>
      <c r="B2246" s="7">
        <v>3106</v>
      </c>
      <c r="C2246" s="8">
        <v>4176.8500000000004</v>
      </c>
      <c r="D2246" s="8"/>
      <c r="E2246" s="8"/>
      <c r="F2246" s="8"/>
      <c r="G2246" s="8"/>
      <c r="H2246" s="8"/>
      <c r="I2246" s="8"/>
      <c r="J2246" s="8"/>
      <c r="K2246" s="8"/>
      <c r="L2246" s="8"/>
      <c r="M2246" s="8">
        <v>11.26</v>
      </c>
      <c r="N2246" s="8"/>
      <c r="O2246" s="8"/>
      <c r="P2246" s="8"/>
      <c r="Q2246" s="8"/>
      <c r="R2246" s="8"/>
      <c r="S2246" s="8">
        <v>12.57</v>
      </c>
      <c r="T2246" s="8"/>
      <c r="U2246" s="8">
        <v>53.12</v>
      </c>
      <c r="V2246" s="8"/>
      <c r="W2246" s="8"/>
      <c r="X2246" s="8"/>
      <c r="Y2246" s="8"/>
      <c r="Z2246" s="8"/>
      <c r="AA2246" s="8"/>
      <c r="AB2246" s="8"/>
      <c r="AC2246" s="8">
        <v>10.45</v>
      </c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>
        <v>2382.31</v>
      </c>
      <c r="AU2246" s="8"/>
      <c r="AV2246" s="8"/>
      <c r="AW2246" s="8"/>
      <c r="AX2246" s="8">
        <v>5.23</v>
      </c>
      <c r="AY2246" s="8"/>
      <c r="AZ2246" s="8"/>
      <c r="BA2246" s="8"/>
      <c r="BB2246" s="8"/>
      <c r="BC2246" s="8"/>
      <c r="BD2246" s="8"/>
      <c r="BE2246" s="8"/>
      <c r="BF2246" s="8"/>
      <c r="BG2246" s="8">
        <v>179.54</v>
      </c>
      <c r="BH2246" s="9">
        <f t="shared" si="315"/>
        <v>4176.8500000000004</v>
      </c>
      <c r="BI2246" s="9">
        <f t="shared" si="316"/>
        <v>11.26</v>
      </c>
      <c r="BJ2246" s="9">
        <f t="shared" si="317"/>
        <v>12.57</v>
      </c>
      <c r="BK2246" s="9">
        <f t="shared" si="318"/>
        <v>53.12</v>
      </c>
      <c r="BL2246" s="9">
        <f t="shared" si="319"/>
        <v>0</v>
      </c>
      <c r="BM2246" s="9">
        <f t="shared" si="320"/>
        <v>10.45</v>
      </c>
      <c r="BN2246" s="9">
        <f t="shared" si="321"/>
        <v>2382.31</v>
      </c>
      <c r="BO2246" s="9">
        <f t="shared" si="322"/>
        <v>5.23</v>
      </c>
      <c r="BP2246" s="9">
        <f t="shared" si="323"/>
        <v>0</v>
      </c>
    </row>
    <row r="2247" spans="1:68">
      <c r="A2247" s="6">
        <v>44943</v>
      </c>
      <c r="B2247" s="7">
        <v>3016</v>
      </c>
      <c r="C2247" s="8"/>
      <c r="D2247" s="8">
        <v>2313.19</v>
      </c>
      <c r="E2247" s="8"/>
      <c r="F2247" s="8"/>
      <c r="G2247" s="8"/>
      <c r="H2247" s="8"/>
      <c r="I2247" s="8">
        <v>2126.44</v>
      </c>
      <c r="J2247" s="8"/>
      <c r="K2247" s="8"/>
      <c r="L2247" s="8"/>
      <c r="M2247" s="8"/>
      <c r="N2247" s="8">
        <v>26.7</v>
      </c>
      <c r="O2247" s="8"/>
      <c r="P2247" s="8"/>
      <c r="Q2247" s="8"/>
      <c r="R2247" s="8"/>
      <c r="S2247" s="8">
        <v>3.12</v>
      </c>
      <c r="T2247" s="8"/>
      <c r="U2247" s="8"/>
      <c r="V2247" s="8"/>
      <c r="W2247" s="8">
        <v>44.56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>
        <v>17.600000000000001</v>
      </c>
      <c r="AN2247" s="8">
        <f>2045*26.17/1000</f>
        <v>53.517650000000003</v>
      </c>
      <c r="AO2247" s="8"/>
      <c r="AP2247" s="8"/>
      <c r="AQ2247" s="8"/>
      <c r="AR2247" s="8">
        <f>4291*26.17/1000</f>
        <v>112.29546999999999</v>
      </c>
      <c r="AS2247" s="8"/>
      <c r="AT2247" s="8">
        <v>1653.8</v>
      </c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>
        <v>120.84</v>
      </c>
      <c r="BH2247" s="9">
        <f t="shared" si="315"/>
        <v>4439.63</v>
      </c>
      <c r="BI2247" s="9">
        <f t="shared" si="316"/>
        <v>26.7</v>
      </c>
      <c r="BJ2247" s="9">
        <f t="shared" si="317"/>
        <v>3.12</v>
      </c>
      <c r="BK2247" s="9">
        <f t="shared" si="318"/>
        <v>44.56</v>
      </c>
      <c r="BL2247" s="9">
        <f t="shared" si="319"/>
        <v>0</v>
      </c>
      <c r="BM2247" s="9">
        <f t="shared" si="320"/>
        <v>183.41311999999999</v>
      </c>
      <c r="BN2247" s="9">
        <f t="shared" si="321"/>
        <v>1653.8</v>
      </c>
      <c r="BO2247" s="9">
        <f t="shared" si="322"/>
        <v>0</v>
      </c>
      <c r="BP2247" s="9">
        <f t="shared" si="323"/>
        <v>0</v>
      </c>
    </row>
    <row r="2248" spans="1:68">
      <c r="A2248" s="6">
        <v>44943</v>
      </c>
      <c r="B2248" s="7">
        <v>3200</v>
      </c>
      <c r="C2248" s="8">
        <v>2282.6799999999998</v>
      </c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>
        <v>5.72</v>
      </c>
      <c r="P2248" s="8"/>
      <c r="Q2248" s="8"/>
      <c r="R2248" s="8"/>
      <c r="S2248" s="8">
        <v>8.91</v>
      </c>
      <c r="T2248" s="8"/>
      <c r="U2248" s="8">
        <v>34.270000000000003</v>
      </c>
      <c r="V2248" s="8"/>
      <c r="W2248" s="8"/>
      <c r="X2248" s="8"/>
      <c r="Y2248" s="8"/>
      <c r="Z2248" s="8">
        <v>479.86</v>
      </c>
      <c r="AA2248" s="8"/>
      <c r="AB2248" s="8"/>
      <c r="AC2248" s="8"/>
      <c r="AD2248" s="8"/>
      <c r="AE2248" s="8"/>
      <c r="AF2248" s="8">
        <v>113.28</v>
      </c>
      <c r="AG2248" s="8"/>
      <c r="AH2248" s="8"/>
      <c r="AI2248" s="8"/>
      <c r="AJ2248" s="8"/>
      <c r="AK2248" s="8"/>
      <c r="AL2248" s="8"/>
      <c r="AM2248" s="8"/>
      <c r="AN2248" s="8"/>
      <c r="AO2248" s="8"/>
      <c r="AP2248" s="8">
        <f>1509*22.83/1000</f>
        <v>34.450469999999996</v>
      </c>
      <c r="AQ2248" s="8"/>
      <c r="AR2248" s="8"/>
      <c r="AS2248" s="8"/>
      <c r="AT2248" s="8">
        <v>1564.21</v>
      </c>
      <c r="AU2248" s="8"/>
      <c r="AV2248" s="8"/>
      <c r="AW2248" s="8">
        <v>6.72</v>
      </c>
      <c r="AX2248" s="8"/>
      <c r="AY2248" s="8"/>
      <c r="AZ2248" s="8"/>
      <c r="BA2248" s="8"/>
      <c r="BB2248" s="8"/>
      <c r="BC2248" s="8"/>
      <c r="BD2248" s="8"/>
      <c r="BE2248" s="8"/>
      <c r="BF2248" s="8">
        <v>109.61</v>
      </c>
      <c r="BG2248" s="8">
        <v>113.36</v>
      </c>
      <c r="BH2248" s="9">
        <f t="shared" si="315"/>
        <v>2282.6799999999998</v>
      </c>
      <c r="BI2248" s="9">
        <f t="shared" si="316"/>
        <v>5.72</v>
      </c>
      <c r="BJ2248" s="9">
        <f t="shared" si="317"/>
        <v>8.91</v>
      </c>
      <c r="BK2248" s="9">
        <f t="shared" si="318"/>
        <v>34.270000000000003</v>
      </c>
      <c r="BL2248" s="9">
        <f t="shared" si="319"/>
        <v>479.86</v>
      </c>
      <c r="BM2248" s="9">
        <f t="shared" si="320"/>
        <v>147.73047</v>
      </c>
      <c r="BN2248" s="9">
        <f t="shared" si="321"/>
        <v>1564.21</v>
      </c>
      <c r="BO2248" s="9">
        <f t="shared" si="322"/>
        <v>6.72</v>
      </c>
      <c r="BP2248" s="9">
        <f t="shared" si="323"/>
        <v>109.61</v>
      </c>
    </row>
    <row r="2249" spans="1:68">
      <c r="A2249" s="6">
        <v>44943</v>
      </c>
      <c r="B2249" s="7">
        <v>3304</v>
      </c>
      <c r="C2249" s="8"/>
      <c r="D2249" s="8">
        <v>1136.83</v>
      </c>
      <c r="E2249" s="8"/>
      <c r="F2249" s="8"/>
      <c r="G2249" s="8"/>
      <c r="H2249" s="8"/>
      <c r="I2249" s="8"/>
      <c r="J2249" s="8"/>
      <c r="K2249" s="8"/>
      <c r="L2249" s="8"/>
      <c r="M2249" s="8">
        <v>2.2799999999999998</v>
      </c>
      <c r="N2249" s="8"/>
      <c r="O2249" s="8"/>
      <c r="P2249" s="8"/>
      <c r="Q2249" s="8"/>
      <c r="R2249" s="8"/>
      <c r="S2249" s="8">
        <v>1.71</v>
      </c>
      <c r="T2249" s="8"/>
      <c r="U2249" s="8">
        <v>10.24</v>
      </c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>
        <v>11.38</v>
      </c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>
        <v>303.52999999999997</v>
      </c>
      <c r="AU2249" s="8">
        <v>152.01</v>
      </c>
      <c r="AV2249" s="8"/>
      <c r="AW2249" s="8"/>
      <c r="AX2249" s="8"/>
      <c r="AY2249" s="8"/>
      <c r="AZ2249" s="8"/>
      <c r="BA2249" s="8"/>
      <c r="BB2249" s="8"/>
      <c r="BC2249" s="10"/>
      <c r="BD2249" s="8"/>
      <c r="BE2249" s="8"/>
      <c r="BF2249" s="8"/>
      <c r="BG2249" s="8">
        <v>31.36</v>
      </c>
      <c r="BH2249" s="9">
        <f t="shared" si="315"/>
        <v>1136.83</v>
      </c>
      <c r="BI2249" s="9">
        <f t="shared" si="316"/>
        <v>2.2799999999999998</v>
      </c>
      <c r="BJ2249" s="9">
        <f t="shared" si="317"/>
        <v>1.71</v>
      </c>
      <c r="BK2249" s="9">
        <f t="shared" si="318"/>
        <v>10.24</v>
      </c>
      <c r="BL2249" s="9">
        <f t="shared" si="319"/>
        <v>0</v>
      </c>
      <c r="BM2249" s="9">
        <f t="shared" si="320"/>
        <v>11.38</v>
      </c>
      <c r="BN2249" s="9">
        <f t="shared" si="321"/>
        <v>455.53999999999996</v>
      </c>
      <c r="BO2249" s="9">
        <f t="shared" si="322"/>
        <v>0</v>
      </c>
      <c r="BP2249" s="9">
        <f t="shared" si="323"/>
        <v>0</v>
      </c>
    </row>
    <row r="2250" spans="1:68">
      <c r="A2250" s="6">
        <v>44944</v>
      </c>
      <c r="B2250" s="7">
        <v>3141</v>
      </c>
      <c r="C2250" s="8">
        <v>2452.38</v>
      </c>
      <c r="D2250" s="8">
        <v>433.04</v>
      </c>
      <c r="E2250" s="8"/>
      <c r="F2250" s="8"/>
      <c r="G2250" s="8"/>
      <c r="H2250" s="8"/>
      <c r="I2250" s="8"/>
      <c r="J2250" s="8"/>
      <c r="K2250" s="8"/>
      <c r="L2250" s="8"/>
      <c r="M2250" s="8">
        <v>8.3800000000000008</v>
      </c>
      <c r="N2250" s="8"/>
      <c r="O2250" s="8"/>
      <c r="P2250" s="8"/>
      <c r="Q2250" s="8"/>
      <c r="R2250" s="8"/>
      <c r="S2250" s="8">
        <v>13.59</v>
      </c>
      <c r="T2250" s="8"/>
      <c r="U2250" s="8">
        <v>43.33</v>
      </c>
      <c r="V2250" s="8"/>
      <c r="W2250" s="8"/>
      <c r="X2250" s="8"/>
      <c r="Y2250" s="8"/>
      <c r="Z2250" s="8"/>
      <c r="AA2250" s="8"/>
      <c r="AB2250" s="8"/>
      <c r="AC2250" s="8">
        <v>11.55</v>
      </c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>
        <v>1897.97</v>
      </c>
      <c r="AU2250" s="8"/>
      <c r="AV2250" s="8"/>
      <c r="AW2250" s="8"/>
      <c r="AX2250" s="8"/>
      <c r="AY2250" s="8"/>
      <c r="AZ2250" s="8"/>
      <c r="BA2250" s="8">
        <v>66.2</v>
      </c>
      <c r="BB2250" s="8"/>
      <c r="BC2250" s="8"/>
      <c r="BD2250" s="8"/>
      <c r="BE2250" s="8"/>
      <c r="BF2250" s="8">
        <v>202.1</v>
      </c>
      <c r="BG2250" s="8">
        <v>150.30000000000001</v>
      </c>
      <c r="BH2250" s="9">
        <f t="shared" si="315"/>
        <v>2885.42</v>
      </c>
      <c r="BI2250" s="9">
        <f t="shared" si="316"/>
        <v>8.3800000000000008</v>
      </c>
      <c r="BJ2250" s="9">
        <f t="shared" si="317"/>
        <v>13.59</v>
      </c>
      <c r="BK2250" s="9">
        <f t="shared" si="318"/>
        <v>43.33</v>
      </c>
      <c r="BL2250" s="9">
        <f t="shared" si="319"/>
        <v>0</v>
      </c>
      <c r="BM2250" s="9">
        <f t="shared" si="320"/>
        <v>11.55</v>
      </c>
      <c r="BN2250" s="9">
        <f t="shared" si="321"/>
        <v>1897.97</v>
      </c>
      <c r="BO2250" s="9">
        <f t="shared" si="322"/>
        <v>66.2</v>
      </c>
      <c r="BP2250" s="9">
        <f t="shared" si="323"/>
        <v>202.1</v>
      </c>
    </row>
    <row r="2251" spans="1:68">
      <c r="A2251" s="6">
        <v>44944</v>
      </c>
      <c r="B2251" s="7">
        <v>3134</v>
      </c>
      <c r="C2251" s="8">
        <f>949.29+195.79</f>
        <v>1145.08</v>
      </c>
      <c r="D2251" s="8">
        <f>132.98+27.42</f>
        <v>160.39999999999998</v>
      </c>
      <c r="E2251" s="8"/>
      <c r="F2251" s="8"/>
      <c r="G2251" s="8"/>
      <c r="H2251" s="8">
        <f>448.23+92.84</f>
        <v>541.07000000000005</v>
      </c>
      <c r="I2251" s="8"/>
      <c r="J2251" s="8"/>
      <c r="K2251" s="8"/>
      <c r="L2251" s="8"/>
      <c r="M2251" s="8">
        <f>2.76+0.6</f>
        <v>3.36</v>
      </c>
      <c r="N2251" s="8"/>
      <c r="O2251" s="8"/>
      <c r="P2251" s="8"/>
      <c r="Q2251" s="8"/>
      <c r="R2251" s="8"/>
      <c r="S2251" s="8">
        <f>6.14+1.26</f>
        <v>7.3999999999999995</v>
      </c>
      <c r="T2251" s="8"/>
      <c r="U2251" s="8">
        <f>17.35+3.56</f>
        <v>20.91</v>
      </c>
      <c r="V2251" s="8"/>
      <c r="W2251" s="8"/>
      <c r="X2251" s="8"/>
      <c r="Y2251" s="8"/>
      <c r="Z2251" s="8"/>
      <c r="AA2251" s="8"/>
      <c r="AB2251" s="8"/>
      <c r="AC2251" s="8">
        <f>5.33+1.1</f>
        <v>6.43</v>
      </c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>
        <f>935.3+192.86</f>
        <v>1128.1599999999999</v>
      </c>
      <c r="AU2251" s="8"/>
      <c r="AV2251" s="8"/>
      <c r="AW2251" s="8"/>
      <c r="AX2251" s="8"/>
      <c r="AY2251" s="8">
        <f>1404*11.47/1000</f>
        <v>16.10388</v>
      </c>
      <c r="AZ2251" s="8"/>
      <c r="BA2251" s="8"/>
      <c r="BB2251" s="8"/>
      <c r="BC2251" s="8"/>
      <c r="BD2251" s="8"/>
      <c r="BE2251" s="8"/>
      <c r="BF2251" s="8">
        <f>60.03+12.43</f>
        <v>72.460000000000008</v>
      </c>
      <c r="BG2251" s="8">
        <f>70.6+14.57</f>
        <v>85.169999999999987</v>
      </c>
      <c r="BH2251" s="9">
        <f t="shared" si="315"/>
        <v>1846.5500000000002</v>
      </c>
      <c r="BI2251" s="9">
        <f t="shared" si="316"/>
        <v>3.36</v>
      </c>
      <c r="BJ2251" s="9">
        <f t="shared" si="317"/>
        <v>7.3999999999999995</v>
      </c>
      <c r="BK2251" s="9">
        <f t="shared" si="318"/>
        <v>20.91</v>
      </c>
      <c r="BL2251" s="9">
        <f t="shared" si="319"/>
        <v>0</v>
      </c>
      <c r="BM2251" s="9">
        <f t="shared" si="320"/>
        <v>6.43</v>
      </c>
      <c r="BN2251" s="9">
        <f t="shared" si="321"/>
        <v>1128.1599999999999</v>
      </c>
      <c r="BO2251" s="9">
        <f t="shared" si="322"/>
        <v>16.10388</v>
      </c>
      <c r="BP2251" s="9">
        <f t="shared" si="323"/>
        <v>72.460000000000008</v>
      </c>
    </row>
    <row r="2252" spans="1:68">
      <c r="A2252" s="6">
        <v>44944</v>
      </c>
      <c r="B2252" s="7">
        <v>3106</v>
      </c>
      <c r="C2252" s="8">
        <v>4159.9399999999996</v>
      </c>
      <c r="D2252" s="8"/>
      <c r="E2252" s="8"/>
      <c r="F2252" s="8"/>
      <c r="G2252" s="8"/>
      <c r="H2252" s="8"/>
      <c r="I2252" s="8"/>
      <c r="J2252" s="8"/>
      <c r="K2252" s="8"/>
      <c r="L2252" s="8"/>
      <c r="M2252" s="8">
        <v>11.2</v>
      </c>
      <c r="N2252" s="8"/>
      <c r="O2252" s="8"/>
      <c r="P2252" s="8"/>
      <c r="Q2252" s="8"/>
      <c r="R2252" s="8"/>
      <c r="S2252" s="8">
        <v>12.52</v>
      </c>
      <c r="T2252" s="8"/>
      <c r="U2252" s="8">
        <v>53.11</v>
      </c>
      <c r="V2252" s="8"/>
      <c r="W2252" s="8"/>
      <c r="X2252" s="8"/>
      <c r="Y2252" s="8"/>
      <c r="Z2252" s="8"/>
      <c r="AA2252" s="8"/>
      <c r="AB2252" s="8"/>
      <c r="AC2252" s="8">
        <v>10.41</v>
      </c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>
        <v>2374.1999999999998</v>
      </c>
      <c r="AU2252" s="8"/>
      <c r="AV2252" s="8"/>
      <c r="AW2252" s="8"/>
      <c r="AX2252" s="8">
        <v>5.21</v>
      </c>
      <c r="AY2252" s="8"/>
      <c r="AZ2252" s="8"/>
      <c r="BA2252" s="8"/>
      <c r="BB2252" s="8"/>
      <c r="BC2252" s="8"/>
      <c r="BD2252" s="8"/>
      <c r="BE2252" s="8"/>
      <c r="BF2252" s="8"/>
      <c r="BG2252" s="8">
        <v>179.17</v>
      </c>
      <c r="BH2252" s="9">
        <f t="shared" si="315"/>
        <v>4159.9399999999996</v>
      </c>
      <c r="BI2252" s="9">
        <f t="shared" si="316"/>
        <v>11.2</v>
      </c>
      <c r="BJ2252" s="9">
        <f t="shared" si="317"/>
        <v>12.52</v>
      </c>
      <c r="BK2252" s="9">
        <f t="shared" si="318"/>
        <v>53.11</v>
      </c>
      <c r="BL2252" s="9">
        <f t="shared" si="319"/>
        <v>0</v>
      </c>
      <c r="BM2252" s="9">
        <f t="shared" si="320"/>
        <v>10.41</v>
      </c>
      <c r="BN2252" s="9">
        <f t="shared" si="321"/>
        <v>2374.1999999999998</v>
      </c>
      <c r="BO2252" s="9">
        <f t="shared" si="322"/>
        <v>5.21</v>
      </c>
      <c r="BP2252" s="9">
        <f t="shared" si="323"/>
        <v>0</v>
      </c>
    </row>
    <row r="2253" spans="1:68">
      <c r="A2253" s="6">
        <v>44944</v>
      </c>
      <c r="B2253" s="7">
        <v>3031</v>
      </c>
      <c r="C2253" s="8"/>
      <c r="D2253" s="8"/>
      <c r="E2253" s="8"/>
      <c r="F2253" s="8"/>
      <c r="G2253" s="8"/>
      <c r="H2253" s="8"/>
      <c r="I2253" s="8">
        <v>1137.1500000000001</v>
      </c>
      <c r="J2253" s="8"/>
      <c r="K2253" s="8"/>
      <c r="L2253" s="8"/>
      <c r="M2253" s="8"/>
      <c r="N2253" s="8">
        <v>8.08</v>
      </c>
      <c r="O2253" s="8"/>
      <c r="P2253" s="8"/>
      <c r="Q2253" s="8"/>
      <c r="R2253" s="8"/>
      <c r="S2253" s="8">
        <v>0.79</v>
      </c>
      <c r="T2253" s="8"/>
      <c r="U2253" s="8"/>
      <c r="V2253" s="8"/>
      <c r="W2253" s="8">
        <v>11.4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>
        <f>1825*9.48/1000</f>
        <v>17.300999999999998</v>
      </c>
      <c r="AJ2253" s="8"/>
      <c r="AK2253" s="8"/>
      <c r="AL2253" s="8"/>
      <c r="AM2253" s="8"/>
      <c r="AN2253" s="8">
        <f>1202*9.48/1000</f>
        <v>11.394960000000001</v>
      </c>
      <c r="AO2253" s="8"/>
      <c r="AP2253" s="8"/>
      <c r="AQ2253" s="8"/>
      <c r="AR2253" s="8">
        <f>3650*9.48/1000</f>
        <v>34.601999999999997</v>
      </c>
      <c r="AS2253" s="8"/>
      <c r="AT2253" s="8">
        <v>541.97</v>
      </c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>
        <v>36.85</v>
      </c>
      <c r="BH2253" s="9">
        <f t="shared" si="315"/>
        <v>1137.1500000000001</v>
      </c>
      <c r="BI2253" s="9">
        <f t="shared" si="316"/>
        <v>8.08</v>
      </c>
      <c r="BJ2253" s="9">
        <f t="shared" si="317"/>
        <v>0.79</v>
      </c>
      <c r="BK2253" s="9">
        <f t="shared" si="318"/>
        <v>11.4</v>
      </c>
      <c r="BL2253" s="9">
        <f t="shared" si="319"/>
        <v>0</v>
      </c>
      <c r="BM2253" s="9">
        <f t="shared" si="320"/>
        <v>63.297959999999996</v>
      </c>
      <c r="BN2253" s="9">
        <f t="shared" si="321"/>
        <v>541.97</v>
      </c>
      <c r="BO2253" s="9">
        <f t="shared" si="322"/>
        <v>0</v>
      </c>
      <c r="BP2253" s="9">
        <f t="shared" si="323"/>
        <v>0</v>
      </c>
    </row>
    <row r="2254" spans="1:68">
      <c r="A2254" s="6">
        <v>44944</v>
      </c>
      <c r="B2254" s="7">
        <v>3030</v>
      </c>
      <c r="C2254" s="8"/>
      <c r="D2254" s="8">
        <v>472.78</v>
      </c>
      <c r="E2254" s="8"/>
      <c r="F2254" s="8"/>
      <c r="G2254" s="8"/>
      <c r="H2254" s="8"/>
      <c r="I2254" s="8">
        <v>193.35</v>
      </c>
      <c r="J2254" s="8"/>
      <c r="K2254" s="8"/>
      <c r="L2254" s="8"/>
      <c r="M2254" s="8"/>
      <c r="N2254" s="8">
        <v>4.6100000000000003</v>
      </c>
      <c r="O2254" s="8"/>
      <c r="P2254" s="8"/>
      <c r="Q2254" s="8"/>
      <c r="R2254" s="8"/>
      <c r="S2254" s="8">
        <v>0.47</v>
      </c>
      <c r="T2254" s="8"/>
      <c r="U2254" s="8"/>
      <c r="V2254" s="8"/>
      <c r="W2254" s="8">
        <v>5.34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>
        <v>2.63</v>
      </c>
      <c r="AN2254" s="8">
        <f>1688*5.55/1000</f>
        <v>9.3683999999999994</v>
      </c>
      <c r="AO2254" s="8"/>
      <c r="AP2254" s="8"/>
      <c r="AQ2254" s="8"/>
      <c r="AR2254" s="8">
        <f>3947*5.55/1000</f>
        <v>21.905849999999997</v>
      </c>
      <c r="AS2254" s="8"/>
      <c r="AT2254" s="8">
        <v>233.34</v>
      </c>
      <c r="AU2254" s="8">
        <v>58.23</v>
      </c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>
        <v>23.07</v>
      </c>
      <c r="BH2254" s="9">
        <f t="shared" si="315"/>
        <v>666.13</v>
      </c>
      <c r="BI2254" s="9">
        <f t="shared" si="316"/>
        <v>4.6100000000000003</v>
      </c>
      <c r="BJ2254" s="9">
        <f t="shared" si="317"/>
        <v>0.47</v>
      </c>
      <c r="BK2254" s="9">
        <f t="shared" si="318"/>
        <v>5.34</v>
      </c>
      <c r="BL2254" s="9">
        <f t="shared" si="319"/>
        <v>0</v>
      </c>
      <c r="BM2254" s="9">
        <f t="shared" si="320"/>
        <v>33.904249999999998</v>
      </c>
      <c r="BN2254" s="9">
        <f t="shared" si="321"/>
        <v>291.57</v>
      </c>
      <c r="BO2254" s="9">
        <f t="shared" si="322"/>
        <v>0</v>
      </c>
      <c r="BP2254" s="9">
        <f t="shared" si="323"/>
        <v>0</v>
      </c>
    </row>
    <row r="2255" spans="1:68">
      <c r="A2255" s="6">
        <v>44944</v>
      </c>
      <c r="B2255" s="7">
        <v>3139</v>
      </c>
      <c r="C2255" s="8">
        <v>1560.94</v>
      </c>
      <c r="D2255" s="8"/>
      <c r="E2255" s="8"/>
      <c r="F2255" s="8"/>
      <c r="G2255" s="8"/>
      <c r="H2255" s="8">
        <v>647.86</v>
      </c>
      <c r="I2255" s="8"/>
      <c r="J2255" s="8"/>
      <c r="K2255" s="8"/>
      <c r="L2255" s="8"/>
      <c r="M2255" s="8">
        <v>3.65</v>
      </c>
      <c r="N2255" s="8"/>
      <c r="O2255" s="8"/>
      <c r="P2255" s="8"/>
      <c r="Q2255" s="8"/>
      <c r="R2255" s="8"/>
      <c r="S2255" s="8">
        <v>6.91</v>
      </c>
      <c r="T2255" s="8"/>
      <c r="U2255" s="8">
        <v>23.04</v>
      </c>
      <c r="V2255" s="8"/>
      <c r="W2255" s="8"/>
      <c r="X2255" s="8"/>
      <c r="Y2255" s="8"/>
      <c r="Z2255" s="8"/>
      <c r="AA2255" s="8"/>
      <c r="AB2255" s="8"/>
      <c r="AC2255" s="8">
        <v>7.69</v>
      </c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>
        <v>1136.17</v>
      </c>
      <c r="AU2255" s="8"/>
      <c r="AV2255" s="8">
        <v>38.450000000000003</v>
      </c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>
        <v>82.63</v>
      </c>
      <c r="BH2255" s="9">
        <f t="shared" si="315"/>
        <v>2208.8000000000002</v>
      </c>
      <c r="BI2255" s="9">
        <f t="shared" si="316"/>
        <v>3.65</v>
      </c>
      <c r="BJ2255" s="9">
        <f t="shared" si="317"/>
        <v>6.91</v>
      </c>
      <c r="BK2255" s="9">
        <f t="shared" si="318"/>
        <v>23.04</v>
      </c>
      <c r="BL2255" s="9">
        <f t="shared" si="319"/>
        <v>0</v>
      </c>
      <c r="BM2255" s="9">
        <f t="shared" si="320"/>
        <v>7.69</v>
      </c>
      <c r="BN2255" s="9">
        <f t="shared" si="321"/>
        <v>1136.17</v>
      </c>
      <c r="BO2255" s="9">
        <f t="shared" si="322"/>
        <v>38.450000000000003</v>
      </c>
      <c r="BP2255" s="9">
        <f t="shared" si="323"/>
        <v>0</v>
      </c>
    </row>
    <row r="2256" spans="1:68">
      <c r="A2256" s="6">
        <v>44944</v>
      </c>
      <c r="B2256" s="7">
        <v>3705</v>
      </c>
      <c r="C2256" s="8"/>
      <c r="D2256" s="8">
        <v>275.88</v>
      </c>
      <c r="E2256" s="8"/>
      <c r="F2256" s="8"/>
      <c r="G2256" s="8"/>
      <c r="H2256" s="8"/>
      <c r="I2256" s="8">
        <v>60.08</v>
      </c>
      <c r="J2256" s="8"/>
      <c r="K2256" s="8"/>
      <c r="L2256" s="8"/>
      <c r="M2256" s="8">
        <v>1.01</v>
      </c>
      <c r="N2256" s="8"/>
      <c r="O2256" s="8"/>
      <c r="P2256" s="8"/>
      <c r="Q2256" s="8"/>
      <c r="R2256" s="8"/>
      <c r="S2256" s="8">
        <v>1.18</v>
      </c>
      <c r="T2256" s="8"/>
      <c r="U2256" s="8">
        <v>2.36</v>
      </c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>
        <v>20.25</v>
      </c>
      <c r="AU2256" s="8">
        <v>40.04</v>
      </c>
      <c r="AV2256" s="8">
        <v>0.67</v>
      </c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>
        <v>3.3</v>
      </c>
      <c r="BH2256" s="9">
        <f t="shared" si="315"/>
        <v>335.96</v>
      </c>
      <c r="BI2256" s="9">
        <f t="shared" si="316"/>
        <v>1.01</v>
      </c>
      <c r="BJ2256" s="9">
        <f t="shared" si="317"/>
        <v>1.18</v>
      </c>
      <c r="BK2256" s="9">
        <f t="shared" si="318"/>
        <v>2.36</v>
      </c>
      <c r="BL2256" s="9">
        <f t="shared" si="319"/>
        <v>0</v>
      </c>
      <c r="BM2256" s="9">
        <f t="shared" si="320"/>
        <v>0</v>
      </c>
      <c r="BN2256" s="9">
        <f t="shared" si="321"/>
        <v>60.29</v>
      </c>
      <c r="BO2256" s="9">
        <f t="shared" si="322"/>
        <v>0.67</v>
      </c>
      <c r="BP2256" s="9">
        <f t="shared" si="323"/>
        <v>0</v>
      </c>
    </row>
    <row r="2257" spans="1:68">
      <c r="A2257" s="6">
        <v>44945</v>
      </c>
      <c r="B2257" s="7">
        <v>3141</v>
      </c>
      <c r="C2257" s="8">
        <v>2434.16</v>
      </c>
      <c r="D2257" s="8">
        <v>429.67</v>
      </c>
      <c r="E2257" s="8"/>
      <c r="F2257" s="8"/>
      <c r="G2257" s="8"/>
      <c r="H2257" s="8"/>
      <c r="I2257" s="8"/>
      <c r="J2257" s="8"/>
      <c r="K2257" s="8"/>
      <c r="L2257" s="8"/>
      <c r="M2257" s="8">
        <v>8.15</v>
      </c>
      <c r="N2257" s="8"/>
      <c r="O2257" s="8"/>
      <c r="P2257" s="8"/>
      <c r="Q2257" s="8"/>
      <c r="R2257" s="8"/>
      <c r="S2257" s="8">
        <v>13.48</v>
      </c>
      <c r="T2257" s="8"/>
      <c r="U2257" s="8">
        <v>43</v>
      </c>
      <c r="V2257" s="8"/>
      <c r="W2257" s="8"/>
      <c r="X2257" s="8"/>
      <c r="Y2257" s="8"/>
      <c r="Z2257" s="8"/>
      <c r="AA2257" s="8"/>
      <c r="AB2257" s="8"/>
      <c r="AC2257" s="8">
        <v>11.46</v>
      </c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>
        <v>1898.37</v>
      </c>
      <c r="AU2257" s="8"/>
      <c r="AV2257" s="8"/>
      <c r="AW2257" s="8"/>
      <c r="AX2257" s="8"/>
      <c r="AY2257" s="8"/>
      <c r="AZ2257" s="8"/>
      <c r="BA2257" s="8">
        <v>65.66</v>
      </c>
      <c r="BB2257" s="8"/>
      <c r="BC2257" s="8"/>
      <c r="BD2257" s="8"/>
      <c r="BE2257" s="8"/>
      <c r="BF2257" s="8">
        <v>200.64</v>
      </c>
      <c r="BG2257" s="8">
        <v>149.1</v>
      </c>
      <c r="BH2257" s="9">
        <f t="shared" si="315"/>
        <v>2863.83</v>
      </c>
      <c r="BI2257" s="9">
        <f t="shared" si="316"/>
        <v>8.15</v>
      </c>
      <c r="BJ2257" s="9">
        <f t="shared" si="317"/>
        <v>13.48</v>
      </c>
      <c r="BK2257" s="9">
        <f t="shared" si="318"/>
        <v>43</v>
      </c>
      <c r="BL2257" s="9">
        <f t="shared" si="319"/>
        <v>0</v>
      </c>
      <c r="BM2257" s="9">
        <f t="shared" si="320"/>
        <v>11.46</v>
      </c>
      <c r="BN2257" s="9">
        <f t="shared" si="321"/>
        <v>1898.37</v>
      </c>
      <c r="BO2257" s="9">
        <f t="shared" si="322"/>
        <v>65.66</v>
      </c>
      <c r="BP2257" s="9">
        <f t="shared" si="323"/>
        <v>200.64</v>
      </c>
    </row>
    <row r="2258" spans="1:68">
      <c r="A2258" s="6">
        <v>44945</v>
      </c>
      <c r="B2258" s="7">
        <v>3106</v>
      </c>
      <c r="C2258" s="8">
        <v>4042.57</v>
      </c>
      <c r="D2258" s="8"/>
      <c r="E2258" s="8"/>
      <c r="F2258" s="8"/>
      <c r="G2258" s="8"/>
      <c r="H2258" s="8"/>
      <c r="I2258" s="8"/>
      <c r="J2258" s="8"/>
      <c r="K2258" s="8"/>
      <c r="L2258" s="8"/>
      <c r="M2258" s="8">
        <v>10.51</v>
      </c>
      <c r="N2258" s="8"/>
      <c r="O2258" s="8"/>
      <c r="P2258" s="8"/>
      <c r="Q2258" s="8"/>
      <c r="R2258" s="8"/>
      <c r="S2258" s="8">
        <v>12.14</v>
      </c>
      <c r="T2258" s="8"/>
      <c r="U2258" s="8">
        <v>51.39</v>
      </c>
      <c r="V2258" s="8"/>
      <c r="W2258" s="8"/>
      <c r="X2258" s="8"/>
      <c r="Y2258" s="8"/>
      <c r="Z2258" s="8"/>
      <c r="AA2258" s="8"/>
      <c r="AB2258" s="8"/>
      <c r="AC2258" s="8">
        <v>10.11</v>
      </c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>
        <v>2301.44</v>
      </c>
      <c r="AU2258" s="8"/>
      <c r="AV2258" s="8"/>
      <c r="AW2258" s="8"/>
      <c r="AX2258" s="8">
        <v>5.0599999999999996</v>
      </c>
      <c r="AY2258" s="8"/>
      <c r="AZ2258" s="8"/>
      <c r="BA2258" s="8"/>
      <c r="BB2258" s="8"/>
      <c r="BC2258" s="8"/>
      <c r="BD2258" s="8"/>
      <c r="BE2258" s="8"/>
      <c r="BF2258" s="8"/>
      <c r="BG2258" s="8">
        <v>173.99</v>
      </c>
      <c r="BH2258" s="9">
        <f t="shared" si="315"/>
        <v>4042.57</v>
      </c>
      <c r="BI2258" s="9">
        <f t="shared" si="316"/>
        <v>10.51</v>
      </c>
      <c r="BJ2258" s="9">
        <f t="shared" si="317"/>
        <v>12.14</v>
      </c>
      <c r="BK2258" s="9">
        <f t="shared" si="318"/>
        <v>51.39</v>
      </c>
      <c r="BL2258" s="9">
        <f t="shared" si="319"/>
        <v>0</v>
      </c>
      <c r="BM2258" s="9">
        <f t="shared" si="320"/>
        <v>10.11</v>
      </c>
      <c r="BN2258" s="9">
        <f t="shared" si="321"/>
        <v>2301.44</v>
      </c>
      <c r="BO2258" s="9">
        <f t="shared" si="322"/>
        <v>5.0599999999999996</v>
      </c>
      <c r="BP2258" s="9">
        <f t="shared" si="323"/>
        <v>0</v>
      </c>
    </row>
    <row r="2259" spans="1:68">
      <c r="A2259" s="6">
        <v>44945</v>
      </c>
      <c r="B2259" s="7">
        <v>3021</v>
      </c>
      <c r="C2259" s="8"/>
      <c r="D2259" s="8">
        <v>195.79</v>
      </c>
      <c r="E2259" s="8"/>
      <c r="F2259" s="8"/>
      <c r="G2259" s="8"/>
      <c r="H2259" s="8"/>
      <c r="I2259" s="8">
        <v>362.57</v>
      </c>
      <c r="J2259" s="8"/>
      <c r="K2259" s="8"/>
      <c r="L2259" s="8"/>
      <c r="M2259" s="8"/>
      <c r="N2259" s="8">
        <v>2.97</v>
      </c>
      <c r="O2259" s="8"/>
      <c r="P2259" s="8"/>
      <c r="Q2259" s="8"/>
      <c r="R2259" s="8"/>
      <c r="S2259" s="8">
        <v>1.01</v>
      </c>
      <c r="T2259" s="8"/>
      <c r="U2259" s="8"/>
      <c r="V2259" s="8"/>
      <c r="W2259" s="8">
        <v>5.62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>
        <v>5.58</v>
      </c>
      <c r="AN2259" s="8"/>
      <c r="AO2259" s="8"/>
      <c r="AP2259" s="8"/>
      <c r="AQ2259" s="8"/>
      <c r="AR2259" s="8"/>
      <c r="AS2259" s="8">
        <f>2620*5.33/1000</f>
        <v>13.964600000000001</v>
      </c>
      <c r="AT2259" s="8">
        <v>263.45</v>
      </c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>
        <v>20</v>
      </c>
      <c r="BH2259" s="9">
        <f t="shared" si="315"/>
        <v>558.36</v>
      </c>
      <c r="BI2259" s="9">
        <f t="shared" si="316"/>
        <v>2.97</v>
      </c>
      <c r="BJ2259" s="9">
        <f t="shared" si="317"/>
        <v>1.01</v>
      </c>
      <c r="BK2259" s="9">
        <f t="shared" si="318"/>
        <v>5.62</v>
      </c>
      <c r="BL2259" s="9">
        <f t="shared" si="319"/>
        <v>0</v>
      </c>
      <c r="BM2259" s="9">
        <f t="shared" si="320"/>
        <v>19.544600000000003</v>
      </c>
      <c r="BN2259" s="9">
        <f t="shared" si="321"/>
        <v>263.45</v>
      </c>
      <c r="BO2259" s="9">
        <f t="shared" si="322"/>
        <v>0</v>
      </c>
      <c r="BP2259" s="9">
        <f t="shared" si="323"/>
        <v>0</v>
      </c>
    </row>
    <row r="2260" spans="1:68">
      <c r="A2260" s="6">
        <v>44945</v>
      </c>
      <c r="B2260" s="7">
        <v>3021</v>
      </c>
      <c r="C2260" s="8"/>
      <c r="D2260" s="8">
        <v>198.12</v>
      </c>
      <c r="E2260" s="8"/>
      <c r="F2260" s="8"/>
      <c r="G2260" s="8"/>
      <c r="H2260" s="8"/>
      <c r="I2260" s="8">
        <v>367.89</v>
      </c>
      <c r="J2260" s="8"/>
      <c r="K2260" s="8"/>
      <c r="L2260" s="8"/>
      <c r="M2260" s="8"/>
      <c r="N2260" s="8">
        <v>3</v>
      </c>
      <c r="O2260" s="8"/>
      <c r="P2260" s="8"/>
      <c r="Q2260" s="8"/>
      <c r="R2260" s="8"/>
      <c r="S2260" s="8">
        <v>1.02</v>
      </c>
      <c r="T2260" s="8"/>
      <c r="U2260" s="8"/>
      <c r="V2260" s="8"/>
      <c r="W2260" s="8">
        <v>5.67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>
        <v>5.61</v>
      </c>
      <c r="AN2260" s="8"/>
      <c r="AO2260" s="8"/>
      <c r="AP2260" s="8"/>
      <c r="AQ2260" s="8"/>
      <c r="AR2260" s="8"/>
      <c r="AS2260" s="8">
        <f>2620*5.4/1000</f>
        <v>14.148000000000001</v>
      </c>
      <c r="AT2260" s="8">
        <v>266.81</v>
      </c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>
        <v>20.079999999999998</v>
      </c>
      <c r="BH2260" s="9">
        <f t="shared" si="315"/>
        <v>566.01</v>
      </c>
      <c r="BI2260" s="9">
        <f t="shared" si="316"/>
        <v>3</v>
      </c>
      <c r="BJ2260" s="9">
        <f t="shared" si="317"/>
        <v>1.02</v>
      </c>
      <c r="BK2260" s="9">
        <f t="shared" si="318"/>
        <v>5.67</v>
      </c>
      <c r="BL2260" s="9">
        <f t="shared" si="319"/>
        <v>0</v>
      </c>
      <c r="BM2260" s="9">
        <f t="shared" si="320"/>
        <v>19.758000000000003</v>
      </c>
      <c r="BN2260" s="9">
        <f t="shared" si="321"/>
        <v>266.81</v>
      </c>
      <c r="BO2260" s="9">
        <f t="shared" si="322"/>
        <v>0</v>
      </c>
      <c r="BP2260" s="9">
        <f t="shared" si="323"/>
        <v>0</v>
      </c>
    </row>
    <row r="2261" spans="1:68">
      <c r="A2261" s="6">
        <v>44945</v>
      </c>
      <c r="B2261" s="7">
        <v>3023</v>
      </c>
      <c r="C2261" s="8"/>
      <c r="D2261" s="8">
        <v>1610.41</v>
      </c>
      <c r="E2261" s="8"/>
      <c r="F2261" s="8"/>
      <c r="G2261" s="8"/>
      <c r="H2261" s="8"/>
      <c r="I2261" s="8">
        <v>868.59</v>
      </c>
      <c r="J2261" s="8"/>
      <c r="K2261" s="8"/>
      <c r="L2261" s="8"/>
      <c r="M2261" s="8"/>
      <c r="N2261" s="8">
        <v>13.88</v>
      </c>
      <c r="O2261" s="8"/>
      <c r="P2261" s="8"/>
      <c r="Q2261" s="8"/>
      <c r="R2261" s="8"/>
      <c r="S2261" s="8">
        <v>3.97</v>
      </c>
      <c r="T2261" s="8"/>
      <c r="U2261" s="8"/>
      <c r="V2261" s="8"/>
      <c r="W2261" s="8">
        <v>22.32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>
        <v>24.78</v>
      </c>
      <c r="AN2261" s="8">
        <f>1010*17.1/1000</f>
        <v>17.271000000000001</v>
      </c>
      <c r="AO2261" s="8"/>
      <c r="AP2261" s="8"/>
      <c r="AQ2261" s="8"/>
      <c r="AR2261" s="8"/>
      <c r="AS2261" s="8">
        <f>4772*17.1/1000</f>
        <v>81.601200000000006</v>
      </c>
      <c r="AT2261" s="8">
        <v>1016.3</v>
      </c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>
        <v>76.81</v>
      </c>
      <c r="BH2261" s="9">
        <f t="shared" si="315"/>
        <v>2479</v>
      </c>
      <c r="BI2261" s="9">
        <f t="shared" si="316"/>
        <v>13.88</v>
      </c>
      <c r="BJ2261" s="9">
        <f t="shared" si="317"/>
        <v>3.97</v>
      </c>
      <c r="BK2261" s="9">
        <f t="shared" si="318"/>
        <v>22.32</v>
      </c>
      <c r="BL2261" s="9">
        <f t="shared" si="319"/>
        <v>0</v>
      </c>
      <c r="BM2261" s="9">
        <f t="shared" si="320"/>
        <v>123.65220000000001</v>
      </c>
      <c r="BN2261" s="9">
        <f t="shared" si="321"/>
        <v>1016.3</v>
      </c>
      <c r="BO2261" s="9">
        <f t="shared" si="322"/>
        <v>0</v>
      </c>
      <c r="BP2261" s="9">
        <f t="shared" si="323"/>
        <v>0</v>
      </c>
    </row>
    <row r="2262" spans="1:68">
      <c r="A2262" s="6">
        <v>44945</v>
      </c>
      <c r="B2262" s="7">
        <v>3203</v>
      </c>
      <c r="C2262" s="8">
        <v>872.06</v>
      </c>
      <c r="D2262" s="8"/>
      <c r="E2262" s="8">
        <v>374.82</v>
      </c>
      <c r="F2262" s="8"/>
      <c r="G2262" s="8"/>
      <c r="H2262" s="8"/>
      <c r="I2262" s="8"/>
      <c r="J2262" s="8"/>
      <c r="K2262" s="8"/>
      <c r="L2262" s="8"/>
      <c r="M2262" s="8"/>
      <c r="N2262" s="8"/>
      <c r="O2262" s="8">
        <v>3.74</v>
      </c>
      <c r="P2262" s="8"/>
      <c r="Q2262" s="8"/>
      <c r="R2262" s="8"/>
      <c r="S2262" s="8">
        <v>4.87</v>
      </c>
      <c r="T2262" s="8"/>
      <c r="U2262" s="8">
        <v>15.46</v>
      </c>
      <c r="V2262" s="8"/>
      <c r="W2262" s="8"/>
      <c r="X2262" s="8"/>
      <c r="Y2262" s="8"/>
      <c r="Z2262" s="8">
        <v>196.48</v>
      </c>
      <c r="AA2262" s="8">
        <f>10423*14.67/1000</f>
        <v>152.90541000000002</v>
      </c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>
        <v>466.29</v>
      </c>
      <c r="AU2262" s="8">
        <v>233.47</v>
      </c>
      <c r="AV2262" s="8"/>
      <c r="AW2262" s="8"/>
      <c r="AX2262" s="8"/>
      <c r="AY2262" s="8"/>
      <c r="AZ2262" s="8"/>
      <c r="BA2262" s="8"/>
      <c r="BB2262" s="8"/>
      <c r="BC2262" s="8">
        <v>3.24</v>
      </c>
      <c r="BD2262" s="8"/>
      <c r="BE2262" s="8"/>
      <c r="BF2262" s="8"/>
      <c r="BG2262" s="8">
        <v>45.74</v>
      </c>
      <c r="BH2262" s="9">
        <f t="shared" si="315"/>
        <v>1246.8799999999999</v>
      </c>
      <c r="BI2262" s="9">
        <f t="shared" si="316"/>
        <v>3.74</v>
      </c>
      <c r="BJ2262" s="9">
        <f t="shared" si="317"/>
        <v>4.87</v>
      </c>
      <c r="BK2262" s="9">
        <f t="shared" si="318"/>
        <v>15.46</v>
      </c>
      <c r="BL2262" s="9">
        <f t="shared" si="319"/>
        <v>349.38540999999998</v>
      </c>
      <c r="BM2262" s="9">
        <f t="shared" si="320"/>
        <v>0</v>
      </c>
      <c r="BN2262" s="9">
        <f t="shared" si="321"/>
        <v>699.76</v>
      </c>
      <c r="BO2262" s="9">
        <f t="shared" si="322"/>
        <v>3.24</v>
      </c>
      <c r="BP2262" s="9">
        <f t="shared" si="323"/>
        <v>0</v>
      </c>
    </row>
    <row r="2263" spans="1:68">
      <c r="A2263" s="6">
        <v>44945</v>
      </c>
      <c r="B2263" s="7">
        <v>3703</v>
      </c>
      <c r="C2263" s="8">
        <v>800.78</v>
      </c>
      <c r="D2263" s="8">
        <v>534.01</v>
      </c>
      <c r="E2263" s="8"/>
      <c r="F2263" s="8"/>
      <c r="G2263" s="8"/>
      <c r="H2263" s="8"/>
      <c r="I2263" s="8"/>
      <c r="J2263" s="8"/>
      <c r="K2263" s="8"/>
      <c r="L2263" s="8"/>
      <c r="M2263" s="8">
        <v>2.68</v>
      </c>
      <c r="N2263" s="8"/>
      <c r="O2263" s="8"/>
      <c r="P2263" s="8"/>
      <c r="Q2263" s="8"/>
      <c r="R2263" s="8"/>
      <c r="S2263" s="8">
        <v>6.55</v>
      </c>
      <c r="T2263" s="8"/>
      <c r="U2263" s="8">
        <v>10.7</v>
      </c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>
        <v>13.29</v>
      </c>
      <c r="AN2263" s="8"/>
      <c r="AO2263" s="8"/>
      <c r="AP2263" s="8"/>
      <c r="AQ2263" s="8"/>
      <c r="AR2263" s="8"/>
      <c r="AS2263" s="8"/>
      <c r="AT2263" s="8">
        <v>321.10000000000002</v>
      </c>
      <c r="AU2263" s="8">
        <v>161.87</v>
      </c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>
        <v>34.17</v>
      </c>
      <c r="BH2263" s="9">
        <f t="shared" si="315"/>
        <v>1334.79</v>
      </c>
      <c r="BI2263" s="9">
        <f t="shared" si="316"/>
        <v>2.68</v>
      </c>
      <c r="BJ2263" s="9">
        <f t="shared" si="317"/>
        <v>6.55</v>
      </c>
      <c r="BK2263" s="9">
        <f t="shared" si="318"/>
        <v>10.7</v>
      </c>
      <c r="BL2263" s="9">
        <f t="shared" si="319"/>
        <v>0</v>
      </c>
      <c r="BM2263" s="9">
        <f t="shared" si="320"/>
        <v>13.29</v>
      </c>
      <c r="BN2263" s="9">
        <f t="shared" si="321"/>
        <v>482.97</v>
      </c>
      <c r="BO2263" s="9">
        <f t="shared" si="322"/>
        <v>0</v>
      </c>
      <c r="BP2263" s="9">
        <f t="shared" si="323"/>
        <v>0</v>
      </c>
    </row>
    <row r="2264" spans="1:68">
      <c r="A2264" s="6">
        <v>44945</v>
      </c>
      <c r="B2264" s="7">
        <v>3602</v>
      </c>
      <c r="C2264" s="8">
        <v>294.89999999999998</v>
      </c>
      <c r="D2264" s="8"/>
      <c r="E2264" s="8"/>
      <c r="F2264" s="8"/>
      <c r="G2264" s="8">
        <v>441.7</v>
      </c>
      <c r="H2264" s="8"/>
      <c r="I2264" s="8"/>
      <c r="J2264" s="8"/>
      <c r="K2264" s="8"/>
      <c r="L2264" s="8"/>
      <c r="M2264" s="8">
        <v>0.76</v>
      </c>
      <c r="N2264" s="8"/>
      <c r="O2264" s="8"/>
      <c r="P2264" s="8"/>
      <c r="Q2264" s="8"/>
      <c r="R2264" s="8"/>
      <c r="S2264" s="8">
        <v>3.54</v>
      </c>
      <c r="T2264" s="8"/>
      <c r="U2264" s="8">
        <v>5.9</v>
      </c>
      <c r="V2264" s="8">
        <f>849*8.42/1000</f>
        <v>7.1485799999999999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>
        <v>297.68</v>
      </c>
      <c r="AU2264" s="8"/>
      <c r="AV2264" s="8"/>
      <c r="AW2264" s="8">
        <v>19.059999999999999</v>
      </c>
      <c r="AX2264" s="8"/>
      <c r="AY2264" s="8"/>
      <c r="AZ2264" s="8"/>
      <c r="BA2264" s="8"/>
      <c r="BB2264" s="8"/>
      <c r="BC2264" s="8"/>
      <c r="BD2264" s="8"/>
      <c r="BE2264" s="8"/>
      <c r="BF2264" s="8">
        <v>23.61</v>
      </c>
      <c r="BG2264" s="8">
        <v>22.22</v>
      </c>
      <c r="BH2264" s="9">
        <f t="shared" si="315"/>
        <v>736.59999999999991</v>
      </c>
      <c r="BI2264" s="9">
        <f t="shared" si="316"/>
        <v>0.76</v>
      </c>
      <c r="BJ2264" s="9">
        <f t="shared" si="317"/>
        <v>3.54</v>
      </c>
      <c r="BK2264" s="9">
        <f t="shared" si="318"/>
        <v>13.048580000000001</v>
      </c>
      <c r="BL2264" s="9">
        <f t="shared" si="319"/>
        <v>0</v>
      </c>
      <c r="BM2264" s="9">
        <f t="shared" si="320"/>
        <v>0</v>
      </c>
      <c r="BN2264" s="9">
        <f t="shared" si="321"/>
        <v>297.68</v>
      </c>
      <c r="BO2264" s="9">
        <f t="shared" si="322"/>
        <v>19.059999999999999</v>
      </c>
      <c r="BP2264" s="9">
        <f t="shared" si="323"/>
        <v>23.61</v>
      </c>
    </row>
    <row r="2265" spans="1:68">
      <c r="A2265" s="6">
        <v>44945</v>
      </c>
      <c r="B2265" s="7">
        <v>3705</v>
      </c>
      <c r="C2265" s="8"/>
      <c r="D2265" s="8">
        <f>664.81+153.39</f>
        <v>818.19999999999993</v>
      </c>
      <c r="E2265" s="8"/>
      <c r="F2265" s="8"/>
      <c r="G2265" s="8"/>
      <c r="H2265" s="8"/>
      <c r="I2265" s="8">
        <f>145.1+33.59</f>
        <v>178.69</v>
      </c>
      <c r="J2265" s="8"/>
      <c r="K2265" s="8"/>
      <c r="L2265" s="8"/>
      <c r="M2265" s="8">
        <f>2.44+0.56</f>
        <v>3</v>
      </c>
      <c r="N2265" s="8"/>
      <c r="O2265" s="8"/>
      <c r="P2265" s="8"/>
      <c r="Q2265" s="8"/>
      <c r="R2265" s="8"/>
      <c r="S2265" s="8">
        <f>2.84+0.65</f>
        <v>3.4899999999999998</v>
      </c>
      <c r="T2265" s="8"/>
      <c r="U2265" s="8">
        <f>5.68+1.31</f>
        <v>6.99</v>
      </c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>
        <f>47.86+11.08</f>
        <v>58.94</v>
      </c>
      <c r="AU2265" s="8">
        <f>96.37+22.23</f>
        <v>118.60000000000001</v>
      </c>
      <c r="AV2265" s="8">
        <f>1.62+0.37</f>
        <v>1.9900000000000002</v>
      </c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>
        <f>7.96+1.84</f>
        <v>9.8000000000000007</v>
      </c>
      <c r="BH2265" s="9">
        <f t="shared" si="315"/>
        <v>996.88999999999987</v>
      </c>
      <c r="BI2265" s="9">
        <f t="shared" si="316"/>
        <v>3</v>
      </c>
      <c r="BJ2265" s="9">
        <f t="shared" si="317"/>
        <v>3.4899999999999998</v>
      </c>
      <c r="BK2265" s="9">
        <f t="shared" si="318"/>
        <v>6.99</v>
      </c>
      <c r="BL2265" s="9">
        <f t="shared" si="319"/>
        <v>0</v>
      </c>
      <c r="BM2265" s="9">
        <f t="shared" si="320"/>
        <v>0</v>
      </c>
      <c r="BN2265" s="9">
        <f t="shared" si="321"/>
        <v>177.54000000000002</v>
      </c>
      <c r="BO2265" s="9">
        <f t="shared" si="322"/>
        <v>1.9900000000000002</v>
      </c>
      <c r="BP2265" s="9">
        <f t="shared" si="323"/>
        <v>0</v>
      </c>
    </row>
    <row r="2266" spans="1:68">
      <c r="A2266" s="6">
        <v>44946</v>
      </c>
      <c r="B2266" s="7">
        <v>3101</v>
      </c>
      <c r="C2266" s="8">
        <v>627.66999999999996</v>
      </c>
      <c r="D2266" s="8"/>
      <c r="E2266" s="8"/>
      <c r="F2266" s="8"/>
      <c r="G2266" s="8"/>
      <c r="H2266" s="8"/>
      <c r="I2266" s="8"/>
      <c r="J2266" s="8"/>
      <c r="K2266" s="8"/>
      <c r="L2266" s="8"/>
      <c r="M2266" s="8">
        <v>1.45</v>
      </c>
      <c r="N2266" s="8"/>
      <c r="O2266" s="8"/>
      <c r="P2266" s="8"/>
      <c r="Q2266" s="8"/>
      <c r="R2266" s="8"/>
      <c r="S2266" s="8">
        <v>3.65</v>
      </c>
      <c r="T2266" s="8"/>
      <c r="U2266" s="8">
        <v>10.08</v>
      </c>
      <c r="V2266" s="8"/>
      <c r="W2266" s="8"/>
      <c r="X2266" s="8"/>
      <c r="Y2266" s="8"/>
      <c r="Z2266" s="8"/>
      <c r="AA2266" s="8"/>
      <c r="AB2266" s="8"/>
      <c r="AC2266" s="8">
        <v>2.52</v>
      </c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>
        <v>421.67</v>
      </c>
      <c r="AU2266" s="8"/>
      <c r="AV2266" s="8"/>
      <c r="AW2266" s="8">
        <v>13.41</v>
      </c>
      <c r="AX2266" s="8"/>
      <c r="AY2266" s="8"/>
      <c r="AZ2266" s="8"/>
      <c r="BA2266" s="8"/>
      <c r="BB2266" s="8"/>
      <c r="BC2266" s="8"/>
      <c r="BD2266" s="8"/>
      <c r="BE2266" s="8"/>
      <c r="BF2266" s="8">
        <v>81.87</v>
      </c>
      <c r="BG2266" s="8">
        <v>32.47</v>
      </c>
      <c r="BH2266" s="9">
        <f t="shared" si="315"/>
        <v>627.66999999999996</v>
      </c>
      <c r="BI2266" s="9">
        <f t="shared" si="316"/>
        <v>1.45</v>
      </c>
      <c r="BJ2266" s="9">
        <f t="shared" si="317"/>
        <v>3.65</v>
      </c>
      <c r="BK2266" s="9">
        <f t="shared" si="318"/>
        <v>10.08</v>
      </c>
      <c r="BL2266" s="9">
        <f t="shared" si="319"/>
        <v>0</v>
      </c>
      <c r="BM2266" s="9">
        <f t="shared" si="320"/>
        <v>2.52</v>
      </c>
      <c r="BN2266" s="9">
        <f t="shared" si="321"/>
        <v>421.67</v>
      </c>
      <c r="BO2266" s="9">
        <f t="shared" si="322"/>
        <v>13.41</v>
      </c>
      <c r="BP2266" s="9">
        <f t="shared" si="323"/>
        <v>81.87</v>
      </c>
    </row>
    <row r="2267" spans="1:68">
      <c r="A2267" s="6">
        <v>44946</v>
      </c>
      <c r="B2267" s="7">
        <v>3141</v>
      </c>
      <c r="C2267" s="8">
        <v>2457.29</v>
      </c>
      <c r="D2267" s="8">
        <v>438.16</v>
      </c>
      <c r="E2267" s="8"/>
      <c r="F2267" s="8"/>
      <c r="G2267" s="8"/>
      <c r="H2267" s="8"/>
      <c r="I2267" s="8"/>
      <c r="J2267" s="8"/>
      <c r="K2267" s="8"/>
      <c r="L2267" s="8"/>
      <c r="M2267" s="8">
        <v>8.15</v>
      </c>
      <c r="N2267" s="8"/>
      <c r="O2267" s="8"/>
      <c r="P2267" s="8"/>
      <c r="Q2267" s="8"/>
      <c r="R2267" s="8"/>
      <c r="S2267" s="8">
        <v>13.53</v>
      </c>
      <c r="T2267" s="8"/>
      <c r="U2267" s="8">
        <v>43.2</v>
      </c>
      <c r="V2267" s="8"/>
      <c r="W2267" s="8"/>
      <c r="X2267" s="8"/>
      <c r="Y2267" s="8"/>
      <c r="Z2267" s="8"/>
      <c r="AA2267" s="8"/>
      <c r="AB2267" s="8"/>
      <c r="AC2267" s="8">
        <v>11.5</v>
      </c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>
        <v>1901.63</v>
      </c>
      <c r="AU2267" s="8"/>
      <c r="AV2267" s="8"/>
      <c r="AW2267" s="8"/>
      <c r="AX2267" s="8"/>
      <c r="AY2267" s="8"/>
      <c r="AZ2267" s="8"/>
      <c r="BA2267" s="8">
        <v>65.95</v>
      </c>
      <c r="BB2267" s="8"/>
      <c r="BC2267" s="8"/>
      <c r="BD2267" s="8"/>
      <c r="BE2267" s="8"/>
      <c r="BF2267" s="8">
        <v>201.6</v>
      </c>
      <c r="BG2267" s="8">
        <v>149.76</v>
      </c>
      <c r="BH2267" s="9">
        <f t="shared" si="315"/>
        <v>2895.45</v>
      </c>
      <c r="BI2267" s="9">
        <f t="shared" si="316"/>
        <v>8.15</v>
      </c>
      <c r="BJ2267" s="9">
        <f t="shared" si="317"/>
        <v>13.53</v>
      </c>
      <c r="BK2267" s="9">
        <f t="shared" si="318"/>
        <v>43.2</v>
      </c>
      <c r="BL2267" s="9">
        <f t="shared" si="319"/>
        <v>0</v>
      </c>
      <c r="BM2267" s="9">
        <f t="shared" si="320"/>
        <v>11.5</v>
      </c>
      <c r="BN2267" s="9">
        <f t="shared" si="321"/>
        <v>1901.63</v>
      </c>
      <c r="BO2267" s="9">
        <f t="shared" si="322"/>
        <v>65.95</v>
      </c>
      <c r="BP2267" s="9">
        <f t="shared" si="323"/>
        <v>201.6</v>
      </c>
    </row>
    <row r="2268" spans="1:68">
      <c r="A2268" s="6">
        <v>44946</v>
      </c>
      <c r="B2268" s="7">
        <v>3134</v>
      </c>
      <c r="C2268" s="8">
        <v>1063.31</v>
      </c>
      <c r="D2268" s="8">
        <v>148.97</v>
      </c>
      <c r="E2268" s="8"/>
      <c r="F2268" s="8"/>
      <c r="G2268" s="8"/>
      <c r="H2268" s="8">
        <v>502.49</v>
      </c>
      <c r="I2268" s="8"/>
      <c r="J2268" s="8"/>
      <c r="K2268" s="8"/>
      <c r="L2268" s="8"/>
      <c r="M2268" s="8">
        <v>2.78</v>
      </c>
      <c r="N2268" s="8"/>
      <c r="O2268" s="8"/>
      <c r="P2268" s="8"/>
      <c r="Q2268" s="8"/>
      <c r="R2268" s="8"/>
      <c r="S2268" s="8">
        <v>6.86</v>
      </c>
      <c r="T2268" s="8"/>
      <c r="U2268" s="8">
        <v>19.38</v>
      </c>
      <c r="V2268" s="8"/>
      <c r="W2268" s="8"/>
      <c r="X2268" s="8"/>
      <c r="Y2268" s="8"/>
      <c r="Z2268" s="8"/>
      <c r="AA2268" s="8"/>
      <c r="AB2268" s="8"/>
      <c r="AC2268" s="8">
        <v>5.96</v>
      </c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>
        <v>1046.6199999999999</v>
      </c>
      <c r="AU2268" s="8"/>
      <c r="AV2268" s="8"/>
      <c r="AW2268" s="8"/>
      <c r="AX2268" s="8"/>
      <c r="AY2268" s="8">
        <f>1410*10.65/1000</f>
        <v>15.016500000000001</v>
      </c>
      <c r="AZ2268" s="8"/>
      <c r="BA2268" s="8"/>
      <c r="BB2268" s="8"/>
      <c r="BC2268" s="8"/>
      <c r="BD2268" s="8"/>
      <c r="BE2268" s="8"/>
      <c r="BF2268" s="8">
        <v>67.17</v>
      </c>
      <c r="BG2268" s="8">
        <v>78.97</v>
      </c>
      <c r="BH2268" s="9">
        <f t="shared" si="315"/>
        <v>1714.77</v>
      </c>
      <c r="BI2268" s="9">
        <f t="shared" si="316"/>
        <v>2.78</v>
      </c>
      <c r="BJ2268" s="9">
        <f t="shared" si="317"/>
        <v>6.86</v>
      </c>
      <c r="BK2268" s="9">
        <f t="shared" si="318"/>
        <v>19.38</v>
      </c>
      <c r="BL2268" s="9">
        <f t="shared" si="319"/>
        <v>0</v>
      </c>
      <c r="BM2268" s="9">
        <f t="shared" si="320"/>
        <v>5.96</v>
      </c>
      <c r="BN2268" s="9">
        <f t="shared" si="321"/>
        <v>1046.6199999999999</v>
      </c>
      <c r="BO2268" s="9">
        <f t="shared" si="322"/>
        <v>15.016500000000001</v>
      </c>
      <c r="BP2268" s="9">
        <f t="shared" si="323"/>
        <v>67.17</v>
      </c>
    </row>
    <row r="2269" spans="1:68">
      <c r="A2269" s="6">
        <v>44946</v>
      </c>
      <c r="B2269" s="7">
        <v>3106</v>
      </c>
      <c r="C2269" s="8">
        <v>4160.6099999999997</v>
      </c>
      <c r="D2269" s="8"/>
      <c r="E2269" s="8"/>
      <c r="F2269" s="8"/>
      <c r="G2269" s="8"/>
      <c r="H2269" s="8"/>
      <c r="I2269" s="8"/>
      <c r="J2269" s="8"/>
      <c r="K2269" s="8"/>
      <c r="L2269" s="8"/>
      <c r="M2269" s="8">
        <v>10.81</v>
      </c>
      <c r="N2269" s="8"/>
      <c r="O2269" s="8"/>
      <c r="P2269" s="8"/>
      <c r="Q2269" s="8"/>
      <c r="R2269" s="8"/>
      <c r="S2269" s="8">
        <v>12.54</v>
      </c>
      <c r="T2269" s="8"/>
      <c r="U2269" s="8">
        <v>52.92</v>
      </c>
      <c r="V2269" s="8"/>
      <c r="W2269" s="8"/>
      <c r="X2269" s="8"/>
      <c r="Y2269" s="8"/>
      <c r="Z2269" s="8"/>
      <c r="AA2269" s="8"/>
      <c r="AB2269" s="8"/>
      <c r="AC2269" s="8">
        <v>10.41</v>
      </c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>
        <v>2375.08</v>
      </c>
      <c r="AU2269" s="8"/>
      <c r="AV2269" s="8"/>
      <c r="AW2269" s="8"/>
      <c r="AX2269" s="8">
        <v>5.21</v>
      </c>
      <c r="AY2269" s="8"/>
      <c r="AZ2269" s="8"/>
      <c r="BA2269" s="8"/>
      <c r="BB2269" s="8"/>
      <c r="BC2269" s="8"/>
      <c r="BD2269" s="8"/>
      <c r="BE2269" s="8"/>
      <c r="BF2269" s="8"/>
      <c r="BG2269" s="8">
        <v>178.75</v>
      </c>
      <c r="BH2269" s="9">
        <f t="shared" si="315"/>
        <v>4160.6099999999997</v>
      </c>
      <c r="BI2269" s="9">
        <f t="shared" si="316"/>
        <v>10.81</v>
      </c>
      <c r="BJ2269" s="9">
        <f t="shared" si="317"/>
        <v>12.54</v>
      </c>
      <c r="BK2269" s="9">
        <f t="shared" si="318"/>
        <v>52.92</v>
      </c>
      <c r="BL2269" s="9">
        <f t="shared" si="319"/>
        <v>0</v>
      </c>
      <c r="BM2269" s="9">
        <f t="shared" si="320"/>
        <v>10.41</v>
      </c>
      <c r="BN2269" s="9">
        <f t="shared" si="321"/>
        <v>2375.08</v>
      </c>
      <c r="BO2269" s="9">
        <f t="shared" si="322"/>
        <v>5.21</v>
      </c>
      <c r="BP2269" s="9">
        <f t="shared" si="323"/>
        <v>0</v>
      </c>
    </row>
    <row r="2270" spans="1:68">
      <c r="A2270" s="6">
        <v>44946</v>
      </c>
      <c r="B2270" s="7">
        <v>3105</v>
      </c>
      <c r="C2270" s="8">
        <v>1070.17</v>
      </c>
      <c r="D2270" s="8"/>
      <c r="E2270" s="8"/>
      <c r="F2270" s="8"/>
      <c r="G2270" s="8"/>
      <c r="H2270" s="8"/>
      <c r="I2270" s="8"/>
      <c r="J2270" s="8"/>
      <c r="K2270" s="8"/>
      <c r="L2270" s="8"/>
      <c r="M2270" s="8">
        <v>2.68</v>
      </c>
      <c r="N2270" s="8"/>
      <c r="O2270" s="8"/>
      <c r="P2270" s="8"/>
      <c r="Q2270" s="8"/>
      <c r="R2270" s="8"/>
      <c r="S2270" s="8">
        <v>3.42</v>
      </c>
      <c r="T2270" s="8"/>
      <c r="U2270" s="8">
        <v>13.6</v>
      </c>
      <c r="V2270" s="8"/>
      <c r="W2270" s="8"/>
      <c r="X2270" s="8"/>
      <c r="Y2270" s="8"/>
      <c r="Z2270" s="8"/>
      <c r="AA2270" s="8"/>
      <c r="AB2270" s="8"/>
      <c r="AC2270" s="8">
        <v>4.2699999999999996</v>
      </c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>
        <v>612.04999999999995</v>
      </c>
      <c r="AU2270" s="8"/>
      <c r="AV2270" s="8">
        <v>3.69</v>
      </c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>
        <v>45.97</v>
      </c>
      <c r="BH2270" s="9">
        <f t="shared" si="315"/>
        <v>1070.17</v>
      </c>
      <c r="BI2270" s="9">
        <f t="shared" si="316"/>
        <v>2.68</v>
      </c>
      <c r="BJ2270" s="9">
        <f t="shared" si="317"/>
        <v>3.42</v>
      </c>
      <c r="BK2270" s="9">
        <f t="shared" si="318"/>
        <v>13.6</v>
      </c>
      <c r="BL2270" s="9">
        <f t="shared" si="319"/>
        <v>0</v>
      </c>
      <c r="BM2270" s="9">
        <f t="shared" si="320"/>
        <v>4.2699999999999996</v>
      </c>
      <c r="BN2270" s="9">
        <f t="shared" si="321"/>
        <v>612.04999999999995</v>
      </c>
      <c r="BO2270" s="9">
        <f t="shared" si="322"/>
        <v>3.69</v>
      </c>
      <c r="BP2270" s="9">
        <f t="shared" si="323"/>
        <v>0</v>
      </c>
    </row>
    <row r="2271" spans="1:68">
      <c r="A2271" s="6">
        <v>44946</v>
      </c>
      <c r="B2271" s="7">
        <v>3110</v>
      </c>
      <c r="C2271" s="8">
        <v>1234.82</v>
      </c>
      <c r="D2271" s="8"/>
      <c r="E2271" s="8"/>
      <c r="F2271" s="8"/>
      <c r="G2271" s="8"/>
      <c r="H2271" s="8"/>
      <c r="I2271" s="8"/>
      <c r="J2271" s="8"/>
      <c r="K2271" s="8"/>
      <c r="L2271" s="8"/>
      <c r="M2271" s="8">
        <v>1.92</v>
      </c>
      <c r="N2271" s="8"/>
      <c r="O2271" s="8"/>
      <c r="P2271" s="8"/>
      <c r="Q2271" s="8"/>
      <c r="R2271" s="8"/>
      <c r="S2271" s="8">
        <v>4.2</v>
      </c>
      <c r="T2271" s="8"/>
      <c r="U2271" s="8">
        <v>12.35</v>
      </c>
      <c r="V2271" s="8"/>
      <c r="W2271" s="8"/>
      <c r="X2271" s="8"/>
      <c r="Y2271" s="8"/>
      <c r="Z2271" s="8"/>
      <c r="AA2271" s="8"/>
      <c r="AB2271" s="8"/>
      <c r="AC2271" s="8">
        <v>4.9400000000000004</v>
      </c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>
        <v>644.91</v>
      </c>
      <c r="AU2271" s="8"/>
      <c r="AV2271" s="8">
        <v>20.96</v>
      </c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>
        <v>47.64</v>
      </c>
      <c r="BH2271" s="9">
        <f t="shared" si="315"/>
        <v>1234.82</v>
      </c>
      <c r="BI2271" s="9">
        <f t="shared" si="316"/>
        <v>1.92</v>
      </c>
      <c r="BJ2271" s="9">
        <f t="shared" si="317"/>
        <v>4.2</v>
      </c>
      <c r="BK2271" s="9">
        <f t="shared" si="318"/>
        <v>12.35</v>
      </c>
      <c r="BL2271" s="9">
        <f t="shared" si="319"/>
        <v>0</v>
      </c>
      <c r="BM2271" s="9">
        <f t="shared" si="320"/>
        <v>4.9400000000000004</v>
      </c>
      <c r="BN2271" s="9">
        <f t="shared" si="321"/>
        <v>644.91</v>
      </c>
      <c r="BO2271" s="9">
        <f t="shared" si="322"/>
        <v>20.96</v>
      </c>
      <c r="BP2271" s="9">
        <f t="shared" si="323"/>
        <v>0</v>
      </c>
    </row>
    <row r="2272" spans="1:68">
      <c r="A2272" s="6">
        <v>44946</v>
      </c>
      <c r="B2272" s="7">
        <v>3083</v>
      </c>
      <c r="C2272" s="8"/>
      <c r="D2272" s="8">
        <v>737.04</v>
      </c>
      <c r="E2272" s="8"/>
      <c r="F2272" s="8"/>
      <c r="G2272" s="8"/>
      <c r="H2272" s="8"/>
      <c r="I2272" s="8">
        <v>1715.29</v>
      </c>
      <c r="J2272" s="8"/>
      <c r="K2272" s="8"/>
      <c r="L2272" s="8"/>
      <c r="M2272" s="8"/>
      <c r="N2272" s="8">
        <v>15.47</v>
      </c>
      <c r="O2272" s="8"/>
      <c r="P2272" s="8"/>
      <c r="Q2272" s="8"/>
      <c r="R2272" s="8"/>
      <c r="S2272" s="8">
        <v>1.71</v>
      </c>
      <c r="T2272" s="8"/>
      <c r="U2272" s="8"/>
      <c r="V2272" s="8"/>
      <c r="W2272" s="8">
        <v>19.670000000000002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>
        <v>9.7100000000000009</v>
      </c>
      <c r="AN2272" s="8">
        <f>1922*18.18/1000</f>
        <v>34.941960000000002</v>
      </c>
      <c r="AO2272" s="8"/>
      <c r="AP2272" s="8"/>
      <c r="AQ2272" s="8"/>
      <c r="AR2272" s="8">
        <f>3394*18.18/1000</f>
        <v>61.702919999999999</v>
      </c>
      <c r="AS2272" s="8"/>
      <c r="AT2272" s="8">
        <v>1153.68</v>
      </c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>
        <v>92.03</v>
      </c>
      <c r="BH2272" s="9">
        <f t="shared" si="315"/>
        <v>2452.33</v>
      </c>
      <c r="BI2272" s="9">
        <f t="shared" si="316"/>
        <v>15.47</v>
      </c>
      <c r="BJ2272" s="9">
        <f t="shared" si="317"/>
        <v>1.71</v>
      </c>
      <c r="BK2272" s="9">
        <f t="shared" si="318"/>
        <v>19.670000000000002</v>
      </c>
      <c r="BL2272" s="9">
        <f t="shared" si="319"/>
        <v>0</v>
      </c>
      <c r="BM2272" s="9">
        <f t="shared" si="320"/>
        <v>106.35488000000001</v>
      </c>
      <c r="BN2272" s="9">
        <f t="shared" si="321"/>
        <v>1153.68</v>
      </c>
      <c r="BO2272" s="9">
        <f t="shared" si="322"/>
        <v>0</v>
      </c>
      <c r="BP2272" s="9">
        <f t="shared" si="323"/>
        <v>0</v>
      </c>
    </row>
    <row r="2273" spans="1:68">
      <c r="A2273" s="6">
        <v>44946</v>
      </c>
      <c r="B2273" s="7">
        <v>3020</v>
      </c>
      <c r="C2273" s="8"/>
      <c r="D2273" s="8">
        <v>318.13</v>
      </c>
      <c r="E2273" s="8"/>
      <c r="F2273" s="8"/>
      <c r="G2273" s="8"/>
      <c r="H2273" s="8"/>
      <c r="I2273" s="8">
        <v>1799.57</v>
      </c>
      <c r="J2273" s="8"/>
      <c r="K2273" s="8"/>
      <c r="L2273" s="8"/>
      <c r="M2273" s="8"/>
      <c r="N2273" s="8">
        <v>12.71</v>
      </c>
      <c r="O2273" s="8"/>
      <c r="P2273" s="8"/>
      <c r="Q2273" s="8"/>
      <c r="R2273" s="8"/>
      <c r="S2273" s="8">
        <v>3.8</v>
      </c>
      <c r="T2273" s="8"/>
      <c r="U2273" s="8"/>
      <c r="V2273" s="8"/>
      <c r="W2273" s="8">
        <v>21.19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>
        <v>21.1</v>
      </c>
      <c r="AN2273" s="8"/>
      <c r="AO2273" s="8"/>
      <c r="AP2273" s="8"/>
      <c r="AQ2273" s="8"/>
      <c r="AR2273" s="8"/>
      <c r="AS2273" s="8">
        <f>3009*17.62/1000</f>
        <v>53.01858</v>
      </c>
      <c r="AT2273" s="8">
        <v>1039.9000000000001</v>
      </c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>
        <v>76.09</v>
      </c>
      <c r="BH2273" s="9">
        <f t="shared" si="315"/>
        <v>2117.6999999999998</v>
      </c>
      <c r="BI2273" s="9">
        <f t="shared" si="316"/>
        <v>12.71</v>
      </c>
      <c r="BJ2273" s="9">
        <f t="shared" si="317"/>
        <v>3.8</v>
      </c>
      <c r="BK2273" s="9">
        <f t="shared" si="318"/>
        <v>21.19</v>
      </c>
      <c r="BL2273" s="9">
        <f t="shared" si="319"/>
        <v>0</v>
      </c>
      <c r="BM2273" s="9">
        <f t="shared" si="320"/>
        <v>74.118580000000009</v>
      </c>
      <c r="BN2273" s="9">
        <f t="shared" si="321"/>
        <v>1039.9000000000001</v>
      </c>
      <c r="BO2273" s="9">
        <f t="shared" si="322"/>
        <v>0</v>
      </c>
      <c r="BP2273" s="9">
        <f t="shared" si="323"/>
        <v>0</v>
      </c>
    </row>
    <row r="2274" spans="1:68">
      <c r="A2274" s="6">
        <v>44946</v>
      </c>
      <c r="B2274" s="7">
        <v>3022</v>
      </c>
      <c r="C2274" s="8"/>
      <c r="D2274" s="8">
        <v>306.66000000000003</v>
      </c>
      <c r="E2274" s="8"/>
      <c r="F2274" s="8"/>
      <c r="G2274" s="8"/>
      <c r="H2274" s="8"/>
      <c r="I2274" s="8">
        <v>253.36</v>
      </c>
      <c r="J2274" s="8"/>
      <c r="K2274" s="8"/>
      <c r="L2274" s="8"/>
      <c r="M2274" s="8"/>
      <c r="N2274" s="8">
        <v>2.8</v>
      </c>
      <c r="O2274" s="8"/>
      <c r="P2274" s="8"/>
      <c r="Q2274" s="8"/>
      <c r="R2274" s="8"/>
      <c r="S2274" s="8">
        <v>1.01</v>
      </c>
      <c r="T2274" s="8"/>
      <c r="U2274" s="8"/>
      <c r="V2274" s="8"/>
      <c r="W2274" s="8">
        <v>5.6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>
        <v>7.27</v>
      </c>
      <c r="AN2274" s="8"/>
      <c r="AO2274" s="8"/>
      <c r="AP2274" s="8"/>
      <c r="AQ2274" s="8"/>
      <c r="AR2274" s="8"/>
      <c r="AS2274" s="8">
        <f>3847*5.1/1000</f>
        <v>19.619699999999998</v>
      </c>
      <c r="AT2274" s="8">
        <v>262.02</v>
      </c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>
        <v>20.13</v>
      </c>
      <c r="BH2274" s="9">
        <f t="shared" si="315"/>
        <v>560.02</v>
      </c>
      <c r="BI2274" s="9">
        <f t="shared" si="316"/>
        <v>2.8</v>
      </c>
      <c r="BJ2274" s="9">
        <f t="shared" si="317"/>
        <v>1.01</v>
      </c>
      <c r="BK2274" s="9">
        <f t="shared" si="318"/>
        <v>5.6</v>
      </c>
      <c r="BL2274" s="9">
        <f t="shared" si="319"/>
        <v>0</v>
      </c>
      <c r="BM2274" s="9">
        <f t="shared" si="320"/>
        <v>26.889699999999998</v>
      </c>
      <c r="BN2274" s="9">
        <f t="shared" si="321"/>
        <v>262.02</v>
      </c>
      <c r="BO2274" s="9">
        <f t="shared" si="322"/>
        <v>0</v>
      </c>
      <c r="BP2274" s="9">
        <f t="shared" si="323"/>
        <v>0</v>
      </c>
    </row>
    <row r="2275" spans="1:68">
      <c r="A2275" s="6">
        <v>44946</v>
      </c>
      <c r="B2275" s="7">
        <v>3200</v>
      </c>
      <c r="C2275" s="8">
        <v>2316.0300000000002</v>
      </c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>
        <v>5.79</v>
      </c>
      <c r="P2275" s="8"/>
      <c r="Q2275" s="8"/>
      <c r="R2275" s="8"/>
      <c r="S2275" s="8">
        <v>9.0299999999999994</v>
      </c>
      <c r="T2275" s="8"/>
      <c r="U2275" s="8">
        <v>34.729999999999997</v>
      </c>
      <c r="V2275" s="8"/>
      <c r="W2275" s="8"/>
      <c r="X2275" s="8"/>
      <c r="Y2275" s="8"/>
      <c r="Z2275" s="8">
        <v>486.96</v>
      </c>
      <c r="AA2275" s="8"/>
      <c r="AB2275" s="8"/>
      <c r="AC2275" s="8"/>
      <c r="AD2275" s="8"/>
      <c r="AE2275" s="8"/>
      <c r="AF2275" s="8">
        <v>115.31</v>
      </c>
      <c r="AG2275" s="8"/>
      <c r="AH2275" s="8"/>
      <c r="AI2275" s="8"/>
      <c r="AJ2275" s="8"/>
      <c r="AK2275" s="8"/>
      <c r="AL2275" s="8"/>
      <c r="AM2275" s="8"/>
      <c r="AN2275" s="8"/>
      <c r="AO2275" s="8"/>
      <c r="AP2275" s="8">
        <f>1538*23.15/1000</f>
        <v>35.604699999999994</v>
      </c>
      <c r="AQ2275" s="8"/>
      <c r="AR2275" s="8"/>
      <c r="AS2275" s="8"/>
      <c r="AT2275" s="8">
        <v>1583.68</v>
      </c>
      <c r="AU2275" s="8"/>
      <c r="AV2275" s="8"/>
      <c r="AW2275" s="8">
        <v>6.68</v>
      </c>
      <c r="AX2275" s="8"/>
      <c r="AY2275" s="8"/>
      <c r="AZ2275" s="8"/>
      <c r="BA2275" s="8"/>
      <c r="BB2275" s="8"/>
      <c r="BC2275" s="8"/>
      <c r="BD2275" s="8"/>
      <c r="BE2275" s="8"/>
      <c r="BF2275" s="8">
        <v>111.2</v>
      </c>
      <c r="BG2275" s="8">
        <v>114.62</v>
      </c>
      <c r="BH2275" s="9">
        <f t="shared" si="315"/>
        <v>2316.0300000000002</v>
      </c>
      <c r="BI2275" s="9">
        <f t="shared" si="316"/>
        <v>5.79</v>
      </c>
      <c r="BJ2275" s="9">
        <f t="shared" si="317"/>
        <v>9.0299999999999994</v>
      </c>
      <c r="BK2275" s="9">
        <f t="shared" si="318"/>
        <v>34.729999999999997</v>
      </c>
      <c r="BL2275" s="9">
        <f t="shared" si="319"/>
        <v>486.96</v>
      </c>
      <c r="BM2275" s="9">
        <f t="shared" si="320"/>
        <v>150.91469999999998</v>
      </c>
      <c r="BN2275" s="9">
        <f t="shared" si="321"/>
        <v>1583.68</v>
      </c>
      <c r="BO2275" s="9">
        <f t="shared" si="322"/>
        <v>6.68</v>
      </c>
      <c r="BP2275" s="9">
        <f t="shared" si="323"/>
        <v>111.2</v>
      </c>
    </row>
    <row r="2276" spans="1:68">
      <c r="A2276" s="6">
        <v>44949</v>
      </c>
      <c r="B2276" s="7">
        <v>3200</v>
      </c>
      <c r="C2276" s="8">
        <v>1169.18</v>
      </c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>
        <v>2.92</v>
      </c>
      <c r="P2276" s="8"/>
      <c r="Q2276" s="8"/>
      <c r="R2276" s="8"/>
      <c r="S2276" s="8">
        <v>4.57</v>
      </c>
      <c r="T2276" s="8"/>
      <c r="U2276" s="8">
        <v>17.559999999999999</v>
      </c>
      <c r="V2276" s="8"/>
      <c r="W2276" s="8"/>
      <c r="X2276" s="8"/>
      <c r="Y2276" s="8"/>
      <c r="Z2276" s="8">
        <v>245.82</v>
      </c>
      <c r="AA2276" s="8"/>
      <c r="AB2276" s="8"/>
      <c r="AC2276" s="8"/>
      <c r="AD2276" s="8"/>
      <c r="AE2276" s="8"/>
      <c r="AF2276" s="8">
        <v>58.08</v>
      </c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>
        <f>1513*11.68/1000</f>
        <v>17.67184</v>
      </c>
      <c r="AR2276" s="8"/>
      <c r="AS2276" s="8"/>
      <c r="AT2276" s="8">
        <v>801.28</v>
      </c>
      <c r="AU2276" s="8"/>
      <c r="AV2276" s="8"/>
      <c r="AW2276" s="8">
        <v>3.4</v>
      </c>
      <c r="AX2276" s="8"/>
      <c r="AY2276" s="8"/>
      <c r="AZ2276" s="8"/>
      <c r="BA2276" s="8"/>
      <c r="BB2276" s="8"/>
      <c r="BC2276" s="8"/>
      <c r="BD2276" s="8"/>
      <c r="BE2276" s="8"/>
      <c r="BF2276" s="8">
        <v>56.16</v>
      </c>
      <c r="BG2276" s="8">
        <v>57.86</v>
      </c>
      <c r="BH2276" s="9">
        <f t="shared" si="315"/>
        <v>1169.18</v>
      </c>
      <c r="BI2276" s="9">
        <f t="shared" si="316"/>
        <v>2.92</v>
      </c>
      <c r="BJ2276" s="9">
        <f t="shared" si="317"/>
        <v>4.57</v>
      </c>
      <c r="BK2276" s="9">
        <f t="shared" si="318"/>
        <v>17.559999999999999</v>
      </c>
      <c r="BL2276" s="9">
        <f t="shared" si="319"/>
        <v>245.82</v>
      </c>
      <c r="BM2276" s="9">
        <f t="shared" si="320"/>
        <v>75.751840000000001</v>
      </c>
      <c r="BN2276" s="9">
        <f t="shared" si="321"/>
        <v>801.28</v>
      </c>
      <c r="BO2276" s="9">
        <f t="shared" si="322"/>
        <v>3.4</v>
      </c>
      <c r="BP2276" s="9">
        <f t="shared" si="323"/>
        <v>56.16</v>
      </c>
    </row>
    <row r="2277" spans="1:68">
      <c r="A2277" s="6">
        <v>44949</v>
      </c>
      <c r="B2277" s="7">
        <v>3205</v>
      </c>
      <c r="C2277" s="8">
        <v>671.49</v>
      </c>
      <c r="D2277" s="8">
        <v>373.78</v>
      </c>
      <c r="E2277" s="8">
        <v>447.86</v>
      </c>
      <c r="F2277" s="8"/>
      <c r="G2277" s="8"/>
      <c r="H2277" s="8"/>
      <c r="I2277" s="8"/>
      <c r="J2277" s="8"/>
      <c r="K2277" s="8"/>
      <c r="L2277" s="8"/>
      <c r="M2277" s="8"/>
      <c r="N2277" s="8"/>
      <c r="O2277" s="8">
        <v>5.99</v>
      </c>
      <c r="P2277" s="8"/>
      <c r="Q2277" s="8"/>
      <c r="R2277" s="8"/>
      <c r="S2277" s="8">
        <v>5.54</v>
      </c>
      <c r="T2277" s="8"/>
      <c r="U2277" s="8">
        <v>17.95</v>
      </c>
      <c r="V2277" s="8"/>
      <c r="W2277" s="8"/>
      <c r="X2277" s="8"/>
      <c r="Y2277" s="8"/>
      <c r="Z2277" s="8">
        <v>149.68</v>
      </c>
      <c r="AA2277" s="8"/>
      <c r="AB2277" s="8">
        <f>1006*14.95/1000</f>
        <v>15.039699999999998</v>
      </c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>
        <f>504*14.95/1000</f>
        <v>7.5347999999999988</v>
      </c>
      <c r="AR2277" s="8"/>
      <c r="AS2277" s="8"/>
      <c r="AT2277" s="8">
        <v>390.35</v>
      </c>
      <c r="AU2277" s="8">
        <v>194.57</v>
      </c>
      <c r="AV2277" s="8"/>
      <c r="AW2277" s="8">
        <v>6.43</v>
      </c>
      <c r="AX2277" s="8"/>
      <c r="AY2277" s="8"/>
      <c r="AZ2277" s="8"/>
      <c r="BA2277" s="8"/>
      <c r="BB2277" s="8"/>
      <c r="BC2277" s="8"/>
      <c r="BD2277" s="8"/>
      <c r="BE2277" s="8"/>
      <c r="BF2277" s="8"/>
      <c r="BG2277" s="8">
        <v>35.119999999999997</v>
      </c>
      <c r="BH2277" s="9">
        <f t="shared" si="315"/>
        <v>1493.13</v>
      </c>
      <c r="BI2277" s="9">
        <f t="shared" si="316"/>
        <v>5.99</v>
      </c>
      <c r="BJ2277" s="9">
        <f t="shared" si="317"/>
        <v>5.54</v>
      </c>
      <c r="BK2277" s="9">
        <f t="shared" si="318"/>
        <v>17.95</v>
      </c>
      <c r="BL2277" s="9">
        <f t="shared" si="319"/>
        <v>149.68</v>
      </c>
      <c r="BM2277" s="9">
        <f t="shared" si="320"/>
        <v>22.574499999999997</v>
      </c>
      <c r="BN2277" s="9">
        <f t="shared" si="321"/>
        <v>584.92000000000007</v>
      </c>
      <c r="BO2277" s="9">
        <f t="shared" si="322"/>
        <v>6.43</v>
      </c>
      <c r="BP2277" s="9">
        <f t="shared" si="323"/>
        <v>0</v>
      </c>
    </row>
    <row r="2278" spans="1:68">
      <c r="A2278" s="6">
        <v>44949</v>
      </c>
      <c r="B2278" s="7">
        <v>3145</v>
      </c>
      <c r="C2278" s="8">
        <v>1257.92</v>
      </c>
      <c r="D2278" s="8">
        <v>221.96</v>
      </c>
      <c r="E2278" s="8"/>
      <c r="F2278" s="8"/>
      <c r="G2278" s="8"/>
      <c r="H2278" s="8"/>
      <c r="I2278" s="8"/>
      <c r="J2278" s="8"/>
      <c r="K2278" s="8"/>
      <c r="L2278" s="8"/>
      <c r="M2278" s="8">
        <v>4.3</v>
      </c>
      <c r="N2278" s="8"/>
      <c r="O2278" s="8"/>
      <c r="P2278" s="8"/>
      <c r="Q2278" s="8"/>
      <c r="R2278" s="8"/>
      <c r="S2278" s="8">
        <v>6.97</v>
      </c>
      <c r="T2278" s="8"/>
      <c r="U2278" s="8">
        <v>22.22</v>
      </c>
      <c r="V2278" s="8"/>
      <c r="W2278" s="8"/>
      <c r="X2278" s="8"/>
      <c r="Y2278" s="8"/>
      <c r="Z2278" s="8"/>
      <c r="AA2278" s="8"/>
      <c r="AB2278" s="8"/>
      <c r="AC2278" s="8">
        <v>5.92</v>
      </c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>
        <v>985.69</v>
      </c>
      <c r="AU2278" s="8"/>
      <c r="AV2278" s="8"/>
      <c r="AW2278" s="8"/>
      <c r="AX2278" s="8"/>
      <c r="AY2278" s="8"/>
      <c r="AZ2278" s="8"/>
      <c r="BA2278" s="8"/>
      <c r="BB2278" s="8"/>
      <c r="BC2278" s="8"/>
      <c r="BD2278" s="8">
        <v>3.7</v>
      </c>
      <c r="BE2278" s="8">
        <f>1369*9.87/1000</f>
        <v>13.512029999999999</v>
      </c>
      <c r="BF2278" s="8">
        <v>103.7</v>
      </c>
      <c r="BG2278" s="8">
        <v>77.03</v>
      </c>
      <c r="BH2278" s="9">
        <f t="shared" si="315"/>
        <v>1479.88</v>
      </c>
      <c r="BI2278" s="9">
        <f t="shared" si="316"/>
        <v>4.3</v>
      </c>
      <c r="BJ2278" s="9">
        <f t="shared" si="317"/>
        <v>6.97</v>
      </c>
      <c r="BK2278" s="9">
        <f t="shared" si="318"/>
        <v>22.22</v>
      </c>
      <c r="BL2278" s="9">
        <f t="shared" si="319"/>
        <v>0</v>
      </c>
      <c r="BM2278" s="9">
        <f t="shared" si="320"/>
        <v>5.92</v>
      </c>
      <c r="BN2278" s="9">
        <f t="shared" si="321"/>
        <v>985.69</v>
      </c>
      <c r="BO2278" s="9">
        <f t="shared" si="322"/>
        <v>17.212029999999999</v>
      </c>
      <c r="BP2278" s="9">
        <f t="shared" si="323"/>
        <v>103.7</v>
      </c>
    </row>
    <row r="2279" spans="1:68">
      <c r="A2279" s="6">
        <v>44949</v>
      </c>
      <c r="B2279" s="7">
        <v>3106</v>
      </c>
      <c r="C2279" s="8">
        <v>2079.4</v>
      </c>
      <c r="D2279" s="8"/>
      <c r="E2279" s="8"/>
      <c r="F2279" s="8"/>
      <c r="G2279" s="8"/>
      <c r="H2279" s="8"/>
      <c r="I2279" s="8"/>
      <c r="J2279" s="8"/>
      <c r="K2279" s="8"/>
      <c r="L2279" s="8"/>
      <c r="M2279" s="8">
        <v>5.61</v>
      </c>
      <c r="N2279" s="8"/>
      <c r="O2279" s="8"/>
      <c r="P2279" s="8"/>
      <c r="Q2279" s="8"/>
      <c r="R2279" s="8"/>
      <c r="S2279" s="8">
        <v>6.26</v>
      </c>
      <c r="T2279" s="8"/>
      <c r="U2279" s="8">
        <v>26.45</v>
      </c>
      <c r="V2279" s="8"/>
      <c r="W2279" s="8"/>
      <c r="X2279" s="8"/>
      <c r="Y2279" s="8"/>
      <c r="Z2279" s="8"/>
      <c r="AA2279" s="8"/>
      <c r="AB2279" s="8"/>
      <c r="AC2279" s="8">
        <v>5.21</v>
      </c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>
        <v>1187.54</v>
      </c>
      <c r="AU2279" s="8"/>
      <c r="AV2279" s="8"/>
      <c r="AW2279" s="8"/>
      <c r="AX2279" s="8">
        <v>2.61</v>
      </c>
      <c r="AY2279" s="8"/>
      <c r="AZ2279" s="8"/>
      <c r="BA2279" s="8"/>
      <c r="BB2279" s="8"/>
      <c r="BC2279" s="8"/>
      <c r="BD2279" s="8"/>
      <c r="BE2279" s="8"/>
      <c r="BF2279" s="8"/>
      <c r="BG2279" s="8">
        <v>89.81</v>
      </c>
      <c r="BH2279" s="9">
        <f t="shared" si="315"/>
        <v>2079.4</v>
      </c>
      <c r="BI2279" s="9">
        <f t="shared" si="316"/>
        <v>5.61</v>
      </c>
      <c r="BJ2279" s="9">
        <f t="shared" si="317"/>
        <v>6.26</v>
      </c>
      <c r="BK2279" s="9">
        <f t="shared" si="318"/>
        <v>26.45</v>
      </c>
      <c r="BL2279" s="9">
        <f t="shared" si="319"/>
        <v>0</v>
      </c>
      <c r="BM2279" s="9">
        <f t="shared" si="320"/>
        <v>5.21</v>
      </c>
      <c r="BN2279" s="9">
        <f t="shared" si="321"/>
        <v>1187.54</v>
      </c>
      <c r="BO2279" s="9">
        <f t="shared" si="322"/>
        <v>2.61</v>
      </c>
      <c r="BP2279" s="9">
        <f t="shared" si="323"/>
        <v>0</v>
      </c>
    </row>
    <row r="2280" spans="1:68">
      <c r="A2280" s="6">
        <v>44949</v>
      </c>
      <c r="B2280" s="7">
        <v>3016</v>
      </c>
      <c r="C2280" s="8"/>
      <c r="D2280" s="8">
        <v>2313.0700000000002</v>
      </c>
      <c r="E2280" s="8"/>
      <c r="F2280" s="8"/>
      <c r="G2280" s="8"/>
      <c r="H2280" s="8"/>
      <c r="I2280" s="8">
        <v>2132.1</v>
      </c>
      <c r="J2280" s="8"/>
      <c r="K2280" s="8"/>
      <c r="L2280" s="8"/>
      <c r="M2280" s="8"/>
      <c r="N2280" s="8">
        <v>26.64</v>
      </c>
      <c r="O2280" s="8"/>
      <c r="P2280" s="8"/>
      <c r="Q2280" s="8"/>
      <c r="R2280" s="8"/>
      <c r="S2280" s="8">
        <v>3.11</v>
      </c>
      <c r="T2280" s="8"/>
      <c r="U2280" s="8"/>
      <c r="V2280" s="8"/>
      <c r="W2280" s="8">
        <v>44.41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>
        <v>17.71</v>
      </c>
      <c r="AN2280" s="8">
        <f>2058*26.12/1000</f>
        <v>53.754959999999997</v>
      </c>
      <c r="AO2280" s="8"/>
      <c r="AP2280" s="8"/>
      <c r="AQ2280" s="8"/>
      <c r="AR2280" s="8">
        <f>4258*26.12/1000</f>
        <v>111.21896000000001</v>
      </c>
      <c r="AS2280" s="8"/>
      <c r="AT2280" s="8">
        <v>1651.14</v>
      </c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>
        <v>121.36</v>
      </c>
      <c r="BH2280" s="9">
        <f t="shared" si="315"/>
        <v>4445.17</v>
      </c>
      <c r="BI2280" s="9">
        <f t="shared" si="316"/>
        <v>26.64</v>
      </c>
      <c r="BJ2280" s="9">
        <f t="shared" si="317"/>
        <v>3.11</v>
      </c>
      <c r="BK2280" s="9">
        <f t="shared" si="318"/>
        <v>44.41</v>
      </c>
      <c r="BL2280" s="9">
        <f t="shared" si="319"/>
        <v>0</v>
      </c>
      <c r="BM2280" s="9">
        <f t="shared" si="320"/>
        <v>182.68392</v>
      </c>
      <c r="BN2280" s="9">
        <f t="shared" si="321"/>
        <v>1651.14</v>
      </c>
      <c r="BO2280" s="9">
        <f t="shared" si="322"/>
        <v>0</v>
      </c>
      <c r="BP2280" s="9">
        <f t="shared" si="323"/>
        <v>0</v>
      </c>
    </row>
    <row r="2281" spans="1:68">
      <c r="A2281" s="6">
        <v>44949</v>
      </c>
      <c r="B2281" s="7">
        <v>3079</v>
      </c>
      <c r="C2281" s="8"/>
      <c r="D2281" s="8"/>
      <c r="E2281" s="8"/>
      <c r="F2281" s="8">
        <v>339.47</v>
      </c>
      <c r="G2281" s="8"/>
      <c r="H2281" s="8"/>
      <c r="I2281" s="8">
        <v>2742.82</v>
      </c>
      <c r="J2281" s="8"/>
      <c r="K2281" s="8"/>
      <c r="L2281" s="8"/>
      <c r="M2281" s="8"/>
      <c r="N2281" s="8">
        <v>21.91</v>
      </c>
      <c r="O2281" s="8"/>
      <c r="P2281" s="8"/>
      <c r="Q2281" s="8"/>
      <c r="R2281" s="8"/>
      <c r="S2281" s="8">
        <v>1.23</v>
      </c>
      <c r="T2281" s="8"/>
      <c r="U2281" s="8"/>
      <c r="V2281" s="8"/>
      <c r="W2281" s="8">
        <v>30.85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>
        <v>12.33</v>
      </c>
      <c r="AN2281" s="8">
        <f>1731*18.17/1000</f>
        <v>31.452270000000006</v>
      </c>
      <c r="AO2281" s="8"/>
      <c r="AP2281" s="8"/>
      <c r="AQ2281" s="8"/>
      <c r="AR2281" s="8">
        <f>4258*18.17/1000</f>
        <v>77.367860000000007</v>
      </c>
      <c r="AS2281" s="8"/>
      <c r="AT2281" s="8">
        <v>1191.6400000000001</v>
      </c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>
        <v>86.39</v>
      </c>
      <c r="BH2281" s="9">
        <f t="shared" si="315"/>
        <v>3082.29</v>
      </c>
      <c r="BI2281" s="9">
        <f t="shared" si="316"/>
        <v>21.91</v>
      </c>
      <c r="BJ2281" s="9">
        <f t="shared" si="317"/>
        <v>1.23</v>
      </c>
      <c r="BK2281" s="9">
        <f t="shared" si="318"/>
        <v>30.85</v>
      </c>
      <c r="BL2281" s="9">
        <f t="shared" si="319"/>
        <v>0</v>
      </c>
      <c r="BM2281" s="9">
        <f t="shared" si="320"/>
        <v>121.15013000000002</v>
      </c>
      <c r="BN2281" s="9">
        <f t="shared" si="321"/>
        <v>1191.6400000000001</v>
      </c>
      <c r="BO2281" s="9">
        <f t="shared" si="322"/>
        <v>0</v>
      </c>
      <c r="BP2281" s="9">
        <f t="shared" si="323"/>
        <v>0</v>
      </c>
    </row>
    <row r="2282" spans="1:68">
      <c r="A2282" s="6">
        <v>44949</v>
      </c>
      <c r="B2282" s="7">
        <v>3023</v>
      </c>
      <c r="C2282" s="8"/>
      <c r="D2282" s="8">
        <v>1646.07</v>
      </c>
      <c r="E2282" s="8"/>
      <c r="F2282" s="8"/>
      <c r="G2282" s="8"/>
      <c r="H2282" s="8"/>
      <c r="I2282" s="8">
        <v>884.27</v>
      </c>
      <c r="J2282" s="8"/>
      <c r="K2282" s="8"/>
      <c r="L2282" s="8"/>
      <c r="M2282" s="8"/>
      <c r="N2282" s="8">
        <v>14.15</v>
      </c>
      <c r="O2282" s="8"/>
      <c r="P2282" s="8"/>
      <c r="Q2282" s="8"/>
      <c r="R2282" s="8"/>
      <c r="S2282" s="8">
        <v>4.04</v>
      </c>
      <c r="T2282" s="8"/>
      <c r="U2282" s="8"/>
      <c r="V2282" s="8"/>
      <c r="W2282" s="8">
        <v>22.76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>
        <v>25.17</v>
      </c>
      <c r="AN2282" s="8">
        <f>1022*17.43/1000</f>
        <v>17.813459999999999</v>
      </c>
      <c r="AO2282" s="8"/>
      <c r="AP2282" s="8"/>
      <c r="AQ2282" s="8"/>
      <c r="AR2282" s="8"/>
      <c r="AS2282" s="8">
        <f>4781*17.43/1000</f>
        <v>83.332830000000001</v>
      </c>
      <c r="AT2282" s="8">
        <v>1037.6500000000001</v>
      </c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>
        <v>78.33</v>
      </c>
      <c r="BH2282" s="9">
        <f t="shared" si="315"/>
        <v>2530.34</v>
      </c>
      <c r="BI2282" s="9">
        <f t="shared" si="316"/>
        <v>14.15</v>
      </c>
      <c r="BJ2282" s="9">
        <f t="shared" si="317"/>
        <v>4.04</v>
      </c>
      <c r="BK2282" s="9">
        <f t="shared" si="318"/>
        <v>22.76</v>
      </c>
      <c r="BL2282" s="9">
        <f t="shared" si="319"/>
        <v>0</v>
      </c>
      <c r="BM2282" s="9">
        <f t="shared" si="320"/>
        <v>126.31629000000001</v>
      </c>
      <c r="BN2282" s="9">
        <f t="shared" si="321"/>
        <v>1037.6500000000001</v>
      </c>
      <c r="BO2282" s="9">
        <f t="shared" si="322"/>
        <v>0</v>
      </c>
      <c r="BP2282" s="9">
        <f t="shared" si="323"/>
        <v>0</v>
      </c>
    </row>
    <row r="2283" spans="1:68">
      <c r="A2283" s="6">
        <v>44949</v>
      </c>
      <c r="B2283" s="7">
        <v>3601</v>
      </c>
      <c r="C2283" s="8">
        <v>291.47000000000003</v>
      </c>
      <c r="D2283" s="8"/>
      <c r="E2283" s="8"/>
      <c r="F2283" s="8"/>
      <c r="G2283" s="8">
        <v>438.01</v>
      </c>
      <c r="H2283" s="8"/>
      <c r="I2283" s="8"/>
      <c r="J2283" s="8"/>
      <c r="K2283" s="8"/>
      <c r="L2283" s="8"/>
      <c r="M2283" s="8">
        <v>0.89</v>
      </c>
      <c r="N2283" s="8"/>
      <c r="O2283" s="8"/>
      <c r="P2283" s="8"/>
      <c r="Q2283" s="8"/>
      <c r="R2283" s="8"/>
      <c r="S2283" s="8">
        <v>3.51</v>
      </c>
      <c r="T2283" s="8"/>
      <c r="U2283" s="8">
        <v>4.3899999999999997</v>
      </c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>
        <v>358.36</v>
      </c>
      <c r="AU2283" s="8"/>
      <c r="AV2283" s="8"/>
      <c r="AW2283" s="8">
        <v>22.24</v>
      </c>
      <c r="AX2283" s="8"/>
      <c r="AY2283" s="8"/>
      <c r="AZ2283" s="8"/>
      <c r="BA2283" s="8"/>
      <c r="BB2283" s="8"/>
      <c r="BC2283" s="8"/>
      <c r="BD2283" s="8"/>
      <c r="BE2283" s="8"/>
      <c r="BF2283" s="8">
        <v>40.97</v>
      </c>
      <c r="BG2283" s="8">
        <v>26.1</v>
      </c>
      <c r="BH2283" s="9">
        <f t="shared" si="315"/>
        <v>729.48</v>
      </c>
      <c r="BI2283" s="9">
        <f t="shared" si="316"/>
        <v>0.89</v>
      </c>
      <c r="BJ2283" s="9">
        <f t="shared" si="317"/>
        <v>3.51</v>
      </c>
      <c r="BK2283" s="9">
        <f t="shared" si="318"/>
        <v>4.3899999999999997</v>
      </c>
      <c r="BL2283" s="9">
        <f t="shared" si="319"/>
        <v>0</v>
      </c>
      <c r="BM2283" s="9">
        <f t="shared" si="320"/>
        <v>0</v>
      </c>
      <c r="BN2283" s="9">
        <f t="shared" si="321"/>
        <v>358.36</v>
      </c>
      <c r="BO2283" s="9">
        <f t="shared" si="322"/>
        <v>22.24</v>
      </c>
      <c r="BP2283" s="9">
        <f t="shared" si="323"/>
        <v>40.97</v>
      </c>
    </row>
    <row r="2284" spans="1:68">
      <c r="A2284" s="6">
        <v>44949</v>
      </c>
      <c r="B2284" s="7">
        <v>3602</v>
      </c>
      <c r="C2284" s="8">
        <v>563.64</v>
      </c>
      <c r="D2284" s="8"/>
      <c r="E2284" s="8"/>
      <c r="F2284" s="8"/>
      <c r="G2284" s="8">
        <v>844.47</v>
      </c>
      <c r="H2284" s="8"/>
      <c r="I2284" s="8"/>
      <c r="J2284" s="8"/>
      <c r="K2284" s="8"/>
      <c r="L2284" s="8"/>
      <c r="M2284" s="8">
        <v>1.48</v>
      </c>
      <c r="N2284" s="8"/>
      <c r="O2284" s="8"/>
      <c r="P2284" s="8"/>
      <c r="Q2284" s="8"/>
      <c r="R2284" s="8"/>
      <c r="S2284" s="8">
        <v>6.76</v>
      </c>
      <c r="T2284" s="8"/>
      <c r="U2284" s="8">
        <v>11.27</v>
      </c>
      <c r="V2284" s="8">
        <f>853*16.1/1000</f>
        <v>13.733300000000002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>
        <v>567.87</v>
      </c>
      <c r="AU2284" s="8"/>
      <c r="AV2284" s="8"/>
      <c r="AW2284" s="8">
        <v>36.380000000000003</v>
      </c>
      <c r="AX2284" s="8"/>
      <c r="AY2284" s="8"/>
      <c r="AZ2284" s="8"/>
      <c r="BA2284" s="8"/>
      <c r="BB2284" s="8"/>
      <c r="BC2284" s="8"/>
      <c r="BD2284" s="8"/>
      <c r="BE2284" s="8"/>
      <c r="BF2284" s="8">
        <v>45.15</v>
      </c>
      <c r="BG2284" s="8">
        <v>42.16</v>
      </c>
      <c r="BH2284" s="9">
        <f t="shared" si="315"/>
        <v>1408.1100000000001</v>
      </c>
      <c r="BI2284" s="9">
        <f t="shared" si="316"/>
        <v>1.48</v>
      </c>
      <c r="BJ2284" s="9">
        <f t="shared" si="317"/>
        <v>6.76</v>
      </c>
      <c r="BK2284" s="9">
        <f t="shared" si="318"/>
        <v>25.003300000000003</v>
      </c>
      <c r="BL2284" s="9">
        <f t="shared" si="319"/>
        <v>0</v>
      </c>
      <c r="BM2284" s="9">
        <f t="shared" si="320"/>
        <v>0</v>
      </c>
      <c r="BN2284" s="9">
        <f t="shared" si="321"/>
        <v>567.87</v>
      </c>
      <c r="BO2284" s="9">
        <f t="shared" si="322"/>
        <v>36.380000000000003</v>
      </c>
      <c r="BP2284" s="9">
        <f t="shared" si="323"/>
        <v>45.15</v>
      </c>
    </row>
    <row r="2285" spans="1:68">
      <c r="A2285" s="6">
        <v>44950</v>
      </c>
      <c r="B2285" s="7">
        <v>3602</v>
      </c>
      <c r="C2285" s="8">
        <v>579.44000000000005</v>
      </c>
      <c r="D2285" s="8"/>
      <c r="E2285" s="8"/>
      <c r="F2285" s="8"/>
      <c r="G2285" s="8">
        <v>868.25</v>
      </c>
      <c r="H2285" s="8"/>
      <c r="I2285" s="8"/>
      <c r="J2285" s="8"/>
      <c r="K2285" s="8"/>
      <c r="L2285" s="8"/>
      <c r="M2285" s="8">
        <v>1.51</v>
      </c>
      <c r="N2285" s="8"/>
      <c r="O2285" s="8"/>
      <c r="P2285" s="8"/>
      <c r="Q2285" s="11"/>
      <c r="R2285" s="11"/>
      <c r="S2285" s="8">
        <v>6.95</v>
      </c>
      <c r="T2285" s="8"/>
      <c r="U2285" s="8">
        <v>11.6</v>
      </c>
      <c r="V2285" s="8">
        <f>844*16.55/1000</f>
        <v>13.968200000000001</v>
      </c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11"/>
      <c r="AQ2285" s="8"/>
      <c r="AR2285" s="8"/>
      <c r="AS2285" s="8"/>
      <c r="AT2285" s="8">
        <v>588.89</v>
      </c>
      <c r="AU2285" s="8"/>
      <c r="AV2285" s="8"/>
      <c r="AW2285" s="8">
        <v>37.46</v>
      </c>
      <c r="AX2285" s="8"/>
      <c r="AY2285" s="8"/>
      <c r="AZ2285" s="8"/>
      <c r="BA2285" s="8"/>
      <c r="BB2285" s="8"/>
      <c r="BC2285" s="8"/>
      <c r="BD2285" s="8"/>
      <c r="BE2285" s="8"/>
      <c r="BF2285" s="8">
        <v>46.4</v>
      </c>
      <c r="BG2285" s="8">
        <v>43.5</v>
      </c>
      <c r="BH2285" s="9">
        <f t="shared" si="315"/>
        <v>1447.69</v>
      </c>
      <c r="BI2285" s="9">
        <f t="shared" si="316"/>
        <v>1.51</v>
      </c>
      <c r="BJ2285" s="9">
        <f t="shared" si="317"/>
        <v>6.95</v>
      </c>
      <c r="BK2285" s="9">
        <f t="shared" si="318"/>
        <v>25.568200000000001</v>
      </c>
      <c r="BL2285" s="9">
        <f t="shared" si="319"/>
        <v>0</v>
      </c>
      <c r="BM2285" s="9">
        <f t="shared" si="320"/>
        <v>0</v>
      </c>
      <c r="BN2285" s="9">
        <f t="shared" si="321"/>
        <v>588.89</v>
      </c>
      <c r="BO2285" s="9">
        <f t="shared" si="322"/>
        <v>37.46</v>
      </c>
      <c r="BP2285" s="9">
        <f t="shared" si="323"/>
        <v>46.4</v>
      </c>
    </row>
    <row r="2286" spans="1:68">
      <c r="A2286" s="6">
        <v>44950</v>
      </c>
      <c r="B2286" s="7">
        <v>3121</v>
      </c>
      <c r="C2286" s="8">
        <v>1165.6199999999999</v>
      </c>
      <c r="D2286" s="8"/>
      <c r="E2286" s="8"/>
      <c r="F2286" s="8"/>
      <c r="G2286" s="8"/>
      <c r="H2286" s="8"/>
      <c r="I2286" s="8"/>
      <c r="J2286" s="8"/>
      <c r="K2286" s="8"/>
      <c r="L2286" s="8"/>
      <c r="M2286" s="8">
        <v>2.62</v>
      </c>
      <c r="N2286" s="8"/>
      <c r="O2286" s="8"/>
      <c r="P2286" s="8"/>
      <c r="Q2286" s="8"/>
      <c r="R2286" s="8"/>
      <c r="S2286" s="8">
        <v>3.73</v>
      </c>
      <c r="T2286" s="8"/>
      <c r="U2286" s="8">
        <v>11.65</v>
      </c>
      <c r="V2286" s="8"/>
      <c r="W2286" s="8"/>
      <c r="X2286" s="8"/>
      <c r="Y2286" s="8"/>
      <c r="Z2286" s="8"/>
      <c r="AA2286" s="8"/>
      <c r="AB2286" s="8"/>
      <c r="AC2286" s="8">
        <v>4.66</v>
      </c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>
        <f>2212*5.28/1000</f>
        <v>11.679360000000001</v>
      </c>
      <c r="AQ2286" s="8"/>
      <c r="AR2286" s="8"/>
      <c r="AS2286" s="8"/>
      <c r="AT2286" s="8">
        <v>615.16999999999996</v>
      </c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>
        <v>45.33</v>
      </c>
      <c r="BH2286" s="9">
        <f t="shared" si="315"/>
        <v>1165.6199999999999</v>
      </c>
      <c r="BI2286" s="9">
        <f t="shared" si="316"/>
        <v>2.62</v>
      </c>
      <c r="BJ2286" s="9">
        <f t="shared" si="317"/>
        <v>3.73</v>
      </c>
      <c r="BK2286" s="9">
        <f t="shared" si="318"/>
        <v>11.65</v>
      </c>
      <c r="BL2286" s="9">
        <f t="shared" si="319"/>
        <v>0</v>
      </c>
      <c r="BM2286" s="9">
        <f t="shared" si="320"/>
        <v>16.339359999999999</v>
      </c>
      <c r="BN2286" s="9">
        <f t="shared" si="321"/>
        <v>615.16999999999996</v>
      </c>
      <c r="BO2286" s="9">
        <f t="shared" si="322"/>
        <v>0</v>
      </c>
      <c r="BP2286" s="9">
        <f t="shared" si="323"/>
        <v>0</v>
      </c>
    </row>
    <row r="2287" spans="1:68">
      <c r="A2287" s="6">
        <v>44950</v>
      </c>
      <c r="B2287" s="7">
        <v>3116</v>
      </c>
      <c r="C2287" s="8">
        <v>1523.29</v>
      </c>
      <c r="D2287" s="8"/>
      <c r="E2287" s="8"/>
      <c r="F2287" s="8"/>
      <c r="G2287" s="8"/>
      <c r="H2287" s="8"/>
      <c r="I2287" s="8"/>
      <c r="J2287" s="8"/>
      <c r="K2287" s="8"/>
      <c r="L2287" s="8"/>
      <c r="M2287" s="8">
        <v>3.05</v>
      </c>
      <c r="N2287" s="8"/>
      <c r="O2287" s="8"/>
      <c r="P2287" s="8"/>
      <c r="Q2287" s="8"/>
      <c r="R2287" s="8"/>
      <c r="S2287" s="8">
        <v>6.55</v>
      </c>
      <c r="T2287" s="8"/>
      <c r="U2287" s="8">
        <v>22.43</v>
      </c>
      <c r="V2287" s="8"/>
      <c r="W2287" s="8"/>
      <c r="X2287" s="8"/>
      <c r="Y2287" s="8"/>
      <c r="Z2287" s="8"/>
      <c r="AA2287" s="8"/>
      <c r="AB2287" s="8"/>
      <c r="AC2287" s="8">
        <v>6.1</v>
      </c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>
        <f>1422*10.88/1000</f>
        <v>15.471360000000001</v>
      </c>
      <c r="AR2287" s="8"/>
      <c r="AS2287" s="8"/>
      <c r="AT2287" s="8">
        <v>932.18</v>
      </c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>
        <v>60.98</v>
      </c>
      <c r="BG2287" s="8">
        <v>69.239999999999995</v>
      </c>
      <c r="BH2287" s="9">
        <f t="shared" si="315"/>
        <v>1523.29</v>
      </c>
      <c r="BI2287" s="9">
        <f t="shared" si="316"/>
        <v>3.05</v>
      </c>
      <c r="BJ2287" s="9">
        <f t="shared" si="317"/>
        <v>6.55</v>
      </c>
      <c r="BK2287" s="9">
        <f t="shared" si="318"/>
        <v>22.43</v>
      </c>
      <c r="BL2287" s="9">
        <f t="shared" si="319"/>
        <v>0</v>
      </c>
      <c r="BM2287" s="9">
        <f t="shared" si="320"/>
        <v>21.571359999999999</v>
      </c>
      <c r="BN2287" s="9">
        <f t="shared" si="321"/>
        <v>932.18</v>
      </c>
      <c r="BO2287" s="9">
        <f t="shared" si="322"/>
        <v>0</v>
      </c>
      <c r="BP2287" s="9">
        <f t="shared" si="323"/>
        <v>60.98</v>
      </c>
    </row>
    <row r="2288" spans="1:68">
      <c r="A2288" s="6">
        <v>44950</v>
      </c>
      <c r="B2288" s="7">
        <v>3119</v>
      </c>
      <c r="C2288" s="8">
        <v>2507.91</v>
      </c>
      <c r="D2288" s="8"/>
      <c r="E2288" s="8"/>
      <c r="F2288" s="8"/>
      <c r="G2288" s="8"/>
      <c r="H2288" s="8"/>
      <c r="I2288" s="8"/>
      <c r="J2288" s="8"/>
      <c r="K2288" s="8"/>
      <c r="L2288" s="8"/>
      <c r="M2288" s="8">
        <v>8.02</v>
      </c>
      <c r="N2288" s="8"/>
      <c r="O2288" s="8"/>
      <c r="P2288" s="8"/>
      <c r="Q2288" s="8"/>
      <c r="R2288" s="8"/>
      <c r="S2288" s="8">
        <v>11.53</v>
      </c>
      <c r="T2288" s="8"/>
      <c r="U2288" s="8">
        <v>25.06</v>
      </c>
      <c r="V2288" s="8"/>
      <c r="W2288" s="8"/>
      <c r="X2288" s="8"/>
      <c r="Y2288" s="8"/>
      <c r="Z2288" s="8"/>
      <c r="AA2288" s="8"/>
      <c r="AB2288" s="8"/>
      <c r="AC2288" s="8">
        <v>6.27</v>
      </c>
      <c r="AD2288" s="8"/>
      <c r="AE2288" s="8"/>
      <c r="AF2288" s="8"/>
      <c r="AG2288" s="8">
        <v>7.54</v>
      </c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>
        <v>937.53</v>
      </c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>
        <v>175.3</v>
      </c>
      <c r="BG2288" s="8">
        <v>66.53</v>
      </c>
      <c r="BH2288" s="9">
        <f t="shared" si="315"/>
        <v>2507.91</v>
      </c>
      <c r="BI2288" s="9">
        <f t="shared" si="316"/>
        <v>8.02</v>
      </c>
      <c r="BJ2288" s="9">
        <f t="shared" si="317"/>
        <v>11.53</v>
      </c>
      <c r="BK2288" s="9">
        <f t="shared" si="318"/>
        <v>25.06</v>
      </c>
      <c r="BL2288" s="9">
        <f t="shared" si="319"/>
        <v>0</v>
      </c>
      <c r="BM2288" s="9">
        <f t="shared" si="320"/>
        <v>13.809999999999999</v>
      </c>
      <c r="BN2288" s="9">
        <f t="shared" si="321"/>
        <v>937.53</v>
      </c>
      <c r="BO2288" s="9">
        <f t="shared" si="322"/>
        <v>0</v>
      </c>
      <c r="BP2288" s="9">
        <f t="shared" si="323"/>
        <v>175.3</v>
      </c>
    </row>
    <row r="2289" spans="1:68">
      <c r="A2289" s="6">
        <v>44950</v>
      </c>
      <c r="B2289" s="7">
        <v>3409</v>
      </c>
      <c r="C2289" s="8">
        <v>856.3</v>
      </c>
      <c r="D2289" s="8"/>
      <c r="E2289" s="8"/>
      <c r="F2289" s="8"/>
      <c r="G2289" s="8"/>
      <c r="H2289" s="8"/>
      <c r="I2289" s="8"/>
      <c r="J2289" s="8"/>
      <c r="K2289" s="8"/>
      <c r="L2289" s="8"/>
      <c r="M2289" s="8">
        <v>1.98</v>
      </c>
      <c r="N2289" s="8"/>
      <c r="O2289" s="8"/>
      <c r="P2289" s="8"/>
      <c r="Q2289" s="8"/>
      <c r="R2289" s="8"/>
      <c r="S2289" s="8">
        <v>2.15</v>
      </c>
      <c r="T2289" s="8"/>
      <c r="U2289" s="8"/>
      <c r="V2289" s="8"/>
      <c r="W2289" s="8"/>
      <c r="X2289" s="8">
        <f>1013*8.57/1000</f>
        <v>8.6814099999999996</v>
      </c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>
        <v>438.88</v>
      </c>
      <c r="AU2289" s="8"/>
      <c r="AV2289" s="8">
        <v>25.68</v>
      </c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>
        <v>29.92</v>
      </c>
      <c r="BH2289" s="9">
        <f t="shared" si="315"/>
        <v>856.3</v>
      </c>
      <c r="BI2289" s="9">
        <f t="shared" si="316"/>
        <v>1.98</v>
      </c>
      <c r="BJ2289" s="9">
        <f t="shared" si="317"/>
        <v>2.15</v>
      </c>
      <c r="BK2289" s="9">
        <f t="shared" si="318"/>
        <v>8.6814099999999996</v>
      </c>
      <c r="BL2289" s="9">
        <f t="shared" si="319"/>
        <v>0</v>
      </c>
      <c r="BM2289" s="9">
        <f t="shared" si="320"/>
        <v>0</v>
      </c>
      <c r="BN2289" s="9">
        <f t="shared" si="321"/>
        <v>438.88</v>
      </c>
      <c r="BO2289" s="9">
        <f t="shared" si="322"/>
        <v>25.68</v>
      </c>
      <c r="BP2289" s="9">
        <f t="shared" si="323"/>
        <v>0</v>
      </c>
    </row>
    <row r="2290" spans="1:68">
      <c r="A2290" s="6">
        <v>44950</v>
      </c>
      <c r="B2290" s="7">
        <v>3029</v>
      </c>
      <c r="C2290" s="8"/>
      <c r="D2290" s="8">
        <v>457.16</v>
      </c>
      <c r="E2290" s="8"/>
      <c r="F2290" s="8">
        <v>322.37</v>
      </c>
      <c r="G2290" s="8"/>
      <c r="H2290" s="8"/>
      <c r="I2290" s="8">
        <v>1908.16</v>
      </c>
      <c r="J2290" s="8"/>
      <c r="K2290" s="8"/>
      <c r="L2290" s="8"/>
      <c r="M2290" s="8"/>
      <c r="N2290" s="8">
        <v>20.68</v>
      </c>
      <c r="O2290" s="8"/>
      <c r="P2290" s="8"/>
      <c r="Q2290" s="8"/>
      <c r="R2290" s="8"/>
      <c r="S2290" s="8">
        <v>1.61</v>
      </c>
      <c r="T2290" s="8"/>
      <c r="U2290" s="8"/>
      <c r="V2290" s="8"/>
      <c r="W2290" s="8">
        <v>26.88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>
        <v>9.34</v>
      </c>
      <c r="AN2290" s="8">
        <f>764*17.88/1000</f>
        <v>13.66032</v>
      </c>
      <c r="AO2290" s="8"/>
      <c r="AP2290" s="8"/>
      <c r="AQ2290" s="8"/>
      <c r="AR2290" s="8">
        <f>4591*17.88/1000</f>
        <v>82.08708</v>
      </c>
      <c r="AS2290" s="8"/>
      <c r="AT2290" s="8">
        <v>1020.19</v>
      </c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>
        <v>71.400000000000006</v>
      </c>
      <c r="BH2290" s="9">
        <f t="shared" si="315"/>
        <v>2687.69</v>
      </c>
      <c r="BI2290" s="9">
        <f t="shared" si="316"/>
        <v>20.68</v>
      </c>
      <c r="BJ2290" s="9">
        <f t="shared" si="317"/>
        <v>1.61</v>
      </c>
      <c r="BK2290" s="9">
        <f t="shared" si="318"/>
        <v>26.88</v>
      </c>
      <c r="BL2290" s="9">
        <f t="shared" si="319"/>
        <v>0</v>
      </c>
      <c r="BM2290" s="9">
        <f t="shared" si="320"/>
        <v>105.0874</v>
      </c>
      <c r="BN2290" s="9">
        <f t="shared" si="321"/>
        <v>1020.19</v>
      </c>
      <c r="BO2290" s="9">
        <f t="shared" si="322"/>
        <v>0</v>
      </c>
      <c r="BP2290" s="9">
        <f t="shared" si="323"/>
        <v>0</v>
      </c>
    </row>
    <row r="2291" spans="1:68">
      <c r="A2291" s="6">
        <v>44950</v>
      </c>
      <c r="B2291" s="7">
        <v>3016</v>
      </c>
      <c r="C2291" s="8"/>
      <c r="D2291" s="8">
        <v>2285.09</v>
      </c>
      <c r="E2291" s="8"/>
      <c r="F2291" s="8"/>
      <c r="G2291" s="8"/>
      <c r="H2291" s="8"/>
      <c r="I2291" s="8">
        <v>2112.67</v>
      </c>
      <c r="J2291" s="8"/>
      <c r="K2291" s="8"/>
      <c r="L2291" s="8"/>
      <c r="M2291" s="8"/>
      <c r="N2291" s="8">
        <v>26.41</v>
      </c>
      <c r="O2291" s="8"/>
      <c r="P2291" s="8"/>
      <c r="Q2291" s="8"/>
      <c r="R2291" s="8"/>
      <c r="S2291" s="8">
        <v>3.08</v>
      </c>
      <c r="T2291" s="8"/>
      <c r="U2291" s="8"/>
      <c r="V2291" s="8"/>
      <c r="W2291" s="8">
        <v>44.05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>
        <v>17.54</v>
      </c>
      <c r="AN2291" s="8">
        <f>2016*25.88/1000</f>
        <v>52.174079999999996</v>
      </c>
      <c r="AO2291" s="8"/>
      <c r="AP2291" s="8"/>
      <c r="AQ2291" s="8"/>
      <c r="AR2291" s="8">
        <f>4238*25.88/1000</f>
        <v>109.67944</v>
      </c>
      <c r="AS2291" s="8"/>
      <c r="AT2291" s="8">
        <v>1636.03</v>
      </c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>
        <v>119.92</v>
      </c>
      <c r="BH2291" s="9">
        <f t="shared" si="315"/>
        <v>4397.76</v>
      </c>
      <c r="BI2291" s="9">
        <f t="shared" si="316"/>
        <v>26.41</v>
      </c>
      <c r="BJ2291" s="9">
        <f t="shared" si="317"/>
        <v>3.08</v>
      </c>
      <c r="BK2291" s="9">
        <f t="shared" si="318"/>
        <v>44.05</v>
      </c>
      <c r="BL2291" s="9">
        <f t="shared" si="319"/>
        <v>0</v>
      </c>
      <c r="BM2291" s="9">
        <f t="shared" si="320"/>
        <v>179.39352</v>
      </c>
      <c r="BN2291" s="9">
        <f t="shared" si="321"/>
        <v>1636.03</v>
      </c>
      <c r="BO2291" s="9">
        <f t="shared" si="322"/>
        <v>0</v>
      </c>
      <c r="BP2291" s="9">
        <f t="shared" si="323"/>
        <v>0</v>
      </c>
    </row>
    <row r="2292" spans="1:68">
      <c r="A2292" s="6">
        <v>44951</v>
      </c>
      <c r="B2292" s="7">
        <v>3201</v>
      </c>
      <c r="C2292" s="8">
        <v>1181.08</v>
      </c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>
        <v>2.95</v>
      </c>
      <c r="P2292" s="8"/>
      <c r="Q2292" s="8"/>
      <c r="R2292" s="8"/>
      <c r="S2292" s="8">
        <v>4.49</v>
      </c>
      <c r="T2292" s="8"/>
      <c r="U2292" s="8">
        <v>17.72</v>
      </c>
      <c r="V2292" s="8"/>
      <c r="W2292" s="8"/>
      <c r="X2292" s="8"/>
      <c r="Y2292" s="8"/>
      <c r="Z2292" s="8">
        <v>148.21</v>
      </c>
      <c r="AA2292" s="8"/>
      <c r="AB2292" s="8"/>
      <c r="AC2292" s="8"/>
      <c r="AD2292" s="8"/>
      <c r="AE2292" s="8"/>
      <c r="AF2292" s="8">
        <v>58.66</v>
      </c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>
        <f>1524*11.82/1000</f>
        <v>18.013680000000001</v>
      </c>
      <c r="AR2292" s="8"/>
      <c r="AS2292" s="8"/>
      <c r="AT2292" s="8">
        <v>809.14</v>
      </c>
      <c r="AU2292" s="8"/>
      <c r="AV2292" s="8"/>
      <c r="AW2292" s="8"/>
      <c r="AX2292" s="8"/>
      <c r="AY2292" s="8"/>
      <c r="AZ2292" s="8"/>
      <c r="BA2292" s="8"/>
      <c r="BB2292" s="8"/>
      <c r="BC2292" s="8">
        <v>3.07</v>
      </c>
      <c r="BD2292" s="8"/>
      <c r="BE2292" s="8"/>
      <c r="BF2292" s="8">
        <v>56.75</v>
      </c>
      <c r="BG2292" s="8">
        <v>58.26</v>
      </c>
      <c r="BH2292" s="9">
        <f t="shared" si="315"/>
        <v>1181.08</v>
      </c>
      <c r="BI2292" s="9">
        <f t="shared" si="316"/>
        <v>2.95</v>
      </c>
      <c r="BJ2292" s="9">
        <f t="shared" si="317"/>
        <v>4.49</v>
      </c>
      <c r="BK2292" s="9">
        <f t="shared" si="318"/>
        <v>17.72</v>
      </c>
      <c r="BL2292" s="9">
        <f t="shared" si="319"/>
        <v>148.21</v>
      </c>
      <c r="BM2292" s="9">
        <f t="shared" si="320"/>
        <v>76.67367999999999</v>
      </c>
      <c r="BN2292" s="9">
        <f t="shared" si="321"/>
        <v>809.14</v>
      </c>
      <c r="BO2292" s="9">
        <f t="shared" si="322"/>
        <v>3.07</v>
      </c>
      <c r="BP2292" s="9">
        <f t="shared" si="323"/>
        <v>56.75</v>
      </c>
    </row>
    <row r="2293" spans="1:68">
      <c r="A2293" s="6">
        <v>44951</v>
      </c>
      <c r="B2293" s="7">
        <v>3200</v>
      </c>
      <c r="C2293" s="8">
        <v>1207.27</v>
      </c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>
        <v>3.04</v>
      </c>
      <c r="P2293" s="8"/>
      <c r="Q2293" s="8"/>
      <c r="R2293" s="8"/>
      <c r="S2293" s="8">
        <v>4.71</v>
      </c>
      <c r="T2293" s="8"/>
      <c r="U2293" s="8">
        <v>18.149999999999999</v>
      </c>
      <c r="V2293" s="8"/>
      <c r="W2293" s="8"/>
      <c r="X2293" s="8"/>
      <c r="Y2293" s="8"/>
      <c r="Z2293" s="8">
        <v>254.17</v>
      </c>
      <c r="AA2293" s="8"/>
      <c r="AB2293" s="8"/>
      <c r="AC2293" s="8"/>
      <c r="AD2293" s="8"/>
      <c r="AE2293" s="8"/>
      <c r="AF2293" s="8">
        <v>59.42</v>
      </c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>
        <f>1524*12.08/1000</f>
        <v>18.409920000000003</v>
      </c>
      <c r="AR2293" s="8"/>
      <c r="AS2293" s="8"/>
      <c r="AT2293" s="8">
        <v>827.33</v>
      </c>
      <c r="AU2293" s="8"/>
      <c r="AV2293" s="8"/>
      <c r="AW2293" s="8">
        <v>3.59</v>
      </c>
      <c r="AX2293" s="8"/>
      <c r="AY2293" s="8"/>
      <c r="AZ2293" s="8"/>
      <c r="BA2293" s="8"/>
      <c r="BB2293" s="8"/>
      <c r="BC2293" s="8"/>
      <c r="BD2293" s="8"/>
      <c r="BE2293" s="8"/>
      <c r="BF2293" s="8">
        <v>58</v>
      </c>
      <c r="BG2293" s="8">
        <v>60.06</v>
      </c>
      <c r="BH2293" s="9">
        <f t="shared" si="315"/>
        <v>1207.27</v>
      </c>
      <c r="BI2293" s="9">
        <f t="shared" si="316"/>
        <v>3.04</v>
      </c>
      <c r="BJ2293" s="9">
        <f t="shared" si="317"/>
        <v>4.71</v>
      </c>
      <c r="BK2293" s="9">
        <f t="shared" si="318"/>
        <v>18.149999999999999</v>
      </c>
      <c r="BL2293" s="9">
        <f t="shared" si="319"/>
        <v>254.17</v>
      </c>
      <c r="BM2293" s="9">
        <f t="shared" si="320"/>
        <v>77.829920000000001</v>
      </c>
      <c r="BN2293" s="9">
        <f t="shared" si="321"/>
        <v>827.33</v>
      </c>
      <c r="BO2293" s="9">
        <f t="shared" si="322"/>
        <v>3.59</v>
      </c>
      <c r="BP2293" s="9">
        <f t="shared" si="323"/>
        <v>58</v>
      </c>
    </row>
    <row r="2294" spans="1:68">
      <c r="A2294" s="6">
        <v>44951</v>
      </c>
      <c r="B2294" s="7">
        <v>3141</v>
      </c>
      <c r="C2294" s="8">
        <v>2435.41</v>
      </c>
      <c r="D2294" s="8">
        <v>430.14</v>
      </c>
      <c r="E2294" s="8"/>
      <c r="F2294" s="8"/>
      <c r="G2294" s="8"/>
      <c r="H2294" s="8"/>
      <c r="I2294" s="8"/>
      <c r="J2294" s="8"/>
      <c r="K2294" s="8"/>
      <c r="L2294" s="8"/>
      <c r="M2294" s="8">
        <v>7.61</v>
      </c>
      <c r="N2294" s="8"/>
      <c r="O2294" s="8"/>
      <c r="P2294" s="8"/>
      <c r="Q2294" s="8"/>
      <c r="R2294" s="8"/>
      <c r="S2294" s="8">
        <v>13.49</v>
      </c>
      <c r="T2294" s="8"/>
      <c r="U2294" s="8">
        <v>43.04</v>
      </c>
      <c r="V2294" s="8"/>
      <c r="W2294" s="8"/>
      <c r="X2294" s="8"/>
      <c r="Y2294" s="8"/>
      <c r="Z2294" s="8"/>
      <c r="AA2294" s="8"/>
      <c r="AB2294" s="8"/>
      <c r="AC2294" s="8">
        <v>11.47</v>
      </c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>
        <v>1890.55</v>
      </c>
      <c r="AU2294" s="8"/>
      <c r="AV2294" s="8"/>
      <c r="AW2294" s="8"/>
      <c r="AX2294" s="8"/>
      <c r="AY2294" s="8"/>
      <c r="AZ2294" s="8"/>
      <c r="BA2294" s="8">
        <v>65.75</v>
      </c>
      <c r="BB2294" s="8"/>
      <c r="BC2294" s="8"/>
      <c r="BD2294" s="8"/>
      <c r="BE2294" s="8"/>
      <c r="BF2294" s="8">
        <v>200.78</v>
      </c>
      <c r="BG2294" s="8">
        <v>149.18</v>
      </c>
      <c r="BH2294" s="9">
        <f t="shared" si="315"/>
        <v>2865.5499999999997</v>
      </c>
      <c r="BI2294" s="9">
        <f t="shared" si="316"/>
        <v>7.61</v>
      </c>
      <c r="BJ2294" s="9">
        <f t="shared" si="317"/>
        <v>13.49</v>
      </c>
      <c r="BK2294" s="9">
        <f t="shared" si="318"/>
        <v>43.04</v>
      </c>
      <c r="BL2294" s="9">
        <f t="shared" si="319"/>
        <v>0</v>
      </c>
      <c r="BM2294" s="9">
        <f t="shared" si="320"/>
        <v>11.47</v>
      </c>
      <c r="BN2294" s="9">
        <f t="shared" si="321"/>
        <v>1890.55</v>
      </c>
      <c r="BO2294" s="9">
        <f t="shared" si="322"/>
        <v>65.75</v>
      </c>
      <c r="BP2294" s="9">
        <f t="shared" si="323"/>
        <v>200.78</v>
      </c>
    </row>
    <row r="2295" spans="1:68">
      <c r="A2295" s="6">
        <v>44951</v>
      </c>
      <c r="B2295" s="7">
        <v>3134</v>
      </c>
      <c r="C2295" s="8">
        <v>1068.27</v>
      </c>
      <c r="D2295" s="8">
        <v>149.47</v>
      </c>
      <c r="E2295" s="8"/>
      <c r="F2295" s="8"/>
      <c r="G2295" s="8"/>
      <c r="H2295" s="8">
        <v>505.25</v>
      </c>
      <c r="I2295" s="8"/>
      <c r="J2295" s="8"/>
      <c r="K2295" s="8"/>
      <c r="L2295" s="8"/>
      <c r="M2295" s="8">
        <v>2.34</v>
      </c>
      <c r="N2295" s="8"/>
      <c r="O2295" s="8"/>
      <c r="P2295" s="8"/>
      <c r="Q2295" s="8"/>
      <c r="R2295" s="8"/>
      <c r="S2295" s="8">
        <v>6.9</v>
      </c>
      <c r="T2295" s="8"/>
      <c r="U2295" s="8">
        <v>19.48</v>
      </c>
      <c r="V2295" s="8"/>
      <c r="W2295" s="8"/>
      <c r="X2295" s="8"/>
      <c r="Y2295" s="8"/>
      <c r="Z2295" s="8"/>
      <c r="AA2295" s="8"/>
      <c r="AB2295" s="8"/>
      <c r="AC2295" s="8">
        <v>5.99</v>
      </c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>
        <v>1046.75</v>
      </c>
      <c r="AU2295" s="8"/>
      <c r="AV2295" s="8"/>
      <c r="AW2295" s="8"/>
      <c r="AX2295" s="8"/>
      <c r="AY2295" s="8">
        <f>1404*10.7/1000</f>
        <v>15.0228</v>
      </c>
      <c r="AZ2295" s="8"/>
      <c r="BA2295" s="8"/>
      <c r="BB2295" s="8"/>
      <c r="BC2295" s="8"/>
      <c r="BD2295" s="8"/>
      <c r="BE2295" s="8"/>
      <c r="BF2295" s="8">
        <v>67.48</v>
      </c>
      <c r="BG2295" s="8">
        <v>79.44</v>
      </c>
      <c r="BH2295" s="9">
        <f t="shared" si="315"/>
        <v>1722.99</v>
      </c>
      <c r="BI2295" s="9">
        <f t="shared" si="316"/>
        <v>2.34</v>
      </c>
      <c r="BJ2295" s="9">
        <f t="shared" si="317"/>
        <v>6.9</v>
      </c>
      <c r="BK2295" s="9">
        <f t="shared" si="318"/>
        <v>19.48</v>
      </c>
      <c r="BL2295" s="9">
        <f t="shared" si="319"/>
        <v>0</v>
      </c>
      <c r="BM2295" s="9">
        <f t="shared" si="320"/>
        <v>5.99</v>
      </c>
      <c r="BN2295" s="9">
        <f t="shared" si="321"/>
        <v>1046.75</v>
      </c>
      <c r="BO2295" s="9">
        <f t="shared" si="322"/>
        <v>15.0228</v>
      </c>
      <c r="BP2295" s="9">
        <f t="shared" si="323"/>
        <v>67.48</v>
      </c>
    </row>
    <row r="2296" spans="1:68">
      <c r="A2296" s="6">
        <v>44951</v>
      </c>
      <c r="B2296" s="7">
        <v>3106</v>
      </c>
      <c r="C2296" s="8">
        <v>4154.63</v>
      </c>
      <c r="D2296" s="8"/>
      <c r="E2296" s="8"/>
      <c r="F2296" s="8"/>
      <c r="G2296" s="8"/>
      <c r="H2296" s="8"/>
      <c r="I2296" s="8"/>
      <c r="J2296" s="8"/>
      <c r="K2296" s="8"/>
      <c r="L2296" s="8"/>
      <c r="M2296" s="8">
        <v>10.53</v>
      </c>
      <c r="N2296" s="8"/>
      <c r="O2296" s="8"/>
      <c r="P2296" s="8"/>
      <c r="Q2296" s="8"/>
      <c r="R2296" s="8"/>
      <c r="S2296" s="8">
        <v>12.51</v>
      </c>
      <c r="T2296" s="8"/>
      <c r="U2296" s="8">
        <v>52.87</v>
      </c>
      <c r="V2296" s="8"/>
      <c r="W2296" s="8"/>
      <c r="X2296" s="8"/>
      <c r="Y2296" s="8"/>
      <c r="Z2296" s="8"/>
      <c r="AA2296" s="8"/>
      <c r="AB2296" s="8"/>
      <c r="AC2296" s="8">
        <v>10.4</v>
      </c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>
        <v>2371.02</v>
      </c>
      <c r="AU2296" s="8"/>
      <c r="AV2296" s="8"/>
      <c r="AW2296" s="8"/>
      <c r="AX2296" s="8">
        <v>5.2</v>
      </c>
      <c r="AY2296" s="8"/>
      <c r="AZ2296" s="8"/>
      <c r="BA2296" s="8"/>
      <c r="BB2296" s="8"/>
      <c r="BC2296" s="8"/>
      <c r="BD2296" s="8"/>
      <c r="BE2296" s="8"/>
      <c r="BF2296" s="8"/>
      <c r="BG2296" s="8">
        <v>178.47</v>
      </c>
      <c r="BH2296" s="9">
        <f t="shared" si="315"/>
        <v>4154.63</v>
      </c>
      <c r="BI2296" s="9">
        <f t="shared" si="316"/>
        <v>10.53</v>
      </c>
      <c r="BJ2296" s="9">
        <f t="shared" si="317"/>
        <v>12.51</v>
      </c>
      <c r="BK2296" s="9">
        <f t="shared" si="318"/>
        <v>52.87</v>
      </c>
      <c r="BL2296" s="9">
        <f t="shared" si="319"/>
        <v>0</v>
      </c>
      <c r="BM2296" s="9">
        <f t="shared" si="320"/>
        <v>10.4</v>
      </c>
      <c r="BN2296" s="9">
        <f t="shared" si="321"/>
        <v>2371.02</v>
      </c>
      <c r="BO2296" s="9">
        <f t="shared" si="322"/>
        <v>5.2</v>
      </c>
      <c r="BP2296" s="9">
        <f t="shared" si="323"/>
        <v>0</v>
      </c>
    </row>
    <row r="2297" spans="1:68">
      <c r="A2297" s="6">
        <v>44951</v>
      </c>
      <c r="B2297" s="7">
        <v>3402</v>
      </c>
      <c r="C2297" s="8">
        <f>886.27+78.41</f>
        <v>964.68</v>
      </c>
      <c r="D2297" s="8">
        <f>590.54+53.26</f>
        <v>643.79999999999995</v>
      </c>
      <c r="E2297" s="8"/>
      <c r="F2297" s="8"/>
      <c r="G2297" s="8"/>
      <c r="H2297" s="8"/>
      <c r="I2297" s="8"/>
      <c r="J2297" s="8"/>
      <c r="K2297" s="8"/>
      <c r="L2297" s="8"/>
      <c r="M2297" s="8">
        <f>2.96+0.4</f>
        <v>3.36</v>
      </c>
      <c r="N2297" s="8"/>
      <c r="O2297" s="8"/>
      <c r="P2297" s="8"/>
      <c r="Q2297" s="8"/>
      <c r="R2297" s="8"/>
      <c r="S2297" s="8">
        <f>3.39+0.31</f>
        <v>3.7</v>
      </c>
      <c r="T2297" s="8"/>
      <c r="U2297" s="8"/>
      <c r="V2297" s="8"/>
      <c r="W2297" s="8"/>
      <c r="X2297" s="8">
        <f>1022*16.08/1000</f>
        <v>16.433759999999999</v>
      </c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>
        <f>693.16+62.88</f>
        <v>756.04</v>
      </c>
      <c r="AU2297" s="8"/>
      <c r="AV2297" s="8"/>
      <c r="AW2297" s="8"/>
      <c r="AX2297" s="8"/>
      <c r="AY2297" s="8"/>
      <c r="AZ2297" s="8"/>
      <c r="BA2297" s="8">
        <f>6.68+0.6</f>
        <v>7.2799999999999994</v>
      </c>
      <c r="BB2297" s="8"/>
      <c r="BC2297" s="8"/>
      <c r="BD2297" s="8"/>
      <c r="BE2297" s="8"/>
      <c r="BF2297" s="8"/>
      <c r="BG2297" s="8">
        <f>48.74+4.42</f>
        <v>53.160000000000004</v>
      </c>
      <c r="BH2297" s="9">
        <f t="shared" si="315"/>
        <v>1608.48</v>
      </c>
      <c r="BI2297" s="9">
        <f t="shared" si="316"/>
        <v>3.36</v>
      </c>
      <c r="BJ2297" s="9">
        <f t="shared" si="317"/>
        <v>3.7</v>
      </c>
      <c r="BK2297" s="9">
        <f t="shared" si="318"/>
        <v>16.433759999999999</v>
      </c>
      <c r="BL2297" s="9">
        <f t="shared" si="319"/>
        <v>0</v>
      </c>
      <c r="BM2297" s="9">
        <f t="shared" si="320"/>
        <v>0</v>
      </c>
      <c r="BN2297" s="9">
        <f t="shared" si="321"/>
        <v>756.04</v>
      </c>
      <c r="BO2297" s="9">
        <f t="shared" si="322"/>
        <v>7.2799999999999994</v>
      </c>
      <c r="BP2297" s="9">
        <f t="shared" si="323"/>
        <v>0</v>
      </c>
    </row>
    <row r="2298" spans="1:68">
      <c r="A2298" s="6">
        <v>44951</v>
      </c>
      <c r="B2298" s="7">
        <v>3403</v>
      </c>
      <c r="C2298" s="8">
        <v>377.21</v>
      </c>
      <c r="D2298" s="8">
        <v>376.82</v>
      </c>
      <c r="E2298" s="8"/>
      <c r="F2298" s="8"/>
      <c r="G2298" s="8"/>
      <c r="H2298" s="8"/>
      <c r="I2298" s="8"/>
      <c r="J2298" s="8"/>
      <c r="K2298" s="8"/>
      <c r="L2298" s="8"/>
      <c r="M2298" s="8">
        <v>1.61</v>
      </c>
      <c r="N2298" s="8"/>
      <c r="O2298" s="8"/>
      <c r="P2298" s="8"/>
      <c r="Q2298" s="8"/>
      <c r="R2298" s="8"/>
      <c r="S2298" s="8">
        <v>1.88</v>
      </c>
      <c r="T2298" s="8"/>
      <c r="U2298" s="8"/>
      <c r="V2298" s="8"/>
      <c r="W2298" s="8"/>
      <c r="X2298" s="8">
        <f>1022*7.53/1000</f>
        <v>7.6956600000000002</v>
      </c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>
        <v>349.45</v>
      </c>
      <c r="AU2298" s="8"/>
      <c r="AV2298" s="8">
        <v>22.61</v>
      </c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>
        <v>24.87</v>
      </c>
      <c r="BH2298" s="9">
        <f t="shared" si="315"/>
        <v>754.03</v>
      </c>
      <c r="BI2298" s="9">
        <f t="shared" si="316"/>
        <v>1.61</v>
      </c>
      <c r="BJ2298" s="9">
        <f t="shared" si="317"/>
        <v>1.88</v>
      </c>
      <c r="BK2298" s="9">
        <f t="shared" si="318"/>
        <v>7.6956600000000002</v>
      </c>
      <c r="BL2298" s="9">
        <f t="shared" si="319"/>
        <v>0</v>
      </c>
      <c r="BM2298" s="9">
        <f t="shared" si="320"/>
        <v>0</v>
      </c>
      <c r="BN2298" s="9">
        <f t="shared" si="321"/>
        <v>349.45</v>
      </c>
      <c r="BO2298" s="9">
        <f t="shared" si="322"/>
        <v>22.61</v>
      </c>
      <c r="BP2298" s="9">
        <f t="shared" si="323"/>
        <v>0</v>
      </c>
    </row>
    <row r="2299" spans="1:68">
      <c r="A2299" s="6">
        <v>44951</v>
      </c>
      <c r="B2299" s="7">
        <v>3005</v>
      </c>
      <c r="C2299" s="8">
        <v>447.28</v>
      </c>
      <c r="D2299" s="8">
        <v>298.76</v>
      </c>
      <c r="E2299" s="8"/>
      <c r="F2299" s="8"/>
      <c r="G2299" s="8"/>
      <c r="H2299" s="8"/>
      <c r="I2299" s="8"/>
      <c r="J2299" s="8"/>
      <c r="K2299" s="8"/>
      <c r="L2299" s="8"/>
      <c r="M2299" s="8"/>
      <c r="N2299" s="8">
        <v>0.75</v>
      </c>
      <c r="O2299" s="8"/>
      <c r="P2299" s="8"/>
      <c r="Q2299" s="8"/>
      <c r="R2299" s="8"/>
      <c r="S2299" s="8">
        <v>2.61</v>
      </c>
      <c r="T2299" s="8"/>
      <c r="U2299" s="8"/>
      <c r="V2299" s="8"/>
      <c r="W2299" s="8">
        <v>8.1999999999999993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>
        <v>364.81</v>
      </c>
      <c r="AU2299" s="8"/>
      <c r="AV2299" s="8"/>
      <c r="AW2299" s="8">
        <v>8.2799999999999994</v>
      </c>
      <c r="AX2299" s="8"/>
      <c r="AY2299" s="8"/>
      <c r="AZ2299" s="8"/>
      <c r="BA2299" s="8"/>
      <c r="BB2299" s="8"/>
      <c r="BC2299" s="8"/>
      <c r="BD2299" s="8"/>
      <c r="BE2299" s="8"/>
      <c r="BF2299" s="8"/>
      <c r="BG2299" s="8">
        <v>27.18</v>
      </c>
      <c r="BH2299" s="9">
        <f t="shared" si="315"/>
        <v>746.04</v>
      </c>
      <c r="BI2299" s="9">
        <f t="shared" si="316"/>
        <v>0.75</v>
      </c>
      <c r="BJ2299" s="9">
        <f t="shared" si="317"/>
        <v>2.61</v>
      </c>
      <c r="BK2299" s="9">
        <f t="shared" si="318"/>
        <v>8.1999999999999993</v>
      </c>
      <c r="BL2299" s="9">
        <f t="shared" si="319"/>
        <v>0</v>
      </c>
      <c r="BM2299" s="9">
        <f t="shared" si="320"/>
        <v>0</v>
      </c>
      <c r="BN2299" s="9">
        <f t="shared" si="321"/>
        <v>364.81</v>
      </c>
      <c r="BO2299" s="9">
        <f t="shared" si="322"/>
        <v>8.2799999999999994</v>
      </c>
      <c r="BP2299" s="9">
        <f t="shared" si="323"/>
        <v>0</v>
      </c>
    </row>
    <row r="2300" spans="1:68">
      <c r="A2300" s="6">
        <v>44951</v>
      </c>
      <c r="B2300" s="7">
        <v>3022</v>
      </c>
      <c r="C2300" s="8"/>
      <c r="D2300" s="8">
        <v>330.1</v>
      </c>
      <c r="E2300" s="8"/>
      <c r="F2300" s="8"/>
      <c r="G2300" s="8"/>
      <c r="H2300" s="8"/>
      <c r="I2300" s="8">
        <v>270.18</v>
      </c>
      <c r="J2300" s="8"/>
      <c r="K2300" s="8"/>
      <c r="L2300" s="8"/>
      <c r="M2300" s="8"/>
      <c r="N2300" s="8">
        <v>3.01</v>
      </c>
      <c r="O2300" s="8"/>
      <c r="P2300" s="8"/>
      <c r="Q2300" s="8"/>
      <c r="R2300" s="8"/>
      <c r="S2300" s="8">
        <v>1.08</v>
      </c>
      <c r="T2300" s="8"/>
      <c r="U2300" s="8"/>
      <c r="V2300" s="8"/>
      <c r="W2300" s="8">
        <v>6.02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>
        <v>7.78</v>
      </c>
      <c r="AN2300" s="8"/>
      <c r="AO2300" s="8"/>
      <c r="AP2300" s="8"/>
      <c r="AQ2300" s="8"/>
      <c r="AR2300" s="8"/>
      <c r="AS2300" s="8">
        <f>3813*5.47/1000</f>
        <v>20.857110000000002</v>
      </c>
      <c r="AT2300" s="8">
        <v>280.63</v>
      </c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>
        <v>21.64</v>
      </c>
      <c r="BH2300" s="9">
        <f t="shared" si="315"/>
        <v>600.28</v>
      </c>
      <c r="BI2300" s="9">
        <f t="shared" si="316"/>
        <v>3.01</v>
      </c>
      <c r="BJ2300" s="9">
        <f t="shared" si="317"/>
        <v>1.08</v>
      </c>
      <c r="BK2300" s="9">
        <f t="shared" si="318"/>
        <v>6.02</v>
      </c>
      <c r="BL2300" s="9">
        <f t="shared" si="319"/>
        <v>0</v>
      </c>
      <c r="BM2300" s="9">
        <f t="shared" si="320"/>
        <v>28.637110000000003</v>
      </c>
      <c r="BN2300" s="9">
        <f t="shared" si="321"/>
        <v>280.63</v>
      </c>
      <c r="BO2300" s="9">
        <f t="shared" si="322"/>
        <v>0</v>
      </c>
      <c r="BP2300" s="9">
        <f t="shared" si="323"/>
        <v>0</v>
      </c>
    </row>
    <row r="2301" spans="1:68">
      <c r="A2301" s="6">
        <v>44951</v>
      </c>
      <c r="B2301" s="7">
        <v>3023</v>
      </c>
      <c r="C2301" s="8"/>
      <c r="D2301" s="8">
        <v>1633.1</v>
      </c>
      <c r="E2301" s="8"/>
      <c r="F2301" s="8"/>
      <c r="G2301" s="8"/>
      <c r="H2301" s="8"/>
      <c r="I2301" s="8">
        <v>880.52</v>
      </c>
      <c r="J2301" s="8"/>
      <c r="K2301" s="8"/>
      <c r="L2301" s="8"/>
      <c r="M2301" s="8"/>
      <c r="N2301" s="8">
        <v>14.07</v>
      </c>
      <c r="O2301" s="8"/>
      <c r="P2301" s="8"/>
      <c r="Q2301" s="8"/>
      <c r="R2301" s="8"/>
      <c r="S2301" s="8">
        <v>4.03</v>
      </c>
      <c r="T2301" s="8"/>
      <c r="U2301" s="8"/>
      <c r="V2301" s="8"/>
      <c r="W2301" s="8">
        <v>22.65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>
        <v>25.1</v>
      </c>
      <c r="AN2301" s="8">
        <f>1012*17.33/1000</f>
        <v>17.537959999999998</v>
      </c>
      <c r="AO2301" s="8"/>
      <c r="AP2301" s="8"/>
      <c r="AQ2301" s="8"/>
      <c r="AR2301" s="8"/>
      <c r="AS2301" s="8">
        <f>4788*17.33/1000</f>
        <v>82.976039999999998</v>
      </c>
      <c r="AT2301" s="8">
        <v>1033.2</v>
      </c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>
        <v>77.92</v>
      </c>
      <c r="BH2301" s="9">
        <f t="shared" si="315"/>
        <v>2513.62</v>
      </c>
      <c r="BI2301" s="9">
        <f t="shared" si="316"/>
        <v>14.07</v>
      </c>
      <c r="BJ2301" s="9">
        <f t="shared" si="317"/>
        <v>4.03</v>
      </c>
      <c r="BK2301" s="9">
        <f t="shared" si="318"/>
        <v>22.65</v>
      </c>
      <c r="BL2301" s="9">
        <f t="shared" si="319"/>
        <v>0</v>
      </c>
      <c r="BM2301" s="9">
        <f t="shared" si="320"/>
        <v>125.614</v>
      </c>
      <c r="BN2301" s="9">
        <f t="shared" si="321"/>
        <v>1033.2</v>
      </c>
      <c r="BO2301" s="9">
        <f t="shared" si="322"/>
        <v>0</v>
      </c>
      <c r="BP2301" s="9">
        <f t="shared" si="323"/>
        <v>0</v>
      </c>
    </row>
    <row r="2302" spans="1:68">
      <c r="A2302" s="6">
        <v>44951</v>
      </c>
      <c r="B2302" s="7">
        <v>3079</v>
      </c>
      <c r="C2302" s="8"/>
      <c r="D2302" s="8"/>
      <c r="E2302" s="8"/>
      <c r="F2302" s="8">
        <v>339.52</v>
      </c>
      <c r="G2302" s="8"/>
      <c r="H2302" s="8"/>
      <c r="I2302" s="8">
        <v>2755.74</v>
      </c>
      <c r="J2302" s="8"/>
      <c r="K2302" s="8"/>
      <c r="L2302" s="8"/>
      <c r="M2302" s="8"/>
      <c r="N2302" s="8">
        <v>22</v>
      </c>
      <c r="O2302" s="8"/>
      <c r="P2302" s="8"/>
      <c r="Q2302" s="8"/>
      <c r="R2302" s="8"/>
      <c r="S2302" s="8">
        <v>1.24</v>
      </c>
      <c r="T2302" s="8"/>
      <c r="U2302" s="8"/>
      <c r="V2302" s="8"/>
      <c r="W2302" s="8">
        <v>31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>
        <v>12.3</v>
      </c>
      <c r="AN2302" s="8">
        <f>1716*18.23/1000</f>
        <v>31.282679999999999</v>
      </c>
      <c r="AO2302" s="8"/>
      <c r="AP2302" s="8"/>
      <c r="AQ2302" s="8"/>
      <c r="AR2302" s="8">
        <f>4318*18.23/1000</f>
        <v>78.717140000000001</v>
      </c>
      <c r="AS2302" s="8"/>
      <c r="AT2302" s="8">
        <v>1197.51</v>
      </c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>
        <v>86.81</v>
      </c>
      <c r="BH2302" s="9">
        <f t="shared" si="315"/>
        <v>3095.2599999999998</v>
      </c>
      <c r="BI2302" s="9">
        <f t="shared" si="316"/>
        <v>22</v>
      </c>
      <c r="BJ2302" s="9">
        <f t="shared" si="317"/>
        <v>1.24</v>
      </c>
      <c r="BK2302" s="9">
        <f t="shared" si="318"/>
        <v>31</v>
      </c>
      <c r="BL2302" s="9">
        <f t="shared" si="319"/>
        <v>0</v>
      </c>
      <c r="BM2302" s="9">
        <f t="shared" si="320"/>
        <v>122.29982</v>
      </c>
      <c r="BN2302" s="9">
        <f t="shared" si="321"/>
        <v>1197.51</v>
      </c>
      <c r="BO2302" s="9">
        <f t="shared" si="322"/>
        <v>0</v>
      </c>
      <c r="BP2302" s="9">
        <f t="shared" si="323"/>
        <v>0</v>
      </c>
    </row>
    <row r="2303" spans="1:68">
      <c r="A2303" s="6">
        <v>44951</v>
      </c>
      <c r="B2303" s="7">
        <v>3081</v>
      </c>
      <c r="C2303" s="8"/>
      <c r="D2303" s="8">
        <f>229.71+95.57</f>
        <v>325.27999999999997</v>
      </c>
      <c r="E2303" s="8"/>
      <c r="F2303" s="8">
        <f>258.66+107.32</f>
        <v>365.98</v>
      </c>
      <c r="G2303" s="8"/>
      <c r="H2303" s="8"/>
      <c r="I2303" s="8">
        <f>943.99+391.27</f>
        <v>1335.26</v>
      </c>
      <c r="J2303" s="8"/>
      <c r="K2303" s="8"/>
      <c r="L2303" s="8"/>
      <c r="M2303" s="8"/>
      <c r="N2303" s="8">
        <f>4.35+10.51</f>
        <v>14.86</v>
      </c>
      <c r="O2303" s="8"/>
      <c r="P2303" s="8">
        <f>618*13.13/1000</f>
        <v>8.1143400000000003</v>
      </c>
      <c r="Q2303" s="8"/>
      <c r="R2303" s="8"/>
      <c r="S2303" s="8">
        <f>0.42+1</f>
        <v>1.42</v>
      </c>
      <c r="T2303" s="8"/>
      <c r="U2303" s="8"/>
      <c r="V2303" s="8"/>
      <c r="W2303" s="8">
        <f>14.42+5.96</f>
        <v>20.38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>
        <f>1547*13.13/1000</f>
        <v>20.312110000000001</v>
      </c>
      <c r="AR2303" s="8">
        <f>5433*13.13/1000</f>
        <v>71.335290000000015</v>
      </c>
      <c r="AS2303" s="8"/>
      <c r="AT2303" s="8">
        <f>450.2+185.97</f>
        <v>636.16999999999996</v>
      </c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>
        <f>29.7+12.36</f>
        <v>42.06</v>
      </c>
      <c r="BH2303" s="9">
        <f t="shared" si="315"/>
        <v>2026.52</v>
      </c>
      <c r="BI2303" s="9">
        <f t="shared" si="316"/>
        <v>22.974339999999998</v>
      </c>
      <c r="BJ2303" s="9">
        <f t="shared" si="317"/>
        <v>1.42</v>
      </c>
      <c r="BK2303" s="9">
        <f t="shared" si="318"/>
        <v>20.38</v>
      </c>
      <c r="BL2303" s="9">
        <f t="shared" si="319"/>
        <v>0</v>
      </c>
      <c r="BM2303" s="9">
        <f t="shared" si="320"/>
        <v>91.647400000000019</v>
      </c>
      <c r="BN2303" s="9">
        <f t="shared" si="321"/>
        <v>636.16999999999996</v>
      </c>
      <c r="BO2303" s="9">
        <f t="shared" si="322"/>
        <v>0</v>
      </c>
      <c r="BP2303" s="9">
        <f t="shared" si="323"/>
        <v>0</v>
      </c>
    </row>
    <row r="2304" spans="1:68">
      <c r="A2304" s="6">
        <v>44952</v>
      </c>
      <c r="B2304" s="7">
        <v>3116</v>
      </c>
      <c r="C2304" s="8">
        <f>429.39+1480.32</f>
        <v>1909.71</v>
      </c>
      <c r="D2304" s="8"/>
      <c r="E2304" s="8"/>
      <c r="F2304" s="8"/>
      <c r="G2304" s="8"/>
      <c r="H2304" s="8"/>
      <c r="I2304" s="8"/>
      <c r="J2304" s="8"/>
      <c r="K2304" s="8"/>
      <c r="L2304" s="8"/>
      <c r="M2304" s="8">
        <f>0.87+2.96</f>
        <v>3.83</v>
      </c>
      <c r="N2304" s="8"/>
      <c r="O2304" s="8"/>
      <c r="P2304" s="8"/>
      <c r="Q2304" s="8"/>
      <c r="R2304" s="8"/>
      <c r="S2304" s="8">
        <f>1.86+6.36</f>
        <v>8.2200000000000006</v>
      </c>
      <c r="T2304" s="8"/>
      <c r="U2304" s="8">
        <f>21.76+6.36</f>
        <v>28.12</v>
      </c>
      <c r="V2304" s="8"/>
      <c r="W2304" s="8"/>
      <c r="X2304" s="8"/>
      <c r="Y2304" s="8"/>
      <c r="Z2304" s="8"/>
      <c r="AA2304" s="8"/>
      <c r="AB2304" s="8"/>
      <c r="AC2304" s="8">
        <f>1.73+5.92</f>
        <v>7.65</v>
      </c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>
        <f>1433*13.64/1000</f>
        <v>19.546120000000002</v>
      </c>
      <c r="AR2304" s="8"/>
      <c r="AS2304" s="8"/>
      <c r="AT2304" s="8">
        <f>263.29+903.32</f>
        <v>1166.6100000000001</v>
      </c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>
        <f>17.29+59.23</f>
        <v>76.52</v>
      </c>
      <c r="BG2304" s="8">
        <f>19.74+67.15</f>
        <v>86.89</v>
      </c>
      <c r="BH2304" s="9">
        <f t="shared" si="315"/>
        <v>1909.71</v>
      </c>
      <c r="BI2304" s="9">
        <f t="shared" si="316"/>
        <v>3.83</v>
      </c>
      <c r="BJ2304" s="9">
        <f t="shared" si="317"/>
        <v>8.2200000000000006</v>
      </c>
      <c r="BK2304" s="9">
        <f t="shared" si="318"/>
        <v>28.12</v>
      </c>
      <c r="BL2304" s="9">
        <f t="shared" si="319"/>
        <v>0</v>
      </c>
      <c r="BM2304" s="9">
        <f t="shared" si="320"/>
        <v>27.196120000000001</v>
      </c>
      <c r="BN2304" s="9">
        <f t="shared" si="321"/>
        <v>1166.6100000000001</v>
      </c>
      <c r="BO2304" s="9">
        <f t="shared" si="322"/>
        <v>0</v>
      </c>
      <c r="BP2304" s="9">
        <f t="shared" si="323"/>
        <v>76.52</v>
      </c>
    </row>
    <row r="2305" spans="1:68">
      <c r="A2305" s="6">
        <v>44952</v>
      </c>
      <c r="B2305" s="7">
        <v>3145</v>
      </c>
      <c r="C2305" s="8">
        <v>1286.03</v>
      </c>
      <c r="D2305" s="8">
        <v>226.97</v>
      </c>
      <c r="E2305" s="8"/>
      <c r="F2305" s="8"/>
      <c r="G2305" s="8"/>
      <c r="H2305" s="8"/>
      <c r="I2305" s="8"/>
      <c r="J2305" s="8"/>
      <c r="K2305" s="8"/>
      <c r="L2305" s="8"/>
      <c r="M2305" s="8">
        <v>4.09</v>
      </c>
      <c r="N2305" s="8"/>
      <c r="O2305" s="8"/>
      <c r="P2305" s="8"/>
      <c r="Q2305" s="8"/>
      <c r="R2305" s="8"/>
      <c r="S2305" s="8">
        <v>7.12</v>
      </c>
      <c r="T2305" s="8"/>
      <c r="U2305" s="8">
        <v>22.71</v>
      </c>
      <c r="V2305" s="8"/>
      <c r="W2305" s="8"/>
      <c r="X2305" s="8"/>
      <c r="Y2305" s="8"/>
      <c r="Z2305" s="8"/>
      <c r="AA2305" s="8"/>
      <c r="AB2305" s="8"/>
      <c r="AC2305" s="8">
        <v>6.06</v>
      </c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>
        <v>1001.82</v>
      </c>
      <c r="AU2305" s="8"/>
      <c r="AV2305" s="8"/>
      <c r="AW2305" s="8"/>
      <c r="AX2305" s="8"/>
      <c r="AY2305" s="8"/>
      <c r="AZ2305" s="8"/>
      <c r="BA2305" s="8"/>
      <c r="BB2305" s="8"/>
      <c r="BC2305" s="8"/>
      <c r="BD2305" s="8">
        <v>3.78</v>
      </c>
      <c r="BE2305" s="8">
        <f>1358*10.08/1000</f>
        <v>13.688639999999999</v>
      </c>
      <c r="BF2305" s="8">
        <v>105.97</v>
      </c>
      <c r="BG2305" s="8">
        <v>78.59</v>
      </c>
      <c r="BH2305" s="9">
        <f t="shared" si="315"/>
        <v>1513</v>
      </c>
      <c r="BI2305" s="9">
        <f t="shared" si="316"/>
        <v>4.09</v>
      </c>
      <c r="BJ2305" s="9">
        <f t="shared" si="317"/>
        <v>7.12</v>
      </c>
      <c r="BK2305" s="9">
        <f t="shared" si="318"/>
        <v>22.71</v>
      </c>
      <c r="BL2305" s="9">
        <f t="shared" si="319"/>
        <v>0</v>
      </c>
      <c r="BM2305" s="9">
        <f t="shared" si="320"/>
        <v>6.06</v>
      </c>
      <c r="BN2305" s="9">
        <f t="shared" si="321"/>
        <v>1001.82</v>
      </c>
      <c r="BO2305" s="9">
        <f t="shared" si="322"/>
        <v>17.468640000000001</v>
      </c>
      <c r="BP2305" s="9">
        <f t="shared" si="323"/>
        <v>105.97</v>
      </c>
    </row>
    <row r="2306" spans="1:68">
      <c r="A2306" s="6">
        <v>44952</v>
      </c>
      <c r="B2306" s="7">
        <v>3108</v>
      </c>
      <c r="C2306" s="8">
        <v>2273.67</v>
      </c>
      <c r="D2306" s="8"/>
      <c r="E2306" s="8"/>
      <c r="F2306" s="8"/>
      <c r="G2306" s="8"/>
      <c r="H2306" s="8"/>
      <c r="I2306" s="8"/>
      <c r="J2306" s="8"/>
      <c r="K2306" s="8"/>
      <c r="L2306" s="8"/>
      <c r="M2306" s="8">
        <v>5.0599999999999996</v>
      </c>
      <c r="N2306" s="8"/>
      <c r="O2306" s="8"/>
      <c r="P2306" s="8"/>
      <c r="Q2306" s="11"/>
      <c r="R2306" s="11"/>
      <c r="S2306" s="8">
        <v>7.3</v>
      </c>
      <c r="T2306" s="8"/>
      <c r="U2306" s="8">
        <v>28.95</v>
      </c>
      <c r="V2306" s="8"/>
      <c r="W2306" s="8"/>
      <c r="X2306" s="8"/>
      <c r="Y2306" s="8"/>
      <c r="Z2306" s="8"/>
      <c r="AA2306" s="8"/>
      <c r="AB2306" s="8"/>
      <c r="AC2306" s="8">
        <v>9.1</v>
      </c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11"/>
      <c r="AQ2306" s="8"/>
      <c r="AR2306" s="8"/>
      <c r="AS2306" s="8"/>
      <c r="AT2306" s="8">
        <v>1238.58</v>
      </c>
      <c r="AU2306" s="8"/>
      <c r="AV2306" s="8"/>
      <c r="AW2306" s="8"/>
      <c r="AX2306" s="8"/>
      <c r="AY2306" s="8"/>
      <c r="AZ2306" s="8"/>
      <c r="BA2306" s="8">
        <v>84.71</v>
      </c>
      <c r="BB2306" s="8"/>
      <c r="BC2306" s="8"/>
      <c r="BD2306" s="8"/>
      <c r="BE2306" s="8"/>
      <c r="BF2306" s="8"/>
      <c r="BG2306" s="8">
        <v>92.13</v>
      </c>
      <c r="BH2306" s="9">
        <f t="shared" si="315"/>
        <v>2273.67</v>
      </c>
      <c r="BI2306" s="9">
        <f t="shared" si="316"/>
        <v>5.0599999999999996</v>
      </c>
      <c r="BJ2306" s="9">
        <f t="shared" si="317"/>
        <v>7.3</v>
      </c>
      <c r="BK2306" s="9">
        <f t="shared" si="318"/>
        <v>28.95</v>
      </c>
      <c r="BL2306" s="9">
        <f t="shared" si="319"/>
        <v>0</v>
      </c>
      <c r="BM2306" s="9">
        <f t="shared" si="320"/>
        <v>9.1</v>
      </c>
      <c r="BN2306" s="9">
        <f t="shared" si="321"/>
        <v>1238.58</v>
      </c>
      <c r="BO2306" s="9">
        <f t="shared" si="322"/>
        <v>84.71</v>
      </c>
      <c r="BP2306" s="9">
        <f t="shared" si="323"/>
        <v>0</v>
      </c>
    </row>
    <row r="2307" spans="1:68">
      <c r="A2307" s="6">
        <v>44952</v>
      </c>
      <c r="B2307" s="7">
        <v>3121</v>
      </c>
      <c r="C2307" s="8">
        <v>2278.61</v>
      </c>
      <c r="D2307" s="8"/>
      <c r="E2307" s="8"/>
      <c r="F2307" s="8"/>
      <c r="G2307" s="8"/>
      <c r="H2307" s="8"/>
      <c r="I2307" s="8"/>
      <c r="J2307" s="8"/>
      <c r="K2307" s="8"/>
      <c r="L2307" s="8"/>
      <c r="M2307" s="8">
        <v>5.04</v>
      </c>
      <c r="N2307" s="8"/>
      <c r="O2307" s="8"/>
      <c r="P2307" s="8"/>
      <c r="Q2307" s="11"/>
      <c r="R2307" s="11"/>
      <c r="S2307" s="8">
        <v>7.31</v>
      </c>
      <c r="T2307" s="8"/>
      <c r="U2307" s="8">
        <v>22.74</v>
      </c>
      <c r="V2307" s="8"/>
      <c r="W2307" s="8"/>
      <c r="X2307" s="8"/>
      <c r="Y2307" s="8"/>
      <c r="Z2307" s="8"/>
      <c r="AA2307" s="8"/>
      <c r="AB2307" s="8"/>
      <c r="AC2307" s="8">
        <v>9.1199999999999992</v>
      </c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11">
        <f>2236*10.37/1000</f>
        <v>23.18732</v>
      </c>
      <c r="AQ2307" s="8"/>
      <c r="AR2307" s="8"/>
      <c r="AS2307" s="8"/>
      <c r="AT2307" s="8">
        <v>1203.7</v>
      </c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>
        <v>88.87</v>
      </c>
      <c r="BH2307" s="9">
        <f t="shared" si="315"/>
        <v>2278.61</v>
      </c>
      <c r="BI2307" s="9">
        <f t="shared" si="316"/>
        <v>5.04</v>
      </c>
      <c r="BJ2307" s="9">
        <f t="shared" si="317"/>
        <v>7.31</v>
      </c>
      <c r="BK2307" s="9">
        <f t="shared" si="318"/>
        <v>22.74</v>
      </c>
      <c r="BL2307" s="9">
        <f t="shared" si="319"/>
        <v>0</v>
      </c>
      <c r="BM2307" s="9">
        <f t="shared" si="320"/>
        <v>32.307319999999997</v>
      </c>
      <c r="BN2307" s="9">
        <f t="shared" si="321"/>
        <v>1203.7</v>
      </c>
      <c r="BO2307" s="9">
        <f t="shared" si="322"/>
        <v>0</v>
      </c>
      <c r="BP2307" s="9">
        <f t="shared" si="323"/>
        <v>0</v>
      </c>
    </row>
    <row r="2308" spans="1:68">
      <c r="A2308" s="6">
        <v>44952</v>
      </c>
      <c r="B2308" s="7">
        <v>3016</v>
      </c>
      <c r="C2308" s="8"/>
      <c r="D2308" s="8">
        <v>2269.15</v>
      </c>
      <c r="E2308" s="8"/>
      <c r="F2308" s="8"/>
      <c r="G2308" s="8"/>
      <c r="H2308" s="8"/>
      <c r="I2308" s="8">
        <v>2094.7199999999998</v>
      </c>
      <c r="J2308" s="8"/>
      <c r="K2308" s="8"/>
      <c r="L2308" s="8"/>
      <c r="M2308" s="8"/>
      <c r="N2308" s="8">
        <v>26.22</v>
      </c>
      <c r="O2308" s="8"/>
      <c r="P2308" s="8"/>
      <c r="Q2308" s="11"/>
      <c r="R2308" s="11"/>
      <c r="S2308" s="8">
        <v>3.05</v>
      </c>
      <c r="T2308" s="8"/>
      <c r="U2308" s="8"/>
      <c r="V2308" s="8"/>
      <c r="W2308" s="8">
        <v>43.69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>
        <v>17.38</v>
      </c>
      <c r="AN2308" s="8">
        <f>2054*25.68/1000</f>
        <v>52.746720000000003</v>
      </c>
      <c r="AO2308" s="8"/>
      <c r="AP2308" s="11"/>
      <c r="AQ2308" s="8"/>
      <c r="AR2308" s="8">
        <f>4268*25.68/1000</f>
        <v>109.60224000000001</v>
      </c>
      <c r="AS2308" s="8"/>
      <c r="AT2308" s="8">
        <v>1622.8</v>
      </c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>
        <v>118.55</v>
      </c>
      <c r="BH2308" s="9">
        <f t="shared" ref="BH2308:BH2371" si="324">SUM(C2308:L2308)</f>
        <v>4363.87</v>
      </c>
      <c r="BI2308" s="9">
        <f t="shared" ref="BI2308:BI2371" si="325">SUM(M2308:R2308)</f>
        <v>26.22</v>
      </c>
      <c r="BJ2308" s="9">
        <f t="shared" ref="BJ2308:BJ2371" si="326">SUM(S2308)</f>
        <v>3.05</v>
      </c>
      <c r="BK2308" s="9">
        <f t="shared" ref="BK2308:BK2371" si="327">SUM(T2308:Y2308)</f>
        <v>43.69</v>
      </c>
      <c r="BL2308" s="9">
        <f t="shared" ref="BL2308:BL2371" si="328">SUM(Z2308:AA2308)</f>
        <v>0</v>
      </c>
      <c r="BM2308" s="9">
        <f t="shared" ref="BM2308:BM2371" si="329">SUM(AB2308:AS2308)</f>
        <v>179.72896000000003</v>
      </c>
      <c r="BN2308" s="9">
        <f t="shared" ref="BN2308:BN2371" si="330">SUM(AT2308:AU2308)</f>
        <v>1622.8</v>
      </c>
      <c r="BO2308" s="9">
        <f t="shared" ref="BO2308:BO2371" si="331">SUM(AV2308:BE2308)</f>
        <v>0</v>
      </c>
      <c r="BP2308" s="9">
        <f t="shared" ref="BP2308:BP2371" si="332">SUM(BF2308)</f>
        <v>0</v>
      </c>
    </row>
    <row r="2309" spans="1:68">
      <c r="A2309" s="6">
        <v>44952</v>
      </c>
      <c r="B2309" s="7">
        <v>3117</v>
      </c>
      <c r="C2309" s="8">
        <v>747.86</v>
      </c>
      <c r="D2309" s="8"/>
      <c r="E2309" s="8"/>
      <c r="F2309" s="8"/>
      <c r="G2309" s="8"/>
      <c r="H2309" s="8"/>
      <c r="I2309" s="8"/>
      <c r="J2309" s="8"/>
      <c r="K2309" s="8"/>
      <c r="L2309" s="8"/>
      <c r="M2309" s="8">
        <v>2.17</v>
      </c>
      <c r="N2309" s="8"/>
      <c r="O2309" s="8"/>
      <c r="P2309" s="8"/>
      <c r="Q2309" s="11"/>
      <c r="R2309" s="11"/>
      <c r="S2309" s="8">
        <v>2.99</v>
      </c>
      <c r="T2309" s="8"/>
      <c r="U2309" s="8">
        <v>7.48</v>
      </c>
      <c r="V2309" s="8"/>
      <c r="W2309" s="8"/>
      <c r="X2309" s="8"/>
      <c r="Y2309" s="8"/>
      <c r="Z2309" s="8"/>
      <c r="AA2309" s="8"/>
      <c r="AB2309" s="8"/>
      <c r="AC2309" s="8">
        <v>2.99</v>
      </c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11"/>
      <c r="AQ2309" s="8"/>
      <c r="AR2309" s="8"/>
      <c r="AS2309" s="8"/>
      <c r="AT2309" s="8">
        <v>471.23</v>
      </c>
      <c r="AU2309" s="8"/>
      <c r="AV2309" s="8">
        <v>18.7</v>
      </c>
      <c r="AW2309" s="8"/>
      <c r="AX2309" s="8"/>
      <c r="AY2309" s="8"/>
      <c r="AZ2309" s="8"/>
      <c r="BA2309" s="8"/>
      <c r="BB2309" s="8"/>
      <c r="BC2309" s="8"/>
      <c r="BD2309" s="8"/>
      <c r="BE2309" s="8"/>
      <c r="BF2309" s="8">
        <v>37.42</v>
      </c>
      <c r="BG2309" s="8">
        <v>35.9</v>
      </c>
      <c r="BH2309" s="9">
        <f t="shared" si="324"/>
        <v>747.86</v>
      </c>
      <c r="BI2309" s="9">
        <f t="shared" si="325"/>
        <v>2.17</v>
      </c>
      <c r="BJ2309" s="9">
        <f t="shared" si="326"/>
        <v>2.99</v>
      </c>
      <c r="BK2309" s="9">
        <f t="shared" si="327"/>
        <v>7.48</v>
      </c>
      <c r="BL2309" s="9">
        <f t="shared" si="328"/>
        <v>0</v>
      </c>
      <c r="BM2309" s="9">
        <f t="shared" si="329"/>
        <v>2.99</v>
      </c>
      <c r="BN2309" s="9">
        <f t="shared" si="330"/>
        <v>471.23</v>
      </c>
      <c r="BO2309" s="9">
        <f t="shared" si="331"/>
        <v>18.7</v>
      </c>
      <c r="BP2309" s="9">
        <f t="shared" si="332"/>
        <v>37.42</v>
      </c>
    </row>
    <row r="2310" spans="1:68">
      <c r="A2310" s="6">
        <v>44952</v>
      </c>
      <c r="B2310" s="7">
        <v>3122</v>
      </c>
      <c r="C2310" s="8">
        <v>1388.54</v>
      </c>
      <c r="D2310" s="8"/>
      <c r="E2310" s="8"/>
      <c r="F2310" s="8"/>
      <c r="G2310" s="8"/>
      <c r="H2310" s="8"/>
      <c r="I2310" s="8"/>
      <c r="J2310" s="8"/>
      <c r="K2310" s="8"/>
      <c r="L2310" s="8"/>
      <c r="M2310" s="8">
        <v>2.5099999999999998</v>
      </c>
      <c r="N2310" s="8">
        <v>2.5</v>
      </c>
      <c r="O2310" s="8"/>
      <c r="P2310" s="8"/>
      <c r="Q2310" s="8"/>
      <c r="R2310" s="8"/>
      <c r="S2310" s="8">
        <v>5.71</v>
      </c>
      <c r="T2310" s="8"/>
      <c r="U2310" s="8">
        <v>13.92</v>
      </c>
      <c r="V2310" s="8"/>
      <c r="W2310" s="8"/>
      <c r="X2310" s="8"/>
      <c r="Y2310" s="8"/>
      <c r="Z2310" s="8"/>
      <c r="AA2310" s="8"/>
      <c r="AB2310" s="8"/>
      <c r="AC2310" s="8">
        <v>5.57</v>
      </c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>
        <v>619.12</v>
      </c>
      <c r="AU2310" s="8"/>
      <c r="AV2310" s="8">
        <v>47.38</v>
      </c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>
        <v>45.3</v>
      </c>
      <c r="BH2310" s="9">
        <f t="shared" si="324"/>
        <v>1388.54</v>
      </c>
      <c r="BI2310" s="9">
        <f t="shared" si="325"/>
        <v>5.01</v>
      </c>
      <c r="BJ2310" s="9">
        <f t="shared" si="326"/>
        <v>5.71</v>
      </c>
      <c r="BK2310" s="9">
        <f t="shared" si="327"/>
        <v>13.92</v>
      </c>
      <c r="BL2310" s="9">
        <f t="shared" si="328"/>
        <v>0</v>
      </c>
      <c r="BM2310" s="9">
        <f t="shared" si="329"/>
        <v>5.57</v>
      </c>
      <c r="BN2310" s="9">
        <f t="shared" si="330"/>
        <v>619.12</v>
      </c>
      <c r="BO2310" s="9">
        <f t="shared" si="331"/>
        <v>47.38</v>
      </c>
      <c r="BP2310" s="9">
        <f t="shared" si="332"/>
        <v>0</v>
      </c>
    </row>
    <row r="2311" spans="1:68">
      <c r="A2311" s="6">
        <v>44953</v>
      </c>
      <c r="B2311" s="7">
        <v>3310</v>
      </c>
      <c r="C2311" s="8"/>
      <c r="D2311" s="8">
        <v>1028.1199999999999</v>
      </c>
      <c r="E2311" s="8"/>
      <c r="F2311" s="8"/>
      <c r="G2311" s="8"/>
      <c r="H2311" s="8"/>
      <c r="I2311" s="8"/>
      <c r="J2311" s="8"/>
      <c r="K2311" s="8"/>
      <c r="L2311" s="8"/>
      <c r="M2311" s="8">
        <v>2.0499999999999998</v>
      </c>
      <c r="N2311" s="8"/>
      <c r="O2311" s="8"/>
      <c r="P2311" s="8"/>
      <c r="Q2311" s="8"/>
      <c r="R2311" s="8"/>
      <c r="S2311" s="8">
        <v>1.55</v>
      </c>
      <c r="T2311" s="8"/>
      <c r="U2311" s="8">
        <v>9.25</v>
      </c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>
        <v>10.32</v>
      </c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>
        <v>274.18</v>
      </c>
      <c r="AU2311" s="8">
        <v>137.75</v>
      </c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>
        <v>28.61</v>
      </c>
      <c r="BH2311" s="9">
        <f t="shared" si="324"/>
        <v>1028.1199999999999</v>
      </c>
      <c r="BI2311" s="9">
        <f t="shared" si="325"/>
        <v>2.0499999999999998</v>
      </c>
      <c r="BJ2311" s="9">
        <f t="shared" si="326"/>
        <v>1.55</v>
      </c>
      <c r="BK2311" s="9">
        <f t="shared" si="327"/>
        <v>9.25</v>
      </c>
      <c r="BL2311" s="9">
        <f t="shared" si="328"/>
        <v>0</v>
      </c>
      <c r="BM2311" s="9">
        <f t="shared" si="329"/>
        <v>10.32</v>
      </c>
      <c r="BN2311" s="9">
        <f t="shared" si="330"/>
        <v>411.93</v>
      </c>
      <c r="BO2311" s="9">
        <f t="shared" si="331"/>
        <v>0</v>
      </c>
      <c r="BP2311" s="9">
        <f t="shared" si="332"/>
        <v>0</v>
      </c>
    </row>
    <row r="2312" spans="1:68">
      <c r="A2312" s="6">
        <v>44953</v>
      </c>
      <c r="B2312" s="7">
        <v>3602</v>
      </c>
      <c r="C2312" s="8">
        <v>571.29</v>
      </c>
      <c r="D2312" s="8"/>
      <c r="E2312" s="8"/>
      <c r="F2312" s="8"/>
      <c r="G2312" s="8">
        <v>858.09</v>
      </c>
      <c r="H2312" s="8"/>
      <c r="I2312" s="8"/>
      <c r="J2312" s="8"/>
      <c r="K2312" s="8"/>
      <c r="L2312" s="8"/>
      <c r="M2312" s="8">
        <v>1.5</v>
      </c>
      <c r="N2312" s="8"/>
      <c r="O2312" s="8"/>
      <c r="P2312" s="8"/>
      <c r="Q2312" s="8"/>
      <c r="R2312" s="8"/>
      <c r="S2312" s="8">
        <v>6.88</v>
      </c>
      <c r="T2312" s="8"/>
      <c r="U2312" s="8">
        <v>11.48</v>
      </c>
      <c r="V2312" s="8">
        <f>856*16.38/1000</f>
        <v>14.021279999999999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>
        <v>577.04</v>
      </c>
      <c r="AU2312" s="8"/>
      <c r="AV2312" s="8"/>
      <c r="AW2312" s="8">
        <v>37.07</v>
      </c>
      <c r="AX2312" s="8"/>
      <c r="AY2312" s="8"/>
      <c r="AZ2312" s="8"/>
      <c r="BA2312" s="8"/>
      <c r="BB2312" s="8"/>
      <c r="BC2312" s="8"/>
      <c r="BD2312" s="8"/>
      <c r="BE2312" s="8"/>
      <c r="BF2312" s="8">
        <v>45.87</v>
      </c>
      <c r="BG2312" s="8">
        <v>43.18</v>
      </c>
      <c r="BH2312" s="9">
        <f t="shared" si="324"/>
        <v>1429.38</v>
      </c>
      <c r="BI2312" s="9">
        <f t="shared" si="325"/>
        <v>1.5</v>
      </c>
      <c r="BJ2312" s="9">
        <f t="shared" si="326"/>
        <v>6.88</v>
      </c>
      <c r="BK2312" s="9">
        <f t="shared" si="327"/>
        <v>25.501280000000001</v>
      </c>
      <c r="BL2312" s="9">
        <f t="shared" si="328"/>
        <v>0</v>
      </c>
      <c r="BM2312" s="9">
        <f t="shared" si="329"/>
        <v>0</v>
      </c>
      <c r="BN2312" s="9">
        <f t="shared" si="330"/>
        <v>577.04</v>
      </c>
      <c r="BO2312" s="9">
        <f t="shared" si="331"/>
        <v>37.07</v>
      </c>
      <c r="BP2312" s="9">
        <f t="shared" si="332"/>
        <v>45.87</v>
      </c>
    </row>
    <row r="2313" spans="1:68">
      <c r="A2313" s="6">
        <v>44953</v>
      </c>
      <c r="B2313" s="7">
        <v>3029</v>
      </c>
      <c r="C2313" s="8"/>
      <c r="D2313" s="8">
        <v>672.81</v>
      </c>
      <c r="E2313" s="8"/>
      <c r="F2313" s="8">
        <v>475.95</v>
      </c>
      <c r="G2313" s="8"/>
      <c r="H2313" s="8"/>
      <c r="I2313" s="8">
        <v>2812.35</v>
      </c>
      <c r="J2313" s="8"/>
      <c r="K2313" s="8"/>
      <c r="L2313" s="8"/>
      <c r="M2313" s="8"/>
      <c r="N2313" s="8">
        <v>30.52</v>
      </c>
      <c r="O2313" s="8"/>
      <c r="P2313" s="8"/>
      <c r="Q2313" s="11"/>
      <c r="R2313" s="11"/>
      <c r="S2313" s="8">
        <v>2.35</v>
      </c>
      <c r="T2313" s="8"/>
      <c r="U2313" s="8"/>
      <c r="V2313" s="8"/>
      <c r="W2313" s="8">
        <v>39.659999999999997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>
        <v>13.77</v>
      </c>
      <c r="AN2313" s="8">
        <f>756*26.42/1000</f>
        <v>19.973520000000001</v>
      </c>
      <c r="AO2313" s="8"/>
      <c r="AP2313" s="11"/>
      <c r="AQ2313" s="8"/>
      <c r="AR2313" s="8">
        <f>4569*26.42/1000</f>
        <v>120.71298000000002</v>
      </c>
      <c r="AS2313" s="8"/>
      <c r="AT2313" s="8">
        <v>1505.07</v>
      </c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>
        <v>104.95</v>
      </c>
      <c r="BH2313" s="9">
        <f t="shared" si="324"/>
        <v>3961.1099999999997</v>
      </c>
      <c r="BI2313" s="9">
        <f t="shared" si="325"/>
        <v>30.52</v>
      </c>
      <c r="BJ2313" s="9">
        <f t="shared" si="326"/>
        <v>2.35</v>
      </c>
      <c r="BK2313" s="9">
        <f t="shared" si="327"/>
        <v>39.659999999999997</v>
      </c>
      <c r="BL2313" s="9">
        <f t="shared" si="328"/>
        <v>0</v>
      </c>
      <c r="BM2313" s="9">
        <f t="shared" si="329"/>
        <v>154.45650000000001</v>
      </c>
      <c r="BN2313" s="9">
        <f t="shared" si="330"/>
        <v>1505.07</v>
      </c>
      <c r="BO2313" s="9">
        <f t="shared" si="331"/>
        <v>0</v>
      </c>
      <c r="BP2313" s="9">
        <f t="shared" si="332"/>
        <v>0</v>
      </c>
    </row>
    <row r="2314" spans="1:68">
      <c r="A2314" s="6">
        <v>44953</v>
      </c>
      <c r="B2314" s="7">
        <v>3134</v>
      </c>
      <c r="C2314" s="8">
        <v>1105.54</v>
      </c>
      <c r="D2314" s="8">
        <v>154.81</v>
      </c>
      <c r="E2314" s="8"/>
      <c r="F2314" s="8"/>
      <c r="G2314" s="8"/>
      <c r="H2314" s="8">
        <v>523.57000000000005</v>
      </c>
      <c r="I2314" s="8"/>
      <c r="J2314" s="8"/>
      <c r="K2314" s="8"/>
      <c r="L2314" s="8"/>
      <c r="M2314" s="8">
        <v>2.99</v>
      </c>
      <c r="N2314" s="8"/>
      <c r="O2314" s="8"/>
      <c r="P2314" s="8"/>
      <c r="Q2314" s="11"/>
      <c r="R2314" s="11"/>
      <c r="S2314" s="8">
        <v>7.14</v>
      </c>
      <c r="T2314" s="8"/>
      <c r="U2314" s="8">
        <v>20.21</v>
      </c>
      <c r="V2314" s="8"/>
      <c r="W2314" s="8"/>
      <c r="X2314" s="8"/>
      <c r="Y2314" s="8"/>
      <c r="Z2314" s="8"/>
      <c r="AA2314" s="8"/>
      <c r="AB2314" s="8"/>
      <c r="AC2314" s="8">
        <v>6.21</v>
      </c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11"/>
      <c r="AQ2314" s="8"/>
      <c r="AR2314" s="8"/>
      <c r="AS2314" s="8"/>
      <c r="AT2314" s="8">
        <v>1092.0999999999999</v>
      </c>
      <c r="AU2314" s="8"/>
      <c r="AV2314" s="8"/>
      <c r="AW2314" s="8"/>
      <c r="AX2314" s="8"/>
      <c r="AY2314" s="8">
        <f>1439*11.08/1000</f>
        <v>15.944120000000002</v>
      </c>
      <c r="AZ2314" s="8"/>
      <c r="BA2314" s="8"/>
      <c r="BB2314" s="8"/>
      <c r="BC2314" s="8"/>
      <c r="BD2314" s="8"/>
      <c r="BE2314" s="8"/>
      <c r="BF2314" s="8">
        <v>69.86</v>
      </c>
      <c r="BG2314" s="8">
        <v>82.2</v>
      </c>
      <c r="BH2314" s="9">
        <f t="shared" si="324"/>
        <v>1783.92</v>
      </c>
      <c r="BI2314" s="9">
        <f t="shared" si="325"/>
        <v>2.99</v>
      </c>
      <c r="BJ2314" s="9">
        <f t="shared" si="326"/>
        <v>7.14</v>
      </c>
      <c r="BK2314" s="9">
        <f t="shared" si="327"/>
        <v>20.21</v>
      </c>
      <c r="BL2314" s="9">
        <f t="shared" si="328"/>
        <v>0</v>
      </c>
      <c r="BM2314" s="9">
        <f t="shared" si="329"/>
        <v>6.21</v>
      </c>
      <c r="BN2314" s="9">
        <f t="shared" si="330"/>
        <v>1092.0999999999999</v>
      </c>
      <c r="BO2314" s="9">
        <f t="shared" si="331"/>
        <v>15.944120000000002</v>
      </c>
      <c r="BP2314" s="9">
        <f t="shared" si="332"/>
        <v>69.86</v>
      </c>
    </row>
    <row r="2315" spans="1:68">
      <c r="A2315" s="6">
        <v>44953</v>
      </c>
      <c r="B2315" s="7">
        <v>3106</v>
      </c>
      <c r="C2315" s="8">
        <v>4154.71</v>
      </c>
      <c r="D2315" s="8"/>
      <c r="E2315" s="8"/>
      <c r="F2315" s="8"/>
      <c r="G2315" s="8"/>
      <c r="H2315" s="8"/>
      <c r="I2315" s="8"/>
      <c r="J2315" s="8"/>
      <c r="K2315" s="8"/>
      <c r="L2315" s="8"/>
      <c r="M2315" s="8">
        <v>10.95</v>
      </c>
      <c r="N2315" s="8"/>
      <c r="O2315" s="8"/>
      <c r="P2315" s="8"/>
      <c r="Q2315" s="11"/>
      <c r="R2315" s="11"/>
      <c r="S2315" s="8">
        <v>12.5</v>
      </c>
      <c r="T2315" s="8"/>
      <c r="U2315" s="8">
        <v>52.88</v>
      </c>
      <c r="V2315" s="8"/>
      <c r="W2315" s="8"/>
      <c r="X2315" s="8"/>
      <c r="Y2315" s="8"/>
      <c r="Z2315" s="8"/>
      <c r="AA2315" s="8"/>
      <c r="AB2315" s="8"/>
      <c r="AC2315" s="8">
        <v>10.4</v>
      </c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11"/>
      <c r="AQ2315" s="8"/>
      <c r="AR2315" s="8"/>
      <c r="AS2315" s="8"/>
      <c r="AT2315" s="8">
        <v>2367.39</v>
      </c>
      <c r="AU2315" s="8"/>
      <c r="AV2315" s="8"/>
      <c r="AW2315" s="8"/>
      <c r="AX2315" s="8">
        <v>5.2</v>
      </c>
      <c r="AY2315" s="8"/>
      <c r="AZ2315" s="8"/>
      <c r="BA2315" s="8"/>
      <c r="BB2315" s="8"/>
      <c r="BC2315" s="8"/>
      <c r="BD2315" s="8"/>
      <c r="BE2315" s="8"/>
      <c r="BF2315" s="8"/>
      <c r="BG2315" s="8">
        <v>178.65</v>
      </c>
      <c r="BH2315" s="9">
        <f t="shared" si="324"/>
        <v>4154.71</v>
      </c>
      <c r="BI2315" s="9">
        <f t="shared" si="325"/>
        <v>10.95</v>
      </c>
      <c r="BJ2315" s="9">
        <f t="shared" si="326"/>
        <v>12.5</v>
      </c>
      <c r="BK2315" s="9">
        <f t="shared" si="327"/>
        <v>52.88</v>
      </c>
      <c r="BL2315" s="9">
        <f t="shared" si="328"/>
        <v>0</v>
      </c>
      <c r="BM2315" s="9">
        <f t="shared" si="329"/>
        <v>10.4</v>
      </c>
      <c r="BN2315" s="9">
        <f t="shared" si="330"/>
        <v>2367.39</v>
      </c>
      <c r="BO2315" s="9">
        <f t="shared" si="331"/>
        <v>5.2</v>
      </c>
      <c r="BP2315" s="9">
        <f t="shared" si="332"/>
        <v>0</v>
      </c>
    </row>
    <row r="2316" spans="1:68">
      <c r="A2316" s="6">
        <v>44956</v>
      </c>
      <c r="B2316" s="7">
        <v>3116</v>
      </c>
      <c r="C2316" s="8">
        <v>1457.98</v>
      </c>
      <c r="D2316" s="8"/>
      <c r="E2316" s="8"/>
      <c r="F2316" s="8"/>
      <c r="G2316" s="8"/>
      <c r="H2316" s="8"/>
      <c r="I2316" s="8"/>
      <c r="J2316" s="8"/>
      <c r="K2316" s="8"/>
      <c r="L2316" s="8"/>
      <c r="M2316" s="8">
        <v>2.96</v>
      </c>
      <c r="N2316" s="8"/>
      <c r="O2316" s="8"/>
      <c r="P2316" s="8"/>
      <c r="Q2316" s="11"/>
      <c r="R2316" s="11"/>
      <c r="S2316" s="8">
        <v>6.3</v>
      </c>
      <c r="T2316" s="8"/>
      <c r="U2316" s="8">
        <v>21.58</v>
      </c>
      <c r="V2316" s="8"/>
      <c r="W2316" s="8"/>
      <c r="X2316" s="8"/>
      <c r="Y2316" s="8"/>
      <c r="Z2316" s="8"/>
      <c r="AA2316" s="8"/>
      <c r="AB2316" s="8"/>
      <c r="AC2316" s="8">
        <v>5.86</v>
      </c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11"/>
      <c r="AQ2316" s="8">
        <f>1369*10.47/1000</f>
        <v>14.33343</v>
      </c>
      <c r="AR2316" s="8"/>
      <c r="AS2316" s="8"/>
      <c r="AT2316" s="8">
        <v>892.37</v>
      </c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>
        <v>58.69</v>
      </c>
      <c r="BG2316" s="8">
        <v>66.760000000000005</v>
      </c>
      <c r="BH2316" s="9">
        <f t="shared" si="324"/>
        <v>1457.98</v>
      </c>
      <c r="BI2316" s="9">
        <f t="shared" si="325"/>
        <v>2.96</v>
      </c>
      <c r="BJ2316" s="9">
        <f t="shared" si="326"/>
        <v>6.3</v>
      </c>
      <c r="BK2316" s="9">
        <f t="shared" si="327"/>
        <v>21.58</v>
      </c>
      <c r="BL2316" s="9">
        <f t="shared" si="328"/>
        <v>0</v>
      </c>
      <c r="BM2316" s="9">
        <f t="shared" si="329"/>
        <v>20.193429999999999</v>
      </c>
      <c r="BN2316" s="9">
        <f t="shared" si="330"/>
        <v>892.37</v>
      </c>
      <c r="BO2316" s="9">
        <f t="shared" si="331"/>
        <v>0</v>
      </c>
      <c r="BP2316" s="9">
        <f t="shared" si="332"/>
        <v>58.69</v>
      </c>
    </row>
    <row r="2317" spans="1:68">
      <c r="A2317" s="6">
        <v>44956</v>
      </c>
      <c r="B2317" s="7">
        <v>3141</v>
      </c>
      <c r="C2317" s="8">
        <v>2443.27</v>
      </c>
      <c r="D2317" s="8">
        <v>430.43</v>
      </c>
      <c r="E2317" s="8"/>
      <c r="F2317" s="8"/>
      <c r="G2317" s="8"/>
      <c r="H2317" s="8"/>
      <c r="I2317" s="8"/>
      <c r="J2317" s="8"/>
      <c r="K2317" s="8"/>
      <c r="L2317" s="8"/>
      <c r="M2317" s="8">
        <v>8.34</v>
      </c>
      <c r="N2317" s="8"/>
      <c r="O2317" s="8"/>
      <c r="P2317" s="8"/>
      <c r="Q2317" s="8"/>
      <c r="R2317" s="8"/>
      <c r="S2317" s="8">
        <v>13.52</v>
      </c>
      <c r="T2317" s="8"/>
      <c r="U2317" s="8">
        <v>43.15</v>
      </c>
      <c r="V2317" s="8"/>
      <c r="W2317" s="8"/>
      <c r="X2317" s="8"/>
      <c r="Y2317" s="8"/>
      <c r="Z2317" s="8"/>
      <c r="AA2317" s="8"/>
      <c r="AB2317" s="8"/>
      <c r="AC2317" s="8">
        <v>11.5</v>
      </c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>
        <v>1899.82</v>
      </c>
      <c r="AU2317" s="8"/>
      <c r="AV2317" s="8"/>
      <c r="AW2317" s="8"/>
      <c r="AX2317" s="8"/>
      <c r="AY2317" s="8"/>
      <c r="AZ2317" s="8"/>
      <c r="BA2317" s="8">
        <v>65.89</v>
      </c>
      <c r="BB2317" s="8"/>
      <c r="BC2317" s="8"/>
      <c r="BD2317" s="8"/>
      <c r="BE2317" s="8"/>
      <c r="BF2317" s="8">
        <v>201.3</v>
      </c>
      <c r="BG2317" s="8">
        <v>149.37</v>
      </c>
      <c r="BH2317" s="9">
        <f t="shared" si="324"/>
        <v>2873.7</v>
      </c>
      <c r="BI2317" s="9">
        <f t="shared" si="325"/>
        <v>8.34</v>
      </c>
      <c r="BJ2317" s="9">
        <f t="shared" si="326"/>
        <v>13.52</v>
      </c>
      <c r="BK2317" s="9">
        <f t="shared" si="327"/>
        <v>43.15</v>
      </c>
      <c r="BL2317" s="9">
        <f t="shared" si="328"/>
        <v>0</v>
      </c>
      <c r="BM2317" s="9">
        <f t="shared" si="329"/>
        <v>11.5</v>
      </c>
      <c r="BN2317" s="9">
        <f t="shared" si="330"/>
        <v>1899.82</v>
      </c>
      <c r="BO2317" s="9">
        <f t="shared" si="331"/>
        <v>65.89</v>
      </c>
      <c r="BP2317" s="9">
        <f t="shared" si="332"/>
        <v>201.3</v>
      </c>
    </row>
    <row r="2318" spans="1:68">
      <c r="A2318" s="6">
        <v>44956</v>
      </c>
      <c r="B2318" s="7">
        <v>3134</v>
      </c>
      <c r="C2318" s="8">
        <v>2101.63</v>
      </c>
      <c r="D2318" s="8">
        <v>294.52</v>
      </c>
      <c r="E2318" s="8"/>
      <c r="F2318" s="8"/>
      <c r="G2318" s="8"/>
      <c r="H2318" s="8">
        <v>991.75</v>
      </c>
      <c r="I2318" s="8"/>
      <c r="J2318" s="8"/>
      <c r="K2318" s="8"/>
      <c r="L2318" s="8"/>
      <c r="M2318" s="8">
        <v>5.39</v>
      </c>
      <c r="N2318" s="8"/>
      <c r="O2318" s="8"/>
      <c r="P2318" s="8"/>
      <c r="Q2318" s="8"/>
      <c r="R2318" s="8"/>
      <c r="S2318" s="8">
        <v>13.57</v>
      </c>
      <c r="T2318" s="8"/>
      <c r="U2318" s="8">
        <v>38.299999999999997</v>
      </c>
      <c r="V2318" s="8"/>
      <c r="W2318" s="8"/>
      <c r="X2318" s="8"/>
      <c r="Y2318" s="8"/>
      <c r="Z2318" s="8"/>
      <c r="AA2318" s="8"/>
      <c r="AB2318" s="8"/>
      <c r="AC2318" s="8">
        <v>11.78</v>
      </c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>
        <v>2075.5</v>
      </c>
      <c r="AU2318" s="8"/>
      <c r="AV2318" s="8"/>
      <c r="AW2318" s="8"/>
      <c r="AX2318" s="8"/>
      <c r="AY2318" s="8">
        <f>1428*21.03/1000</f>
        <v>30.030840000000001</v>
      </c>
      <c r="AZ2318" s="8"/>
      <c r="BA2318" s="8"/>
      <c r="BB2318" s="8"/>
      <c r="BC2318" s="8"/>
      <c r="BD2318" s="8"/>
      <c r="BE2318" s="8"/>
      <c r="BF2318" s="8">
        <v>132.63</v>
      </c>
      <c r="BG2318" s="8">
        <v>156.05000000000001</v>
      </c>
      <c r="BH2318" s="9">
        <f t="shared" si="324"/>
        <v>3387.9</v>
      </c>
      <c r="BI2318" s="9">
        <f t="shared" si="325"/>
        <v>5.39</v>
      </c>
      <c r="BJ2318" s="9">
        <f t="shared" si="326"/>
        <v>13.57</v>
      </c>
      <c r="BK2318" s="9">
        <f t="shared" si="327"/>
        <v>38.299999999999997</v>
      </c>
      <c r="BL2318" s="9">
        <f t="shared" si="328"/>
        <v>0</v>
      </c>
      <c r="BM2318" s="9">
        <f t="shared" si="329"/>
        <v>11.78</v>
      </c>
      <c r="BN2318" s="9">
        <f t="shared" si="330"/>
        <v>2075.5</v>
      </c>
      <c r="BO2318" s="9">
        <f t="shared" si="331"/>
        <v>30.030840000000001</v>
      </c>
      <c r="BP2318" s="9">
        <f t="shared" si="332"/>
        <v>132.63</v>
      </c>
    </row>
    <row r="2319" spans="1:68">
      <c r="A2319" s="6">
        <v>44956</v>
      </c>
      <c r="B2319" s="7">
        <v>3121</v>
      </c>
      <c r="C2319" s="8">
        <v>2329.52</v>
      </c>
      <c r="D2319" s="8"/>
      <c r="E2319" s="8"/>
      <c r="F2319" s="8"/>
      <c r="G2319" s="8"/>
      <c r="H2319" s="8"/>
      <c r="I2319" s="8"/>
      <c r="J2319" s="8"/>
      <c r="K2319" s="8"/>
      <c r="L2319" s="8"/>
      <c r="M2319" s="8">
        <v>5.18</v>
      </c>
      <c r="N2319" s="8"/>
      <c r="O2319" s="8"/>
      <c r="P2319" s="8"/>
      <c r="Q2319" s="8"/>
      <c r="R2319" s="8"/>
      <c r="S2319" s="8">
        <v>7.5</v>
      </c>
      <c r="T2319" s="8"/>
      <c r="U2319" s="8">
        <v>23.38</v>
      </c>
      <c r="V2319" s="8"/>
      <c r="W2319" s="8"/>
      <c r="X2319" s="8"/>
      <c r="Y2319" s="8"/>
      <c r="Z2319" s="8"/>
      <c r="AA2319" s="8"/>
      <c r="AB2319" s="8"/>
      <c r="AC2319" s="8">
        <v>9.33</v>
      </c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>
        <f>2216*10.62/1000</f>
        <v>23.533919999999998</v>
      </c>
      <c r="AQ2319" s="8"/>
      <c r="AR2319" s="8"/>
      <c r="AS2319" s="8"/>
      <c r="AT2319" s="8">
        <v>1234.6099999999999</v>
      </c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>
        <v>90.96</v>
      </c>
      <c r="BH2319" s="9">
        <f t="shared" si="324"/>
        <v>2329.52</v>
      </c>
      <c r="BI2319" s="9">
        <f t="shared" si="325"/>
        <v>5.18</v>
      </c>
      <c r="BJ2319" s="9">
        <f t="shared" si="326"/>
        <v>7.5</v>
      </c>
      <c r="BK2319" s="9">
        <f t="shared" si="327"/>
        <v>23.38</v>
      </c>
      <c r="BL2319" s="9">
        <f t="shared" si="328"/>
        <v>0</v>
      </c>
      <c r="BM2319" s="9">
        <f t="shared" si="329"/>
        <v>32.86392</v>
      </c>
      <c r="BN2319" s="9">
        <f t="shared" si="330"/>
        <v>1234.6099999999999</v>
      </c>
      <c r="BO2319" s="9">
        <f t="shared" si="331"/>
        <v>0</v>
      </c>
      <c r="BP2319" s="9">
        <f t="shared" si="332"/>
        <v>0</v>
      </c>
    </row>
    <row r="2320" spans="1:68">
      <c r="A2320" s="6">
        <v>44956</v>
      </c>
      <c r="B2320" s="7">
        <v>3031</v>
      </c>
      <c r="C2320" s="8"/>
      <c r="D2320" s="8"/>
      <c r="E2320" s="8"/>
      <c r="F2320" s="8"/>
      <c r="G2320" s="8"/>
      <c r="H2320" s="8"/>
      <c r="I2320" s="8">
        <v>1135.31</v>
      </c>
      <c r="J2320" s="8"/>
      <c r="K2320" s="8"/>
      <c r="L2320" s="8"/>
      <c r="M2320" s="8"/>
      <c r="N2320" s="8">
        <v>8.09</v>
      </c>
      <c r="O2320" s="8"/>
      <c r="P2320" s="8"/>
      <c r="Q2320" s="8"/>
      <c r="R2320" s="8"/>
      <c r="S2320" s="8">
        <v>0.79</v>
      </c>
      <c r="T2320" s="8"/>
      <c r="U2320" s="8"/>
      <c r="V2320" s="8"/>
      <c r="W2320" s="8">
        <v>11.42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>
        <f>1825*9.48/1000</f>
        <v>17.300999999999998</v>
      </c>
      <c r="AJ2320" s="8"/>
      <c r="AK2320" s="8"/>
      <c r="AL2320" s="8"/>
      <c r="AM2320" s="8"/>
      <c r="AN2320" s="8">
        <f>1205*9.48/1000</f>
        <v>11.423399999999999</v>
      </c>
      <c r="AO2320" s="8"/>
      <c r="AP2320" s="8"/>
      <c r="AQ2320" s="8"/>
      <c r="AR2320" s="8">
        <f>3613*9.48/1000</f>
        <v>34.251239999999996</v>
      </c>
      <c r="AS2320" s="8"/>
      <c r="AT2320" s="8">
        <v>541.83000000000004</v>
      </c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>
        <v>36.97</v>
      </c>
      <c r="BH2320" s="9">
        <f t="shared" si="324"/>
        <v>1135.31</v>
      </c>
      <c r="BI2320" s="9">
        <f t="shared" si="325"/>
        <v>8.09</v>
      </c>
      <c r="BJ2320" s="9">
        <f t="shared" si="326"/>
        <v>0.79</v>
      </c>
      <c r="BK2320" s="9">
        <f t="shared" si="327"/>
        <v>11.42</v>
      </c>
      <c r="BL2320" s="9">
        <f t="shared" si="328"/>
        <v>0</v>
      </c>
      <c r="BM2320" s="9">
        <f t="shared" si="329"/>
        <v>62.975639999999991</v>
      </c>
      <c r="BN2320" s="9">
        <f t="shared" si="330"/>
        <v>541.83000000000004</v>
      </c>
      <c r="BO2320" s="9">
        <f t="shared" si="331"/>
        <v>0</v>
      </c>
      <c r="BP2320" s="9">
        <f t="shared" si="332"/>
        <v>0</v>
      </c>
    </row>
    <row r="2321" spans="1:68">
      <c r="A2321" s="6">
        <v>44956</v>
      </c>
      <c r="B2321" s="7">
        <v>3017</v>
      </c>
      <c r="C2321" s="8"/>
      <c r="D2321" s="8">
        <v>71.44</v>
      </c>
      <c r="E2321" s="8"/>
      <c r="F2321" s="8"/>
      <c r="G2321" s="8"/>
      <c r="H2321" s="8"/>
      <c r="I2321" s="8">
        <v>99.57</v>
      </c>
      <c r="J2321" s="8"/>
      <c r="K2321" s="8"/>
      <c r="L2321" s="8"/>
      <c r="M2321" s="8"/>
      <c r="N2321" s="8">
        <v>1.18</v>
      </c>
      <c r="O2321" s="8"/>
      <c r="P2321" s="8"/>
      <c r="Q2321" s="8"/>
      <c r="R2321" s="8"/>
      <c r="S2321" s="8">
        <v>0.12</v>
      </c>
      <c r="T2321" s="8"/>
      <c r="U2321" s="8"/>
      <c r="V2321" s="8"/>
      <c r="W2321" s="8">
        <v>1.27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>
        <v>0.68</v>
      </c>
      <c r="AN2321" s="8">
        <f>1206*1.42/1000</f>
        <v>1.71252</v>
      </c>
      <c r="AO2321" s="8"/>
      <c r="AP2321" s="8"/>
      <c r="AQ2321" s="8"/>
      <c r="AR2321" s="8">
        <f>4814*1.42/1000</f>
        <v>6.8358800000000004</v>
      </c>
      <c r="AS2321" s="8"/>
      <c r="AT2321" s="8">
        <v>72.790000000000006</v>
      </c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>
        <v>5.32</v>
      </c>
      <c r="BH2321" s="9">
        <f t="shared" si="324"/>
        <v>171.01</v>
      </c>
      <c r="BI2321" s="9">
        <f t="shared" si="325"/>
        <v>1.18</v>
      </c>
      <c r="BJ2321" s="9">
        <f t="shared" si="326"/>
        <v>0.12</v>
      </c>
      <c r="BK2321" s="9">
        <f t="shared" si="327"/>
        <v>1.27</v>
      </c>
      <c r="BL2321" s="9">
        <f t="shared" si="328"/>
        <v>0</v>
      </c>
      <c r="BM2321" s="9">
        <f t="shared" si="329"/>
        <v>9.2284000000000006</v>
      </c>
      <c r="BN2321" s="9">
        <f t="shared" si="330"/>
        <v>72.790000000000006</v>
      </c>
      <c r="BO2321" s="9">
        <f t="shared" si="331"/>
        <v>0</v>
      </c>
      <c r="BP2321" s="9">
        <f t="shared" si="332"/>
        <v>0</v>
      </c>
    </row>
    <row r="2322" spans="1:68">
      <c r="A2322" s="6">
        <v>44956</v>
      </c>
      <c r="B2322" s="7">
        <v>3024</v>
      </c>
      <c r="C2322" s="8"/>
      <c r="D2322" s="8">
        <v>90.57</v>
      </c>
      <c r="E2322" s="8"/>
      <c r="F2322" s="8"/>
      <c r="G2322" s="8"/>
      <c r="H2322" s="8"/>
      <c r="I2322" s="8">
        <v>90.67</v>
      </c>
      <c r="J2322" s="8"/>
      <c r="K2322" s="8"/>
      <c r="L2322" s="8"/>
      <c r="M2322" s="8"/>
      <c r="N2322" s="8">
        <v>1.0900000000000001</v>
      </c>
      <c r="O2322" s="8"/>
      <c r="P2322" s="8"/>
      <c r="Q2322" s="8"/>
      <c r="R2322" s="8"/>
      <c r="S2322" s="8">
        <v>0.28999999999999998</v>
      </c>
      <c r="T2322" s="8"/>
      <c r="U2322" s="8"/>
      <c r="V2322" s="8"/>
      <c r="W2322" s="8">
        <v>1.46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>
        <v>1.81</v>
      </c>
      <c r="AN2322" s="8">
        <f>844*1.5/1000</f>
        <v>1.266</v>
      </c>
      <c r="AO2322" s="8"/>
      <c r="AP2322" s="8"/>
      <c r="AQ2322" s="8"/>
      <c r="AR2322" s="8"/>
      <c r="AS2322" s="8">
        <f>3947*1.5/1000</f>
        <v>5.9204999999999997</v>
      </c>
      <c r="AT2322" s="8">
        <v>69.209999999999994</v>
      </c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>
        <v>5.08</v>
      </c>
      <c r="BH2322" s="9">
        <f t="shared" si="324"/>
        <v>181.24</v>
      </c>
      <c r="BI2322" s="9">
        <f t="shared" si="325"/>
        <v>1.0900000000000001</v>
      </c>
      <c r="BJ2322" s="9">
        <f t="shared" si="326"/>
        <v>0.28999999999999998</v>
      </c>
      <c r="BK2322" s="9">
        <f t="shared" si="327"/>
        <v>1.46</v>
      </c>
      <c r="BL2322" s="9">
        <f t="shared" si="328"/>
        <v>0</v>
      </c>
      <c r="BM2322" s="9">
        <f t="shared" si="329"/>
        <v>8.9964999999999993</v>
      </c>
      <c r="BN2322" s="9">
        <f t="shared" si="330"/>
        <v>69.209999999999994</v>
      </c>
      <c r="BO2322" s="9">
        <f t="shared" si="331"/>
        <v>0</v>
      </c>
      <c r="BP2322" s="9">
        <f t="shared" si="332"/>
        <v>0</v>
      </c>
    </row>
    <row r="2323" spans="1:68">
      <c r="A2323" s="6">
        <v>44956</v>
      </c>
      <c r="B2323" s="7">
        <v>3023</v>
      </c>
      <c r="C2323" s="8"/>
      <c r="D2323" s="8">
        <v>1641.59</v>
      </c>
      <c r="E2323" s="8"/>
      <c r="F2323" s="8"/>
      <c r="G2323" s="8"/>
      <c r="H2323" s="8"/>
      <c r="I2323" s="8">
        <v>885.11</v>
      </c>
      <c r="J2323" s="8"/>
      <c r="K2323" s="8"/>
      <c r="L2323" s="8"/>
      <c r="M2323" s="8"/>
      <c r="N2323" s="8">
        <v>14.13</v>
      </c>
      <c r="O2323" s="8"/>
      <c r="P2323" s="8"/>
      <c r="Q2323" s="8"/>
      <c r="R2323" s="8"/>
      <c r="S2323" s="8">
        <v>4.03</v>
      </c>
      <c r="T2323" s="8"/>
      <c r="U2323" s="8"/>
      <c r="V2323" s="8"/>
      <c r="W2323" s="8">
        <v>22.9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>
        <v>25.15</v>
      </c>
      <c r="AN2323" s="8">
        <f>1022*17.4/1000</f>
        <v>17.782799999999998</v>
      </c>
      <c r="AO2323" s="8"/>
      <c r="AP2323" s="8"/>
      <c r="AQ2323" s="8"/>
      <c r="AR2323" s="8"/>
      <c r="AS2323" s="8">
        <f>4775*17.4/1000</f>
        <v>83.084999999999994</v>
      </c>
      <c r="AT2323" s="8">
        <v>1036.55</v>
      </c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>
        <v>78.23</v>
      </c>
      <c r="BH2323" s="9">
        <f t="shared" si="324"/>
        <v>2526.6999999999998</v>
      </c>
      <c r="BI2323" s="9">
        <f t="shared" si="325"/>
        <v>14.13</v>
      </c>
      <c r="BJ2323" s="9">
        <f t="shared" si="326"/>
        <v>4.03</v>
      </c>
      <c r="BK2323" s="9">
        <f t="shared" si="327"/>
        <v>22.9</v>
      </c>
      <c r="BL2323" s="9">
        <f t="shared" si="328"/>
        <v>0</v>
      </c>
      <c r="BM2323" s="9">
        <f t="shared" si="329"/>
        <v>126.01779999999999</v>
      </c>
      <c r="BN2323" s="9">
        <f t="shared" si="330"/>
        <v>1036.55</v>
      </c>
      <c r="BO2323" s="9">
        <f t="shared" si="331"/>
        <v>0</v>
      </c>
      <c r="BP2323" s="9">
        <f t="shared" si="332"/>
        <v>0</v>
      </c>
    </row>
    <row r="2324" spans="1:68">
      <c r="A2324" s="6">
        <v>44956</v>
      </c>
      <c r="B2324" s="7">
        <v>3021</v>
      </c>
      <c r="C2324" s="8"/>
      <c r="D2324" s="8">
        <v>191.11</v>
      </c>
      <c r="E2324" s="8"/>
      <c r="F2324" s="8"/>
      <c r="G2324" s="8"/>
      <c r="H2324" s="8"/>
      <c r="I2324" s="8">
        <v>350.58</v>
      </c>
      <c r="J2324" s="8"/>
      <c r="K2324" s="8"/>
      <c r="L2324" s="8"/>
      <c r="M2324" s="8"/>
      <c r="N2324" s="8">
        <v>2.88</v>
      </c>
      <c r="O2324" s="8"/>
      <c r="P2324" s="8"/>
      <c r="Q2324" s="8"/>
      <c r="R2324" s="8"/>
      <c r="S2324" s="8">
        <v>0.97</v>
      </c>
      <c r="T2324" s="8"/>
      <c r="U2324" s="8"/>
      <c r="V2324" s="8"/>
      <c r="W2324" s="8">
        <v>5.39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>
        <v>5.4</v>
      </c>
      <c r="AN2324" s="8"/>
      <c r="AO2324" s="8"/>
      <c r="AP2324" s="8"/>
      <c r="AQ2324" s="8"/>
      <c r="AR2324" s="8"/>
      <c r="AS2324" s="8">
        <f>2624*5.17/1000</f>
        <v>13.566079999999999</v>
      </c>
      <c r="AT2324" s="8">
        <v>255.86</v>
      </c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>
        <v>19.2</v>
      </c>
      <c r="BH2324" s="9">
        <f t="shared" si="324"/>
        <v>541.69000000000005</v>
      </c>
      <c r="BI2324" s="9">
        <f t="shared" si="325"/>
        <v>2.88</v>
      </c>
      <c r="BJ2324" s="9">
        <f t="shared" si="326"/>
        <v>0.97</v>
      </c>
      <c r="BK2324" s="9">
        <f t="shared" si="327"/>
        <v>5.39</v>
      </c>
      <c r="BL2324" s="9">
        <f t="shared" si="328"/>
        <v>0</v>
      </c>
      <c r="BM2324" s="9">
        <f t="shared" si="329"/>
        <v>18.966079999999998</v>
      </c>
      <c r="BN2324" s="9">
        <f t="shared" si="330"/>
        <v>255.86</v>
      </c>
      <c r="BO2324" s="9">
        <f t="shared" si="331"/>
        <v>0</v>
      </c>
      <c r="BP2324" s="9">
        <f t="shared" si="332"/>
        <v>0</v>
      </c>
    </row>
    <row r="2325" spans="1:68">
      <c r="A2325" s="6">
        <v>44956</v>
      </c>
      <c r="B2325" s="7">
        <v>3100</v>
      </c>
      <c r="C2325" s="8">
        <v>626.80999999999995</v>
      </c>
      <c r="D2325" s="8"/>
      <c r="E2325" s="8"/>
      <c r="F2325" s="8"/>
      <c r="G2325" s="8"/>
      <c r="H2325" s="8"/>
      <c r="I2325" s="8"/>
      <c r="J2325" s="8"/>
      <c r="K2325" s="8"/>
      <c r="L2325" s="8"/>
      <c r="M2325" s="8">
        <v>1.46</v>
      </c>
      <c r="N2325" s="8"/>
      <c r="O2325" s="8"/>
      <c r="P2325" s="8"/>
      <c r="Q2325" s="8"/>
      <c r="R2325" s="8"/>
      <c r="S2325" s="8">
        <v>3.66</v>
      </c>
      <c r="T2325" s="8"/>
      <c r="U2325" s="8">
        <v>10.1</v>
      </c>
      <c r="V2325" s="8"/>
      <c r="W2325" s="8"/>
      <c r="X2325" s="8"/>
      <c r="Y2325" s="8"/>
      <c r="Z2325" s="8"/>
      <c r="AA2325" s="8"/>
      <c r="AB2325" s="8"/>
      <c r="AC2325" s="8">
        <v>2.52</v>
      </c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>
        <v>422.92</v>
      </c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>
        <v>81.89</v>
      </c>
      <c r="BG2325" s="8">
        <v>32.4</v>
      </c>
      <c r="BH2325" s="9">
        <f t="shared" si="324"/>
        <v>626.80999999999995</v>
      </c>
      <c r="BI2325" s="9">
        <f t="shared" si="325"/>
        <v>1.46</v>
      </c>
      <c r="BJ2325" s="9">
        <f t="shared" si="326"/>
        <v>3.66</v>
      </c>
      <c r="BK2325" s="9">
        <f t="shared" si="327"/>
        <v>10.1</v>
      </c>
      <c r="BL2325" s="9">
        <f t="shared" si="328"/>
        <v>0</v>
      </c>
      <c r="BM2325" s="9">
        <f t="shared" si="329"/>
        <v>2.52</v>
      </c>
      <c r="BN2325" s="9">
        <f t="shared" si="330"/>
        <v>422.92</v>
      </c>
      <c r="BO2325" s="9">
        <f t="shared" si="331"/>
        <v>0</v>
      </c>
      <c r="BP2325" s="9">
        <f t="shared" si="332"/>
        <v>81.89</v>
      </c>
    </row>
    <row r="2326" spans="1:68">
      <c r="A2326" s="6">
        <v>44956</v>
      </c>
      <c r="B2326" s="7">
        <v>3102</v>
      </c>
      <c r="C2326" s="8">
        <v>459.5</v>
      </c>
      <c r="D2326" s="8"/>
      <c r="E2326" s="8"/>
      <c r="F2326" s="8"/>
      <c r="G2326" s="8"/>
      <c r="H2326" s="8"/>
      <c r="I2326" s="8"/>
      <c r="J2326" s="8"/>
      <c r="K2326" s="8"/>
      <c r="L2326" s="8"/>
      <c r="M2326" s="8">
        <v>1.34</v>
      </c>
      <c r="N2326" s="8"/>
      <c r="O2326" s="8"/>
      <c r="P2326" s="8"/>
      <c r="Q2326" s="8"/>
      <c r="R2326" s="8"/>
      <c r="S2326" s="8">
        <v>2.08</v>
      </c>
      <c r="T2326" s="8"/>
      <c r="U2326" s="8">
        <v>5.55</v>
      </c>
      <c r="V2326" s="8"/>
      <c r="W2326" s="8"/>
      <c r="X2326" s="8"/>
      <c r="Y2326" s="8"/>
      <c r="Z2326" s="8"/>
      <c r="AA2326" s="8"/>
      <c r="AB2326" s="8"/>
      <c r="AC2326" s="8">
        <v>1.85</v>
      </c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>
        <v>306.86</v>
      </c>
      <c r="AU2326" s="8"/>
      <c r="AV2326" s="8"/>
      <c r="AW2326" s="8"/>
      <c r="AX2326" s="8"/>
      <c r="AY2326" s="8"/>
      <c r="AZ2326" s="8"/>
      <c r="BA2326" s="8">
        <v>10.54</v>
      </c>
      <c r="BB2326" s="8"/>
      <c r="BC2326" s="8"/>
      <c r="BD2326" s="8"/>
      <c r="BE2326" s="8"/>
      <c r="BF2326" s="8">
        <v>32.32</v>
      </c>
      <c r="BG2326" s="8">
        <v>22.8</v>
      </c>
      <c r="BH2326" s="9">
        <f t="shared" si="324"/>
        <v>459.5</v>
      </c>
      <c r="BI2326" s="9">
        <f t="shared" si="325"/>
        <v>1.34</v>
      </c>
      <c r="BJ2326" s="9">
        <f t="shared" si="326"/>
        <v>2.08</v>
      </c>
      <c r="BK2326" s="9">
        <f t="shared" si="327"/>
        <v>5.55</v>
      </c>
      <c r="BL2326" s="9">
        <f t="shared" si="328"/>
        <v>0</v>
      </c>
      <c r="BM2326" s="9">
        <f t="shared" si="329"/>
        <v>1.85</v>
      </c>
      <c r="BN2326" s="9">
        <f t="shared" si="330"/>
        <v>306.86</v>
      </c>
      <c r="BO2326" s="9">
        <f t="shared" si="331"/>
        <v>10.54</v>
      </c>
      <c r="BP2326" s="9">
        <f t="shared" si="332"/>
        <v>32.32</v>
      </c>
    </row>
    <row r="2327" spans="1:68">
      <c r="A2327" s="6">
        <v>44957</v>
      </c>
      <c r="B2327" s="7">
        <v>3601</v>
      </c>
      <c r="C2327" s="8">
        <v>289.44</v>
      </c>
      <c r="D2327" s="8"/>
      <c r="E2327" s="8"/>
      <c r="F2327" s="8"/>
      <c r="G2327" s="8">
        <v>432.1</v>
      </c>
      <c r="H2327" s="8"/>
      <c r="I2327" s="8"/>
      <c r="J2327" s="8"/>
      <c r="K2327" s="8"/>
      <c r="L2327" s="8"/>
      <c r="M2327" s="8">
        <v>0.86</v>
      </c>
      <c r="N2327" s="8"/>
      <c r="O2327" s="8"/>
      <c r="P2327" s="8"/>
      <c r="Q2327" s="8"/>
      <c r="R2327" s="8"/>
      <c r="S2327" s="8">
        <v>3.46</v>
      </c>
      <c r="T2327" s="8"/>
      <c r="U2327" s="8">
        <v>4.33</v>
      </c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>
        <v>354.65</v>
      </c>
      <c r="AU2327" s="8"/>
      <c r="AV2327" s="8"/>
      <c r="AW2327" s="8">
        <v>21.92</v>
      </c>
      <c r="AX2327" s="8"/>
      <c r="AY2327" s="8"/>
      <c r="AZ2327" s="8"/>
      <c r="BA2327" s="8"/>
      <c r="BB2327" s="8"/>
      <c r="BC2327" s="8"/>
      <c r="BD2327" s="8"/>
      <c r="BE2327" s="8"/>
      <c r="BF2327" s="8">
        <v>40.369999999999997</v>
      </c>
      <c r="BG2327" s="8">
        <v>25.72</v>
      </c>
      <c r="BH2327" s="9">
        <f t="shared" si="324"/>
        <v>721.54</v>
      </c>
      <c r="BI2327" s="9">
        <f t="shared" si="325"/>
        <v>0.86</v>
      </c>
      <c r="BJ2327" s="9">
        <f t="shared" si="326"/>
        <v>3.46</v>
      </c>
      <c r="BK2327" s="9">
        <f t="shared" si="327"/>
        <v>4.33</v>
      </c>
      <c r="BL2327" s="9">
        <f t="shared" si="328"/>
        <v>0</v>
      </c>
      <c r="BM2327" s="9">
        <f t="shared" si="329"/>
        <v>0</v>
      </c>
      <c r="BN2327" s="9">
        <f t="shared" si="330"/>
        <v>354.65</v>
      </c>
      <c r="BO2327" s="9">
        <f t="shared" si="331"/>
        <v>21.92</v>
      </c>
      <c r="BP2327" s="9">
        <f t="shared" si="332"/>
        <v>40.369999999999997</v>
      </c>
    </row>
    <row r="2328" spans="1:68">
      <c r="A2328" s="6">
        <v>44957</v>
      </c>
      <c r="B2328" s="7">
        <v>3100</v>
      </c>
      <c r="C2328" s="8">
        <v>638.55999999999995</v>
      </c>
      <c r="D2328" s="8"/>
      <c r="E2328" s="8"/>
      <c r="F2328" s="8"/>
      <c r="G2328" s="8"/>
      <c r="H2328" s="8"/>
      <c r="I2328" s="8"/>
      <c r="J2328" s="8"/>
      <c r="K2328" s="8"/>
      <c r="L2328" s="8"/>
      <c r="M2328" s="8">
        <v>1.61</v>
      </c>
      <c r="N2328" s="8"/>
      <c r="O2328" s="8"/>
      <c r="P2328" s="8"/>
      <c r="Q2328" s="8"/>
      <c r="R2328" s="8"/>
      <c r="S2328" s="8">
        <v>3.67</v>
      </c>
      <c r="T2328" s="8"/>
      <c r="U2328" s="8">
        <v>10.33</v>
      </c>
      <c r="V2328" s="8"/>
      <c r="W2328" s="8"/>
      <c r="X2328" s="8"/>
      <c r="Y2328" s="8"/>
      <c r="Z2328" s="8"/>
      <c r="AA2328" s="8"/>
      <c r="AB2328" s="8"/>
      <c r="AC2328" s="8">
        <v>2.57</v>
      </c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>
        <v>433.21</v>
      </c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>
        <v>83.64</v>
      </c>
      <c r="BG2328" s="8">
        <v>33.11</v>
      </c>
      <c r="BH2328" s="9">
        <f t="shared" si="324"/>
        <v>638.55999999999995</v>
      </c>
      <c r="BI2328" s="9">
        <f t="shared" si="325"/>
        <v>1.61</v>
      </c>
      <c r="BJ2328" s="9">
        <f t="shared" si="326"/>
        <v>3.67</v>
      </c>
      <c r="BK2328" s="9">
        <f t="shared" si="327"/>
        <v>10.33</v>
      </c>
      <c r="BL2328" s="9">
        <f t="shared" si="328"/>
        <v>0</v>
      </c>
      <c r="BM2328" s="9">
        <f t="shared" si="329"/>
        <v>2.57</v>
      </c>
      <c r="BN2328" s="9">
        <f t="shared" si="330"/>
        <v>433.21</v>
      </c>
      <c r="BO2328" s="9">
        <f t="shared" si="331"/>
        <v>0</v>
      </c>
      <c r="BP2328" s="9">
        <f t="shared" si="332"/>
        <v>83.64</v>
      </c>
    </row>
    <row r="2329" spans="1:68">
      <c r="A2329" s="6">
        <v>44957</v>
      </c>
      <c r="B2329" s="7">
        <v>3106</v>
      </c>
      <c r="C2329" s="8">
        <v>4160</v>
      </c>
      <c r="D2329" s="8"/>
      <c r="E2329" s="8"/>
      <c r="F2329" s="8"/>
      <c r="G2329" s="8"/>
      <c r="H2329" s="8"/>
      <c r="I2329" s="8"/>
      <c r="J2329" s="8"/>
      <c r="K2329" s="8"/>
      <c r="L2329" s="8"/>
      <c r="M2329" s="8">
        <v>10.4</v>
      </c>
      <c r="N2329" s="8"/>
      <c r="O2329" s="8"/>
      <c r="P2329" s="8"/>
      <c r="Q2329" s="8"/>
      <c r="R2329" s="8"/>
      <c r="S2329" s="8">
        <v>12.5</v>
      </c>
      <c r="T2329" s="8"/>
      <c r="U2329" s="8">
        <v>52.88</v>
      </c>
      <c r="V2329" s="8"/>
      <c r="W2329" s="8"/>
      <c r="X2329" s="8"/>
      <c r="Y2329" s="8"/>
      <c r="Z2329" s="8"/>
      <c r="AA2329" s="8"/>
      <c r="AB2329" s="8"/>
      <c r="AC2329" s="8">
        <v>10.39</v>
      </c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>
        <v>2371.88</v>
      </c>
      <c r="AU2329" s="8"/>
      <c r="AV2329" s="8"/>
      <c r="AW2329" s="8"/>
      <c r="AX2329" s="8">
        <v>5.2</v>
      </c>
      <c r="AY2329" s="8"/>
      <c r="AZ2329" s="8"/>
      <c r="BA2329" s="8"/>
      <c r="BB2329" s="8"/>
      <c r="BC2329" s="8"/>
      <c r="BD2329" s="8"/>
      <c r="BE2329" s="8"/>
      <c r="BF2329" s="8"/>
      <c r="BG2329" s="8">
        <v>180.76</v>
      </c>
      <c r="BH2329" s="9">
        <f t="shared" si="324"/>
        <v>4160</v>
      </c>
      <c r="BI2329" s="9">
        <f t="shared" si="325"/>
        <v>10.4</v>
      </c>
      <c r="BJ2329" s="9">
        <f t="shared" si="326"/>
        <v>12.5</v>
      </c>
      <c r="BK2329" s="9">
        <f t="shared" si="327"/>
        <v>52.88</v>
      </c>
      <c r="BL2329" s="9">
        <f t="shared" si="328"/>
        <v>0</v>
      </c>
      <c r="BM2329" s="9">
        <f t="shared" si="329"/>
        <v>10.39</v>
      </c>
      <c r="BN2329" s="9">
        <f t="shared" si="330"/>
        <v>2371.88</v>
      </c>
      <c r="BO2329" s="9">
        <f t="shared" si="331"/>
        <v>5.2</v>
      </c>
      <c r="BP2329" s="9">
        <f t="shared" si="332"/>
        <v>0</v>
      </c>
    </row>
    <row r="2330" spans="1:68">
      <c r="A2330" s="6">
        <v>44957</v>
      </c>
      <c r="B2330" s="7">
        <v>3134</v>
      </c>
      <c r="C2330" s="8">
        <v>1082.54</v>
      </c>
      <c r="D2330" s="8">
        <v>150.75</v>
      </c>
      <c r="E2330" s="8"/>
      <c r="F2330" s="8"/>
      <c r="G2330" s="8"/>
      <c r="H2330" s="8">
        <v>508.06</v>
      </c>
      <c r="I2330" s="8"/>
      <c r="J2330" s="8"/>
      <c r="K2330" s="8"/>
      <c r="L2330" s="8"/>
      <c r="M2330" s="8">
        <v>2.75</v>
      </c>
      <c r="N2330" s="8"/>
      <c r="O2330" s="8"/>
      <c r="P2330" s="8"/>
      <c r="Q2330" s="8"/>
      <c r="R2330" s="8"/>
      <c r="S2330" s="8">
        <v>6.96</v>
      </c>
      <c r="T2330" s="8"/>
      <c r="U2330" s="8">
        <v>19.670000000000002</v>
      </c>
      <c r="V2330" s="8"/>
      <c r="W2330" s="8"/>
      <c r="X2330" s="8"/>
      <c r="Y2330" s="8"/>
      <c r="Z2330" s="8"/>
      <c r="AA2330" s="8"/>
      <c r="AB2330" s="8"/>
      <c r="AC2330" s="8">
        <v>6.04</v>
      </c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>
        <v>1066.51</v>
      </c>
      <c r="AU2330" s="8"/>
      <c r="AV2330" s="8"/>
      <c r="AW2330" s="8"/>
      <c r="AX2330" s="8"/>
      <c r="AY2330" s="8">
        <f>1402*10.8/1000</f>
        <v>15.1416</v>
      </c>
      <c r="AZ2330" s="8"/>
      <c r="BA2330" s="8"/>
      <c r="BB2330" s="8"/>
      <c r="BC2330" s="8"/>
      <c r="BD2330" s="8"/>
      <c r="BE2330" s="8"/>
      <c r="BF2330" s="8">
        <v>68.02</v>
      </c>
      <c r="BG2330" s="8">
        <v>80.11</v>
      </c>
      <c r="BH2330" s="9">
        <f t="shared" si="324"/>
        <v>1741.35</v>
      </c>
      <c r="BI2330" s="9">
        <f t="shared" si="325"/>
        <v>2.75</v>
      </c>
      <c r="BJ2330" s="9">
        <f t="shared" si="326"/>
        <v>6.96</v>
      </c>
      <c r="BK2330" s="9">
        <f t="shared" si="327"/>
        <v>19.670000000000002</v>
      </c>
      <c r="BL2330" s="9">
        <f t="shared" si="328"/>
        <v>0</v>
      </c>
      <c r="BM2330" s="9">
        <f t="shared" si="329"/>
        <v>6.04</v>
      </c>
      <c r="BN2330" s="9">
        <f t="shared" si="330"/>
        <v>1066.51</v>
      </c>
      <c r="BO2330" s="9">
        <f t="shared" si="331"/>
        <v>15.1416</v>
      </c>
      <c r="BP2330" s="9">
        <f t="shared" si="332"/>
        <v>68.02</v>
      </c>
    </row>
    <row r="2331" spans="1:68">
      <c r="A2331" s="6">
        <v>44957</v>
      </c>
      <c r="B2331" s="7">
        <v>3144</v>
      </c>
      <c r="C2331" s="8">
        <f>1268.92+1241.92</f>
        <v>2510.84</v>
      </c>
      <c r="D2331" s="8">
        <f>224.13+215.41</f>
        <v>439.53999999999996</v>
      </c>
      <c r="E2331" s="8"/>
      <c r="F2331" s="8"/>
      <c r="G2331" s="8"/>
      <c r="H2331" s="8"/>
      <c r="I2331" s="8"/>
      <c r="J2331" s="8"/>
      <c r="K2331" s="8"/>
      <c r="L2331" s="8"/>
      <c r="M2331" s="8">
        <f>4.49+4.34</f>
        <v>8.83</v>
      </c>
      <c r="N2331" s="8"/>
      <c r="O2331" s="8"/>
      <c r="P2331" s="8"/>
      <c r="Q2331" s="8"/>
      <c r="R2331" s="8"/>
      <c r="S2331" s="8">
        <f>7.03+6.87</f>
        <v>13.9</v>
      </c>
      <c r="T2331" s="8"/>
      <c r="U2331" s="8">
        <f>22.45+22.01</f>
        <v>44.46</v>
      </c>
      <c r="V2331" s="8"/>
      <c r="W2331" s="8"/>
      <c r="X2331" s="8"/>
      <c r="Y2331" s="8"/>
      <c r="Z2331" s="8"/>
      <c r="AA2331" s="8"/>
      <c r="AB2331" s="8"/>
      <c r="AC2331" s="8">
        <f>5.99+5.85</f>
        <v>11.84</v>
      </c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>
        <f>1182*19.72/1000</f>
        <v>23.309039999999996</v>
      </c>
      <c r="AQ2331" s="8"/>
      <c r="AR2331" s="8"/>
      <c r="AS2331" s="8"/>
      <c r="AT2331" s="8">
        <f>981.9+955.95</f>
        <v>1937.85</v>
      </c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>
        <f>104.58+102.21</f>
        <v>206.79</v>
      </c>
      <c r="BG2331" s="8">
        <f>77.71+75.71</f>
        <v>153.41999999999999</v>
      </c>
      <c r="BH2331" s="9">
        <f t="shared" si="324"/>
        <v>2950.38</v>
      </c>
      <c r="BI2331" s="9">
        <f t="shared" si="325"/>
        <v>8.83</v>
      </c>
      <c r="BJ2331" s="9">
        <f t="shared" si="326"/>
        <v>13.9</v>
      </c>
      <c r="BK2331" s="9">
        <f t="shared" si="327"/>
        <v>44.46</v>
      </c>
      <c r="BL2331" s="9">
        <f t="shared" si="328"/>
        <v>0</v>
      </c>
      <c r="BM2331" s="9">
        <f t="shared" si="329"/>
        <v>35.149039999999999</v>
      </c>
      <c r="BN2331" s="9">
        <f t="shared" si="330"/>
        <v>1937.85</v>
      </c>
      <c r="BO2331" s="9">
        <f t="shared" si="331"/>
        <v>0</v>
      </c>
      <c r="BP2331" s="9">
        <f t="shared" si="332"/>
        <v>206.79</v>
      </c>
    </row>
    <row r="2332" spans="1:68">
      <c r="A2332" s="6">
        <v>44957</v>
      </c>
      <c r="B2332" s="7">
        <v>3016</v>
      </c>
      <c r="C2332" s="8"/>
      <c r="D2332" s="8">
        <v>2276.0300000000002</v>
      </c>
      <c r="E2332" s="8"/>
      <c r="F2332" s="8"/>
      <c r="G2332" s="8"/>
      <c r="H2332" s="8"/>
      <c r="I2332" s="8">
        <v>2093.12</v>
      </c>
      <c r="J2332" s="8"/>
      <c r="K2332" s="8"/>
      <c r="L2332" s="8"/>
      <c r="M2332" s="8"/>
      <c r="N2332" s="8">
        <v>26.25</v>
      </c>
      <c r="O2332" s="8"/>
      <c r="P2332" s="8"/>
      <c r="Q2332" s="8"/>
      <c r="R2332" s="8"/>
      <c r="S2332" s="8">
        <v>3.06</v>
      </c>
      <c r="T2332" s="8"/>
      <c r="U2332" s="8"/>
      <c r="V2332" s="8"/>
      <c r="W2332" s="8">
        <v>43.78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>
        <v>17.399999999999999</v>
      </c>
      <c r="AN2332" s="8">
        <f>2056*25.72/1000</f>
        <v>52.880319999999998</v>
      </c>
      <c r="AO2332" s="8"/>
      <c r="AP2332" s="8"/>
      <c r="AQ2332" s="8"/>
      <c r="AR2332" s="8">
        <f>4290*25.72/1000</f>
        <v>110.33879999999999</v>
      </c>
      <c r="AS2332" s="8"/>
      <c r="AT2332" s="8">
        <v>1624.15</v>
      </c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>
        <v>118.91</v>
      </c>
      <c r="BH2332" s="9">
        <f t="shared" si="324"/>
        <v>4369.1499999999996</v>
      </c>
      <c r="BI2332" s="9">
        <f t="shared" si="325"/>
        <v>26.25</v>
      </c>
      <c r="BJ2332" s="9">
        <f t="shared" si="326"/>
        <v>3.06</v>
      </c>
      <c r="BK2332" s="9">
        <f t="shared" si="327"/>
        <v>43.78</v>
      </c>
      <c r="BL2332" s="9">
        <f t="shared" si="328"/>
        <v>0</v>
      </c>
      <c r="BM2332" s="9">
        <f t="shared" si="329"/>
        <v>180.61911999999998</v>
      </c>
      <c r="BN2332" s="9">
        <f t="shared" si="330"/>
        <v>1624.15</v>
      </c>
      <c r="BO2332" s="9">
        <f t="shared" si="331"/>
        <v>0</v>
      </c>
      <c r="BP2332" s="9">
        <f t="shared" si="332"/>
        <v>0</v>
      </c>
    </row>
    <row r="2333" spans="1:68">
      <c r="A2333" s="6">
        <v>44957</v>
      </c>
      <c r="B2333" s="7">
        <v>3080</v>
      </c>
      <c r="C2333" s="8"/>
      <c r="D2333" s="8"/>
      <c r="E2333" s="8"/>
      <c r="F2333" s="8">
        <v>129.71</v>
      </c>
      <c r="G2333" s="8"/>
      <c r="H2333" s="8"/>
      <c r="I2333" s="8">
        <v>194.77</v>
      </c>
      <c r="J2333" s="8"/>
      <c r="K2333" s="8"/>
      <c r="L2333" s="8"/>
      <c r="M2333" s="8"/>
      <c r="N2333" s="8">
        <v>2.23</v>
      </c>
      <c r="O2333" s="8"/>
      <c r="P2333" s="8">
        <f>638*2.1/1000</f>
        <v>1.3397999999999999</v>
      </c>
      <c r="Q2333" s="8"/>
      <c r="R2333" s="8"/>
      <c r="S2333" s="8">
        <v>0.2</v>
      </c>
      <c r="T2333" s="8"/>
      <c r="U2333" s="8"/>
      <c r="V2333" s="8"/>
      <c r="W2333" s="8">
        <v>3.29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>
        <f>2340*2.1/1000</f>
        <v>4.9139999999999997</v>
      </c>
      <c r="AJ2333" s="8"/>
      <c r="AK2333" s="8"/>
      <c r="AL2333" s="8"/>
      <c r="AM2333" s="8"/>
      <c r="AN2333" s="8"/>
      <c r="AO2333" s="8"/>
      <c r="AP2333" s="8"/>
      <c r="AQ2333" s="8">
        <f>1525*2.1/1000</f>
        <v>3.2025000000000001</v>
      </c>
      <c r="AR2333" s="8">
        <f>5450*2.1/1000</f>
        <v>11.445</v>
      </c>
      <c r="AS2333" s="8"/>
      <c r="AT2333" s="8">
        <v>114.62</v>
      </c>
      <c r="AU2333" s="8"/>
      <c r="AV2333" s="8"/>
      <c r="AW2333" s="8"/>
      <c r="AX2333" s="8"/>
      <c r="AY2333" s="8"/>
      <c r="AZ2333" s="8"/>
      <c r="BA2333" s="8"/>
      <c r="BB2333" s="8"/>
      <c r="BC2333" s="10"/>
      <c r="BD2333" s="8"/>
      <c r="BE2333" s="8"/>
      <c r="BF2333" s="8"/>
      <c r="BG2333" s="8">
        <v>6.22</v>
      </c>
      <c r="BH2333" s="9">
        <f t="shared" si="324"/>
        <v>324.48</v>
      </c>
      <c r="BI2333" s="9">
        <f t="shared" si="325"/>
        <v>3.5697999999999999</v>
      </c>
      <c r="BJ2333" s="9">
        <f t="shared" si="326"/>
        <v>0.2</v>
      </c>
      <c r="BK2333" s="9">
        <f t="shared" si="327"/>
        <v>3.29</v>
      </c>
      <c r="BL2333" s="9">
        <f t="shared" si="328"/>
        <v>0</v>
      </c>
      <c r="BM2333" s="9">
        <f t="shared" si="329"/>
        <v>19.561500000000002</v>
      </c>
      <c r="BN2333" s="9">
        <f t="shared" si="330"/>
        <v>114.62</v>
      </c>
      <c r="BO2333" s="9">
        <f t="shared" si="331"/>
        <v>0</v>
      </c>
      <c r="BP2333" s="9">
        <f t="shared" si="332"/>
        <v>0</v>
      </c>
    </row>
    <row r="2334" spans="1:68">
      <c r="A2334" s="6">
        <v>44958</v>
      </c>
      <c r="B2334" s="7">
        <v>3200</v>
      </c>
      <c r="C2334" s="8">
        <v>3362.45</v>
      </c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>
        <v>8.41</v>
      </c>
      <c r="P2334" s="8"/>
      <c r="Q2334" s="8"/>
      <c r="R2334" s="8"/>
      <c r="S2334" s="8">
        <v>13.14</v>
      </c>
      <c r="T2334" s="8"/>
      <c r="U2334" s="8">
        <v>50.51</v>
      </c>
      <c r="V2334" s="8"/>
      <c r="W2334" s="8"/>
      <c r="X2334" s="8"/>
      <c r="Y2334" s="8"/>
      <c r="Z2334" s="8">
        <v>707.83</v>
      </c>
      <c r="AA2334" s="8"/>
      <c r="AB2334" s="8"/>
      <c r="AC2334" s="8"/>
      <c r="AD2334" s="8"/>
      <c r="AE2334" s="8"/>
      <c r="AF2334" s="8">
        <v>167.16</v>
      </c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>
        <f>1490*33.67/1000</f>
        <v>50.168300000000002</v>
      </c>
      <c r="AR2334" s="8"/>
      <c r="AS2334" s="8"/>
      <c r="AT2334" s="8">
        <v>2299.5500000000002</v>
      </c>
      <c r="AU2334" s="8"/>
      <c r="AV2334" s="8"/>
      <c r="AW2334" s="8">
        <v>9.73</v>
      </c>
      <c r="AX2334" s="8"/>
      <c r="AY2334" s="8"/>
      <c r="AZ2334" s="8"/>
      <c r="BA2334" s="8"/>
      <c r="BB2334" s="8"/>
      <c r="BC2334" s="8"/>
      <c r="BD2334" s="8"/>
      <c r="BE2334" s="8"/>
      <c r="BF2334" s="8">
        <v>161.62</v>
      </c>
      <c r="BG2334" s="8">
        <v>166.79</v>
      </c>
      <c r="BH2334" s="9">
        <f t="shared" si="324"/>
        <v>3362.45</v>
      </c>
      <c r="BI2334" s="9">
        <f t="shared" si="325"/>
        <v>8.41</v>
      </c>
      <c r="BJ2334" s="9">
        <f t="shared" si="326"/>
        <v>13.14</v>
      </c>
      <c r="BK2334" s="9">
        <f t="shared" si="327"/>
        <v>50.51</v>
      </c>
      <c r="BL2334" s="9">
        <f t="shared" si="328"/>
        <v>707.83</v>
      </c>
      <c r="BM2334" s="9">
        <f t="shared" si="329"/>
        <v>217.32830000000001</v>
      </c>
      <c r="BN2334" s="9">
        <f t="shared" si="330"/>
        <v>2299.5500000000002</v>
      </c>
      <c r="BO2334" s="9">
        <f t="shared" si="331"/>
        <v>9.73</v>
      </c>
      <c r="BP2334" s="9">
        <f t="shared" si="332"/>
        <v>161.62</v>
      </c>
    </row>
    <row r="2335" spans="1:68">
      <c r="A2335" s="6">
        <v>44958</v>
      </c>
      <c r="B2335" s="7">
        <v>3203</v>
      </c>
      <c r="C2335" s="8">
        <v>868.64</v>
      </c>
      <c r="D2335" s="8"/>
      <c r="E2335" s="8">
        <v>373.11</v>
      </c>
      <c r="F2335" s="8"/>
      <c r="G2335" s="8"/>
      <c r="H2335" s="8"/>
      <c r="I2335" s="8"/>
      <c r="J2335" s="8"/>
      <c r="K2335" s="8"/>
      <c r="L2335" s="8"/>
      <c r="M2335" s="8"/>
      <c r="N2335" s="8"/>
      <c r="O2335" s="8">
        <v>3.75</v>
      </c>
      <c r="P2335" s="8"/>
      <c r="Q2335" s="8"/>
      <c r="R2335" s="8"/>
      <c r="S2335" s="8">
        <v>4.88</v>
      </c>
      <c r="T2335" s="8"/>
      <c r="U2335" s="8">
        <v>15.59</v>
      </c>
      <c r="V2335" s="8"/>
      <c r="W2335" s="8"/>
      <c r="X2335" s="8"/>
      <c r="Y2335" s="8"/>
      <c r="Z2335" s="8">
        <v>197.13</v>
      </c>
      <c r="AA2335" s="8">
        <f>10439*14.7/1000</f>
        <v>153.45329999999998</v>
      </c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>
        <v>465.38</v>
      </c>
      <c r="AU2335" s="8">
        <v>234.09</v>
      </c>
      <c r="AV2335" s="8"/>
      <c r="AW2335" s="8"/>
      <c r="AX2335" s="8"/>
      <c r="AY2335" s="8"/>
      <c r="AZ2335" s="8"/>
      <c r="BA2335" s="8"/>
      <c r="BB2335" s="8"/>
      <c r="BC2335" s="8">
        <v>3.25</v>
      </c>
      <c r="BD2335" s="8"/>
      <c r="BE2335" s="8"/>
      <c r="BF2335" s="8"/>
      <c r="BG2335" s="8">
        <v>45.68</v>
      </c>
      <c r="BH2335" s="9">
        <f t="shared" si="324"/>
        <v>1241.75</v>
      </c>
      <c r="BI2335" s="9">
        <f t="shared" si="325"/>
        <v>3.75</v>
      </c>
      <c r="BJ2335" s="9">
        <f t="shared" si="326"/>
        <v>4.88</v>
      </c>
      <c r="BK2335" s="9">
        <f t="shared" si="327"/>
        <v>15.59</v>
      </c>
      <c r="BL2335" s="9">
        <f t="shared" si="328"/>
        <v>350.58330000000001</v>
      </c>
      <c r="BM2335" s="9">
        <f t="shared" si="329"/>
        <v>0</v>
      </c>
      <c r="BN2335" s="9">
        <f t="shared" si="330"/>
        <v>699.47</v>
      </c>
      <c r="BO2335" s="9">
        <f t="shared" si="331"/>
        <v>3.25</v>
      </c>
      <c r="BP2335" s="9">
        <f t="shared" si="332"/>
        <v>0</v>
      </c>
    </row>
    <row r="2336" spans="1:68">
      <c r="A2336" s="6">
        <v>44958</v>
      </c>
      <c r="B2336" s="7">
        <v>3106</v>
      </c>
      <c r="C2336" s="8">
        <v>4188.34</v>
      </c>
      <c r="D2336" s="8"/>
      <c r="E2336" s="8"/>
      <c r="F2336" s="8"/>
      <c r="G2336" s="8"/>
      <c r="H2336" s="8"/>
      <c r="I2336" s="8"/>
      <c r="J2336" s="8"/>
      <c r="K2336" s="8"/>
      <c r="L2336" s="8"/>
      <c r="M2336" s="8">
        <v>10.67</v>
      </c>
      <c r="N2336" s="8"/>
      <c r="O2336" s="8"/>
      <c r="P2336" s="8"/>
      <c r="Q2336" s="8"/>
      <c r="R2336" s="8"/>
      <c r="S2336" s="8">
        <v>12.59</v>
      </c>
      <c r="T2336" s="8"/>
      <c r="U2336" s="8">
        <v>53.19</v>
      </c>
      <c r="V2336" s="8"/>
      <c r="W2336" s="8"/>
      <c r="X2336" s="8"/>
      <c r="Y2336" s="8"/>
      <c r="Z2336" s="8"/>
      <c r="AA2336" s="8"/>
      <c r="AB2336" s="8"/>
      <c r="AC2336" s="8">
        <v>10.48</v>
      </c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>
        <v>2387.85</v>
      </c>
      <c r="AU2336" s="8"/>
      <c r="AV2336" s="8"/>
      <c r="AW2336" s="8"/>
      <c r="AX2336" s="8">
        <v>5.24</v>
      </c>
      <c r="AY2336" s="8"/>
      <c r="AZ2336" s="8"/>
      <c r="BA2336" s="8"/>
      <c r="BB2336" s="8"/>
      <c r="BC2336" s="8"/>
      <c r="BD2336" s="8"/>
      <c r="BE2336" s="8"/>
      <c r="BF2336" s="8"/>
      <c r="BG2336" s="8">
        <v>180.47</v>
      </c>
      <c r="BH2336" s="9">
        <f t="shared" si="324"/>
        <v>4188.34</v>
      </c>
      <c r="BI2336" s="9">
        <f t="shared" si="325"/>
        <v>10.67</v>
      </c>
      <c r="BJ2336" s="9">
        <f t="shared" si="326"/>
        <v>12.59</v>
      </c>
      <c r="BK2336" s="9">
        <f t="shared" si="327"/>
        <v>53.19</v>
      </c>
      <c r="BL2336" s="9">
        <f t="shared" si="328"/>
        <v>0</v>
      </c>
      <c r="BM2336" s="9">
        <f t="shared" si="329"/>
        <v>10.48</v>
      </c>
      <c r="BN2336" s="9">
        <f t="shared" si="330"/>
        <v>2387.85</v>
      </c>
      <c r="BO2336" s="9">
        <f t="shared" si="331"/>
        <v>5.24</v>
      </c>
      <c r="BP2336" s="9">
        <f t="shared" si="332"/>
        <v>0</v>
      </c>
    </row>
    <row r="2337" spans="1:68">
      <c r="A2337" s="6">
        <v>44958</v>
      </c>
      <c r="B2337" s="7">
        <v>3121</v>
      </c>
      <c r="C2337" s="8">
        <v>497.99</v>
      </c>
      <c r="D2337" s="8"/>
      <c r="E2337" s="8"/>
      <c r="F2337" s="8"/>
      <c r="G2337" s="8"/>
      <c r="H2337" s="8"/>
      <c r="I2337" s="8"/>
      <c r="J2337" s="8"/>
      <c r="K2337" s="8"/>
      <c r="L2337" s="8"/>
      <c r="M2337" s="8">
        <v>1.0900000000000001</v>
      </c>
      <c r="N2337" s="8"/>
      <c r="O2337" s="8"/>
      <c r="P2337" s="8"/>
      <c r="Q2337" s="8"/>
      <c r="R2337" s="8"/>
      <c r="S2337" s="8">
        <v>1.6</v>
      </c>
      <c r="T2337" s="8"/>
      <c r="U2337" s="8">
        <v>4.99</v>
      </c>
      <c r="V2337" s="8"/>
      <c r="W2337" s="8"/>
      <c r="X2337" s="8"/>
      <c r="Y2337" s="8"/>
      <c r="Z2337" s="8"/>
      <c r="AA2337" s="8"/>
      <c r="AB2337" s="8"/>
      <c r="AC2337" s="8">
        <v>1.98</v>
      </c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>
        <f>2205*2.27/1000</f>
        <v>5.00535</v>
      </c>
      <c r="AQ2337" s="8"/>
      <c r="AR2337" s="8"/>
      <c r="AS2337" s="8"/>
      <c r="AT2337" s="8">
        <v>263.58999999999997</v>
      </c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>
        <v>19.489999999999998</v>
      </c>
      <c r="BH2337" s="9">
        <f t="shared" si="324"/>
        <v>497.99</v>
      </c>
      <c r="BI2337" s="9">
        <f t="shared" si="325"/>
        <v>1.0900000000000001</v>
      </c>
      <c r="BJ2337" s="9">
        <f t="shared" si="326"/>
        <v>1.6</v>
      </c>
      <c r="BK2337" s="9">
        <f t="shared" si="327"/>
        <v>4.99</v>
      </c>
      <c r="BL2337" s="9">
        <f t="shared" si="328"/>
        <v>0</v>
      </c>
      <c r="BM2337" s="9">
        <f t="shared" si="329"/>
        <v>6.9853500000000004</v>
      </c>
      <c r="BN2337" s="9">
        <f t="shared" si="330"/>
        <v>263.58999999999997</v>
      </c>
      <c r="BO2337" s="9">
        <f t="shared" si="331"/>
        <v>0</v>
      </c>
      <c r="BP2337" s="9">
        <f t="shared" si="332"/>
        <v>0</v>
      </c>
    </row>
    <row r="2338" spans="1:68">
      <c r="A2338" s="6">
        <v>44958</v>
      </c>
      <c r="B2338" s="7">
        <v>3023</v>
      </c>
      <c r="C2338" s="8"/>
      <c r="D2338" s="8">
        <v>1661.08</v>
      </c>
      <c r="E2338" s="8"/>
      <c r="F2338" s="8"/>
      <c r="G2338" s="8"/>
      <c r="H2338" s="8"/>
      <c r="I2338" s="8">
        <v>877.83</v>
      </c>
      <c r="J2338" s="8"/>
      <c r="K2338" s="8"/>
      <c r="L2338" s="8"/>
      <c r="M2338" s="8"/>
      <c r="N2338" s="8">
        <v>14.27</v>
      </c>
      <c r="O2338" s="8"/>
      <c r="P2338" s="8"/>
      <c r="Q2338" s="8"/>
      <c r="R2338" s="8"/>
      <c r="S2338" s="8">
        <v>4.08</v>
      </c>
      <c r="T2338" s="8"/>
      <c r="U2338" s="8"/>
      <c r="V2338" s="8"/>
      <c r="W2338" s="8">
        <v>23.05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>
        <v>25.35</v>
      </c>
      <c r="AN2338" s="8">
        <f>1024*17.58/1000</f>
        <v>18.001919999999998</v>
      </c>
      <c r="AO2338" s="8"/>
      <c r="AP2338" s="8"/>
      <c r="AQ2338" s="8"/>
      <c r="AR2338" s="8"/>
      <c r="AS2338" s="8">
        <f>4792*17.58/1000</f>
        <v>84.243359999999981</v>
      </c>
      <c r="AT2338" s="8">
        <v>1043.1300000000001</v>
      </c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>
        <v>79.069999999999993</v>
      </c>
      <c r="BH2338" s="9">
        <f t="shared" si="324"/>
        <v>2538.91</v>
      </c>
      <c r="BI2338" s="9">
        <f t="shared" si="325"/>
        <v>14.27</v>
      </c>
      <c r="BJ2338" s="9">
        <f t="shared" si="326"/>
        <v>4.08</v>
      </c>
      <c r="BK2338" s="9">
        <f t="shared" si="327"/>
        <v>23.05</v>
      </c>
      <c r="BL2338" s="9">
        <f t="shared" si="328"/>
        <v>0</v>
      </c>
      <c r="BM2338" s="9">
        <f t="shared" si="329"/>
        <v>127.59527999999997</v>
      </c>
      <c r="BN2338" s="9">
        <f t="shared" si="330"/>
        <v>1043.1300000000001</v>
      </c>
      <c r="BO2338" s="9">
        <f t="shared" si="331"/>
        <v>0</v>
      </c>
      <c r="BP2338" s="9">
        <f t="shared" si="332"/>
        <v>0</v>
      </c>
    </row>
    <row r="2339" spans="1:68">
      <c r="A2339" s="6">
        <v>44958</v>
      </c>
      <c r="B2339" s="7">
        <v>3020</v>
      </c>
      <c r="C2339" s="8"/>
      <c r="D2339" s="8">
        <v>167.65</v>
      </c>
      <c r="E2339" s="8"/>
      <c r="F2339" s="8"/>
      <c r="G2339" s="8"/>
      <c r="H2339" s="8"/>
      <c r="I2339" s="8">
        <v>933</v>
      </c>
      <c r="J2339" s="8"/>
      <c r="K2339" s="8"/>
      <c r="L2339" s="8"/>
      <c r="M2339" s="8"/>
      <c r="N2339" s="8">
        <v>6.61</v>
      </c>
      <c r="O2339" s="8"/>
      <c r="P2339" s="8"/>
      <c r="Q2339" s="11"/>
      <c r="R2339" s="11"/>
      <c r="S2339" s="8">
        <v>1.98</v>
      </c>
      <c r="T2339" s="8"/>
      <c r="U2339" s="8"/>
      <c r="V2339" s="8"/>
      <c r="W2339" s="8">
        <v>11.02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>
        <v>11.01</v>
      </c>
      <c r="AN2339" s="8"/>
      <c r="AO2339" s="8"/>
      <c r="AP2339" s="11"/>
      <c r="AQ2339" s="8"/>
      <c r="AR2339" s="8"/>
      <c r="AS2339" s="8">
        <f>2988*9.18/1000</f>
        <v>27.429839999999999</v>
      </c>
      <c r="AT2339" s="8">
        <v>541.47</v>
      </c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>
        <v>39.65</v>
      </c>
      <c r="BH2339" s="9">
        <f t="shared" si="324"/>
        <v>1100.6500000000001</v>
      </c>
      <c r="BI2339" s="9">
        <f t="shared" si="325"/>
        <v>6.61</v>
      </c>
      <c r="BJ2339" s="9">
        <f t="shared" si="326"/>
        <v>1.98</v>
      </c>
      <c r="BK2339" s="9">
        <f t="shared" si="327"/>
        <v>11.02</v>
      </c>
      <c r="BL2339" s="9">
        <f t="shared" si="328"/>
        <v>0</v>
      </c>
      <c r="BM2339" s="9">
        <f t="shared" si="329"/>
        <v>38.439839999999997</v>
      </c>
      <c r="BN2339" s="9">
        <f t="shared" si="330"/>
        <v>541.47</v>
      </c>
      <c r="BO2339" s="9">
        <f t="shared" si="331"/>
        <v>0</v>
      </c>
      <c r="BP2339" s="9">
        <f t="shared" si="332"/>
        <v>0</v>
      </c>
    </row>
    <row r="2340" spans="1:68">
      <c r="A2340" s="6">
        <v>44959</v>
      </c>
      <c r="B2340" s="7">
        <v>3141</v>
      </c>
      <c r="C2340" s="8">
        <v>2166.56</v>
      </c>
      <c r="D2340" s="8">
        <v>382.43</v>
      </c>
      <c r="E2340" s="8"/>
      <c r="F2340" s="8"/>
      <c r="G2340" s="8"/>
      <c r="H2340" s="8"/>
      <c r="I2340" s="8"/>
      <c r="J2340" s="8"/>
      <c r="K2340" s="8"/>
      <c r="L2340" s="8"/>
      <c r="M2340" s="8">
        <v>7.39</v>
      </c>
      <c r="N2340" s="8"/>
      <c r="O2340" s="8"/>
      <c r="P2340" s="8"/>
      <c r="Q2340" s="8"/>
      <c r="R2340" s="8"/>
      <c r="S2340" s="8">
        <v>11.99</v>
      </c>
      <c r="T2340" s="8"/>
      <c r="U2340" s="8">
        <v>38.26</v>
      </c>
      <c r="V2340" s="8"/>
      <c r="W2340" s="8"/>
      <c r="X2340" s="8"/>
      <c r="Y2340" s="8"/>
      <c r="Z2340" s="8"/>
      <c r="AA2340" s="8"/>
      <c r="AB2340" s="8"/>
      <c r="AC2340" s="8">
        <v>10.199999999999999</v>
      </c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>
        <v>1691.19</v>
      </c>
      <c r="AU2340" s="8"/>
      <c r="AV2340" s="8"/>
      <c r="AW2340" s="8"/>
      <c r="AX2340" s="8"/>
      <c r="AY2340" s="8"/>
      <c r="AZ2340" s="8"/>
      <c r="BA2340" s="8">
        <v>58.45</v>
      </c>
      <c r="BB2340" s="8"/>
      <c r="BC2340" s="8"/>
      <c r="BD2340" s="8"/>
      <c r="BE2340" s="8"/>
      <c r="BF2340" s="8">
        <v>178.6</v>
      </c>
      <c r="BG2340" s="8">
        <v>132.54</v>
      </c>
      <c r="BH2340" s="9">
        <f t="shared" si="324"/>
        <v>2548.9899999999998</v>
      </c>
      <c r="BI2340" s="9">
        <f t="shared" si="325"/>
        <v>7.39</v>
      </c>
      <c r="BJ2340" s="9">
        <f t="shared" si="326"/>
        <v>11.99</v>
      </c>
      <c r="BK2340" s="9">
        <f t="shared" si="327"/>
        <v>38.26</v>
      </c>
      <c r="BL2340" s="9">
        <f t="shared" si="328"/>
        <v>0</v>
      </c>
      <c r="BM2340" s="9">
        <f t="shared" si="329"/>
        <v>10.199999999999999</v>
      </c>
      <c r="BN2340" s="9">
        <f t="shared" si="330"/>
        <v>1691.19</v>
      </c>
      <c r="BO2340" s="9">
        <f t="shared" si="331"/>
        <v>58.45</v>
      </c>
      <c r="BP2340" s="9">
        <f t="shared" si="332"/>
        <v>178.6</v>
      </c>
    </row>
    <row r="2341" spans="1:68">
      <c r="A2341" s="6">
        <v>44959</v>
      </c>
      <c r="B2341" s="7">
        <v>3126</v>
      </c>
      <c r="C2341" s="8">
        <v>1013.09</v>
      </c>
      <c r="D2341" s="8">
        <v>437.25</v>
      </c>
      <c r="E2341" s="8"/>
      <c r="F2341" s="8"/>
      <c r="G2341" s="8"/>
      <c r="H2341" s="8"/>
      <c r="I2341" s="8"/>
      <c r="J2341" s="8"/>
      <c r="K2341" s="8"/>
      <c r="L2341" s="8"/>
      <c r="M2341" s="8"/>
      <c r="N2341" s="8">
        <v>2.23</v>
      </c>
      <c r="O2341" s="8"/>
      <c r="P2341" s="8"/>
      <c r="Q2341" s="8"/>
      <c r="R2341" s="8"/>
      <c r="S2341" s="8">
        <v>4.3600000000000003</v>
      </c>
      <c r="T2341" s="8"/>
      <c r="U2341" s="8">
        <v>14.54</v>
      </c>
      <c r="V2341" s="8"/>
      <c r="W2341" s="8"/>
      <c r="X2341" s="8"/>
      <c r="Y2341" s="8"/>
      <c r="Z2341" s="8"/>
      <c r="AA2341" s="8"/>
      <c r="AB2341" s="8"/>
      <c r="AC2341" s="8">
        <v>3.63</v>
      </c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>
        <v>630.08000000000004</v>
      </c>
      <c r="AU2341" s="8"/>
      <c r="AV2341" s="8"/>
      <c r="AW2341" s="8"/>
      <c r="AX2341" s="8"/>
      <c r="AY2341" s="8"/>
      <c r="AZ2341" s="8"/>
      <c r="BA2341" s="8">
        <v>11.13</v>
      </c>
      <c r="BB2341" s="8"/>
      <c r="BC2341" s="8"/>
      <c r="BD2341" s="8"/>
      <c r="BE2341" s="8"/>
      <c r="BF2341" s="8"/>
      <c r="BG2341" s="8">
        <v>44.97</v>
      </c>
      <c r="BH2341" s="9">
        <f t="shared" si="324"/>
        <v>1450.3400000000001</v>
      </c>
      <c r="BI2341" s="9">
        <f t="shared" si="325"/>
        <v>2.23</v>
      </c>
      <c r="BJ2341" s="9">
        <f t="shared" si="326"/>
        <v>4.3600000000000003</v>
      </c>
      <c r="BK2341" s="9">
        <f t="shared" si="327"/>
        <v>14.54</v>
      </c>
      <c r="BL2341" s="9">
        <f t="shared" si="328"/>
        <v>0</v>
      </c>
      <c r="BM2341" s="9">
        <f t="shared" si="329"/>
        <v>3.63</v>
      </c>
      <c r="BN2341" s="9">
        <f t="shared" si="330"/>
        <v>630.08000000000004</v>
      </c>
      <c r="BO2341" s="9">
        <f t="shared" si="331"/>
        <v>11.13</v>
      </c>
      <c r="BP2341" s="9">
        <f t="shared" si="332"/>
        <v>0</v>
      </c>
    </row>
    <row r="2342" spans="1:68">
      <c r="A2342" s="6">
        <v>44959</v>
      </c>
      <c r="B2342" s="7">
        <v>3106</v>
      </c>
      <c r="C2342" s="8">
        <v>4171.3900000000003</v>
      </c>
      <c r="D2342" s="8"/>
      <c r="E2342" s="8"/>
      <c r="F2342" s="8"/>
      <c r="G2342" s="8"/>
      <c r="H2342" s="8"/>
      <c r="I2342" s="8"/>
      <c r="J2342" s="8"/>
      <c r="K2342" s="8"/>
      <c r="L2342" s="8"/>
      <c r="M2342" s="8">
        <v>10.82</v>
      </c>
      <c r="N2342" s="8"/>
      <c r="O2342" s="8"/>
      <c r="P2342" s="8"/>
      <c r="Q2342" s="8"/>
      <c r="R2342" s="8"/>
      <c r="S2342" s="8">
        <v>12.55</v>
      </c>
      <c r="T2342" s="8"/>
      <c r="U2342" s="8">
        <v>53.1</v>
      </c>
      <c r="V2342" s="8"/>
      <c r="W2342" s="8"/>
      <c r="X2342" s="8"/>
      <c r="Y2342" s="8"/>
      <c r="Z2342" s="8"/>
      <c r="AA2342" s="8"/>
      <c r="AB2342" s="8"/>
      <c r="AC2342" s="8">
        <v>10.43</v>
      </c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>
        <v>2377.2800000000002</v>
      </c>
      <c r="AU2342" s="8"/>
      <c r="AV2342" s="8"/>
      <c r="AW2342" s="8"/>
      <c r="AX2342" s="8">
        <v>5.22</v>
      </c>
      <c r="AY2342" s="8"/>
      <c r="AZ2342" s="8"/>
      <c r="BA2342" s="8"/>
      <c r="BB2342" s="8"/>
      <c r="BC2342" s="8"/>
      <c r="BD2342" s="8"/>
      <c r="BE2342" s="8"/>
      <c r="BF2342" s="8"/>
      <c r="BG2342" s="8">
        <v>179.87</v>
      </c>
      <c r="BH2342" s="9">
        <f t="shared" si="324"/>
        <v>4171.3900000000003</v>
      </c>
      <c r="BI2342" s="9">
        <f t="shared" si="325"/>
        <v>10.82</v>
      </c>
      <c r="BJ2342" s="9">
        <f t="shared" si="326"/>
        <v>12.55</v>
      </c>
      <c r="BK2342" s="9">
        <f t="shared" si="327"/>
        <v>53.1</v>
      </c>
      <c r="BL2342" s="9">
        <f t="shared" si="328"/>
        <v>0</v>
      </c>
      <c r="BM2342" s="9">
        <f t="shared" si="329"/>
        <v>10.43</v>
      </c>
      <c r="BN2342" s="9">
        <f t="shared" si="330"/>
        <v>2377.2800000000002</v>
      </c>
      <c r="BO2342" s="9">
        <f t="shared" si="331"/>
        <v>5.22</v>
      </c>
      <c r="BP2342" s="9">
        <f t="shared" si="332"/>
        <v>0</v>
      </c>
    </row>
    <row r="2343" spans="1:68">
      <c r="A2343" s="6">
        <v>44959</v>
      </c>
      <c r="B2343" s="7">
        <v>3079</v>
      </c>
      <c r="C2343" s="8"/>
      <c r="D2343" s="8"/>
      <c r="E2343" s="8"/>
      <c r="F2343" s="8">
        <v>339.69</v>
      </c>
      <c r="G2343" s="8"/>
      <c r="H2343" s="8"/>
      <c r="I2343" s="8">
        <v>2759.48</v>
      </c>
      <c r="J2343" s="8"/>
      <c r="K2343" s="8"/>
      <c r="L2343" s="8"/>
      <c r="M2343" s="8"/>
      <c r="N2343" s="8">
        <v>22.03</v>
      </c>
      <c r="O2343" s="8"/>
      <c r="P2343" s="8"/>
      <c r="Q2343" s="8"/>
      <c r="R2343" s="8"/>
      <c r="S2343" s="8">
        <v>1.22</v>
      </c>
      <c r="T2343" s="8"/>
      <c r="U2343" s="8"/>
      <c r="V2343" s="8"/>
      <c r="W2343" s="8">
        <v>31.03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>
        <v>12.26</v>
      </c>
      <c r="AN2343" s="8">
        <f>1732*18.25/1000</f>
        <v>31.609000000000002</v>
      </c>
      <c r="AO2343" s="8"/>
      <c r="AP2343" s="8"/>
      <c r="AQ2343" s="8"/>
      <c r="AR2343" s="8">
        <f>4269*18.25/1000</f>
        <v>77.90925</v>
      </c>
      <c r="AS2343" s="8"/>
      <c r="AT2343" s="8">
        <v>1193.98</v>
      </c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>
        <v>86.42</v>
      </c>
      <c r="BH2343" s="9">
        <f t="shared" si="324"/>
        <v>3099.17</v>
      </c>
      <c r="BI2343" s="9">
        <f t="shared" si="325"/>
        <v>22.03</v>
      </c>
      <c r="BJ2343" s="9">
        <f t="shared" si="326"/>
        <v>1.22</v>
      </c>
      <c r="BK2343" s="9">
        <f t="shared" si="327"/>
        <v>31.03</v>
      </c>
      <c r="BL2343" s="9">
        <f t="shared" si="328"/>
        <v>0</v>
      </c>
      <c r="BM2343" s="9">
        <f t="shared" si="329"/>
        <v>121.77825</v>
      </c>
      <c r="BN2343" s="9">
        <f t="shared" si="330"/>
        <v>1193.98</v>
      </c>
      <c r="BO2343" s="9">
        <f t="shared" si="331"/>
        <v>0</v>
      </c>
      <c r="BP2343" s="9">
        <f t="shared" si="332"/>
        <v>0</v>
      </c>
    </row>
    <row r="2344" spans="1:68">
      <c r="A2344" s="6">
        <v>44959</v>
      </c>
      <c r="B2344" s="7">
        <v>3204</v>
      </c>
      <c r="C2344" s="8"/>
      <c r="D2344" s="8">
        <v>973.86</v>
      </c>
      <c r="E2344" s="8">
        <v>416.58</v>
      </c>
      <c r="F2344" s="8"/>
      <c r="G2344" s="8"/>
      <c r="H2344" s="8"/>
      <c r="I2344" s="8"/>
      <c r="J2344" s="8"/>
      <c r="K2344" s="8"/>
      <c r="L2344" s="8"/>
      <c r="M2344" s="8"/>
      <c r="N2344" s="8"/>
      <c r="O2344" s="8">
        <v>6.96</v>
      </c>
      <c r="P2344" s="8"/>
      <c r="Q2344" s="8"/>
      <c r="R2344" s="8"/>
      <c r="S2344" s="8">
        <v>4.7300000000000004</v>
      </c>
      <c r="T2344" s="8"/>
      <c r="U2344" s="8">
        <v>15.32</v>
      </c>
      <c r="V2344" s="8"/>
      <c r="W2344" s="8"/>
      <c r="X2344" s="8"/>
      <c r="Y2344" s="8"/>
      <c r="Z2344" s="8">
        <v>209.03</v>
      </c>
      <c r="AA2344" s="8"/>
      <c r="AB2344" s="8">
        <f>708*9.93/1000</f>
        <v>7.0304399999999996</v>
      </c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>
        <v>614.53</v>
      </c>
      <c r="AU2344" s="8"/>
      <c r="AV2344" s="8"/>
      <c r="AW2344" s="8">
        <v>4.4400000000000004</v>
      </c>
      <c r="AX2344" s="8"/>
      <c r="AY2344" s="8"/>
      <c r="AZ2344" s="8"/>
      <c r="BA2344" s="8"/>
      <c r="BB2344" s="8"/>
      <c r="BC2344" s="8"/>
      <c r="BD2344" s="8"/>
      <c r="BE2344" s="8"/>
      <c r="BF2344" s="8"/>
      <c r="BG2344" s="8">
        <v>45.27</v>
      </c>
      <c r="BH2344" s="9">
        <f t="shared" si="324"/>
        <v>1390.44</v>
      </c>
      <c r="BI2344" s="9">
        <f t="shared" si="325"/>
        <v>6.96</v>
      </c>
      <c r="BJ2344" s="9">
        <f t="shared" si="326"/>
        <v>4.7300000000000004</v>
      </c>
      <c r="BK2344" s="9">
        <f t="shared" si="327"/>
        <v>15.32</v>
      </c>
      <c r="BL2344" s="9">
        <f t="shared" si="328"/>
        <v>209.03</v>
      </c>
      <c r="BM2344" s="9">
        <f t="shared" si="329"/>
        <v>7.0304399999999996</v>
      </c>
      <c r="BN2344" s="9">
        <f t="shared" si="330"/>
        <v>614.53</v>
      </c>
      <c r="BO2344" s="9">
        <f t="shared" si="331"/>
        <v>4.4400000000000004</v>
      </c>
      <c r="BP2344" s="9">
        <f t="shared" si="332"/>
        <v>0</v>
      </c>
    </row>
    <row r="2345" spans="1:68">
      <c r="A2345" s="6">
        <v>44959</v>
      </c>
      <c r="B2345" s="7">
        <v>3101</v>
      </c>
      <c r="C2345" s="8">
        <v>623.72</v>
      </c>
      <c r="D2345" s="8"/>
      <c r="E2345" s="8"/>
      <c r="F2345" s="8"/>
      <c r="G2345" s="8"/>
      <c r="H2345" s="8"/>
      <c r="I2345" s="8"/>
      <c r="J2345" s="8"/>
      <c r="K2345" s="8"/>
      <c r="L2345" s="8"/>
      <c r="M2345" s="8">
        <v>1.43</v>
      </c>
      <c r="N2345" s="8"/>
      <c r="O2345" s="8"/>
      <c r="P2345" s="8"/>
      <c r="Q2345" s="8"/>
      <c r="R2345" s="8"/>
      <c r="S2345" s="8">
        <v>3.62</v>
      </c>
      <c r="T2345" s="8"/>
      <c r="U2345" s="8">
        <v>9.99</v>
      </c>
      <c r="V2345" s="8"/>
      <c r="W2345" s="8"/>
      <c r="X2345" s="8"/>
      <c r="Y2345" s="8"/>
      <c r="Z2345" s="8"/>
      <c r="AA2345" s="8"/>
      <c r="AB2345" s="8"/>
      <c r="AC2345" s="8">
        <v>2.5</v>
      </c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>
        <v>418.9</v>
      </c>
      <c r="AU2345" s="8"/>
      <c r="AV2345" s="8"/>
      <c r="AW2345" s="8">
        <v>13.3</v>
      </c>
      <c r="AX2345" s="8"/>
      <c r="AY2345" s="8"/>
      <c r="AZ2345" s="8"/>
      <c r="BA2345" s="8"/>
      <c r="BB2345" s="8"/>
      <c r="BC2345" s="8"/>
      <c r="BD2345" s="8"/>
      <c r="BE2345" s="8"/>
      <c r="BF2345" s="8">
        <v>81.14</v>
      </c>
      <c r="BG2345" s="8">
        <v>32.1</v>
      </c>
      <c r="BH2345" s="9">
        <f t="shared" si="324"/>
        <v>623.72</v>
      </c>
      <c r="BI2345" s="9">
        <f t="shared" si="325"/>
        <v>1.43</v>
      </c>
      <c r="BJ2345" s="9">
        <f t="shared" si="326"/>
        <v>3.62</v>
      </c>
      <c r="BK2345" s="9">
        <f t="shared" si="327"/>
        <v>9.99</v>
      </c>
      <c r="BL2345" s="9">
        <f t="shared" si="328"/>
        <v>0</v>
      </c>
      <c r="BM2345" s="9">
        <f t="shared" si="329"/>
        <v>2.5</v>
      </c>
      <c r="BN2345" s="9">
        <f t="shared" si="330"/>
        <v>418.9</v>
      </c>
      <c r="BO2345" s="9">
        <f t="shared" si="331"/>
        <v>13.3</v>
      </c>
      <c r="BP2345" s="9">
        <f t="shared" si="332"/>
        <v>81.14</v>
      </c>
    </row>
    <row r="2346" spans="1:68">
      <c r="A2346" s="6">
        <v>44960</v>
      </c>
      <c r="B2346" s="7">
        <v>3145</v>
      </c>
      <c r="C2346" s="8">
        <v>1324.49</v>
      </c>
      <c r="D2346" s="8">
        <v>233.17</v>
      </c>
      <c r="E2346" s="8"/>
      <c r="F2346" s="8"/>
      <c r="G2346" s="8"/>
      <c r="H2346" s="8"/>
      <c r="I2346" s="8"/>
      <c r="J2346" s="8"/>
      <c r="K2346" s="8"/>
      <c r="L2346" s="8"/>
      <c r="M2346" s="8">
        <v>4.25</v>
      </c>
      <c r="N2346" s="8"/>
      <c r="O2346" s="8"/>
      <c r="P2346" s="8"/>
      <c r="Q2346" s="11"/>
      <c r="R2346" s="11"/>
      <c r="S2346" s="8">
        <v>7.32</v>
      </c>
      <c r="T2346" s="8"/>
      <c r="U2346" s="8">
        <v>23.34</v>
      </c>
      <c r="V2346" s="8"/>
      <c r="W2346" s="8"/>
      <c r="X2346" s="8"/>
      <c r="Y2346" s="8"/>
      <c r="Z2346" s="8"/>
      <c r="AA2346" s="8"/>
      <c r="AB2346" s="8"/>
      <c r="AC2346" s="8">
        <v>6.22</v>
      </c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11"/>
      <c r="AQ2346" s="8"/>
      <c r="AR2346" s="8"/>
      <c r="AS2346" s="8"/>
      <c r="AT2346" s="8">
        <v>1031.4000000000001</v>
      </c>
      <c r="AU2346" s="8"/>
      <c r="AV2346" s="8"/>
      <c r="AW2346" s="8"/>
      <c r="AX2346" s="8"/>
      <c r="AY2346" s="8"/>
      <c r="AZ2346" s="8"/>
      <c r="BA2346" s="8"/>
      <c r="BB2346" s="8"/>
      <c r="BC2346" s="8"/>
      <c r="BD2346" s="8">
        <v>3.89</v>
      </c>
      <c r="BE2346" s="8">
        <f>1347*10.37/1000</f>
        <v>13.968389999999999</v>
      </c>
      <c r="BF2346" s="8">
        <v>108.9</v>
      </c>
      <c r="BG2346" s="8">
        <v>81.05</v>
      </c>
      <c r="BH2346" s="9">
        <f t="shared" si="324"/>
        <v>1557.66</v>
      </c>
      <c r="BI2346" s="9">
        <f t="shared" si="325"/>
        <v>4.25</v>
      </c>
      <c r="BJ2346" s="9">
        <f t="shared" si="326"/>
        <v>7.32</v>
      </c>
      <c r="BK2346" s="9">
        <f t="shared" si="327"/>
        <v>23.34</v>
      </c>
      <c r="BL2346" s="9">
        <f t="shared" si="328"/>
        <v>0</v>
      </c>
      <c r="BM2346" s="9">
        <f t="shared" si="329"/>
        <v>6.22</v>
      </c>
      <c r="BN2346" s="9">
        <f t="shared" si="330"/>
        <v>1031.4000000000001</v>
      </c>
      <c r="BO2346" s="9">
        <f t="shared" si="331"/>
        <v>17.85839</v>
      </c>
      <c r="BP2346" s="9">
        <f t="shared" si="332"/>
        <v>108.9</v>
      </c>
    </row>
    <row r="2347" spans="1:68">
      <c r="A2347" s="6">
        <v>44960</v>
      </c>
      <c r="B2347" s="7">
        <v>3106</v>
      </c>
      <c r="C2347" s="8">
        <v>5198.1099999999997</v>
      </c>
      <c r="D2347" s="8"/>
      <c r="E2347" s="8"/>
      <c r="F2347" s="8"/>
      <c r="G2347" s="8"/>
      <c r="H2347" s="8"/>
      <c r="I2347" s="8"/>
      <c r="J2347" s="8"/>
      <c r="K2347" s="8"/>
      <c r="L2347" s="8"/>
      <c r="M2347" s="8">
        <v>13.59</v>
      </c>
      <c r="N2347" s="8"/>
      <c r="O2347" s="8"/>
      <c r="P2347" s="8"/>
      <c r="Q2347" s="11"/>
      <c r="R2347" s="11"/>
      <c r="S2347" s="8">
        <v>15.6</v>
      </c>
      <c r="T2347" s="8"/>
      <c r="U2347" s="8">
        <v>66.12</v>
      </c>
      <c r="V2347" s="8"/>
      <c r="W2347" s="8"/>
      <c r="X2347" s="8"/>
      <c r="Y2347" s="8"/>
      <c r="Z2347" s="8"/>
      <c r="AA2347" s="8"/>
      <c r="AB2347" s="8"/>
      <c r="AC2347" s="8">
        <v>13</v>
      </c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11"/>
      <c r="AQ2347" s="8"/>
      <c r="AR2347" s="8"/>
      <c r="AS2347" s="8"/>
      <c r="AT2347" s="8">
        <v>2963.81</v>
      </c>
      <c r="AU2347" s="8"/>
      <c r="AV2347" s="8"/>
      <c r="AW2347" s="8"/>
      <c r="AX2347" s="8">
        <v>6.51</v>
      </c>
      <c r="AY2347" s="8"/>
      <c r="AZ2347" s="8"/>
      <c r="BA2347" s="8"/>
      <c r="BB2347" s="8"/>
      <c r="BC2347" s="8"/>
      <c r="BD2347" s="8"/>
      <c r="BE2347" s="8"/>
      <c r="BF2347" s="8"/>
      <c r="BG2347" s="8">
        <v>223.67</v>
      </c>
      <c r="BH2347" s="9">
        <f t="shared" si="324"/>
        <v>5198.1099999999997</v>
      </c>
      <c r="BI2347" s="9">
        <f t="shared" si="325"/>
        <v>13.59</v>
      </c>
      <c r="BJ2347" s="9">
        <f t="shared" si="326"/>
        <v>15.6</v>
      </c>
      <c r="BK2347" s="9">
        <f t="shared" si="327"/>
        <v>66.12</v>
      </c>
      <c r="BL2347" s="9">
        <f t="shared" si="328"/>
        <v>0</v>
      </c>
      <c r="BM2347" s="9">
        <f t="shared" si="329"/>
        <v>13</v>
      </c>
      <c r="BN2347" s="9">
        <f t="shared" si="330"/>
        <v>2963.81</v>
      </c>
      <c r="BO2347" s="9">
        <f t="shared" si="331"/>
        <v>6.51</v>
      </c>
      <c r="BP2347" s="9">
        <f t="shared" si="332"/>
        <v>0</v>
      </c>
    </row>
    <row r="2348" spans="1:68">
      <c r="A2348" s="6">
        <v>44960</v>
      </c>
      <c r="B2348" s="7">
        <v>3200</v>
      </c>
      <c r="C2348" s="8">
        <v>2214.12</v>
      </c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>
        <v>5.58</v>
      </c>
      <c r="P2348" s="8"/>
      <c r="Q2348" s="8"/>
      <c r="R2348" s="8"/>
      <c r="S2348" s="8">
        <v>8.7100000000000009</v>
      </c>
      <c r="T2348" s="8"/>
      <c r="U2348" s="8">
        <v>33.49</v>
      </c>
      <c r="V2348" s="8"/>
      <c r="W2348" s="8"/>
      <c r="X2348" s="8"/>
      <c r="Y2348" s="8"/>
      <c r="Z2348" s="8">
        <v>468.59</v>
      </c>
      <c r="AA2348" s="8"/>
      <c r="AB2348" s="8"/>
      <c r="AC2348" s="8"/>
      <c r="AD2348" s="8"/>
      <c r="AE2348" s="8"/>
      <c r="AF2348" s="8">
        <v>111.05</v>
      </c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>
        <f>1496*22.3/1000</f>
        <v>33.360800000000005</v>
      </c>
      <c r="AR2348" s="8"/>
      <c r="AS2348" s="8"/>
      <c r="AT2348" s="8">
        <v>1518.09</v>
      </c>
      <c r="AU2348" s="8"/>
      <c r="AV2348" s="8"/>
      <c r="AW2348" s="8">
        <v>6.31</v>
      </c>
      <c r="AX2348" s="8"/>
      <c r="AY2348" s="8"/>
      <c r="AZ2348" s="8"/>
      <c r="BA2348" s="8"/>
      <c r="BB2348" s="8"/>
      <c r="BC2348" s="8"/>
      <c r="BD2348" s="8"/>
      <c r="BE2348" s="8"/>
      <c r="BF2348" s="8">
        <v>107.05</v>
      </c>
      <c r="BG2348" s="8">
        <v>109.49</v>
      </c>
      <c r="BH2348" s="9">
        <f t="shared" si="324"/>
        <v>2214.12</v>
      </c>
      <c r="BI2348" s="9">
        <f t="shared" si="325"/>
        <v>5.58</v>
      </c>
      <c r="BJ2348" s="9">
        <f t="shared" si="326"/>
        <v>8.7100000000000009</v>
      </c>
      <c r="BK2348" s="9">
        <f t="shared" si="327"/>
        <v>33.49</v>
      </c>
      <c r="BL2348" s="9">
        <f t="shared" si="328"/>
        <v>468.59</v>
      </c>
      <c r="BM2348" s="9">
        <f t="shared" si="329"/>
        <v>144.41079999999999</v>
      </c>
      <c r="BN2348" s="9">
        <f t="shared" si="330"/>
        <v>1518.09</v>
      </c>
      <c r="BO2348" s="9">
        <f t="shared" si="331"/>
        <v>6.31</v>
      </c>
      <c r="BP2348" s="9">
        <f t="shared" si="332"/>
        <v>107.05</v>
      </c>
    </row>
    <row r="2349" spans="1:68">
      <c r="A2349" s="6">
        <v>44960</v>
      </c>
      <c r="B2349" s="7">
        <v>3010</v>
      </c>
      <c r="C2349" s="8">
        <v>674.38</v>
      </c>
      <c r="D2349" s="8">
        <v>450.98</v>
      </c>
      <c r="E2349" s="8"/>
      <c r="F2349" s="8"/>
      <c r="G2349" s="8"/>
      <c r="H2349" s="8"/>
      <c r="I2349" s="8"/>
      <c r="J2349" s="8"/>
      <c r="K2349" s="8"/>
      <c r="L2349" s="8"/>
      <c r="M2349" s="8"/>
      <c r="N2349" s="8">
        <v>2.2599999999999998</v>
      </c>
      <c r="O2349" s="8"/>
      <c r="P2349" s="8"/>
      <c r="Q2349" s="8"/>
      <c r="R2349" s="8"/>
      <c r="S2349" s="8">
        <v>3.06</v>
      </c>
      <c r="T2349" s="8"/>
      <c r="U2349" s="8"/>
      <c r="V2349" s="8"/>
      <c r="W2349" s="8">
        <v>11.36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>
        <v>377.57</v>
      </c>
      <c r="AU2349" s="8"/>
      <c r="AV2349" s="8"/>
      <c r="AW2349" s="8">
        <v>12.59</v>
      </c>
      <c r="AX2349" s="8"/>
      <c r="AY2349" s="8"/>
      <c r="AZ2349" s="8"/>
      <c r="BA2349" s="8"/>
      <c r="BB2349" s="8"/>
      <c r="BC2349" s="8"/>
      <c r="BD2349" s="8"/>
      <c r="BE2349" s="8"/>
      <c r="BF2349" s="8"/>
      <c r="BG2349" s="8">
        <v>25</v>
      </c>
      <c r="BH2349" s="9">
        <f t="shared" si="324"/>
        <v>1125.3600000000001</v>
      </c>
      <c r="BI2349" s="9">
        <f t="shared" si="325"/>
        <v>2.2599999999999998</v>
      </c>
      <c r="BJ2349" s="9">
        <f t="shared" si="326"/>
        <v>3.06</v>
      </c>
      <c r="BK2349" s="9">
        <f t="shared" si="327"/>
        <v>11.36</v>
      </c>
      <c r="BL2349" s="9">
        <f t="shared" si="328"/>
        <v>0</v>
      </c>
      <c r="BM2349" s="9">
        <f t="shared" si="329"/>
        <v>0</v>
      </c>
      <c r="BN2349" s="9">
        <f t="shared" si="330"/>
        <v>377.57</v>
      </c>
      <c r="BO2349" s="9">
        <f t="shared" si="331"/>
        <v>12.59</v>
      </c>
      <c r="BP2349" s="9">
        <f t="shared" si="332"/>
        <v>0</v>
      </c>
    </row>
    <row r="2350" spans="1:68">
      <c r="A2350" s="6">
        <v>44960</v>
      </c>
      <c r="B2350" s="7">
        <v>3083</v>
      </c>
      <c r="C2350" s="8"/>
      <c r="D2350" s="8">
        <v>724.16</v>
      </c>
      <c r="E2350" s="8"/>
      <c r="F2350" s="8"/>
      <c r="G2350" s="8"/>
      <c r="H2350" s="8"/>
      <c r="I2350" s="8">
        <v>1691.99</v>
      </c>
      <c r="J2350" s="8"/>
      <c r="K2350" s="8"/>
      <c r="L2350" s="8"/>
      <c r="M2350" s="8"/>
      <c r="N2350" s="8">
        <v>15.23</v>
      </c>
      <c r="O2350" s="8"/>
      <c r="P2350" s="8"/>
      <c r="Q2350" s="8"/>
      <c r="R2350" s="8"/>
      <c r="S2350" s="8">
        <v>1.69</v>
      </c>
      <c r="T2350" s="8"/>
      <c r="U2350" s="8"/>
      <c r="V2350" s="8"/>
      <c r="W2350" s="8">
        <v>19.36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>
        <v>9.6199999999999992</v>
      </c>
      <c r="AN2350" s="8">
        <f>1896*17.9/1000</f>
        <v>33.938399999999994</v>
      </c>
      <c r="AO2350" s="8"/>
      <c r="AP2350" s="8"/>
      <c r="AQ2350" s="8"/>
      <c r="AR2350" s="8">
        <f>3371*17.9/1000</f>
        <v>60.340899999999991</v>
      </c>
      <c r="AS2350" s="8"/>
      <c r="AT2350" s="8">
        <v>1137.26</v>
      </c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>
        <v>90.08</v>
      </c>
      <c r="BH2350" s="9">
        <f t="shared" si="324"/>
        <v>2416.15</v>
      </c>
      <c r="BI2350" s="9">
        <f t="shared" si="325"/>
        <v>15.23</v>
      </c>
      <c r="BJ2350" s="9">
        <f t="shared" si="326"/>
        <v>1.69</v>
      </c>
      <c r="BK2350" s="9">
        <f t="shared" si="327"/>
        <v>19.36</v>
      </c>
      <c r="BL2350" s="9">
        <f t="shared" si="328"/>
        <v>0</v>
      </c>
      <c r="BM2350" s="9">
        <f t="shared" si="329"/>
        <v>103.89929999999998</v>
      </c>
      <c r="BN2350" s="9">
        <f t="shared" si="330"/>
        <v>1137.26</v>
      </c>
      <c r="BO2350" s="9">
        <f t="shared" si="331"/>
        <v>0</v>
      </c>
      <c r="BP2350" s="9">
        <f t="shared" si="332"/>
        <v>0</v>
      </c>
    </row>
    <row r="2351" spans="1:68">
      <c r="A2351" s="6">
        <v>44960</v>
      </c>
      <c r="B2351" s="7">
        <v>3028</v>
      </c>
      <c r="C2351" s="8"/>
      <c r="D2351" s="8">
        <v>234.82</v>
      </c>
      <c r="E2351" s="8"/>
      <c r="F2351" s="8">
        <v>215.99</v>
      </c>
      <c r="G2351" s="8"/>
      <c r="H2351" s="8"/>
      <c r="I2351" s="8">
        <v>490.05</v>
      </c>
      <c r="J2351" s="8"/>
      <c r="K2351" s="8"/>
      <c r="L2351" s="8"/>
      <c r="M2351" s="8"/>
      <c r="N2351" s="8">
        <v>7.03</v>
      </c>
      <c r="O2351" s="8"/>
      <c r="P2351" s="8"/>
      <c r="Q2351" s="8"/>
      <c r="R2351" s="8"/>
      <c r="S2351" s="8">
        <v>1.31</v>
      </c>
      <c r="T2351" s="8"/>
      <c r="U2351" s="8"/>
      <c r="V2351" s="8"/>
      <c r="W2351" s="8">
        <v>7.05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>
        <v>9.3699999999999992</v>
      </c>
      <c r="AN2351" s="8">
        <f>1077*6.23/1000</f>
        <v>6.7097100000000003</v>
      </c>
      <c r="AO2351" s="8"/>
      <c r="AP2351" s="8"/>
      <c r="AQ2351" s="8"/>
      <c r="AR2351" s="8"/>
      <c r="AS2351" s="8">
        <f>4937*6.23/1000</f>
        <v>30.757510000000003</v>
      </c>
      <c r="AT2351" s="8">
        <v>312.38</v>
      </c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>
        <v>21.28</v>
      </c>
      <c r="BH2351" s="9">
        <f t="shared" si="324"/>
        <v>940.86</v>
      </c>
      <c r="BI2351" s="9">
        <f t="shared" si="325"/>
        <v>7.03</v>
      </c>
      <c r="BJ2351" s="9">
        <f t="shared" si="326"/>
        <v>1.31</v>
      </c>
      <c r="BK2351" s="9">
        <f t="shared" si="327"/>
        <v>7.05</v>
      </c>
      <c r="BL2351" s="9">
        <f t="shared" si="328"/>
        <v>0</v>
      </c>
      <c r="BM2351" s="9">
        <f t="shared" si="329"/>
        <v>46.837220000000002</v>
      </c>
      <c r="BN2351" s="9">
        <f t="shared" si="330"/>
        <v>312.38</v>
      </c>
      <c r="BO2351" s="9">
        <f t="shared" si="331"/>
        <v>0</v>
      </c>
      <c r="BP2351" s="9">
        <f t="shared" si="332"/>
        <v>0</v>
      </c>
    </row>
    <row r="2352" spans="1:68">
      <c r="A2352" s="6">
        <v>44960</v>
      </c>
      <c r="B2352" s="7">
        <v>3017</v>
      </c>
      <c r="C2352" s="8"/>
      <c r="D2352" s="8">
        <v>101.45</v>
      </c>
      <c r="E2352" s="8"/>
      <c r="F2352" s="8"/>
      <c r="G2352" s="8"/>
      <c r="H2352" s="8"/>
      <c r="I2352" s="8">
        <v>140.68</v>
      </c>
      <c r="J2352" s="8"/>
      <c r="K2352" s="8"/>
      <c r="L2352" s="8"/>
      <c r="M2352" s="8"/>
      <c r="N2352" s="8">
        <v>1.7</v>
      </c>
      <c r="O2352" s="8"/>
      <c r="P2352" s="8"/>
      <c r="Q2352" s="8"/>
      <c r="R2352" s="8"/>
      <c r="S2352" s="8">
        <v>0.17</v>
      </c>
      <c r="T2352" s="8"/>
      <c r="U2352" s="8"/>
      <c r="V2352" s="8"/>
      <c r="W2352" s="8">
        <v>1.82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>
        <v>0.99</v>
      </c>
      <c r="AN2352" s="8">
        <f>1201*2.02/1000</f>
        <v>2.4260199999999998</v>
      </c>
      <c r="AO2352" s="8"/>
      <c r="AP2352" s="8"/>
      <c r="AQ2352" s="8"/>
      <c r="AR2352" s="8">
        <f>4810*2.02/1000</f>
        <v>9.7162000000000006</v>
      </c>
      <c r="AS2352" s="8"/>
      <c r="AT2352" s="8">
        <v>104.24</v>
      </c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>
        <v>7.5</v>
      </c>
      <c r="BH2352" s="9">
        <f t="shared" si="324"/>
        <v>242.13</v>
      </c>
      <c r="BI2352" s="9">
        <f t="shared" si="325"/>
        <v>1.7</v>
      </c>
      <c r="BJ2352" s="9">
        <f t="shared" si="326"/>
        <v>0.17</v>
      </c>
      <c r="BK2352" s="9">
        <f t="shared" si="327"/>
        <v>1.82</v>
      </c>
      <c r="BL2352" s="9">
        <f t="shared" si="328"/>
        <v>0</v>
      </c>
      <c r="BM2352" s="9">
        <f t="shared" si="329"/>
        <v>13.13222</v>
      </c>
      <c r="BN2352" s="9">
        <f t="shared" si="330"/>
        <v>104.24</v>
      </c>
      <c r="BO2352" s="9">
        <f t="shared" si="331"/>
        <v>0</v>
      </c>
      <c r="BP2352" s="9">
        <f t="shared" si="332"/>
        <v>0</v>
      </c>
    </row>
    <row r="2353" spans="1:68">
      <c r="A2353" s="6">
        <v>44960</v>
      </c>
      <c r="B2353" s="7">
        <v>3602</v>
      </c>
      <c r="C2353" s="8">
        <v>570.1</v>
      </c>
      <c r="D2353" s="8"/>
      <c r="E2353" s="8"/>
      <c r="F2353" s="8"/>
      <c r="G2353" s="8">
        <v>855.28</v>
      </c>
      <c r="H2353" s="8"/>
      <c r="I2353" s="8"/>
      <c r="J2353" s="8"/>
      <c r="K2353" s="8"/>
      <c r="L2353" s="8"/>
      <c r="M2353" s="8">
        <v>1.49</v>
      </c>
      <c r="N2353" s="8"/>
      <c r="O2353" s="8"/>
      <c r="P2353" s="8"/>
      <c r="Q2353" s="8"/>
      <c r="R2353" s="8"/>
      <c r="S2353" s="8">
        <v>6.84</v>
      </c>
      <c r="T2353" s="8"/>
      <c r="U2353" s="8">
        <v>11.41</v>
      </c>
      <c r="V2353" s="8">
        <f>855*16.3/1000</f>
        <v>13.936500000000001</v>
      </c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>
        <v>576.02</v>
      </c>
      <c r="AU2353" s="8"/>
      <c r="AV2353" s="8"/>
      <c r="AW2353" s="8">
        <v>36.869999999999997</v>
      </c>
      <c r="AX2353" s="8"/>
      <c r="AY2353" s="8"/>
      <c r="AZ2353" s="8"/>
      <c r="BA2353" s="8"/>
      <c r="BB2353" s="8"/>
      <c r="BC2353" s="8"/>
      <c r="BD2353" s="8"/>
      <c r="BE2353" s="8"/>
      <c r="BF2353" s="8">
        <v>45.67</v>
      </c>
      <c r="BG2353" s="8">
        <v>42.51</v>
      </c>
      <c r="BH2353" s="9">
        <f t="shared" si="324"/>
        <v>1425.38</v>
      </c>
      <c r="BI2353" s="9">
        <f t="shared" si="325"/>
        <v>1.49</v>
      </c>
      <c r="BJ2353" s="9">
        <f t="shared" si="326"/>
        <v>6.84</v>
      </c>
      <c r="BK2353" s="9">
        <f t="shared" si="327"/>
        <v>25.346499999999999</v>
      </c>
      <c r="BL2353" s="9">
        <f t="shared" si="328"/>
        <v>0</v>
      </c>
      <c r="BM2353" s="9">
        <f t="shared" si="329"/>
        <v>0</v>
      </c>
      <c r="BN2353" s="9">
        <f t="shared" si="330"/>
        <v>576.02</v>
      </c>
      <c r="BO2353" s="9">
        <f t="shared" si="331"/>
        <v>36.869999999999997</v>
      </c>
      <c r="BP2353" s="9">
        <f t="shared" si="332"/>
        <v>45.67</v>
      </c>
    </row>
    <row r="2354" spans="1:68">
      <c r="A2354" s="6">
        <v>44960</v>
      </c>
      <c r="B2354" s="7">
        <v>3701</v>
      </c>
      <c r="C2354" s="8">
        <f>89.14+100.39+134.63</f>
        <v>324.15999999999997</v>
      </c>
      <c r="D2354" s="8"/>
      <c r="E2354" s="8"/>
      <c r="F2354" s="8"/>
      <c r="G2354" s="8"/>
      <c r="H2354" s="8"/>
      <c r="I2354" s="8"/>
      <c r="J2354" s="8">
        <f>48104*10.91/1000</f>
        <v>524.81464000000005</v>
      </c>
      <c r="K2354" s="8"/>
      <c r="L2354" s="8"/>
      <c r="M2354" s="8"/>
      <c r="N2354" s="8">
        <f>0.55+0.62+0.83</f>
        <v>2</v>
      </c>
      <c r="O2354" s="8"/>
      <c r="P2354" s="8"/>
      <c r="Q2354" s="8"/>
      <c r="R2354" s="8"/>
      <c r="S2354" s="8">
        <f>1+0.81+0.72</f>
        <v>2.5300000000000002</v>
      </c>
      <c r="T2354" s="8"/>
      <c r="U2354" s="8">
        <f>1.44+1.62+2.19</f>
        <v>5.25</v>
      </c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>
        <f>4.82+5.42+7.3</f>
        <v>17.54</v>
      </c>
      <c r="AH2354" s="8"/>
      <c r="AI2354" s="8"/>
      <c r="AJ2354" s="8">
        <f>2431*10.91/1000</f>
        <v>26.522209999999998</v>
      </c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>
        <f>84.43+95.3+128.86</f>
        <v>308.59000000000003</v>
      </c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>
        <f>5.78+6.54+8.7</f>
        <v>21.02</v>
      </c>
      <c r="BH2354" s="9">
        <f t="shared" si="324"/>
        <v>848.97464000000002</v>
      </c>
      <c r="BI2354" s="9">
        <f t="shared" si="325"/>
        <v>2</v>
      </c>
      <c r="BJ2354" s="9">
        <f t="shared" si="326"/>
        <v>2.5300000000000002</v>
      </c>
      <c r="BK2354" s="9">
        <f t="shared" si="327"/>
        <v>5.25</v>
      </c>
      <c r="BL2354" s="9">
        <f t="shared" si="328"/>
        <v>0</v>
      </c>
      <c r="BM2354" s="9">
        <f t="shared" si="329"/>
        <v>44.062209999999993</v>
      </c>
      <c r="BN2354" s="9">
        <f t="shared" si="330"/>
        <v>308.59000000000003</v>
      </c>
      <c r="BO2354" s="9">
        <f t="shared" si="331"/>
        <v>0</v>
      </c>
      <c r="BP2354" s="9">
        <f t="shared" si="332"/>
        <v>0</v>
      </c>
    </row>
    <row r="2355" spans="1:68">
      <c r="A2355" s="6">
        <v>44960</v>
      </c>
      <c r="B2355" s="7">
        <v>3705</v>
      </c>
      <c r="C2355" s="8"/>
      <c r="D2355" s="8">
        <f>272.22+1171.93</f>
        <v>1444.15</v>
      </c>
      <c r="E2355" s="8"/>
      <c r="F2355" s="8"/>
      <c r="G2355" s="8"/>
      <c r="H2355" s="8"/>
      <c r="I2355" s="8">
        <f>256.79+60.97</f>
        <v>317.76</v>
      </c>
      <c r="J2355" s="8"/>
      <c r="K2355" s="8"/>
      <c r="L2355" s="8"/>
      <c r="M2355" s="8">
        <f>4.28+0.99</f>
        <v>5.2700000000000005</v>
      </c>
      <c r="N2355" s="8"/>
      <c r="O2355" s="8"/>
      <c r="P2355" s="8"/>
      <c r="Q2355" s="8"/>
      <c r="R2355" s="8"/>
      <c r="S2355" s="8">
        <f>5+1.16</f>
        <v>6.16</v>
      </c>
      <c r="T2355" s="8"/>
      <c r="U2355" s="8">
        <f>10+2.32</f>
        <v>12.32</v>
      </c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>
        <f>19.62+85.41</f>
        <v>105.03</v>
      </c>
      <c r="AU2355" s="8">
        <f>170.23+39.43</f>
        <v>209.66</v>
      </c>
      <c r="AV2355" s="8">
        <f>2.86+0.66</f>
        <v>3.52</v>
      </c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>
        <f>14.03+3.25</f>
        <v>17.28</v>
      </c>
      <c r="BH2355" s="9">
        <f t="shared" si="324"/>
        <v>1761.91</v>
      </c>
      <c r="BI2355" s="9">
        <f t="shared" si="325"/>
        <v>5.2700000000000005</v>
      </c>
      <c r="BJ2355" s="9">
        <f t="shared" si="326"/>
        <v>6.16</v>
      </c>
      <c r="BK2355" s="9">
        <f t="shared" si="327"/>
        <v>12.32</v>
      </c>
      <c r="BL2355" s="9">
        <f t="shared" si="328"/>
        <v>0</v>
      </c>
      <c r="BM2355" s="9">
        <f t="shared" si="329"/>
        <v>0</v>
      </c>
      <c r="BN2355" s="9">
        <f t="shared" si="330"/>
        <v>314.69</v>
      </c>
      <c r="BO2355" s="9">
        <f t="shared" si="331"/>
        <v>3.52</v>
      </c>
      <c r="BP2355" s="9">
        <f t="shared" si="332"/>
        <v>0</v>
      </c>
    </row>
    <row r="2356" spans="1:68">
      <c r="A2356" s="6">
        <v>44963</v>
      </c>
      <c r="B2356" s="7">
        <v>3200</v>
      </c>
      <c r="C2356" s="8">
        <v>2265.0300000000002</v>
      </c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>
        <v>5.7</v>
      </c>
      <c r="P2356" s="8"/>
      <c r="Q2356" s="8"/>
      <c r="R2356" s="8"/>
      <c r="S2356" s="8">
        <v>8.89</v>
      </c>
      <c r="T2356" s="8"/>
      <c r="U2356" s="8">
        <v>34.21</v>
      </c>
      <c r="V2356" s="8"/>
      <c r="W2356" s="8"/>
      <c r="X2356" s="8"/>
      <c r="Y2356" s="8"/>
      <c r="Z2356" s="8">
        <v>478.59</v>
      </c>
      <c r="AA2356" s="8"/>
      <c r="AB2356" s="8"/>
      <c r="AC2356" s="8"/>
      <c r="AD2356" s="8"/>
      <c r="AE2356" s="8"/>
      <c r="AF2356" s="8">
        <v>113.59</v>
      </c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>
        <v>1555.42</v>
      </c>
      <c r="AU2356" s="8"/>
      <c r="AV2356" s="8"/>
      <c r="AW2356" s="8">
        <v>6.53</v>
      </c>
      <c r="AX2356" s="8"/>
      <c r="AY2356" s="8"/>
      <c r="AZ2356" s="8"/>
      <c r="BA2356" s="8"/>
      <c r="BB2356" s="8"/>
      <c r="BC2356" s="8"/>
      <c r="BD2356" s="8"/>
      <c r="BE2356" s="8"/>
      <c r="BF2356" s="8">
        <v>109.01</v>
      </c>
      <c r="BG2356" s="8">
        <v>112.79</v>
      </c>
      <c r="BH2356" s="9">
        <f t="shared" si="324"/>
        <v>2265.0300000000002</v>
      </c>
      <c r="BI2356" s="9">
        <f t="shared" si="325"/>
        <v>5.7</v>
      </c>
      <c r="BJ2356" s="9">
        <f t="shared" si="326"/>
        <v>8.89</v>
      </c>
      <c r="BK2356" s="9">
        <f t="shared" si="327"/>
        <v>34.21</v>
      </c>
      <c r="BL2356" s="9">
        <f t="shared" si="328"/>
        <v>478.59</v>
      </c>
      <c r="BM2356" s="9">
        <f t="shared" si="329"/>
        <v>113.59</v>
      </c>
      <c r="BN2356" s="9">
        <f t="shared" si="330"/>
        <v>1555.42</v>
      </c>
      <c r="BO2356" s="9">
        <f t="shared" si="331"/>
        <v>6.53</v>
      </c>
      <c r="BP2356" s="9">
        <f t="shared" si="332"/>
        <v>109.01</v>
      </c>
    </row>
    <row r="2357" spans="1:68">
      <c r="A2357" s="6">
        <v>44963</v>
      </c>
      <c r="B2357" s="7">
        <v>3141</v>
      </c>
      <c r="C2357" s="8">
        <v>1254.1199999999999</v>
      </c>
      <c r="D2357" s="8">
        <v>221.4</v>
      </c>
      <c r="E2357" s="8"/>
      <c r="F2357" s="8"/>
      <c r="G2357" s="8"/>
      <c r="H2357" s="8"/>
      <c r="I2357" s="8"/>
      <c r="J2357" s="8"/>
      <c r="K2357" s="8"/>
      <c r="L2357" s="8"/>
      <c r="M2357" s="8">
        <v>4.29</v>
      </c>
      <c r="N2357" s="8"/>
      <c r="O2357" s="8"/>
      <c r="P2357" s="8"/>
      <c r="Q2357" s="8"/>
      <c r="R2357" s="8"/>
      <c r="S2357" s="8">
        <v>6.94</v>
      </c>
      <c r="T2357" s="8"/>
      <c r="U2357" s="8">
        <v>22.16</v>
      </c>
      <c r="V2357" s="8"/>
      <c r="W2357" s="8"/>
      <c r="X2357" s="8"/>
      <c r="Y2357" s="8"/>
      <c r="Z2357" s="8"/>
      <c r="AA2357" s="8"/>
      <c r="AB2357" s="8"/>
      <c r="AC2357" s="8">
        <v>5.91</v>
      </c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>
        <v>974.92</v>
      </c>
      <c r="AU2357" s="8"/>
      <c r="AV2357" s="8"/>
      <c r="AW2357" s="8"/>
      <c r="AX2357" s="8"/>
      <c r="AY2357" s="8"/>
      <c r="AZ2357" s="8"/>
      <c r="BA2357" s="8">
        <v>33.85</v>
      </c>
      <c r="BB2357" s="8"/>
      <c r="BC2357" s="8"/>
      <c r="BD2357" s="8"/>
      <c r="BE2357" s="8"/>
      <c r="BF2357" s="8">
        <v>103.39</v>
      </c>
      <c r="BG2357" s="8">
        <v>76.569999999999993</v>
      </c>
      <c r="BH2357" s="9">
        <f t="shared" si="324"/>
        <v>1475.52</v>
      </c>
      <c r="BI2357" s="9">
        <f t="shared" si="325"/>
        <v>4.29</v>
      </c>
      <c r="BJ2357" s="9">
        <f t="shared" si="326"/>
        <v>6.94</v>
      </c>
      <c r="BK2357" s="9">
        <f t="shared" si="327"/>
        <v>22.16</v>
      </c>
      <c r="BL2357" s="9">
        <f t="shared" si="328"/>
        <v>0</v>
      </c>
      <c r="BM2357" s="9">
        <f t="shared" si="329"/>
        <v>5.91</v>
      </c>
      <c r="BN2357" s="9">
        <f t="shared" si="330"/>
        <v>974.92</v>
      </c>
      <c r="BO2357" s="9">
        <f t="shared" si="331"/>
        <v>33.85</v>
      </c>
      <c r="BP2357" s="9">
        <f t="shared" si="332"/>
        <v>103.39</v>
      </c>
    </row>
    <row r="2358" spans="1:68">
      <c r="A2358" s="6">
        <v>44963</v>
      </c>
      <c r="B2358" s="7">
        <v>3106</v>
      </c>
      <c r="C2358" s="8">
        <v>4160.8900000000003</v>
      </c>
      <c r="D2358" s="8"/>
      <c r="E2358" s="8"/>
      <c r="F2358" s="8"/>
      <c r="G2358" s="8"/>
      <c r="H2358" s="8"/>
      <c r="I2358" s="8"/>
      <c r="J2358" s="8"/>
      <c r="K2358" s="8"/>
      <c r="L2358" s="8"/>
      <c r="M2358" s="8">
        <v>10.86</v>
      </c>
      <c r="N2358" s="8"/>
      <c r="O2358" s="8"/>
      <c r="P2358" s="8"/>
      <c r="Q2358" s="8"/>
      <c r="R2358" s="8"/>
      <c r="S2358" s="8">
        <v>12.5</v>
      </c>
      <c r="T2358" s="8"/>
      <c r="U2358" s="8">
        <v>52.9</v>
      </c>
      <c r="V2358" s="8"/>
      <c r="W2358" s="8"/>
      <c r="X2358" s="8"/>
      <c r="Y2358" s="8"/>
      <c r="Z2358" s="8"/>
      <c r="AA2358" s="8"/>
      <c r="AB2358" s="8"/>
      <c r="AC2358" s="8">
        <v>10.41</v>
      </c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>
        <v>2372.16</v>
      </c>
      <c r="AU2358" s="8"/>
      <c r="AV2358" s="8"/>
      <c r="AW2358" s="8"/>
      <c r="AX2358" s="8">
        <v>5.21</v>
      </c>
      <c r="AY2358" s="8"/>
      <c r="AZ2358" s="8"/>
      <c r="BA2358" s="8"/>
      <c r="BB2358" s="8"/>
      <c r="BC2358" s="8"/>
      <c r="BD2358" s="8"/>
      <c r="BE2358" s="8"/>
      <c r="BF2358" s="8"/>
      <c r="BG2358" s="8">
        <v>178.94</v>
      </c>
      <c r="BH2358" s="9">
        <f t="shared" si="324"/>
        <v>4160.8900000000003</v>
      </c>
      <c r="BI2358" s="9">
        <f t="shared" si="325"/>
        <v>10.86</v>
      </c>
      <c r="BJ2358" s="9">
        <f t="shared" si="326"/>
        <v>12.5</v>
      </c>
      <c r="BK2358" s="9">
        <f t="shared" si="327"/>
        <v>52.9</v>
      </c>
      <c r="BL2358" s="9">
        <f t="shared" si="328"/>
        <v>0</v>
      </c>
      <c r="BM2358" s="9">
        <f t="shared" si="329"/>
        <v>10.41</v>
      </c>
      <c r="BN2358" s="9">
        <f t="shared" si="330"/>
        <v>2372.16</v>
      </c>
      <c r="BO2358" s="9">
        <f t="shared" si="331"/>
        <v>5.21</v>
      </c>
      <c r="BP2358" s="9">
        <f t="shared" si="332"/>
        <v>0</v>
      </c>
    </row>
    <row r="2359" spans="1:68">
      <c r="A2359" s="6">
        <v>44963</v>
      </c>
      <c r="B2359" s="7">
        <v>3016</v>
      </c>
      <c r="C2359" s="8"/>
      <c r="D2359" s="8">
        <v>1596.61</v>
      </c>
      <c r="E2359" s="8"/>
      <c r="F2359" s="8"/>
      <c r="G2359" s="8"/>
      <c r="H2359" s="8"/>
      <c r="I2359" s="8">
        <v>1473.97</v>
      </c>
      <c r="J2359" s="8"/>
      <c r="K2359" s="8"/>
      <c r="L2359" s="8"/>
      <c r="M2359" s="8"/>
      <c r="N2359" s="8">
        <v>18.420000000000002</v>
      </c>
      <c r="O2359" s="8"/>
      <c r="P2359" s="8"/>
      <c r="Q2359" s="8"/>
      <c r="R2359" s="8"/>
      <c r="S2359" s="8">
        <v>2.15</v>
      </c>
      <c r="T2359" s="8"/>
      <c r="U2359" s="8"/>
      <c r="V2359" s="8"/>
      <c r="W2359" s="8">
        <v>30.73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>
        <v>12.29</v>
      </c>
      <c r="AN2359" s="8">
        <f>2053*18.07/1000</f>
        <v>37.097709999999999</v>
      </c>
      <c r="AO2359" s="8"/>
      <c r="AP2359" s="8"/>
      <c r="AQ2359" s="8"/>
      <c r="AR2359" s="8">
        <f>4316*18.07/1000</f>
        <v>77.99011999999999</v>
      </c>
      <c r="AS2359" s="8"/>
      <c r="AT2359" s="8">
        <v>1142.3499999999999</v>
      </c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>
        <v>83.6</v>
      </c>
      <c r="BH2359" s="9">
        <f t="shared" si="324"/>
        <v>3070.58</v>
      </c>
      <c r="BI2359" s="9">
        <f t="shared" si="325"/>
        <v>18.420000000000002</v>
      </c>
      <c r="BJ2359" s="9">
        <f t="shared" si="326"/>
        <v>2.15</v>
      </c>
      <c r="BK2359" s="9">
        <f t="shared" si="327"/>
        <v>30.73</v>
      </c>
      <c r="BL2359" s="9">
        <f t="shared" si="328"/>
        <v>0</v>
      </c>
      <c r="BM2359" s="9">
        <f t="shared" si="329"/>
        <v>127.37782999999999</v>
      </c>
      <c r="BN2359" s="9">
        <f t="shared" si="330"/>
        <v>1142.3499999999999</v>
      </c>
      <c r="BO2359" s="9">
        <f t="shared" si="331"/>
        <v>0</v>
      </c>
      <c r="BP2359" s="9">
        <f t="shared" si="332"/>
        <v>0</v>
      </c>
    </row>
    <row r="2360" spans="1:68">
      <c r="A2360" s="6">
        <v>44963</v>
      </c>
      <c r="B2360" s="7">
        <v>3009</v>
      </c>
      <c r="C2360" s="8"/>
      <c r="D2360" s="8">
        <v>387.63</v>
      </c>
      <c r="E2360" s="8"/>
      <c r="F2360" s="8">
        <v>217</v>
      </c>
      <c r="G2360" s="8"/>
      <c r="H2360" s="8"/>
      <c r="I2360" s="8">
        <v>202.05</v>
      </c>
      <c r="J2360" s="8"/>
      <c r="K2360" s="8"/>
      <c r="L2360" s="8"/>
      <c r="M2360" s="8"/>
      <c r="N2360" s="8">
        <v>5.8</v>
      </c>
      <c r="O2360" s="8"/>
      <c r="P2360" s="8"/>
      <c r="Q2360" s="8"/>
      <c r="R2360" s="8"/>
      <c r="S2360" s="8">
        <v>0.49</v>
      </c>
      <c r="T2360" s="8"/>
      <c r="U2360" s="8"/>
      <c r="V2360" s="8"/>
      <c r="W2360" s="8">
        <v>6.47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>
        <v>2.83</v>
      </c>
      <c r="AN2360" s="8">
        <f>1531*5.37/1000</f>
        <v>8.2214700000000001</v>
      </c>
      <c r="AO2360" s="8"/>
      <c r="AP2360" s="8"/>
      <c r="AQ2360" s="8"/>
      <c r="AR2360" s="8">
        <f>5264*5.37/1000</f>
        <v>28.267679999999999</v>
      </c>
      <c r="AS2360" s="8"/>
      <c r="AT2360" s="8">
        <v>303.07</v>
      </c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>
        <v>22.24</v>
      </c>
      <c r="BH2360" s="9">
        <f t="shared" si="324"/>
        <v>806.68000000000006</v>
      </c>
      <c r="BI2360" s="9">
        <f t="shared" si="325"/>
        <v>5.8</v>
      </c>
      <c r="BJ2360" s="9">
        <f t="shared" si="326"/>
        <v>0.49</v>
      </c>
      <c r="BK2360" s="9">
        <f t="shared" si="327"/>
        <v>6.47</v>
      </c>
      <c r="BL2360" s="9">
        <f t="shared" si="328"/>
        <v>0</v>
      </c>
      <c r="BM2360" s="9">
        <f t="shared" si="329"/>
        <v>39.31915</v>
      </c>
      <c r="BN2360" s="9">
        <f t="shared" si="330"/>
        <v>303.07</v>
      </c>
      <c r="BO2360" s="9">
        <f t="shared" si="331"/>
        <v>0</v>
      </c>
      <c r="BP2360" s="9">
        <f t="shared" si="332"/>
        <v>0</v>
      </c>
    </row>
    <row r="2361" spans="1:68">
      <c r="A2361" s="6">
        <v>44963</v>
      </c>
      <c r="B2361" s="7">
        <v>3021</v>
      </c>
      <c r="C2361" s="8"/>
      <c r="D2361" s="8">
        <v>345.17</v>
      </c>
      <c r="E2361" s="8"/>
      <c r="F2361" s="8"/>
      <c r="G2361" s="8"/>
      <c r="H2361" s="8"/>
      <c r="I2361" s="8">
        <v>641.54999999999995</v>
      </c>
      <c r="J2361" s="8"/>
      <c r="K2361" s="8"/>
      <c r="L2361" s="8"/>
      <c r="M2361" s="8"/>
      <c r="N2361" s="8">
        <v>5.23</v>
      </c>
      <c r="O2361" s="8"/>
      <c r="P2361" s="8"/>
      <c r="Q2361" s="8"/>
      <c r="R2361" s="8"/>
      <c r="S2361" s="8">
        <v>1.77</v>
      </c>
      <c r="T2361" s="8"/>
      <c r="U2361" s="8"/>
      <c r="V2361" s="8"/>
      <c r="W2361" s="8">
        <v>9.89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>
        <v>9.85</v>
      </c>
      <c r="AN2361" s="8"/>
      <c r="AO2361" s="8"/>
      <c r="AP2361" s="8"/>
      <c r="AQ2361" s="8"/>
      <c r="AR2361" s="8"/>
      <c r="AS2361" s="8">
        <f>2671*9.4/1000</f>
        <v>25.107400000000002</v>
      </c>
      <c r="AT2361" s="8">
        <v>465.94</v>
      </c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>
        <v>35.24</v>
      </c>
      <c r="BH2361" s="9">
        <f t="shared" si="324"/>
        <v>986.72</v>
      </c>
      <c r="BI2361" s="9">
        <f t="shared" si="325"/>
        <v>5.23</v>
      </c>
      <c r="BJ2361" s="9">
        <f t="shared" si="326"/>
        <v>1.77</v>
      </c>
      <c r="BK2361" s="9">
        <f t="shared" si="327"/>
        <v>9.89</v>
      </c>
      <c r="BL2361" s="9">
        <f t="shared" si="328"/>
        <v>0</v>
      </c>
      <c r="BM2361" s="9">
        <f t="shared" si="329"/>
        <v>34.9574</v>
      </c>
      <c r="BN2361" s="9">
        <f t="shared" si="330"/>
        <v>465.94</v>
      </c>
      <c r="BO2361" s="9">
        <f t="shared" si="331"/>
        <v>0</v>
      </c>
      <c r="BP2361" s="9">
        <f t="shared" si="332"/>
        <v>0</v>
      </c>
    </row>
    <row r="2362" spans="1:68">
      <c r="A2362" s="6">
        <v>44963</v>
      </c>
      <c r="B2362" s="7">
        <v>3023</v>
      </c>
      <c r="C2362" s="8"/>
      <c r="D2362" s="8">
        <v>1638.89</v>
      </c>
      <c r="E2362" s="8"/>
      <c r="F2362" s="8"/>
      <c r="G2362" s="8"/>
      <c r="H2362" s="8"/>
      <c r="I2362" s="8">
        <v>886</v>
      </c>
      <c r="J2362" s="8"/>
      <c r="K2362" s="8"/>
      <c r="L2362" s="8"/>
      <c r="M2362" s="8"/>
      <c r="N2362" s="8">
        <v>14.13</v>
      </c>
      <c r="O2362" s="8"/>
      <c r="P2362" s="8"/>
      <c r="Q2362" s="8"/>
      <c r="R2362" s="8"/>
      <c r="S2362" s="8">
        <v>4.04</v>
      </c>
      <c r="T2362" s="8"/>
      <c r="U2362" s="8"/>
      <c r="V2362" s="8"/>
      <c r="W2362" s="8">
        <v>22.77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>
        <v>25.24</v>
      </c>
      <c r="AN2362" s="8">
        <f>1008*17.42/1000</f>
        <v>17.559360000000002</v>
      </c>
      <c r="AO2362" s="8"/>
      <c r="AP2362" s="8"/>
      <c r="AQ2362" s="8"/>
      <c r="AR2362" s="8"/>
      <c r="AS2362" s="8">
        <f>4776*17.42/1000</f>
        <v>83.197920000000011</v>
      </c>
      <c r="AT2362" s="8">
        <v>1036.93</v>
      </c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>
        <v>78.260000000000005</v>
      </c>
      <c r="BH2362" s="9">
        <f t="shared" si="324"/>
        <v>2524.8900000000003</v>
      </c>
      <c r="BI2362" s="9">
        <f t="shared" si="325"/>
        <v>14.13</v>
      </c>
      <c r="BJ2362" s="9">
        <f t="shared" si="326"/>
        <v>4.04</v>
      </c>
      <c r="BK2362" s="9">
        <f t="shared" si="327"/>
        <v>22.77</v>
      </c>
      <c r="BL2362" s="9">
        <f t="shared" si="328"/>
        <v>0</v>
      </c>
      <c r="BM2362" s="9">
        <f t="shared" si="329"/>
        <v>125.99728000000002</v>
      </c>
      <c r="BN2362" s="9">
        <f t="shared" si="330"/>
        <v>1036.93</v>
      </c>
      <c r="BO2362" s="9">
        <f t="shared" si="331"/>
        <v>0</v>
      </c>
      <c r="BP2362" s="9">
        <f t="shared" si="332"/>
        <v>0</v>
      </c>
    </row>
    <row r="2363" spans="1:68">
      <c r="A2363" s="6">
        <v>44963</v>
      </c>
      <c r="B2363" s="7">
        <v>3139</v>
      </c>
      <c r="C2363" s="8">
        <f>815.32+861.56</f>
        <v>1676.88</v>
      </c>
      <c r="D2363" s="8"/>
      <c r="E2363" s="8"/>
      <c r="F2363" s="8"/>
      <c r="G2363" s="8"/>
      <c r="H2363" s="8">
        <f>338.27+357.64</f>
        <v>695.91</v>
      </c>
      <c r="I2363" s="8"/>
      <c r="J2363" s="8"/>
      <c r="K2363" s="8"/>
      <c r="L2363" s="8"/>
      <c r="M2363" s="8">
        <f>1.91+2.02</f>
        <v>3.9299999999999997</v>
      </c>
      <c r="N2363" s="8"/>
      <c r="O2363" s="8"/>
      <c r="P2363" s="8"/>
      <c r="Q2363" s="8"/>
      <c r="R2363" s="8"/>
      <c r="S2363" s="8">
        <f>3.61+3.82</f>
        <v>7.43</v>
      </c>
      <c r="T2363" s="8"/>
      <c r="U2363" s="8">
        <f>12.04+12.72</f>
        <v>24.759999999999998</v>
      </c>
      <c r="V2363" s="8"/>
      <c r="W2363" s="8"/>
      <c r="X2363" s="8"/>
      <c r="Y2363" s="8"/>
      <c r="Z2363" s="8"/>
      <c r="AA2363" s="8"/>
      <c r="AB2363" s="8"/>
      <c r="AC2363" s="8">
        <f>4.02+4.24</f>
        <v>8.26</v>
      </c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>
        <f>593.65+629.14</f>
        <v>1222.79</v>
      </c>
      <c r="AU2363" s="8"/>
      <c r="AV2363" s="8">
        <f>20.06+21.23</f>
        <v>41.29</v>
      </c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>
        <f>43.17+45.63</f>
        <v>88.800000000000011</v>
      </c>
      <c r="BH2363" s="9">
        <f t="shared" si="324"/>
        <v>2372.79</v>
      </c>
      <c r="BI2363" s="9">
        <f t="shared" si="325"/>
        <v>3.9299999999999997</v>
      </c>
      <c r="BJ2363" s="9">
        <f t="shared" si="326"/>
        <v>7.43</v>
      </c>
      <c r="BK2363" s="9">
        <f t="shared" si="327"/>
        <v>24.759999999999998</v>
      </c>
      <c r="BL2363" s="9">
        <f t="shared" si="328"/>
        <v>0</v>
      </c>
      <c r="BM2363" s="9">
        <f t="shared" si="329"/>
        <v>8.26</v>
      </c>
      <c r="BN2363" s="9">
        <f t="shared" si="330"/>
        <v>1222.79</v>
      </c>
      <c r="BO2363" s="9">
        <f t="shared" si="331"/>
        <v>41.29</v>
      </c>
      <c r="BP2363" s="9">
        <f t="shared" si="332"/>
        <v>0</v>
      </c>
    </row>
    <row r="2364" spans="1:68">
      <c r="A2364" s="6">
        <v>44963</v>
      </c>
      <c r="B2364" s="7">
        <v>3701</v>
      </c>
      <c r="C2364" s="8"/>
      <c r="D2364" s="8"/>
      <c r="E2364" s="8"/>
      <c r="F2364" s="8"/>
      <c r="G2364" s="8"/>
      <c r="H2364" s="8"/>
      <c r="I2364" s="8">
        <f>4.56+48.78+101.99+85.57+30.36+45.34+67.94</f>
        <v>384.54</v>
      </c>
      <c r="J2364" s="8"/>
      <c r="K2364" s="8"/>
      <c r="L2364" s="8"/>
      <c r="M2364" s="8"/>
      <c r="N2364" s="8">
        <f>0.42+0.28+0.19+0.53+0.63+0.3+0.03</f>
        <v>2.3799999999999994</v>
      </c>
      <c r="O2364" s="8"/>
      <c r="P2364" s="8"/>
      <c r="Q2364" s="8"/>
      <c r="R2364" s="8"/>
      <c r="S2364" s="8">
        <f>0.03+0.36+0.74+0.63+0.22+0.33+0.5</f>
        <v>2.8099999999999996</v>
      </c>
      <c r="T2364" s="8"/>
      <c r="U2364" s="8">
        <f>1.11+0.73+0.49+1.38+1.65+0.79+0.07</f>
        <v>6.22</v>
      </c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>
        <f>5.46+2.52</f>
        <v>7.98</v>
      </c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>
        <f>29.05+81.42+97.44+46.06+4.37+43.25+70.59</f>
        <v>372.17999999999995</v>
      </c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>
        <f>4.43+2.94+0.3+3.18+6.66+5.57+1.99</f>
        <v>25.069999999999997</v>
      </c>
      <c r="BH2364" s="9">
        <f t="shared" si="324"/>
        <v>384.54</v>
      </c>
      <c r="BI2364" s="9">
        <f t="shared" si="325"/>
        <v>2.3799999999999994</v>
      </c>
      <c r="BJ2364" s="9">
        <f t="shared" si="326"/>
        <v>2.8099999999999996</v>
      </c>
      <c r="BK2364" s="9">
        <f t="shared" si="327"/>
        <v>6.22</v>
      </c>
      <c r="BL2364" s="9">
        <f t="shared" si="328"/>
        <v>0</v>
      </c>
      <c r="BM2364" s="9">
        <f t="shared" si="329"/>
        <v>7.98</v>
      </c>
      <c r="BN2364" s="9">
        <f t="shared" si="330"/>
        <v>372.17999999999995</v>
      </c>
      <c r="BO2364" s="9">
        <f t="shared" si="331"/>
        <v>0</v>
      </c>
      <c r="BP2364" s="9">
        <f t="shared" si="332"/>
        <v>0</v>
      </c>
    </row>
    <row r="2365" spans="1:68">
      <c r="A2365" s="6">
        <v>44964</v>
      </c>
      <c r="B2365" s="7">
        <v>3141</v>
      </c>
      <c r="C2365" s="8">
        <v>2434.08</v>
      </c>
      <c r="D2365" s="8">
        <v>430.53</v>
      </c>
      <c r="E2365" s="8"/>
      <c r="F2365" s="8"/>
      <c r="G2365" s="8"/>
      <c r="H2365" s="8"/>
      <c r="I2365" s="8"/>
      <c r="J2365" s="8"/>
      <c r="K2365" s="8"/>
      <c r="L2365" s="8"/>
      <c r="M2365" s="8">
        <v>8.35</v>
      </c>
      <c r="N2365" s="8"/>
      <c r="O2365" s="8"/>
      <c r="P2365" s="8"/>
      <c r="Q2365" s="8"/>
      <c r="R2365" s="8"/>
      <c r="S2365" s="8">
        <v>13.5</v>
      </c>
      <c r="T2365" s="8"/>
      <c r="U2365" s="8">
        <v>43.11</v>
      </c>
      <c r="V2365" s="8"/>
      <c r="W2365" s="8"/>
      <c r="X2365" s="8"/>
      <c r="Y2365" s="8"/>
      <c r="Z2365" s="8"/>
      <c r="AA2365" s="8"/>
      <c r="AB2365" s="8"/>
      <c r="AC2365" s="8">
        <v>11.5</v>
      </c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>
        <v>1900.26</v>
      </c>
      <c r="AU2365" s="8"/>
      <c r="AV2365" s="8"/>
      <c r="AW2365" s="8"/>
      <c r="AX2365" s="8"/>
      <c r="AY2365" s="8"/>
      <c r="AZ2365" s="8"/>
      <c r="BA2365" s="8">
        <v>65.900000000000006</v>
      </c>
      <c r="BB2365" s="8"/>
      <c r="BC2365" s="8"/>
      <c r="BD2365" s="8"/>
      <c r="BE2365" s="8"/>
      <c r="BF2365" s="8">
        <v>200.9</v>
      </c>
      <c r="BG2365" s="8">
        <v>149.62</v>
      </c>
      <c r="BH2365" s="9">
        <f t="shared" si="324"/>
        <v>2864.6099999999997</v>
      </c>
      <c r="BI2365" s="9">
        <f t="shared" si="325"/>
        <v>8.35</v>
      </c>
      <c r="BJ2365" s="9">
        <f t="shared" si="326"/>
        <v>13.5</v>
      </c>
      <c r="BK2365" s="9">
        <f t="shared" si="327"/>
        <v>43.11</v>
      </c>
      <c r="BL2365" s="9">
        <f t="shared" si="328"/>
        <v>0</v>
      </c>
      <c r="BM2365" s="9">
        <f t="shared" si="329"/>
        <v>11.5</v>
      </c>
      <c r="BN2365" s="9">
        <f t="shared" si="330"/>
        <v>1900.26</v>
      </c>
      <c r="BO2365" s="9">
        <f t="shared" si="331"/>
        <v>65.900000000000006</v>
      </c>
      <c r="BP2365" s="9">
        <f t="shared" si="332"/>
        <v>200.9</v>
      </c>
    </row>
    <row r="2366" spans="1:68">
      <c r="A2366" s="6">
        <v>44964</v>
      </c>
      <c r="B2366" s="7">
        <v>3106</v>
      </c>
      <c r="C2366" s="8">
        <v>2115.39</v>
      </c>
      <c r="D2366" s="8"/>
      <c r="E2366" s="8"/>
      <c r="F2366" s="8"/>
      <c r="G2366" s="8"/>
      <c r="H2366" s="8"/>
      <c r="I2366" s="8"/>
      <c r="J2366" s="8"/>
      <c r="K2366" s="8"/>
      <c r="L2366" s="8"/>
      <c r="M2366" s="8">
        <v>5.5</v>
      </c>
      <c r="N2366" s="8"/>
      <c r="O2366" s="8"/>
      <c r="P2366" s="8"/>
      <c r="Q2366" s="8"/>
      <c r="R2366" s="8"/>
      <c r="S2366" s="8">
        <v>6.4</v>
      </c>
      <c r="T2366" s="8"/>
      <c r="U2366" s="8">
        <v>26.97</v>
      </c>
      <c r="V2366" s="8"/>
      <c r="W2366" s="8"/>
      <c r="X2366" s="8"/>
      <c r="Y2366" s="8"/>
      <c r="Z2366" s="8"/>
      <c r="AA2366" s="8"/>
      <c r="AB2366" s="8"/>
      <c r="AC2366" s="8">
        <v>5.3</v>
      </c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>
        <v>1207.29</v>
      </c>
      <c r="AU2366" s="8"/>
      <c r="AV2366" s="8"/>
      <c r="AW2366" s="8"/>
      <c r="AX2366" s="8">
        <v>2.65</v>
      </c>
      <c r="AY2366" s="8"/>
      <c r="AZ2366" s="8"/>
      <c r="BA2366" s="8"/>
      <c r="BB2366" s="8"/>
      <c r="BC2366" s="8"/>
      <c r="BD2366" s="8"/>
      <c r="BE2366" s="8"/>
      <c r="BF2366" s="8"/>
      <c r="BG2366" s="8">
        <v>91.44</v>
      </c>
      <c r="BH2366" s="9">
        <f t="shared" si="324"/>
        <v>2115.39</v>
      </c>
      <c r="BI2366" s="9">
        <f t="shared" si="325"/>
        <v>5.5</v>
      </c>
      <c r="BJ2366" s="9">
        <f t="shared" si="326"/>
        <v>6.4</v>
      </c>
      <c r="BK2366" s="9">
        <f t="shared" si="327"/>
        <v>26.97</v>
      </c>
      <c r="BL2366" s="9">
        <f t="shared" si="328"/>
        <v>0</v>
      </c>
      <c r="BM2366" s="9">
        <f t="shared" si="329"/>
        <v>5.3</v>
      </c>
      <c r="BN2366" s="9">
        <f t="shared" si="330"/>
        <v>1207.29</v>
      </c>
      <c r="BO2366" s="9">
        <f t="shared" si="331"/>
        <v>2.65</v>
      </c>
      <c r="BP2366" s="9">
        <f t="shared" si="332"/>
        <v>0</v>
      </c>
    </row>
    <row r="2367" spans="1:68">
      <c r="A2367" s="6">
        <v>44964</v>
      </c>
      <c r="B2367" s="7">
        <v>3121</v>
      </c>
      <c r="C2367" s="8">
        <v>2339.06</v>
      </c>
      <c r="D2367" s="8"/>
      <c r="E2367" s="8"/>
      <c r="F2367" s="8"/>
      <c r="G2367" s="8"/>
      <c r="H2367" s="8"/>
      <c r="I2367" s="8"/>
      <c r="J2367" s="8"/>
      <c r="K2367" s="8"/>
      <c r="L2367" s="8"/>
      <c r="M2367" s="8">
        <v>4.97</v>
      </c>
      <c r="N2367" s="8"/>
      <c r="O2367" s="8"/>
      <c r="P2367" s="8"/>
      <c r="Q2367" s="8"/>
      <c r="R2367" s="8"/>
      <c r="S2367" s="8">
        <v>7.5</v>
      </c>
      <c r="T2367" s="8"/>
      <c r="U2367" s="8">
        <v>23.42</v>
      </c>
      <c r="V2367" s="8"/>
      <c r="W2367" s="8"/>
      <c r="X2367" s="8"/>
      <c r="Y2367" s="8"/>
      <c r="Z2367" s="8"/>
      <c r="AA2367" s="8"/>
      <c r="AB2367" s="8"/>
      <c r="AC2367" s="8">
        <v>9.35</v>
      </c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>
        <f>2208*10.63/1000</f>
        <v>23.471040000000002</v>
      </c>
      <c r="AQ2367" s="8"/>
      <c r="AR2367" s="8"/>
      <c r="AS2367" s="8"/>
      <c r="AT2367" s="8">
        <v>1236.5</v>
      </c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>
        <v>90.99</v>
      </c>
      <c r="BH2367" s="9">
        <f t="shared" si="324"/>
        <v>2339.06</v>
      </c>
      <c r="BI2367" s="9">
        <f t="shared" si="325"/>
        <v>4.97</v>
      </c>
      <c r="BJ2367" s="9">
        <f t="shared" si="326"/>
        <v>7.5</v>
      </c>
      <c r="BK2367" s="9">
        <f t="shared" si="327"/>
        <v>23.42</v>
      </c>
      <c r="BL2367" s="9">
        <f t="shared" si="328"/>
        <v>0</v>
      </c>
      <c r="BM2367" s="9">
        <f t="shared" si="329"/>
        <v>32.821040000000004</v>
      </c>
      <c r="BN2367" s="9">
        <f t="shared" si="330"/>
        <v>1236.5</v>
      </c>
      <c r="BO2367" s="9">
        <f t="shared" si="331"/>
        <v>0</v>
      </c>
      <c r="BP2367" s="9">
        <f t="shared" si="332"/>
        <v>0</v>
      </c>
    </row>
    <row r="2368" spans="1:68">
      <c r="A2368" s="6">
        <v>44964</v>
      </c>
      <c r="B2368" s="7">
        <v>3203</v>
      </c>
      <c r="C2368" s="8">
        <v>1685.34</v>
      </c>
      <c r="D2368" s="8"/>
      <c r="E2368" s="8">
        <v>724.17</v>
      </c>
      <c r="F2368" s="8"/>
      <c r="G2368" s="8"/>
      <c r="H2368" s="8"/>
      <c r="I2368" s="8"/>
      <c r="J2368" s="8"/>
      <c r="K2368" s="8"/>
      <c r="L2368" s="8"/>
      <c r="M2368" s="8"/>
      <c r="N2368" s="8"/>
      <c r="O2368" s="8">
        <v>7.25</v>
      </c>
      <c r="P2368" s="8"/>
      <c r="Q2368" s="8"/>
      <c r="R2368" s="8"/>
      <c r="S2368" s="8">
        <v>9.43</v>
      </c>
      <c r="T2368" s="8"/>
      <c r="U2368" s="8">
        <v>29.99</v>
      </c>
      <c r="V2368" s="8"/>
      <c r="W2368" s="8"/>
      <c r="X2368" s="8"/>
      <c r="Y2368" s="8"/>
      <c r="Z2368" s="8">
        <v>380.7</v>
      </c>
      <c r="AA2368" s="8">
        <f>10397*28.43/1000</f>
        <v>295.58671000000004</v>
      </c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>
        <v>904.02</v>
      </c>
      <c r="AU2368" s="8">
        <v>451.6</v>
      </c>
      <c r="AV2368" s="8"/>
      <c r="AW2368" s="8"/>
      <c r="AX2368" s="8"/>
      <c r="AY2368" s="8"/>
      <c r="AZ2368" s="8"/>
      <c r="BA2368" s="8"/>
      <c r="BB2368" s="8"/>
      <c r="BC2368" s="8">
        <v>6.28</v>
      </c>
      <c r="BD2368" s="8"/>
      <c r="BE2368" s="8"/>
      <c r="BF2368" s="8"/>
      <c r="BG2368" s="8">
        <v>88.38</v>
      </c>
      <c r="BH2368" s="9">
        <f t="shared" si="324"/>
        <v>2409.5099999999998</v>
      </c>
      <c r="BI2368" s="9">
        <f t="shared" si="325"/>
        <v>7.25</v>
      </c>
      <c r="BJ2368" s="9">
        <f t="shared" si="326"/>
        <v>9.43</v>
      </c>
      <c r="BK2368" s="9">
        <f t="shared" si="327"/>
        <v>29.99</v>
      </c>
      <c r="BL2368" s="9">
        <f t="shared" si="328"/>
        <v>676.28671000000008</v>
      </c>
      <c r="BM2368" s="9">
        <f t="shared" si="329"/>
        <v>0</v>
      </c>
      <c r="BN2368" s="9">
        <f t="shared" si="330"/>
        <v>1355.62</v>
      </c>
      <c r="BO2368" s="9">
        <f t="shared" si="331"/>
        <v>6.28</v>
      </c>
      <c r="BP2368" s="9">
        <f t="shared" si="332"/>
        <v>0</v>
      </c>
    </row>
    <row r="2369" spans="1:68">
      <c r="A2369" s="6">
        <v>44964</v>
      </c>
      <c r="B2369" s="7">
        <v>3307</v>
      </c>
      <c r="C2369" s="8"/>
      <c r="D2369" s="8">
        <v>974.42</v>
      </c>
      <c r="E2369" s="8"/>
      <c r="F2369" s="8"/>
      <c r="G2369" s="8"/>
      <c r="H2369" s="8"/>
      <c r="I2369" s="8"/>
      <c r="J2369" s="8"/>
      <c r="K2369" s="8"/>
      <c r="L2369" s="8"/>
      <c r="M2369" s="8">
        <v>0.97</v>
      </c>
      <c r="N2369" s="8"/>
      <c r="O2369" s="8"/>
      <c r="P2369" s="8"/>
      <c r="Q2369" s="8"/>
      <c r="R2369" s="8"/>
      <c r="S2369" s="8">
        <v>6.63</v>
      </c>
      <c r="T2369" s="8"/>
      <c r="U2369" s="8">
        <v>9.75</v>
      </c>
      <c r="V2369" s="8"/>
      <c r="W2369" s="8"/>
      <c r="X2369" s="8"/>
      <c r="Y2369" s="8"/>
      <c r="Z2369" s="8"/>
      <c r="AA2369" s="8"/>
      <c r="AB2369" s="8"/>
      <c r="AC2369" s="8">
        <v>5.85</v>
      </c>
      <c r="AD2369" s="8"/>
      <c r="AE2369" s="8"/>
      <c r="AF2369" s="8"/>
      <c r="AG2369" s="8">
        <v>9.77</v>
      </c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>
        <v>488.4</v>
      </c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>
        <v>35.03</v>
      </c>
      <c r="BH2369" s="9">
        <f t="shared" si="324"/>
        <v>974.42</v>
      </c>
      <c r="BI2369" s="9">
        <f t="shared" si="325"/>
        <v>0.97</v>
      </c>
      <c r="BJ2369" s="9">
        <f t="shared" si="326"/>
        <v>6.63</v>
      </c>
      <c r="BK2369" s="9">
        <f t="shared" si="327"/>
        <v>9.75</v>
      </c>
      <c r="BL2369" s="9">
        <f t="shared" si="328"/>
        <v>0</v>
      </c>
      <c r="BM2369" s="9">
        <f t="shared" si="329"/>
        <v>15.62</v>
      </c>
      <c r="BN2369" s="9">
        <f t="shared" si="330"/>
        <v>488.4</v>
      </c>
      <c r="BO2369" s="9">
        <f t="shared" si="331"/>
        <v>0</v>
      </c>
      <c r="BP2369" s="9">
        <f t="shared" si="332"/>
        <v>0</v>
      </c>
    </row>
    <row r="2370" spans="1:68">
      <c r="A2370" s="6">
        <v>44964</v>
      </c>
      <c r="B2370" s="7">
        <v>3100</v>
      </c>
      <c r="C2370" s="8">
        <v>359.92</v>
      </c>
      <c r="D2370" s="8"/>
      <c r="E2370" s="8"/>
      <c r="F2370" s="8"/>
      <c r="G2370" s="8"/>
      <c r="H2370" s="8"/>
      <c r="I2370" s="8"/>
      <c r="J2370" s="8"/>
      <c r="K2370" s="8"/>
      <c r="L2370" s="8"/>
      <c r="M2370" s="8">
        <v>0.9</v>
      </c>
      <c r="N2370" s="8"/>
      <c r="O2370" s="8"/>
      <c r="P2370" s="8"/>
      <c r="Q2370" s="8"/>
      <c r="R2370" s="8"/>
      <c r="S2370" s="8">
        <v>2.06</v>
      </c>
      <c r="T2370" s="8"/>
      <c r="U2370" s="8">
        <v>5.8</v>
      </c>
      <c r="V2370" s="8"/>
      <c r="W2370" s="8"/>
      <c r="X2370" s="8"/>
      <c r="Y2370" s="8"/>
      <c r="Z2370" s="8"/>
      <c r="AA2370" s="8"/>
      <c r="AB2370" s="8"/>
      <c r="AC2370" s="8">
        <v>1.44</v>
      </c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>
        <v>242.7</v>
      </c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>
        <v>46.99</v>
      </c>
      <c r="BG2370" s="8">
        <v>18.600000000000001</v>
      </c>
      <c r="BH2370" s="9">
        <f t="shared" si="324"/>
        <v>359.92</v>
      </c>
      <c r="BI2370" s="9">
        <f t="shared" si="325"/>
        <v>0.9</v>
      </c>
      <c r="BJ2370" s="9">
        <f t="shared" si="326"/>
        <v>2.06</v>
      </c>
      <c r="BK2370" s="9">
        <f t="shared" si="327"/>
        <v>5.8</v>
      </c>
      <c r="BL2370" s="9">
        <f t="shared" si="328"/>
        <v>0</v>
      </c>
      <c r="BM2370" s="9">
        <f t="shared" si="329"/>
        <v>1.44</v>
      </c>
      <c r="BN2370" s="9">
        <f t="shared" si="330"/>
        <v>242.7</v>
      </c>
      <c r="BO2370" s="9">
        <f t="shared" si="331"/>
        <v>0</v>
      </c>
      <c r="BP2370" s="9">
        <f t="shared" si="332"/>
        <v>46.99</v>
      </c>
    </row>
    <row r="2371" spans="1:68">
      <c r="A2371" s="6">
        <v>44964</v>
      </c>
      <c r="B2371" s="7">
        <v>3100</v>
      </c>
      <c r="C2371" s="8">
        <v>627.25</v>
      </c>
      <c r="D2371" s="8"/>
      <c r="E2371" s="8"/>
      <c r="F2371" s="8"/>
      <c r="G2371" s="8"/>
      <c r="H2371" s="8"/>
      <c r="I2371" s="8"/>
      <c r="J2371" s="8"/>
      <c r="K2371" s="8"/>
      <c r="L2371" s="8"/>
      <c r="M2371" s="8">
        <v>1.58</v>
      </c>
      <c r="N2371" s="8"/>
      <c r="O2371" s="8"/>
      <c r="P2371" s="8"/>
      <c r="Q2371" s="8"/>
      <c r="R2371" s="8"/>
      <c r="S2371" s="8">
        <v>3.58</v>
      </c>
      <c r="T2371" s="8"/>
      <c r="U2371" s="8">
        <v>10.5</v>
      </c>
      <c r="V2371" s="8"/>
      <c r="W2371" s="8"/>
      <c r="X2371" s="8"/>
      <c r="Y2371" s="8"/>
      <c r="Z2371" s="8"/>
      <c r="AA2371" s="8"/>
      <c r="AB2371" s="8"/>
      <c r="AC2371" s="8">
        <v>2.5099999999999998</v>
      </c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>
        <v>422.65</v>
      </c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>
        <v>81.64</v>
      </c>
      <c r="BG2371" s="8">
        <v>32.35</v>
      </c>
      <c r="BH2371" s="9">
        <f t="shared" si="324"/>
        <v>627.25</v>
      </c>
      <c r="BI2371" s="9">
        <f t="shared" si="325"/>
        <v>1.58</v>
      </c>
      <c r="BJ2371" s="9">
        <f t="shared" si="326"/>
        <v>3.58</v>
      </c>
      <c r="BK2371" s="9">
        <f t="shared" si="327"/>
        <v>10.5</v>
      </c>
      <c r="BL2371" s="9">
        <f t="shared" si="328"/>
        <v>0</v>
      </c>
      <c r="BM2371" s="9">
        <f t="shared" si="329"/>
        <v>2.5099999999999998</v>
      </c>
      <c r="BN2371" s="9">
        <f t="shared" si="330"/>
        <v>422.65</v>
      </c>
      <c r="BO2371" s="9">
        <f t="shared" si="331"/>
        <v>0</v>
      </c>
      <c r="BP2371" s="9">
        <f t="shared" si="332"/>
        <v>81.64</v>
      </c>
    </row>
    <row r="2372" spans="1:68">
      <c r="A2372" s="6">
        <v>44964</v>
      </c>
      <c r="B2372" s="7">
        <v>3122</v>
      </c>
      <c r="C2372" s="8">
        <v>1450.02</v>
      </c>
      <c r="D2372" s="8"/>
      <c r="E2372" s="8"/>
      <c r="F2372" s="8"/>
      <c r="G2372" s="8"/>
      <c r="H2372" s="8"/>
      <c r="I2372" s="8"/>
      <c r="J2372" s="8"/>
      <c r="K2372" s="8"/>
      <c r="L2372" s="8"/>
      <c r="M2372" s="8">
        <v>2.61</v>
      </c>
      <c r="N2372" s="8">
        <v>2.6</v>
      </c>
      <c r="O2372" s="8"/>
      <c r="P2372" s="8"/>
      <c r="Q2372" s="11"/>
      <c r="R2372" s="11"/>
      <c r="S2372" s="8">
        <v>5.95</v>
      </c>
      <c r="T2372" s="8"/>
      <c r="U2372" s="8">
        <v>14.5</v>
      </c>
      <c r="V2372" s="8"/>
      <c r="W2372" s="8"/>
      <c r="X2372" s="8"/>
      <c r="Y2372" s="8"/>
      <c r="Z2372" s="8"/>
      <c r="AA2372" s="8"/>
      <c r="AB2372" s="8"/>
      <c r="AC2372" s="8">
        <v>5.79</v>
      </c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11"/>
      <c r="AQ2372" s="8"/>
      <c r="AR2372" s="8"/>
      <c r="AS2372" s="8"/>
      <c r="AT2372" s="8">
        <v>642.47</v>
      </c>
      <c r="AU2372" s="8"/>
      <c r="AV2372" s="8">
        <v>49.29</v>
      </c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>
        <v>47.14</v>
      </c>
      <c r="BH2372" s="9">
        <f t="shared" ref="BH2372:BH2435" si="333">SUM(C2372:L2372)</f>
        <v>1450.02</v>
      </c>
      <c r="BI2372" s="9">
        <f t="shared" ref="BI2372:BI2435" si="334">SUM(M2372:R2372)</f>
        <v>5.21</v>
      </c>
      <c r="BJ2372" s="9">
        <f t="shared" ref="BJ2372:BJ2435" si="335">SUM(S2372)</f>
        <v>5.95</v>
      </c>
      <c r="BK2372" s="9">
        <f t="shared" ref="BK2372:BK2435" si="336">SUM(T2372:Y2372)</f>
        <v>14.5</v>
      </c>
      <c r="BL2372" s="9">
        <f t="shared" ref="BL2372:BL2435" si="337">SUM(Z2372:AA2372)</f>
        <v>0</v>
      </c>
      <c r="BM2372" s="9">
        <f t="shared" ref="BM2372:BM2435" si="338">SUM(AB2372:AS2372)</f>
        <v>5.79</v>
      </c>
      <c r="BN2372" s="9">
        <f t="shared" ref="BN2372:BN2435" si="339">SUM(AT2372:AU2372)</f>
        <v>642.47</v>
      </c>
      <c r="BO2372" s="9">
        <f t="shared" ref="BO2372:BO2435" si="340">SUM(AV2372:BE2372)</f>
        <v>49.29</v>
      </c>
      <c r="BP2372" s="9">
        <f t="shared" ref="BP2372:BP2435" si="341">SUM(BF2372)</f>
        <v>0</v>
      </c>
    </row>
    <row r="2373" spans="1:68">
      <c r="A2373" s="6">
        <v>44964</v>
      </c>
      <c r="B2373" s="7">
        <v>3601</v>
      </c>
      <c r="C2373" s="8">
        <v>290.95</v>
      </c>
      <c r="D2373" s="8"/>
      <c r="E2373" s="8"/>
      <c r="F2373" s="8"/>
      <c r="G2373" s="8">
        <v>436.11</v>
      </c>
      <c r="H2373" s="8"/>
      <c r="I2373" s="8"/>
      <c r="J2373" s="8"/>
      <c r="K2373" s="8"/>
      <c r="L2373" s="8"/>
      <c r="M2373" s="8">
        <v>0.87</v>
      </c>
      <c r="N2373" s="8"/>
      <c r="O2373" s="8"/>
      <c r="P2373" s="8"/>
      <c r="Q2373" s="11"/>
      <c r="R2373" s="11"/>
      <c r="S2373" s="8">
        <v>3.49</v>
      </c>
      <c r="T2373" s="8"/>
      <c r="U2373" s="8">
        <v>4.37</v>
      </c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11"/>
      <c r="AQ2373" s="8"/>
      <c r="AR2373" s="8"/>
      <c r="AS2373" s="8"/>
      <c r="AT2373" s="8">
        <v>356.05</v>
      </c>
      <c r="AU2373" s="8"/>
      <c r="AV2373" s="8"/>
      <c r="AW2373" s="8">
        <v>22.13</v>
      </c>
      <c r="AX2373" s="8"/>
      <c r="AY2373" s="8"/>
      <c r="AZ2373" s="8"/>
      <c r="BA2373" s="8"/>
      <c r="BB2373" s="8"/>
      <c r="BC2373" s="8"/>
      <c r="BD2373" s="8"/>
      <c r="BE2373" s="8"/>
      <c r="BF2373" s="8">
        <v>40.74</v>
      </c>
      <c r="BG2373" s="8">
        <v>25.9</v>
      </c>
      <c r="BH2373" s="9">
        <f t="shared" si="333"/>
        <v>727.06</v>
      </c>
      <c r="BI2373" s="9">
        <f t="shared" si="334"/>
        <v>0.87</v>
      </c>
      <c r="BJ2373" s="9">
        <f t="shared" si="335"/>
        <v>3.49</v>
      </c>
      <c r="BK2373" s="9">
        <f t="shared" si="336"/>
        <v>4.37</v>
      </c>
      <c r="BL2373" s="9">
        <f t="shared" si="337"/>
        <v>0</v>
      </c>
      <c r="BM2373" s="9">
        <f t="shared" si="338"/>
        <v>0</v>
      </c>
      <c r="BN2373" s="9">
        <f t="shared" si="339"/>
        <v>356.05</v>
      </c>
      <c r="BO2373" s="9">
        <f t="shared" si="340"/>
        <v>22.13</v>
      </c>
      <c r="BP2373" s="9">
        <f t="shared" si="341"/>
        <v>40.74</v>
      </c>
    </row>
    <row r="2374" spans="1:68">
      <c r="A2374" s="6">
        <v>44964</v>
      </c>
      <c r="B2374" s="7">
        <v>3206</v>
      </c>
      <c r="C2374" s="8">
        <v>230.11</v>
      </c>
      <c r="D2374" s="8">
        <v>414.47</v>
      </c>
      <c r="E2374" s="8">
        <v>275.94</v>
      </c>
      <c r="F2374" s="8"/>
      <c r="G2374" s="8"/>
      <c r="H2374" s="8"/>
      <c r="I2374" s="8"/>
      <c r="J2374" s="8"/>
      <c r="K2374" s="8"/>
      <c r="L2374" s="8"/>
      <c r="M2374" s="8"/>
      <c r="N2374" s="8"/>
      <c r="O2374" s="8">
        <v>1.84</v>
      </c>
      <c r="P2374" s="8"/>
      <c r="Q2374" s="8"/>
      <c r="R2374" s="8"/>
      <c r="S2374" s="8">
        <v>4.62</v>
      </c>
      <c r="T2374" s="8"/>
      <c r="U2374" s="8">
        <v>3.24</v>
      </c>
      <c r="V2374" s="8"/>
      <c r="W2374" s="8"/>
      <c r="X2374" s="8"/>
      <c r="Y2374" s="8"/>
      <c r="Z2374" s="8">
        <v>55.44</v>
      </c>
      <c r="AA2374" s="8"/>
      <c r="AB2374" s="8">
        <f>817*5.77/1000</f>
        <v>4.7140899999999997</v>
      </c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>
        <v>161.08000000000001</v>
      </c>
      <c r="AU2374" s="8">
        <v>80.5</v>
      </c>
      <c r="AV2374" s="8"/>
      <c r="AW2374" s="8">
        <v>3.52</v>
      </c>
      <c r="AX2374" s="8"/>
      <c r="AY2374" s="8"/>
      <c r="AZ2374" s="8"/>
      <c r="BA2374" s="8"/>
      <c r="BB2374" s="8"/>
      <c r="BC2374" s="8"/>
      <c r="BD2374" s="8"/>
      <c r="BE2374" s="8"/>
      <c r="BF2374" s="8"/>
      <c r="BG2374" s="8">
        <v>16.28</v>
      </c>
      <c r="BH2374" s="9">
        <f t="shared" si="333"/>
        <v>920.52</v>
      </c>
      <c r="BI2374" s="9">
        <f t="shared" si="334"/>
        <v>1.84</v>
      </c>
      <c r="BJ2374" s="9">
        <f t="shared" si="335"/>
        <v>4.62</v>
      </c>
      <c r="BK2374" s="9">
        <f t="shared" si="336"/>
        <v>3.24</v>
      </c>
      <c r="BL2374" s="9">
        <f t="shared" si="337"/>
        <v>55.44</v>
      </c>
      <c r="BM2374" s="9">
        <f t="shared" si="338"/>
        <v>4.7140899999999997</v>
      </c>
      <c r="BN2374" s="9">
        <f t="shared" si="339"/>
        <v>241.58</v>
      </c>
      <c r="BO2374" s="9">
        <f t="shared" si="340"/>
        <v>3.52</v>
      </c>
      <c r="BP2374" s="9">
        <f t="shared" si="341"/>
        <v>0</v>
      </c>
    </row>
    <row r="2375" spans="1:68">
      <c r="A2375" s="6">
        <v>44964</v>
      </c>
      <c r="B2375" s="7">
        <v>3701</v>
      </c>
      <c r="C2375" s="8">
        <v>368.76</v>
      </c>
      <c r="D2375" s="8"/>
      <c r="E2375" s="8"/>
      <c r="F2375" s="8"/>
      <c r="G2375" s="8"/>
      <c r="H2375" s="8"/>
      <c r="I2375" s="8"/>
      <c r="J2375" s="8">
        <f>48192*12.43/1000</f>
        <v>599.0265599999999</v>
      </c>
      <c r="K2375" s="8"/>
      <c r="L2375" s="8"/>
      <c r="M2375" s="8"/>
      <c r="N2375" s="8">
        <v>2.2799999999999998</v>
      </c>
      <c r="O2375" s="8"/>
      <c r="P2375" s="8"/>
      <c r="Q2375" s="8"/>
      <c r="R2375" s="8"/>
      <c r="S2375" s="8">
        <v>2.68</v>
      </c>
      <c r="T2375" s="8"/>
      <c r="U2375" s="8">
        <v>5.97</v>
      </c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>
        <v>19.93</v>
      </c>
      <c r="AH2375" s="8"/>
      <c r="AI2375" s="8"/>
      <c r="AJ2375" s="8">
        <f>2413*12.43/1000</f>
        <v>29.993590000000001</v>
      </c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>
        <v>350.37</v>
      </c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>
        <v>23.98</v>
      </c>
      <c r="BH2375" s="9">
        <f t="shared" si="333"/>
        <v>967.78655999999989</v>
      </c>
      <c r="BI2375" s="9">
        <f t="shared" si="334"/>
        <v>2.2799999999999998</v>
      </c>
      <c r="BJ2375" s="9">
        <f t="shared" si="335"/>
        <v>2.68</v>
      </c>
      <c r="BK2375" s="9">
        <f t="shared" si="336"/>
        <v>5.97</v>
      </c>
      <c r="BL2375" s="9">
        <f t="shared" si="337"/>
        <v>0</v>
      </c>
      <c r="BM2375" s="9">
        <f t="shared" si="338"/>
        <v>49.923590000000004</v>
      </c>
      <c r="BN2375" s="9">
        <f t="shared" si="339"/>
        <v>350.37</v>
      </c>
      <c r="BO2375" s="9">
        <f t="shared" si="340"/>
        <v>0</v>
      </c>
      <c r="BP2375" s="9">
        <f t="shared" si="341"/>
        <v>0</v>
      </c>
    </row>
    <row r="2376" spans="1:68">
      <c r="A2376" s="6">
        <v>44965</v>
      </c>
      <c r="B2376" s="7">
        <v>3139</v>
      </c>
      <c r="C2376" s="8">
        <v>1577.36</v>
      </c>
      <c r="D2376" s="8"/>
      <c r="E2376" s="8"/>
      <c r="F2376" s="8"/>
      <c r="G2376" s="8"/>
      <c r="H2376" s="8">
        <v>654.42999999999995</v>
      </c>
      <c r="I2376" s="8"/>
      <c r="J2376" s="8"/>
      <c r="K2376" s="8"/>
      <c r="L2376" s="8"/>
      <c r="M2376" s="8">
        <v>3.68</v>
      </c>
      <c r="N2376" s="8"/>
      <c r="O2376" s="8"/>
      <c r="P2376" s="8"/>
      <c r="Q2376" s="8"/>
      <c r="R2376" s="8"/>
      <c r="S2376" s="8">
        <v>6.99</v>
      </c>
      <c r="T2376" s="8"/>
      <c r="U2376" s="8">
        <v>23.2</v>
      </c>
      <c r="V2376" s="8"/>
      <c r="W2376" s="8"/>
      <c r="X2376" s="8"/>
      <c r="Y2376" s="8"/>
      <c r="Z2376" s="8"/>
      <c r="AA2376" s="8"/>
      <c r="AB2376" s="8"/>
      <c r="AC2376" s="8">
        <v>7.76</v>
      </c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>
        <v>1148.93</v>
      </c>
      <c r="AU2376" s="8"/>
      <c r="AV2376" s="8">
        <v>38.82</v>
      </c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>
        <v>83.45</v>
      </c>
      <c r="BH2376" s="9">
        <f t="shared" si="333"/>
        <v>2231.79</v>
      </c>
      <c r="BI2376" s="9">
        <f t="shared" si="334"/>
        <v>3.68</v>
      </c>
      <c r="BJ2376" s="9">
        <f t="shared" si="335"/>
        <v>6.99</v>
      </c>
      <c r="BK2376" s="9">
        <f t="shared" si="336"/>
        <v>23.2</v>
      </c>
      <c r="BL2376" s="9">
        <f t="shared" si="337"/>
        <v>0</v>
      </c>
      <c r="BM2376" s="9">
        <f t="shared" si="338"/>
        <v>7.76</v>
      </c>
      <c r="BN2376" s="9">
        <f t="shared" si="339"/>
        <v>1148.93</v>
      </c>
      <c r="BO2376" s="9">
        <f t="shared" si="340"/>
        <v>38.82</v>
      </c>
      <c r="BP2376" s="9">
        <f t="shared" si="341"/>
        <v>0</v>
      </c>
    </row>
    <row r="2377" spans="1:68">
      <c r="A2377" s="6">
        <v>44965</v>
      </c>
      <c r="B2377" s="7">
        <v>3204</v>
      </c>
      <c r="C2377" s="8"/>
      <c r="D2377" s="8">
        <v>935.78</v>
      </c>
      <c r="E2377" s="8">
        <v>399.56</v>
      </c>
      <c r="F2377" s="8"/>
      <c r="G2377" s="8"/>
      <c r="H2377" s="8"/>
      <c r="I2377" s="8"/>
      <c r="J2377" s="8"/>
      <c r="K2377" s="8"/>
      <c r="L2377" s="8"/>
      <c r="M2377" s="8"/>
      <c r="N2377" s="8"/>
      <c r="O2377" s="8">
        <v>6.67</v>
      </c>
      <c r="P2377" s="8"/>
      <c r="Q2377" s="8"/>
      <c r="R2377" s="8"/>
      <c r="S2377" s="8">
        <v>4.54</v>
      </c>
      <c r="T2377" s="8"/>
      <c r="U2377" s="8">
        <v>14.71</v>
      </c>
      <c r="V2377" s="8"/>
      <c r="W2377" s="8"/>
      <c r="X2377" s="8"/>
      <c r="Y2377" s="8"/>
      <c r="Z2377" s="8">
        <v>200.54</v>
      </c>
      <c r="AA2377" s="8"/>
      <c r="AB2377" s="8">
        <f>703*9.53/1000</f>
        <v>6.6995899999999988</v>
      </c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>
        <v>586.61</v>
      </c>
      <c r="AU2377" s="8"/>
      <c r="AV2377" s="8"/>
      <c r="AW2377" s="8">
        <v>4.2699999999999996</v>
      </c>
      <c r="AX2377" s="8"/>
      <c r="AY2377" s="8"/>
      <c r="AZ2377" s="8"/>
      <c r="BA2377" s="8"/>
      <c r="BB2377" s="8"/>
      <c r="BC2377" s="8"/>
      <c r="BD2377" s="8"/>
      <c r="BE2377" s="8"/>
      <c r="BF2377" s="8"/>
      <c r="BG2377" s="8">
        <v>43.45</v>
      </c>
      <c r="BH2377" s="9">
        <f t="shared" si="333"/>
        <v>1335.34</v>
      </c>
      <c r="BI2377" s="9">
        <f t="shared" si="334"/>
        <v>6.67</v>
      </c>
      <c r="BJ2377" s="9">
        <f t="shared" si="335"/>
        <v>4.54</v>
      </c>
      <c r="BK2377" s="9">
        <f t="shared" si="336"/>
        <v>14.71</v>
      </c>
      <c r="BL2377" s="9">
        <f t="shared" si="337"/>
        <v>200.54</v>
      </c>
      <c r="BM2377" s="9">
        <f t="shared" si="338"/>
        <v>6.6995899999999988</v>
      </c>
      <c r="BN2377" s="9">
        <f t="shared" si="339"/>
        <v>586.61</v>
      </c>
      <c r="BO2377" s="9">
        <f t="shared" si="340"/>
        <v>4.2699999999999996</v>
      </c>
      <c r="BP2377" s="9">
        <f t="shared" si="341"/>
        <v>0</v>
      </c>
    </row>
    <row r="2378" spans="1:68">
      <c r="A2378" s="6">
        <v>44965</v>
      </c>
      <c r="B2378" s="7">
        <v>3141</v>
      </c>
      <c r="C2378" s="8">
        <v>2438.4499999999998</v>
      </c>
      <c r="D2378" s="8">
        <v>430.24</v>
      </c>
      <c r="E2378" s="8"/>
      <c r="F2378" s="8"/>
      <c r="G2378" s="8"/>
      <c r="H2378" s="8"/>
      <c r="I2378" s="8"/>
      <c r="J2378" s="8"/>
      <c r="K2378" s="8"/>
      <c r="L2378" s="8"/>
      <c r="M2378" s="8">
        <v>8.31</v>
      </c>
      <c r="N2378" s="8"/>
      <c r="O2378" s="8"/>
      <c r="P2378" s="8"/>
      <c r="Q2378" s="8"/>
      <c r="R2378" s="8"/>
      <c r="S2378" s="8">
        <v>13.5</v>
      </c>
      <c r="T2378" s="8"/>
      <c r="U2378" s="8">
        <v>43.06</v>
      </c>
      <c r="V2378" s="8"/>
      <c r="W2378" s="8"/>
      <c r="X2378" s="8"/>
      <c r="Y2378" s="8"/>
      <c r="Z2378" s="8"/>
      <c r="AA2378" s="8"/>
      <c r="AB2378" s="8"/>
      <c r="AC2378" s="8">
        <v>11.49</v>
      </c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>
        <v>1900.73</v>
      </c>
      <c r="AU2378" s="8"/>
      <c r="AV2378" s="8"/>
      <c r="AW2378" s="8"/>
      <c r="AX2378" s="8"/>
      <c r="AY2378" s="8"/>
      <c r="AZ2378" s="8"/>
      <c r="BA2378" s="8">
        <v>65.78</v>
      </c>
      <c r="BB2378" s="8"/>
      <c r="BC2378" s="8"/>
      <c r="BD2378" s="8"/>
      <c r="BE2378" s="8"/>
      <c r="BF2378" s="8">
        <v>200.85</v>
      </c>
      <c r="BG2378" s="8">
        <v>148.97</v>
      </c>
      <c r="BH2378" s="9">
        <f t="shared" si="333"/>
        <v>2868.6899999999996</v>
      </c>
      <c r="BI2378" s="9">
        <f t="shared" si="334"/>
        <v>8.31</v>
      </c>
      <c r="BJ2378" s="9">
        <f t="shared" si="335"/>
        <v>13.5</v>
      </c>
      <c r="BK2378" s="9">
        <f t="shared" si="336"/>
        <v>43.06</v>
      </c>
      <c r="BL2378" s="9">
        <f t="shared" si="337"/>
        <v>0</v>
      </c>
      <c r="BM2378" s="9">
        <f t="shared" si="338"/>
        <v>11.49</v>
      </c>
      <c r="BN2378" s="9">
        <f t="shared" si="339"/>
        <v>1900.73</v>
      </c>
      <c r="BO2378" s="9">
        <f t="shared" si="340"/>
        <v>65.78</v>
      </c>
      <c r="BP2378" s="9">
        <f t="shared" si="341"/>
        <v>200.85</v>
      </c>
    </row>
    <row r="2379" spans="1:68">
      <c r="A2379" s="6">
        <v>44965</v>
      </c>
      <c r="B2379" s="7">
        <v>3134</v>
      </c>
      <c r="C2379" s="8">
        <v>1063.8900000000001</v>
      </c>
      <c r="D2379" s="8">
        <v>148.9</v>
      </c>
      <c r="E2379" s="8"/>
      <c r="F2379" s="8"/>
      <c r="G2379" s="8"/>
      <c r="H2379" s="8">
        <v>501.7</v>
      </c>
      <c r="I2379" s="8"/>
      <c r="J2379" s="8"/>
      <c r="K2379" s="8"/>
      <c r="L2379" s="8"/>
      <c r="M2379" s="8">
        <v>2.72</v>
      </c>
      <c r="N2379" s="8"/>
      <c r="O2379" s="8"/>
      <c r="P2379" s="8"/>
      <c r="Q2379" s="8"/>
      <c r="R2379" s="8"/>
      <c r="S2379" s="8">
        <v>6.87</v>
      </c>
      <c r="T2379" s="8"/>
      <c r="U2379" s="8">
        <v>19.38</v>
      </c>
      <c r="V2379" s="8"/>
      <c r="W2379" s="8"/>
      <c r="X2379" s="8"/>
      <c r="Y2379" s="8"/>
      <c r="Z2379" s="8"/>
      <c r="AA2379" s="8"/>
      <c r="AB2379" s="8"/>
      <c r="AC2379" s="8">
        <v>5.96</v>
      </c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>
        <v>1062.82</v>
      </c>
      <c r="AU2379" s="8"/>
      <c r="AV2379" s="8"/>
      <c r="AW2379" s="8"/>
      <c r="AX2379" s="8"/>
      <c r="AY2379" s="8">
        <f>1434*10.65/1000</f>
        <v>15.2721</v>
      </c>
      <c r="AZ2379" s="8"/>
      <c r="BA2379" s="8"/>
      <c r="BB2379" s="8"/>
      <c r="BC2379" s="8"/>
      <c r="BD2379" s="8"/>
      <c r="BE2379" s="8"/>
      <c r="BF2379" s="8">
        <v>67.209999999999994</v>
      </c>
      <c r="BG2379" s="8">
        <v>79</v>
      </c>
      <c r="BH2379" s="9">
        <f t="shared" si="333"/>
        <v>1714.4900000000002</v>
      </c>
      <c r="BI2379" s="9">
        <f t="shared" si="334"/>
        <v>2.72</v>
      </c>
      <c r="BJ2379" s="9">
        <f t="shared" si="335"/>
        <v>6.87</v>
      </c>
      <c r="BK2379" s="9">
        <f t="shared" si="336"/>
        <v>19.38</v>
      </c>
      <c r="BL2379" s="9">
        <f t="shared" si="337"/>
        <v>0</v>
      </c>
      <c r="BM2379" s="9">
        <f t="shared" si="338"/>
        <v>5.96</v>
      </c>
      <c r="BN2379" s="9">
        <f t="shared" si="339"/>
        <v>1062.82</v>
      </c>
      <c r="BO2379" s="9">
        <f t="shared" si="340"/>
        <v>15.2721</v>
      </c>
      <c r="BP2379" s="9">
        <f t="shared" si="341"/>
        <v>67.209999999999994</v>
      </c>
    </row>
    <row r="2380" spans="1:68">
      <c r="A2380" s="6">
        <v>44965</v>
      </c>
      <c r="B2380" s="7">
        <v>3079</v>
      </c>
      <c r="C2380" s="8"/>
      <c r="D2380" s="8"/>
      <c r="E2380" s="8"/>
      <c r="F2380" s="8">
        <v>500.3</v>
      </c>
      <c r="G2380" s="8"/>
      <c r="H2380" s="8"/>
      <c r="I2380" s="8">
        <v>4052.04</v>
      </c>
      <c r="J2380" s="8"/>
      <c r="K2380" s="8"/>
      <c r="L2380" s="8"/>
      <c r="M2380" s="8"/>
      <c r="N2380" s="8">
        <v>32.39</v>
      </c>
      <c r="O2380" s="8"/>
      <c r="P2380" s="8"/>
      <c r="Q2380" s="8"/>
      <c r="R2380" s="8"/>
      <c r="S2380" s="8">
        <v>1.81</v>
      </c>
      <c r="T2380" s="8"/>
      <c r="U2380" s="8"/>
      <c r="V2380" s="8"/>
      <c r="W2380" s="8">
        <v>45.62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>
        <v>18.09</v>
      </c>
      <c r="AN2380" s="8">
        <f>1744*26.78/1000</f>
        <v>46.704320000000003</v>
      </c>
      <c r="AO2380" s="8"/>
      <c r="AP2380" s="8"/>
      <c r="AQ2380" s="8"/>
      <c r="AR2380" s="8">
        <f>4335*26.78/1000</f>
        <v>116.0913</v>
      </c>
      <c r="AS2380" s="8"/>
      <c r="AT2380" s="8">
        <v>1751.26</v>
      </c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>
        <v>128.03</v>
      </c>
      <c r="BH2380" s="9">
        <f t="shared" si="333"/>
        <v>4552.34</v>
      </c>
      <c r="BI2380" s="9">
        <f t="shared" si="334"/>
        <v>32.39</v>
      </c>
      <c r="BJ2380" s="9">
        <f t="shared" si="335"/>
        <v>1.81</v>
      </c>
      <c r="BK2380" s="9">
        <f t="shared" si="336"/>
        <v>45.62</v>
      </c>
      <c r="BL2380" s="9">
        <f t="shared" si="337"/>
        <v>0</v>
      </c>
      <c r="BM2380" s="9">
        <f t="shared" si="338"/>
        <v>180.88562000000002</v>
      </c>
      <c r="BN2380" s="9">
        <f t="shared" si="339"/>
        <v>1751.26</v>
      </c>
      <c r="BO2380" s="9">
        <f t="shared" si="340"/>
        <v>0</v>
      </c>
      <c r="BP2380" s="9">
        <f t="shared" si="341"/>
        <v>0</v>
      </c>
    </row>
    <row r="2381" spans="1:68">
      <c r="A2381" s="6">
        <v>44965</v>
      </c>
      <c r="B2381" s="7">
        <v>3200</v>
      </c>
      <c r="C2381" s="8">
        <v>2324.13</v>
      </c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>
        <v>5.82</v>
      </c>
      <c r="P2381" s="8"/>
      <c r="Q2381" s="11"/>
      <c r="R2381" s="11"/>
      <c r="S2381" s="8">
        <v>9.07</v>
      </c>
      <c r="T2381" s="8"/>
      <c r="U2381" s="8">
        <v>34.869999999999997</v>
      </c>
      <c r="V2381" s="8"/>
      <c r="W2381" s="8"/>
      <c r="X2381" s="8"/>
      <c r="Y2381" s="8"/>
      <c r="Z2381" s="8">
        <v>488.39</v>
      </c>
      <c r="AA2381" s="8"/>
      <c r="AB2381" s="8"/>
      <c r="AC2381" s="8"/>
      <c r="AD2381" s="8"/>
      <c r="AE2381" s="8"/>
      <c r="AF2381" s="8">
        <v>116.47</v>
      </c>
      <c r="AG2381" s="8"/>
      <c r="AH2381" s="8"/>
      <c r="AI2381" s="8"/>
      <c r="AJ2381" s="8"/>
      <c r="AK2381" s="8"/>
      <c r="AL2381" s="8"/>
      <c r="AM2381" s="8"/>
      <c r="AN2381" s="8"/>
      <c r="AO2381" s="8"/>
      <c r="AP2381" s="11"/>
      <c r="AQ2381" s="8">
        <f>1520*23.23/1000</f>
        <v>35.309599999999996</v>
      </c>
      <c r="AR2381" s="8"/>
      <c r="AS2381" s="8"/>
      <c r="AT2381" s="8">
        <v>1593.27</v>
      </c>
      <c r="AU2381" s="8"/>
      <c r="AV2381" s="8"/>
      <c r="AW2381" s="8">
        <v>6.73</v>
      </c>
      <c r="AX2381" s="8"/>
      <c r="AY2381" s="8"/>
      <c r="AZ2381" s="8"/>
      <c r="BA2381" s="8"/>
      <c r="BB2381" s="8"/>
      <c r="BC2381" s="8"/>
      <c r="BD2381" s="8"/>
      <c r="BE2381" s="8"/>
      <c r="BF2381" s="8">
        <v>111.61</v>
      </c>
      <c r="BG2381" s="8">
        <v>115.2</v>
      </c>
      <c r="BH2381" s="9">
        <f t="shared" si="333"/>
        <v>2324.13</v>
      </c>
      <c r="BI2381" s="9">
        <f t="shared" si="334"/>
        <v>5.82</v>
      </c>
      <c r="BJ2381" s="9">
        <f t="shared" si="335"/>
        <v>9.07</v>
      </c>
      <c r="BK2381" s="9">
        <f t="shared" si="336"/>
        <v>34.869999999999997</v>
      </c>
      <c r="BL2381" s="9">
        <f t="shared" si="337"/>
        <v>488.39</v>
      </c>
      <c r="BM2381" s="9">
        <f t="shared" si="338"/>
        <v>151.77959999999999</v>
      </c>
      <c r="BN2381" s="9">
        <f t="shared" si="339"/>
        <v>1593.27</v>
      </c>
      <c r="BO2381" s="9">
        <f t="shared" si="340"/>
        <v>6.73</v>
      </c>
      <c r="BP2381" s="9">
        <f t="shared" si="341"/>
        <v>111.61</v>
      </c>
    </row>
    <row r="2382" spans="1:68">
      <c r="A2382" s="6">
        <v>44965</v>
      </c>
      <c r="B2382" s="7">
        <v>3204</v>
      </c>
      <c r="C2382" s="8"/>
      <c r="D2382" s="8">
        <v>962.95</v>
      </c>
      <c r="E2382" s="8">
        <v>412.63</v>
      </c>
      <c r="F2382" s="8"/>
      <c r="G2382" s="8"/>
      <c r="H2382" s="8"/>
      <c r="I2382" s="8"/>
      <c r="J2382" s="8"/>
      <c r="K2382" s="8"/>
      <c r="L2382" s="8"/>
      <c r="M2382" s="8"/>
      <c r="N2382" s="8"/>
      <c r="O2382" s="8">
        <v>6.88</v>
      </c>
      <c r="P2382" s="8"/>
      <c r="Q2382" s="11"/>
      <c r="R2382" s="11"/>
      <c r="S2382" s="8">
        <v>4.68</v>
      </c>
      <c r="T2382" s="8"/>
      <c r="U2382" s="8">
        <v>15.14</v>
      </c>
      <c r="V2382" s="8"/>
      <c r="W2382" s="8"/>
      <c r="X2382" s="8"/>
      <c r="Y2382" s="8"/>
      <c r="Z2382" s="8">
        <v>206.77</v>
      </c>
      <c r="AA2382" s="8"/>
      <c r="AB2382" s="8">
        <f>704*9.83/1000</f>
        <v>6.9203199999999994</v>
      </c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11"/>
      <c r="AQ2382" s="8"/>
      <c r="AR2382" s="8"/>
      <c r="AS2382" s="8"/>
      <c r="AT2382" s="8">
        <v>607.4</v>
      </c>
      <c r="AU2382" s="8"/>
      <c r="AV2382" s="8"/>
      <c r="AW2382" s="8">
        <v>4.41</v>
      </c>
      <c r="AX2382" s="8"/>
      <c r="AY2382" s="8"/>
      <c r="AZ2382" s="8"/>
      <c r="BA2382" s="8"/>
      <c r="BB2382" s="8"/>
      <c r="BC2382" s="8"/>
      <c r="BD2382" s="8"/>
      <c r="BE2382" s="8"/>
      <c r="BF2382" s="8"/>
      <c r="BG2382" s="8">
        <v>44.79</v>
      </c>
      <c r="BH2382" s="9">
        <f t="shared" si="333"/>
        <v>1375.58</v>
      </c>
      <c r="BI2382" s="9">
        <f t="shared" si="334"/>
        <v>6.88</v>
      </c>
      <c r="BJ2382" s="9">
        <f t="shared" si="335"/>
        <v>4.68</v>
      </c>
      <c r="BK2382" s="9">
        <f t="shared" si="336"/>
        <v>15.14</v>
      </c>
      <c r="BL2382" s="9">
        <f t="shared" si="337"/>
        <v>206.77</v>
      </c>
      <c r="BM2382" s="9">
        <f t="shared" si="338"/>
        <v>6.9203199999999994</v>
      </c>
      <c r="BN2382" s="9">
        <f t="shared" si="339"/>
        <v>607.4</v>
      </c>
      <c r="BO2382" s="9">
        <f t="shared" si="340"/>
        <v>4.41</v>
      </c>
      <c r="BP2382" s="9">
        <f t="shared" si="341"/>
        <v>0</v>
      </c>
    </row>
    <row r="2383" spans="1:68">
      <c r="A2383" s="6">
        <v>44965</v>
      </c>
      <c r="B2383" s="7">
        <v>3020</v>
      </c>
      <c r="C2383" s="8"/>
      <c r="D2383" s="8">
        <v>97.53</v>
      </c>
      <c r="E2383" s="8"/>
      <c r="F2383" s="8"/>
      <c r="G2383" s="8"/>
      <c r="H2383" s="8"/>
      <c r="I2383" s="8">
        <v>551.57000000000005</v>
      </c>
      <c r="J2383" s="8"/>
      <c r="K2383" s="8"/>
      <c r="L2383" s="8"/>
      <c r="M2383" s="8"/>
      <c r="N2383" s="8">
        <v>3.9</v>
      </c>
      <c r="O2383" s="8"/>
      <c r="P2383" s="8"/>
      <c r="Q2383" s="11"/>
      <c r="R2383" s="11"/>
      <c r="S2383" s="8">
        <v>1.17</v>
      </c>
      <c r="T2383" s="8"/>
      <c r="U2383" s="8"/>
      <c r="V2383" s="8"/>
      <c r="W2383" s="8">
        <v>6.5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>
        <v>6.47</v>
      </c>
      <c r="AN2383" s="8"/>
      <c r="AO2383" s="8"/>
      <c r="AP2383" s="11"/>
      <c r="AQ2383" s="8"/>
      <c r="AR2383" s="8"/>
      <c r="AS2383" s="8">
        <f>3019*5.42/1000</f>
        <v>16.36298</v>
      </c>
      <c r="AT2383" s="8">
        <v>318.67</v>
      </c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>
        <v>23.36</v>
      </c>
      <c r="BH2383" s="9">
        <f t="shared" si="333"/>
        <v>649.1</v>
      </c>
      <c r="BI2383" s="9">
        <f t="shared" si="334"/>
        <v>3.9</v>
      </c>
      <c r="BJ2383" s="9">
        <f t="shared" si="335"/>
        <v>1.17</v>
      </c>
      <c r="BK2383" s="9">
        <f t="shared" si="336"/>
        <v>6.5</v>
      </c>
      <c r="BL2383" s="9">
        <f t="shared" si="337"/>
        <v>0</v>
      </c>
      <c r="BM2383" s="9">
        <f t="shared" si="338"/>
        <v>22.832979999999999</v>
      </c>
      <c r="BN2383" s="9">
        <f t="shared" si="339"/>
        <v>318.67</v>
      </c>
      <c r="BO2383" s="9">
        <f t="shared" si="340"/>
        <v>0</v>
      </c>
      <c r="BP2383" s="9">
        <f t="shared" si="341"/>
        <v>0</v>
      </c>
    </row>
    <row r="2384" spans="1:68">
      <c r="A2384" s="6">
        <v>44965</v>
      </c>
      <c r="B2384" s="7">
        <v>3022</v>
      </c>
      <c r="C2384" s="8"/>
      <c r="D2384" s="8">
        <v>301.22000000000003</v>
      </c>
      <c r="E2384" s="8"/>
      <c r="F2384" s="8"/>
      <c r="G2384" s="8"/>
      <c r="H2384" s="8"/>
      <c r="I2384" s="8">
        <v>248.59</v>
      </c>
      <c r="J2384" s="8"/>
      <c r="K2384" s="8"/>
      <c r="L2384" s="8"/>
      <c r="M2384" s="8"/>
      <c r="N2384" s="8">
        <v>2.75</v>
      </c>
      <c r="O2384" s="8"/>
      <c r="P2384" s="8"/>
      <c r="Q2384" s="11"/>
      <c r="R2384" s="11"/>
      <c r="S2384" s="8">
        <v>0.99</v>
      </c>
      <c r="T2384" s="8"/>
      <c r="U2384" s="8"/>
      <c r="V2384" s="8"/>
      <c r="W2384" s="8">
        <v>5.49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>
        <v>7.14</v>
      </c>
      <c r="AN2384" s="8"/>
      <c r="AO2384" s="8"/>
      <c r="AP2384" s="11"/>
      <c r="AQ2384" s="8"/>
      <c r="AR2384" s="8"/>
      <c r="AS2384" s="8">
        <f>3821*4.98/1000</f>
        <v>19.028580000000002</v>
      </c>
      <c r="AT2384" s="8">
        <v>257.42</v>
      </c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>
        <v>19.77</v>
      </c>
      <c r="BH2384" s="9">
        <f t="shared" si="333"/>
        <v>549.81000000000006</v>
      </c>
      <c r="BI2384" s="9">
        <f t="shared" si="334"/>
        <v>2.75</v>
      </c>
      <c r="BJ2384" s="9">
        <f t="shared" si="335"/>
        <v>0.99</v>
      </c>
      <c r="BK2384" s="9">
        <f t="shared" si="336"/>
        <v>5.49</v>
      </c>
      <c r="BL2384" s="9">
        <f t="shared" si="337"/>
        <v>0</v>
      </c>
      <c r="BM2384" s="9">
        <f t="shared" si="338"/>
        <v>26.168580000000002</v>
      </c>
      <c r="BN2384" s="9">
        <f t="shared" si="339"/>
        <v>257.42</v>
      </c>
      <c r="BO2384" s="9">
        <f t="shared" si="340"/>
        <v>0</v>
      </c>
      <c r="BP2384" s="9">
        <f t="shared" si="341"/>
        <v>0</v>
      </c>
    </row>
    <row r="2385" spans="1:68">
      <c r="A2385" s="6">
        <v>44966</v>
      </c>
      <c r="B2385" s="7">
        <v>3129</v>
      </c>
      <c r="C2385" s="8">
        <v>1314.29</v>
      </c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11"/>
      <c r="R2385" s="11">
        <f>1205*5.98/1000</f>
        <v>7.2059000000000006</v>
      </c>
      <c r="S2385" s="8">
        <f>6.03+4.87</f>
        <v>10.9</v>
      </c>
      <c r="T2385" s="8"/>
      <c r="U2385" s="8"/>
      <c r="V2385" s="8"/>
      <c r="W2385" s="8"/>
      <c r="X2385" s="8">
        <f>1988*5.98/1000</f>
        <v>11.888240000000001</v>
      </c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11"/>
      <c r="AQ2385" s="8"/>
      <c r="AR2385" s="8"/>
      <c r="AS2385" s="8"/>
      <c r="AT2385" s="8">
        <v>181.05</v>
      </c>
      <c r="AU2385" s="8">
        <v>362.16</v>
      </c>
      <c r="AV2385" s="8"/>
      <c r="AW2385" s="8"/>
      <c r="AX2385" s="8"/>
      <c r="AY2385" s="8"/>
      <c r="AZ2385" s="8"/>
      <c r="BA2385" s="8"/>
      <c r="BB2385" s="8"/>
      <c r="BC2385" s="8"/>
      <c r="BD2385" s="8">
        <v>3.3</v>
      </c>
      <c r="BE2385" s="8">
        <f>2010*5.98/1000</f>
        <v>12.019800000000002</v>
      </c>
      <c r="BF2385" s="8"/>
      <c r="BG2385" s="8">
        <v>39.4</v>
      </c>
      <c r="BH2385" s="9">
        <f t="shared" si="333"/>
        <v>1314.29</v>
      </c>
      <c r="BI2385" s="9">
        <f t="shared" si="334"/>
        <v>7.2059000000000006</v>
      </c>
      <c r="BJ2385" s="9">
        <f t="shared" si="335"/>
        <v>10.9</v>
      </c>
      <c r="BK2385" s="9">
        <f t="shared" si="336"/>
        <v>11.888240000000001</v>
      </c>
      <c r="BL2385" s="9">
        <f t="shared" si="337"/>
        <v>0</v>
      </c>
      <c r="BM2385" s="9">
        <f t="shared" si="338"/>
        <v>0</v>
      </c>
      <c r="BN2385" s="9">
        <f t="shared" si="339"/>
        <v>543.21</v>
      </c>
      <c r="BO2385" s="9">
        <f t="shared" si="340"/>
        <v>15.319800000000001</v>
      </c>
      <c r="BP2385" s="9">
        <f t="shared" si="341"/>
        <v>0</v>
      </c>
    </row>
    <row r="2386" spans="1:68">
      <c r="A2386" s="6">
        <v>44966</v>
      </c>
      <c r="B2386" s="7">
        <v>3127</v>
      </c>
      <c r="C2386" s="8">
        <v>1147.6300000000001</v>
      </c>
      <c r="D2386" s="8"/>
      <c r="E2386" s="8"/>
      <c r="F2386" s="8"/>
      <c r="G2386" s="8"/>
      <c r="H2386" s="8"/>
      <c r="I2386" s="8"/>
      <c r="J2386" s="8"/>
      <c r="K2386" s="8"/>
      <c r="L2386" s="8"/>
      <c r="M2386" s="8">
        <v>3.45</v>
      </c>
      <c r="N2386" s="8"/>
      <c r="O2386" s="8"/>
      <c r="P2386" s="8"/>
      <c r="Q2386" s="11"/>
      <c r="R2386" s="11"/>
      <c r="S2386" s="8">
        <v>5.52</v>
      </c>
      <c r="T2386" s="8"/>
      <c r="U2386" s="8">
        <v>11.51</v>
      </c>
      <c r="V2386" s="8"/>
      <c r="W2386" s="8"/>
      <c r="X2386" s="8"/>
      <c r="Y2386" s="8"/>
      <c r="Z2386" s="8">
        <v>171.26</v>
      </c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11"/>
      <c r="AQ2386" s="8"/>
      <c r="AR2386" s="8"/>
      <c r="AS2386" s="8"/>
      <c r="AT2386" s="8">
        <v>562.63</v>
      </c>
      <c r="AU2386" s="8"/>
      <c r="AV2386" s="8">
        <v>22.99</v>
      </c>
      <c r="AW2386" s="8"/>
      <c r="AX2386" s="8"/>
      <c r="AY2386" s="8"/>
      <c r="AZ2386" s="8"/>
      <c r="BA2386" s="8"/>
      <c r="BB2386" s="8"/>
      <c r="BC2386" s="8"/>
      <c r="BD2386" s="8"/>
      <c r="BE2386" s="8"/>
      <c r="BF2386" s="8">
        <v>57.48</v>
      </c>
      <c r="BG2386" s="8">
        <v>40.22</v>
      </c>
      <c r="BH2386" s="9">
        <f t="shared" si="333"/>
        <v>1147.6300000000001</v>
      </c>
      <c r="BI2386" s="9">
        <f t="shared" si="334"/>
        <v>3.45</v>
      </c>
      <c r="BJ2386" s="9">
        <f t="shared" si="335"/>
        <v>5.52</v>
      </c>
      <c r="BK2386" s="9">
        <f t="shared" si="336"/>
        <v>11.51</v>
      </c>
      <c r="BL2386" s="9">
        <f t="shared" si="337"/>
        <v>171.26</v>
      </c>
      <c r="BM2386" s="9">
        <f t="shared" si="338"/>
        <v>0</v>
      </c>
      <c r="BN2386" s="9">
        <f t="shared" si="339"/>
        <v>562.63</v>
      </c>
      <c r="BO2386" s="9">
        <f t="shared" si="340"/>
        <v>22.99</v>
      </c>
      <c r="BP2386" s="9">
        <f t="shared" si="341"/>
        <v>57.48</v>
      </c>
    </row>
    <row r="2387" spans="1:68">
      <c r="A2387" s="6">
        <v>44966</v>
      </c>
      <c r="B2387" s="7">
        <v>3106</v>
      </c>
      <c r="C2387" s="8">
        <v>4149.2700000000004</v>
      </c>
      <c r="D2387" s="8"/>
      <c r="E2387" s="8"/>
      <c r="F2387" s="8"/>
      <c r="G2387" s="8"/>
      <c r="H2387" s="8"/>
      <c r="I2387" s="8"/>
      <c r="J2387" s="8"/>
      <c r="K2387" s="8"/>
      <c r="L2387" s="8"/>
      <c r="M2387" s="8">
        <v>10.82</v>
      </c>
      <c r="N2387" s="8"/>
      <c r="O2387" s="8"/>
      <c r="P2387" s="8"/>
      <c r="Q2387" s="11"/>
      <c r="R2387" s="11"/>
      <c r="S2387" s="8">
        <v>12.47</v>
      </c>
      <c r="T2387" s="8"/>
      <c r="U2387" s="8">
        <v>52.7</v>
      </c>
      <c r="V2387" s="8"/>
      <c r="W2387" s="8"/>
      <c r="X2387" s="8"/>
      <c r="Y2387" s="8"/>
      <c r="Z2387" s="8"/>
      <c r="AA2387" s="8"/>
      <c r="AB2387" s="8"/>
      <c r="AC2387" s="8">
        <v>10.36</v>
      </c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11"/>
      <c r="AQ2387" s="8"/>
      <c r="AR2387" s="8"/>
      <c r="AS2387" s="8"/>
      <c r="AT2387" s="8">
        <v>2362.17</v>
      </c>
      <c r="AU2387" s="8"/>
      <c r="AV2387" s="8"/>
      <c r="AW2387" s="8"/>
      <c r="AX2387" s="8">
        <v>5.18</v>
      </c>
      <c r="AY2387" s="8"/>
      <c r="AZ2387" s="8"/>
      <c r="BA2387" s="8"/>
      <c r="BB2387" s="8"/>
      <c r="BC2387" s="8"/>
      <c r="BD2387" s="8"/>
      <c r="BE2387" s="8"/>
      <c r="BF2387" s="8"/>
      <c r="BG2387" s="8">
        <v>178.18</v>
      </c>
      <c r="BH2387" s="9">
        <f t="shared" si="333"/>
        <v>4149.2700000000004</v>
      </c>
      <c r="BI2387" s="9">
        <f t="shared" si="334"/>
        <v>10.82</v>
      </c>
      <c r="BJ2387" s="9">
        <f t="shared" si="335"/>
        <v>12.47</v>
      </c>
      <c r="BK2387" s="9">
        <f t="shared" si="336"/>
        <v>52.7</v>
      </c>
      <c r="BL2387" s="9">
        <f t="shared" si="337"/>
        <v>0</v>
      </c>
      <c r="BM2387" s="9">
        <f t="shared" si="338"/>
        <v>10.36</v>
      </c>
      <c r="BN2387" s="9">
        <f t="shared" si="339"/>
        <v>2362.17</v>
      </c>
      <c r="BO2387" s="9">
        <f t="shared" si="340"/>
        <v>5.18</v>
      </c>
      <c r="BP2387" s="9">
        <f t="shared" si="341"/>
        <v>0</v>
      </c>
    </row>
    <row r="2388" spans="1:68">
      <c r="A2388" s="6">
        <v>44966</v>
      </c>
      <c r="B2388" s="7">
        <v>3016</v>
      </c>
      <c r="C2388" s="8"/>
      <c r="D2388" s="8">
        <v>1666.88</v>
      </c>
      <c r="E2388" s="8"/>
      <c r="F2388" s="8"/>
      <c r="G2388" s="8"/>
      <c r="H2388" s="8"/>
      <c r="I2388" s="8">
        <v>1537.02</v>
      </c>
      <c r="J2388" s="8"/>
      <c r="K2388" s="8"/>
      <c r="L2388" s="8"/>
      <c r="M2388" s="8"/>
      <c r="N2388" s="8">
        <v>19.23</v>
      </c>
      <c r="O2388" s="8"/>
      <c r="P2388" s="8"/>
      <c r="Q2388" s="11"/>
      <c r="R2388" s="11"/>
      <c r="S2388" s="8">
        <v>2.25</v>
      </c>
      <c r="T2388" s="8"/>
      <c r="U2388" s="8"/>
      <c r="V2388" s="8"/>
      <c r="W2388" s="8">
        <v>32.090000000000003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>
        <v>12.71</v>
      </c>
      <c r="AN2388" s="8">
        <f>2060*18.85/1000</f>
        <v>38.831000000000003</v>
      </c>
      <c r="AO2388" s="8"/>
      <c r="AP2388" s="11"/>
      <c r="AQ2388" s="8"/>
      <c r="AR2388" s="8">
        <f>4331*18.85/1000</f>
        <v>81.639350000000007</v>
      </c>
      <c r="AS2388" s="8"/>
      <c r="AT2388" s="8">
        <v>1191.68</v>
      </c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>
        <v>87.08</v>
      </c>
      <c r="BH2388" s="9">
        <f t="shared" si="333"/>
        <v>3203.9</v>
      </c>
      <c r="BI2388" s="9">
        <f t="shared" si="334"/>
        <v>19.23</v>
      </c>
      <c r="BJ2388" s="9">
        <f t="shared" si="335"/>
        <v>2.25</v>
      </c>
      <c r="BK2388" s="9">
        <f t="shared" si="336"/>
        <v>32.090000000000003</v>
      </c>
      <c r="BL2388" s="9">
        <f t="shared" si="337"/>
        <v>0</v>
      </c>
      <c r="BM2388" s="9">
        <f t="shared" si="338"/>
        <v>133.18035</v>
      </c>
      <c r="BN2388" s="9">
        <f t="shared" si="339"/>
        <v>1191.68</v>
      </c>
      <c r="BO2388" s="9">
        <f t="shared" si="340"/>
        <v>0</v>
      </c>
      <c r="BP2388" s="9">
        <f t="shared" si="341"/>
        <v>0</v>
      </c>
    </row>
    <row r="2389" spans="1:68">
      <c r="A2389" s="6">
        <v>44966</v>
      </c>
      <c r="B2389" s="7">
        <v>3409</v>
      </c>
      <c r="C2389" s="8">
        <v>812.64</v>
      </c>
      <c r="D2389" s="8"/>
      <c r="E2389" s="8"/>
      <c r="F2389" s="8"/>
      <c r="G2389" s="8"/>
      <c r="H2389" s="8"/>
      <c r="I2389" s="8"/>
      <c r="J2389" s="8"/>
      <c r="K2389" s="8"/>
      <c r="L2389" s="8"/>
      <c r="M2389" s="8">
        <v>1.89</v>
      </c>
      <c r="N2389" s="8"/>
      <c r="O2389" s="8"/>
      <c r="P2389" s="8"/>
      <c r="Q2389" s="11"/>
      <c r="R2389" s="11"/>
      <c r="S2389" s="8">
        <v>2.04</v>
      </c>
      <c r="T2389" s="8"/>
      <c r="U2389" s="8"/>
      <c r="V2389" s="8"/>
      <c r="W2389" s="8"/>
      <c r="X2389" s="8">
        <f>1009*8.18/1000</f>
        <v>8.2536199999999997</v>
      </c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11"/>
      <c r="AQ2389" s="8"/>
      <c r="AR2389" s="8"/>
      <c r="AS2389" s="8"/>
      <c r="AT2389" s="8">
        <v>418.85</v>
      </c>
      <c r="AU2389" s="8"/>
      <c r="AV2389" s="8">
        <v>24.54</v>
      </c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>
        <v>28.52</v>
      </c>
      <c r="BH2389" s="9">
        <f t="shared" si="333"/>
        <v>812.64</v>
      </c>
      <c r="BI2389" s="9">
        <f t="shared" si="334"/>
        <v>1.89</v>
      </c>
      <c r="BJ2389" s="9">
        <f t="shared" si="335"/>
        <v>2.04</v>
      </c>
      <c r="BK2389" s="9">
        <f t="shared" si="336"/>
        <v>8.2536199999999997</v>
      </c>
      <c r="BL2389" s="9">
        <f t="shared" si="337"/>
        <v>0</v>
      </c>
      <c r="BM2389" s="9">
        <f t="shared" si="338"/>
        <v>0</v>
      </c>
      <c r="BN2389" s="9">
        <f t="shared" si="339"/>
        <v>418.85</v>
      </c>
      <c r="BO2389" s="9">
        <f t="shared" si="340"/>
        <v>24.54</v>
      </c>
      <c r="BP2389" s="9">
        <f t="shared" si="341"/>
        <v>0</v>
      </c>
    </row>
    <row r="2390" spans="1:68">
      <c r="A2390" s="6">
        <v>44966</v>
      </c>
      <c r="B2390" s="7">
        <v>3117</v>
      </c>
      <c r="C2390" s="8">
        <v>783.19</v>
      </c>
      <c r="D2390" s="8"/>
      <c r="E2390" s="8"/>
      <c r="F2390" s="8"/>
      <c r="G2390" s="8"/>
      <c r="H2390" s="8"/>
      <c r="I2390" s="8"/>
      <c r="J2390" s="8"/>
      <c r="K2390" s="8"/>
      <c r="L2390" s="8"/>
      <c r="M2390" s="8">
        <v>2.2799999999999998</v>
      </c>
      <c r="N2390" s="8"/>
      <c r="O2390" s="8"/>
      <c r="P2390" s="8"/>
      <c r="Q2390" s="11"/>
      <c r="R2390" s="11"/>
      <c r="S2390" s="8">
        <v>3.14</v>
      </c>
      <c r="T2390" s="8"/>
      <c r="U2390" s="8">
        <v>7.83</v>
      </c>
      <c r="V2390" s="8"/>
      <c r="W2390" s="8"/>
      <c r="X2390" s="8"/>
      <c r="Y2390" s="8"/>
      <c r="Z2390" s="8"/>
      <c r="AA2390" s="8"/>
      <c r="AB2390" s="8"/>
      <c r="AC2390" s="8">
        <v>3.14</v>
      </c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11"/>
      <c r="AQ2390" s="8"/>
      <c r="AR2390" s="8"/>
      <c r="AS2390" s="8"/>
      <c r="AT2390" s="8">
        <v>491.98</v>
      </c>
      <c r="AU2390" s="8"/>
      <c r="AV2390" s="8">
        <v>19.559999999999999</v>
      </c>
      <c r="AW2390" s="8"/>
      <c r="AX2390" s="8"/>
      <c r="AY2390" s="8"/>
      <c r="AZ2390" s="8"/>
      <c r="BA2390" s="8"/>
      <c r="BB2390" s="8"/>
      <c r="BC2390" s="8"/>
      <c r="BD2390" s="8"/>
      <c r="BE2390" s="8"/>
      <c r="BF2390" s="8">
        <v>39.130000000000003</v>
      </c>
      <c r="BG2390" s="8">
        <v>37.54</v>
      </c>
      <c r="BH2390" s="9">
        <f t="shared" si="333"/>
        <v>783.19</v>
      </c>
      <c r="BI2390" s="9">
        <f t="shared" si="334"/>
        <v>2.2799999999999998</v>
      </c>
      <c r="BJ2390" s="9">
        <f t="shared" si="335"/>
        <v>3.14</v>
      </c>
      <c r="BK2390" s="9">
        <f t="shared" si="336"/>
        <v>7.83</v>
      </c>
      <c r="BL2390" s="9">
        <f t="shared" si="337"/>
        <v>0</v>
      </c>
      <c r="BM2390" s="9">
        <f t="shared" si="338"/>
        <v>3.14</v>
      </c>
      <c r="BN2390" s="9">
        <f t="shared" si="339"/>
        <v>491.98</v>
      </c>
      <c r="BO2390" s="9">
        <f t="shared" si="340"/>
        <v>19.559999999999999</v>
      </c>
      <c r="BP2390" s="9">
        <f t="shared" si="341"/>
        <v>39.130000000000003</v>
      </c>
    </row>
    <row r="2391" spans="1:68">
      <c r="A2391" s="6">
        <v>44966</v>
      </c>
      <c r="B2391" s="7">
        <v>3602</v>
      </c>
      <c r="C2391" s="8">
        <v>563.20000000000005</v>
      </c>
      <c r="D2391" s="8"/>
      <c r="E2391" s="8"/>
      <c r="F2391" s="8"/>
      <c r="G2391" s="8">
        <v>844.43</v>
      </c>
      <c r="H2391" s="8"/>
      <c r="I2391" s="8"/>
      <c r="J2391" s="8"/>
      <c r="K2391" s="8"/>
      <c r="L2391" s="8"/>
      <c r="M2391" s="8">
        <v>1.47</v>
      </c>
      <c r="N2391" s="8"/>
      <c r="O2391" s="8"/>
      <c r="P2391" s="8"/>
      <c r="Q2391" s="11"/>
      <c r="R2391" s="11"/>
      <c r="S2391" s="8">
        <v>6.78</v>
      </c>
      <c r="T2391" s="8"/>
      <c r="U2391" s="8">
        <v>11.32</v>
      </c>
      <c r="V2391" s="8">
        <f>869*16.13/1000</f>
        <v>14.016969999999999</v>
      </c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11"/>
      <c r="AQ2391" s="8"/>
      <c r="AR2391" s="8"/>
      <c r="AS2391" s="8"/>
      <c r="AT2391" s="8">
        <v>570.72</v>
      </c>
      <c r="AU2391" s="8"/>
      <c r="AV2391" s="8"/>
      <c r="AW2391" s="8">
        <v>36.5</v>
      </c>
      <c r="AX2391" s="8"/>
      <c r="AY2391" s="8"/>
      <c r="AZ2391" s="8"/>
      <c r="BA2391" s="8"/>
      <c r="BB2391" s="8"/>
      <c r="BC2391" s="8"/>
      <c r="BD2391" s="8"/>
      <c r="BE2391" s="8"/>
      <c r="BF2391" s="8">
        <v>45.2</v>
      </c>
      <c r="BG2391" s="8">
        <v>42.66</v>
      </c>
      <c r="BH2391" s="9">
        <f t="shared" si="333"/>
        <v>1407.63</v>
      </c>
      <c r="BI2391" s="9">
        <f t="shared" si="334"/>
        <v>1.47</v>
      </c>
      <c r="BJ2391" s="9">
        <f t="shared" si="335"/>
        <v>6.78</v>
      </c>
      <c r="BK2391" s="9">
        <f t="shared" si="336"/>
        <v>25.336970000000001</v>
      </c>
      <c r="BL2391" s="9">
        <f t="shared" si="337"/>
        <v>0</v>
      </c>
      <c r="BM2391" s="9">
        <f t="shared" si="338"/>
        <v>0</v>
      </c>
      <c r="BN2391" s="9">
        <f t="shared" si="339"/>
        <v>570.72</v>
      </c>
      <c r="BO2391" s="9">
        <f t="shared" si="340"/>
        <v>36.5</v>
      </c>
      <c r="BP2391" s="9">
        <f t="shared" si="341"/>
        <v>45.2</v>
      </c>
    </row>
    <row r="2392" spans="1:68">
      <c r="A2392" s="6">
        <v>44967</v>
      </c>
      <c r="B2392" s="7">
        <v>3113</v>
      </c>
      <c r="C2392" s="8">
        <v>1654.39</v>
      </c>
      <c r="D2392" s="8"/>
      <c r="E2392" s="8"/>
      <c r="F2392" s="8"/>
      <c r="G2392" s="8"/>
      <c r="H2392" s="8"/>
      <c r="I2392" s="8"/>
      <c r="J2392" s="8"/>
      <c r="K2392" s="8"/>
      <c r="L2392" s="8"/>
      <c r="M2392" s="8">
        <v>1.65</v>
      </c>
      <c r="N2392" s="8">
        <v>1.65</v>
      </c>
      <c r="O2392" s="8"/>
      <c r="P2392" s="8"/>
      <c r="Q2392" s="11"/>
      <c r="R2392" s="11"/>
      <c r="S2392" s="8">
        <v>4.96</v>
      </c>
      <c r="T2392" s="8"/>
      <c r="U2392" s="8">
        <v>6.53</v>
      </c>
      <c r="V2392" s="8"/>
      <c r="W2392" s="8"/>
      <c r="X2392" s="8"/>
      <c r="Y2392" s="8"/>
      <c r="Z2392" s="8"/>
      <c r="AA2392" s="8"/>
      <c r="AB2392" s="8"/>
      <c r="AC2392" s="8">
        <v>6.61</v>
      </c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11"/>
      <c r="AQ2392" s="8"/>
      <c r="AR2392" s="8"/>
      <c r="AS2392" s="8"/>
      <c r="AT2392" s="8">
        <v>692.8</v>
      </c>
      <c r="AU2392" s="8"/>
      <c r="AV2392" s="8">
        <v>56.16</v>
      </c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>
        <v>49.64</v>
      </c>
      <c r="BH2392" s="9">
        <f t="shared" si="333"/>
        <v>1654.39</v>
      </c>
      <c r="BI2392" s="9">
        <f t="shared" si="334"/>
        <v>3.3</v>
      </c>
      <c r="BJ2392" s="9">
        <f t="shared" si="335"/>
        <v>4.96</v>
      </c>
      <c r="BK2392" s="9">
        <f t="shared" si="336"/>
        <v>6.53</v>
      </c>
      <c r="BL2392" s="9">
        <f t="shared" si="337"/>
        <v>0</v>
      </c>
      <c r="BM2392" s="9">
        <f t="shared" si="338"/>
        <v>6.61</v>
      </c>
      <c r="BN2392" s="9">
        <f t="shared" si="339"/>
        <v>692.8</v>
      </c>
      <c r="BO2392" s="9">
        <f t="shared" si="340"/>
        <v>56.16</v>
      </c>
      <c r="BP2392" s="9">
        <f t="shared" si="341"/>
        <v>0</v>
      </c>
    </row>
    <row r="2393" spans="1:68">
      <c r="A2393" s="6">
        <v>44967</v>
      </c>
      <c r="B2393" s="7">
        <v>3125</v>
      </c>
      <c r="C2393" s="8">
        <v>1087.29</v>
      </c>
      <c r="D2393" s="8"/>
      <c r="E2393" s="8"/>
      <c r="F2393" s="8"/>
      <c r="G2393" s="8"/>
      <c r="H2393" s="8"/>
      <c r="I2393" s="8"/>
      <c r="J2393" s="8"/>
      <c r="K2393" s="8"/>
      <c r="L2393" s="8"/>
      <c r="M2393" s="8">
        <v>2.81</v>
      </c>
      <c r="N2393" s="8"/>
      <c r="O2393" s="8"/>
      <c r="P2393" s="8"/>
      <c r="Q2393" s="11"/>
      <c r="R2393" s="11"/>
      <c r="S2393" s="8">
        <v>3.24</v>
      </c>
      <c r="T2393" s="8"/>
      <c r="U2393" s="8">
        <v>13.82</v>
      </c>
      <c r="V2393" s="8"/>
      <c r="W2393" s="8"/>
      <c r="X2393" s="8"/>
      <c r="Y2393" s="8"/>
      <c r="Z2393" s="8"/>
      <c r="AA2393" s="8"/>
      <c r="AB2393" s="8"/>
      <c r="AC2393" s="8">
        <v>4.3499999999999996</v>
      </c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11"/>
      <c r="AQ2393" s="8"/>
      <c r="AR2393" s="8"/>
      <c r="AS2393" s="8"/>
      <c r="AT2393" s="8">
        <v>620.98</v>
      </c>
      <c r="AU2393" s="8"/>
      <c r="AV2393" s="8">
        <v>16.34</v>
      </c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>
        <v>46.82</v>
      </c>
      <c r="BH2393" s="9">
        <f t="shared" si="333"/>
        <v>1087.29</v>
      </c>
      <c r="BI2393" s="9">
        <f t="shared" si="334"/>
        <v>2.81</v>
      </c>
      <c r="BJ2393" s="9">
        <f t="shared" si="335"/>
        <v>3.24</v>
      </c>
      <c r="BK2393" s="9">
        <f t="shared" si="336"/>
        <v>13.82</v>
      </c>
      <c r="BL2393" s="9">
        <f t="shared" si="337"/>
        <v>0</v>
      </c>
      <c r="BM2393" s="9">
        <f t="shared" si="338"/>
        <v>4.3499999999999996</v>
      </c>
      <c r="BN2393" s="9">
        <f t="shared" si="339"/>
        <v>620.98</v>
      </c>
      <c r="BO2393" s="9">
        <f t="shared" si="340"/>
        <v>16.34</v>
      </c>
      <c r="BP2393" s="9">
        <f t="shared" si="341"/>
        <v>0</v>
      </c>
    </row>
    <row r="2394" spans="1:68">
      <c r="A2394" s="6">
        <v>44967</v>
      </c>
      <c r="B2394" s="7">
        <v>3145</v>
      </c>
      <c r="C2394" s="8">
        <v>1245.8900000000001</v>
      </c>
      <c r="D2394" s="8">
        <v>219.23</v>
      </c>
      <c r="E2394" s="8"/>
      <c r="F2394" s="8"/>
      <c r="G2394" s="8"/>
      <c r="H2394" s="8"/>
      <c r="I2394" s="8"/>
      <c r="J2394" s="8"/>
      <c r="K2394" s="8"/>
      <c r="L2394" s="8"/>
      <c r="M2394" s="8">
        <v>4.25</v>
      </c>
      <c r="N2394" s="8"/>
      <c r="O2394" s="8"/>
      <c r="P2394" s="8"/>
      <c r="Q2394" s="11"/>
      <c r="R2394" s="11"/>
      <c r="S2394" s="8">
        <v>6.88</v>
      </c>
      <c r="T2394" s="8"/>
      <c r="U2394" s="8">
        <v>21.93</v>
      </c>
      <c r="V2394" s="8"/>
      <c r="W2394" s="8"/>
      <c r="X2394" s="8"/>
      <c r="Y2394" s="8"/>
      <c r="Z2394" s="8"/>
      <c r="AA2394" s="8"/>
      <c r="AB2394" s="8"/>
      <c r="AC2394" s="8">
        <v>5.86</v>
      </c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11"/>
      <c r="AQ2394" s="8"/>
      <c r="AR2394" s="8"/>
      <c r="AS2394" s="8"/>
      <c r="AT2394" s="8">
        <v>961.53</v>
      </c>
      <c r="AU2394" s="8"/>
      <c r="AV2394" s="8"/>
      <c r="AW2394" s="8"/>
      <c r="AX2394" s="8"/>
      <c r="AY2394" s="8"/>
      <c r="AZ2394" s="8"/>
      <c r="BA2394" s="8"/>
      <c r="BB2394" s="8"/>
      <c r="BC2394" s="8"/>
      <c r="BD2394" s="8">
        <v>3.66</v>
      </c>
      <c r="BE2394" s="8">
        <f>1349*9.75/1000</f>
        <v>13.152749999999999</v>
      </c>
      <c r="BF2394" s="8">
        <v>102.33</v>
      </c>
      <c r="BG2394" s="8">
        <v>76.06</v>
      </c>
      <c r="BH2394" s="9">
        <f t="shared" si="333"/>
        <v>1465.1200000000001</v>
      </c>
      <c r="BI2394" s="9">
        <f t="shared" si="334"/>
        <v>4.25</v>
      </c>
      <c r="BJ2394" s="9">
        <f t="shared" si="335"/>
        <v>6.88</v>
      </c>
      <c r="BK2394" s="9">
        <f t="shared" si="336"/>
        <v>21.93</v>
      </c>
      <c r="BL2394" s="9">
        <f t="shared" si="337"/>
        <v>0</v>
      </c>
      <c r="BM2394" s="9">
        <f t="shared" si="338"/>
        <v>5.86</v>
      </c>
      <c r="BN2394" s="9">
        <f t="shared" si="339"/>
        <v>961.53</v>
      </c>
      <c r="BO2394" s="9">
        <f t="shared" si="340"/>
        <v>16.812750000000001</v>
      </c>
      <c r="BP2394" s="9">
        <f t="shared" si="341"/>
        <v>102.33</v>
      </c>
    </row>
    <row r="2395" spans="1:68">
      <c r="A2395" s="6">
        <v>44967</v>
      </c>
      <c r="B2395" s="7">
        <v>3141</v>
      </c>
      <c r="C2395" s="8">
        <v>1121.96</v>
      </c>
      <c r="D2395" s="8">
        <v>197.78</v>
      </c>
      <c r="E2395" s="8"/>
      <c r="F2395" s="8"/>
      <c r="G2395" s="8"/>
      <c r="H2395" s="8"/>
      <c r="I2395" s="8"/>
      <c r="J2395" s="8"/>
      <c r="K2395" s="8"/>
      <c r="L2395" s="8"/>
      <c r="M2395" s="8">
        <v>3.82</v>
      </c>
      <c r="N2395" s="8"/>
      <c r="O2395" s="8"/>
      <c r="P2395" s="8"/>
      <c r="Q2395" s="11"/>
      <c r="R2395" s="11"/>
      <c r="S2395" s="8">
        <v>6.2</v>
      </c>
      <c r="T2395" s="8"/>
      <c r="U2395" s="8">
        <v>19.79</v>
      </c>
      <c r="V2395" s="8"/>
      <c r="W2395" s="8"/>
      <c r="X2395" s="8"/>
      <c r="Y2395" s="8"/>
      <c r="Z2395" s="8"/>
      <c r="AA2395" s="8"/>
      <c r="AB2395" s="8"/>
      <c r="AC2395" s="8">
        <v>5.28</v>
      </c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11"/>
      <c r="AQ2395" s="8"/>
      <c r="AR2395" s="8"/>
      <c r="AS2395" s="8"/>
      <c r="AT2395" s="8">
        <v>871.94</v>
      </c>
      <c r="AU2395" s="8"/>
      <c r="AV2395" s="8"/>
      <c r="AW2395" s="8"/>
      <c r="AX2395" s="8"/>
      <c r="AY2395" s="8"/>
      <c r="AZ2395" s="8"/>
      <c r="BA2395" s="8">
        <v>30.23</v>
      </c>
      <c r="BB2395" s="8"/>
      <c r="BC2395" s="8"/>
      <c r="BD2395" s="8"/>
      <c r="BE2395" s="8"/>
      <c r="BF2395" s="8">
        <v>92.34</v>
      </c>
      <c r="BG2395" s="8">
        <v>68.56</v>
      </c>
      <c r="BH2395" s="9">
        <f t="shared" si="333"/>
        <v>1319.74</v>
      </c>
      <c r="BI2395" s="9">
        <f t="shared" si="334"/>
        <v>3.82</v>
      </c>
      <c r="BJ2395" s="9">
        <f t="shared" si="335"/>
        <v>6.2</v>
      </c>
      <c r="BK2395" s="9">
        <f t="shared" si="336"/>
        <v>19.79</v>
      </c>
      <c r="BL2395" s="9">
        <f t="shared" si="337"/>
        <v>0</v>
      </c>
      <c r="BM2395" s="9">
        <f t="shared" si="338"/>
        <v>5.28</v>
      </c>
      <c r="BN2395" s="9">
        <f t="shared" si="339"/>
        <v>871.94</v>
      </c>
      <c r="BO2395" s="9">
        <f t="shared" si="340"/>
        <v>30.23</v>
      </c>
      <c r="BP2395" s="9">
        <f t="shared" si="341"/>
        <v>92.34</v>
      </c>
    </row>
    <row r="2396" spans="1:68">
      <c r="A2396" s="6">
        <v>44967</v>
      </c>
      <c r="B2396" s="7">
        <v>3135</v>
      </c>
      <c r="C2396" s="8">
        <v>1117.28</v>
      </c>
      <c r="D2396" s="8">
        <v>157.56</v>
      </c>
      <c r="E2396" s="8"/>
      <c r="F2396" s="8"/>
      <c r="G2396" s="8"/>
      <c r="H2396" s="8">
        <v>529.22</v>
      </c>
      <c r="I2396" s="8"/>
      <c r="J2396" s="8"/>
      <c r="K2396" s="8"/>
      <c r="L2396" s="8"/>
      <c r="M2396" s="8">
        <v>3.18</v>
      </c>
      <c r="N2396" s="8"/>
      <c r="O2396" s="8"/>
      <c r="P2396" s="8"/>
      <c r="Q2396" s="11"/>
      <c r="R2396" s="11"/>
      <c r="S2396" s="8">
        <v>7.23</v>
      </c>
      <c r="T2396" s="8"/>
      <c r="U2396" s="8">
        <v>20.440000000000001</v>
      </c>
      <c r="V2396" s="8"/>
      <c r="W2396" s="8"/>
      <c r="X2396" s="8"/>
      <c r="Y2396" s="8"/>
      <c r="Z2396" s="8"/>
      <c r="AA2396" s="8"/>
      <c r="AB2396" s="8"/>
      <c r="AC2396" s="8">
        <v>6.28</v>
      </c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11"/>
      <c r="AQ2396" s="8"/>
      <c r="AR2396" s="8"/>
      <c r="AS2396" s="8"/>
      <c r="AT2396" s="8">
        <v>1103.3699999999999</v>
      </c>
      <c r="AU2396" s="8"/>
      <c r="AV2396" s="8"/>
      <c r="AW2396" s="8"/>
      <c r="AX2396" s="8"/>
      <c r="AY2396" s="8"/>
      <c r="AZ2396" s="8"/>
      <c r="BA2396" s="8">
        <v>35.85</v>
      </c>
      <c r="BB2396" s="8"/>
      <c r="BC2396" s="8"/>
      <c r="BD2396" s="8"/>
      <c r="BE2396" s="8"/>
      <c r="BF2396" s="8">
        <v>70.650000000000006</v>
      </c>
      <c r="BG2396" s="8">
        <v>83.27</v>
      </c>
      <c r="BH2396" s="9">
        <f t="shared" si="333"/>
        <v>1804.06</v>
      </c>
      <c r="BI2396" s="9">
        <f t="shared" si="334"/>
        <v>3.18</v>
      </c>
      <c r="BJ2396" s="9">
        <f t="shared" si="335"/>
        <v>7.23</v>
      </c>
      <c r="BK2396" s="9">
        <f t="shared" si="336"/>
        <v>20.440000000000001</v>
      </c>
      <c r="BL2396" s="9">
        <f t="shared" si="337"/>
        <v>0</v>
      </c>
      <c r="BM2396" s="9">
        <f t="shared" si="338"/>
        <v>6.28</v>
      </c>
      <c r="BN2396" s="9">
        <f t="shared" si="339"/>
        <v>1103.3699999999999</v>
      </c>
      <c r="BO2396" s="9">
        <f t="shared" si="340"/>
        <v>35.85</v>
      </c>
      <c r="BP2396" s="9">
        <f t="shared" si="341"/>
        <v>70.650000000000006</v>
      </c>
    </row>
    <row r="2397" spans="1:68">
      <c r="A2397" s="6">
        <v>44967</v>
      </c>
      <c r="B2397" s="7">
        <v>3134</v>
      </c>
      <c r="C2397" s="8">
        <v>1058.81</v>
      </c>
      <c r="D2397" s="8">
        <v>148.19999999999999</v>
      </c>
      <c r="E2397" s="8"/>
      <c r="F2397" s="8"/>
      <c r="G2397" s="8"/>
      <c r="H2397" s="8">
        <v>501.54</v>
      </c>
      <c r="I2397" s="8"/>
      <c r="J2397" s="8"/>
      <c r="K2397" s="8"/>
      <c r="L2397" s="8"/>
      <c r="M2397" s="8">
        <v>2.97</v>
      </c>
      <c r="N2397" s="8"/>
      <c r="O2397" s="8"/>
      <c r="P2397" s="8"/>
      <c r="Q2397" s="11"/>
      <c r="R2397" s="11"/>
      <c r="S2397" s="8">
        <v>6.84</v>
      </c>
      <c r="T2397" s="8"/>
      <c r="U2397" s="8">
        <v>19.34</v>
      </c>
      <c r="V2397" s="8"/>
      <c r="W2397" s="8"/>
      <c r="X2397" s="8"/>
      <c r="Y2397" s="8"/>
      <c r="Z2397" s="8"/>
      <c r="AA2397" s="8"/>
      <c r="AB2397" s="8"/>
      <c r="AC2397" s="8">
        <v>5.94</v>
      </c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11"/>
      <c r="AQ2397" s="8"/>
      <c r="AR2397" s="8"/>
      <c r="AS2397" s="8"/>
      <c r="AT2397" s="8">
        <v>1046.3699999999999</v>
      </c>
      <c r="AU2397" s="8"/>
      <c r="AV2397" s="8"/>
      <c r="AW2397" s="8"/>
      <c r="AX2397" s="8"/>
      <c r="AY2397" s="8">
        <f>1407*10.62/1000</f>
        <v>14.942339999999998</v>
      </c>
      <c r="AZ2397" s="8"/>
      <c r="BA2397" s="8"/>
      <c r="BB2397" s="8"/>
      <c r="BC2397" s="8"/>
      <c r="BD2397" s="8"/>
      <c r="BE2397" s="8"/>
      <c r="BF2397" s="8">
        <v>66.87</v>
      </c>
      <c r="BG2397" s="8">
        <v>78.72</v>
      </c>
      <c r="BH2397" s="9">
        <f t="shared" si="333"/>
        <v>1708.55</v>
      </c>
      <c r="BI2397" s="9">
        <f t="shared" si="334"/>
        <v>2.97</v>
      </c>
      <c r="BJ2397" s="9">
        <f t="shared" si="335"/>
        <v>6.84</v>
      </c>
      <c r="BK2397" s="9">
        <f t="shared" si="336"/>
        <v>19.34</v>
      </c>
      <c r="BL2397" s="9">
        <f t="shared" si="337"/>
        <v>0</v>
      </c>
      <c r="BM2397" s="9">
        <f t="shared" si="338"/>
        <v>5.94</v>
      </c>
      <c r="BN2397" s="9">
        <f t="shared" si="339"/>
        <v>1046.3699999999999</v>
      </c>
      <c r="BO2397" s="9">
        <f t="shared" si="340"/>
        <v>14.942339999999998</v>
      </c>
      <c r="BP2397" s="9">
        <f t="shared" si="341"/>
        <v>66.87</v>
      </c>
    </row>
    <row r="2398" spans="1:68">
      <c r="A2398" s="6">
        <v>44967</v>
      </c>
      <c r="B2398" s="7">
        <v>3106</v>
      </c>
      <c r="C2398" s="8">
        <v>4158.6899999999996</v>
      </c>
      <c r="D2398" s="8"/>
      <c r="E2398" s="8"/>
      <c r="F2398" s="8"/>
      <c r="G2398" s="8"/>
      <c r="H2398" s="8"/>
      <c r="I2398" s="8"/>
      <c r="J2398" s="8"/>
      <c r="K2398" s="8"/>
      <c r="L2398" s="8"/>
      <c r="M2398" s="8">
        <v>11.24</v>
      </c>
      <c r="N2398" s="8"/>
      <c r="O2398" s="8"/>
      <c r="P2398" s="8"/>
      <c r="Q2398" s="11"/>
      <c r="R2398" s="11"/>
      <c r="S2398" s="8">
        <v>12.52</v>
      </c>
      <c r="T2398" s="8"/>
      <c r="U2398" s="8">
        <v>52.96</v>
      </c>
      <c r="V2398" s="8"/>
      <c r="W2398" s="8"/>
      <c r="X2398" s="8"/>
      <c r="Y2398" s="8"/>
      <c r="Z2398" s="8"/>
      <c r="AA2398" s="8"/>
      <c r="AB2398" s="8"/>
      <c r="AC2398" s="8">
        <v>10.41</v>
      </c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11"/>
      <c r="AQ2398" s="8"/>
      <c r="AR2398" s="8"/>
      <c r="AS2398" s="8"/>
      <c r="AT2398" s="8">
        <v>2374.92</v>
      </c>
      <c r="AU2398" s="8"/>
      <c r="AV2398" s="8"/>
      <c r="AW2398" s="8"/>
      <c r="AX2398" s="8">
        <v>5.21</v>
      </c>
      <c r="AY2398" s="8"/>
      <c r="AZ2398" s="8"/>
      <c r="BA2398" s="8"/>
      <c r="BB2398" s="8"/>
      <c r="BC2398" s="8"/>
      <c r="BD2398" s="8"/>
      <c r="BE2398" s="8"/>
      <c r="BF2398" s="8"/>
      <c r="BG2398" s="8">
        <v>179.69</v>
      </c>
      <c r="BH2398" s="9">
        <f t="shared" si="333"/>
        <v>4158.6899999999996</v>
      </c>
      <c r="BI2398" s="9">
        <f t="shared" si="334"/>
        <v>11.24</v>
      </c>
      <c r="BJ2398" s="9">
        <f t="shared" si="335"/>
        <v>12.52</v>
      </c>
      <c r="BK2398" s="9">
        <f t="shared" si="336"/>
        <v>52.96</v>
      </c>
      <c r="BL2398" s="9">
        <f t="shared" si="337"/>
        <v>0</v>
      </c>
      <c r="BM2398" s="9">
        <f t="shared" si="338"/>
        <v>10.41</v>
      </c>
      <c r="BN2398" s="9">
        <f t="shared" si="339"/>
        <v>2374.92</v>
      </c>
      <c r="BO2398" s="9">
        <f t="shared" si="340"/>
        <v>5.21</v>
      </c>
      <c r="BP2398" s="9">
        <f t="shared" si="341"/>
        <v>0</v>
      </c>
    </row>
    <row r="2399" spans="1:68">
      <c r="A2399" s="6">
        <v>44967</v>
      </c>
      <c r="B2399" s="7">
        <v>3029</v>
      </c>
      <c r="C2399" s="8"/>
      <c r="D2399" s="8">
        <v>453.09</v>
      </c>
      <c r="E2399" s="8"/>
      <c r="F2399" s="8">
        <v>319.83999999999997</v>
      </c>
      <c r="G2399" s="8"/>
      <c r="H2399" s="8"/>
      <c r="I2399" s="8">
        <v>1892.81</v>
      </c>
      <c r="J2399" s="8"/>
      <c r="K2399" s="8"/>
      <c r="L2399" s="8"/>
      <c r="M2399" s="8"/>
      <c r="N2399" s="8">
        <v>20.56</v>
      </c>
      <c r="O2399" s="8"/>
      <c r="P2399" s="8"/>
      <c r="Q2399" s="11"/>
      <c r="R2399" s="11"/>
      <c r="S2399" s="8">
        <v>1.59</v>
      </c>
      <c r="T2399" s="8"/>
      <c r="U2399" s="8"/>
      <c r="V2399" s="8"/>
      <c r="W2399" s="8">
        <v>26.71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>
        <v>9.23</v>
      </c>
      <c r="AN2399" s="8">
        <f>765*17.8/1000</f>
        <v>13.617000000000001</v>
      </c>
      <c r="AO2399" s="8"/>
      <c r="AP2399" s="11"/>
      <c r="AQ2399" s="8"/>
      <c r="AR2399" s="8">
        <f>4523*17.8/1000</f>
        <v>80.509400000000014</v>
      </c>
      <c r="AS2399" s="8"/>
      <c r="AT2399" s="8">
        <v>1013.21</v>
      </c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>
        <v>70.83</v>
      </c>
      <c r="BH2399" s="9">
        <f t="shared" si="333"/>
        <v>2665.74</v>
      </c>
      <c r="BI2399" s="9">
        <f t="shared" si="334"/>
        <v>20.56</v>
      </c>
      <c r="BJ2399" s="9">
        <f t="shared" si="335"/>
        <v>1.59</v>
      </c>
      <c r="BK2399" s="9">
        <f t="shared" si="336"/>
        <v>26.71</v>
      </c>
      <c r="BL2399" s="9">
        <f t="shared" si="337"/>
        <v>0</v>
      </c>
      <c r="BM2399" s="9">
        <f t="shared" si="338"/>
        <v>103.35640000000001</v>
      </c>
      <c r="BN2399" s="9">
        <f t="shared" si="339"/>
        <v>1013.21</v>
      </c>
      <c r="BO2399" s="9">
        <f t="shared" si="340"/>
        <v>0</v>
      </c>
      <c r="BP2399" s="9">
        <f t="shared" si="341"/>
        <v>0</v>
      </c>
    </row>
    <row r="2400" spans="1:68">
      <c r="A2400" s="6">
        <v>44967</v>
      </c>
      <c r="B2400" s="7">
        <v>3083</v>
      </c>
      <c r="C2400" s="8"/>
      <c r="D2400" s="8">
        <v>720.72</v>
      </c>
      <c r="E2400" s="8"/>
      <c r="F2400" s="8"/>
      <c r="G2400" s="8"/>
      <c r="H2400" s="8"/>
      <c r="I2400" s="8">
        <v>1679.66</v>
      </c>
      <c r="J2400" s="8"/>
      <c r="K2400" s="8"/>
      <c r="L2400" s="8"/>
      <c r="M2400" s="8"/>
      <c r="N2400" s="8">
        <v>15.13</v>
      </c>
      <c r="O2400" s="8"/>
      <c r="P2400" s="8"/>
      <c r="Q2400" s="11"/>
      <c r="R2400" s="11"/>
      <c r="S2400" s="8">
        <v>1.67</v>
      </c>
      <c r="T2400" s="8"/>
      <c r="U2400" s="8"/>
      <c r="V2400" s="8"/>
      <c r="W2400" s="8">
        <v>19.22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>
        <v>9.52</v>
      </c>
      <c r="AN2400" s="8">
        <f>1902*17.77/1000</f>
        <v>33.798540000000003</v>
      </c>
      <c r="AO2400" s="8"/>
      <c r="AP2400" s="11"/>
      <c r="AQ2400" s="8"/>
      <c r="AR2400" s="8">
        <f>3381*17.77/1000</f>
        <v>60.080369999999995</v>
      </c>
      <c r="AS2400" s="8"/>
      <c r="AT2400" s="8">
        <v>1127.5899999999999</v>
      </c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>
        <v>89.41</v>
      </c>
      <c r="BH2400" s="9">
        <f t="shared" si="333"/>
        <v>2400.38</v>
      </c>
      <c r="BI2400" s="9">
        <f t="shared" si="334"/>
        <v>15.13</v>
      </c>
      <c r="BJ2400" s="9">
        <f t="shared" si="335"/>
        <v>1.67</v>
      </c>
      <c r="BK2400" s="9">
        <f t="shared" si="336"/>
        <v>19.22</v>
      </c>
      <c r="BL2400" s="9">
        <f t="shared" si="337"/>
        <v>0</v>
      </c>
      <c r="BM2400" s="9">
        <f t="shared" si="338"/>
        <v>103.39891</v>
      </c>
      <c r="BN2400" s="9">
        <f t="shared" si="339"/>
        <v>1127.5899999999999</v>
      </c>
      <c r="BO2400" s="9">
        <f t="shared" si="340"/>
        <v>0</v>
      </c>
      <c r="BP2400" s="9">
        <f t="shared" si="341"/>
        <v>0</v>
      </c>
    </row>
    <row r="2401" spans="1:68">
      <c r="A2401" s="6">
        <v>44967</v>
      </c>
      <c r="B2401" s="7">
        <v>3022</v>
      </c>
      <c r="C2401" s="8"/>
      <c r="D2401" s="8">
        <v>568.94000000000005</v>
      </c>
      <c r="E2401" s="8"/>
      <c r="F2401" s="8"/>
      <c r="G2401" s="8"/>
      <c r="H2401" s="8"/>
      <c r="I2401" s="8">
        <v>465.23</v>
      </c>
      <c r="J2401" s="8"/>
      <c r="K2401" s="8"/>
      <c r="L2401" s="8"/>
      <c r="M2401" s="8"/>
      <c r="N2401" s="8">
        <v>5.17</v>
      </c>
      <c r="O2401" s="8"/>
      <c r="P2401" s="8"/>
      <c r="Q2401" s="11"/>
      <c r="R2401" s="11"/>
      <c r="S2401" s="8">
        <v>1.86</v>
      </c>
      <c r="T2401" s="8"/>
      <c r="U2401" s="8"/>
      <c r="V2401" s="8"/>
      <c r="W2401" s="8">
        <v>10.35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>
        <v>13.42</v>
      </c>
      <c r="AN2401" s="8"/>
      <c r="AO2401" s="8"/>
      <c r="AP2401" s="11"/>
      <c r="AQ2401" s="8"/>
      <c r="AR2401" s="8"/>
      <c r="AS2401" s="8">
        <f>3862*9.38/1000</f>
        <v>36.225560000000002</v>
      </c>
      <c r="AT2401" s="8">
        <v>483.13</v>
      </c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>
        <v>37.19</v>
      </c>
      <c r="BH2401" s="9">
        <f t="shared" si="333"/>
        <v>1034.17</v>
      </c>
      <c r="BI2401" s="9">
        <f t="shared" si="334"/>
        <v>5.17</v>
      </c>
      <c r="BJ2401" s="9">
        <f t="shared" si="335"/>
        <v>1.86</v>
      </c>
      <c r="BK2401" s="9">
        <f t="shared" si="336"/>
        <v>10.35</v>
      </c>
      <c r="BL2401" s="9">
        <f t="shared" si="337"/>
        <v>0</v>
      </c>
      <c r="BM2401" s="9">
        <f t="shared" si="338"/>
        <v>49.645560000000003</v>
      </c>
      <c r="BN2401" s="9">
        <f t="shared" si="339"/>
        <v>483.13</v>
      </c>
      <c r="BO2401" s="9">
        <f t="shared" si="340"/>
        <v>0</v>
      </c>
      <c r="BP2401" s="9">
        <f t="shared" si="341"/>
        <v>0</v>
      </c>
    </row>
    <row r="2402" spans="1:68">
      <c r="A2402" s="6">
        <v>44967</v>
      </c>
      <c r="B2402" s="7">
        <v>3028</v>
      </c>
      <c r="C2402" s="8"/>
      <c r="D2402" s="8">
        <v>390.91</v>
      </c>
      <c r="E2402" s="8"/>
      <c r="F2402" s="8">
        <v>360.66</v>
      </c>
      <c r="G2402" s="8"/>
      <c r="H2402" s="8"/>
      <c r="I2402" s="8">
        <v>814</v>
      </c>
      <c r="J2402" s="8"/>
      <c r="K2402" s="8"/>
      <c r="L2402" s="8"/>
      <c r="M2402" s="8"/>
      <c r="N2402" s="8">
        <v>11.73</v>
      </c>
      <c r="O2402" s="8"/>
      <c r="P2402" s="8"/>
      <c r="Q2402" s="11"/>
      <c r="R2402" s="11"/>
      <c r="S2402" s="8">
        <v>2.19</v>
      </c>
      <c r="T2402" s="8"/>
      <c r="U2402" s="8"/>
      <c r="V2402" s="8"/>
      <c r="W2402" s="8">
        <v>11.75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>
        <v>15.62</v>
      </c>
      <c r="AN2402" s="8">
        <f>1048*10.43/1000</f>
        <v>10.930639999999999</v>
      </c>
      <c r="AO2402" s="8"/>
      <c r="AP2402" s="11"/>
      <c r="AQ2402" s="8"/>
      <c r="AR2402" s="8"/>
      <c r="AS2402" s="8">
        <f>4937*10.43/1000</f>
        <v>51.492909999999995</v>
      </c>
      <c r="AT2402" s="8">
        <v>523.19000000000005</v>
      </c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>
        <v>35.57</v>
      </c>
      <c r="BH2402" s="9">
        <f t="shared" si="333"/>
        <v>1565.5700000000002</v>
      </c>
      <c r="BI2402" s="9">
        <f t="shared" si="334"/>
        <v>11.73</v>
      </c>
      <c r="BJ2402" s="9">
        <f t="shared" si="335"/>
        <v>2.19</v>
      </c>
      <c r="BK2402" s="9">
        <f t="shared" si="336"/>
        <v>11.75</v>
      </c>
      <c r="BL2402" s="9">
        <f t="shared" si="337"/>
        <v>0</v>
      </c>
      <c r="BM2402" s="9">
        <f t="shared" si="338"/>
        <v>78.043549999999996</v>
      </c>
      <c r="BN2402" s="9">
        <f t="shared" si="339"/>
        <v>523.19000000000005</v>
      </c>
      <c r="BO2402" s="9">
        <f t="shared" si="340"/>
        <v>0</v>
      </c>
      <c r="BP2402" s="9">
        <f t="shared" si="341"/>
        <v>0</v>
      </c>
    </row>
    <row r="2403" spans="1:68">
      <c r="A2403" s="6">
        <v>44970</v>
      </c>
      <c r="B2403" s="7">
        <v>3200</v>
      </c>
      <c r="C2403" s="8">
        <v>2308.48</v>
      </c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>
        <v>5.77</v>
      </c>
      <c r="P2403" s="8"/>
      <c r="Q2403" s="11"/>
      <c r="R2403" s="11"/>
      <c r="S2403" s="8">
        <v>9.01</v>
      </c>
      <c r="T2403" s="8"/>
      <c r="U2403" s="8">
        <v>34.68</v>
      </c>
      <c r="V2403" s="8"/>
      <c r="W2403" s="8"/>
      <c r="X2403" s="8"/>
      <c r="Y2403" s="8"/>
      <c r="Z2403" s="8">
        <v>485.97</v>
      </c>
      <c r="AA2403" s="8"/>
      <c r="AB2403" s="8"/>
      <c r="AC2403" s="8"/>
      <c r="AD2403" s="8"/>
      <c r="AE2403" s="8"/>
      <c r="AF2403" s="8">
        <v>114.42</v>
      </c>
      <c r="AG2403" s="8"/>
      <c r="AH2403" s="8"/>
      <c r="AI2403" s="8"/>
      <c r="AJ2403" s="8"/>
      <c r="AK2403" s="8"/>
      <c r="AL2403" s="8"/>
      <c r="AM2403" s="8"/>
      <c r="AN2403" s="8"/>
      <c r="AO2403" s="8"/>
      <c r="AP2403" s="11"/>
      <c r="AQ2403" s="8">
        <f>1516*23.12/1000</f>
        <v>35.04992</v>
      </c>
      <c r="AR2403" s="8"/>
      <c r="AS2403" s="8"/>
      <c r="AT2403" s="8">
        <v>1578.48</v>
      </c>
      <c r="AU2403" s="8"/>
      <c r="AV2403" s="8"/>
      <c r="AW2403" s="8">
        <v>6.8</v>
      </c>
      <c r="AX2403" s="8"/>
      <c r="AY2403" s="8"/>
      <c r="AZ2403" s="8"/>
      <c r="BA2403" s="8"/>
      <c r="BB2403" s="8"/>
      <c r="BC2403" s="8"/>
      <c r="BD2403" s="8"/>
      <c r="BE2403" s="8"/>
      <c r="BF2403" s="8">
        <v>110.98</v>
      </c>
      <c r="BG2403" s="8">
        <v>114.81</v>
      </c>
      <c r="BH2403" s="9">
        <f t="shared" si="333"/>
        <v>2308.48</v>
      </c>
      <c r="BI2403" s="9">
        <f t="shared" si="334"/>
        <v>5.77</v>
      </c>
      <c r="BJ2403" s="9">
        <f t="shared" si="335"/>
        <v>9.01</v>
      </c>
      <c r="BK2403" s="9">
        <f t="shared" si="336"/>
        <v>34.68</v>
      </c>
      <c r="BL2403" s="9">
        <f t="shared" si="337"/>
        <v>485.97</v>
      </c>
      <c r="BM2403" s="9">
        <f t="shared" si="338"/>
        <v>149.46992</v>
      </c>
      <c r="BN2403" s="9">
        <f t="shared" si="339"/>
        <v>1578.48</v>
      </c>
      <c r="BO2403" s="9">
        <f t="shared" si="340"/>
        <v>6.8</v>
      </c>
      <c r="BP2403" s="9">
        <f t="shared" si="341"/>
        <v>110.98</v>
      </c>
    </row>
    <row r="2404" spans="1:68">
      <c r="A2404" s="6">
        <v>44970</v>
      </c>
      <c r="B2404" s="7">
        <v>3402</v>
      </c>
      <c r="C2404" s="8">
        <v>467.84</v>
      </c>
      <c r="D2404" s="8">
        <v>316.91000000000003</v>
      </c>
      <c r="E2404" s="8"/>
      <c r="F2404" s="8"/>
      <c r="G2404" s="8"/>
      <c r="H2404" s="8"/>
      <c r="I2404" s="8"/>
      <c r="J2404" s="8"/>
      <c r="K2404" s="8"/>
      <c r="L2404" s="8"/>
      <c r="M2404" s="8">
        <v>2.0099999999999998</v>
      </c>
      <c r="N2404" s="8"/>
      <c r="O2404" s="8"/>
      <c r="P2404" s="8"/>
      <c r="Q2404" s="11"/>
      <c r="R2404" s="11"/>
      <c r="S2404" s="8">
        <v>1.83</v>
      </c>
      <c r="T2404" s="8"/>
      <c r="U2404" s="8"/>
      <c r="V2404" s="8"/>
      <c r="W2404" s="8"/>
      <c r="X2404" s="8">
        <f>1024*7.93/1000</f>
        <v>8.1203199999999995</v>
      </c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11"/>
      <c r="AQ2404" s="8"/>
      <c r="AR2404" s="8"/>
      <c r="AS2404" s="8"/>
      <c r="AT2404" s="8">
        <v>372.83</v>
      </c>
      <c r="AU2404" s="8"/>
      <c r="AV2404" s="8"/>
      <c r="AW2404" s="8"/>
      <c r="AX2404" s="8"/>
      <c r="AY2404" s="8"/>
      <c r="AZ2404" s="8"/>
      <c r="BA2404" s="8">
        <v>3.54</v>
      </c>
      <c r="BB2404" s="8"/>
      <c r="BC2404" s="8"/>
      <c r="BD2404" s="8"/>
      <c r="BE2404" s="8"/>
      <c r="BF2404" s="8"/>
      <c r="BG2404" s="8">
        <v>26.23</v>
      </c>
      <c r="BH2404" s="9">
        <f t="shared" si="333"/>
        <v>784.75</v>
      </c>
      <c r="BI2404" s="9">
        <f t="shared" si="334"/>
        <v>2.0099999999999998</v>
      </c>
      <c r="BJ2404" s="9">
        <f t="shared" si="335"/>
        <v>1.83</v>
      </c>
      <c r="BK2404" s="9">
        <f t="shared" si="336"/>
        <v>8.1203199999999995</v>
      </c>
      <c r="BL2404" s="9">
        <f t="shared" si="337"/>
        <v>0</v>
      </c>
      <c r="BM2404" s="9">
        <f t="shared" si="338"/>
        <v>0</v>
      </c>
      <c r="BN2404" s="9">
        <f t="shared" si="339"/>
        <v>372.83</v>
      </c>
      <c r="BO2404" s="9">
        <f t="shared" si="340"/>
        <v>3.54</v>
      </c>
      <c r="BP2404" s="9">
        <f t="shared" si="341"/>
        <v>0</v>
      </c>
    </row>
    <row r="2405" spans="1:68">
      <c r="A2405" s="6">
        <v>44970</v>
      </c>
      <c r="B2405" s="7">
        <v>3141</v>
      </c>
      <c r="C2405" s="8">
        <v>1273.75</v>
      </c>
      <c r="D2405" s="8">
        <v>224.89</v>
      </c>
      <c r="E2405" s="8"/>
      <c r="F2405" s="8"/>
      <c r="G2405" s="8"/>
      <c r="H2405" s="8"/>
      <c r="I2405" s="8"/>
      <c r="J2405" s="8"/>
      <c r="K2405" s="8"/>
      <c r="L2405" s="8"/>
      <c r="M2405" s="8">
        <v>4.3499999999999996</v>
      </c>
      <c r="N2405" s="8"/>
      <c r="O2405" s="8"/>
      <c r="P2405" s="8"/>
      <c r="Q2405" s="11"/>
      <c r="R2405" s="11"/>
      <c r="S2405" s="8">
        <v>7.05</v>
      </c>
      <c r="T2405" s="8"/>
      <c r="U2405" s="8">
        <v>22.5</v>
      </c>
      <c r="V2405" s="8"/>
      <c r="W2405" s="8"/>
      <c r="X2405" s="8"/>
      <c r="Y2405" s="8"/>
      <c r="Z2405" s="8"/>
      <c r="AA2405" s="8"/>
      <c r="AB2405" s="8"/>
      <c r="AC2405" s="8">
        <v>6</v>
      </c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11"/>
      <c r="AQ2405" s="8"/>
      <c r="AR2405" s="8"/>
      <c r="AS2405" s="8"/>
      <c r="AT2405" s="8">
        <v>991.86</v>
      </c>
      <c r="AU2405" s="8"/>
      <c r="AV2405" s="8"/>
      <c r="AW2405" s="8"/>
      <c r="AX2405" s="8"/>
      <c r="AY2405" s="8"/>
      <c r="AZ2405" s="8"/>
      <c r="BA2405" s="8">
        <v>34.369999999999997</v>
      </c>
      <c r="BB2405" s="8"/>
      <c r="BC2405" s="8"/>
      <c r="BD2405" s="8"/>
      <c r="BE2405" s="8"/>
      <c r="BF2405" s="8">
        <v>105.03</v>
      </c>
      <c r="BG2405" s="8">
        <v>77.89</v>
      </c>
      <c r="BH2405" s="9">
        <f t="shared" si="333"/>
        <v>1498.6399999999999</v>
      </c>
      <c r="BI2405" s="9">
        <f t="shared" si="334"/>
        <v>4.3499999999999996</v>
      </c>
      <c r="BJ2405" s="9">
        <f t="shared" si="335"/>
        <v>7.05</v>
      </c>
      <c r="BK2405" s="9">
        <f t="shared" si="336"/>
        <v>22.5</v>
      </c>
      <c r="BL2405" s="9">
        <f t="shared" si="337"/>
        <v>0</v>
      </c>
      <c r="BM2405" s="9">
        <f t="shared" si="338"/>
        <v>6</v>
      </c>
      <c r="BN2405" s="9">
        <f t="shared" si="339"/>
        <v>991.86</v>
      </c>
      <c r="BO2405" s="9">
        <f t="shared" si="340"/>
        <v>34.369999999999997</v>
      </c>
      <c r="BP2405" s="9">
        <f t="shared" si="341"/>
        <v>105.03</v>
      </c>
    </row>
    <row r="2406" spans="1:68">
      <c r="A2406" s="6">
        <v>44970</v>
      </c>
      <c r="B2406" s="7">
        <v>3106</v>
      </c>
      <c r="C2406" s="8">
        <v>4145.72</v>
      </c>
      <c r="D2406" s="8"/>
      <c r="E2406" s="8"/>
      <c r="F2406" s="8"/>
      <c r="G2406" s="8"/>
      <c r="H2406" s="8"/>
      <c r="I2406" s="8"/>
      <c r="J2406" s="8"/>
      <c r="K2406" s="8"/>
      <c r="L2406" s="8"/>
      <c r="M2406" s="8">
        <v>11.18</v>
      </c>
      <c r="N2406" s="8"/>
      <c r="O2406" s="8"/>
      <c r="P2406" s="8"/>
      <c r="Q2406" s="11"/>
      <c r="R2406" s="11"/>
      <c r="S2406" s="8">
        <v>12.48</v>
      </c>
      <c r="T2406" s="8"/>
      <c r="U2406" s="8">
        <v>52.8</v>
      </c>
      <c r="V2406" s="8"/>
      <c r="W2406" s="8"/>
      <c r="X2406" s="8"/>
      <c r="Y2406" s="8"/>
      <c r="Z2406" s="8"/>
      <c r="AA2406" s="8"/>
      <c r="AB2406" s="8"/>
      <c r="AC2406" s="8">
        <v>10.38</v>
      </c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11"/>
      <c r="AQ2406" s="8"/>
      <c r="AR2406" s="8"/>
      <c r="AS2406" s="8"/>
      <c r="AT2406" s="8">
        <v>2362.15</v>
      </c>
      <c r="AU2406" s="8"/>
      <c r="AV2406" s="8"/>
      <c r="AW2406" s="8"/>
      <c r="AX2406" s="8">
        <v>5.19</v>
      </c>
      <c r="AY2406" s="8"/>
      <c r="AZ2406" s="8"/>
      <c r="BA2406" s="8"/>
      <c r="BB2406" s="8"/>
      <c r="BC2406" s="8"/>
      <c r="BD2406" s="8"/>
      <c r="BE2406" s="8"/>
      <c r="BF2406" s="8"/>
      <c r="BG2406" s="8">
        <v>178.62</v>
      </c>
      <c r="BH2406" s="9">
        <f t="shared" si="333"/>
        <v>4145.72</v>
      </c>
      <c r="BI2406" s="9">
        <f t="shared" si="334"/>
        <v>11.18</v>
      </c>
      <c r="BJ2406" s="9">
        <f t="shared" si="335"/>
        <v>12.48</v>
      </c>
      <c r="BK2406" s="9">
        <f t="shared" si="336"/>
        <v>52.8</v>
      </c>
      <c r="BL2406" s="9">
        <f t="shared" si="337"/>
        <v>0</v>
      </c>
      <c r="BM2406" s="9">
        <f t="shared" si="338"/>
        <v>10.38</v>
      </c>
      <c r="BN2406" s="9">
        <f t="shared" si="339"/>
        <v>2362.15</v>
      </c>
      <c r="BO2406" s="9">
        <f t="shared" si="340"/>
        <v>5.19</v>
      </c>
      <c r="BP2406" s="9">
        <f t="shared" si="341"/>
        <v>0</v>
      </c>
    </row>
    <row r="2407" spans="1:68">
      <c r="A2407" s="6">
        <v>44970</v>
      </c>
      <c r="B2407" s="7">
        <v>3079</v>
      </c>
      <c r="C2407" s="8"/>
      <c r="D2407" s="8"/>
      <c r="E2407" s="8"/>
      <c r="F2407" s="8">
        <v>178</v>
      </c>
      <c r="G2407" s="8"/>
      <c r="H2407" s="8"/>
      <c r="I2407" s="8">
        <v>1442.59</v>
      </c>
      <c r="J2407" s="8"/>
      <c r="K2407" s="8"/>
      <c r="L2407" s="8"/>
      <c r="M2407" s="8"/>
      <c r="N2407" s="8">
        <v>11.58</v>
      </c>
      <c r="O2407" s="8"/>
      <c r="P2407" s="8"/>
      <c r="Q2407" s="11"/>
      <c r="R2407" s="11"/>
      <c r="S2407" s="8">
        <v>0.65</v>
      </c>
      <c r="T2407" s="8"/>
      <c r="U2407" s="8"/>
      <c r="V2407" s="8"/>
      <c r="W2407" s="8">
        <v>16.23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>
        <v>6.43</v>
      </c>
      <c r="AN2407" s="8">
        <f>1701*9.53/1000</f>
        <v>16.210529999999999</v>
      </c>
      <c r="AO2407" s="8"/>
      <c r="AP2407" s="11"/>
      <c r="AQ2407" s="8"/>
      <c r="AR2407" s="8">
        <f>4265*9.53/1000</f>
        <v>40.645449999999997</v>
      </c>
      <c r="AS2407" s="8"/>
      <c r="AT2407" s="8">
        <v>619.12</v>
      </c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>
        <v>45.41</v>
      </c>
      <c r="BH2407" s="9">
        <f t="shared" si="333"/>
        <v>1620.59</v>
      </c>
      <c r="BI2407" s="9">
        <f t="shared" si="334"/>
        <v>11.58</v>
      </c>
      <c r="BJ2407" s="9">
        <f t="shared" si="335"/>
        <v>0.65</v>
      </c>
      <c r="BK2407" s="9">
        <f t="shared" si="336"/>
        <v>16.23</v>
      </c>
      <c r="BL2407" s="9">
        <f t="shared" si="337"/>
        <v>0</v>
      </c>
      <c r="BM2407" s="9">
        <f t="shared" si="338"/>
        <v>63.285979999999995</v>
      </c>
      <c r="BN2407" s="9">
        <f t="shared" si="339"/>
        <v>619.12</v>
      </c>
      <c r="BO2407" s="9">
        <f t="shared" si="340"/>
        <v>0</v>
      </c>
      <c r="BP2407" s="9">
        <f t="shared" si="341"/>
        <v>0</v>
      </c>
    </row>
    <row r="2408" spans="1:68">
      <c r="A2408" s="6">
        <v>44970</v>
      </c>
      <c r="B2408" s="7">
        <v>3139</v>
      </c>
      <c r="C2408" s="8">
        <v>1566.14</v>
      </c>
      <c r="D2408" s="8"/>
      <c r="E2408" s="8"/>
      <c r="F2408" s="8"/>
      <c r="G2408" s="8"/>
      <c r="H2408" s="8">
        <v>649.41</v>
      </c>
      <c r="I2408" s="8"/>
      <c r="J2408" s="8"/>
      <c r="K2408" s="8"/>
      <c r="L2408" s="8"/>
      <c r="M2408" s="8">
        <v>3.65</v>
      </c>
      <c r="N2408" s="8"/>
      <c r="O2408" s="8"/>
      <c r="P2408" s="8"/>
      <c r="Q2408" s="11"/>
      <c r="R2408" s="11"/>
      <c r="S2408" s="8">
        <v>6.94</v>
      </c>
      <c r="T2408" s="8"/>
      <c r="U2408" s="8">
        <v>23.12</v>
      </c>
      <c r="V2408" s="8"/>
      <c r="W2408" s="8"/>
      <c r="X2408" s="8"/>
      <c r="Y2408" s="8"/>
      <c r="Z2408" s="8"/>
      <c r="AA2408" s="8"/>
      <c r="AB2408" s="8"/>
      <c r="AC2408" s="8">
        <v>7.71</v>
      </c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11"/>
      <c r="AQ2408" s="8"/>
      <c r="AR2408" s="8"/>
      <c r="AS2408" s="8"/>
      <c r="AT2408" s="8">
        <v>1140.8499999999999</v>
      </c>
      <c r="AU2408" s="8"/>
      <c r="AV2408" s="8">
        <v>38.54</v>
      </c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>
        <v>82.9</v>
      </c>
      <c r="BH2408" s="9">
        <f t="shared" si="333"/>
        <v>2215.5500000000002</v>
      </c>
      <c r="BI2408" s="9">
        <f t="shared" si="334"/>
        <v>3.65</v>
      </c>
      <c r="BJ2408" s="9">
        <f t="shared" si="335"/>
        <v>6.94</v>
      </c>
      <c r="BK2408" s="9">
        <f t="shared" si="336"/>
        <v>23.12</v>
      </c>
      <c r="BL2408" s="9">
        <f t="shared" si="337"/>
        <v>0</v>
      </c>
      <c r="BM2408" s="9">
        <f t="shared" si="338"/>
        <v>7.71</v>
      </c>
      <c r="BN2408" s="9">
        <f t="shared" si="339"/>
        <v>1140.8499999999999</v>
      </c>
      <c r="BO2408" s="9">
        <f t="shared" si="340"/>
        <v>38.54</v>
      </c>
      <c r="BP2408" s="9">
        <f t="shared" si="341"/>
        <v>0</v>
      </c>
    </row>
    <row r="2409" spans="1:68">
      <c r="A2409" s="6">
        <v>44970</v>
      </c>
      <c r="B2409" s="7">
        <v>3122</v>
      </c>
      <c r="C2409" s="8">
        <v>1210.04</v>
      </c>
      <c r="D2409" s="8"/>
      <c r="E2409" s="8"/>
      <c r="F2409" s="8"/>
      <c r="G2409" s="8"/>
      <c r="H2409" s="8"/>
      <c r="I2409" s="8"/>
      <c r="J2409" s="8"/>
      <c r="K2409" s="8"/>
      <c r="L2409" s="8"/>
      <c r="M2409" s="8">
        <v>2.1800000000000002</v>
      </c>
      <c r="N2409" s="8">
        <v>2.19</v>
      </c>
      <c r="O2409" s="8"/>
      <c r="P2409" s="8"/>
      <c r="Q2409" s="11"/>
      <c r="R2409" s="11"/>
      <c r="S2409" s="8">
        <v>4.97</v>
      </c>
      <c r="T2409" s="8"/>
      <c r="U2409" s="8">
        <v>12.13</v>
      </c>
      <c r="V2409" s="8"/>
      <c r="W2409" s="8"/>
      <c r="X2409" s="8"/>
      <c r="Y2409" s="8"/>
      <c r="Z2409" s="8"/>
      <c r="AA2409" s="8"/>
      <c r="AB2409" s="8"/>
      <c r="AC2409" s="8">
        <v>4.84</v>
      </c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11"/>
      <c r="AQ2409" s="8"/>
      <c r="AR2409" s="8"/>
      <c r="AS2409" s="8"/>
      <c r="AT2409" s="8">
        <v>537.77</v>
      </c>
      <c r="AU2409" s="8"/>
      <c r="AV2409" s="8">
        <v>41.26</v>
      </c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>
        <v>39.43</v>
      </c>
      <c r="BH2409" s="9">
        <f t="shared" si="333"/>
        <v>1210.04</v>
      </c>
      <c r="BI2409" s="9">
        <f t="shared" si="334"/>
        <v>4.37</v>
      </c>
      <c r="BJ2409" s="9">
        <f t="shared" si="335"/>
        <v>4.97</v>
      </c>
      <c r="BK2409" s="9">
        <f t="shared" si="336"/>
        <v>12.13</v>
      </c>
      <c r="BL2409" s="9">
        <f t="shared" si="337"/>
        <v>0</v>
      </c>
      <c r="BM2409" s="9">
        <f t="shared" si="338"/>
        <v>4.84</v>
      </c>
      <c r="BN2409" s="9">
        <f t="shared" si="339"/>
        <v>537.77</v>
      </c>
      <c r="BO2409" s="9">
        <f t="shared" si="340"/>
        <v>41.26</v>
      </c>
      <c r="BP2409" s="9">
        <f t="shared" si="341"/>
        <v>0</v>
      </c>
    </row>
    <row r="2410" spans="1:68">
      <c r="A2410" s="6">
        <v>44970</v>
      </c>
      <c r="B2410" s="7">
        <v>3601</v>
      </c>
      <c r="C2410" s="8">
        <v>293.82</v>
      </c>
      <c r="D2410" s="8"/>
      <c r="E2410" s="8"/>
      <c r="F2410" s="8"/>
      <c r="G2410" s="8">
        <v>440.74</v>
      </c>
      <c r="H2410" s="8"/>
      <c r="I2410" s="8"/>
      <c r="J2410" s="8"/>
      <c r="K2410" s="8"/>
      <c r="L2410" s="8"/>
      <c r="M2410" s="8">
        <v>0.88</v>
      </c>
      <c r="N2410" s="8"/>
      <c r="O2410" s="8"/>
      <c r="P2410" s="8"/>
      <c r="Q2410" s="11"/>
      <c r="R2410" s="11"/>
      <c r="S2410" s="8">
        <v>3.53</v>
      </c>
      <c r="T2410" s="8"/>
      <c r="U2410" s="8">
        <v>4.42</v>
      </c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11"/>
      <c r="AQ2410" s="8"/>
      <c r="AR2410" s="8"/>
      <c r="AS2410" s="8"/>
      <c r="AT2410" s="8">
        <v>360.09</v>
      </c>
      <c r="AU2410" s="8"/>
      <c r="AV2410" s="8"/>
      <c r="AW2410" s="8">
        <v>22.36</v>
      </c>
      <c r="AX2410" s="8"/>
      <c r="AY2410" s="8"/>
      <c r="AZ2410" s="8"/>
      <c r="BA2410" s="8"/>
      <c r="BB2410" s="8"/>
      <c r="BC2410" s="8"/>
      <c r="BD2410" s="8"/>
      <c r="BE2410" s="8"/>
      <c r="BF2410" s="8">
        <v>41.2</v>
      </c>
      <c r="BG2410" s="8">
        <v>26.19</v>
      </c>
      <c r="BH2410" s="9">
        <f t="shared" si="333"/>
        <v>734.56</v>
      </c>
      <c r="BI2410" s="9">
        <f t="shared" si="334"/>
        <v>0.88</v>
      </c>
      <c r="BJ2410" s="9">
        <f t="shared" si="335"/>
        <v>3.53</v>
      </c>
      <c r="BK2410" s="9">
        <f t="shared" si="336"/>
        <v>4.42</v>
      </c>
      <c r="BL2410" s="9">
        <f t="shared" si="337"/>
        <v>0</v>
      </c>
      <c r="BM2410" s="9">
        <f t="shared" si="338"/>
        <v>0</v>
      </c>
      <c r="BN2410" s="9">
        <f t="shared" si="339"/>
        <v>360.09</v>
      </c>
      <c r="BO2410" s="9">
        <f t="shared" si="340"/>
        <v>22.36</v>
      </c>
      <c r="BP2410" s="9">
        <f t="shared" si="341"/>
        <v>41.2</v>
      </c>
    </row>
    <row r="2411" spans="1:68">
      <c r="A2411" s="6">
        <v>44970</v>
      </c>
      <c r="B2411" s="7">
        <v>3602</v>
      </c>
      <c r="C2411" s="8">
        <v>286.43</v>
      </c>
      <c r="D2411" s="8"/>
      <c r="E2411" s="8"/>
      <c r="F2411" s="8"/>
      <c r="G2411" s="8">
        <v>429.24</v>
      </c>
      <c r="H2411" s="8"/>
      <c r="I2411" s="8"/>
      <c r="J2411" s="8"/>
      <c r="K2411" s="8"/>
      <c r="L2411" s="8"/>
      <c r="M2411" s="8">
        <v>0.75</v>
      </c>
      <c r="N2411" s="8"/>
      <c r="O2411" s="8"/>
      <c r="P2411" s="8"/>
      <c r="Q2411" s="11"/>
      <c r="R2411" s="11"/>
      <c r="S2411" s="8">
        <v>3.44</v>
      </c>
      <c r="T2411" s="8"/>
      <c r="U2411" s="8">
        <v>5.74</v>
      </c>
      <c r="V2411" s="8">
        <f>860*8.18/1000</f>
        <v>7.0348000000000006</v>
      </c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11"/>
      <c r="AQ2411" s="8"/>
      <c r="AR2411" s="8"/>
      <c r="AS2411" s="8"/>
      <c r="AT2411" s="8">
        <v>289.3</v>
      </c>
      <c r="AU2411" s="8"/>
      <c r="AV2411" s="8"/>
      <c r="AW2411" s="8">
        <v>18.510000000000002</v>
      </c>
      <c r="AX2411" s="8"/>
      <c r="AY2411" s="8"/>
      <c r="AZ2411" s="8"/>
      <c r="BA2411" s="8"/>
      <c r="BB2411" s="8"/>
      <c r="BC2411" s="8"/>
      <c r="BD2411" s="8"/>
      <c r="BE2411" s="8"/>
      <c r="BF2411" s="8">
        <v>22.96</v>
      </c>
      <c r="BG2411" s="8">
        <v>21.53</v>
      </c>
      <c r="BH2411" s="9">
        <f t="shared" si="333"/>
        <v>715.67000000000007</v>
      </c>
      <c r="BI2411" s="9">
        <f t="shared" si="334"/>
        <v>0.75</v>
      </c>
      <c r="BJ2411" s="9">
        <f t="shared" si="335"/>
        <v>3.44</v>
      </c>
      <c r="BK2411" s="9">
        <f t="shared" si="336"/>
        <v>12.774800000000001</v>
      </c>
      <c r="BL2411" s="9">
        <f t="shared" si="337"/>
        <v>0</v>
      </c>
      <c r="BM2411" s="9">
        <f t="shared" si="338"/>
        <v>0</v>
      </c>
      <c r="BN2411" s="9">
        <f t="shared" si="339"/>
        <v>289.3</v>
      </c>
      <c r="BO2411" s="9">
        <f t="shared" si="340"/>
        <v>18.510000000000002</v>
      </c>
      <c r="BP2411" s="9">
        <f t="shared" si="341"/>
        <v>22.96</v>
      </c>
    </row>
    <row r="2412" spans="1:68">
      <c r="A2412" s="6">
        <v>44970</v>
      </c>
      <c r="B2412" s="7">
        <v>3701</v>
      </c>
      <c r="C2412" s="8">
        <v>203.37</v>
      </c>
      <c r="D2412" s="8"/>
      <c r="E2412" s="8"/>
      <c r="F2412" s="8"/>
      <c r="G2412" s="8"/>
      <c r="H2412" s="8"/>
      <c r="I2412" s="8"/>
      <c r="J2412" s="8">
        <f>48142*6.85/1000</f>
        <v>329.77269999999999</v>
      </c>
      <c r="K2412" s="8"/>
      <c r="L2412" s="8"/>
      <c r="M2412" s="8"/>
      <c r="N2412" s="8">
        <v>1.26</v>
      </c>
      <c r="O2412" s="8"/>
      <c r="P2412" s="8"/>
      <c r="Q2412" s="11"/>
      <c r="R2412" s="11"/>
      <c r="S2412" s="8">
        <v>1.48</v>
      </c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>
        <v>10.98</v>
      </c>
      <c r="AH2412" s="8"/>
      <c r="AI2412" s="8"/>
      <c r="AJ2412" s="8">
        <f>2419*6.85/1000</f>
        <v>16.570149999999998</v>
      </c>
      <c r="AK2412" s="8"/>
      <c r="AL2412" s="8"/>
      <c r="AM2412" s="8"/>
      <c r="AN2412" s="8"/>
      <c r="AO2412" s="8"/>
      <c r="AP2412" s="11"/>
      <c r="AQ2412" s="8"/>
      <c r="AR2412" s="8"/>
      <c r="AS2412" s="8"/>
      <c r="AT2412" s="8"/>
      <c r="AU2412" s="8">
        <v>194.05</v>
      </c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>
        <v>12.95</v>
      </c>
      <c r="BH2412" s="9">
        <f t="shared" si="333"/>
        <v>533.14269999999999</v>
      </c>
      <c r="BI2412" s="9">
        <f t="shared" si="334"/>
        <v>1.26</v>
      </c>
      <c r="BJ2412" s="9">
        <f t="shared" si="335"/>
        <v>1.48</v>
      </c>
      <c r="BK2412" s="9">
        <f t="shared" si="336"/>
        <v>0</v>
      </c>
      <c r="BL2412" s="9">
        <f t="shared" si="337"/>
        <v>0</v>
      </c>
      <c r="BM2412" s="9">
        <f t="shared" si="338"/>
        <v>27.550149999999999</v>
      </c>
      <c r="BN2412" s="9">
        <f t="shared" si="339"/>
        <v>194.05</v>
      </c>
      <c r="BO2412" s="9">
        <f t="shared" si="340"/>
        <v>0</v>
      </c>
      <c r="BP2412" s="9">
        <f t="shared" si="341"/>
        <v>0</v>
      </c>
    </row>
    <row r="2413" spans="1:68">
      <c r="A2413" s="6">
        <v>44971</v>
      </c>
      <c r="B2413" s="7">
        <v>3703</v>
      </c>
      <c r="C2413" s="8">
        <v>788.99</v>
      </c>
      <c r="D2413" s="8">
        <v>526.41999999999996</v>
      </c>
      <c r="E2413" s="8"/>
      <c r="F2413" s="8"/>
      <c r="G2413" s="8"/>
      <c r="H2413" s="8"/>
      <c r="I2413" s="8"/>
      <c r="J2413" s="8"/>
      <c r="K2413" s="8"/>
      <c r="L2413" s="8"/>
      <c r="M2413" s="8">
        <v>2.64</v>
      </c>
      <c r="N2413" s="8"/>
      <c r="O2413" s="8"/>
      <c r="P2413" s="8"/>
      <c r="Q2413" s="11"/>
      <c r="R2413" s="11"/>
      <c r="S2413" s="8">
        <v>6.46</v>
      </c>
      <c r="T2413" s="8"/>
      <c r="U2413" s="8">
        <v>10.55</v>
      </c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>
        <v>13.14</v>
      </c>
      <c r="AN2413" s="8"/>
      <c r="AO2413" s="8"/>
      <c r="AP2413" s="11"/>
      <c r="AQ2413" s="8"/>
      <c r="AR2413" s="8"/>
      <c r="AS2413" s="8"/>
      <c r="AT2413" s="8">
        <v>319.60000000000002</v>
      </c>
      <c r="AU2413" s="8">
        <v>159.72999999999999</v>
      </c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>
        <v>33.65</v>
      </c>
      <c r="BH2413" s="9">
        <f t="shared" si="333"/>
        <v>1315.4099999999999</v>
      </c>
      <c r="BI2413" s="9">
        <f t="shared" si="334"/>
        <v>2.64</v>
      </c>
      <c r="BJ2413" s="9">
        <f t="shared" si="335"/>
        <v>6.46</v>
      </c>
      <c r="BK2413" s="9">
        <f t="shared" si="336"/>
        <v>10.55</v>
      </c>
      <c r="BL2413" s="9">
        <f t="shared" si="337"/>
        <v>0</v>
      </c>
      <c r="BM2413" s="9">
        <f t="shared" si="338"/>
        <v>13.14</v>
      </c>
      <c r="BN2413" s="9">
        <f t="shared" si="339"/>
        <v>479.33000000000004</v>
      </c>
      <c r="BO2413" s="9">
        <f t="shared" si="340"/>
        <v>0</v>
      </c>
      <c r="BP2413" s="9">
        <f t="shared" si="341"/>
        <v>0</v>
      </c>
    </row>
    <row r="2414" spans="1:68">
      <c r="A2414" s="6">
        <v>44971</v>
      </c>
      <c r="B2414" s="7">
        <v>3100</v>
      </c>
      <c r="C2414" s="8">
        <v>625.07000000000005</v>
      </c>
      <c r="D2414" s="8"/>
      <c r="E2414" s="8"/>
      <c r="F2414" s="8"/>
      <c r="G2414" s="8"/>
      <c r="H2414" s="8"/>
      <c r="I2414" s="8"/>
      <c r="J2414" s="8"/>
      <c r="K2414" s="8"/>
      <c r="L2414" s="8"/>
      <c r="M2414" s="8">
        <v>1.57</v>
      </c>
      <c r="N2414" s="8"/>
      <c r="O2414" s="8"/>
      <c r="P2414" s="8"/>
      <c r="Q2414" s="11"/>
      <c r="R2414" s="11"/>
      <c r="S2414" s="8">
        <v>3.58</v>
      </c>
      <c r="T2414" s="8"/>
      <c r="U2414" s="8">
        <v>10.039999999999999</v>
      </c>
      <c r="V2414" s="8"/>
      <c r="W2414" s="8"/>
      <c r="X2414" s="8"/>
      <c r="Y2414" s="8"/>
      <c r="Z2414" s="8"/>
      <c r="AA2414" s="8"/>
      <c r="AB2414" s="8"/>
      <c r="AC2414" s="8">
        <v>2.5099999999999998</v>
      </c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11"/>
      <c r="AQ2414" s="8"/>
      <c r="AR2414" s="8"/>
      <c r="AS2414" s="8"/>
      <c r="AT2414" s="8">
        <v>421.2</v>
      </c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>
        <v>81.55</v>
      </c>
      <c r="BG2414" s="8">
        <v>32.26</v>
      </c>
      <c r="BH2414" s="9">
        <f t="shared" si="333"/>
        <v>625.07000000000005</v>
      </c>
      <c r="BI2414" s="9">
        <f t="shared" si="334"/>
        <v>1.57</v>
      </c>
      <c r="BJ2414" s="9">
        <f t="shared" si="335"/>
        <v>3.58</v>
      </c>
      <c r="BK2414" s="9">
        <f t="shared" si="336"/>
        <v>10.039999999999999</v>
      </c>
      <c r="BL2414" s="9">
        <f t="shared" si="337"/>
        <v>0</v>
      </c>
      <c r="BM2414" s="9">
        <f t="shared" si="338"/>
        <v>2.5099999999999998</v>
      </c>
      <c r="BN2414" s="9">
        <f t="shared" si="339"/>
        <v>421.2</v>
      </c>
      <c r="BO2414" s="9">
        <f t="shared" si="340"/>
        <v>0</v>
      </c>
      <c r="BP2414" s="9">
        <f t="shared" si="341"/>
        <v>81.55</v>
      </c>
    </row>
    <row r="2415" spans="1:68">
      <c r="A2415" s="6">
        <v>44971</v>
      </c>
      <c r="B2415" s="7">
        <v>3141</v>
      </c>
      <c r="C2415" s="8">
        <v>2431.16</v>
      </c>
      <c r="D2415" s="8">
        <v>428.28</v>
      </c>
      <c r="E2415" s="8"/>
      <c r="F2415" s="8"/>
      <c r="G2415" s="8"/>
      <c r="H2415" s="8"/>
      <c r="I2415" s="8"/>
      <c r="J2415" s="8"/>
      <c r="K2415" s="8"/>
      <c r="L2415" s="8"/>
      <c r="M2415" s="8">
        <v>7.85</v>
      </c>
      <c r="N2415" s="8"/>
      <c r="O2415" s="8"/>
      <c r="P2415" s="8"/>
      <c r="Q2415" s="11"/>
      <c r="R2415" s="11"/>
      <c r="S2415" s="8">
        <v>13.46</v>
      </c>
      <c r="T2415" s="8"/>
      <c r="U2415" s="8">
        <v>42.93</v>
      </c>
      <c r="V2415" s="8"/>
      <c r="W2415" s="8"/>
      <c r="X2415" s="8"/>
      <c r="Y2415" s="8"/>
      <c r="Z2415" s="8"/>
      <c r="AA2415" s="8"/>
      <c r="AB2415" s="8"/>
      <c r="AC2415" s="8">
        <v>11.44</v>
      </c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11"/>
      <c r="AQ2415" s="8"/>
      <c r="AR2415" s="8"/>
      <c r="AS2415" s="8"/>
      <c r="AT2415" s="8">
        <v>1888.52</v>
      </c>
      <c r="AU2415" s="8"/>
      <c r="AV2415" s="8"/>
      <c r="AW2415" s="8"/>
      <c r="AX2415" s="8"/>
      <c r="AY2415" s="8"/>
      <c r="AZ2415" s="8"/>
      <c r="BA2415" s="8">
        <v>65.599999999999994</v>
      </c>
      <c r="BB2415" s="8"/>
      <c r="BC2415" s="8"/>
      <c r="BD2415" s="8"/>
      <c r="BE2415" s="8"/>
      <c r="BF2415" s="8">
        <v>200.5</v>
      </c>
      <c r="BG2415" s="8">
        <v>148.85</v>
      </c>
      <c r="BH2415" s="9">
        <f t="shared" si="333"/>
        <v>2859.4399999999996</v>
      </c>
      <c r="BI2415" s="9">
        <f t="shared" si="334"/>
        <v>7.85</v>
      </c>
      <c r="BJ2415" s="9">
        <f t="shared" si="335"/>
        <v>13.46</v>
      </c>
      <c r="BK2415" s="9">
        <f t="shared" si="336"/>
        <v>42.93</v>
      </c>
      <c r="BL2415" s="9">
        <f t="shared" si="337"/>
        <v>0</v>
      </c>
      <c r="BM2415" s="9">
        <f t="shared" si="338"/>
        <v>11.44</v>
      </c>
      <c r="BN2415" s="9">
        <f t="shared" si="339"/>
        <v>1888.52</v>
      </c>
      <c r="BO2415" s="9">
        <f t="shared" si="340"/>
        <v>65.599999999999994</v>
      </c>
      <c r="BP2415" s="9">
        <f t="shared" si="341"/>
        <v>200.5</v>
      </c>
    </row>
    <row r="2416" spans="1:68">
      <c r="A2416" s="6">
        <v>44971</v>
      </c>
      <c r="B2416" s="7">
        <v>3134</v>
      </c>
      <c r="C2416" s="8">
        <v>1071.25</v>
      </c>
      <c r="D2416" s="8">
        <v>151.08000000000001</v>
      </c>
      <c r="E2416" s="8"/>
      <c r="F2416" s="8"/>
      <c r="G2416" s="8"/>
      <c r="H2416" s="8">
        <v>504.99</v>
      </c>
      <c r="I2416" s="8"/>
      <c r="J2416" s="8"/>
      <c r="K2416" s="8"/>
      <c r="L2416" s="8"/>
      <c r="M2416" s="8">
        <v>3.04</v>
      </c>
      <c r="N2416" s="8"/>
      <c r="O2416" s="8"/>
      <c r="P2416" s="8"/>
      <c r="Q2416" s="11"/>
      <c r="R2416" s="11"/>
      <c r="S2416" s="8">
        <v>6.92</v>
      </c>
      <c r="T2416" s="8"/>
      <c r="U2416" s="8">
        <v>19.510000000000002</v>
      </c>
      <c r="V2416" s="8"/>
      <c r="W2416" s="8"/>
      <c r="X2416" s="8"/>
      <c r="Y2416" s="8"/>
      <c r="Z2416" s="8"/>
      <c r="AA2416" s="8"/>
      <c r="AB2416" s="8"/>
      <c r="AC2416" s="8">
        <v>6</v>
      </c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11"/>
      <c r="AQ2416" s="8"/>
      <c r="AR2416" s="8"/>
      <c r="AS2416" s="8"/>
      <c r="AT2416" s="8">
        <v>1056.5</v>
      </c>
      <c r="AU2416" s="8"/>
      <c r="AV2416" s="8"/>
      <c r="AW2416" s="8"/>
      <c r="AX2416" s="8"/>
      <c r="AY2416" s="8">
        <f>1411*10.73/1000</f>
        <v>15.140030000000001</v>
      </c>
      <c r="AZ2416" s="8"/>
      <c r="BA2416" s="8"/>
      <c r="BB2416" s="8"/>
      <c r="BC2416" s="8"/>
      <c r="BD2416" s="8"/>
      <c r="BE2416" s="8"/>
      <c r="BF2416" s="8">
        <v>67.709999999999994</v>
      </c>
      <c r="BG2416" s="8">
        <v>79.53</v>
      </c>
      <c r="BH2416" s="9">
        <f t="shared" si="333"/>
        <v>1727.32</v>
      </c>
      <c r="BI2416" s="9">
        <f t="shared" si="334"/>
        <v>3.04</v>
      </c>
      <c r="BJ2416" s="9">
        <f t="shared" si="335"/>
        <v>6.92</v>
      </c>
      <c r="BK2416" s="9">
        <f t="shared" si="336"/>
        <v>19.510000000000002</v>
      </c>
      <c r="BL2416" s="9">
        <f t="shared" si="337"/>
        <v>0</v>
      </c>
      <c r="BM2416" s="9">
        <f t="shared" si="338"/>
        <v>6</v>
      </c>
      <c r="BN2416" s="9">
        <f t="shared" si="339"/>
        <v>1056.5</v>
      </c>
      <c r="BO2416" s="9">
        <f t="shared" si="340"/>
        <v>15.140030000000001</v>
      </c>
      <c r="BP2416" s="9">
        <f t="shared" si="341"/>
        <v>67.709999999999994</v>
      </c>
    </row>
    <row r="2417" spans="1:68">
      <c r="A2417" s="6">
        <v>44971</v>
      </c>
      <c r="B2417" s="7">
        <v>3106</v>
      </c>
      <c r="C2417" s="8">
        <v>2117.96</v>
      </c>
      <c r="D2417" s="8"/>
      <c r="E2417" s="8"/>
      <c r="F2417" s="8"/>
      <c r="G2417" s="8"/>
      <c r="H2417" s="8"/>
      <c r="I2417" s="8"/>
      <c r="J2417" s="8"/>
      <c r="K2417" s="8"/>
      <c r="L2417" s="8"/>
      <c r="M2417" s="8">
        <v>5.68</v>
      </c>
      <c r="N2417" s="8"/>
      <c r="O2417" s="8"/>
      <c r="P2417" s="8"/>
      <c r="Q2417" s="11"/>
      <c r="R2417" s="11"/>
      <c r="S2417" s="8">
        <v>6.39</v>
      </c>
      <c r="T2417" s="8"/>
      <c r="U2417" s="8">
        <v>27.06</v>
      </c>
      <c r="V2417" s="8"/>
      <c r="W2417" s="8"/>
      <c r="X2417" s="8"/>
      <c r="Y2417" s="8"/>
      <c r="Z2417" s="8"/>
      <c r="AA2417" s="8"/>
      <c r="AB2417" s="8"/>
      <c r="AC2417" s="8">
        <v>5.31</v>
      </c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11"/>
      <c r="AQ2417" s="8"/>
      <c r="AR2417" s="8"/>
      <c r="AS2417" s="8"/>
      <c r="AT2417" s="8">
        <v>1208.21</v>
      </c>
      <c r="AU2417" s="8"/>
      <c r="AV2417" s="8"/>
      <c r="AW2417" s="8"/>
      <c r="AX2417" s="8">
        <v>2.66</v>
      </c>
      <c r="AY2417" s="8"/>
      <c r="AZ2417" s="8"/>
      <c r="BA2417" s="8"/>
      <c r="BB2417" s="8"/>
      <c r="BC2417" s="8"/>
      <c r="BD2417" s="8"/>
      <c r="BE2417" s="8"/>
      <c r="BF2417" s="8"/>
      <c r="BG2417" s="8">
        <v>91.06</v>
      </c>
      <c r="BH2417" s="9">
        <f t="shared" si="333"/>
        <v>2117.96</v>
      </c>
      <c r="BI2417" s="9">
        <f t="shared" si="334"/>
        <v>5.68</v>
      </c>
      <c r="BJ2417" s="9">
        <f t="shared" si="335"/>
        <v>6.39</v>
      </c>
      <c r="BK2417" s="9">
        <f t="shared" si="336"/>
        <v>27.06</v>
      </c>
      <c r="BL2417" s="9">
        <f t="shared" si="337"/>
        <v>0</v>
      </c>
      <c r="BM2417" s="9">
        <f t="shared" si="338"/>
        <v>5.31</v>
      </c>
      <c r="BN2417" s="9">
        <f t="shared" si="339"/>
        <v>1208.21</v>
      </c>
      <c r="BO2417" s="9">
        <f t="shared" si="340"/>
        <v>2.66</v>
      </c>
      <c r="BP2417" s="9">
        <f t="shared" si="341"/>
        <v>0</v>
      </c>
    </row>
    <row r="2418" spans="1:68">
      <c r="A2418" s="6">
        <v>44971</v>
      </c>
      <c r="B2418" s="7">
        <v>3016</v>
      </c>
      <c r="C2418" s="8"/>
      <c r="D2418" s="8">
        <v>1595.56</v>
      </c>
      <c r="E2418" s="8"/>
      <c r="F2418" s="8"/>
      <c r="G2418" s="8"/>
      <c r="H2418" s="8"/>
      <c r="I2418" s="8">
        <v>1468.91</v>
      </c>
      <c r="J2418" s="8"/>
      <c r="K2418" s="8"/>
      <c r="L2418" s="8"/>
      <c r="M2418" s="8"/>
      <c r="N2418" s="8">
        <v>19.05</v>
      </c>
      <c r="O2418" s="8"/>
      <c r="P2418" s="8"/>
      <c r="Q2418" s="11"/>
      <c r="R2418" s="11"/>
      <c r="S2418" s="8">
        <v>2.15</v>
      </c>
      <c r="T2418" s="8"/>
      <c r="U2418" s="8"/>
      <c r="V2418" s="8"/>
      <c r="W2418" s="8">
        <v>30.75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>
        <v>12.19</v>
      </c>
      <c r="AN2418" s="8">
        <f>2063*18.05/1000</f>
        <v>37.23715</v>
      </c>
      <c r="AO2418" s="8"/>
      <c r="AP2418" s="11"/>
      <c r="AQ2418" s="8"/>
      <c r="AR2418" s="8">
        <f>4287*18.05/1000</f>
        <v>77.380350000000007</v>
      </c>
      <c r="AS2418" s="8"/>
      <c r="AT2418" s="8">
        <v>1139.6500000000001</v>
      </c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>
        <v>83.38</v>
      </c>
      <c r="BH2418" s="9">
        <f t="shared" si="333"/>
        <v>3064.4700000000003</v>
      </c>
      <c r="BI2418" s="9">
        <f t="shared" si="334"/>
        <v>19.05</v>
      </c>
      <c r="BJ2418" s="9">
        <f t="shared" si="335"/>
        <v>2.15</v>
      </c>
      <c r="BK2418" s="9">
        <f t="shared" si="336"/>
        <v>30.75</v>
      </c>
      <c r="BL2418" s="9">
        <f t="shared" si="337"/>
        <v>0</v>
      </c>
      <c r="BM2418" s="9">
        <f t="shared" si="338"/>
        <v>126.8075</v>
      </c>
      <c r="BN2418" s="9">
        <f t="shared" si="339"/>
        <v>1139.6500000000001</v>
      </c>
      <c r="BO2418" s="9">
        <f t="shared" si="340"/>
        <v>0</v>
      </c>
      <c r="BP2418" s="9">
        <f t="shared" si="341"/>
        <v>0</v>
      </c>
    </row>
    <row r="2419" spans="1:68">
      <c r="A2419" s="6">
        <v>44971</v>
      </c>
      <c r="B2419" s="7">
        <v>3028</v>
      </c>
      <c r="C2419" s="8"/>
      <c r="D2419" s="8">
        <v>749.74</v>
      </c>
      <c r="E2419" s="8"/>
      <c r="F2419" s="8">
        <v>689.97</v>
      </c>
      <c r="G2419" s="8"/>
      <c r="H2419" s="8"/>
      <c r="I2419" s="8">
        <v>1558.66</v>
      </c>
      <c r="J2419" s="8"/>
      <c r="K2419" s="8"/>
      <c r="L2419" s="8"/>
      <c r="M2419" s="8"/>
      <c r="N2419" s="8">
        <v>23.09</v>
      </c>
      <c r="O2419" s="8"/>
      <c r="P2419" s="8"/>
      <c r="Q2419" s="11"/>
      <c r="R2419" s="11"/>
      <c r="S2419" s="8">
        <v>4.2</v>
      </c>
      <c r="T2419" s="8"/>
      <c r="U2419" s="8"/>
      <c r="V2419" s="8"/>
      <c r="W2419" s="8">
        <v>22.5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>
        <v>29.97</v>
      </c>
      <c r="AN2419" s="8">
        <f>1052*19.98/1000</f>
        <v>21.01896</v>
      </c>
      <c r="AO2419" s="8"/>
      <c r="AP2419" s="11"/>
      <c r="AQ2419" s="8"/>
      <c r="AR2419" s="8"/>
      <c r="AS2419" s="8">
        <f>4968*19.98/1000</f>
        <v>99.260639999999995</v>
      </c>
      <c r="AT2419" s="8">
        <v>1000.92</v>
      </c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>
        <v>68.05</v>
      </c>
      <c r="BH2419" s="9">
        <f t="shared" si="333"/>
        <v>2998.37</v>
      </c>
      <c r="BI2419" s="9">
        <f t="shared" si="334"/>
        <v>23.09</v>
      </c>
      <c r="BJ2419" s="9">
        <f t="shared" si="335"/>
        <v>4.2</v>
      </c>
      <c r="BK2419" s="9">
        <f t="shared" si="336"/>
        <v>22.5</v>
      </c>
      <c r="BL2419" s="9">
        <f t="shared" si="337"/>
        <v>0</v>
      </c>
      <c r="BM2419" s="9">
        <f t="shared" si="338"/>
        <v>150.24959999999999</v>
      </c>
      <c r="BN2419" s="9">
        <f t="shared" si="339"/>
        <v>1000.92</v>
      </c>
      <c r="BO2419" s="9">
        <f t="shared" si="340"/>
        <v>0</v>
      </c>
      <c r="BP2419" s="9">
        <f t="shared" si="341"/>
        <v>0</v>
      </c>
    </row>
    <row r="2420" spans="1:68">
      <c r="A2420" s="6">
        <v>44972</v>
      </c>
      <c r="B2420" s="7">
        <v>3204</v>
      </c>
      <c r="C2420" s="8"/>
      <c r="D2420" s="8">
        <v>930.6</v>
      </c>
      <c r="E2420" s="8">
        <v>397.88</v>
      </c>
      <c r="F2420" s="8"/>
      <c r="G2420" s="8"/>
      <c r="H2420" s="8"/>
      <c r="I2420" s="8"/>
      <c r="J2420" s="8"/>
      <c r="K2420" s="8"/>
      <c r="L2420" s="8"/>
      <c r="M2420" s="8"/>
      <c r="N2420" s="8"/>
      <c r="O2420" s="8">
        <v>6.64</v>
      </c>
      <c r="P2420" s="8"/>
      <c r="Q2420" s="11"/>
      <c r="R2420" s="11"/>
      <c r="S2420" s="8">
        <v>4.5199999999999996</v>
      </c>
      <c r="T2420" s="8"/>
      <c r="U2420" s="8">
        <v>14.66</v>
      </c>
      <c r="V2420" s="8"/>
      <c r="W2420" s="8"/>
      <c r="X2420" s="8"/>
      <c r="Y2420" s="8"/>
      <c r="Z2420" s="8">
        <v>199.94</v>
      </c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11"/>
      <c r="AQ2420" s="8"/>
      <c r="AR2420" s="8"/>
      <c r="AS2420" s="8"/>
      <c r="AT2420" s="8">
        <v>586.54</v>
      </c>
      <c r="AU2420" s="8"/>
      <c r="AV2420" s="8"/>
      <c r="AW2420" s="8">
        <v>4.2699999999999996</v>
      </c>
      <c r="AX2420" s="8"/>
      <c r="AY2420" s="8"/>
      <c r="AZ2420" s="8"/>
      <c r="BA2420" s="8"/>
      <c r="BB2420" s="8"/>
      <c r="BC2420" s="8"/>
      <c r="BD2420" s="8"/>
      <c r="BE2420" s="8"/>
      <c r="BF2420" s="8"/>
      <c r="BG2420" s="8">
        <v>43.3</v>
      </c>
      <c r="BH2420" s="9">
        <f t="shared" si="333"/>
        <v>1328.48</v>
      </c>
      <c r="BI2420" s="9">
        <f t="shared" si="334"/>
        <v>6.64</v>
      </c>
      <c r="BJ2420" s="9">
        <f t="shared" si="335"/>
        <v>4.5199999999999996</v>
      </c>
      <c r="BK2420" s="9">
        <f t="shared" si="336"/>
        <v>14.66</v>
      </c>
      <c r="BL2420" s="9">
        <f t="shared" si="337"/>
        <v>199.94</v>
      </c>
      <c r="BM2420" s="9">
        <f t="shared" si="338"/>
        <v>0</v>
      </c>
      <c r="BN2420" s="9">
        <f t="shared" si="339"/>
        <v>586.54</v>
      </c>
      <c r="BO2420" s="9">
        <f t="shared" si="340"/>
        <v>4.2699999999999996</v>
      </c>
      <c r="BP2420" s="9">
        <f t="shared" si="341"/>
        <v>0</v>
      </c>
    </row>
    <row r="2421" spans="1:68">
      <c r="A2421" s="6">
        <v>44972</v>
      </c>
      <c r="B2421" s="7">
        <v>3205</v>
      </c>
      <c r="C2421" s="8">
        <v>733.9</v>
      </c>
      <c r="D2421" s="8">
        <v>408.58</v>
      </c>
      <c r="E2421" s="8">
        <v>490.09</v>
      </c>
      <c r="F2421" s="8"/>
      <c r="G2421" s="8"/>
      <c r="H2421" s="8"/>
      <c r="I2421" s="8"/>
      <c r="J2421" s="8"/>
      <c r="K2421" s="8"/>
      <c r="L2421" s="8"/>
      <c r="M2421" s="8"/>
      <c r="N2421" s="8"/>
      <c r="O2421" s="8">
        <v>6.53</v>
      </c>
      <c r="P2421" s="8"/>
      <c r="Q2421" s="11"/>
      <c r="R2421" s="11"/>
      <c r="S2421" s="8">
        <v>6.04</v>
      </c>
      <c r="T2421" s="8"/>
      <c r="U2421" s="8">
        <v>19.59</v>
      </c>
      <c r="V2421" s="8"/>
      <c r="W2421" s="8"/>
      <c r="X2421" s="8"/>
      <c r="Y2421" s="8"/>
      <c r="Z2421" s="8">
        <v>163.22999999999999</v>
      </c>
      <c r="AA2421" s="8"/>
      <c r="AB2421" s="8">
        <f>1013*16.32/1000</f>
        <v>16.532160000000001</v>
      </c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11"/>
      <c r="AQ2421" s="8">
        <f>502*16.32/1000</f>
        <v>8.192639999999999</v>
      </c>
      <c r="AR2421" s="8"/>
      <c r="AS2421" s="8"/>
      <c r="AT2421" s="8">
        <v>425.84</v>
      </c>
      <c r="AU2421" s="8">
        <v>212.46</v>
      </c>
      <c r="AV2421" s="8"/>
      <c r="AW2421" s="8">
        <v>7.06</v>
      </c>
      <c r="AX2421" s="8"/>
      <c r="AY2421" s="8"/>
      <c r="AZ2421" s="8"/>
      <c r="BA2421" s="8"/>
      <c r="BB2421" s="8"/>
      <c r="BC2421" s="8"/>
      <c r="BD2421" s="8"/>
      <c r="BE2421" s="8"/>
      <c r="BF2421" s="8"/>
      <c r="BG2421" s="8">
        <v>38.26</v>
      </c>
      <c r="BH2421" s="9">
        <f t="shared" si="333"/>
        <v>1632.57</v>
      </c>
      <c r="BI2421" s="9">
        <f t="shared" si="334"/>
        <v>6.53</v>
      </c>
      <c r="BJ2421" s="9">
        <f t="shared" si="335"/>
        <v>6.04</v>
      </c>
      <c r="BK2421" s="9">
        <f t="shared" si="336"/>
        <v>19.59</v>
      </c>
      <c r="BL2421" s="9">
        <f t="shared" si="337"/>
        <v>163.22999999999999</v>
      </c>
      <c r="BM2421" s="9">
        <f t="shared" si="338"/>
        <v>24.724800000000002</v>
      </c>
      <c r="BN2421" s="9">
        <f t="shared" si="339"/>
        <v>638.29999999999995</v>
      </c>
      <c r="BO2421" s="9">
        <f t="shared" si="340"/>
        <v>7.06</v>
      </c>
      <c r="BP2421" s="9">
        <f t="shared" si="341"/>
        <v>0</v>
      </c>
    </row>
    <row r="2422" spans="1:68">
      <c r="A2422" s="6">
        <v>44972</v>
      </c>
      <c r="B2422" s="7">
        <v>3106</v>
      </c>
      <c r="C2422" s="8">
        <v>4179.79</v>
      </c>
      <c r="D2422" s="8"/>
      <c r="E2422" s="8"/>
      <c r="F2422" s="8"/>
      <c r="G2422" s="8"/>
      <c r="H2422" s="8"/>
      <c r="I2422" s="8"/>
      <c r="J2422" s="8"/>
      <c r="K2422" s="8"/>
      <c r="L2422" s="8"/>
      <c r="M2422" s="8">
        <v>10.91</v>
      </c>
      <c r="N2422" s="8"/>
      <c r="O2422" s="8"/>
      <c r="P2422" s="8"/>
      <c r="Q2422" s="11"/>
      <c r="R2422" s="11"/>
      <c r="S2422" s="8">
        <v>12.56</v>
      </c>
      <c r="T2422" s="8"/>
      <c r="U2422" s="8">
        <v>53.12</v>
      </c>
      <c r="V2422" s="8"/>
      <c r="W2422" s="8"/>
      <c r="X2422" s="8"/>
      <c r="Y2422" s="8"/>
      <c r="Z2422" s="8"/>
      <c r="AA2422" s="8"/>
      <c r="AB2422" s="8"/>
      <c r="AC2422" s="8">
        <v>10.47</v>
      </c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11"/>
      <c r="AQ2422" s="8"/>
      <c r="AR2422" s="8"/>
      <c r="AS2422" s="8"/>
      <c r="AT2422" s="8">
        <v>2385.0100000000002</v>
      </c>
      <c r="AU2422" s="8"/>
      <c r="AV2422" s="8"/>
      <c r="AW2422" s="8"/>
      <c r="AX2422" s="8">
        <v>5.23</v>
      </c>
      <c r="AY2422" s="8"/>
      <c r="AZ2422" s="8"/>
      <c r="BA2422" s="8"/>
      <c r="BB2422" s="8"/>
      <c r="BC2422" s="8"/>
      <c r="BD2422" s="8"/>
      <c r="BE2422" s="8"/>
      <c r="BF2422" s="8"/>
      <c r="BG2422" s="8">
        <v>179.5</v>
      </c>
      <c r="BH2422" s="9">
        <f t="shared" si="333"/>
        <v>4179.79</v>
      </c>
      <c r="BI2422" s="9">
        <f t="shared" si="334"/>
        <v>10.91</v>
      </c>
      <c r="BJ2422" s="9">
        <f t="shared" si="335"/>
        <v>12.56</v>
      </c>
      <c r="BK2422" s="9">
        <f t="shared" si="336"/>
        <v>53.12</v>
      </c>
      <c r="BL2422" s="9">
        <f t="shared" si="337"/>
        <v>0</v>
      </c>
      <c r="BM2422" s="9">
        <f t="shared" si="338"/>
        <v>10.47</v>
      </c>
      <c r="BN2422" s="9">
        <f t="shared" si="339"/>
        <v>2385.0100000000002</v>
      </c>
      <c r="BO2422" s="9">
        <f t="shared" si="340"/>
        <v>5.23</v>
      </c>
      <c r="BP2422" s="9">
        <f t="shared" si="341"/>
        <v>0</v>
      </c>
    </row>
    <row r="2423" spans="1:68">
      <c r="A2423" s="6">
        <v>44972</v>
      </c>
      <c r="B2423" s="7">
        <v>3136</v>
      </c>
      <c r="C2423" s="8">
        <v>1230.6400000000001</v>
      </c>
      <c r="D2423" s="8"/>
      <c r="E2423" s="8"/>
      <c r="F2423" s="8"/>
      <c r="G2423" s="8"/>
      <c r="H2423" s="8">
        <v>505.72</v>
      </c>
      <c r="I2423" s="8"/>
      <c r="J2423" s="8"/>
      <c r="K2423" s="8"/>
      <c r="L2423" s="8"/>
      <c r="M2423" s="8">
        <v>1.73</v>
      </c>
      <c r="N2423" s="8"/>
      <c r="O2423" s="8"/>
      <c r="P2423" s="8"/>
      <c r="Q2423" s="11"/>
      <c r="R2423" s="11"/>
      <c r="S2423" s="8">
        <v>7.56</v>
      </c>
      <c r="T2423" s="8"/>
      <c r="U2423" s="8">
        <v>19.559999999999999</v>
      </c>
      <c r="V2423" s="8"/>
      <c r="W2423" s="8"/>
      <c r="X2423" s="8"/>
      <c r="Y2423" s="8"/>
      <c r="Z2423" s="8"/>
      <c r="AA2423" s="8"/>
      <c r="AB2423" s="8"/>
      <c r="AC2423" s="8">
        <v>6.04</v>
      </c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11"/>
      <c r="AQ2423" s="8"/>
      <c r="AR2423" s="8"/>
      <c r="AS2423" s="8"/>
      <c r="AT2423" s="8">
        <v>982.64</v>
      </c>
      <c r="AU2423" s="8"/>
      <c r="AV2423" s="8"/>
      <c r="AW2423" s="8"/>
      <c r="AX2423" s="8"/>
      <c r="AY2423" s="8"/>
      <c r="AZ2423" s="8"/>
      <c r="BA2423" s="8">
        <v>14.96</v>
      </c>
      <c r="BB2423" s="8"/>
      <c r="BC2423" s="8"/>
      <c r="BD2423" s="8"/>
      <c r="BE2423" s="8"/>
      <c r="BF2423" s="8">
        <v>60.39</v>
      </c>
      <c r="BG2423" s="8">
        <v>74.22</v>
      </c>
      <c r="BH2423" s="9">
        <f t="shared" si="333"/>
        <v>1736.3600000000001</v>
      </c>
      <c r="BI2423" s="9">
        <f t="shared" si="334"/>
        <v>1.73</v>
      </c>
      <c r="BJ2423" s="9">
        <f t="shared" si="335"/>
        <v>7.56</v>
      </c>
      <c r="BK2423" s="9">
        <f t="shared" si="336"/>
        <v>19.559999999999999</v>
      </c>
      <c r="BL2423" s="9">
        <f t="shared" si="337"/>
        <v>0</v>
      </c>
      <c r="BM2423" s="9">
        <f t="shared" si="338"/>
        <v>6.04</v>
      </c>
      <c r="BN2423" s="9">
        <f t="shared" si="339"/>
        <v>982.64</v>
      </c>
      <c r="BO2423" s="9">
        <f t="shared" si="340"/>
        <v>14.96</v>
      </c>
      <c r="BP2423" s="9">
        <f t="shared" si="341"/>
        <v>60.39</v>
      </c>
    </row>
    <row r="2424" spans="1:68">
      <c r="A2424" s="6">
        <v>44972</v>
      </c>
      <c r="B2424" s="7">
        <v>3145</v>
      </c>
      <c r="C2424" s="8">
        <v>1238.6400000000001</v>
      </c>
      <c r="D2424" s="8">
        <v>215.01</v>
      </c>
      <c r="E2424" s="8"/>
      <c r="F2424" s="8"/>
      <c r="G2424" s="8"/>
      <c r="H2424" s="8"/>
      <c r="I2424" s="8"/>
      <c r="J2424" s="8"/>
      <c r="K2424" s="8"/>
      <c r="L2424" s="8"/>
      <c r="M2424" s="8">
        <v>4.22</v>
      </c>
      <c r="N2424" s="8"/>
      <c r="O2424" s="8"/>
      <c r="P2424" s="8"/>
      <c r="Q2424" s="11"/>
      <c r="R2424" s="11"/>
      <c r="S2424" s="8">
        <v>6.86</v>
      </c>
      <c r="T2424" s="8"/>
      <c r="U2424" s="8">
        <v>21.95</v>
      </c>
      <c r="V2424" s="8"/>
      <c r="W2424" s="8"/>
      <c r="X2424" s="8"/>
      <c r="Y2424" s="8"/>
      <c r="Z2424" s="8"/>
      <c r="AA2424" s="8"/>
      <c r="AB2424" s="8"/>
      <c r="AC2424" s="8">
        <v>5.84</v>
      </c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11"/>
      <c r="AQ2424" s="8"/>
      <c r="AR2424" s="8"/>
      <c r="AS2424" s="8"/>
      <c r="AT2424" s="8">
        <v>963.88</v>
      </c>
      <c r="AU2424" s="8"/>
      <c r="AV2424" s="8"/>
      <c r="AW2424" s="8"/>
      <c r="AX2424" s="8"/>
      <c r="AY2424" s="8"/>
      <c r="AZ2424" s="8"/>
      <c r="BA2424" s="8"/>
      <c r="BB2424" s="8"/>
      <c r="BC2424" s="8"/>
      <c r="BD2424" s="8">
        <v>3.65</v>
      </c>
      <c r="BE2424" s="8">
        <f>1358*9.72/1000</f>
        <v>13.199759999999999</v>
      </c>
      <c r="BF2424" s="8">
        <v>102.07</v>
      </c>
      <c r="BG2424" s="8">
        <v>75.5</v>
      </c>
      <c r="BH2424" s="9">
        <f t="shared" si="333"/>
        <v>1453.65</v>
      </c>
      <c r="BI2424" s="9">
        <f t="shared" si="334"/>
        <v>4.22</v>
      </c>
      <c r="BJ2424" s="9">
        <f t="shared" si="335"/>
        <v>6.86</v>
      </c>
      <c r="BK2424" s="9">
        <f t="shared" si="336"/>
        <v>21.95</v>
      </c>
      <c r="BL2424" s="9">
        <f t="shared" si="337"/>
        <v>0</v>
      </c>
      <c r="BM2424" s="9">
        <f t="shared" si="338"/>
        <v>5.84</v>
      </c>
      <c r="BN2424" s="9">
        <f t="shared" si="339"/>
        <v>963.88</v>
      </c>
      <c r="BO2424" s="9">
        <f t="shared" si="340"/>
        <v>16.84976</v>
      </c>
      <c r="BP2424" s="9">
        <f t="shared" si="341"/>
        <v>102.07</v>
      </c>
    </row>
    <row r="2425" spans="1:68">
      <c r="A2425" s="6">
        <v>44972</v>
      </c>
      <c r="B2425" s="7">
        <v>3134</v>
      </c>
      <c r="C2425" s="8">
        <v>1074.8900000000001</v>
      </c>
      <c r="D2425" s="8">
        <v>150.38</v>
      </c>
      <c r="E2425" s="8"/>
      <c r="F2425" s="8"/>
      <c r="G2425" s="8"/>
      <c r="H2425" s="8">
        <v>506.92</v>
      </c>
      <c r="I2425" s="8"/>
      <c r="J2425" s="8"/>
      <c r="K2425" s="8"/>
      <c r="L2425" s="8"/>
      <c r="M2425" s="8">
        <v>2.81</v>
      </c>
      <c r="N2425" s="8"/>
      <c r="O2425" s="8"/>
      <c r="P2425" s="8"/>
      <c r="Q2425" s="11"/>
      <c r="R2425" s="11"/>
      <c r="S2425" s="8">
        <v>6.93</v>
      </c>
      <c r="T2425" s="8"/>
      <c r="U2425" s="8">
        <v>19.57</v>
      </c>
      <c r="V2425" s="8"/>
      <c r="W2425" s="8"/>
      <c r="X2425" s="8"/>
      <c r="Y2425" s="8"/>
      <c r="Z2425" s="8"/>
      <c r="AA2425" s="8"/>
      <c r="AB2425" s="8"/>
      <c r="AC2425" s="8">
        <v>6.02</v>
      </c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11"/>
      <c r="AQ2425" s="8"/>
      <c r="AR2425" s="8"/>
      <c r="AS2425" s="8"/>
      <c r="AT2425" s="8">
        <v>1060.42</v>
      </c>
      <c r="AU2425" s="8"/>
      <c r="AV2425" s="8"/>
      <c r="AW2425" s="8"/>
      <c r="AX2425" s="8"/>
      <c r="AY2425" s="8">
        <f>1430*10.77/1000</f>
        <v>15.401099999999998</v>
      </c>
      <c r="AZ2425" s="8"/>
      <c r="BA2425" s="8"/>
      <c r="BB2425" s="8"/>
      <c r="BC2425" s="8"/>
      <c r="BD2425" s="8"/>
      <c r="BE2425" s="8"/>
      <c r="BF2425" s="8">
        <v>67.91</v>
      </c>
      <c r="BG2425" s="8">
        <v>79.790000000000006</v>
      </c>
      <c r="BH2425" s="9">
        <f t="shared" si="333"/>
        <v>1732.19</v>
      </c>
      <c r="BI2425" s="9">
        <f t="shared" si="334"/>
        <v>2.81</v>
      </c>
      <c r="BJ2425" s="9">
        <f t="shared" si="335"/>
        <v>6.93</v>
      </c>
      <c r="BK2425" s="9">
        <f t="shared" si="336"/>
        <v>19.57</v>
      </c>
      <c r="BL2425" s="9">
        <f t="shared" si="337"/>
        <v>0</v>
      </c>
      <c r="BM2425" s="9">
        <f t="shared" si="338"/>
        <v>6.02</v>
      </c>
      <c r="BN2425" s="9">
        <f t="shared" si="339"/>
        <v>1060.42</v>
      </c>
      <c r="BO2425" s="9">
        <f t="shared" si="340"/>
        <v>15.401099999999998</v>
      </c>
      <c r="BP2425" s="9">
        <f t="shared" si="341"/>
        <v>67.91</v>
      </c>
    </row>
    <row r="2426" spans="1:68">
      <c r="A2426" s="6">
        <v>44972</v>
      </c>
      <c r="B2426" s="7">
        <v>3141</v>
      </c>
      <c r="C2426" s="8">
        <v>2381.77</v>
      </c>
      <c r="D2426" s="8">
        <v>420.44</v>
      </c>
      <c r="E2426" s="8"/>
      <c r="F2426" s="8"/>
      <c r="G2426" s="8"/>
      <c r="H2426" s="8"/>
      <c r="I2426" s="8"/>
      <c r="J2426" s="8"/>
      <c r="K2426" s="8"/>
      <c r="L2426" s="8"/>
      <c r="M2426" s="8">
        <v>8.1300000000000008</v>
      </c>
      <c r="N2426" s="8"/>
      <c r="O2426" s="8"/>
      <c r="P2426" s="8"/>
      <c r="Q2426" s="11"/>
      <c r="R2426" s="11"/>
      <c r="S2426" s="8">
        <v>13.17</v>
      </c>
      <c r="T2426" s="8"/>
      <c r="U2426" s="8">
        <v>42.08</v>
      </c>
      <c r="V2426" s="8"/>
      <c r="W2426" s="8"/>
      <c r="X2426" s="8"/>
      <c r="Y2426" s="8"/>
      <c r="Z2426" s="8"/>
      <c r="AA2426" s="8"/>
      <c r="AB2426" s="8"/>
      <c r="AC2426" s="8">
        <v>11.21</v>
      </c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11"/>
      <c r="AQ2426" s="8"/>
      <c r="AR2426" s="8"/>
      <c r="AS2426" s="8"/>
      <c r="AT2426" s="8">
        <v>1855.65</v>
      </c>
      <c r="AU2426" s="8"/>
      <c r="AV2426" s="8"/>
      <c r="AW2426" s="8"/>
      <c r="AX2426" s="8"/>
      <c r="AY2426" s="8"/>
      <c r="AZ2426" s="8"/>
      <c r="BA2426" s="8">
        <v>64.19</v>
      </c>
      <c r="BB2426" s="8"/>
      <c r="BC2426" s="8"/>
      <c r="BD2426" s="8"/>
      <c r="BE2426" s="8"/>
      <c r="BF2426" s="8">
        <v>196.26</v>
      </c>
      <c r="BG2426" s="8">
        <v>146.41</v>
      </c>
      <c r="BH2426" s="9">
        <f t="shared" si="333"/>
        <v>2802.21</v>
      </c>
      <c r="BI2426" s="9">
        <f t="shared" si="334"/>
        <v>8.1300000000000008</v>
      </c>
      <c r="BJ2426" s="9">
        <f t="shared" si="335"/>
        <v>13.17</v>
      </c>
      <c r="BK2426" s="9">
        <f t="shared" si="336"/>
        <v>42.08</v>
      </c>
      <c r="BL2426" s="9">
        <f t="shared" si="337"/>
        <v>0</v>
      </c>
      <c r="BM2426" s="9">
        <f t="shared" si="338"/>
        <v>11.21</v>
      </c>
      <c r="BN2426" s="9">
        <f t="shared" si="339"/>
        <v>1855.65</v>
      </c>
      <c r="BO2426" s="9">
        <f t="shared" si="340"/>
        <v>64.19</v>
      </c>
      <c r="BP2426" s="9">
        <f t="shared" si="341"/>
        <v>196.26</v>
      </c>
    </row>
    <row r="2427" spans="1:68">
      <c r="A2427" s="6">
        <v>44972</v>
      </c>
      <c r="B2427" s="7">
        <v>3144</v>
      </c>
      <c r="C2427" s="8">
        <f>214.62+1225.86</f>
        <v>1440.48</v>
      </c>
      <c r="D2427" s="8">
        <f>37.87+216.34</f>
        <v>254.21</v>
      </c>
      <c r="E2427" s="8"/>
      <c r="F2427" s="8"/>
      <c r="G2427" s="8"/>
      <c r="H2427" s="8"/>
      <c r="I2427" s="8"/>
      <c r="J2427" s="8"/>
      <c r="K2427" s="8"/>
      <c r="L2427" s="8"/>
      <c r="M2427" s="8">
        <f>0.73+4.31</f>
        <v>5.0399999999999991</v>
      </c>
      <c r="N2427" s="8"/>
      <c r="O2427" s="8"/>
      <c r="P2427" s="8"/>
      <c r="Q2427" s="11"/>
      <c r="R2427" s="11"/>
      <c r="S2427" s="8">
        <f>1.19+6.79</f>
        <v>7.98</v>
      </c>
      <c r="T2427" s="8"/>
      <c r="U2427" s="8">
        <f>3.79+21.64</f>
        <v>25.43</v>
      </c>
      <c r="V2427" s="8"/>
      <c r="W2427" s="8"/>
      <c r="X2427" s="8"/>
      <c r="Y2427" s="8"/>
      <c r="Z2427" s="8"/>
      <c r="AA2427" s="8"/>
      <c r="AB2427" s="8"/>
      <c r="AC2427" s="8">
        <f>1.01+5.78</f>
        <v>6.79</v>
      </c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11">
        <f>1210*11.3/1000</f>
        <v>13.673</v>
      </c>
      <c r="AQ2427" s="8"/>
      <c r="AR2427" s="8"/>
      <c r="AS2427" s="8"/>
      <c r="AT2427" s="8">
        <f>166.09+947.3</f>
        <v>1113.3899999999999</v>
      </c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>
        <f>17.68+101</f>
        <v>118.68</v>
      </c>
      <c r="BG2427" s="8">
        <f>13.13+75.15</f>
        <v>88.28</v>
      </c>
      <c r="BH2427" s="9">
        <f t="shared" si="333"/>
        <v>1694.69</v>
      </c>
      <c r="BI2427" s="9">
        <f t="shared" si="334"/>
        <v>5.0399999999999991</v>
      </c>
      <c r="BJ2427" s="9">
        <f t="shared" si="335"/>
        <v>7.98</v>
      </c>
      <c r="BK2427" s="9">
        <f t="shared" si="336"/>
        <v>25.43</v>
      </c>
      <c r="BL2427" s="9">
        <f t="shared" si="337"/>
        <v>0</v>
      </c>
      <c r="BM2427" s="9">
        <f t="shared" si="338"/>
        <v>20.463000000000001</v>
      </c>
      <c r="BN2427" s="9">
        <f t="shared" si="339"/>
        <v>1113.3899999999999</v>
      </c>
      <c r="BO2427" s="9">
        <f t="shared" si="340"/>
        <v>0</v>
      </c>
      <c r="BP2427" s="9">
        <f t="shared" si="341"/>
        <v>118.68</v>
      </c>
    </row>
    <row r="2428" spans="1:68">
      <c r="A2428" s="6">
        <v>44972</v>
      </c>
      <c r="B2428" s="7">
        <v>3200</v>
      </c>
      <c r="C2428" s="8">
        <v>2261.34</v>
      </c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>
        <v>5.64</v>
      </c>
      <c r="P2428" s="8"/>
      <c r="Q2428" s="11"/>
      <c r="R2428" s="11"/>
      <c r="S2428" s="8">
        <v>8.83</v>
      </c>
      <c r="T2428" s="8"/>
      <c r="U2428" s="8">
        <v>33.950000000000003</v>
      </c>
      <c r="V2428" s="8"/>
      <c r="W2428" s="8"/>
      <c r="X2428" s="8"/>
      <c r="Y2428" s="8"/>
      <c r="Z2428" s="8">
        <v>475.57</v>
      </c>
      <c r="AA2428" s="8"/>
      <c r="AB2428" s="8"/>
      <c r="AC2428" s="8"/>
      <c r="AD2428" s="8"/>
      <c r="AE2428" s="8"/>
      <c r="AF2428" s="8">
        <v>112.62</v>
      </c>
      <c r="AG2428" s="8"/>
      <c r="AH2428" s="8"/>
      <c r="AI2428" s="8"/>
      <c r="AJ2428" s="8"/>
      <c r="AK2428" s="8"/>
      <c r="AL2428" s="8"/>
      <c r="AM2428" s="8"/>
      <c r="AN2428" s="8"/>
      <c r="AO2428" s="8"/>
      <c r="AP2428" s="11"/>
      <c r="AQ2428" s="8">
        <f>1515*22.63/1000</f>
        <v>34.28445</v>
      </c>
      <c r="AR2428" s="8"/>
      <c r="AS2428" s="8"/>
      <c r="AT2428" s="8">
        <v>1547.83</v>
      </c>
      <c r="AU2428" s="8"/>
      <c r="AV2428" s="8"/>
      <c r="AW2428" s="8">
        <v>6.46</v>
      </c>
      <c r="AX2428" s="8"/>
      <c r="AY2428" s="8"/>
      <c r="AZ2428" s="8"/>
      <c r="BA2428" s="8"/>
      <c r="BB2428" s="8"/>
      <c r="BC2428" s="8"/>
      <c r="BD2428" s="8"/>
      <c r="BE2428" s="8"/>
      <c r="BF2428" s="8">
        <v>108.68</v>
      </c>
      <c r="BG2428" s="8">
        <v>111.91</v>
      </c>
      <c r="BH2428" s="9">
        <f t="shared" si="333"/>
        <v>2261.34</v>
      </c>
      <c r="BI2428" s="9">
        <f t="shared" si="334"/>
        <v>5.64</v>
      </c>
      <c r="BJ2428" s="9">
        <f t="shared" si="335"/>
        <v>8.83</v>
      </c>
      <c r="BK2428" s="9">
        <f t="shared" si="336"/>
        <v>33.950000000000003</v>
      </c>
      <c r="BL2428" s="9">
        <f t="shared" si="337"/>
        <v>475.57</v>
      </c>
      <c r="BM2428" s="9">
        <f t="shared" si="338"/>
        <v>146.90445</v>
      </c>
      <c r="BN2428" s="9">
        <f t="shared" si="339"/>
        <v>1547.83</v>
      </c>
      <c r="BO2428" s="9">
        <f t="shared" si="340"/>
        <v>6.46</v>
      </c>
      <c r="BP2428" s="9">
        <f t="shared" si="341"/>
        <v>108.68</v>
      </c>
    </row>
    <row r="2429" spans="1:68">
      <c r="A2429" s="6">
        <v>44972</v>
      </c>
      <c r="B2429" s="7">
        <v>3079</v>
      </c>
      <c r="C2429" s="8"/>
      <c r="D2429" s="8"/>
      <c r="E2429" s="8"/>
      <c r="F2429" s="8">
        <f>178.32+178.63+24.17</f>
        <v>381.12</v>
      </c>
      <c r="G2429" s="8"/>
      <c r="H2429" s="8"/>
      <c r="I2429" s="8">
        <f>1446.4+1445+196.46</f>
        <v>3087.86</v>
      </c>
      <c r="J2429" s="8"/>
      <c r="K2429" s="8"/>
      <c r="L2429" s="8"/>
      <c r="M2429" s="8"/>
      <c r="N2429" s="8">
        <f>11.69+11.7+1.59</f>
        <v>24.98</v>
      </c>
      <c r="O2429" s="8"/>
      <c r="P2429" s="8"/>
      <c r="Q2429" s="11"/>
      <c r="R2429" s="11"/>
      <c r="S2429" s="8">
        <f>0.64+0.65+0.09</f>
        <v>1.3800000000000001</v>
      </c>
      <c r="T2429" s="8"/>
      <c r="U2429" s="8"/>
      <c r="V2429" s="8"/>
      <c r="W2429" s="8">
        <f>16.25+16.26+2.21</f>
        <v>34.720000000000006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>
        <f>6.39+6.45+0.88</f>
        <v>13.72</v>
      </c>
      <c r="AN2429" s="8">
        <f>1716*20.4/1000</f>
        <v>35.006399999999992</v>
      </c>
      <c r="AO2429" s="8"/>
      <c r="AP2429" s="11"/>
      <c r="AQ2429" s="8"/>
      <c r="AR2429" s="8">
        <f>4306*20.4/1000</f>
        <v>87.842399999999998</v>
      </c>
      <c r="AS2429" s="8"/>
      <c r="AT2429" s="8">
        <f>624.2+626.01+85.07</f>
        <v>1335.28</v>
      </c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>
        <f>45.27+45.6+6.17</f>
        <v>97.04</v>
      </c>
      <c r="BH2429" s="9">
        <f t="shared" si="333"/>
        <v>3468.98</v>
      </c>
      <c r="BI2429" s="9">
        <f t="shared" si="334"/>
        <v>24.98</v>
      </c>
      <c r="BJ2429" s="9">
        <f t="shared" si="335"/>
        <v>1.3800000000000001</v>
      </c>
      <c r="BK2429" s="9">
        <f t="shared" si="336"/>
        <v>34.720000000000006</v>
      </c>
      <c r="BL2429" s="9">
        <f t="shared" si="337"/>
        <v>0</v>
      </c>
      <c r="BM2429" s="9">
        <f t="shared" si="338"/>
        <v>136.56879999999998</v>
      </c>
      <c r="BN2429" s="9">
        <f t="shared" si="339"/>
        <v>1335.28</v>
      </c>
      <c r="BO2429" s="9">
        <f t="shared" si="340"/>
        <v>0</v>
      </c>
      <c r="BP2429" s="9">
        <f t="shared" si="341"/>
        <v>0</v>
      </c>
    </row>
    <row r="2430" spans="1:68">
      <c r="A2430" s="6">
        <v>44973</v>
      </c>
      <c r="B2430" s="7">
        <v>3141</v>
      </c>
      <c r="C2430" s="8">
        <v>1261.6300000000001</v>
      </c>
      <c r="D2430" s="8">
        <v>222.61</v>
      </c>
      <c r="E2430" s="8"/>
      <c r="F2430" s="8"/>
      <c r="G2430" s="8"/>
      <c r="H2430" s="8"/>
      <c r="I2430" s="8"/>
      <c r="J2430" s="8"/>
      <c r="K2430" s="8"/>
      <c r="L2430" s="8"/>
      <c r="M2430" s="8">
        <v>4.5199999999999996</v>
      </c>
      <c r="N2430" s="8"/>
      <c r="O2430" s="8"/>
      <c r="P2430" s="8"/>
      <c r="Q2430" s="11"/>
      <c r="R2430" s="11"/>
      <c r="S2430" s="8">
        <v>6.98</v>
      </c>
      <c r="T2430" s="8"/>
      <c r="U2430" s="8">
        <v>22.27</v>
      </c>
      <c r="V2430" s="8"/>
      <c r="W2430" s="8"/>
      <c r="X2430" s="8"/>
      <c r="Y2430" s="8"/>
      <c r="Z2430" s="8"/>
      <c r="AA2430" s="8"/>
      <c r="AB2430" s="8"/>
      <c r="AC2430" s="8">
        <v>5.94</v>
      </c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11"/>
      <c r="AQ2430" s="8"/>
      <c r="AR2430" s="8"/>
      <c r="AS2430" s="8"/>
      <c r="AT2430" s="8">
        <v>975.89</v>
      </c>
      <c r="AU2430" s="8"/>
      <c r="AV2430" s="8"/>
      <c r="AW2430" s="8"/>
      <c r="AX2430" s="8"/>
      <c r="AY2430" s="8"/>
      <c r="AZ2430" s="8"/>
      <c r="BA2430" s="8">
        <v>33.99</v>
      </c>
      <c r="BB2430" s="8"/>
      <c r="BC2430" s="8"/>
      <c r="BD2430" s="8"/>
      <c r="BE2430" s="8"/>
      <c r="BF2430" s="8">
        <v>103.98</v>
      </c>
      <c r="BG2430" s="8">
        <v>76.959999999999994</v>
      </c>
      <c r="BH2430" s="9">
        <f t="shared" si="333"/>
        <v>1484.2400000000002</v>
      </c>
      <c r="BI2430" s="9">
        <f t="shared" si="334"/>
        <v>4.5199999999999996</v>
      </c>
      <c r="BJ2430" s="9">
        <f t="shared" si="335"/>
        <v>6.98</v>
      </c>
      <c r="BK2430" s="9">
        <f t="shared" si="336"/>
        <v>22.27</v>
      </c>
      <c r="BL2430" s="9">
        <f t="shared" si="337"/>
        <v>0</v>
      </c>
      <c r="BM2430" s="9">
        <f t="shared" si="338"/>
        <v>5.94</v>
      </c>
      <c r="BN2430" s="9">
        <f t="shared" si="339"/>
        <v>975.89</v>
      </c>
      <c r="BO2430" s="9">
        <f t="shared" si="340"/>
        <v>33.99</v>
      </c>
      <c r="BP2430" s="9">
        <f t="shared" si="341"/>
        <v>103.98</v>
      </c>
    </row>
    <row r="2431" spans="1:68">
      <c r="A2431" s="6">
        <v>44973</v>
      </c>
      <c r="B2431" s="7">
        <v>3134</v>
      </c>
      <c r="C2431" s="8">
        <v>1094.3900000000001</v>
      </c>
      <c r="D2431" s="8">
        <v>153.69999999999999</v>
      </c>
      <c r="E2431" s="8"/>
      <c r="F2431" s="8"/>
      <c r="G2431" s="8"/>
      <c r="H2431" s="8">
        <v>515.72</v>
      </c>
      <c r="I2431" s="8"/>
      <c r="J2431" s="8"/>
      <c r="K2431" s="8"/>
      <c r="L2431" s="8"/>
      <c r="M2431" s="8">
        <v>2.85</v>
      </c>
      <c r="N2431" s="8"/>
      <c r="O2431" s="8"/>
      <c r="P2431" s="8"/>
      <c r="Q2431" s="11"/>
      <c r="R2431" s="11"/>
      <c r="S2431" s="8">
        <v>7.1</v>
      </c>
      <c r="T2431" s="8"/>
      <c r="U2431" s="8">
        <v>20.059999999999999</v>
      </c>
      <c r="V2431" s="8"/>
      <c r="W2431" s="8"/>
      <c r="X2431" s="8"/>
      <c r="Y2431" s="8"/>
      <c r="Z2431" s="8"/>
      <c r="AA2431" s="8"/>
      <c r="AB2431" s="8"/>
      <c r="AC2431" s="8">
        <v>6.16</v>
      </c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11"/>
      <c r="AQ2431" s="8"/>
      <c r="AR2431" s="8"/>
      <c r="AS2431" s="8"/>
      <c r="AT2431" s="8">
        <v>1082.98</v>
      </c>
      <c r="AU2431" s="8"/>
      <c r="AV2431" s="8"/>
      <c r="AW2431" s="8"/>
      <c r="AX2431" s="8"/>
      <c r="AY2431" s="8">
        <f>1434*11/1000</f>
        <v>15.773999999999999</v>
      </c>
      <c r="AZ2431" s="8"/>
      <c r="BA2431" s="8"/>
      <c r="BB2431" s="8"/>
      <c r="BC2431" s="8"/>
      <c r="BD2431" s="8"/>
      <c r="BE2431" s="8"/>
      <c r="BF2431" s="8">
        <v>69.42</v>
      </c>
      <c r="BG2431" s="8">
        <v>81.599999999999994</v>
      </c>
      <c r="BH2431" s="9">
        <f t="shared" si="333"/>
        <v>1763.8100000000002</v>
      </c>
      <c r="BI2431" s="9">
        <f t="shared" si="334"/>
        <v>2.85</v>
      </c>
      <c r="BJ2431" s="9">
        <f t="shared" si="335"/>
        <v>7.1</v>
      </c>
      <c r="BK2431" s="9">
        <f t="shared" si="336"/>
        <v>20.059999999999999</v>
      </c>
      <c r="BL2431" s="9">
        <f t="shared" si="337"/>
        <v>0</v>
      </c>
      <c r="BM2431" s="9">
        <f t="shared" si="338"/>
        <v>6.16</v>
      </c>
      <c r="BN2431" s="9">
        <f t="shared" si="339"/>
        <v>1082.98</v>
      </c>
      <c r="BO2431" s="9">
        <f t="shared" si="340"/>
        <v>15.773999999999999</v>
      </c>
      <c r="BP2431" s="9">
        <f t="shared" si="341"/>
        <v>69.42</v>
      </c>
    </row>
    <row r="2432" spans="1:68">
      <c r="A2432" s="6">
        <v>44973</v>
      </c>
      <c r="B2432" s="7">
        <v>3106</v>
      </c>
      <c r="C2432" s="8">
        <v>4148.0200000000004</v>
      </c>
      <c r="D2432" s="8"/>
      <c r="E2432" s="8"/>
      <c r="F2432" s="8"/>
      <c r="G2432" s="8"/>
      <c r="H2432" s="8"/>
      <c r="I2432" s="8"/>
      <c r="J2432" s="8"/>
      <c r="K2432" s="8"/>
      <c r="L2432" s="8"/>
      <c r="M2432" s="8">
        <v>11.18</v>
      </c>
      <c r="N2432" s="8"/>
      <c r="O2432" s="8"/>
      <c r="P2432" s="8"/>
      <c r="Q2432" s="11"/>
      <c r="R2432" s="11"/>
      <c r="S2432" s="8">
        <v>12.46</v>
      </c>
      <c r="T2432" s="8"/>
      <c r="U2432" s="8">
        <v>52.7</v>
      </c>
      <c r="V2432" s="8"/>
      <c r="W2432" s="8"/>
      <c r="X2432" s="8"/>
      <c r="Y2432" s="8"/>
      <c r="Z2432" s="8"/>
      <c r="AA2432" s="8"/>
      <c r="AB2432" s="8"/>
      <c r="AC2432" s="8">
        <v>10.36</v>
      </c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11"/>
      <c r="AQ2432" s="8"/>
      <c r="AR2432" s="8"/>
      <c r="AS2432" s="8"/>
      <c r="AT2432" s="8">
        <v>2362.4</v>
      </c>
      <c r="AU2432" s="8"/>
      <c r="AV2432" s="8"/>
      <c r="AW2432" s="8"/>
      <c r="AX2432" s="8">
        <v>5.19</v>
      </c>
      <c r="AY2432" s="8"/>
      <c r="AZ2432" s="8"/>
      <c r="BA2432" s="8"/>
      <c r="BB2432" s="8"/>
      <c r="BC2432" s="8"/>
      <c r="BD2432" s="8"/>
      <c r="BE2432" s="8"/>
      <c r="BF2432" s="8"/>
      <c r="BG2432" s="8">
        <v>178.52</v>
      </c>
      <c r="BH2432" s="9">
        <f t="shared" si="333"/>
        <v>4148.0200000000004</v>
      </c>
      <c r="BI2432" s="9">
        <f t="shared" si="334"/>
        <v>11.18</v>
      </c>
      <c r="BJ2432" s="9">
        <f t="shared" si="335"/>
        <v>12.46</v>
      </c>
      <c r="BK2432" s="9">
        <f t="shared" si="336"/>
        <v>52.7</v>
      </c>
      <c r="BL2432" s="9">
        <f t="shared" si="337"/>
        <v>0</v>
      </c>
      <c r="BM2432" s="9">
        <f t="shared" si="338"/>
        <v>10.36</v>
      </c>
      <c r="BN2432" s="9">
        <f t="shared" si="339"/>
        <v>2362.4</v>
      </c>
      <c r="BO2432" s="9">
        <f t="shared" si="340"/>
        <v>5.19</v>
      </c>
      <c r="BP2432" s="9">
        <f t="shared" si="341"/>
        <v>0</v>
      </c>
    </row>
    <row r="2433" spans="1:68">
      <c r="A2433" s="6">
        <v>44973</v>
      </c>
      <c r="B2433" s="7">
        <v>3016</v>
      </c>
      <c r="C2433" s="8"/>
      <c r="D2433" s="8">
        <v>2319.31</v>
      </c>
      <c r="E2433" s="8"/>
      <c r="F2433" s="8"/>
      <c r="G2433" s="8"/>
      <c r="H2433" s="8"/>
      <c r="I2433" s="8">
        <v>2137.37</v>
      </c>
      <c r="J2433" s="8"/>
      <c r="K2433" s="8"/>
      <c r="L2433" s="8"/>
      <c r="M2433" s="8"/>
      <c r="N2433" s="8">
        <v>27.65</v>
      </c>
      <c r="O2433" s="8"/>
      <c r="P2433" s="8"/>
      <c r="Q2433" s="11"/>
      <c r="R2433" s="11"/>
      <c r="S2433" s="8">
        <v>3.12</v>
      </c>
      <c r="T2433" s="8"/>
      <c r="U2433" s="8"/>
      <c r="V2433" s="8"/>
      <c r="W2433" s="8">
        <v>44.65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>
        <v>17.71</v>
      </c>
      <c r="AN2433" s="8">
        <f>2062*26.23/1000</f>
        <v>54.086260000000003</v>
      </c>
      <c r="AO2433" s="8"/>
      <c r="AP2433" s="11"/>
      <c r="AQ2433" s="8"/>
      <c r="AR2433" s="8">
        <f>4292*26.23/1000</f>
        <v>112.57916</v>
      </c>
      <c r="AS2433" s="8"/>
      <c r="AT2433" s="8">
        <v>1661.1</v>
      </c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>
        <v>121.55</v>
      </c>
      <c r="BH2433" s="9">
        <f t="shared" si="333"/>
        <v>4456.68</v>
      </c>
      <c r="BI2433" s="9">
        <f t="shared" si="334"/>
        <v>27.65</v>
      </c>
      <c r="BJ2433" s="9">
        <f t="shared" si="335"/>
        <v>3.12</v>
      </c>
      <c r="BK2433" s="9">
        <f t="shared" si="336"/>
        <v>44.65</v>
      </c>
      <c r="BL2433" s="9">
        <f t="shared" si="337"/>
        <v>0</v>
      </c>
      <c r="BM2433" s="9">
        <f t="shared" si="338"/>
        <v>184.37542000000002</v>
      </c>
      <c r="BN2433" s="9">
        <f t="shared" si="339"/>
        <v>1661.1</v>
      </c>
      <c r="BO2433" s="9">
        <f t="shared" si="340"/>
        <v>0</v>
      </c>
      <c r="BP2433" s="9">
        <f t="shared" si="341"/>
        <v>0</v>
      </c>
    </row>
    <row r="2434" spans="1:68">
      <c r="A2434" s="6">
        <v>44973</v>
      </c>
      <c r="B2434" s="7">
        <v>3009</v>
      </c>
      <c r="C2434" s="8"/>
      <c r="D2434" s="8">
        <v>404.69</v>
      </c>
      <c r="E2434" s="8"/>
      <c r="F2434" s="8">
        <v>227.44</v>
      </c>
      <c r="G2434" s="8"/>
      <c r="H2434" s="8"/>
      <c r="I2434" s="8">
        <v>210.44</v>
      </c>
      <c r="J2434" s="8"/>
      <c r="K2434" s="8"/>
      <c r="L2434" s="8"/>
      <c r="M2434" s="8"/>
      <c r="N2434" s="8">
        <v>6.08</v>
      </c>
      <c r="O2434" s="8"/>
      <c r="P2434" s="8"/>
      <c r="Q2434" s="11"/>
      <c r="R2434" s="11"/>
      <c r="S2434" s="8">
        <v>0.5</v>
      </c>
      <c r="T2434" s="8"/>
      <c r="U2434" s="8"/>
      <c r="V2434" s="8"/>
      <c r="W2434" s="8">
        <v>6.84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>
        <v>2.94</v>
      </c>
      <c r="AN2434" s="8">
        <f>1526*5.62/1000</f>
        <v>8.5761200000000013</v>
      </c>
      <c r="AO2434" s="8"/>
      <c r="AP2434" s="11"/>
      <c r="AQ2434" s="8"/>
      <c r="AR2434" s="8">
        <f>5247*5.62/1000</f>
        <v>29.488139999999998</v>
      </c>
      <c r="AS2434" s="8"/>
      <c r="AT2434" s="8">
        <v>316.63</v>
      </c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>
        <v>23.15</v>
      </c>
      <c r="BH2434" s="9">
        <f t="shared" si="333"/>
        <v>842.56999999999994</v>
      </c>
      <c r="BI2434" s="9">
        <f t="shared" si="334"/>
        <v>6.08</v>
      </c>
      <c r="BJ2434" s="9">
        <f t="shared" si="335"/>
        <v>0.5</v>
      </c>
      <c r="BK2434" s="9">
        <f t="shared" si="336"/>
        <v>6.84</v>
      </c>
      <c r="BL2434" s="9">
        <f t="shared" si="337"/>
        <v>0</v>
      </c>
      <c r="BM2434" s="9">
        <f t="shared" si="338"/>
        <v>41.004260000000002</v>
      </c>
      <c r="BN2434" s="9">
        <f t="shared" si="339"/>
        <v>316.63</v>
      </c>
      <c r="BO2434" s="9">
        <f t="shared" si="340"/>
        <v>0</v>
      </c>
      <c r="BP2434" s="9">
        <f t="shared" si="341"/>
        <v>0</v>
      </c>
    </row>
    <row r="2435" spans="1:68">
      <c r="A2435" s="6">
        <v>44973</v>
      </c>
      <c r="B2435" s="7">
        <v>3079</v>
      </c>
      <c r="C2435" s="8"/>
      <c r="D2435" s="8"/>
      <c r="E2435" s="8"/>
      <c r="F2435" s="8">
        <v>176.3</v>
      </c>
      <c r="G2435" s="8"/>
      <c r="H2435" s="8"/>
      <c r="I2435" s="8">
        <v>1425.69</v>
      </c>
      <c r="J2435" s="8"/>
      <c r="K2435" s="8"/>
      <c r="L2435" s="8"/>
      <c r="M2435" s="8"/>
      <c r="N2435" s="8">
        <v>11.36</v>
      </c>
      <c r="O2435" s="8"/>
      <c r="P2435" s="8"/>
      <c r="Q2435" s="11"/>
      <c r="R2435" s="11"/>
      <c r="S2435" s="8">
        <v>0.64</v>
      </c>
      <c r="T2435" s="8"/>
      <c r="U2435" s="8"/>
      <c r="V2435" s="8"/>
      <c r="W2435" s="8">
        <v>16.02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>
        <v>6.37</v>
      </c>
      <c r="AN2435" s="8">
        <f>1740*9.42/1000</f>
        <v>16.390799999999999</v>
      </c>
      <c r="AO2435" s="8"/>
      <c r="AP2435" s="11"/>
      <c r="AQ2435" s="8"/>
      <c r="AR2435" s="8">
        <f>4292*9.42/1000</f>
        <v>40.430639999999997</v>
      </c>
      <c r="AS2435" s="8"/>
      <c r="AT2435" s="8">
        <v>617.51</v>
      </c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>
        <v>44.96</v>
      </c>
      <c r="BH2435" s="9">
        <f t="shared" si="333"/>
        <v>1601.99</v>
      </c>
      <c r="BI2435" s="9">
        <f t="shared" si="334"/>
        <v>11.36</v>
      </c>
      <c r="BJ2435" s="9">
        <f t="shared" si="335"/>
        <v>0.64</v>
      </c>
      <c r="BK2435" s="9">
        <f t="shared" si="336"/>
        <v>16.02</v>
      </c>
      <c r="BL2435" s="9">
        <f t="shared" si="337"/>
        <v>0</v>
      </c>
      <c r="BM2435" s="9">
        <f t="shared" si="338"/>
        <v>63.19144</v>
      </c>
      <c r="BN2435" s="9">
        <f t="shared" si="339"/>
        <v>617.51</v>
      </c>
      <c r="BO2435" s="9">
        <f t="shared" si="340"/>
        <v>0</v>
      </c>
      <c r="BP2435" s="9">
        <f t="shared" si="341"/>
        <v>0</v>
      </c>
    </row>
    <row r="2436" spans="1:68">
      <c r="A2436" s="6">
        <v>44973</v>
      </c>
      <c r="B2436" s="7">
        <v>3031</v>
      </c>
      <c r="C2436" s="8"/>
      <c r="D2436" s="8"/>
      <c r="E2436" s="8"/>
      <c r="F2436" s="8"/>
      <c r="G2436" s="8"/>
      <c r="H2436" s="8"/>
      <c r="I2436" s="8">
        <v>1144.52</v>
      </c>
      <c r="J2436" s="8"/>
      <c r="K2436" s="8"/>
      <c r="L2436" s="8"/>
      <c r="M2436" s="8"/>
      <c r="N2436" s="8">
        <v>8.1199999999999992</v>
      </c>
      <c r="O2436" s="8"/>
      <c r="P2436" s="8"/>
      <c r="Q2436" s="11"/>
      <c r="R2436" s="11"/>
      <c r="S2436" s="8">
        <v>0.8</v>
      </c>
      <c r="T2436" s="8"/>
      <c r="U2436" s="8"/>
      <c r="V2436" s="8"/>
      <c r="W2436" s="8">
        <v>11.47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>
        <f>1853*9.53/1000</f>
        <v>17.659089999999999</v>
      </c>
      <c r="AJ2436" s="8"/>
      <c r="AK2436" s="8"/>
      <c r="AL2436" s="8"/>
      <c r="AM2436" s="8"/>
      <c r="AN2436" s="8">
        <f>1218*9.53/1000</f>
        <v>11.607539999999998</v>
      </c>
      <c r="AO2436" s="8"/>
      <c r="AP2436" s="11"/>
      <c r="AQ2436" s="8"/>
      <c r="AR2436" s="8">
        <f>3620*9.53/1000</f>
        <v>34.498599999999996</v>
      </c>
      <c r="AS2436" s="8"/>
      <c r="AT2436" s="8">
        <v>544.86</v>
      </c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>
        <v>36.659999999999997</v>
      </c>
      <c r="BH2436" s="9">
        <f t="shared" ref="BH2436:BH2499" si="342">SUM(C2436:L2436)</f>
        <v>1144.52</v>
      </c>
      <c r="BI2436" s="9">
        <f t="shared" ref="BI2436:BI2499" si="343">SUM(M2436:R2436)</f>
        <v>8.1199999999999992</v>
      </c>
      <c r="BJ2436" s="9">
        <f t="shared" ref="BJ2436:BJ2499" si="344">SUM(S2436)</f>
        <v>0.8</v>
      </c>
      <c r="BK2436" s="9">
        <f t="shared" ref="BK2436:BK2499" si="345">SUM(T2436:Y2436)</f>
        <v>11.47</v>
      </c>
      <c r="BL2436" s="9">
        <f t="shared" ref="BL2436:BL2499" si="346">SUM(Z2436:AA2436)</f>
        <v>0</v>
      </c>
      <c r="BM2436" s="9">
        <f t="shared" ref="BM2436:BM2499" si="347">SUM(AB2436:AS2436)</f>
        <v>63.765229999999995</v>
      </c>
      <c r="BN2436" s="9">
        <f t="shared" ref="BN2436:BN2499" si="348">SUM(AT2436:AU2436)</f>
        <v>544.86</v>
      </c>
      <c r="BO2436" s="9">
        <f t="shared" ref="BO2436:BO2499" si="349">SUM(AV2436:BE2436)</f>
        <v>0</v>
      </c>
      <c r="BP2436" s="9">
        <f t="shared" ref="BP2436:BP2499" si="350">SUM(BF2436)</f>
        <v>0</v>
      </c>
    </row>
    <row r="2437" spans="1:68">
      <c r="A2437" s="6">
        <v>44973</v>
      </c>
      <c r="B2437" s="7">
        <v>3602</v>
      </c>
      <c r="C2437" s="8">
        <v>290.18</v>
      </c>
      <c r="D2437" s="8"/>
      <c r="E2437" s="8"/>
      <c r="F2437" s="8"/>
      <c r="G2437" s="8">
        <v>436.47</v>
      </c>
      <c r="H2437" s="8"/>
      <c r="I2437" s="8"/>
      <c r="J2437" s="8"/>
      <c r="K2437" s="8"/>
      <c r="L2437" s="8"/>
      <c r="M2437" s="8">
        <v>0.75</v>
      </c>
      <c r="N2437" s="8"/>
      <c r="O2437" s="8"/>
      <c r="P2437" s="8"/>
      <c r="Q2437" s="11"/>
      <c r="R2437" s="11"/>
      <c r="S2437" s="8">
        <v>3.49</v>
      </c>
      <c r="T2437" s="8"/>
      <c r="U2437" s="8">
        <v>5.84</v>
      </c>
      <c r="V2437" s="8">
        <f>842*8.32/1000</f>
        <v>7.0054400000000001</v>
      </c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11"/>
      <c r="AQ2437" s="8"/>
      <c r="AR2437" s="8"/>
      <c r="AS2437" s="8"/>
      <c r="AT2437" s="8">
        <v>292.55</v>
      </c>
      <c r="AU2437" s="8"/>
      <c r="AV2437" s="8"/>
      <c r="AW2437" s="8">
        <v>18.829999999999998</v>
      </c>
      <c r="AX2437" s="8"/>
      <c r="AY2437" s="8"/>
      <c r="AZ2437" s="8"/>
      <c r="BA2437" s="8"/>
      <c r="BB2437" s="8"/>
      <c r="BC2437" s="8"/>
      <c r="BD2437" s="8"/>
      <c r="BE2437" s="8"/>
      <c r="BF2437" s="8">
        <v>23.31</v>
      </c>
      <c r="BG2437" s="8">
        <v>22</v>
      </c>
      <c r="BH2437" s="9">
        <f t="shared" si="342"/>
        <v>726.65000000000009</v>
      </c>
      <c r="BI2437" s="9">
        <f t="shared" si="343"/>
        <v>0.75</v>
      </c>
      <c r="BJ2437" s="9">
        <f t="shared" si="344"/>
        <v>3.49</v>
      </c>
      <c r="BK2437" s="9">
        <f t="shared" si="345"/>
        <v>12.84544</v>
      </c>
      <c r="BL2437" s="9">
        <f t="shared" si="346"/>
        <v>0</v>
      </c>
      <c r="BM2437" s="9">
        <f t="shared" si="347"/>
        <v>0</v>
      </c>
      <c r="BN2437" s="9">
        <f t="shared" si="348"/>
        <v>292.55</v>
      </c>
      <c r="BO2437" s="9">
        <f t="shared" si="349"/>
        <v>18.829999999999998</v>
      </c>
      <c r="BP2437" s="9">
        <f t="shared" si="350"/>
        <v>23.31</v>
      </c>
    </row>
    <row r="2438" spans="1:68">
      <c r="A2438" s="6">
        <v>44973</v>
      </c>
      <c r="B2438" s="7">
        <v>3601</v>
      </c>
      <c r="C2438" s="8">
        <v>281.14</v>
      </c>
      <c r="D2438" s="8"/>
      <c r="E2438" s="8"/>
      <c r="F2438" s="8"/>
      <c r="G2438" s="8">
        <v>422.45</v>
      </c>
      <c r="H2438" s="8"/>
      <c r="I2438" s="8"/>
      <c r="J2438" s="8"/>
      <c r="K2438" s="8"/>
      <c r="L2438" s="8"/>
      <c r="M2438" s="8">
        <v>0.84</v>
      </c>
      <c r="N2438" s="8"/>
      <c r="O2438" s="8"/>
      <c r="P2438" s="8"/>
      <c r="Q2438" s="11"/>
      <c r="R2438" s="11"/>
      <c r="S2438" s="8">
        <v>3.39</v>
      </c>
      <c r="T2438" s="8"/>
      <c r="U2438" s="8">
        <v>4.2300000000000004</v>
      </c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11"/>
      <c r="AQ2438" s="8"/>
      <c r="AR2438" s="8"/>
      <c r="AS2438" s="8"/>
      <c r="AT2438" s="8">
        <v>344.75</v>
      </c>
      <c r="AU2438" s="8"/>
      <c r="AV2438" s="8"/>
      <c r="AW2438" s="8">
        <v>21.4</v>
      </c>
      <c r="AX2438" s="8"/>
      <c r="AY2438" s="8"/>
      <c r="AZ2438" s="8"/>
      <c r="BA2438" s="8"/>
      <c r="BB2438" s="8"/>
      <c r="BC2438" s="8"/>
      <c r="BD2438" s="8"/>
      <c r="BE2438" s="8"/>
      <c r="BF2438" s="8">
        <v>39.369999999999997</v>
      </c>
      <c r="BG2438" s="8">
        <v>25.08</v>
      </c>
      <c r="BH2438" s="9">
        <f t="shared" si="342"/>
        <v>703.58999999999992</v>
      </c>
      <c r="BI2438" s="9">
        <f t="shared" si="343"/>
        <v>0.84</v>
      </c>
      <c r="BJ2438" s="9">
        <f t="shared" si="344"/>
        <v>3.39</v>
      </c>
      <c r="BK2438" s="9">
        <f t="shared" si="345"/>
        <v>4.2300000000000004</v>
      </c>
      <c r="BL2438" s="9">
        <f t="shared" si="346"/>
        <v>0</v>
      </c>
      <c r="BM2438" s="9">
        <f t="shared" si="347"/>
        <v>0</v>
      </c>
      <c r="BN2438" s="9">
        <f t="shared" si="348"/>
        <v>344.75</v>
      </c>
      <c r="BO2438" s="9">
        <f t="shared" si="349"/>
        <v>21.4</v>
      </c>
      <c r="BP2438" s="9">
        <f t="shared" si="350"/>
        <v>39.369999999999997</v>
      </c>
    </row>
    <row r="2439" spans="1:68">
      <c r="A2439" s="6">
        <v>44974</v>
      </c>
      <c r="B2439" s="7">
        <v>3101</v>
      </c>
      <c r="C2439" s="8">
        <v>633.77</v>
      </c>
      <c r="D2439" s="8"/>
      <c r="E2439" s="8"/>
      <c r="F2439" s="8"/>
      <c r="G2439" s="8"/>
      <c r="H2439" s="8"/>
      <c r="I2439" s="8"/>
      <c r="J2439" s="8"/>
      <c r="K2439" s="8"/>
      <c r="L2439" s="8"/>
      <c r="M2439" s="8">
        <v>1.47</v>
      </c>
      <c r="N2439" s="8"/>
      <c r="O2439" s="8"/>
      <c r="P2439" s="8"/>
      <c r="Q2439" s="11"/>
      <c r="R2439" s="11"/>
      <c r="S2439" s="8">
        <v>3.69</v>
      </c>
      <c r="T2439" s="8"/>
      <c r="U2439" s="8">
        <v>10.199999999999999</v>
      </c>
      <c r="V2439" s="8"/>
      <c r="W2439" s="8"/>
      <c r="X2439" s="8"/>
      <c r="Y2439" s="8"/>
      <c r="Z2439" s="8"/>
      <c r="AA2439" s="8"/>
      <c r="AB2439" s="8"/>
      <c r="AC2439" s="8">
        <v>2.5499999999999998</v>
      </c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11"/>
      <c r="AQ2439" s="8"/>
      <c r="AR2439" s="8"/>
      <c r="AS2439" s="8"/>
      <c r="AT2439" s="8">
        <v>425.56</v>
      </c>
      <c r="AU2439" s="8"/>
      <c r="AV2439" s="8"/>
      <c r="AW2439" s="8">
        <v>13.55</v>
      </c>
      <c r="AX2439" s="8"/>
      <c r="AY2439" s="8"/>
      <c r="AZ2439" s="8"/>
      <c r="BA2439" s="8"/>
      <c r="BB2439" s="8"/>
      <c r="BC2439" s="8"/>
      <c r="BD2439" s="8"/>
      <c r="BE2439" s="8"/>
      <c r="BF2439" s="8">
        <v>82.79</v>
      </c>
      <c r="BG2439" s="8">
        <v>32.729999999999997</v>
      </c>
      <c r="BH2439" s="9">
        <f t="shared" si="342"/>
        <v>633.77</v>
      </c>
      <c r="BI2439" s="9">
        <f t="shared" si="343"/>
        <v>1.47</v>
      </c>
      <c r="BJ2439" s="9">
        <f t="shared" si="344"/>
        <v>3.69</v>
      </c>
      <c r="BK2439" s="9">
        <f t="shared" si="345"/>
        <v>10.199999999999999</v>
      </c>
      <c r="BL2439" s="9">
        <f t="shared" si="346"/>
        <v>0</v>
      </c>
      <c r="BM2439" s="9">
        <f t="shared" si="347"/>
        <v>2.5499999999999998</v>
      </c>
      <c r="BN2439" s="9">
        <f t="shared" si="348"/>
        <v>425.56</v>
      </c>
      <c r="BO2439" s="9">
        <f t="shared" si="349"/>
        <v>13.55</v>
      </c>
      <c r="BP2439" s="9">
        <f t="shared" si="350"/>
        <v>82.79</v>
      </c>
    </row>
    <row r="2440" spans="1:68">
      <c r="A2440" s="6">
        <v>44974</v>
      </c>
      <c r="B2440" s="7">
        <v>3139</v>
      </c>
      <c r="C2440" s="8">
        <v>1549.99</v>
      </c>
      <c r="D2440" s="8"/>
      <c r="E2440" s="8"/>
      <c r="F2440" s="8"/>
      <c r="G2440" s="8"/>
      <c r="H2440" s="8">
        <v>642.9</v>
      </c>
      <c r="I2440" s="8"/>
      <c r="J2440" s="8"/>
      <c r="K2440" s="8"/>
      <c r="L2440" s="8"/>
      <c r="M2440" s="8">
        <v>3.62</v>
      </c>
      <c r="N2440" s="8"/>
      <c r="O2440" s="8"/>
      <c r="P2440" s="8"/>
      <c r="Q2440" s="11"/>
      <c r="R2440" s="11"/>
      <c r="S2440" s="8">
        <v>6.86</v>
      </c>
      <c r="T2440" s="8"/>
      <c r="U2440" s="8">
        <v>22.89</v>
      </c>
      <c r="V2440" s="8"/>
      <c r="W2440" s="8"/>
      <c r="X2440" s="8"/>
      <c r="Y2440" s="8"/>
      <c r="Z2440" s="8"/>
      <c r="AA2440" s="8"/>
      <c r="AB2440" s="8"/>
      <c r="AC2440" s="8">
        <v>7.63</v>
      </c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11"/>
      <c r="AQ2440" s="8"/>
      <c r="AR2440" s="8"/>
      <c r="AS2440" s="8"/>
      <c r="AT2440" s="8">
        <v>1134.24</v>
      </c>
      <c r="AU2440" s="8"/>
      <c r="AV2440" s="8">
        <v>39.200000000000003</v>
      </c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>
        <v>82.05</v>
      </c>
      <c r="BH2440" s="9">
        <f t="shared" si="342"/>
        <v>2192.89</v>
      </c>
      <c r="BI2440" s="9">
        <f t="shared" si="343"/>
        <v>3.62</v>
      </c>
      <c r="BJ2440" s="9">
        <f t="shared" si="344"/>
        <v>6.86</v>
      </c>
      <c r="BK2440" s="9">
        <f t="shared" si="345"/>
        <v>22.89</v>
      </c>
      <c r="BL2440" s="9">
        <f t="shared" si="346"/>
        <v>0</v>
      </c>
      <c r="BM2440" s="9">
        <f t="shared" si="347"/>
        <v>7.63</v>
      </c>
      <c r="BN2440" s="9">
        <f t="shared" si="348"/>
        <v>1134.24</v>
      </c>
      <c r="BO2440" s="9">
        <f t="shared" si="349"/>
        <v>39.200000000000003</v>
      </c>
      <c r="BP2440" s="9">
        <f t="shared" si="350"/>
        <v>0</v>
      </c>
    </row>
    <row r="2441" spans="1:68">
      <c r="A2441" s="6">
        <v>44974</v>
      </c>
      <c r="B2441" s="7">
        <v>3701</v>
      </c>
      <c r="C2441" s="8">
        <v>374.45</v>
      </c>
      <c r="D2441" s="8"/>
      <c r="E2441" s="8"/>
      <c r="F2441" s="8"/>
      <c r="G2441" s="8"/>
      <c r="H2441" s="8"/>
      <c r="I2441" s="8"/>
      <c r="J2441" s="8">
        <f>48240*12.7/1000</f>
        <v>612.64800000000002</v>
      </c>
      <c r="K2441" s="8"/>
      <c r="L2441" s="8"/>
      <c r="M2441" s="8"/>
      <c r="N2441" s="8">
        <v>2.34</v>
      </c>
      <c r="O2441" s="8"/>
      <c r="P2441" s="8"/>
      <c r="Q2441" s="11"/>
      <c r="R2441" s="11"/>
      <c r="S2441" s="8">
        <v>2.74</v>
      </c>
      <c r="T2441" s="8"/>
      <c r="U2441" s="8">
        <v>6.1</v>
      </c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>
        <v>20.38</v>
      </c>
      <c r="AH2441" s="8"/>
      <c r="AI2441" s="8"/>
      <c r="AJ2441" s="8">
        <f>2437*12.7/1000</f>
        <v>30.9499</v>
      </c>
      <c r="AK2441" s="8"/>
      <c r="AL2441" s="8"/>
      <c r="AM2441" s="8"/>
      <c r="AN2441" s="8"/>
      <c r="AO2441" s="8"/>
      <c r="AP2441" s="11"/>
      <c r="AQ2441" s="8"/>
      <c r="AR2441" s="8"/>
      <c r="AS2441" s="8"/>
      <c r="AT2441" s="8"/>
      <c r="AU2441" s="8">
        <v>355.79</v>
      </c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>
        <v>24.52</v>
      </c>
      <c r="BH2441" s="9">
        <f t="shared" si="342"/>
        <v>987.09799999999996</v>
      </c>
      <c r="BI2441" s="9">
        <f t="shared" si="343"/>
        <v>2.34</v>
      </c>
      <c r="BJ2441" s="9">
        <f t="shared" si="344"/>
        <v>2.74</v>
      </c>
      <c r="BK2441" s="9">
        <f t="shared" si="345"/>
        <v>6.1</v>
      </c>
      <c r="BL2441" s="9">
        <f t="shared" si="346"/>
        <v>0</v>
      </c>
      <c r="BM2441" s="9">
        <f t="shared" si="347"/>
        <v>51.329899999999995</v>
      </c>
      <c r="BN2441" s="9">
        <f t="shared" si="348"/>
        <v>355.79</v>
      </c>
      <c r="BO2441" s="9">
        <f t="shared" si="349"/>
        <v>0</v>
      </c>
      <c r="BP2441" s="9">
        <f t="shared" si="350"/>
        <v>0</v>
      </c>
    </row>
    <row r="2442" spans="1:68">
      <c r="A2442" s="6">
        <v>44974</v>
      </c>
      <c r="B2442" s="7">
        <v>3134</v>
      </c>
      <c r="C2442" s="8">
        <v>1098.8</v>
      </c>
      <c r="D2442" s="8">
        <v>154.72999999999999</v>
      </c>
      <c r="E2442" s="8"/>
      <c r="F2442" s="8"/>
      <c r="G2442" s="8"/>
      <c r="H2442" s="8">
        <v>517.17999999999995</v>
      </c>
      <c r="I2442" s="8"/>
      <c r="J2442" s="8"/>
      <c r="K2442" s="8"/>
      <c r="L2442" s="8"/>
      <c r="M2442" s="8">
        <v>3.42</v>
      </c>
      <c r="N2442" s="8"/>
      <c r="O2442" s="8"/>
      <c r="P2442" s="8"/>
      <c r="Q2442" s="11"/>
      <c r="R2442" s="11"/>
      <c r="S2442" s="8">
        <v>7.13</v>
      </c>
      <c r="T2442" s="8"/>
      <c r="U2442" s="8">
        <v>20.190000000000001</v>
      </c>
      <c r="V2442" s="8"/>
      <c r="W2442" s="8"/>
      <c r="X2442" s="8"/>
      <c r="Y2442" s="8"/>
      <c r="Z2442" s="8"/>
      <c r="AA2442" s="8"/>
      <c r="AB2442" s="8"/>
      <c r="AC2442" s="8">
        <v>6.22</v>
      </c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11"/>
      <c r="AQ2442" s="8"/>
      <c r="AR2442" s="8"/>
      <c r="AS2442" s="8"/>
      <c r="AT2442" s="8">
        <v>1090.57</v>
      </c>
      <c r="AU2442" s="8"/>
      <c r="AV2442" s="8"/>
      <c r="AW2442" s="8"/>
      <c r="AX2442" s="8"/>
      <c r="AY2442" s="8">
        <f>1428*11.08/1000</f>
        <v>15.822239999999999</v>
      </c>
      <c r="AZ2442" s="8"/>
      <c r="BA2442" s="8"/>
      <c r="BB2442" s="8"/>
      <c r="BC2442" s="8"/>
      <c r="BD2442" s="8"/>
      <c r="BE2442" s="8"/>
      <c r="BF2442" s="8">
        <v>69.739999999999995</v>
      </c>
      <c r="BG2442" s="8">
        <v>82.14</v>
      </c>
      <c r="BH2442" s="9">
        <f t="shared" si="342"/>
        <v>1770.71</v>
      </c>
      <c r="BI2442" s="9">
        <f t="shared" si="343"/>
        <v>3.42</v>
      </c>
      <c r="BJ2442" s="9">
        <f t="shared" si="344"/>
        <v>7.13</v>
      </c>
      <c r="BK2442" s="9">
        <f t="shared" si="345"/>
        <v>20.190000000000001</v>
      </c>
      <c r="BL2442" s="9">
        <f t="shared" si="346"/>
        <v>0</v>
      </c>
      <c r="BM2442" s="9">
        <f t="shared" si="347"/>
        <v>6.22</v>
      </c>
      <c r="BN2442" s="9">
        <f t="shared" si="348"/>
        <v>1090.57</v>
      </c>
      <c r="BO2442" s="9">
        <f t="shared" si="349"/>
        <v>15.822239999999999</v>
      </c>
      <c r="BP2442" s="9">
        <f t="shared" si="350"/>
        <v>69.739999999999995</v>
      </c>
    </row>
    <row r="2443" spans="1:68">
      <c r="A2443" s="6">
        <v>44974</v>
      </c>
      <c r="B2443" s="7">
        <v>3106</v>
      </c>
      <c r="C2443" s="8">
        <v>4162.8999999999996</v>
      </c>
      <c r="D2443" s="8"/>
      <c r="E2443" s="8"/>
      <c r="F2443" s="8"/>
      <c r="G2443" s="8"/>
      <c r="H2443" s="8"/>
      <c r="I2443" s="8"/>
      <c r="J2443" s="8"/>
      <c r="K2443" s="8"/>
      <c r="L2443" s="8"/>
      <c r="M2443" s="8">
        <v>10.79</v>
      </c>
      <c r="N2443" s="8"/>
      <c r="O2443" s="8"/>
      <c r="P2443" s="8"/>
      <c r="Q2443" s="11"/>
      <c r="R2443" s="11"/>
      <c r="S2443" s="8">
        <v>12.53</v>
      </c>
      <c r="T2443" s="8"/>
      <c r="U2443" s="8">
        <v>52.97</v>
      </c>
      <c r="V2443" s="8"/>
      <c r="W2443" s="8"/>
      <c r="X2443" s="8"/>
      <c r="Y2443" s="8"/>
      <c r="Z2443" s="8"/>
      <c r="AA2443" s="8"/>
      <c r="AB2443" s="8"/>
      <c r="AC2443" s="8">
        <v>10.41</v>
      </c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11"/>
      <c r="AQ2443" s="8"/>
      <c r="AR2443" s="8"/>
      <c r="AS2443" s="8"/>
      <c r="AT2443" s="8">
        <v>2376.61</v>
      </c>
      <c r="AU2443" s="8"/>
      <c r="AV2443" s="8"/>
      <c r="AW2443" s="8"/>
      <c r="AX2443" s="8">
        <v>5.21</v>
      </c>
      <c r="AY2443" s="8"/>
      <c r="AZ2443" s="8"/>
      <c r="BA2443" s="8"/>
      <c r="BB2443" s="8"/>
      <c r="BC2443" s="8"/>
      <c r="BD2443" s="8"/>
      <c r="BE2443" s="8"/>
      <c r="BF2443" s="8"/>
      <c r="BG2443" s="8">
        <v>179.35</v>
      </c>
      <c r="BH2443" s="9">
        <f t="shared" si="342"/>
        <v>4162.8999999999996</v>
      </c>
      <c r="BI2443" s="9">
        <f t="shared" si="343"/>
        <v>10.79</v>
      </c>
      <c r="BJ2443" s="9">
        <f t="shared" si="344"/>
        <v>12.53</v>
      </c>
      <c r="BK2443" s="9">
        <f t="shared" si="345"/>
        <v>52.97</v>
      </c>
      <c r="BL2443" s="9">
        <f t="shared" si="346"/>
        <v>0</v>
      </c>
      <c r="BM2443" s="9">
        <f t="shared" si="347"/>
        <v>10.41</v>
      </c>
      <c r="BN2443" s="9">
        <f t="shared" si="348"/>
        <v>2376.61</v>
      </c>
      <c r="BO2443" s="9">
        <f t="shared" si="349"/>
        <v>5.21</v>
      </c>
      <c r="BP2443" s="9">
        <f t="shared" si="350"/>
        <v>0</v>
      </c>
    </row>
    <row r="2444" spans="1:68">
      <c r="A2444" s="6">
        <v>44974</v>
      </c>
      <c r="B2444" s="7">
        <v>3083</v>
      </c>
      <c r="C2444" s="8"/>
      <c r="D2444" s="8">
        <v>1044.29</v>
      </c>
      <c r="E2444" s="8"/>
      <c r="F2444" s="8"/>
      <c r="G2444" s="8"/>
      <c r="H2444" s="8"/>
      <c r="I2444" s="8">
        <v>2442.14</v>
      </c>
      <c r="J2444" s="8"/>
      <c r="K2444" s="8"/>
      <c r="L2444" s="8"/>
      <c r="M2444" s="8"/>
      <c r="N2444" s="8">
        <v>22.7</v>
      </c>
      <c r="O2444" s="8"/>
      <c r="P2444" s="8"/>
      <c r="Q2444" s="11"/>
      <c r="R2444" s="11"/>
      <c r="S2444" s="8">
        <v>2.44</v>
      </c>
      <c r="T2444" s="8"/>
      <c r="U2444" s="8"/>
      <c r="V2444" s="8"/>
      <c r="W2444" s="8">
        <v>27.93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>
        <v>13.89</v>
      </c>
      <c r="AN2444" s="8">
        <f>1847*25.85/1000</f>
        <v>47.744950000000003</v>
      </c>
      <c r="AO2444" s="8"/>
      <c r="AP2444" s="11"/>
      <c r="AQ2444" s="8"/>
      <c r="AR2444" s="8">
        <f>3396*25.85/1000</f>
        <v>87.786600000000007</v>
      </c>
      <c r="AS2444" s="8"/>
      <c r="AT2444" s="8">
        <v>1642.25</v>
      </c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>
        <v>130.06</v>
      </c>
      <c r="BH2444" s="9">
        <f t="shared" si="342"/>
        <v>3486.43</v>
      </c>
      <c r="BI2444" s="9">
        <f t="shared" si="343"/>
        <v>22.7</v>
      </c>
      <c r="BJ2444" s="9">
        <f t="shared" si="344"/>
        <v>2.44</v>
      </c>
      <c r="BK2444" s="9">
        <f t="shared" si="345"/>
        <v>27.93</v>
      </c>
      <c r="BL2444" s="9">
        <f t="shared" si="346"/>
        <v>0</v>
      </c>
      <c r="BM2444" s="9">
        <f t="shared" si="347"/>
        <v>149.42155000000002</v>
      </c>
      <c r="BN2444" s="9">
        <f t="shared" si="348"/>
        <v>1642.25</v>
      </c>
      <c r="BO2444" s="9">
        <f t="shared" si="349"/>
        <v>0</v>
      </c>
      <c r="BP2444" s="9">
        <f t="shared" si="350"/>
        <v>0</v>
      </c>
    </row>
    <row r="2445" spans="1:68">
      <c r="A2445" s="6">
        <v>44974</v>
      </c>
      <c r="B2445" s="7">
        <v>3028</v>
      </c>
      <c r="C2445" s="8"/>
      <c r="D2445" s="8">
        <v>738.08</v>
      </c>
      <c r="E2445" s="8"/>
      <c r="F2445" s="8">
        <v>678.92</v>
      </c>
      <c r="G2445" s="8"/>
      <c r="H2445" s="8"/>
      <c r="I2445" s="8">
        <v>1534.47</v>
      </c>
      <c r="J2445" s="8"/>
      <c r="K2445" s="8"/>
      <c r="L2445" s="8"/>
      <c r="M2445" s="8"/>
      <c r="N2445" s="8">
        <v>22.73</v>
      </c>
      <c r="O2445" s="8"/>
      <c r="P2445" s="8"/>
      <c r="Q2445" s="11"/>
      <c r="R2445" s="11"/>
      <c r="S2445" s="8">
        <v>4.13</v>
      </c>
      <c r="T2445" s="8"/>
      <c r="U2445" s="8"/>
      <c r="V2445" s="8"/>
      <c r="W2445" s="8">
        <v>22.15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>
        <v>29.43</v>
      </c>
      <c r="AN2445" s="8">
        <f>1048*19.68/1000</f>
        <v>20.624639999999999</v>
      </c>
      <c r="AO2445" s="8"/>
      <c r="AP2445" s="11"/>
      <c r="AQ2445" s="8"/>
      <c r="AR2445" s="8"/>
      <c r="AS2445" s="8">
        <f>4905*19.68/1000</f>
        <v>96.5304</v>
      </c>
      <c r="AT2445" s="8">
        <v>984.39</v>
      </c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>
        <v>67.2</v>
      </c>
      <c r="BH2445" s="9">
        <f t="shared" si="342"/>
        <v>2951.4700000000003</v>
      </c>
      <c r="BI2445" s="9">
        <f t="shared" si="343"/>
        <v>22.73</v>
      </c>
      <c r="BJ2445" s="9">
        <f t="shared" si="344"/>
        <v>4.13</v>
      </c>
      <c r="BK2445" s="9">
        <f t="shared" si="345"/>
        <v>22.15</v>
      </c>
      <c r="BL2445" s="9">
        <f t="shared" si="346"/>
        <v>0</v>
      </c>
      <c r="BM2445" s="9">
        <f t="shared" si="347"/>
        <v>146.58503999999999</v>
      </c>
      <c r="BN2445" s="9">
        <f t="shared" si="348"/>
        <v>984.39</v>
      </c>
      <c r="BO2445" s="9">
        <f t="shared" si="349"/>
        <v>0</v>
      </c>
      <c r="BP2445" s="9">
        <f t="shared" si="350"/>
        <v>0</v>
      </c>
    </row>
    <row r="2446" spans="1:68">
      <c r="A2446" s="6">
        <v>44974</v>
      </c>
      <c r="B2446" s="7">
        <v>3078</v>
      </c>
      <c r="C2446" s="8"/>
      <c r="D2446" s="8"/>
      <c r="E2446" s="8"/>
      <c r="F2446" s="8">
        <v>27.32</v>
      </c>
      <c r="G2446" s="8"/>
      <c r="H2446" s="8"/>
      <c r="I2446" s="8">
        <v>95.82</v>
      </c>
      <c r="J2446" s="8"/>
      <c r="K2446" s="8">
        <f>8348*1.7/1000</f>
        <v>14.191600000000001</v>
      </c>
      <c r="L2446" s="8"/>
      <c r="M2446" s="8"/>
      <c r="N2446" s="8">
        <v>1.04</v>
      </c>
      <c r="O2446" s="8"/>
      <c r="P2446" s="8"/>
      <c r="Q2446" s="11"/>
      <c r="R2446" s="11"/>
      <c r="S2446" s="8">
        <v>0.27</v>
      </c>
      <c r="T2446" s="8"/>
      <c r="U2446" s="8"/>
      <c r="V2446" s="8"/>
      <c r="W2446" s="8">
        <v>2.0499999999999998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>
        <v>1.36</v>
      </c>
      <c r="AN2446" s="8"/>
      <c r="AO2446" s="8"/>
      <c r="AP2446" s="11"/>
      <c r="AQ2446" s="8"/>
      <c r="AR2446" s="8"/>
      <c r="AS2446" s="8">
        <f>2008*1.7/1000</f>
        <v>3.4135999999999997</v>
      </c>
      <c r="AT2446" s="8">
        <v>65.75</v>
      </c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>
        <v>6.86</v>
      </c>
      <c r="BG2446" s="8">
        <v>4.6500000000000004</v>
      </c>
      <c r="BH2446" s="9">
        <f t="shared" si="342"/>
        <v>137.33159999999998</v>
      </c>
      <c r="BI2446" s="9">
        <f t="shared" si="343"/>
        <v>1.04</v>
      </c>
      <c r="BJ2446" s="9">
        <f t="shared" si="344"/>
        <v>0.27</v>
      </c>
      <c r="BK2446" s="9">
        <f t="shared" si="345"/>
        <v>2.0499999999999998</v>
      </c>
      <c r="BL2446" s="9">
        <f t="shared" si="346"/>
        <v>0</v>
      </c>
      <c r="BM2446" s="9">
        <f t="shared" si="347"/>
        <v>4.7736000000000001</v>
      </c>
      <c r="BN2446" s="9">
        <f t="shared" si="348"/>
        <v>65.75</v>
      </c>
      <c r="BO2446" s="9">
        <f t="shared" si="349"/>
        <v>0</v>
      </c>
      <c r="BP2446" s="9">
        <f t="shared" si="350"/>
        <v>6.86</v>
      </c>
    </row>
    <row r="2447" spans="1:68">
      <c r="A2447" s="6">
        <v>44977</v>
      </c>
      <c r="B2447" s="7">
        <v>3201</v>
      </c>
      <c r="C2447" s="8">
        <v>1181.5899999999999</v>
      </c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>
        <v>2.96</v>
      </c>
      <c r="P2447" s="8"/>
      <c r="Q2447" s="11"/>
      <c r="R2447" s="11"/>
      <c r="S2447" s="8">
        <v>4.51</v>
      </c>
      <c r="T2447" s="8"/>
      <c r="U2447" s="8">
        <v>17.8</v>
      </c>
      <c r="V2447" s="8"/>
      <c r="W2447" s="8"/>
      <c r="X2447" s="8"/>
      <c r="Y2447" s="8"/>
      <c r="Z2447" s="8">
        <v>249.23</v>
      </c>
      <c r="AA2447" s="8"/>
      <c r="AB2447" s="8"/>
      <c r="AC2447" s="8"/>
      <c r="AD2447" s="8"/>
      <c r="AE2447" s="8"/>
      <c r="AF2447" s="8">
        <v>59.01</v>
      </c>
      <c r="AG2447" s="8"/>
      <c r="AH2447" s="8"/>
      <c r="AI2447" s="8"/>
      <c r="AJ2447" s="8"/>
      <c r="AK2447" s="8"/>
      <c r="AL2447" s="8"/>
      <c r="AM2447" s="8"/>
      <c r="AN2447" s="8"/>
      <c r="AO2447" s="8"/>
      <c r="AP2447" s="11"/>
      <c r="AQ2447" s="8">
        <f>1512*11.85/1000</f>
        <v>17.917200000000001</v>
      </c>
      <c r="AR2447" s="8"/>
      <c r="AS2447" s="8"/>
      <c r="AT2447" s="8">
        <v>813.19</v>
      </c>
      <c r="AU2447" s="8"/>
      <c r="AV2447" s="8"/>
      <c r="AW2447" s="8"/>
      <c r="AX2447" s="8"/>
      <c r="AY2447" s="8"/>
      <c r="AZ2447" s="8"/>
      <c r="BA2447" s="8"/>
      <c r="BB2447" s="8"/>
      <c r="BC2447" s="8">
        <v>3.08</v>
      </c>
      <c r="BD2447" s="8"/>
      <c r="BE2447" s="8"/>
      <c r="BF2447" s="8">
        <v>57.02</v>
      </c>
      <c r="BG2447" s="8">
        <v>58.48</v>
      </c>
      <c r="BH2447" s="9">
        <f t="shared" si="342"/>
        <v>1181.5899999999999</v>
      </c>
      <c r="BI2447" s="9">
        <f t="shared" si="343"/>
        <v>2.96</v>
      </c>
      <c r="BJ2447" s="9">
        <f t="shared" si="344"/>
        <v>4.51</v>
      </c>
      <c r="BK2447" s="9">
        <f t="shared" si="345"/>
        <v>17.8</v>
      </c>
      <c r="BL2447" s="9">
        <f t="shared" si="346"/>
        <v>249.23</v>
      </c>
      <c r="BM2447" s="9">
        <f t="shared" si="347"/>
        <v>76.927199999999999</v>
      </c>
      <c r="BN2447" s="9">
        <f t="shared" si="348"/>
        <v>813.19</v>
      </c>
      <c r="BO2447" s="9">
        <f t="shared" si="349"/>
        <v>3.08</v>
      </c>
      <c r="BP2447" s="9">
        <f t="shared" si="350"/>
        <v>57.02</v>
      </c>
    </row>
    <row r="2448" spans="1:68">
      <c r="A2448" s="6">
        <v>44977</v>
      </c>
      <c r="B2448" s="7">
        <v>3200</v>
      </c>
      <c r="C2448" s="8">
        <v>2253.48</v>
      </c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>
        <v>5.64</v>
      </c>
      <c r="P2448" s="8"/>
      <c r="Q2448" s="11"/>
      <c r="R2448" s="11"/>
      <c r="S2448" s="8">
        <v>8.7899999999999991</v>
      </c>
      <c r="T2448" s="8"/>
      <c r="U2448" s="8">
        <v>33.79</v>
      </c>
      <c r="V2448" s="8"/>
      <c r="W2448" s="8"/>
      <c r="X2448" s="8"/>
      <c r="Y2448" s="8"/>
      <c r="Z2448" s="8">
        <v>473.45</v>
      </c>
      <c r="AA2448" s="8"/>
      <c r="AB2448" s="8"/>
      <c r="AC2448" s="8"/>
      <c r="AD2448" s="8"/>
      <c r="AE2448" s="8"/>
      <c r="AF2448" s="8">
        <v>112</v>
      </c>
      <c r="AG2448" s="8"/>
      <c r="AH2448" s="8"/>
      <c r="AI2448" s="8"/>
      <c r="AJ2448" s="8"/>
      <c r="AK2448" s="8"/>
      <c r="AL2448" s="8"/>
      <c r="AM2448" s="8"/>
      <c r="AN2448" s="8"/>
      <c r="AO2448" s="8"/>
      <c r="AP2448" s="11"/>
      <c r="AQ2448" s="8">
        <f>1512*22.53/1000</f>
        <v>34.065359999999998</v>
      </c>
      <c r="AR2448" s="8"/>
      <c r="AS2448" s="8"/>
      <c r="AT2448" s="8">
        <v>1542.16</v>
      </c>
      <c r="AU2448" s="8"/>
      <c r="AV2448" s="8"/>
      <c r="AW2448" s="8">
        <v>6.49</v>
      </c>
      <c r="AX2448" s="8"/>
      <c r="AY2448" s="8"/>
      <c r="AZ2448" s="8"/>
      <c r="BA2448" s="8"/>
      <c r="BB2448" s="8"/>
      <c r="BC2448" s="8"/>
      <c r="BD2448" s="8"/>
      <c r="BE2448" s="8"/>
      <c r="BF2448" s="8">
        <v>108.21</v>
      </c>
      <c r="BG2448" s="8">
        <v>111.57</v>
      </c>
      <c r="BH2448" s="9">
        <f t="shared" si="342"/>
        <v>2253.48</v>
      </c>
      <c r="BI2448" s="9">
        <f t="shared" si="343"/>
        <v>5.64</v>
      </c>
      <c r="BJ2448" s="9">
        <f t="shared" si="344"/>
        <v>8.7899999999999991</v>
      </c>
      <c r="BK2448" s="9">
        <f t="shared" si="345"/>
        <v>33.79</v>
      </c>
      <c r="BL2448" s="9">
        <f t="shared" si="346"/>
        <v>473.45</v>
      </c>
      <c r="BM2448" s="9">
        <f t="shared" si="347"/>
        <v>146.06536</v>
      </c>
      <c r="BN2448" s="9">
        <f t="shared" si="348"/>
        <v>1542.16</v>
      </c>
      <c r="BO2448" s="9">
        <f t="shared" si="349"/>
        <v>6.49</v>
      </c>
      <c r="BP2448" s="9">
        <f t="shared" si="350"/>
        <v>108.21</v>
      </c>
    </row>
    <row r="2449" spans="1:68">
      <c r="A2449" s="6">
        <v>44977</v>
      </c>
      <c r="B2449" s="7">
        <v>3203</v>
      </c>
      <c r="C2449" s="8">
        <v>883.91</v>
      </c>
      <c r="D2449" s="8"/>
      <c r="E2449" s="8">
        <v>378.38</v>
      </c>
      <c r="F2449" s="8"/>
      <c r="G2449" s="8"/>
      <c r="H2449" s="8"/>
      <c r="I2449" s="8"/>
      <c r="J2449" s="8"/>
      <c r="K2449" s="8"/>
      <c r="L2449" s="8"/>
      <c r="M2449" s="8"/>
      <c r="N2449" s="8"/>
      <c r="O2449" s="8">
        <v>3.79</v>
      </c>
      <c r="P2449" s="8"/>
      <c r="Q2449" s="11"/>
      <c r="R2449" s="11"/>
      <c r="S2449" s="8">
        <v>4.92</v>
      </c>
      <c r="T2449" s="8"/>
      <c r="U2449" s="8">
        <v>15.69</v>
      </c>
      <c r="V2449" s="8"/>
      <c r="W2449" s="8"/>
      <c r="X2449" s="8"/>
      <c r="Y2449" s="8"/>
      <c r="Z2449" s="8">
        <v>199.37</v>
      </c>
      <c r="AA2449" s="8">
        <f>10272*14.88/1000</f>
        <v>152.84736000000001</v>
      </c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11"/>
      <c r="AQ2449" s="8"/>
      <c r="AR2449" s="8"/>
      <c r="AS2449" s="8"/>
      <c r="AT2449" s="8">
        <v>473.89</v>
      </c>
      <c r="AU2449" s="8">
        <v>236.46</v>
      </c>
      <c r="AV2449" s="8"/>
      <c r="AW2449" s="8"/>
      <c r="AX2449" s="8"/>
      <c r="AY2449" s="8"/>
      <c r="AZ2449" s="8"/>
      <c r="BA2449" s="8"/>
      <c r="BB2449" s="8"/>
      <c r="BC2449" s="8">
        <v>3.29</v>
      </c>
      <c r="BD2449" s="8"/>
      <c r="BE2449" s="8"/>
      <c r="BF2449" s="8"/>
      <c r="BG2449" s="8">
        <v>45.66</v>
      </c>
      <c r="BH2449" s="9">
        <f t="shared" si="342"/>
        <v>1262.29</v>
      </c>
      <c r="BI2449" s="9">
        <f t="shared" si="343"/>
        <v>3.79</v>
      </c>
      <c r="BJ2449" s="9">
        <f t="shared" si="344"/>
        <v>4.92</v>
      </c>
      <c r="BK2449" s="9">
        <f t="shared" si="345"/>
        <v>15.69</v>
      </c>
      <c r="BL2449" s="9">
        <f t="shared" si="346"/>
        <v>352.21735999999999</v>
      </c>
      <c r="BM2449" s="9">
        <f t="shared" si="347"/>
        <v>0</v>
      </c>
      <c r="BN2449" s="9">
        <f t="shared" si="348"/>
        <v>710.35</v>
      </c>
      <c r="BO2449" s="9">
        <f t="shared" si="349"/>
        <v>3.29</v>
      </c>
      <c r="BP2449" s="9">
        <f t="shared" si="350"/>
        <v>0</v>
      </c>
    </row>
    <row r="2450" spans="1:68">
      <c r="A2450" s="6">
        <v>44977</v>
      </c>
      <c r="B2450" s="7">
        <v>3307</v>
      </c>
      <c r="C2450" s="8"/>
      <c r="D2450" s="8">
        <v>978.68</v>
      </c>
      <c r="E2450" s="8"/>
      <c r="F2450" s="8"/>
      <c r="G2450" s="8"/>
      <c r="H2450" s="8"/>
      <c r="I2450" s="8"/>
      <c r="J2450" s="8"/>
      <c r="K2450" s="8"/>
      <c r="L2450" s="8"/>
      <c r="M2450" s="8">
        <v>0.99</v>
      </c>
      <c r="N2450" s="8"/>
      <c r="O2450" s="8"/>
      <c r="P2450" s="8"/>
      <c r="Q2450" s="11"/>
      <c r="R2450" s="11"/>
      <c r="S2450" s="8">
        <v>6.66</v>
      </c>
      <c r="T2450" s="8"/>
      <c r="U2450" s="8">
        <v>9.83</v>
      </c>
      <c r="V2450" s="8"/>
      <c r="W2450" s="8"/>
      <c r="X2450" s="8"/>
      <c r="Y2450" s="8"/>
      <c r="Z2450" s="8"/>
      <c r="AA2450" s="8"/>
      <c r="AB2450" s="8"/>
      <c r="AC2450" s="8">
        <v>5.88</v>
      </c>
      <c r="AD2450" s="8"/>
      <c r="AE2450" s="8"/>
      <c r="AF2450" s="8"/>
      <c r="AG2450" s="8">
        <v>9.89</v>
      </c>
      <c r="AH2450" s="8"/>
      <c r="AI2450" s="8"/>
      <c r="AJ2450" s="8"/>
      <c r="AK2450" s="8"/>
      <c r="AL2450" s="8"/>
      <c r="AM2450" s="8"/>
      <c r="AN2450" s="8"/>
      <c r="AO2450" s="8"/>
      <c r="AP2450" s="11"/>
      <c r="AQ2450" s="8"/>
      <c r="AR2450" s="8"/>
      <c r="AS2450" s="8"/>
      <c r="AT2450" s="8"/>
      <c r="AU2450" s="8">
        <v>491.13</v>
      </c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>
        <v>35.22</v>
      </c>
      <c r="BH2450" s="9">
        <f t="shared" si="342"/>
        <v>978.68</v>
      </c>
      <c r="BI2450" s="9">
        <f t="shared" si="343"/>
        <v>0.99</v>
      </c>
      <c r="BJ2450" s="9">
        <f t="shared" si="344"/>
        <v>6.66</v>
      </c>
      <c r="BK2450" s="9">
        <f t="shared" si="345"/>
        <v>9.83</v>
      </c>
      <c r="BL2450" s="9">
        <f t="shared" si="346"/>
        <v>0</v>
      </c>
      <c r="BM2450" s="9">
        <f t="shared" si="347"/>
        <v>15.77</v>
      </c>
      <c r="BN2450" s="9">
        <f t="shared" si="348"/>
        <v>491.13</v>
      </c>
      <c r="BO2450" s="9">
        <f t="shared" si="349"/>
        <v>0</v>
      </c>
      <c r="BP2450" s="9">
        <f t="shared" si="350"/>
        <v>0</v>
      </c>
    </row>
    <row r="2451" spans="1:68">
      <c r="A2451" s="6">
        <v>44977</v>
      </c>
      <c r="B2451" s="7">
        <v>3112</v>
      </c>
      <c r="C2451" s="8">
        <v>3190.81</v>
      </c>
      <c r="D2451" s="8"/>
      <c r="E2451" s="8"/>
      <c r="F2451" s="8"/>
      <c r="G2451" s="8"/>
      <c r="H2451" s="8"/>
      <c r="I2451" s="8"/>
      <c r="J2451" s="8"/>
      <c r="K2451" s="8"/>
      <c r="L2451" s="8"/>
      <c r="M2451" s="8">
        <v>3.04</v>
      </c>
      <c r="N2451" s="8">
        <v>3.03</v>
      </c>
      <c r="O2451" s="8"/>
      <c r="P2451" s="8"/>
      <c r="Q2451" s="11"/>
      <c r="R2451" s="11"/>
      <c r="S2451" s="8">
        <v>9.59</v>
      </c>
      <c r="T2451" s="8"/>
      <c r="U2451" s="8">
        <v>31.93</v>
      </c>
      <c r="V2451" s="8"/>
      <c r="W2451" s="8"/>
      <c r="X2451" s="8"/>
      <c r="Y2451" s="8"/>
      <c r="Z2451" s="8"/>
      <c r="AA2451" s="8"/>
      <c r="AB2451" s="8"/>
      <c r="AC2451" s="8">
        <v>12.79</v>
      </c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11"/>
      <c r="AQ2451" s="8"/>
      <c r="AR2451" s="8"/>
      <c r="AS2451" s="8"/>
      <c r="AT2451" s="8">
        <v>1337.96</v>
      </c>
      <c r="AU2451" s="8"/>
      <c r="AV2451" s="8"/>
      <c r="AW2451" s="8"/>
      <c r="AX2451" s="8"/>
      <c r="AY2451" s="8"/>
      <c r="AZ2451" s="8"/>
      <c r="BA2451" s="8">
        <v>42.2</v>
      </c>
      <c r="BB2451" s="8"/>
      <c r="BC2451" s="8"/>
      <c r="BD2451" s="8"/>
      <c r="BE2451" s="8"/>
      <c r="BF2451" s="8"/>
      <c r="BG2451" s="8">
        <v>95.99</v>
      </c>
      <c r="BH2451" s="9">
        <f t="shared" si="342"/>
        <v>3190.81</v>
      </c>
      <c r="BI2451" s="9">
        <f t="shared" si="343"/>
        <v>6.07</v>
      </c>
      <c r="BJ2451" s="9">
        <f t="shared" si="344"/>
        <v>9.59</v>
      </c>
      <c r="BK2451" s="9">
        <f t="shared" si="345"/>
        <v>31.93</v>
      </c>
      <c r="BL2451" s="9">
        <f t="shared" si="346"/>
        <v>0</v>
      </c>
      <c r="BM2451" s="9">
        <f t="shared" si="347"/>
        <v>12.79</v>
      </c>
      <c r="BN2451" s="9">
        <f t="shared" si="348"/>
        <v>1337.96</v>
      </c>
      <c r="BO2451" s="9">
        <f t="shared" si="349"/>
        <v>42.2</v>
      </c>
      <c r="BP2451" s="9">
        <f t="shared" si="350"/>
        <v>0</v>
      </c>
    </row>
    <row r="2452" spans="1:68">
      <c r="A2452" s="6">
        <v>44977</v>
      </c>
      <c r="B2452" s="7">
        <v>3136</v>
      </c>
      <c r="C2452" s="8">
        <v>1253.45</v>
      </c>
      <c r="D2452" s="8"/>
      <c r="E2452" s="8"/>
      <c r="F2452" s="8"/>
      <c r="G2452" s="8"/>
      <c r="H2452" s="8">
        <v>518.07000000000005</v>
      </c>
      <c r="I2452" s="8"/>
      <c r="J2452" s="8"/>
      <c r="K2452" s="8"/>
      <c r="L2452" s="8"/>
      <c r="M2452" s="8">
        <v>1.73</v>
      </c>
      <c r="N2452" s="8"/>
      <c r="O2452" s="8"/>
      <c r="P2452" s="8"/>
      <c r="Q2452" s="11"/>
      <c r="R2452" s="11"/>
      <c r="S2452" s="8">
        <v>7.7</v>
      </c>
      <c r="T2452" s="8"/>
      <c r="U2452" s="8">
        <v>19.989999999999998</v>
      </c>
      <c r="V2452" s="8"/>
      <c r="W2452" s="8"/>
      <c r="X2452" s="8"/>
      <c r="Y2452" s="8"/>
      <c r="Z2452" s="8"/>
      <c r="AA2452" s="8"/>
      <c r="AB2452" s="8"/>
      <c r="AC2452" s="8">
        <v>6.16</v>
      </c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11"/>
      <c r="AQ2452" s="8"/>
      <c r="AR2452" s="8"/>
      <c r="AS2452" s="8"/>
      <c r="AT2452" s="8">
        <v>1000.96</v>
      </c>
      <c r="AU2452" s="8"/>
      <c r="AV2452" s="8"/>
      <c r="AW2452" s="8"/>
      <c r="AX2452" s="8"/>
      <c r="AY2452" s="8"/>
      <c r="AZ2452" s="8"/>
      <c r="BA2452" s="8">
        <v>15.25</v>
      </c>
      <c r="BB2452" s="8"/>
      <c r="BC2452" s="8"/>
      <c r="BD2452" s="8"/>
      <c r="BE2452" s="8"/>
      <c r="BF2452" s="8">
        <v>61.51</v>
      </c>
      <c r="BG2452" s="8">
        <v>75.37</v>
      </c>
      <c r="BH2452" s="9">
        <f t="shared" si="342"/>
        <v>1771.52</v>
      </c>
      <c r="BI2452" s="9">
        <f t="shared" si="343"/>
        <v>1.73</v>
      </c>
      <c r="BJ2452" s="9">
        <f t="shared" si="344"/>
        <v>7.7</v>
      </c>
      <c r="BK2452" s="9">
        <f t="shared" si="345"/>
        <v>19.989999999999998</v>
      </c>
      <c r="BL2452" s="9">
        <f t="shared" si="346"/>
        <v>0</v>
      </c>
      <c r="BM2452" s="9">
        <f t="shared" si="347"/>
        <v>6.16</v>
      </c>
      <c r="BN2452" s="9">
        <f t="shared" si="348"/>
        <v>1000.96</v>
      </c>
      <c r="BO2452" s="9">
        <f t="shared" si="349"/>
        <v>15.25</v>
      </c>
      <c r="BP2452" s="9">
        <f t="shared" si="350"/>
        <v>61.51</v>
      </c>
    </row>
    <row r="2453" spans="1:68">
      <c r="A2453" s="6">
        <v>44977</v>
      </c>
      <c r="B2453" s="7">
        <v>3021</v>
      </c>
      <c r="C2453" s="8"/>
      <c r="D2453" s="8">
        <v>339.32</v>
      </c>
      <c r="E2453" s="8"/>
      <c r="F2453" s="8"/>
      <c r="G2453" s="8"/>
      <c r="H2453" s="8"/>
      <c r="I2453" s="8">
        <v>628.86</v>
      </c>
      <c r="J2453" s="8"/>
      <c r="K2453" s="8"/>
      <c r="L2453" s="8"/>
      <c r="M2453" s="8"/>
      <c r="N2453" s="8">
        <v>5.21</v>
      </c>
      <c r="O2453" s="8"/>
      <c r="P2453" s="8"/>
      <c r="Q2453" s="11"/>
      <c r="R2453" s="11"/>
      <c r="S2453" s="8">
        <v>1.74</v>
      </c>
      <c r="T2453" s="8"/>
      <c r="U2453" s="8"/>
      <c r="V2453" s="8"/>
      <c r="W2453" s="8">
        <v>9.7100000000000009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>
        <v>9.6</v>
      </c>
      <c r="AN2453" s="8"/>
      <c r="AO2453" s="8"/>
      <c r="AP2453" s="11"/>
      <c r="AQ2453" s="8"/>
      <c r="AR2453" s="8"/>
      <c r="AS2453" s="8">
        <f>2633*9.23/1000</f>
        <v>24.302589999999999</v>
      </c>
      <c r="AT2453" s="8">
        <v>455.32</v>
      </c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>
        <v>34.369999999999997</v>
      </c>
      <c r="BH2453" s="9">
        <f t="shared" si="342"/>
        <v>968.18000000000006</v>
      </c>
      <c r="BI2453" s="9">
        <f t="shared" si="343"/>
        <v>5.21</v>
      </c>
      <c r="BJ2453" s="9">
        <f t="shared" si="344"/>
        <v>1.74</v>
      </c>
      <c r="BK2453" s="9">
        <f t="shared" si="345"/>
        <v>9.7100000000000009</v>
      </c>
      <c r="BL2453" s="9">
        <f t="shared" si="346"/>
        <v>0</v>
      </c>
      <c r="BM2453" s="9">
        <f t="shared" si="347"/>
        <v>33.902589999999996</v>
      </c>
      <c r="BN2453" s="9">
        <f t="shared" si="348"/>
        <v>455.32</v>
      </c>
      <c r="BO2453" s="9">
        <f t="shared" si="349"/>
        <v>0</v>
      </c>
      <c r="BP2453" s="9">
        <f t="shared" si="350"/>
        <v>0</v>
      </c>
    </row>
    <row r="2454" spans="1:68">
      <c r="A2454" s="6">
        <v>44977</v>
      </c>
      <c r="B2454" s="7">
        <v>3022</v>
      </c>
      <c r="C2454" s="8"/>
      <c r="D2454" s="8">
        <v>300.88</v>
      </c>
      <c r="E2454" s="8"/>
      <c r="F2454" s="8"/>
      <c r="G2454" s="8"/>
      <c r="H2454" s="8"/>
      <c r="I2454" s="8">
        <v>247.95</v>
      </c>
      <c r="J2454" s="8"/>
      <c r="K2454" s="8"/>
      <c r="L2454" s="8"/>
      <c r="M2454" s="8"/>
      <c r="N2454" s="8">
        <v>2.74</v>
      </c>
      <c r="O2454" s="8"/>
      <c r="P2454" s="8"/>
      <c r="Q2454" s="11"/>
      <c r="R2454" s="11"/>
      <c r="S2454" s="8">
        <v>0.99</v>
      </c>
      <c r="T2454" s="8"/>
      <c r="U2454" s="8"/>
      <c r="V2454" s="8"/>
      <c r="W2454" s="8">
        <v>5.5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>
        <v>7.15</v>
      </c>
      <c r="AN2454" s="8"/>
      <c r="AO2454" s="8"/>
      <c r="AP2454" s="11"/>
      <c r="AQ2454" s="8"/>
      <c r="AR2454" s="8"/>
      <c r="AS2454" s="8">
        <f>3855*0.005</f>
        <v>19.275000000000002</v>
      </c>
      <c r="AT2454" s="8">
        <v>256.81</v>
      </c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>
        <v>19.760000000000002</v>
      </c>
      <c r="BH2454" s="9">
        <f t="shared" si="342"/>
        <v>548.82999999999993</v>
      </c>
      <c r="BI2454" s="9">
        <f t="shared" si="343"/>
        <v>2.74</v>
      </c>
      <c r="BJ2454" s="9">
        <f t="shared" si="344"/>
        <v>0.99</v>
      </c>
      <c r="BK2454" s="9">
        <f t="shared" si="345"/>
        <v>5.5</v>
      </c>
      <c r="BL2454" s="9">
        <f t="shared" si="346"/>
        <v>0</v>
      </c>
      <c r="BM2454" s="9">
        <f t="shared" si="347"/>
        <v>26.425000000000004</v>
      </c>
      <c r="BN2454" s="9">
        <f t="shared" si="348"/>
        <v>256.81</v>
      </c>
      <c r="BO2454" s="9">
        <f t="shared" si="349"/>
        <v>0</v>
      </c>
      <c r="BP2454" s="9">
        <f t="shared" si="350"/>
        <v>0</v>
      </c>
    </row>
    <row r="2455" spans="1:68">
      <c r="A2455" s="6">
        <v>44977</v>
      </c>
      <c r="B2455" s="7">
        <v>3023</v>
      </c>
      <c r="C2455" s="8"/>
      <c r="D2455" s="8">
        <v>864.9</v>
      </c>
      <c r="E2455" s="8"/>
      <c r="F2455" s="8"/>
      <c r="G2455" s="8"/>
      <c r="H2455" s="8"/>
      <c r="I2455" s="8">
        <v>466.57</v>
      </c>
      <c r="J2455" s="8"/>
      <c r="K2455" s="8"/>
      <c r="L2455" s="8"/>
      <c r="M2455" s="8"/>
      <c r="N2455" s="8">
        <v>7.41</v>
      </c>
      <c r="O2455" s="8"/>
      <c r="P2455" s="8"/>
      <c r="Q2455" s="11"/>
      <c r="R2455" s="11"/>
      <c r="S2455" s="8">
        <v>2.12</v>
      </c>
      <c r="T2455" s="8"/>
      <c r="U2455" s="8"/>
      <c r="V2455" s="8"/>
      <c r="W2455" s="8">
        <v>12.01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>
        <v>13.27</v>
      </c>
      <c r="AN2455" s="8">
        <f>1045*9.15/1000</f>
        <v>9.56175</v>
      </c>
      <c r="AO2455" s="8"/>
      <c r="AP2455" s="11"/>
      <c r="AQ2455" s="8"/>
      <c r="AR2455" s="8"/>
      <c r="AS2455" s="8">
        <f>4898*9.15/1000</f>
        <v>44.816700000000004</v>
      </c>
      <c r="AT2455" s="8">
        <v>543.35</v>
      </c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>
        <v>41.11</v>
      </c>
      <c r="BH2455" s="9">
        <f t="shared" si="342"/>
        <v>1331.47</v>
      </c>
      <c r="BI2455" s="9">
        <f t="shared" si="343"/>
        <v>7.41</v>
      </c>
      <c r="BJ2455" s="9">
        <f t="shared" si="344"/>
        <v>2.12</v>
      </c>
      <c r="BK2455" s="9">
        <f t="shared" si="345"/>
        <v>12.01</v>
      </c>
      <c r="BL2455" s="9">
        <f t="shared" si="346"/>
        <v>0</v>
      </c>
      <c r="BM2455" s="9">
        <f t="shared" si="347"/>
        <v>67.648449999999997</v>
      </c>
      <c r="BN2455" s="9">
        <f t="shared" si="348"/>
        <v>543.35</v>
      </c>
      <c r="BO2455" s="9">
        <f t="shared" si="349"/>
        <v>0</v>
      </c>
      <c r="BP2455" s="9">
        <f t="shared" si="350"/>
        <v>0</v>
      </c>
    </row>
    <row r="2456" spans="1:68">
      <c r="A2456" s="6">
        <v>44977</v>
      </c>
      <c r="B2456" s="7">
        <v>3602</v>
      </c>
      <c r="C2456" s="8">
        <v>561.26</v>
      </c>
      <c r="D2456" s="8"/>
      <c r="E2456" s="8"/>
      <c r="F2456" s="8"/>
      <c r="G2456" s="8">
        <v>842.93</v>
      </c>
      <c r="H2456" s="8"/>
      <c r="I2456" s="8"/>
      <c r="J2456" s="8"/>
      <c r="K2456" s="8"/>
      <c r="L2456" s="8"/>
      <c r="M2456" s="8">
        <v>1.45</v>
      </c>
      <c r="N2456" s="8"/>
      <c r="O2456" s="8"/>
      <c r="P2456" s="8"/>
      <c r="Q2456" s="11"/>
      <c r="R2456" s="11"/>
      <c r="S2456" s="8">
        <v>6.77</v>
      </c>
      <c r="T2456" s="8"/>
      <c r="U2456" s="8">
        <v>11.28</v>
      </c>
      <c r="V2456" s="8">
        <f>852*16.12/1000</f>
        <v>13.734240000000002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11"/>
      <c r="AQ2456" s="8"/>
      <c r="AR2456" s="8"/>
      <c r="AS2456" s="8"/>
      <c r="AT2456" s="8">
        <v>568.16999999999996</v>
      </c>
      <c r="AU2456" s="8"/>
      <c r="AV2456" s="8"/>
      <c r="AW2456" s="8">
        <v>36.47</v>
      </c>
      <c r="AX2456" s="8"/>
      <c r="AY2456" s="8"/>
      <c r="AZ2456" s="8"/>
      <c r="BA2456" s="8"/>
      <c r="BB2456" s="8"/>
      <c r="BC2456" s="8"/>
      <c r="BD2456" s="8"/>
      <c r="BE2456" s="8"/>
      <c r="BF2456" s="8">
        <v>45.18</v>
      </c>
      <c r="BG2456" s="8">
        <v>42.64</v>
      </c>
      <c r="BH2456" s="9">
        <f t="shared" si="342"/>
        <v>1404.19</v>
      </c>
      <c r="BI2456" s="9">
        <f t="shared" si="343"/>
        <v>1.45</v>
      </c>
      <c r="BJ2456" s="9">
        <f t="shared" si="344"/>
        <v>6.77</v>
      </c>
      <c r="BK2456" s="9">
        <f t="shared" si="345"/>
        <v>25.014240000000001</v>
      </c>
      <c r="BL2456" s="9">
        <f t="shared" si="346"/>
        <v>0</v>
      </c>
      <c r="BM2456" s="9">
        <f t="shared" si="347"/>
        <v>0</v>
      </c>
      <c r="BN2456" s="9">
        <f t="shared" si="348"/>
        <v>568.16999999999996</v>
      </c>
      <c r="BO2456" s="9">
        <f t="shared" si="349"/>
        <v>36.47</v>
      </c>
      <c r="BP2456" s="9">
        <f t="shared" si="350"/>
        <v>45.18</v>
      </c>
    </row>
    <row r="2457" spans="1:68">
      <c r="A2457" s="6">
        <v>44978</v>
      </c>
      <c r="B2457" s="7">
        <v>3704</v>
      </c>
      <c r="C2457" s="8">
        <v>256.81</v>
      </c>
      <c r="D2457" s="8">
        <v>384.91</v>
      </c>
      <c r="E2457" s="8"/>
      <c r="F2457" s="8"/>
      <c r="G2457" s="8"/>
      <c r="H2457" s="8"/>
      <c r="I2457" s="8"/>
      <c r="J2457" s="8"/>
      <c r="K2457" s="8"/>
      <c r="L2457" s="8"/>
      <c r="M2457" s="8">
        <v>1.93</v>
      </c>
      <c r="N2457" s="8"/>
      <c r="O2457" s="8"/>
      <c r="P2457" s="8"/>
      <c r="Q2457" s="11"/>
      <c r="R2457" s="11"/>
      <c r="S2457" s="8">
        <v>2.2400000000000002</v>
      </c>
      <c r="T2457" s="8"/>
      <c r="U2457" s="8">
        <v>4.8099999999999996</v>
      </c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>
        <v>7.69</v>
      </c>
      <c r="AN2457" s="8"/>
      <c r="AO2457" s="8"/>
      <c r="AP2457" s="11"/>
      <c r="AQ2457" s="8"/>
      <c r="AR2457" s="8"/>
      <c r="AS2457" s="8"/>
      <c r="AT2457" s="8">
        <v>111.33</v>
      </c>
      <c r="AU2457" s="8">
        <v>55.67</v>
      </c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>
        <v>10.3</v>
      </c>
      <c r="BH2457" s="9">
        <f t="shared" si="342"/>
        <v>641.72</v>
      </c>
      <c r="BI2457" s="9">
        <f t="shared" si="343"/>
        <v>1.93</v>
      </c>
      <c r="BJ2457" s="9">
        <f t="shared" si="344"/>
        <v>2.2400000000000002</v>
      </c>
      <c r="BK2457" s="9">
        <f t="shared" si="345"/>
        <v>4.8099999999999996</v>
      </c>
      <c r="BL2457" s="9">
        <f t="shared" si="346"/>
        <v>0</v>
      </c>
      <c r="BM2457" s="9">
        <f t="shared" si="347"/>
        <v>7.69</v>
      </c>
      <c r="BN2457" s="9">
        <f t="shared" si="348"/>
        <v>167</v>
      </c>
      <c r="BO2457" s="9">
        <f t="shared" si="349"/>
        <v>0</v>
      </c>
      <c r="BP2457" s="9">
        <f t="shared" si="350"/>
        <v>0</v>
      </c>
    </row>
    <row r="2458" spans="1:68">
      <c r="A2458" s="6">
        <v>44978</v>
      </c>
      <c r="B2458" s="7">
        <v>3702</v>
      </c>
      <c r="C2458" s="8">
        <v>321.10000000000002</v>
      </c>
      <c r="D2458" s="8">
        <v>214.5</v>
      </c>
      <c r="E2458" s="8"/>
      <c r="F2458" s="8"/>
      <c r="G2458" s="8"/>
      <c r="H2458" s="8"/>
      <c r="I2458" s="8"/>
      <c r="J2458" s="8"/>
      <c r="K2458" s="8"/>
      <c r="L2458" s="8"/>
      <c r="M2458" s="8">
        <v>1.08</v>
      </c>
      <c r="N2458" s="8"/>
      <c r="O2458" s="8"/>
      <c r="P2458" s="8"/>
      <c r="Q2458" s="11"/>
      <c r="R2458" s="11"/>
      <c r="S2458" s="8">
        <v>2.52</v>
      </c>
      <c r="T2458" s="8"/>
      <c r="U2458" s="8">
        <v>4.03</v>
      </c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11"/>
      <c r="AQ2458" s="8"/>
      <c r="AR2458" s="8"/>
      <c r="AS2458" s="8"/>
      <c r="AT2458" s="8">
        <v>130.43</v>
      </c>
      <c r="AU2458" s="8">
        <v>65.36</v>
      </c>
      <c r="AV2458" s="8"/>
      <c r="AW2458" s="8">
        <v>1.17</v>
      </c>
      <c r="AX2458" s="8"/>
      <c r="AY2458" s="8"/>
      <c r="AZ2458" s="8"/>
      <c r="BA2458" s="8"/>
      <c r="BB2458" s="8"/>
      <c r="BC2458" s="8"/>
      <c r="BD2458" s="8"/>
      <c r="BE2458" s="8"/>
      <c r="BF2458" s="8"/>
      <c r="BG2458" s="8">
        <v>13.7</v>
      </c>
      <c r="BH2458" s="9">
        <f t="shared" si="342"/>
        <v>535.6</v>
      </c>
      <c r="BI2458" s="9">
        <f t="shared" si="343"/>
        <v>1.08</v>
      </c>
      <c r="BJ2458" s="9">
        <f t="shared" si="344"/>
        <v>2.52</v>
      </c>
      <c r="BK2458" s="9">
        <f t="shared" si="345"/>
        <v>4.03</v>
      </c>
      <c r="BL2458" s="9">
        <f t="shared" si="346"/>
        <v>0</v>
      </c>
      <c r="BM2458" s="9">
        <f t="shared" si="347"/>
        <v>0</v>
      </c>
      <c r="BN2458" s="9">
        <f t="shared" si="348"/>
        <v>195.79000000000002</v>
      </c>
      <c r="BO2458" s="9">
        <f t="shared" si="349"/>
        <v>1.17</v>
      </c>
      <c r="BP2458" s="9">
        <f t="shared" si="350"/>
        <v>0</v>
      </c>
    </row>
    <row r="2459" spans="1:68">
      <c r="A2459" s="6">
        <v>44978</v>
      </c>
      <c r="B2459" s="7">
        <v>3134</v>
      </c>
      <c r="C2459" s="8">
        <v>1087.1600000000001</v>
      </c>
      <c r="D2459" s="8">
        <v>152.56</v>
      </c>
      <c r="E2459" s="8"/>
      <c r="F2459" s="8"/>
      <c r="G2459" s="8"/>
      <c r="H2459" s="8">
        <v>513.91</v>
      </c>
      <c r="I2459" s="8"/>
      <c r="J2459" s="8"/>
      <c r="K2459" s="8"/>
      <c r="L2459" s="8"/>
      <c r="M2459" s="8">
        <v>2.67</v>
      </c>
      <c r="N2459" s="8"/>
      <c r="O2459" s="8"/>
      <c r="P2459" s="8"/>
      <c r="Q2459" s="11"/>
      <c r="R2459" s="11"/>
      <c r="S2459" s="8">
        <v>7.03</v>
      </c>
      <c r="T2459" s="8"/>
      <c r="U2459" s="8">
        <v>19.91</v>
      </c>
      <c r="V2459" s="8"/>
      <c r="W2459" s="8"/>
      <c r="X2459" s="8"/>
      <c r="Y2459" s="8"/>
      <c r="Z2459" s="8"/>
      <c r="AA2459" s="8"/>
      <c r="AB2459" s="8"/>
      <c r="AC2459" s="8">
        <v>6.12</v>
      </c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11"/>
      <c r="AQ2459" s="8"/>
      <c r="AR2459" s="8"/>
      <c r="AS2459" s="8"/>
      <c r="AT2459" s="8">
        <v>1074.06</v>
      </c>
      <c r="AU2459" s="8"/>
      <c r="AV2459" s="8"/>
      <c r="AW2459" s="8"/>
      <c r="AX2459" s="8"/>
      <c r="AY2459" s="8">
        <f>1401*10.92/1000</f>
        <v>15.298920000000001</v>
      </c>
      <c r="AZ2459" s="8"/>
      <c r="BA2459" s="8"/>
      <c r="BB2459" s="8"/>
      <c r="BC2459" s="8"/>
      <c r="BD2459" s="8"/>
      <c r="BE2459" s="8"/>
      <c r="BF2459" s="8">
        <v>68.77</v>
      </c>
      <c r="BG2459" s="8">
        <v>80.989999999999995</v>
      </c>
      <c r="BH2459" s="9">
        <f t="shared" si="342"/>
        <v>1753.63</v>
      </c>
      <c r="BI2459" s="9">
        <f t="shared" si="343"/>
        <v>2.67</v>
      </c>
      <c r="BJ2459" s="9">
        <f t="shared" si="344"/>
        <v>7.03</v>
      </c>
      <c r="BK2459" s="9">
        <f t="shared" si="345"/>
        <v>19.91</v>
      </c>
      <c r="BL2459" s="9">
        <f t="shared" si="346"/>
        <v>0</v>
      </c>
      <c r="BM2459" s="9">
        <f t="shared" si="347"/>
        <v>6.12</v>
      </c>
      <c r="BN2459" s="9">
        <f t="shared" si="348"/>
        <v>1074.06</v>
      </c>
      <c r="BO2459" s="9">
        <f t="shared" si="349"/>
        <v>15.298920000000001</v>
      </c>
      <c r="BP2459" s="9">
        <f t="shared" si="350"/>
        <v>68.77</v>
      </c>
    </row>
    <row r="2460" spans="1:68">
      <c r="A2460" s="6">
        <v>44978</v>
      </c>
      <c r="B2460" s="7">
        <v>3106</v>
      </c>
      <c r="C2460" s="8">
        <v>4126.75</v>
      </c>
      <c r="D2460" s="8"/>
      <c r="E2460" s="8"/>
      <c r="F2460" s="8"/>
      <c r="G2460" s="8"/>
      <c r="H2460" s="8"/>
      <c r="I2460" s="8"/>
      <c r="J2460" s="8"/>
      <c r="K2460" s="8"/>
      <c r="L2460" s="8"/>
      <c r="M2460" s="8">
        <v>10.74</v>
      </c>
      <c r="N2460" s="8"/>
      <c r="O2460" s="8"/>
      <c r="P2460" s="8"/>
      <c r="Q2460" s="11"/>
      <c r="R2460" s="11"/>
      <c r="S2460" s="8">
        <v>12.42</v>
      </c>
      <c r="T2460" s="8"/>
      <c r="U2460" s="8">
        <v>52.52</v>
      </c>
      <c r="V2460" s="8"/>
      <c r="W2460" s="8"/>
      <c r="X2460" s="8"/>
      <c r="Y2460" s="8"/>
      <c r="Z2460" s="8"/>
      <c r="AA2460" s="8"/>
      <c r="AB2460" s="8"/>
      <c r="AC2460" s="8">
        <v>10.33</v>
      </c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11"/>
      <c r="AQ2460" s="8"/>
      <c r="AR2460" s="8"/>
      <c r="AS2460" s="8"/>
      <c r="AT2460" s="8">
        <v>2353.83</v>
      </c>
      <c r="AU2460" s="8"/>
      <c r="AV2460" s="8"/>
      <c r="AW2460" s="8"/>
      <c r="AX2460" s="8">
        <v>5.17</v>
      </c>
      <c r="AY2460" s="8"/>
      <c r="AZ2460" s="8"/>
      <c r="BA2460" s="8"/>
      <c r="BB2460" s="8"/>
      <c r="BC2460" s="8"/>
      <c r="BD2460" s="8"/>
      <c r="BE2460" s="8"/>
      <c r="BF2460" s="8"/>
      <c r="BG2460" s="8">
        <v>178</v>
      </c>
      <c r="BH2460" s="9">
        <f t="shared" si="342"/>
        <v>4126.75</v>
      </c>
      <c r="BI2460" s="9">
        <f t="shared" si="343"/>
        <v>10.74</v>
      </c>
      <c r="BJ2460" s="9">
        <f t="shared" si="344"/>
        <v>12.42</v>
      </c>
      <c r="BK2460" s="9">
        <f t="shared" si="345"/>
        <v>52.52</v>
      </c>
      <c r="BL2460" s="9">
        <f t="shared" si="346"/>
        <v>0</v>
      </c>
      <c r="BM2460" s="9">
        <f t="shared" si="347"/>
        <v>10.33</v>
      </c>
      <c r="BN2460" s="9">
        <f t="shared" si="348"/>
        <v>2353.83</v>
      </c>
      <c r="BO2460" s="9">
        <f t="shared" si="349"/>
        <v>5.17</v>
      </c>
      <c r="BP2460" s="9">
        <f t="shared" si="350"/>
        <v>0</v>
      </c>
    </row>
    <row r="2461" spans="1:68">
      <c r="A2461" s="6">
        <v>44978</v>
      </c>
      <c r="B2461" s="7">
        <v>3433</v>
      </c>
      <c r="C2461" s="8">
        <v>1271.0999999999999</v>
      </c>
      <c r="D2461" s="8"/>
      <c r="E2461" s="8"/>
      <c r="F2461" s="8"/>
      <c r="G2461" s="8"/>
      <c r="H2461" s="8"/>
      <c r="I2461" s="8"/>
      <c r="J2461" s="8"/>
      <c r="K2461" s="8"/>
      <c r="L2461" s="8"/>
      <c r="M2461" s="8">
        <v>3.2</v>
      </c>
      <c r="N2461" s="8"/>
      <c r="O2461" s="8"/>
      <c r="P2461" s="8"/>
      <c r="Q2461" s="11"/>
      <c r="R2461" s="11"/>
      <c r="S2461" s="8">
        <v>5.09</v>
      </c>
      <c r="T2461" s="8"/>
      <c r="U2461" s="8"/>
      <c r="V2461" s="8"/>
      <c r="W2461" s="8"/>
      <c r="X2461" s="8">
        <f>851*14.97/1000</f>
        <v>12.739470000000001</v>
      </c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11"/>
      <c r="AQ2461" s="8"/>
      <c r="AR2461" s="8"/>
      <c r="AS2461" s="8"/>
      <c r="AT2461" s="8">
        <v>594.04</v>
      </c>
      <c r="AU2461" s="8"/>
      <c r="AV2461" s="8"/>
      <c r="AW2461" s="8"/>
      <c r="AX2461" s="8"/>
      <c r="AY2461" s="8"/>
      <c r="AZ2461" s="8"/>
      <c r="BA2461" s="8">
        <v>5.7</v>
      </c>
      <c r="BB2461" s="8"/>
      <c r="BC2461" s="8"/>
      <c r="BD2461" s="8"/>
      <c r="BE2461" s="8"/>
      <c r="BF2461" s="8">
        <v>63.66</v>
      </c>
      <c r="BG2461" s="8">
        <v>43.01</v>
      </c>
      <c r="BH2461" s="9">
        <f t="shared" si="342"/>
        <v>1271.0999999999999</v>
      </c>
      <c r="BI2461" s="9">
        <f t="shared" si="343"/>
        <v>3.2</v>
      </c>
      <c r="BJ2461" s="9">
        <f t="shared" si="344"/>
        <v>5.09</v>
      </c>
      <c r="BK2461" s="9">
        <f t="shared" si="345"/>
        <v>12.739470000000001</v>
      </c>
      <c r="BL2461" s="9">
        <f t="shared" si="346"/>
        <v>0</v>
      </c>
      <c r="BM2461" s="9">
        <f t="shared" si="347"/>
        <v>0</v>
      </c>
      <c r="BN2461" s="9">
        <f t="shared" si="348"/>
        <v>594.04</v>
      </c>
      <c r="BO2461" s="9">
        <f t="shared" si="349"/>
        <v>5.7</v>
      </c>
      <c r="BP2461" s="9">
        <f t="shared" si="350"/>
        <v>63.66</v>
      </c>
    </row>
    <row r="2462" spans="1:68">
      <c r="A2462" s="6">
        <v>44978</v>
      </c>
      <c r="B2462" s="7">
        <v>3200</v>
      </c>
      <c r="C2462" s="8">
        <v>2288.5100000000002</v>
      </c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>
        <v>5.72</v>
      </c>
      <c r="P2462" s="8"/>
      <c r="Q2462" s="11"/>
      <c r="R2462" s="11"/>
      <c r="S2462" s="8">
        <v>8.92</v>
      </c>
      <c r="T2462" s="8"/>
      <c r="U2462" s="8">
        <v>34.28</v>
      </c>
      <c r="V2462" s="8"/>
      <c r="W2462" s="8"/>
      <c r="X2462" s="8"/>
      <c r="Y2462" s="8"/>
      <c r="Z2462" s="8">
        <v>480.13</v>
      </c>
      <c r="AA2462" s="8"/>
      <c r="AB2462" s="8"/>
      <c r="AC2462" s="8"/>
      <c r="AD2462" s="8"/>
      <c r="AE2462" s="8"/>
      <c r="AF2462" s="8">
        <v>113.9</v>
      </c>
      <c r="AG2462" s="8"/>
      <c r="AH2462" s="8"/>
      <c r="AI2462" s="8"/>
      <c r="AJ2462" s="8"/>
      <c r="AK2462" s="8"/>
      <c r="AL2462" s="8"/>
      <c r="AM2462" s="8"/>
      <c r="AN2462" s="8"/>
      <c r="AO2462" s="8"/>
      <c r="AP2462" s="11"/>
      <c r="AQ2462" s="8">
        <f>1507*22.85/1000</f>
        <v>34.434950000000008</v>
      </c>
      <c r="AR2462" s="8"/>
      <c r="AS2462" s="8"/>
      <c r="AT2462" s="8">
        <v>1563</v>
      </c>
      <c r="AU2462" s="8"/>
      <c r="AV2462" s="8"/>
      <c r="AW2462" s="8">
        <v>6.62</v>
      </c>
      <c r="AX2462" s="8"/>
      <c r="AY2462" s="8"/>
      <c r="AZ2462" s="8"/>
      <c r="BA2462" s="8"/>
      <c r="BB2462" s="8"/>
      <c r="BC2462" s="8"/>
      <c r="BD2462" s="8"/>
      <c r="BE2462" s="8"/>
      <c r="BF2462" s="8">
        <v>109.68</v>
      </c>
      <c r="BG2462" s="8">
        <v>113.23</v>
      </c>
      <c r="BH2462" s="9">
        <f t="shared" si="342"/>
        <v>2288.5100000000002</v>
      </c>
      <c r="BI2462" s="9">
        <f t="shared" si="343"/>
        <v>5.72</v>
      </c>
      <c r="BJ2462" s="9">
        <f t="shared" si="344"/>
        <v>8.92</v>
      </c>
      <c r="BK2462" s="9">
        <f t="shared" si="345"/>
        <v>34.28</v>
      </c>
      <c r="BL2462" s="9">
        <f t="shared" si="346"/>
        <v>480.13</v>
      </c>
      <c r="BM2462" s="9">
        <f t="shared" si="347"/>
        <v>148.33495000000002</v>
      </c>
      <c r="BN2462" s="9">
        <f t="shared" si="348"/>
        <v>1563</v>
      </c>
      <c r="BO2462" s="9">
        <f t="shared" si="349"/>
        <v>6.62</v>
      </c>
      <c r="BP2462" s="9">
        <f t="shared" si="350"/>
        <v>109.68</v>
      </c>
    </row>
    <row r="2463" spans="1:68">
      <c r="A2463" s="6">
        <v>44978</v>
      </c>
      <c r="B2463" s="7">
        <v>3016</v>
      </c>
      <c r="C2463" s="8"/>
      <c r="D2463" s="8">
        <v>2307.2199999999998</v>
      </c>
      <c r="E2463" s="8"/>
      <c r="F2463" s="8"/>
      <c r="G2463" s="8"/>
      <c r="H2463" s="8"/>
      <c r="I2463" s="8">
        <v>2129.0700000000002</v>
      </c>
      <c r="J2463" s="8"/>
      <c r="K2463" s="8"/>
      <c r="L2463" s="8"/>
      <c r="M2463" s="8"/>
      <c r="N2463" s="8">
        <v>27.52</v>
      </c>
      <c r="O2463" s="8"/>
      <c r="P2463" s="8"/>
      <c r="Q2463" s="11"/>
      <c r="R2463" s="11"/>
      <c r="S2463" s="8">
        <v>3.09</v>
      </c>
      <c r="T2463" s="8"/>
      <c r="U2463" s="8"/>
      <c r="V2463" s="8"/>
      <c r="W2463" s="8">
        <v>44.42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>
        <v>17.649999999999999</v>
      </c>
      <c r="AN2463" s="8">
        <f>2044*26.1/1000</f>
        <v>53.348399999999998</v>
      </c>
      <c r="AO2463" s="8"/>
      <c r="AP2463" s="11"/>
      <c r="AQ2463" s="8"/>
      <c r="AR2463" s="8">
        <f>4325*26.1/1000</f>
        <v>112.88249999999999</v>
      </c>
      <c r="AS2463" s="8"/>
      <c r="AT2463" s="8">
        <v>1650.13</v>
      </c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>
        <v>121.12</v>
      </c>
      <c r="BH2463" s="9">
        <f t="shared" si="342"/>
        <v>4436.29</v>
      </c>
      <c r="BI2463" s="9">
        <f t="shared" si="343"/>
        <v>27.52</v>
      </c>
      <c r="BJ2463" s="9">
        <f t="shared" si="344"/>
        <v>3.09</v>
      </c>
      <c r="BK2463" s="9">
        <f t="shared" si="345"/>
        <v>44.42</v>
      </c>
      <c r="BL2463" s="9">
        <f t="shared" si="346"/>
        <v>0</v>
      </c>
      <c r="BM2463" s="9">
        <f t="shared" si="347"/>
        <v>183.8809</v>
      </c>
      <c r="BN2463" s="9">
        <f t="shared" si="348"/>
        <v>1650.13</v>
      </c>
      <c r="BO2463" s="9">
        <f t="shared" si="349"/>
        <v>0</v>
      </c>
      <c r="BP2463" s="9">
        <f t="shared" si="350"/>
        <v>0</v>
      </c>
    </row>
    <row r="2464" spans="1:68">
      <c r="A2464" s="6">
        <v>44978</v>
      </c>
      <c r="B2464" s="7">
        <v>3079</v>
      </c>
      <c r="C2464" s="8"/>
      <c r="D2464" s="8"/>
      <c r="E2464" s="8"/>
      <c r="F2464" s="8">
        <v>337.42</v>
      </c>
      <c r="G2464" s="8"/>
      <c r="H2464" s="8"/>
      <c r="I2464" s="8">
        <v>2731.12</v>
      </c>
      <c r="J2464" s="8"/>
      <c r="K2464" s="8"/>
      <c r="L2464" s="8"/>
      <c r="M2464" s="8"/>
      <c r="N2464" s="8">
        <v>21.78</v>
      </c>
      <c r="O2464" s="8"/>
      <c r="P2464" s="8"/>
      <c r="Q2464" s="11"/>
      <c r="R2464" s="11"/>
      <c r="S2464" s="8">
        <v>1.23</v>
      </c>
      <c r="T2464" s="8"/>
      <c r="U2464" s="8"/>
      <c r="V2464" s="8"/>
      <c r="W2464" s="8">
        <v>30.69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>
        <v>12.24</v>
      </c>
      <c r="AN2464" s="8">
        <f>1704*18.03/1000</f>
        <v>30.723120000000002</v>
      </c>
      <c r="AO2464" s="8"/>
      <c r="AP2464" s="11"/>
      <c r="AQ2464" s="8"/>
      <c r="AR2464" s="8">
        <f>4325*18.03/1000</f>
        <v>77.979749999999996</v>
      </c>
      <c r="AS2464" s="8"/>
      <c r="AT2464" s="8">
        <v>1184.78</v>
      </c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>
        <v>86.02</v>
      </c>
      <c r="BH2464" s="9">
        <f t="shared" si="342"/>
        <v>3068.54</v>
      </c>
      <c r="BI2464" s="9">
        <f t="shared" si="343"/>
        <v>21.78</v>
      </c>
      <c r="BJ2464" s="9">
        <f t="shared" si="344"/>
        <v>1.23</v>
      </c>
      <c r="BK2464" s="9">
        <f t="shared" si="345"/>
        <v>30.69</v>
      </c>
      <c r="BL2464" s="9">
        <f t="shared" si="346"/>
        <v>0</v>
      </c>
      <c r="BM2464" s="9">
        <f t="shared" si="347"/>
        <v>120.94287</v>
      </c>
      <c r="BN2464" s="9">
        <f t="shared" si="348"/>
        <v>1184.78</v>
      </c>
      <c r="BO2464" s="9">
        <f t="shared" si="349"/>
        <v>0</v>
      </c>
      <c r="BP2464" s="9">
        <f t="shared" si="350"/>
        <v>0</v>
      </c>
    </row>
    <row r="2465" spans="1:68">
      <c r="A2465" s="6">
        <v>44979</v>
      </c>
      <c r="B2465" s="7">
        <v>3141</v>
      </c>
      <c r="C2465" s="8">
        <v>2437.4</v>
      </c>
      <c r="D2465" s="8">
        <v>427.32</v>
      </c>
      <c r="E2465" s="8"/>
      <c r="F2465" s="8"/>
      <c r="G2465" s="8"/>
      <c r="H2465" s="8"/>
      <c r="I2465" s="8"/>
      <c r="J2465" s="8"/>
      <c r="K2465" s="8"/>
      <c r="L2465" s="8"/>
      <c r="M2465" s="8">
        <v>8.35</v>
      </c>
      <c r="N2465" s="8"/>
      <c r="O2465" s="8"/>
      <c r="P2465" s="8"/>
      <c r="Q2465" s="11"/>
      <c r="R2465" s="11"/>
      <c r="S2465" s="8">
        <v>13.52</v>
      </c>
      <c r="T2465" s="8"/>
      <c r="U2465" s="8">
        <v>43.16</v>
      </c>
      <c r="V2465" s="8"/>
      <c r="W2465" s="8"/>
      <c r="X2465" s="8"/>
      <c r="Y2465" s="8"/>
      <c r="Z2465" s="8"/>
      <c r="AA2465" s="8"/>
      <c r="AB2465" s="8"/>
      <c r="AC2465" s="8">
        <v>11.5</v>
      </c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11"/>
      <c r="AQ2465" s="8"/>
      <c r="AR2465" s="8"/>
      <c r="AS2465" s="8"/>
      <c r="AT2465" s="8">
        <v>1890.05</v>
      </c>
      <c r="AU2465" s="8"/>
      <c r="AV2465" s="8"/>
      <c r="AW2465" s="8"/>
      <c r="AX2465" s="8"/>
      <c r="AY2465" s="8"/>
      <c r="AZ2465" s="8"/>
      <c r="BA2465" s="8">
        <v>65.89</v>
      </c>
      <c r="BB2465" s="8"/>
      <c r="BC2465" s="8"/>
      <c r="BD2465" s="8"/>
      <c r="BE2465" s="8"/>
      <c r="BF2465" s="8">
        <v>201.38</v>
      </c>
      <c r="BG2465" s="8">
        <v>149.87</v>
      </c>
      <c r="BH2465" s="9">
        <f t="shared" si="342"/>
        <v>2864.7200000000003</v>
      </c>
      <c r="BI2465" s="9">
        <f t="shared" si="343"/>
        <v>8.35</v>
      </c>
      <c r="BJ2465" s="9">
        <f t="shared" si="344"/>
        <v>13.52</v>
      </c>
      <c r="BK2465" s="9">
        <f t="shared" si="345"/>
        <v>43.16</v>
      </c>
      <c r="BL2465" s="9">
        <f t="shared" si="346"/>
        <v>0</v>
      </c>
      <c r="BM2465" s="9">
        <f t="shared" si="347"/>
        <v>11.5</v>
      </c>
      <c r="BN2465" s="9">
        <f t="shared" si="348"/>
        <v>1890.05</v>
      </c>
      <c r="BO2465" s="9">
        <f t="shared" si="349"/>
        <v>65.89</v>
      </c>
      <c r="BP2465" s="9">
        <f t="shared" si="350"/>
        <v>201.38</v>
      </c>
    </row>
    <row r="2466" spans="1:68">
      <c r="A2466" s="6">
        <v>44979</v>
      </c>
      <c r="B2466" s="7">
        <v>3134</v>
      </c>
      <c r="C2466" s="8">
        <v>1058.5999999999999</v>
      </c>
      <c r="D2466" s="8">
        <v>148.08000000000001</v>
      </c>
      <c r="E2466" s="8"/>
      <c r="F2466" s="8"/>
      <c r="G2466" s="8"/>
      <c r="H2466" s="8">
        <v>500.18</v>
      </c>
      <c r="I2466" s="8"/>
      <c r="J2466" s="8"/>
      <c r="K2466" s="8"/>
      <c r="L2466" s="8"/>
      <c r="M2466" s="8">
        <v>2.7</v>
      </c>
      <c r="N2466" s="8"/>
      <c r="O2466" s="8"/>
      <c r="P2466" s="8"/>
      <c r="Q2466" s="11"/>
      <c r="R2466" s="11"/>
      <c r="S2466" s="8">
        <v>6.83</v>
      </c>
      <c r="T2466" s="8"/>
      <c r="U2466" s="8">
        <v>19.29</v>
      </c>
      <c r="V2466" s="8"/>
      <c r="W2466" s="8"/>
      <c r="X2466" s="8"/>
      <c r="Y2466" s="8"/>
      <c r="Z2466" s="8"/>
      <c r="AA2466" s="8"/>
      <c r="AB2466" s="8"/>
      <c r="AC2466" s="8">
        <v>5.93</v>
      </c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11"/>
      <c r="AQ2466" s="8"/>
      <c r="AR2466" s="8"/>
      <c r="AS2466" s="8"/>
      <c r="AT2466" s="8">
        <v>1043.2</v>
      </c>
      <c r="AU2466" s="8"/>
      <c r="AV2466" s="8"/>
      <c r="AW2466" s="8"/>
      <c r="AX2466" s="8"/>
      <c r="AY2466" s="8">
        <f>1422*10.6/1000</f>
        <v>15.073199999999998</v>
      </c>
      <c r="AZ2466" s="8"/>
      <c r="BA2466" s="8"/>
      <c r="BB2466" s="8"/>
      <c r="BC2466" s="8"/>
      <c r="BD2466" s="8"/>
      <c r="BE2466" s="8"/>
      <c r="BF2466" s="8">
        <v>66.89</v>
      </c>
      <c r="BG2466" s="8">
        <v>78.760000000000005</v>
      </c>
      <c r="BH2466" s="9">
        <f t="shared" si="342"/>
        <v>1706.86</v>
      </c>
      <c r="BI2466" s="9">
        <f t="shared" si="343"/>
        <v>2.7</v>
      </c>
      <c r="BJ2466" s="9">
        <f t="shared" si="344"/>
        <v>6.83</v>
      </c>
      <c r="BK2466" s="9">
        <f t="shared" si="345"/>
        <v>19.29</v>
      </c>
      <c r="BL2466" s="9">
        <f t="shared" si="346"/>
        <v>0</v>
      </c>
      <c r="BM2466" s="9">
        <f t="shared" si="347"/>
        <v>5.93</v>
      </c>
      <c r="BN2466" s="9">
        <f t="shared" si="348"/>
        <v>1043.2</v>
      </c>
      <c r="BO2466" s="9">
        <f t="shared" si="349"/>
        <v>15.073199999999998</v>
      </c>
      <c r="BP2466" s="9">
        <f t="shared" si="350"/>
        <v>66.89</v>
      </c>
    </row>
    <row r="2467" spans="1:68">
      <c r="A2467" s="6">
        <v>44979</v>
      </c>
      <c r="B2467" s="7">
        <v>3106</v>
      </c>
      <c r="C2467" s="8">
        <v>2098.87</v>
      </c>
      <c r="D2467" s="8"/>
      <c r="E2467" s="8"/>
      <c r="F2467" s="8"/>
      <c r="G2467" s="8"/>
      <c r="H2467" s="8"/>
      <c r="I2467" s="8"/>
      <c r="J2467" s="8"/>
      <c r="K2467" s="8"/>
      <c r="L2467" s="8"/>
      <c r="M2467" s="8">
        <v>5.65</v>
      </c>
      <c r="N2467" s="8"/>
      <c r="O2467" s="8"/>
      <c r="P2467" s="8"/>
      <c r="Q2467" s="11"/>
      <c r="R2467" s="11"/>
      <c r="S2467" s="8">
        <v>6.33</v>
      </c>
      <c r="T2467" s="8"/>
      <c r="U2467" s="8">
        <v>26.78</v>
      </c>
      <c r="V2467" s="8"/>
      <c r="W2467" s="8"/>
      <c r="X2467" s="8"/>
      <c r="Y2467" s="8"/>
      <c r="Z2467" s="8"/>
      <c r="AA2467" s="8"/>
      <c r="AB2467" s="8"/>
      <c r="AC2467" s="8">
        <v>5.26</v>
      </c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11"/>
      <c r="AQ2467" s="8"/>
      <c r="AR2467" s="8"/>
      <c r="AS2467" s="8"/>
      <c r="AT2467" s="8">
        <v>1199.07</v>
      </c>
      <c r="AU2467" s="8"/>
      <c r="AV2467" s="8"/>
      <c r="AW2467" s="8"/>
      <c r="AX2467" s="8">
        <v>2.63</v>
      </c>
      <c r="AY2467" s="8"/>
      <c r="AZ2467" s="8"/>
      <c r="BA2467" s="8"/>
      <c r="BB2467" s="8"/>
      <c r="BC2467" s="8"/>
      <c r="BD2467" s="8"/>
      <c r="BE2467" s="8"/>
      <c r="BF2467" s="8"/>
      <c r="BG2467" s="8">
        <v>90.3</v>
      </c>
      <c r="BH2467" s="9">
        <f t="shared" si="342"/>
        <v>2098.87</v>
      </c>
      <c r="BI2467" s="9">
        <f t="shared" si="343"/>
        <v>5.65</v>
      </c>
      <c r="BJ2467" s="9">
        <f t="shared" si="344"/>
        <v>6.33</v>
      </c>
      <c r="BK2467" s="9">
        <f t="shared" si="345"/>
        <v>26.78</v>
      </c>
      <c r="BL2467" s="9">
        <f t="shared" si="346"/>
        <v>0</v>
      </c>
      <c r="BM2467" s="9">
        <f t="shared" si="347"/>
        <v>5.26</v>
      </c>
      <c r="BN2467" s="9">
        <f t="shared" si="348"/>
        <v>1199.07</v>
      </c>
      <c r="BO2467" s="9">
        <f t="shared" si="349"/>
        <v>2.63</v>
      </c>
      <c r="BP2467" s="9">
        <f t="shared" si="350"/>
        <v>0</v>
      </c>
    </row>
    <row r="2468" spans="1:68">
      <c r="A2468" s="6">
        <v>44979</v>
      </c>
      <c r="B2468" s="7">
        <v>3024</v>
      </c>
      <c r="C2468" s="8"/>
      <c r="D2468" s="8">
        <v>633.65</v>
      </c>
      <c r="E2468" s="8"/>
      <c r="F2468" s="8"/>
      <c r="G2468" s="8"/>
      <c r="H2468" s="8"/>
      <c r="I2468" s="8">
        <v>633.59</v>
      </c>
      <c r="J2468" s="8"/>
      <c r="K2468" s="8"/>
      <c r="L2468" s="8"/>
      <c r="M2468" s="8"/>
      <c r="N2468" s="8">
        <v>7.73</v>
      </c>
      <c r="O2468" s="8"/>
      <c r="P2468" s="8"/>
      <c r="Q2468" s="11"/>
      <c r="R2468" s="11"/>
      <c r="S2468" s="8">
        <v>2.0299999999999998</v>
      </c>
      <c r="T2468" s="8"/>
      <c r="U2468" s="8"/>
      <c r="V2468" s="8"/>
      <c r="W2468" s="8">
        <v>10.15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>
        <v>12.66</v>
      </c>
      <c r="AN2468" s="8">
        <f>852*10.57/1000</f>
        <v>9.0056399999999996</v>
      </c>
      <c r="AO2468" s="8"/>
      <c r="AP2468" s="11"/>
      <c r="AQ2468" s="8"/>
      <c r="AR2468" s="8"/>
      <c r="AS2468" s="8">
        <f>3964*10.57/1000</f>
        <v>41.899480000000004</v>
      </c>
      <c r="AT2468" s="8">
        <v>489.27</v>
      </c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>
        <v>35.54</v>
      </c>
      <c r="BH2468" s="9">
        <f t="shared" si="342"/>
        <v>1267.24</v>
      </c>
      <c r="BI2468" s="9">
        <f t="shared" si="343"/>
        <v>7.73</v>
      </c>
      <c r="BJ2468" s="9">
        <f t="shared" si="344"/>
        <v>2.0299999999999998</v>
      </c>
      <c r="BK2468" s="9">
        <f t="shared" si="345"/>
        <v>10.15</v>
      </c>
      <c r="BL2468" s="9">
        <f t="shared" si="346"/>
        <v>0</v>
      </c>
      <c r="BM2468" s="9">
        <f t="shared" si="347"/>
        <v>63.565120000000007</v>
      </c>
      <c r="BN2468" s="9">
        <f t="shared" si="348"/>
        <v>489.27</v>
      </c>
      <c r="BO2468" s="9">
        <f t="shared" si="349"/>
        <v>0</v>
      </c>
      <c r="BP2468" s="9">
        <f t="shared" si="350"/>
        <v>0</v>
      </c>
    </row>
    <row r="2469" spans="1:68">
      <c r="A2469" s="6">
        <v>44979</v>
      </c>
      <c r="B2469" s="7">
        <v>3028</v>
      </c>
      <c r="C2469" s="8"/>
      <c r="D2469" s="8">
        <v>383.89</v>
      </c>
      <c r="E2469" s="8"/>
      <c r="F2469" s="8">
        <v>351.81</v>
      </c>
      <c r="G2469" s="8"/>
      <c r="H2469" s="8"/>
      <c r="I2469" s="8">
        <v>796.39</v>
      </c>
      <c r="J2469" s="8"/>
      <c r="K2469" s="8"/>
      <c r="L2469" s="8"/>
      <c r="M2469" s="8"/>
      <c r="N2469" s="8">
        <v>11.76</v>
      </c>
      <c r="O2469" s="8"/>
      <c r="P2469" s="8"/>
      <c r="Q2469" s="11"/>
      <c r="R2469" s="11"/>
      <c r="S2469" s="8">
        <v>2.15</v>
      </c>
      <c r="T2469" s="8"/>
      <c r="U2469" s="8"/>
      <c r="V2469" s="8"/>
      <c r="W2469" s="8">
        <v>11.49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>
        <v>15.29</v>
      </c>
      <c r="AN2469" s="8">
        <f>1057*10.2/1000</f>
        <v>10.7814</v>
      </c>
      <c r="AO2469" s="8"/>
      <c r="AP2469" s="11"/>
      <c r="AQ2469" s="8"/>
      <c r="AR2469" s="8"/>
      <c r="AS2469" s="8">
        <f>4903*10.2/1000</f>
        <v>50.010599999999997</v>
      </c>
      <c r="AT2469" s="8">
        <v>511.17</v>
      </c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>
        <v>34.869999999999997</v>
      </c>
      <c r="BH2469" s="9">
        <f t="shared" si="342"/>
        <v>1532.0900000000001</v>
      </c>
      <c r="BI2469" s="9">
        <f t="shared" si="343"/>
        <v>11.76</v>
      </c>
      <c r="BJ2469" s="9">
        <f t="shared" si="344"/>
        <v>2.15</v>
      </c>
      <c r="BK2469" s="9">
        <f t="shared" si="345"/>
        <v>11.49</v>
      </c>
      <c r="BL2469" s="9">
        <f t="shared" si="346"/>
        <v>0</v>
      </c>
      <c r="BM2469" s="9">
        <f t="shared" si="347"/>
        <v>76.081999999999994</v>
      </c>
      <c r="BN2469" s="9">
        <f t="shared" si="348"/>
        <v>511.17</v>
      </c>
      <c r="BO2469" s="9">
        <f t="shared" si="349"/>
        <v>0</v>
      </c>
      <c r="BP2469" s="9">
        <f t="shared" si="350"/>
        <v>0</v>
      </c>
    </row>
    <row r="2470" spans="1:68">
      <c r="A2470" s="6">
        <v>44979</v>
      </c>
      <c r="B2470" s="7">
        <v>3022</v>
      </c>
      <c r="C2470" s="8"/>
      <c r="D2470" s="8">
        <v>564.04999999999995</v>
      </c>
      <c r="E2470" s="8"/>
      <c r="F2470" s="8"/>
      <c r="G2470" s="8"/>
      <c r="H2470" s="8"/>
      <c r="I2470" s="8">
        <v>461.46</v>
      </c>
      <c r="J2470" s="8"/>
      <c r="K2470" s="8"/>
      <c r="L2470" s="8"/>
      <c r="M2470" s="8"/>
      <c r="N2470" s="8">
        <v>5.22</v>
      </c>
      <c r="O2470" s="8"/>
      <c r="P2470" s="8"/>
      <c r="Q2470" s="11"/>
      <c r="R2470" s="11"/>
      <c r="S2470" s="8">
        <v>1.85</v>
      </c>
      <c r="T2470" s="8"/>
      <c r="U2470" s="8"/>
      <c r="V2470" s="8"/>
      <c r="W2470" s="8">
        <v>10.29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>
        <v>13.31</v>
      </c>
      <c r="AN2470" s="8"/>
      <c r="AO2470" s="8"/>
      <c r="AP2470" s="11"/>
      <c r="AQ2470" s="8"/>
      <c r="AR2470" s="8"/>
      <c r="AS2470" s="8">
        <f>3866*9.33/1000</f>
        <v>36.069780000000002</v>
      </c>
      <c r="AT2470" s="8">
        <v>479.79</v>
      </c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>
        <v>36.979999999999997</v>
      </c>
      <c r="BH2470" s="9">
        <f t="shared" si="342"/>
        <v>1025.51</v>
      </c>
      <c r="BI2470" s="9">
        <f t="shared" si="343"/>
        <v>5.22</v>
      </c>
      <c r="BJ2470" s="9">
        <f t="shared" si="344"/>
        <v>1.85</v>
      </c>
      <c r="BK2470" s="9">
        <f t="shared" si="345"/>
        <v>10.29</v>
      </c>
      <c r="BL2470" s="9">
        <f t="shared" si="346"/>
        <v>0</v>
      </c>
      <c r="BM2470" s="9">
        <f t="shared" si="347"/>
        <v>49.379780000000004</v>
      </c>
      <c r="BN2470" s="9">
        <f t="shared" si="348"/>
        <v>479.79</v>
      </c>
      <c r="BO2470" s="9">
        <f t="shared" si="349"/>
        <v>0</v>
      </c>
      <c r="BP2470" s="9">
        <f t="shared" si="350"/>
        <v>0</v>
      </c>
    </row>
    <row r="2471" spans="1:68">
      <c r="A2471" s="6">
        <v>44979</v>
      </c>
      <c r="B2471" s="7">
        <v>3139</v>
      </c>
      <c r="C2471" s="8">
        <v>810.23</v>
      </c>
      <c r="D2471" s="8"/>
      <c r="E2471" s="8"/>
      <c r="F2471" s="8"/>
      <c r="G2471" s="8"/>
      <c r="H2471" s="8">
        <v>335.89</v>
      </c>
      <c r="I2471" s="8"/>
      <c r="J2471" s="8"/>
      <c r="K2471" s="8"/>
      <c r="L2471" s="8"/>
      <c r="M2471" s="8">
        <v>1.9</v>
      </c>
      <c r="N2471" s="8"/>
      <c r="O2471" s="8"/>
      <c r="P2471" s="8"/>
      <c r="Q2471" s="11"/>
      <c r="R2471" s="11"/>
      <c r="S2471" s="8">
        <v>3.59</v>
      </c>
      <c r="T2471" s="8"/>
      <c r="U2471" s="8">
        <v>11.98</v>
      </c>
      <c r="V2471" s="8"/>
      <c r="W2471" s="8"/>
      <c r="X2471" s="8"/>
      <c r="Y2471" s="8"/>
      <c r="Z2471" s="8"/>
      <c r="AA2471" s="8"/>
      <c r="AB2471" s="8"/>
      <c r="AC2471" s="8">
        <v>3.99</v>
      </c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11"/>
      <c r="AQ2471" s="8"/>
      <c r="AR2471" s="8"/>
      <c r="AS2471" s="8"/>
      <c r="AT2471" s="8">
        <v>589.66</v>
      </c>
      <c r="AU2471" s="8"/>
      <c r="AV2471" s="8">
        <v>19.940000000000001</v>
      </c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>
        <v>42.92</v>
      </c>
      <c r="BH2471" s="9">
        <f t="shared" si="342"/>
        <v>1146.1199999999999</v>
      </c>
      <c r="BI2471" s="9">
        <f t="shared" si="343"/>
        <v>1.9</v>
      </c>
      <c r="BJ2471" s="9">
        <f t="shared" si="344"/>
        <v>3.59</v>
      </c>
      <c r="BK2471" s="9">
        <f t="shared" si="345"/>
        <v>11.98</v>
      </c>
      <c r="BL2471" s="9">
        <f t="shared" si="346"/>
        <v>0</v>
      </c>
      <c r="BM2471" s="9">
        <f t="shared" si="347"/>
        <v>3.99</v>
      </c>
      <c r="BN2471" s="9">
        <f t="shared" si="348"/>
        <v>589.66</v>
      </c>
      <c r="BO2471" s="9">
        <f t="shared" si="349"/>
        <v>19.940000000000001</v>
      </c>
      <c r="BP2471" s="9">
        <f t="shared" si="350"/>
        <v>0</v>
      </c>
    </row>
    <row r="2472" spans="1:68">
      <c r="A2472" s="6">
        <v>44979</v>
      </c>
      <c r="B2472" s="7">
        <v>8090</v>
      </c>
      <c r="C2472" s="8">
        <v>1477.38</v>
      </c>
      <c r="D2472" s="8"/>
      <c r="E2472" s="8"/>
      <c r="F2472" s="8"/>
      <c r="G2472" s="8"/>
      <c r="H2472" s="8"/>
      <c r="I2472" s="8"/>
      <c r="J2472" s="8"/>
      <c r="K2472" s="8"/>
      <c r="L2472" s="8"/>
      <c r="M2472" s="8">
        <v>2.66</v>
      </c>
      <c r="N2472" s="8"/>
      <c r="O2472" s="8"/>
      <c r="P2472" s="8"/>
      <c r="Q2472" s="11"/>
      <c r="R2472" s="11"/>
      <c r="S2472" s="8">
        <v>5.31</v>
      </c>
      <c r="T2472" s="8"/>
      <c r="U2472" s="8">
        <v>17.29</v>
      </c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11"/>
      <c r="AQ2472" s="8"/>
      <c r="AR2472" s="8"/>
      <c r="AS2472" s="8"/>
      <c r="AT2472" s="8">
        <v>827.41</v>
      </c>
      <c r="AU2472" s="8"/>
      <c r="AV2472" s="8">
        <v>29.53</v>
      </c>
      <c r="AW2472" s="8"/>
      <c r="AX2472" s="8"/>
      <c r="AY2472" s="8"/>
      <c r="AZ2472" s="8"/>
      <c r="BA2472" s="8"/>
      <c r="BB2472" s="8"/>
      <c r="BC2472" s="8"/>
      <c r="BD2472" s="8"/>
      <c r="BE2472" s="8"/>
      <c r="BF2472" s="8">
        <v>36.9</v>
      </c>
      <c r="BG2472" s="8">
        <v>59.12</v>
      </c>
      <c r="BH2472" s="9">
        <f t="shared" si="342"/>
        <v>1477.38</v>
      </c>
      <c r="BI2472" s="9">
        <f t="shared" si="343"/>
        <v>2.66</v>
      </c>
      <c r="BJ2472" s="9">
        <f t="shared" si="344"/>
        <v>5.31</v>
      </c>
      <c r="BK2472" s="9">
        <f t="shared" si="345"/>
        <v>17.29</v>
      </c>
      <c r="BL2472" s="9">
        <f t="shared" si="346"/>
        <v>0</v>
      </c>
      <c r="BM2472" s="9">
        <f t="shared" si="347"/>
        <v>0</v>
      </c>
      <c r="BN2472" s="9">
        <f t="shared" si="348"/>
        <v>827.41</v>
      </c>
      <c r="BO2472" s="9">
        <f t="shared" si="349"/>
        <v>29.53</v>
      </c>
      <c r="BP2472" s="9">
        <f t="shared" si="350"/>
        <v>36.9</v>
      </c>
    </row>
    <row r="2473" spans="1:68">
      <c r="A2473" s="6">
        <v>44980</v>
      </c>
      <c r="B2473" s="7">
        <v>3602</v>
      </c>
      <c r="C2473" s="8">
        <v>569.70000000000005</v>
      </c>
      <c r="D2473" s="8"/>
      <c r="E2473" s="8"/>
      <c r="F2473" s="8"/>
      <c r="G2473" s="8">
        <v>855.35</v>
      </c>
      <c r="H2473" s="8"/>
      <c r="I2473" s="8"/>
      <c r="J2473" s="8"/>
      <c r="K2473" s="8"/>
      <c r="L2473" s="8"/>
      <c r="M2473" s="8">
        <v>1.47</v>
      </c>
      <c r="N2473" s="8"/>
      <c r="O2473" s="8"/>
      <c r="P2473" s="8"/>
      <c r="Q2473" s="11"/>
      <c r="R2473" s="11"/>
      <c r="S2473" s="8">
        <v>6.85</v>
      </c>
      <c r="T2473" s="8"/>
      <c r="U2473" s="8">
        <v>11.42</v>
      </c>
      <c r="V2473" s="8">
        <f>852*16.32/1000</f>
        <v>13.904639999999999</v>
      </c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11"/>
      <c r="AQ2473" s="8"/>
      <c r="AR2473" s="8"/>
      <c r="AS2473" s="8"/>
      <c r="AT2473" s="8">
        <v>575.07000000000005</v>
      </c>
      <c r="AU2473" s="8"/>
      <c r="AV2473" s="8"/>
      <c r="AW2473" s="8">
        <v>36.909999999999997</v>
      </c>
      <c r="AX2473" s="8"/>
      <c r="AY2473" s="8"/>
      <c r="AZ2473" s="8"/>
      <c r="BA2473" s="8"/>
      <c r="BB2473" s="8"/>
      <c r="BC2473" s="8"/>
      <c r="BD2473" s="8"/>
      <c r="BE2473" s="8"/>
      <c r="BF2473" s="8">
        <v>45.72</v>
      </c>
      <c r="BG2473" s="8">
        <v>42.91</v>
      </c>
      <c r="BH2473" s="9">
        <f t="shared" si="342"/>
        <v>1425.0500000000002</v>
      </c>
      <c r="BI2473" s="9">
        <f t="shared" si="343"/>
        <v>1.47</v>
      </c>
      <c r="BJ2473" s="9">
        <f t="shared" si="344"/>
        <v>6.85</v>
      </c>
      <c r="BK2473" s="9">
        <f t="shared" si="345"/>
        <v>25.324639999999999</v>
      </c>
      <c r="BL2473" s="9">
        <f t="shared" si="346"/>
        <v>0</v>
      </c>
      <c r="BM2473" s="9">
        <f t="shared" si="347"/>
        <v>0</v>
      </c>
      <c r="BN2473" s="9">
        <f t="shared" si="348"/>
        <v>575.07000000000005</v>
      </c>
      <c r="BO2473" s="9">
        <f t="shared" si="349"/>
        <v>36.909999999999997</v>
      </c>
      <c r="BP2473" s="9">
        <f t="shared" si="350"/>
        <v>45.72</v>
      </c>
    </row>
    <row r="2474" spans="1:68">
      <c r="A2474" s="6">
        <v>44980</v>
      </c>
      <c r="B2474" s="7">
        <v>3135</v>
      </c>
      <c r="C2474" s="8">
        <v>1087.3399999999999</v>
      </c>
      <c r="D2474" s="8">
        <v>154.04</v>
      </c>
      <c r="E2474" s="8"/>
      <c r="F2474" s="8"/>
      <c r="G2474" s="8"/>
      <c r="H2474" s="8">
        <v>516.55999999999995</v>
      </c>
      <c r="I2474" s="8"/>
      <c r="J2474" s="8"/>
      <c r="K2474" s="8"/>
      <c r="L2474" s="8"/>
      <c r="M2474" s="8">
        <v>3.05</v>
      </c>
      <c r="N2474" s="8"/>
      <c r="O2474" s="8"/>
      <c r="P2474" s="8"/>
      <c r="Q2474" s="11"/>
      <c r="R2474" s="11"/>
      <c r="S2474" s="8">
        <v>7.01</v>
      </c>
      <c r="T2474" s="8"/>
      <c r="U2474" s="8">
        <v>19.84</v>
      </c>
      <c r="V2474" s="8"/>
      <c r="W2474" s="8"/>
      <c r="X2474" s="8"/>
      <c r="Y2474" s="8"/>
      <c r="Z2474" s="8"/>
      <c r="AA2474" s="8"/>
      <c r="AB2474" s="8"/>
      <c r="AC2474" s="8">
        <v>6.09</v>
      </c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11"/>
      <c r="AQ2474" s="8"/>
      <c r="AR2474" s="8"/>
      <c r="AS2474" s="8"/>
      <c r="AT2474" s="8">
        <v>1078.71</v>
      </c>
      <c r="AU2474" s="8"/>
      <c r="AV2474" s="8"/>
      <c r="AW2474" s="8"/>
      <c r="AX2474" s="8"/>
      <c r="AY2474" s="8"/>
      <c r="AZ2474" s="8"/>
      <c r="BA2474" s="8">
        <v>34.82</v>
      </c>
      <c r="BB2474" s="8"/>
      <c r="BC2474" s="8"/>
      <c r="BD2474" s="8"/>
      <c r="BE2474" s="8"/>
      <c r="BF2474" s="8">
        <v>68.62</v>
      </c>
      <c r="BG2474" s="8">
        <v>80.739999999999995</v>
      </c>
      <c r="BH2474" s="9">
        <f t="shared" si="342"/>
        <v>1757.9399999999998</v>
      </c>
      <c r="BI2474" s="9">
        <f t="shared" si="343"/>
        <v>3.05</v>
      </c>
      <c r="BJ2474" s="9">
        <f t="shared" si="344"/>
        <v>7.01</v>
      </c>
      <c r="BK2474" s="9">
        <f t="shared" si="345"/>
        <v>19.84</v>
      </c>
      <c r="BL2474" s="9">
        <f t="shared" si="346"/>
        <v>0</v>
      </c>
      <c r="BM2474" s="9">
        <f t="shared" si="347"/>
        <v>6.09</v>
      </c>
      <c r="BN2474" s="9">
        <f t="shared" si="348"/>
        <v>1078.71</v>
      </c>
      <c r="BO2474" s="9">
        <f t="shared" si="349"/>
        <v>34.82</v>
      </c>
      <c r="BP2474" s="9">
        <f t="shared" si="350"/>
        <v>68.62</v>
      </c>
    </row>
    <row r="2475" spans="1:68">
      <c r="A2475" s="6">
        <v>44980</v>
      </c>
      <c r="B2475" s="7">
        <v>3134</v>
      </c>
      <c r="C2475" s="8">
        <v>1058.08</v>
      </c>
      <c r="D2475" s="8">
        <v>147.38999999999999</v>
      </c>
      <c r="E2475" s="8"/>
      <c r="F2475" s="8"/>
      <c r="G2475" s="8"/>
      <c r="H2475" s="8">
        <v>500.62</v>
      </c>
      <c r="I2475" s="8"/>
      <c r="J2475" s="8"/>
      <c r="K2475" s="8"/>
      <c r="L2475" s="8"/>
      <c r="M2475" s="8">
        <v>2.83</v>
      </c>
      <c r="N2475" s="8"/>
      <c r="O2475" s="8"/>
      <c r="P2475" s="8"/>
      <c r="Q2475" s="11"/>
      <c r="R2475" s="11"/>
      <c r="S2475" s="8">
        <v>6.82</v>
      </c>
      <c r="T2475" s="8"/>
      <c r="U2475" s="8">
        <v>19.309999999999999</v>
      </c>
      <c r="V2475" s="8"/>
      <c r="W2475" s="8"/>
      <c r="X2475" s="8"/>
      <c r="Y2475" s="8"/>
      <c r="Z2475" s="8"/>
      <c r="AA2475" s="8"/>
      <c r="AB2475" s="8"/>
      <c r="AC2475" s="8">
        <v>5.93</v>
      </c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11"/>
      <c r="AQ2475" s="8"/>
      <c r="AR2475" s="8"/>
      <c r="AS2475" s="8"/>
      <c r="AT2475" s="8">
        <v>1044</v>
      </c>
      <c r="AU2475" s="8"/>
      <c r="AV2475" s="8"/>
      <c r="AW2475" s="8"/>
      <c r="AX2475" s="8"/>
      <c r="AY2475" s="8">
        <f>1415*10.6/1000</f>
        <v>14.999000000000001</v>
      </c>
      <c r="AZ2475" s="8"/>
      <c r="BA2475" s="8"/>
      <c r="BB2475" s="8"/>
      <c r="BC2475" s="8"/>
      <c r="BD2475" s="8"/>
      <c r="BE2475" s="8"/>
      <c r="BF2475" s="8">
        <v>66.78</v>
      </c>
      <c r="BG2475" s="8">
        <v>78.540000000000006</v>
      </c>
      <c r="BH2475" s="9">
        <f t="shared" si="342"/>
        <v>1706.0899999999997</v>
      </c>
      <c r="BI2475" s="9">
        <f t="shared" si="343"/>
        <v>2.83</v>
      </c>
      <c r="BJ2475" s="9">
        <f t="shared" si="344"/>
        <v>6.82</v>
      </c>
      <c r="BK2475" s="9">
        <f t="shared" si="345"/>
        <v>19.309999999999999</v>
      </c>
      <c r="BL2475" s="9">
        <f t="shared" si="346"/>
        <v>0</v>
      </c>
      <c r="BM2475" s="9">
        <f t="shared" si="347"/>
        <v>5.93</v>
      </c>
      <c r="BN2475" s="9">
        <f t="shared" si="348"/>
        <v>1044</v>
      </c>
      <c r="BO2475" s="9">
        <f t="shared" si="349"/>
        <v>14.999000000000001</v>
      </c>
      <c r="BP2475" s="9">
        <f t="shared" si="350"/>
        <v>66.78</v>
      </c>
    </row>
    <row r="2476" spans="1:68">
      <c r="A2476" s="6">
        <v>44980</v>
      </c>
      <c r="B2476" s="7">
        <v>3144</v>
      </c>
      <c r="C2476" s="8">
        <v>1271.05</v>
      </c>
      <c r="D2476" s="8">
        <v>224.43</v>
      </c>
      <c r="E2476" s="8"/>
      <c r="F2476" s="8"/>
      <c r="G2476" s="8"/>
      <c r="H2476" s="8"/>
      <c r="I2476" s="8"/>
      <c r="J2476" s="8"/>
      <c r="K2476" s="8"/>
      <c r="L2476" s="8"/>
      <c r="M2476" s="8">
        <v>4.49</v>
      </c>
      <c r="N2476" s="8"/>
      <c r="O2476" s="8"/>
      <c r="P2476" s="8"/>
      <c r="Q2476" s="11"/>
      <c r="R2476" s="11"/>
      <c r="S2476" s="8">
        <v>7.04</v>
      </c>
      <c r="T2476" s="8"/>
      <c r="U2476" s="8">
        <v>22.48</v>
      </c>
      <c r="V2476" s="8"/>
      <c r="W2476" s="8"/>
      <c r="X2476" s="8"/>
      <c r="Y2476" s="8"/>
      <c r="Z2476" s="8"/>
      <c r="AA2476" s="8"/>
      <c r="AB2476" s="8"/>
      <c r="AC2476" s="8">
        <v>5.98</v>
      </c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11">
        <f>1223*9.98/1000</f>
        <v>12.205540000000001</v>
      </c>
      <c r="AQ2476" s="8"/>
      <c r="AR2476" s="8"/>
      <c r="AS2476" s="8"/>
      <c r="AT2476" s="8">
        <v>985.86</v>
      </c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>
        <v>104.92</v>
      </c>
      <c r="BG2476" s="8">
        <v>77.98</v>
      </c>
      <c r="BH2476" s="9">
        <f t="shared" si="342"/>
        <v>1495.48</v>
      </c>
      <c r="BI2476" s="9">
        <f t="shared" si="343"/>
        <v>4.49</v>
      </c>
      <c r="BJ2476" s="9">
        <f t="shared" si="344"/>
        <v>7.04</v>
      </c>
      <c r="BK2476" s="9">
        <f t="shared" si="345"/>
        <v>22.48</v>
      </c>
      <c r="BL2476" s="9">
        <f t="shared" si="346"/>
        <v>0</v>
      </c>
      <c r="BM2476" s="9">
        <f t="shared" si="347"/>
        <v>18.185540000000003</v>
      </c>
      <c r="BN2476" s="9">
        <f t="shared" si="348"/>
        <v>985.86</v>
      </c>
      <c r="BO2476" s="9">
        <f t="shared" si="349"/>
        <v>0</v>
      </c>
      <c r="BP2476" s="9">
        <f t="shared" si="350"/>
        <v>104.92</v>
      </c>
    </row>
    <row r="2477" spans="1:68">
      <c r="A2477" s="6">
        <v>44980</v>
      </c>
      <c r="B2477" s="7">
        <v>3029</v>
      </c>
      <c r="C2477" s="8"/>
      <c r="D2477" s="8">
        <v>455.12</v>
      </c>
      <c r="E2477" s="8"/>
      <c r="F2477" s="8">
        <v>319.77</v>
      </c>
      <c r="G2477" s="8"/>
      <c r="H2477" s="8"/>
      <c r="I2477" s="8">
        <v>1889.69</v>
      </c>
      <c r="J2477" s="8"/>
      <c r="K2477" s="8"/>
      <c r="L2477" s="8"/>
      <c r="M2477" s="8"/>
      <c r="N2477" s="8">
        <v>20.52</v>
      </c>
      <c r="O2477" s="8"/>
      <c r="P2477" s="8"/>
      <c r="Q2477" s="11"/>
      <c r="R2477" s="11"/>
      <c r="S2477" s="8">
        <v>1.59</v>
      </c>
      <c r="T2477" s="8"/>
      <c r="U2477" s="8"/>
      <c r="V2477" s="8"/>
      <c r="W2477" s="8">
        <v>26.66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>
        <v>9.24</v>
      </c>
      <c r="AN2477" s="8">
        <f>763*17.75/1000</f>
        <v>13.54325</v>
      </c>
      <c r="AO2477" s="8"/>
      <c r="AP2477" s="11"/>
      <c r="AQ2477" s="8"/>
      <c r="AR2477" s="8">
        <f>4606*17.75/1000</f>
        <v>81.756500000000003</v>
      </c>
      <c r="AS2477" s="8"/>
      <c r="AT2477" s="8">
        <v>1011.04</v>
      </c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>
        <v>70.39</v>
      </c>
      <c r="BH2477" s="9">
        <f t="shared" si="342"/>
        <v>2664.58</v>
      </c>
      <c r="BI2477" s="9">
        <f t="shared" si="343"/>
        <v>20.52</v>
      </c>
      <c r="BJ2477" s="9">
        <f t="shared" si="344"/>
        <v>1.59</v>
      </c>
      <c r="BK2477" s="9">
        <f t="shared" si="345"/>
        <v>26.66</v>
      </c>
      <c r="BL2477" s="9">
        <f t="shared" si="346"/>
        <v>0</v>
      </c>
      <c r="BM2477" s="9">
        <f t="shared" si="347"/>
        <v>104.53975</v>
      </c>
      <c r="BN2477" s="9">
        <f t="shared" si="348"/>
        <v>1011.04</v>
      </c>
      <c r="BO2477" s="9">
        <f t="shared" si="349"/>
        <v>0</v>
      </c>
      <c r="BP2477" s="9">
        <f t="shared" si="350"/>
        <v>0</v>
      </c>
    </row>
    <row r="2478" spans="1:68">
      <c r="A2478" s="6">
        <v>44980</v>
      </c>
      <c r="B2478" s="7">
        <v>3016</v>
      </c>
      <c r="C2478" s="8"/>
      <c r="D2478" s="8">
        <v>2310.63</v>
      </c>
      <c r="E2478" s="8"/>
      <c r="F2478" s="8"/>
      <c r="G2478" s="8"/>
      <c r="H2478" s="8"/>
      <c r="I2478" s="8">
        <v>2130.94</v>
      </c>
      <c r="J2478" s="8"/>
      <c r="K2478" s="8"/>
      <c r="L2478" s="8"/>
      <c r="M2478" s="8"/>
      <c r="N2478" s="8">
        <v>27.56</v>
      </c>
      <c r="O2478" s="8"/>
      <c r="P2478" s="8"/>
      <c r="Q2478" s="11"/>
      <c r="R2478" s="11"/>
      <c r="S2478" s="8">
        <v>3.1</v>
      </c>
      <c r="T2478" s="8"/>
      <c r="U2478" s="8"/>
      <c r="V2478" s="8"/>
      <c r="W2478" s="8">
        <v>44.47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>
        <v>17.72</v>
      </c>
      <c r="AN2478" s="8">
        <f>2033*26.13/1000</f>
        <v>53.12229</v>
      </c>
      <c r="AO2478" s="8"/>
      <c r="AP2478" s="11"/>
      <c r="AQ2478" s="8"/>
      <c r="AR2478" s="8">
        <f>4239*26.13/1000</f>
        <v>110.76506999999999</v>
      </c>
      <c r="AS2478" s="8"/>
      <c r="AT2478" s="8">
        <v>1649.24</v>
      </c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>
        <v>120.64</v>
      </c>
      <c r="BH2478" s="9">
        <f t="shared" si="342"/>
        <v>4441.57</v>
      </c>
      <c r="BI2478" s="9">
        <f t="shared" si="343"/>
        <v>27.56</v>
      </c>
      <c r="BJ2478" s="9">
        <f t="shared" si="344"/>
        <v>3.1</v>
      </c>
      <c r="BK2478" s="9">
        <f t="shared" si="345"/>
        <v>44.47</v>
      </c>
      <c r="BL2478" s="9">
        <f t="shared" si="346"/>
        <v>0</v>
      </c>
      <c r="BM2478" s="9">
        <f t="shared" si="347"/>
        <v>181.60735999999997</v>
      </c>
      <c r="BN2478" s="9">
        <f t="shared" si="348"/>
        <v>1649.24</v>
      </c>
      <c r="BO2478" s="9">
        <f t="shared" si="349"/>
        <v>0</v>
      </c>
      <c r="BP2478" s="9">
        <f t="shared" si="350"/>
        <v>0</v>
      </c>
    </row>
    <row r="2479" spans="1:68">
      <c r="A2479" s="6">
        <v>44981</v>
      </c>
      <c r="B2479" s="7">
        <v>3134</v>
      </c>
      <c r="C2479" s="8">
        <v>2143.0100000000002</v>
      </c>
      <c r="D2479" s="8">
        <v>300.23</v>
      </c>
      <c r="E2479" s="8"/>
      <c r="F2479" s="8"/>
      <c r="G2479" s="8"/>
      <c r="H2479" s="8">
        <v>1012.35</v>
      </c>
      <c r="I2479" s="8"/>
      <c r="J2479" s="8"/>
      <c r="K2479" s="8"/>
      <c r="L2479" s="8"/>
      <c r="M2479" s="8">
        <v>5.71</v>
      </c>
      <c r="N2479" s="8"/>
      <c r="O2479" s="8"/>
      <c r="P2479" s="8"/>
      <c r="Q2479" s="11"/>
      <c r="R2479" s="11"/>
      <c r="S2479" s="8">
        <v>13.85</v>
      </c>
      <c r="T2479" s="8"/>
      <c r="U2479" s="8">
        <v>39.18</v>
      </c>
      <c r="V2479" s="8"/>
      <c r="W2479" s="8"/>
      <c r="X2479" s="8"/>
      <c r="Y2479" s="8"/>
      <c r="Z2479" s="8"/>
      <c r="AA2479" s="8"/>
      <c r="AB2479" s="8"/>
      <c r="AC2479" s="8">
        <v>12.03</v>
      </c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11"/>
      <c r="AQ2479" s="8"/>
      <c r="AR2479" s="8"/>
      <c r="AS2479" s="8"/>
      <c r="AT2479" s="8">
        <v>2117.33</v>
      </c>
      <c r="AU2479" s="8"/>
      <c r="AV2479" s="8"/>
      <c r="AW2479" s="8"/>
      <c r="AX2479" s="8"/>
      <c r="AY2479" s="8">
        <f>1404*21.5/1000</f>
        <v>30.186</v>
      </c>
      <c r="AZ2479" s="8"/>
      <c r="BA2479" s="8"/>
      <c r="BB2479" s="8"/>
      <c r="BC2479" s="8"/>
      <c r="BD2479" s="8"/>
      <c r="BE2479" s="8"/>
      <c r="BF2479" s="8">
        <v>135.41</v>
      </c>
      <c r="BG2479" s="8">
        <v>159.24</v>
      </c>
      <c r="BH2479" s="9">
        <f t="shared" si="342"/>
        <v>3455.59</v>
      </c>
      <c r="BI2479" s="9">
        <f t="shared" si="343"/>
        <v>5.71</v>
      </c>
      <c r="BJ2479" s="9">
        <f t="shared" si="344"/>
        <v>13.85</v>
      </c>
      <c r="BK2479" s="9">
        <f t="shared" si="345"/>
        <v>39.18</v>
      </c>
      <c r="BL2479" s="9">
        <f t="shared" si="346"/>
        <v>0</v>
      </c>
      <c r="BM2479" s="9">
        <f t="shared" si="347"/>
        <v>12.03</v>
      </c>
      <c r="BN2479" s="9">
        <f t="shared" si="348"/>
        <v>2117.33</v>
      </c>
      <c r="BO2479" s="9">
        <f t="shared" si="349"/>
        <v>30.186</v>
      </c>
      <c r="BP2479" s="9">
        <f t="shared" si="350"/>
        <v>135.41</v>
      </c>
    </row>
    <row r="2480" spans="1:68">
      <c r="A2480" s="6">
        <v>44981</v>
      </c>
      <c r="B2480" s="7">
        <v>3106</v>
      </c>
      <c r="C2480" s="8">
        <v>4173.32</v>
      </c>
      <c r="D2480" s="8"/>
      <c r="E2480" s="8"/>
      <c r="F2480" s="8"/>
      <c r="G2480" s="8"/>
      <c r="H2480" s="8"/>
      <c r="I2480" s="8"/>
      <c r="J2480" s="8"/>
      <c r="K2480" s="8"/>
      <c r="L2480" s="8"/>
      <c r="M2480" s="8">
        <v>11.23</v>
      </c>
      <c r="N2480" s="8"/>
      <c r="O2480" s="8"/>
      <c r="P2480" s="8"/>
      <c r="Q2480" s="11"/>
      <c r="R2480" s="11"/>
      <c r="S2480" s="8">
        <v>12.58</v>
      </c>
      <c r="T2480" s="8"/>
      <c r="U2480" s="8">
        <v>53.31</v>
      </c>
      <c r="V2480" s="8"/>
      <c r="W2480" s="8"/>
      <c r="X2480" s="8"/>
      <c r="Y2480" s="8"/>
      <c r="Z2480" s="8"/>
      <c r="AA2480" s="8"/>
      <c r="AB2480" s="8"/>
      <c r="AC2480" s="8">
        <v>10.46</v>
      </c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11"/>
      <c r="AQ2480" s="8"/>
      <c r="AR2480" s="8"/>
      <c r="AS2480" s="8"/>
      <c r="AT2480" s="8">
        <v>2382.77</v>
      </c>
      <c r="AU2480" s="8"/>
      <c r="AV2480" s="8"/>
      <c r="AW2480" s="8"/>
      <c r="AX2480" s="8">
        <v>5.23</v>
      </c>
      <c r="AY2480" s="8"/>
      <c r="AZ2480" s="8"/>
      <c r="BA2480" s="8"/>
      <c r="BB2480" s="8"/>
      <c r="BC2480" s="8"/>
      <c r="BD2480" s="8"/>
      <c r="BE2480" s="8"/>
      <c r="BF2480" s="8"/>
      <c r="BG2480" s="8">
        <v>179.62</v>
      </c>
      <c r="BH2480" s="9">
        <f t="shared" si="342"/>
        <v>4173.32</v>
      </c>
      <c r="BI2480" s="9">
        <f t="shared" si="343"/>
        <v>11.23</v>
      </c>
      <c r="BJ2480" s="9">
        <f t="shared" si="344"/>
        <v>12.58</v>
      </c>
      <c r="BK2480" s="9">
        <f t="shared" si="345"/>
        <v>53.31</v>
      </c>
      <c r="BL2480" s="9">
        <f t="shared" si="346"/>
        <v>0</v>
      </c>
      <c r="BM2480" s="9">
        <f t="shared" si="347"/>
        <v>10.46</v>
      </c>
      <c r="BN2480" s="9">
        <f t="shared" si="348"/>
        <v>2382.77</v>
      </c>
      <c r="BO2480" s="9">
        <f t="shared" si="349"/>
        <v>5.23</v>
      </c>
      <c r="BP2480" s="9">
        <f t="shared" si="350"/>
        <v>0</v>
      </c>
    </row>
    <row r="2481" spans="1:68">
      <c r="A2481" s="6">
        <v>44981</v>
      </c>
      <c r="B2481" s="7">
        <v>3083</v>
      </c>
      <c r="C2481" s="8"/>
      <c r="D2481" s="8">
        <v>1053.1099999999999</v>
      </c>
      <c r="E2481" s="8"/>
      <c r="F2481" s="8"/>
      <c r="G2481" s="8"/>
      <c r="H2481" s="8"/>
      <c r="I2481" s="8">
        <v>2450.89</v>
      </c>
      <c r="J2481" s="8"/>
      <c r="K2481" s="8"/>
      <c r="L2481" s="8"/>
      <c r="M2481" s="8"/>
      <c r="N2481" s="8">
        <v>22.81</v>
      </c>
      <c r="O2481" s="8"/>
      <c r="P2481" s="8"/>
      <c r="Q2481" s="11"/>
      <c r="R2481" s="11"/>
      <c r="S2481" s="8">
        <v>2.4500000000000002</v>
      </c>
      <c r="T2481" s="8"/>
      <c r="U2481" s="8"/>
      <c r="V2481" s="8"/>
      <c r="W2481" s="8">
        <v>28.09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>
        <v>13.89</v>
      </c>
      <c r="AN2481" s="8">
        <f>1900*0.026</f>
        <v>49.4</v>
      </c>
      <c r="AO2481" s="8"/>
      <c r="AP2481" s="11"/>
      <c r="AQ2481" s="8"/>
      <c r="AR2481" s="8">
        <f>3430*0.026</f>
        <v>89.179999999999993</v>
      </c>
      <c r="AS2481" s="8"/>
      <c r="AT2481" s="8">
        <v>1651.64</v>
      </c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>
        <v>130.76</v>
      </c>
      <c r="BH2481" s="9">
        <f t="shared" si="342"/>
        <v>3504</v>
      </c>
      <c r="BI2481" s="9">
        <f t="shared" si="343"/>
        <v>22.81</v>
      </c>
      <c r="BJ2481" s="9">
        <f t="shared" si="344"/>
        <v>2.4500000000000002</v>
      </c>
      <c r="BK2481" s="9">
        <f t="shared" si="345"/>
        <v>28.09</v>
      </c>
      <c r="BL2481" s="9">
        <f t="shared" si="346"/>
        <v>0</v>
      </c>
      <c r="BM2481" s="9">
        <f t="shared" si="347"/>
        <v>152.47</v>
      </c>
      <c r="BN2481" s="9">
        <f t="shared" si="348"/>
        <v>1651.64</v>
      </c>
      <c r="BO2481" s="9">
        <f t="shared" si="349"/>
        <v>0</v>
      </c>
      <c r="BP2481" s="9">
        <f t="shared" si="350"/>
        <v>0</v>
      </c>
    </row>
    <row r="2482" spans="1:68">
      <c r="A2482" s="6">
        <v>44981</v>
      </c>
      <c r="B2482" s="7">
        <v>3020</v>
      </c>
      <c r="C2482" s="8"/>
      <c r="D2482" s="8">
        <v>169.74</v>
      </c>
      <c r="E2482" s="8"/>
      <c r="F2482" s="8"/>
      <c r="G2482" s="8"/>
      <c r="H2482" s="8"/>
      <c r="I2482" s="8">
        <v>960.14</v>
      </c>
      <c r="J2482" s="8"/>
      <c r="K2482" s="8"/>
      <c r="L2482" s="8"/>
      <c r="M2482" s="8"/>
      <c r="N2482" s="8">
        <v>6.89</v>
      </c>
      <c r="O2482" s="8"/>
      <c r="P2482" s="8"/>
      <c r="Q2482" s="11"/>
      <c r="R2482" s="11"/>
      <c r="S2482" s="8">
        <v>2.0299999999999998</v>
      </c>
      <c r="T2482" s="8"/>
      <c r="U2482" s="8"/>
      <c r="V2482" s="8"/>
      <c r="W2482" s="8">
        <v>11.3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>
        <v>11.28</v>
      </c>
      <c r="AN2482" s="8"/>
      <c r="AO2482" s="8"/>
      <c r="AP2482" s="11"/>
      <c r="AQ2482" s="8"/>
      <c r="AR2482" s="8"/>
      <c r="AS2482" s="8">
        <f>3042*9.4/1000</f>
        <v>28.594799999999999</v>
      </c>
      <c r="AT2482" s="8">
        <v>555.23</v>
      </c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>
        <v>40.6</v>
      </c>
      <c r="BH2482" s="9">
        <f t="shared" si="342"/>
        <v>1129.8800000000001</v>
      </c>
      <c r="BI2482" s="9">
        <f t="shared" si="343"/>
        <v>6.89</v>
      </c>
      <c r="BJ2482" s="9">
        <f t="shared" si="344"/>
        <v>2.0299999999999998</v>
      </c>
      <c r="BK2482" s="9">
        <f t="shared" si="345"/>
        <v>11.3</v>
      </c>
      <c r="BL2482" s="9">
        <f t="shared" si="346"/>
        <v>0</v>
      </c>
      <c r="BM2482" s="9">
        <f t="shared" si="347"/>
        <v>39.8748</v>
      </c>
      <c r="BN2482" s="9">
        <f t="shared" si="348"/>
        <v>555.23</v>
      </c>
      <c r="BO2482" s="9">
        <f t="shared" si="349"/>
        <v>0</v>
      </c>
      <c r="BP2482" s="9">
        <f t="shared" si="350"/>
        <v>0</v>
      </c>
    </row>
    <row r="2483" spans="1:68">
      <c r="A2483" s="6">
        <v>44981</v>
      </c>
      <c r="B2483" s="7">
        <v>3028</v>
      </c>
      <c r="C2483" s="8"/>
      <c r="D2483" s="8">
        <v>727.03</v>
      </c>
      <c r="E2483" s="8"/>
      <c r="F2483" s="8">
        <v>668.37</v>
      </c>
      <c r="G2483" s="8"/>
      <c r="H2483" s="8"/>
      <c r="I2483" s="8">
        <v>1512.31</v>
      </c>
      <c r="J2483" s="8"/>
      <c r="K2483" s="8"/>
      <c r="L2483" s="8"/>
      <c r="M2483" s="8"/>
      <c r="N2483" s="8">
        <v>22.35</v>
      </c>
      <c r="O2483" s="8"/>
      <c r="P2483" s="8"/>
      <c r="Q2483" s="11"/>
      <c r="R2483" s="11"/>
      <c r="S2483" s="8">
        <v>4.0599999999999996</v>
      </c>
      <c r="T2483" s="8"/>
      <c r="U2483" s="8"/>
      <c r="V2483" s="8"/>
      <c r="W2483" s="8">
        <v>21.77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>
        <v>28.92</v>
      </c>
      <c r="AN2483" s="8">
        <f>1057*19.35/1000</f>
        <v>20.452950000000001</v>
      </c>
      <c r="AO2483" s="8"/>
      <c r="AP2483" s="11"/>
      <c r="AQ2483" s="8"/>
      <c r="AR2483" s="8"/>
      <c r="AS2483" s="8">
        <f>4962*19.35/1000</f>
        <v>96.014700000000005</v>
      </c>
      <c r="AT2483" s="8">
        <v>967.82</v>
      </c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>
        <v>66.13</v>
      </c>
      <c r="BH2483" s="9">
        <f t="shared" si="342"/>
        <v>2907.71</v>
      </c>
      <c r="BI2483" s="9">
        <f t="shared" si="343"/>
        <v>22.35</v>
      </c>
      <c r="BJ2483" s="9">
        <f t="shared" si="344"/>
        <v>4.0599999999999996</v>
      </c>
      <c r="BK2483" s="9">
        <f t="shared" si="345"/>
        <v>21.77</v>
      </c>
      <c r="BL2483" s="9">
        <f t="shared" si="346"/>
        <v>0</v>
      </c>
      <c r="BM2483" s="9">
        <f t="shared" si="347"/>
        <v>145.38765000000001</v>
      </c>
      <c r="BN2483" s="9">
        <f t="shared" si="348"/>
        <v>967.82</v>
      </c>
      <c r="BO2483" s="9">
        <f t="shared" si="349"/>
        <v>0</v>
      </c>
      <c r="BP2483" s="9">
        <f t="shared" si="350"/>
        <v>0</v>
      </c>
    </row>
    <row r="2484" spans="1:68">
      <c r="A2484" s="6">
        <v>44981</v>
      </c>
      <c r="B2484" s="7">
        <v>3122</v>
      </c>
      <c r="C2484" s="8">
        <v>652.07000000000005</v>
      </c>
      <c r="D2484" s="8"/>
      <c r="E2484" s="8"/>
      <c r="F2484" s="8"/>
      <c r="G2484" s="8"/>
      <c r="H2484" s="8"/>
      <c r="I2484" s="8"/>
      <c r="J2484" s="8"/>
      <c r="K2484" s="8"/>
      <c r="L2484" s="8"/>
      <c r="M2484" s="8">
        <v>1.18</v>
      </c>
      <c r="N2484" s="8">
        <v>1.18</v>
      </c>
      <c r="O2484" s="8"/>
      <c r="P2484" s="8"/>
      <c r="Q2484" s="11"/>
      <c r="R2484" s="11"/>
      <c r="S2484" s="8">
        <v>2.67</v>
      </c>
      <c r="T2484" s="8"/>
      <c r="U2484" s="8">
        <v>6.53</v>
      </c>
      <c r="V2484" s="8"/>
      <c r="W2484" s="8"/>
      <c r="X2484" s="8"/>
      <c r="Y2484" s="8"/>
      <c r="Z2484" s="8"/>
      <c r="AA2484" s="8"/>
      <c r="AB2484" s="8"/>
      <c r="AC2484" s="8">
        <v>2.61</v>
      </c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11"/>
      <c r="AQ2484" s="8"/>
      <c r="AR2484" s="8"/>
      <c r="AS2484" s="8"/>
      <c r="AT2484" s="8">
        <v>289.82</v>
      </c>
      <c r="AU2484" s="8"/>
      <c r="AV2484" s="8">
        <v>22.17</v>
      </c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>
        <v>21.21</v>
      </c>
      <c r="BH2484" s="9">
        <f t="shared" si="342"/>
        <v>652.07000000000005</v>
      </c>
      <c r="BI2484" s="9">
        <f t="shared" si="343"/>
        <v>2.36</v>
      </c>
      <c r="BJ2484" s="9">
        <f t="shared" si="344"/>
        <v>2.67</v>
      </c>
      <c r="BK2484" s="9">
        <f t="shared" si="345"/>
        <v>6.53</v>
      </c>
      <c r="BL2484" s="9">
        <f t="shared" si="346"/>
        <v>0</v>
      </c>
      <c r="BM2484" s="9">
        <f t="shared" si="347"/>
        <v>2.61</v>
      </c>
      <c r="BN2484" s="9">
        <f t="shared" si="348"/>
        <v>289.82</v>
      </c>
      <c r="BO2484" s="9">
        <f t="shared" si="349"/>
        <v>22.17</v>
      </c>
      <c r="BP2484" s="9">
        <f t="shared" si="350"/>
        <v>0</v>
      </c>
    </row>
    <row r="2485" spans="1:68">
      <c r="A2485" s="6">
        <v>44981</v>
      </c>
      <c r="B2485" s="7">
        <v>3206</v>
      </c>
      <c r="C2485" s="8">
        <v>280.68</v>
      </c>
      <c r="D2485" s="8">
        <v>506.66</v>
      </c>
      <c r="E2485" s="8">
        <v>338.14</v>
      </c>
      <c r="F2485" s="8"/>
      <c r="G2485" s="8"/>
      <c r="H2485" s="8"/>
      <c r="I2485" s="8"/>
      <c r="J2485" s="8"/>
      <c r="K2485" s="8"/>
      <c r="L2485" s="8"/>
      <c r="M2485" s="8"/>
      <c r="N2485" s="8"/>
      <c r="O2485" s="8">
        <v>2.25</v>
      </c>
      <c r="P2485" s="8"/>
      <c r="Q2485" s="11"/>
      <c r="R2485" s="11"/>
      <c r="S2485" s="8">
        <v>5.64</v>
      </c>
      <c r="T2485" s="8"/>
      <c r="U2485" s="8">
        <v>3.96</v>
      </c>
      <c r="V2485" s="8"/>
      <c r="W2485" s="8"/>
      <c r="X2485" s="8"/>
      <c r="Y2485" s="8"/>
      <c r="Z2485" s="8">
        <v>67.69</v>
      </c>
      <c r="AA2485" s="8"/>
      <c r="AB2485" s="8">
        <f>812*7.03/1000</f>
        <v>5.7083600000000008</v>
      </c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11"/>
      <c r="AQ2485" s="8"/>
      <c r="AR2485" s="8"/>
      <c r="AS2485" s="8"/>
      <c r="AT2485" s="8">
        <v>196.54</v>
      </c>
      <c r="AU2485" s="8">
        <v>98.52</v>
      </c>
      <c r="AV2485" s="8"/>
      <c r="AW2485" s="8">
        <v>4.28</v>
      </c>
      <c r="AX2485" s="8"/>
      <c r="AY2485" s="8"/>
      <c r="AZ2485" s="8"/>
      <c r="BA2485" s="8"/>
      <c r="BB2485" s="8"/>
      <c r="BC2485" s="8"/>
      <c r="BD2485" s="8"/>
      <c r="BE2485" s="8"/>
      <c r="BF2485" s="8"/>
      <c r="BG2485" s="8">
        <v>19.53</v>
      </c>
      <c r="BH2485" s="9">
        <f t="shared" si="342"/>
        <v>1125.48</v>
      </c>
      <c r="BI2485" s="9">
        <f t="shared" si="343"/>
        <v>2.25</v>
      </c>
      <c r="BJ2485" s="9">
        <f t="shared" si="344"/>
        <v>5.64</v>
      </c>
      <c r="BK2485" s="9">
        <f t="shared" si="345"/>
        <v>3.96</v>
      </c>
      <c r="BL2485" s="9">
        <f t="shared" si="346"/>
        <v>67.69</v>
      </c>
      <c r="BM2485" s="9">
        <f t="shared" si="347"/>
        <v>5.7083600000000008</v>
      </c>
      <c r="BN2485" s="9">
        <f t="shared" si="348"/>
        <v>295.06</v>
      </c>
      <c r="BO2485" s="9">
        <f t="shared" si="349"/>
        <v>4.28</v>
      </c>
      <c r="BP2485" s="9">
        <f t="shared" si="350"/>
        <v>0</v>
      </c>
    </row>
    <row r="2486" spans="1:68">
      <c r="A2486" s="6">
        <v>44981</v>
      </c>
      <c r="B2486" s="7">
        <v>3304</v>
      </c>
      <c r="C2486" s="8"/>
      <c r="D2486" s="8">
        <v>1119.97</v>
      </c>
      <c r="E2486" s="8"/>
      <c r="F2486" s="8"/>
      <c r="G2486" s="8"/>
      <c r="H2486" s="8"/>
      <c r="I2486" s="8"/>
      <c r="J2486" s="8"/>
      <c r="K2486" s="8"/>
      <c r="L2486" s="8"/>
      <c r="M2486" s="8">
        <v>2.25</v>
      </c>
      <c r="N2486" s="8"/>
      <c r="O2486" s="8"/>
      <c r="P2486" s="8"/>
      <c r="Q2486" s="11"/>
      <c r="R2486" s="11"/>
      <c r="S2486" s="8">
        <v>1.68</v>
      </c>
      <c r="T2486" s="8"/>
      <c r="U2486" s="8">
        <v>10.1</v>
      </c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>
        <v>11.21</v>
      </c>
      <c r="AH2486" s="8"/>
      <c r="AI2486" s="8"/>
      <c r="AJ2486" s="8"/>
      <c r="AK2486" s="8"/>
      <c r="AL2486" s="8"/>
      <c r="AM2486" s="8"/>
      <c r="AN2486" s="8"/>
      <c r="AO2486" s="8"/>
      <c r="AP2486" s="11"/>
      <c r="AQ2486" s="8"/>
      <c r="AR2486" s="8"/>
      <c r="AS2486" s="8"/>
      <c r="AT2486" s="8">
        <v>300.07</v>
      </c>
      <c r="AU2486" s="8">
        <v>150.07</v>
      </c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>
        <v>31.19</v>
      </c>
      <c r="BH2486" s="9">
        <f t="shared" si="342"/>
        <v>1119.97</v>
      </c>
      <c r="BI2486" s="9">
        <f t="shared" si="343"/>
        <v>2.25</v>
      </c>
      <c r="BJ2486" s="9">
        <f t="shared" si="344"/>
        <v>1.68</v>
      </c>
      <c r="BK2486" s="9">
        <f t="shared" si="345"/>
        <v>10.1</v>
      </c>
      <c r="BL2486" s="9">
        <f t="shared" si="346"/>
        <v>0</v>
      </c>
      <c r="BM2486" s="9">
        <f t="shared" si="347"/>
        <v>11.21</v>
      </c>
      <c r="BN2486" s="9">
        <f t="shared" si="348"/>
        <v>450.14</v>
      </c>
      <c r="BO2486" s="9">
        <f t="shared" si="349"/>
        <v>0</v>
      </c>
      <c r="BP2486" s="9">
        <f t="shared" si="350"/>
        <v>0</v>
      </c>
    </row>
    <row r="2487" spans="1:68">
      <c r="A2487" s="6">
        <v>44984</v>
      </c>
      <c r="B2487" s="7">
        <v>3200</v>
      </c>
      <c r="C2487" s="8">
        <v>2270.71</v>
      </c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>
        <v>5.68</v>
      </c>
      <c r="P2487" s="8"/>
      <c r="Q2487" s="11"/>
      <c r="R2487" s="11"/>
      <c r="S2487" s="8">
        <v>8.8699999999999992</v>
      </c>
      <c r="T2487" s="8"/>
      <c r="U2487" s="8">
        <v>34.14</v>
      </c>
      <c r="V2487" s="8"/>
      <c r="W2487" s="8"/>
      <c r="X2487" s="8"/>
      <c r="Y2487" s="8"/>
      <c r="Z2487" s="8">
        <v>478.46</v>
      </c>
      <c r="AA2487" s="8"/>
      <c r="AB2487" s="8"/>
      <c r="AC2487" s="8"/>
      <c r="AD2487" s="8"/>
      <c r="AE2487" s="8"/>
      <c r="AF2487" s="8">
        <v>112.85</v>
      </c>
      <c r="AG2487" s="8"/>
      <c r="AH2487" s="8"/>
      <c r="AI2487" s="8"/>
      <c r="AJ2487" s="8"/>
      <c r="AK2487" s="8"/>
      <c r="AL2487" s="8"/>
      <c r="AM2487" s="8"/>
      <c r="AN2487" s="8"/>
      <c r="AO2487" s="8"/>
      <c r="AP2487" s="11"/>
      <c r="AQ2487" s="8">
        <f>1492*22.77/1000</f>
        <v>33.972839999999998</v>
      </c>
      <c r="AR2487" s="8"/>
      <c r="AS2487" s="8"/>
      <c r="AT2487" s="8">
        <v>1556.95</v>
      </c>
      <c r="AU2487" s="8"/>
      <c r="AV2487" s="8"/>
      <c r="AW2487" s="8">
        <v>6.68</v>
      </c>
      <c r="AX2487" s="8"/>
      <c r="AY2487" s="8"/>
      <c r="AZ2487" s="8"/>
      <c r="BA2487" s="8"/>
      <c r="BB2487" s="8"/>
      <c r="BC2487" s="8"/>
      <c r="BD2487" s="8"/>
      <c r="BE2487" s="8"/>
      <c r="BF2487" s="8">
        <v>109.27</v>
      </c>
      <c r="BG2487" s="8">
        <v>112.79</v>
      </c>
      <c r="BH2487" s="9">
        <f t="shared" si="342"/>
        <v>2270.71</v>
      </c>
      <c r="BI2487" s="9">
        <f t="shared" si="343"/>
        <v>5.68</v>
      </c>
      <c r="BJ2487" s="9">
        <f t="shared" si="344"/>
        <v>8.8699999999999992</v>
      </c>
      <c r="BK2487" s="9">
        <f t="shared" si="345"/>
        <v>34.14</v>
      </c>
      <c r="BL2487" s="9">
        <f t="shared" si="346"/>
        <v>478.46</v>
      </c>
      <c r="BM2487" s="9">
        <f t="shared" si="347"/>
        <v>146.82283999999999</v>
      </c>
      <c r="BN2487" s="9">
        <f t="shared" si="348"/>
        <v>1556.95</v>
      </c>
      <c r="BO2487" s="9">
        <f t="shared" si="349"/>
        <v>6.68</v>
      </c>
      <c r="BP2487" s="9">
        <f t="shared" si="350"/>
        <v>109.27</v>
      </c>
    </row>
    <row r="2488" spans="1:68">
      <c r="A2488" s="6">
        <v>44984</v>
      </c>
      <c r="B2488" s="7">
        <v>3116</v>
      </c>
      <c r="C2488" s="8">
        <v>1492.19</v>
      </c>
      <c r="D2488" s="8"/>
      <c r="E2488" s="8"/>
      <c r="F2488" s="8"/>
      <c r="G2488" s="8"/>
      <c r="H2488" s="8"/>
      <c r="I2488" s="8"/>
      <c r="J2488" s="8"/>
      <c r="K2488" s="8"/>
      <c r="L2488" s="8"/>
      <c r="M2488" s="8">
        <v>2.99</v>
      </c>
      <c r="N2488" s="8"/>
      <c r="O2488" s="8"/>
      <c r="P2488" s="8"/>
      <c r="Q2488" s="11"/>
      <c r="R2488" s="11"/>
      <c r="S2488" s="8">
        <v>6.42</v>
      </c>
      <c r="T2488" s="8"/>
      <c r="U2488" s="8">
        <v>21.97</v>
      </c>
      <c r="V2488" s="8"/>
      <c r="W2488" s="8"/>
      <c r="X2488" s="8"/>
      <c r="Y2488" s="8"/>
      <c r="Z2488" s="8"/>
      <c r="AA2488" s="8"/>
      <c r="AB2488" s="8"/>
      <c r="AC2488" s="8">
        <v>5.98</v>
      </c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11"/>
      <c r="AQ2488" s="8">
        <f>1430*10.67/1000</f>
        <v>15.258100000000001</v>
      </c>
      <c r="AR2488" s="8"/>
      <c r="AS2488" s="8"/>
      <c r="AT2488" s="8">
        <v>912.61</v>
      </c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>
        <v>59.8</v>
      </c>
      <c r="BG2488" s="8">
        <v>67.92</v>
      </c>
      <c r="BH2488" s="9">
        <f t="shared" si="342"/>
        <v>1492.19</v>
      </c>
      <c r="BI2488" s="9">
        <f t="shared" si="343"/>
        <v>2.99</v>
      </c>
      <c r="BJ2488" s="9">
        <f t="shared" si="344"/>
        <v>6.42</v>
      </c>
      <c r="BK2488" s="9">
        <f t="shared" si="345"/>
        <v>21.97</v>
      </c>
      <c r="BL2488" s="9">
        <f t="shared" si="346"/>
        <v>0</v>
      </c>
      <c r="BM2488" s="9">
        <f t="shared" si="347"/>
        <v>21.238100000000003</v>
      </c>
      <c r="BN2488" s="9">
        <f t="shared" si="348"/>
        <v>912.61</v>
      </c>
      <c r="BO2488" s="9">
        <f t="shared" si="349"/>
        <v>0</v>
      </c>
      <c r="BP2488" s="9">
        <f t="shared" si="350"/>
        <v>59.8</v>
      </c>
    </row>
    <row r="2489" spans="1:68">
      <c r="A2489" s="6">
        <v>44984</v>
      </c>
      <c r="B2489" s="7">
        <v>3141</v>
      </c>
      <c r="C2489" s="8">
        <v>1228.74</v>
      </c>
      <c r="D2489" s="8">
        <v>217.58</v>
      </c>
      <c r="E2489" s="8"/>
      <c r="F2489" s="8"/>
      <c r="G2489" s="8"/>
      <c r="H2489" s="8"/>
      <c r="I2489" s="8"/>
      <c r="J2489" s="8"/>
      <c r="K2489" s="8"/>
      <c r="L2489" s="8"/>
      <c r="M2489" s="8">
        <v>4.2</v>
      </c>
      <c r="N2489" s="8"/>
      <c r="O2489" s="8"/>
      <c r="P2489" s="8"/>
      <c r="Q2489" s="11"/>
      <c r="R2489" s="11"/>
      <c r="S2489" s="8">
        <v>6.81</v>
      </c>
      <c r="T2489" s="8"/>
      <c r="U2489" s="8">
        <v>21.77</v>
      </c>
      <c r="V2489" s="8"/>
      <c r="W2489" s="8"/>
      <c r="X2489" s="8"/>
      <c r="Y2489" s="8"/>
      <c r="Z2489" s="8"/>
      <c r="AA2489" s="8"/>
      <c r="AB2489" s="8"/>
      <c r="AC2489" s="8">
        <v>5.81</v>
      </c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11"/>
      <c r="AQ2489" s="8"/>
      <c r="AR2489" s="8"/>
      <c r="AS2489" s="8"/>
      <c r="AT2489" s="8">
        <v>951.31</v>
      </c>
      <c r="AU2489" s="8"/>
      <c r="AV2489" s="8"/>
      <c r="AW2489" s="8"/>
      <c r="AX2489" s="8"/>
      <c r="AY2489" s="8"/>
      <c r="AZ2489" s="8"/>
      <c r="BA2489" s="8">
        <v>33.26</v>
      </c>
      <c r="BB2489" s="8"/>
      <c r="BC2489" s="8"/>
      <c r="BD2489" s="8"/>
      <c r="BE2489" s="8"/>
      <c r="BF2489" s="8">
        <v>101.45</v>
      </c>
      <c r="BG2489" s="8">
        <v>75.16</v>
      </c>
      <c r="BH2489" s="9">
        <f t="shared" si="342"/>
        <v>1446.32</v>
      </c>
      <c r="BI2489" s="9">
        <f t="shared" si="343"/>
        <v>4.2</v>
      </c>
      <c r="BJ2489" s="9">
        <f t="shared" si="344"/>
        <v>6.81</v>
      </c>
      <c r="BK2489" s="9">
        <f t="shared" si="345"/>
        <v>21.77</v>
      </c>
      <c r="BL2489" s="9">
        <f t="shared" si="346"/>
        <v>0</v>
      </c>
      <c r="BM2489" s="9">
        <f t="shared" si="347"/>
        <v>5.81</v>
      </c>
      <c r="BN2489" s="9">
        <f t="shared" si="348"/>
        <v>951.31</v>
      </c>
      <c r="BO2489" s="9">
        <f t="shared" si="349"/>
        <v>33.26</v>
      </c>
      <c r="BP2489" s="9">
        <f t="shared" si="350"/>
        <v>101.45</v>
      </c>
    </row>
    <row r="2490" spans="1:68">
      <c r="A2490" s="6">
        <v>44984</v>
      </c>
      <c r="B2490" s="7">
        <v>3134</v>
      </c>
      <c r="C2490" s="8">
        <v>1070.6500000000001</v>
      </c>
      <c r="D2490" s="8">
        <v>149.78</v>
      </c>
      <c r="E2490" s="8"/>
      <c r="F2490" s="8"/>
      <c r="G2490" s="8"/>
      <c r="H2490" s="8">
        <v>506.16</v>
      </c>
      <c r="I2490" s="8"/>
      <c r="J2490" s="8"/>
      <c r="K2490" s="8"/>
      <c r="L2490" s="8"/>
      <c r="M2490" s="8">
        <v>2.76</v>
      </c>
      <c r="N2490" s="8"/>
      <c r="O2490" s="8"/>
      <c r="P2490" s="8"/>
      <c r="Q2490" s="11"/>
      <c r="R2490" s="11"/>
      <c r="S2490" s="8">
        <v>6.9</v>
      </c>
      <c r="T2490" s="8"/>
      <c r="U2490" s="8">
        <v>19.510000000000002</v>
      </c>
      <c r="V2490" s="8"/>
      <c r="W2490" s="8"/>
      <c r="X2490" s="8"/>
      <c r="Y2490" s="8"/>
      <c r="Z2490" s="8"/>
      <c r="AA2490" s="8"/>
      <c r="AB2490" s="8"/>
      <c r="AC2490" s="8">
        <v>6</v>
      </c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11"/>
      <c r="AQ2490" s="8"/>
      <c r="AR2490" s="8"/>
      <c r="AS2490" s="8"/>
      <c r="AT2490" s="8">
        <v>1054.8599999999999</v>
      </c>
      <c r="AU2490" s="8"/>
      <c r="AV2490" s="8"/>
      <c r="AW2490" s="8"/>
      <c r="AX2490" s="8"/>
      <c r="AY2490" s="8">
        <f>1412*10.72/1000</f>
        <v>15.136640000000002</v>
      </c>
      <c r="AZ2490" s="8"/>
      <c r="BA2490" s="8"/>
      <c r="BB2490" s="8"/>
      <c r="BC2490" s="8"/>
      <c r="BD2490" s="8"/>
      <c r="BE2490" s="8"/>
      <c r="BF2490" s="8">
        <v>67.650000000000006</v>
      </c>
      <c r="BG2490" s="8">
        <v>79.790000000000006</v>
      </c>
      <c r="BH2490" s="9">
        <f t="shared" si="342"/>
        <v>1726.5900000000001</v>
      </c>
      <c r="BI2490" s="9">
        <f t="shared" si="343"/>
        <v>2.76</v>
      </c>
      <c r="BJ2490" s="9">
        <f t="shared" si="344"/>
        <v>6.9</v>
      </c>
      <c r="BK2490" s="9">
        <f t="shared" si="345"/>
        <v>19.510000000000002</v>
      </c>
      <c r="BL2490" s="9">
        <f t="shared" si="346"/>
        <v>0</v>
      </c>
      <c r="BM2490" s="9">
        <f t="shared" si="347"/>
        <v>6</v>
      </c>
      <c r="BN2490" s="9">
        <f t="shared" si="348"/>
        <v>1054.8599999999999</v>
      </c>
      <c r="BO2490" s="9">
        <f t="shared" si="349"/>
        <v>15.136640000000002</v>
      </c>
      <c r="BP2490" s="9">
        <f t="shared" si="350"/>
        <v>67.650000000000006</v>
      </c>
    </row>
    <row r="2491" spans="1:68">
      <c r="A2491" s="6">
        <v>44984</v>
      </c>
      <c r="B2491" s="7">
        <v>3104</v>
      </c>
      <c r="C2491" s="8">
        <v>1508.73</v>
      </c>
      <c r="D2491" s="8"/>
      <c r="E2491" s="8"/>
      <c r="F2491" s="8"/>
      <c r="G2491" s="8"/>
      <c r="H2491" s="8">
        <v>390.72</v>
      </c>
      <c r="I2491" s="8"/>
      <c r="J2491" s="8"/>
      <c r="K2491" s="8"/>
      <c r="L2491" s="8"/>
      <c r="M2491" s="8">
        <v>3.99</v>
      </c>
      <c r="N2491" s="8"/>
      <c r="O2491" s="8"/>
      <c r="P2491" s="8"/>
      <c r="Q2491" s="11"/>
      <c r="R2491" s="11"/>
      <c r="S2491" s="8">
        <v>8.1199999999999992</v>
      </c>
      <c r="T2491" s="8"/>
      <c r="U2491" s="8">
        <v>19.98</v>
      </c>
      <c r="V2491" s="8"/>
      <c r="W2491" s="8"/>
      <c r="X2491" s="8"/>
      <c r="Y2491" s="8"/>
      <c r="Z2491" s="8"/>
      <c r="AA2491" s="8"/>
      <c r="AB2491" s="8"/>
      <c r="AC2491" s="8">
        <v>6.92</v>
      </c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11"/>
      <c r="AQ2491" s="8"/>
      <c r="AR2491" s="8"/>
      <c r="AS2491" s="8"/>
      <c r="AT2491" s="8">
        <v>1106.9100000000001</v>
      </c>
      <c r="AU2491" s="8"/>
      <c r="AV2491" s="8"/>
      <c r="AW2491" s="8"/>
      <c r="AX2491" s="8"/>
      <c r="AY2491" s="8"/>
      <c r="AZ2491" s="8"/>
      <c r="BA2491" s="8">
        <v>39.590000000000003</v>
      </c>
      <c r="BB2491" s="8"/>
      <c r="BC2491" s="8"/>
      <c r="BD2491" s="8"/>
      <c r="BE2491" s="8"/>
      <c r="BF2491" s="8">
        <v>34.74</v>
      </c>
      <c r="BG2491" s="8">
        <v>35.64</v>
      </c>
      <c r="BH2491" s="9">
        <f t="shared" si="342"/>
        <v>1899.45</v>
      </c>
      <c r="BI2491" s="9">
        <f t="shared" si="343"/>
        <v>3.99</v>
      </c>
      <c r="BJ2491" s="9">
        <f t="shared" si="344"/>
        <v>8.1199999999999992</v>
      </c>
      <c r="BK2491" s="9">
        <f t="shared" si="345"/>
        <v>19.98</v>
      </c>
      <c r="BL2491" s="9">
        <f t="shared" si="346"/>
        <v>0</v>
      </c>
      <c r="BM2491" s="9">
        <f t="shared" si="347"/>
        <v>6.92</v>
      </c>
      <c r="BN2491" s="9">
        <f t="shared" si="348"/>
        <v>1106.9100000000001</v>
      </c>
      <c r="BO2491" s="9">
        <f t="shared" si="349"/>
        <v>39.590000000000003</v>
      </c>
      <c r="BP2491" s="9">
        <f t="shared" si="350"/>
        <v>34.74</v>
      </c>
    </row>
    <row r="2492" spans="1:68">
      <c r="A2492" s="6">
        <v>44984</v>
      </c>
      <c r="B2492" s="7">
        <v>3106</v>
      </c>
      <c r="C2492" s="8">
        <v>2093.0500000000002</v>
      </c>
      <c r="D2492" s="8"/>
      <c r="E2492" s="8"/>
      <c r="F2492" s="8"/>
      <c r="G2492" s="8"/>
      <c r="H2492" s="8"/>
      <c r="I2492" s="8"/>
      <c r="J2492" s="8"/>
      <c r="K2492" s="8"/>
      <c r="L2492" s="8"/>
      <c r="M2492" s="8">
        <v>5.61</v>
      </c>
      <c r="N2492" s="8"/>
      <c r="O2492" s="8"/>
      <c r="P2492" s="8"/>
      <c r="Q2492" s="11"/>
      <c r="R2492" s="11"/>
      <c r="S2492" s="8">
        <v>6.31</v>
      </c>
      <c r="T2492" s="8"/>
      <c r="U2492" s="8">
        <v>26.78</v>
      </c>
      <c r="V2492" s="8"/>
      <c r="W2492" s="8"/>
      <c r="X2492" s="8"/>
      <c r="Y2492" s="8"/>
      <c r="Z2492" s="8"/>
      <c r="AA2492" s="8"/>
      <c r="AB2492" s="8"/>
      <c r="AC2492" s="8">
        <v>5.24</v>
      </c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11"/>
      <c r="AQ2492" s="8"/>
      <c r="AR2492" s="8"/>
      <c r="AS2492" s="8"/>
      <c r="AT2492" s="8">
        <v>1192.82</v>
      </c>
      <c r="AU2492" s="8"/>
      <c r="AV2492" s="8"/>
      <c r="AW2492" s="8"/>
      <c r="AX2492" s="8">
        <v>2.62</v>
      </c>
      <c r="AY2492" s="8"/>
      <c r="AZ2492" s="8"/>
      <c r="BA2492" s="8"/>
      <c r="BB2492" s="8"/>
      <c r="BC2492" s="8"/>
      <c r="BD2492" s="8"/>
      <c r="BE2492" s="8"/>
      <c r="BF2492" s="8"/>
      <c r="BG2492" s="8">
        <v>90.35</v>
      </c>
      <c r="BH2492" s="9">
        <f t="shared" si="342"/>
        <v>2093.0500000000002</v>
      </c>
      <c r="BI2492" s="9">
        <f t="shared" si="343"/>
        <v>5.61</v>
      </c>
      <c r="BJ2492" s="9">
        <f t="shared" si="344"/>
        <v>6.31</v>
      </c>
      <c r="BK2492" s="9">
        <f t="shared" si="345"/>
        <v>26.78</v>
      </c>
      <c r="BL2492" s="9">
        <f t="shared" si="346"/>
        <v>0</v>
      </c>
      <c r="BM2492" s="9">
        <f t="shared" si="347"/>
        <v>5.24</v>
      </c>
      <c r="BN2492" s="9">
        <f t="shared" si="348"/>
        <v>1192.82</v>
      </c>
      <c r="BO2492" s="9">
        <f t="shared" si="349"/>
        <v>2.62</v>
      </c>
      <c r="BP2492" s="9">
        <f t="shared" si="350"/>
        <v>0</v>
      </c>
    </row>
    <row r="2493" spans="1:68">
      <c r="A2493" s="6">
        <v>44985</v>
      </c>
      <c r="B2493" s="7">
        <v>3005</v>
      </c>
      <c r="C2493" s="8">
        <v>439.07</v>
      </c>
      <c r="D2493" s="8">
        <v>293.01</v>
      </c>
      <c r="E2493" s="8"/>
      <c r="F2493" s="8"/>
      <c r="G2493" s="8"/>
      <c r="H2493" s="8"/>
      <c r="I2493" s="8"/>
      <c r="J2493" s="8"/>
      <c r="K2493" s="8"/>
      <c r="L2493" s="8"/>
      <c r="M2493" s="8"/>
      <c r="N2493" s="8">
        <v>0.74</v>
      </c>
      <c r="O2493" s="8"/>
      <c r="P2493" s="8"/>
      <c r="Q2493" s="11"/>
      <c r="R2493" s="11"/>
      <c r="S2493" s="8">
        <v>2.56</v>
      </c>
      <c r="T2493" s="8"/>
      <c r="U2493" s="8"/>
      <c r="V2493" s="8"/>
      <c r="W2493" s="8">
        <v>8.07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11"/>
      <c r="AQ2493" s="8"/>
      <c r="AR2493" s="8"/>
      <c r="AS2493" s="8"/>
      <c r="AT2493" s="8">
        <v>358.8</v>
      </c>
      <c r="AU2493" s="8"/>
      <c r="AV2493" s="8"/>
      <c r="AW2493" s="8">
        <v>8.1300000000000008</v>
      </c>
      <c r="AX2493" s="8"/>
      <c r="AY2493" s="8"/>
      <c r="AZ2493" s="8"/>
      <c r="BA2493" s="8"/>
      <c r="BB2493" s="8"/>
      <c r="BC2493" s="8"/>
      <c r="BD2493" s="8"/>
      <c r="BE2493" s="8"/>
      <c r="BF2493" s="8"/>
      <c r="BG2493" s="8">
        <v>26.68</v>
      </c>
      <c r="BH2493" s="9">
        <f t="shared" si="342"/>
        <v>732.07999999999993</v>
      </c>
      <c r="BI2493" s="9">
        <f t="shared" si="343"/>
        <v>0.74</v>
      </c>
      <c r="BJ2493" s="9">
        <f t="shared" si="344"/>
        <v>2.56</v>
      </c>
      <c r="BK2493" s="9">
        <f t="shared" si="345"/>
        <v>8.07</v>
      </c>
      <c r="BL2493" s="9">
        <f t="shared" si="346"/>
        <v>0</v>
      </c>
      <c r="BM2493" s="9">
        <f t="shared" si="347"/>
        <v>0</v>
      </c>
      <c r="BN2493" s="9">
        <f t="shared" si="348"/>
        <v>358.8</v>
      </c>
      <c r="BO2493" s="9">
        <f t="shared" si="349"/>
        <v>8.1300000000000008</v>
      </c>
      <c r="BP2493" s="9">
        <f t="shared" si="350"/>
        <v>0</v>
      </c>
    </row>
    <row r="2494" spans="1:68">
      <c r="A2494" s="6">
        <v>44985</v>
      </c>
      <c r="B2494" s="7">
        <v>3022</v>
      </c>
      <c r="C2494" s="8"/>
      <c r="D2494" s="8">
        <v>458.08</v>
      </c>
      <c r="E2494" s="8"/>
      <c r="F2494" s="8"/>
      <c r="G2494" s="8"/>
      <c r="H2494" s="8"/>
      <c r="I2494" s="8">
        <v>374.44</v>
      </c>
      <c r="J2494" s="8"/>
      <c r="K2494" s="8"/>
      <c r="L2494" s="8"/>
      <c r="M2494" s="8"/>
      <c r="N2494" s="8">
        <v>4.17</v>
      </c>
      <c r="O2494" s="8"/>
      <c r="P2494" s="8"/>
      <c r="Q2494" s="11"/>
      <c r="R2494" s="11"/>
      <c r="S2494" s="8">
        <v>1.5</v>
      </c>
      <c r="T2494" s="8"/>
      <c r="U2494" s="8"/>
      <c r="V2494" s="8"/>
      <c r="W2494" s="8">
        <v>8.34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>
        <v>10.76</v>
      </c>
      <c r="AN2494" s="8"/>
      <c r="AO2494" s="8"/>
      <c r="AP2494" s="11"/>
      <c r="AQ2494" s="8"/>
      <c r="AR2494" s="8"/>
      <c r="AS2494" s="8">
        <f>3885*7.57/1000</f>
        <v>29.40945</v>
      </c>
      <c r="AT2494" s="8">
        <v>388.99</v>
      </c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>
        <v>30.12</v>
      </c>
      <c r="BH2494" s="9">
        <f t="shared" si="342"/>
        <v>832.52</v>
      </c>
      <c r="BI2494" s="9">
        <f t="shared" si="343"/>
        <v>4.17</v>
      </c>
      <c r="BJ2494" s="9">
        <f t="shared" si="344"/>
        <v>1.5</v>
      </c>
      <c r="BK2494" s="9">
        <f t="shared" si="345"/>
        <v>8.34</v>
      </c>
      <c r="BL2494" s="9">
        <f t="shared" si="346"/>
        <v>0</v>
      </c>
      <c r="BM2494" s="9">
        <f t="shared" si="347"/>
        <v>40.169449999999998</v>
      </c>
      <c r="BN2494" s="9">
        <f t="shared" si="348"/>
        <v>388.99</v>
      </c>
      <c r="BO2494" s="9">
        <f t="shared" si="349"/>
        <v>0</v>
      </c>
      <c r="BP2494" s="9">
        <f t="shared" si="350"/>
        <v>0</v>
      </c>
    </row>
    <row r="2495" spans="1:68">
      <c r="A2495" s="6">
        <v>44985</v>
      </c>
      <c r="B2495" s="7">
        <v>3083</v>
      </c>
      <c r="C2495" s="8"/>
      <c r="D2495" s="8">
        <v>718.91</v>
      </c>
      <c r="E2495" s="8"/>
      <c r="F2495" s="8"/>
      <c r="G2495" s="8"/>
      <c r="H2495" s="8"/>
      <c r="I2495" s="8">
        <v>1679.51</v>
      </c>
      <c r="J2495" s="8"/>
      <c r="K2495" s="8"/>
      <c r="L2495" s="8"/>
      <c r="M2495" s="8"/>
      <c r="N2495" s="8">
        <v>15.59</v>
      </c>
      <c r="O2495" s="8"/>
      <c r="P2495" s="8"/>
      <c r="Q2495" s="11"/>
      <c r="R2495" s="11"/>
      <c r="S2495" s="8">
        <v>1.68</v>
      </c>
      <c r="T2495" s="8"/>
      <c r="U2495" s="8"/>
      <c r="V2495" s="8"/>
      <c r="W2495" s="8">
        <v>19.21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>
        <v>9.5500000000000007</v>
      </c>
      <c r="AN2495" s="8">
        <f>1904*17.77/1000</f>
        <v>33.83408</v>
      </c>
      <c r="AO2495" s="8"/>
      <c r="AP2495" s="11"/>
      <c r="AQ2495" s="8"/>
      <c r="AR2495" s="8">
        <f>3438*17.77/1000</f>
        <v>61.093260000000001</v>
      </c>
      <c r="AS2495" s="8"/>
      <c r="AT2495" s="8">
        <v>1127.6099999999999</v>
      </c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>
        <v>89.7</v>
      </c>
      <c r="BH2495" s="9">
        <f t="shared" si="342"/>
        <v>2398.42</v>
      </c>
      <c r="BI2495" s="9">
        <f t="shared" si="343"/>
        <v>15.59</v>
      </c>
      <c r="BJ2495" s="9">
        <f t="shared" si="344"/>
        <v>1.68</v>
      </c>
      <c r="BK2495" s="9">
        <f t="shared" si="345"/>
        <v>19.21</v>
      </c>
      <c r="BL2495" s="9">
        <f t="shared" si="346"/>
        <v>0</v>
      </c>
      <c r="BM2495" s="9">
        <f t="shared" si="347"/>
        <v>104.47734</v>
      </c>
      <c r="BN2495" s="9">
        <f t="shared" si="348"/>
        <v>1127.6099999999999</v>
      </c>
      <c r="BO2495" s="9">
        <f t="shared" si="349"/>
        <v>0</v>
      </c>
      <c r="BP2495" s="9">
        <f t="shared" si="350"/>
        <v>0</v>
      </c>
    </row>
    <row r="2496" spans="1:68">
      <c r="A2496" s="6">
        <v>44985</v>
      </c>
      <c r="B2496" s="7">
        <v>3016</v>
      </c>
      <c r="C2496" s="8"/>
      <c r="D2496" s="8">
        <v>1555.29</v>
      </c>
      <c r="E2496" s="8"/>
      <c r="F2496" s="8"/>
      <c r="G2496" s="8"/>
      <c r="H2496" s="8"/>
      <c r="I2496" s="8">
        <v>1437.5</v>
      </c>
      <c r="J2496" s="8"/>
      <c r="K2496" s="8"/>
      <c r="L2496" s="8"/>
      <c r="M2496" s="8"/>
      <c r="N2496" s="8">
        <v>18.57</v>
      </c>
      <c r="O2496" s="8"/>
      <c r="P2496" s="8"/>
      <c r="Q2496" s="11"/>
      <c r="R2496" s="11"/>
      <c r="S2496" s="8">
        <v>2.08</v>
      </c>
      <c r="T2496" s="8"/>
      <c r="U2496" s="8"/>
      <c r="V2496" s="8"/>
      <c r="W2496" s="8">
        <v>29.95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>
        <v>11.91</v>
      </c>
      <c r="AN2496" s="8">
        <f>2043*17.62/1000</f>
        <v>35.997660000000003</v>
      </c>
      <c r="AO2496" s="8"/>
      <c r="AP2496" s="11"/>
      <c r="AQ2496" s="8"/>
      <c r="AR2496" s="8">
        <f>4271*17.62/1000</f>
        <v>75.255020000000002</v>
      </c>
      <c r="AS2496" s="8"/>
      <c r="AT2496" s="8">
        <v>1111.72</v>
      </c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>
        <v>81.290000000000006</v>
      </c>
      <c r="BH2496" s="9">
        <f t="shared" si="342"/>
        <v>2992.79</v>
      </c>
      <c r="BI2496" s="9">
        <f t="shared" si="343"/>
        <v>18.57</v>
      </c>
      <c r="BJ2496" s="9">
        <f t="shared" si="344"/>
        <v>2.08</v>
      </c>
      <c r="BK2496" s="9">
        <f t="shared" si="345"/>
        <v>29.95</v>
      </c>
      <c r="BL2496" s="9">
        <f t="shared" si="346"/>
        <v>0</v>
      </c>
      <c r="BM2496" s="9">
        <f t="shared" si="347"/>
        <v>123.16268000000001</v>
      </c>
      <c r="BN2496" s="9">
        <f t="shared" si="348"/>
        <v>1111.72</v>
      </c>
      <c r="BO2496" s="9">
        <f t="shared" si="349"/>
        <v>0</v>
      </c>
      <c r="BP2496" s="9">
        <f t="shared" si="350"/>
        <v>0</v>
      </c>
    </row>
    <row r="2497" spans="1:68">
      <c r="A2497" s="6">
        <v>44985</v>
      </c>
      <c r="B2497" s="7">
        <v>3139</v>
      </c>
      <c r="C2497" s="8">
        <v>1576.3</v>
      </c>
      <c r="D2497" s="8"/>
      <c r="E2497" s="8"/>
      <c r="F2497" s="8"/>
      <c r="G2497" s="8"/>
      <c r="H2497" s="8">
        <v>655.38</v>
      </c>
      <c r="I2497" s="8"/>
      <c r="J2497" s="8"/>
      <c r="K2497" s="8"/>
      <c r="L2497" s="8"/>
      <c r="M2497" s="8">
        <v>3.67</v>
      </c>
      <c r="N2497" s="8"/>
      <c r="O2497" s="8"/>
      <c r="P2497" s="8"/>
      <c r="Q2497" s="11"/>
      <c r="R2497" s="11"/>
      <c r="S2497" s="8">
        <v>6.98</v>
      </c>
      <c r="T2497" s="8"/>
      <c r="U2497" s="8">
        <v>23.27</v>
      </c>
      <c r="V2497" s="8"/>
      <c r="W2497" s="8"/>
      <c r="X2497" s="8"/>
      <c r="Y2497" s="8"/>
      <c r="Z2497" s="8"/>
      <c r="AA2497" s="8"/>
      <c r="AB2497" s="8"/>
      <c r="AC2497" s="8">
        <v>7.76</v>
      </c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11"/>
      <c r="AQ2497" s="8"/>
      <c r="AR2497" s="8"/>
      <c r="AS2497" s="8"/>
      <c r="AT2497" s="8">
        <v>1147.19</v>
      </c>
      <c r="AU2497" s="8"/>
      <c r="AV2497" s="8">
        <v>38.799999999999997</v>
      </c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>
        <v>83.42</v>
      </c>
      <c r="BH2497" s="9">
        <f t="shared" si="342"/>
        <v>2231.6799999999998</v>
      </c>
      <c r="BI2497" s="9">
        <f t="shared" si="343"/>
        <v>3.67</v>
      </c>
      <c r="BJ2497" s="9">
        <f t="shared" si="344"/>
        <v>6.98</v>
      </c>
      <c r="BK2497" s="9">
        <f t="shared" si="345"/>
        <v>23.27</v>
      </c>
      <c r="BL2497" s="9">
        <f t="shared" si="346"/>
        <v>0</v>
      </c>
      <c r="BM2497" s="9">
        <f t="shared" si="347"/>
        <v>7.76</v>
      </c>
      <c r="BN2497" s="9">
        <f t="shared" si="348"/>
        <v>1147.19</v>
      </c>
      <c r="BO2497" s="9">
        <f t="shared" si="349"/>
        <v>38.799999999999997</v>
      </c>
      <c r="BP2497" s="9">
        <f t="shared" si="350"/>
        <v>0</v>
      </c>
    </row>
    <row r="2498" spans="1:68">
      <c r="A2498" s="6">
        <v>44986</v>
      </c>
      <c r="B2498" s="7">
        <v>3100</v>
      </c>
      <c r="C2498" s="8">
        <v>624.76</v>
      </c>
      <c r="D2498" s="8"/>
      <c r="E2498" s="8"/>
      <c r="F2498" s="8"/>
      <c r="G2498" s="8"/>
      <c r="H2498" s="8"/>
      <c r="I2498" s="8"/>
      <c r="J2498" s="8"/>
      <c r="K2498" s="8"/>
      <c r="L2498" s="8"/>
      <c r="M2498" s="8">
        <v>1.57</v>
      </c>
      <c r="N2498" s="8"/>
      <c r="O2498" s="8"/>
      <c r="P2498" s="8"/>
      <c r="Q2498" s="11"/>
      <c r="R2498" s="11"/>
      <c r="S2498" s="8">
        <v>3.57</v>
      </c>
      <c r="T2498" s="8"/>
      <c r="U2498" s="8">
        <v>10.029999999999999</v>
      </c>
      <c r="V2498" s="8"/>
      <c r="W2498" s="8"/>
      <c r="X2498" s="8"/>
      <c r="Y2498" s="8"/>
      <c r="Z2498" s="8"/>
      <c r="AA2498" s="8"/>
      <c r="AB2498" s="8"/>
      <c r="AC2498" s="8">
        <v>2.5099999999999998</v>
      </c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11"/>
      <c r="AQ2498" s="8"/>
      <c r="AR2498" s="8"/>
      <c r="AS2498" s="8"/>
      <c r="AT2498" s="8">
        <v>422.89</v>
      </c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>
        <v>81.48</v>
      </c>
      <c r="BG2498" s="8">
        <v>32.229999999999997</v>
      </c>
      <c r="BH2498" s="9">
        <f t="shared" si="342"/>
        <v>624.76</v>
      </c>
      <c r="BI2498" s="9">
        <f t="shared" si="343"/>
        <v>1.57</v>
      </c>
      <c r="BJ2498" s="9">
        <f t="shared" si="344"/>
        <v>3.57</v>
      </c>
      <c r="BK2498" s="9">
        <f t="shared" si="345"/>
        <v>10.029999999999999</v>
      </c>
      <c r="BL2498" s="9">
        <f t="shared" si="346"/>
        <v>0</v>
      </c>
      <c r="BM2498" s="9">
        <f t="shared" si="347"/>
        <v>2.5099999999999998</v>
      </c>
      <c r="BN2498" s="9">
        <f t="shared" si="348"/>
        <v>422.89</v>
      </c>
      <c r="BO2498" s="9">
        <f t="shared" si="349"/>
        <v>0</v>
      </c>
      <c r="BP2498" s="9">
        <f t="shared" si="350"/>
        <v>81.48</v>
      </c>
    </row>
    <row r="2499" spans="1:68">
      <c r="A2499" s="6">
        <v>44986</v>
      </c>
      <c r="B2499" s="7">
        <v>3117</v>
      </c>
      <c r="C2499" s="8">
        <v>734.41</v>
      </c>
      <c r="D2499" s="8"/>
      <c r="E2499" s="8"/>
      <c r="F2499" s="8"/>
      <c r="G2499" s="8"/>
      <c r="H2499" s="8"/>
      <c r="I2499" s="8"/>
      <c r="J2499" s="8"/>
      <c r="K2499" s="8"/>
      <c r="L2499" s="8"/>
      <c r="M2499" s="8">
        <v>2.14</v>
      </c>
      <c r="N2499" s="8"/>
      <c r="O2499" s="8"/>
      <c r="P2499" s="8"/>
      <c r="Q2499" s="11"/>
      <c r="R2499" s="11"/>
      <c r="S2499" s="8">
        <v>2.94</v>
      </c>
      <c r="T2499" s="8"/>
      <c r="U2499" s="8">
        <v>7.35</v>
      </c>
      <c r="V2499" s="8"/>
      <c r="W2499" s="8"/>
      <c r="X2499" s="8"/>
      <c r="Y2499" s="8"/>
      <c r="Z2499" s="8"/>
      <c r="AA2499" s="8"/>
      <c r="AB2499" s="8"/>
      <c r="AC2499" s="8">
        <v>2.94</v>
      </c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11"/>
      <c r="AQ2499" s="8"/>
      <c r="AR2499" s="8"/>
      <c r="AS2499" s="8"/>
      <c r="AT2499" s="8">
        <v>461.95</v>
      </c>
      <c r="AU2499" s="8"/>
      <c r="AV2499" s="8">
        <v>18.36</v>
      </c>
      <c r="AW2499" s="8"/>
      <c r="AX2499" s="8"/>
      <c r="AY2499" s="8"/>
      <c r="AZ2499" s="8"/>
      <c r="BA2499" s="8"/>
      <c r="BB2499" s="8"/>
      <c r="BC2499" s="8"/>
      <c r="BD2499" s="8"/>
      <c r="BE2499" s="8"/>
      <c r="BF2499" s="8">
        <v>36.75</v>
      </c>
      <c r="BG2499" s="8">
        <v>35.32</v>
      </c>
      <c r="BH2499" s="9">
        <f t="shared" si="342"/>
        <v>734.41</v>
      </c>
      <c r="BI2499" s="9">
        <f t="shared" si="343"/>
        <v>2.14</v>
      </c>
      <c r="BJ2499" s="9">
        <f t="shared" si="344"/>
        <v>2.94</v>
      </c>
      <c r="BK2499" s="9">
        <f t="shared" si="345"/>
        <v>7.35</v>
      </c>
      <c r="BL2499" s="9">
        <f t="shared" si="346"/>
        <v>0</v>
      </c>
      <c r="BM2499" s="9">
        <f t="shared" si="347"/>
        <v>2.94</v>
      </c>
      <c r="BN2499" s="9">
        <f t="shared" si="348"/>
        <v>461.95</v>
      </c>
      <c r="BO2499" s="9">
        <f t="shared" si="349"/>
        <v>18.36</v>
      </c>
      <c r="BP2499" s="9">
        <f t="shared" si="350"/>
        <v>36.75</v>
      </c>
    </row>
    <row r="2500" spans="1:68">
      <c r="A2500" s="6">
        <v>44986</v>
      </c>
      <c r="B2500" s="7">
        <v>8275</v>
      </c>
      <c r="C2500" s="8">
        <v>621.89</v>
      </c>
      <c r="D2500" s="8">
        <v>110.65</v>
      </c>
      <c r="E2500" s="8"/>
      <c r="F2500" s="8"/>
      <c r="G2500" s="8"/>
      <c r="H2500" s="8"/>
      <c r="I2500" s="8"/>
      <c r="J2500" s="8"/>
      <c r="K2500" s="8"/>
      <c r="L2500" s="8"/>
      <c r="M2500" s="8">
        <v>2.39</v>
      </c>
      <c r="N2500" s="8"/>
      <c r="O2500" s="8"/>
      <c r="P2500" s="8"/>
      <c r="Q2500" s="11"/>
      <c r="R2500" s="11"/>
      <c r="S2500" s="8">
        <v>3.43</v>
      </c>
      <c r="T2500" s="8"/>
      <c r="U2500" s="8">
        <v>11.05</v>
      </c>
      <c r="V2500" s="8"/>
      <c r="W2500" s="8"/>
      <c r="X2500" s="8"/>
      <c r="Y2500" s="8"/>
      <c r="Z2500" s="8"/>
      <c r="AA2500" s="8"/>
      <c r="AB2500" s="8"/>
      <c r="AC2500" s="8">
        <v>2.93</v>
      </c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11"/>
      <c r="AQ2500" s="8"/>
      <c r="AR2500" s="8"/>
      <c r="AS2500" s="8"/>
      <c r="AT2500" s="8">
        <v>480.69</v>
      </c>
      <c r="AU2500" s="8"/>
      <c r="AV2500" s="8"/>
      <c r="AW2500" s="8">
        <v>23.66</v>
      </c>
      <c r="AX2500" s="8"/>
      <c r="AY2500" s="8"/>
      <c r="AZ2500" s="8"/>
      <c r="BA2500" s="8"/>
      <c r="BB2500" s="8"/>
      <c r="BC2500" s="8"/>
      <c r="BD2500" s="8"/>
      <c r="BE2500" s="8"/>
      <c r="BF2500" s="8">
        <v>51.24</v>
      </c>
      <c r="BG2500" s="8">
        <v>38.090000000000003</v>
      </c>
      <c r="BH2500" s="9">
        <f t="shared" ref="BH2500:BH2563" si="351">SUM(C2500:L2500)</f>
        <v>732.54</v>
      </c>
      <c r="BI2500" s="9">
        <f t="shared" ref="BI2500:BI2563" si="352">SUM(M2500:R2500)</f>
        <v>2.39</v>
      </c>
      <c r="BJ2500" s="9">
        <f t="shared" ref="BJ2500:BJ2563" si="353">SUM(S2500)</f>
        <v>3.43</v>
      </c>
      <c r="BK2500" s="9">
        <f t="shared" ref="BK2500:BK2563" si="354">SUM(T2500:Y2500)</f>
        <v>11.05</v>
      </c>
      <c r="BL2500" s="9">
        <f t="shared" ref="BL2500:BL2563" si="355">SUM(Z2500:AA2500)</f>
        <v>0</v>
      </c>
      <c r="BM2500" s="9">
        <f t="shared" ref="BM2500:BM2563" si="356">SUM(AB2500:AS2500)</f>
        <v>2.93</v>
      </c>
      <c r="BN2500" s="9">
        <f t="shared" ref="BN2500:BN2563" si="357">SUM(AT2500:AU2500)</f>
        <v>480.69</v>
      </c>
      <c r="BO2500" s="9">
        <f t="shared" ref="BO2500:BO2563" si="358">SUM(AV2500:BE2500)</f>
        <v>23.66</v>
      </c>
      <c r="BP2500" s="9">
        <f t="shared" ref="BP2500:BP2563" si="359">SUM(BF2500)</f>
        <v>51.24</v>
      </c>
    </row>
    <row r="2501" spans="1:68">
      <c r="A2501" s="6">
        <v>44986</v>
      </c>
      <c r="B2501" s="7">
        <v>3601</v>
      </c>
      <c r="C2501" s="8">
        <v>556.52</v>
      </c>
      <c r="D2501" s="8"/>
      <c r="E2501" s="8"/>
      <c r="F2501" s="8"/>
      <c r="G2501" s="8">
        <v>833.65</v>
      </c>
      <c r="H2501" s="8"/>
      <c r="I2501" s="8"/>
      <c r="J2501" s="8"/>
      <c r="K2501" s="8"/>
      <c r="L2501" s="8"/>
      <c r="M2501" s="8">
        <v>1.68</v>
      </c>
      <c r="N2501" s="8"/>
      <c r="O2501" s="8"/>
      <c r="P2501" s="8"/>
      <c r="Q2501" s="11"/>
      <c r="R2501" s="11"/>
      <c r="S2501" s="8">
        <v>6.67</v>
      </c>
      <c r="T2501" s="8"/>
      <c r="U2501" s="8">
        <v>8.34</v>
      </c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11"/>
      <c r="AQ2501" s="8"/>
      <c r="AR2501" s="8"/>
      <c r="AS2501" s="8"/>
      <c r="AT2501" s="8">
        <v>682.25</v>
      </c>
      <c r="AU2501" s="8"/>
      <c r="AV2501" s="8"/>
      <c r="AW2501" s="8">
        <v>42.29</v>
      </c>
      <c r="AX2501" s="8"/>
      <c r="AY2501" s="8"/>
      <c r="AZ2501" s="8"/>
      <c r="BA2501" s="8"/>
      <c r="BB2501" s="8"/>
      <c r="BC2501" s="8"/>
      <c r="BD2501" s="8"/>
      <c r="BE2501" s="8"/>
      <c r="BF2501" s="8">
        <v>77.87</v>
      </c>
      <c r="BG2501" s="8">
        <v>49.53</v>
      </c>
      <c r="BH2501" s="9">
        <f t="shared" si="351"/>
        <v>1390.17</v>
      </c>
      <c r="BI2501" s="9">
        <f t="shared" si="352"/>
        <v>1.68</v>
      </c>
      <c r="BJ2501" s="9">
        <f t="shared" si="353"/>
        <v>6.67</v>
      </c>
      <c r="BK2501" s="9">
        <f t="shared" si="354"/>
        <v>8.34</v>
      </c>
      <c r="BL2501" s="9">
        <f t="shared" si="355"/>
        <v>0</v>
      </c>
      <c r="BM2501" s="9">
        <f t="shared" si="356"/>
        <v>0</v>
      </c>
      <c r="BN2501" s="9">
        <f t="shared" si="357"/>
        <v>682.25</v>
      </c>
      <c r="BO2501" s="9">
        <f t="shared" si="358"/>
        <v>42.29</v>
      </c>
      <c r="BP2501" s="9">
        <f t="shared" si="359"/>
        <v>77.87</v>
      </c>
    </row>
    <row r="2502" spans="1:68">
      <c r="A2502" s="6">
        <v>44986</v>
      </c>
      <c r="B2502" s="7">
        <v>3602</v>
      </c>
      <c r="C2502" s="8">
        <v>561.91999999999996</v>
      </c>
      <c r="D2502" s="8"/>
      <c r="E2502" s="8"/>
      <c r="F2502" s="8"/>
      <c r="G2502" s="8">
        <v>842.42</v>
      </c>
      <c r="H2502" s="8"/>
      <c r="I2502" s="8"/>
      <c r="J2502" s="8"/>
      <c r="K2502" s="8"/>
      <c r="L2502" s="8"/>
      <c r="M2502" s="8">
        <v>1.46</v>
      </c>
      <c r="N2502" s="8"/>
      <c r="O2502" s="8"/>
      <c r="P2502" s="8"/>
      <c r="Q2502" s="11"/>
      <c r="R2502" s="11"/>
      <c r="S2502" s="8">
        <v>6.74</v>
      </c>
      <c r="T2502" s="8"/>
      <c r="U2502" s="8">
        <v>11.23</v>
      </c>
      <c r="V2502" s="8">
        <f>859*16.05/1000</f>
        <v>13.786950000000001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11"/>
      <c r="AQ2502" s="8"/>
      <c r="AR2502" s="8"/>
      <c r="AS2502" s="8"/>
      <c r="AT2502" s="8">
        <v>567.24</v>
      </c>
      <c r="AU2502" s="8"/>
      <c r="AV2502" s="8"/>
      <c r="AW2502" s="8">
        <v>36.31</v>
      </c>
      <c r="AX2502" s="8"/>
      <c r="AY2502" s="8"/>
      <c r="AZ2502" s="8"/>
      <c r="BA2502" s="8"/>
      <c r="BB2502" s="8"/>
      <c r="BC2502" s="8"/>
      <c r="BD2502" s="8"/>
      <c r="BE2502" s="8"/>
      <c r="BF2502" s="8">
        <v>45.01</v>
      </c>
      <c r="BG2502" s="8">
        <v>42.22</v>
      </c>
      <c r="BH2502" s="9">
        <f t="shared" si="351"/>
        <v>1404.34</v>
      </c>
      <c r="BI2502" s="9">
        <f t="shared" si="352"/>
        <v>1.46</v>
      </c>
      <c r="BJ2502" s="9">
        <f t="shared" si="353"/>
        <v>6.74</v>
      </c>
      <c r="BK2502" s="9">
        <f t="shared" si="354"/>
        <v>25.016950000000001</v>
      </c>
      <c r="BL2502" s="9">
        <f t="shared" si="355"/>
        <v>0</v>
      </c>
      <c r="BM2502" s="9">
        <f t="shared" si="356"/>
        <v>0</v>
      </c>
      <c r="BN2502" s="9">
        <f t="shared" si="357"/>
        <v>567.24</v>
      </c>
      <c r="BO2502" s="9">
        <f t="shared" si="358"/>
        <v>36.31</v>
      </c>
      <c r="BP2502" s="9">
        <f t="shared" si="359"/>
        <v>45.01</v>
      </c>
    </row>
    <row r="2503" spans="1:68">
      <c r="A2503" s="6">
        <v>44986</v>
      </c>
      <c r="B2503" s="7">
        <v>3106</v>
      </c>
      <c r="C2503" s="8">
        <v>4166.87</v>
      </c>
      <c r="D2503" s="8"/>
      <c r="E2503" s="8"/>
      <c r="F2503" s="8"/>
      <c r="G2503" s="8"/>
      <c r="H2503" s="8"/>
      <c r="I2503" s="8"/>
      <c r="J2503" s="8"/>
      <c r="K2503" s="8"/>
      <c r="L2503" s="8"/>
      <c r="M2503" s="8">
        <v>10.85</v>
      </c>
      <c r="N2503" s="8"/>
      <c r="O2503" s="8"/>
      <c r="P2503" s="8"/>
      <c r="Q2503" s="11"/>
      <c r="R2503" s="11"/>
      <c r="S2503" s="8">
        <v>12.52</v>
      </c>
      <c r="T2503" s="8"/>
      <c r="U2503" s="8">
        <v>53.05</v>
      </c>
      <c r="V2503" s="8"/>
      <c r="W2503" s="8"/>
      <c r="X2503" s="8"/>
      <c r="Y2503" s="8"/>
      <c r="Z2503" s="8"/>
      <c r="AA2503" s="8"/>
      <c r="AB2503" s="8"/>
      <c r="AC2503" s="8">
        <v>10.43</v>
      </c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11"/>
      <c r="AQ2503" s="8"/>
      <c r="AR2503" s="8"/>
      <c r="AS2503" s="8"/>
      <c r="AT2503" s="8">
        <v>2376.67</v>
      </c>
      <c r="AU2503" s="8"/>
      <c r="AV2503" s="8"/>
      <c r="AW2503" s="8"/>
      <c r="AX2503" s="8">
        <v>5.22</v>
      </c>
      <c r="AY2503" s="8"/>
      <c r="AZ2503" s="8"/>
      <c r="BA2503" s="8"/>
      <c r="BB2503" s="8"/>
      <c r="BC2503" s="8"/>
      <c r="BD2503" s="8"/>
      <c r="BE2503" s="8"/>
      <c r="BF2503" s="8"/>
      <c r="BG2503" s="8">
        <v>179.32</v>
      </c>
      <c r="BH2503" s="9">
        <f t="shared" si="351"/>
        <v>4166.87</v>
      </c>
      <c r="BI2503" s="9">
        <f t="shared" si="352"/>
        <v>10.85</v>
      </c>
      <c r="BJ2503" s="9">
        <f t="shared" si="353"/>
        <v>12.52</v>
      </c>
      <c r="BK2503" s="9">
        <f t="shared" si="354"/>
        <v>53.05</v>
      </c>
      <c r="BL2503" s="9">
        <f t="shared" si="355"/>
        <v>0</v>
      </c>
      <c r="BM2503" s="9">
        <f t="shared" si="356"/>
        <v>10.43</v>
      </c>
      <c r="BN2503" s="9">
        <f t="shared" si="357"/>
        <v>2376.67</v>
      </c>
      <c r="BO2503" s="9">
        <f t="shared" si="358"/>
        <v>5.22</v>
      </c>
      <c r="BP2503" s="9">
        <f t="shared" si="359"/>
        <v>0</v>
      </c>
    </row>
    <row r="2504" spans="1:68">
      <c r="A2504" s="6">
        <v>44986</v>
      </c>
      <c r="B2504" s="7">
        <v>3405</v>
      </c>
      <c r="C2504" s="8">
        <v>658.91</v>
      </c>
      <c r="D2504" s="8">
        <v>164.94</v>
      </c>
      <c r="E2504" s="8"/>
      <c r="F2504" s="8"/>
      <c r="G2504" s="8"/>
      <c r="H2504" s="8"/>
      <c r="I2504" s="8"/>
      <c r="J2504" s="8"/>
      <c r="K2504" s="8"/>
      <c r="L2504" s="8"/>
      <c r="M2504" s="8">
        <v>1.74</v>
      </c>
      <c r="N2504" s="8"/>
      <c r="O2504" s="8"/>
      <c r="P2504" s="8"/>
      <c r="Q2504" s="11"/>
      <c r="R2504" s="11"/>
      <c r="S2504" s="8">
        <v>1.9</v>
      </c>
      <c r="T2504" s="8"/>
      <c r="U2504" s="8"/>
      <c r="V2504" s="8"/>
      <c r="W2504" s="8"/>
      <c r="X2504" s="8">
        <f>1193*8.27/1000</f>
        <v>9.866109999999999</v>
      </c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11"/>
      <c r="AQ2504" s="8"/>
      <c r="AR2504" s="8"/>
      <c r="AS2504" s="8"/>
      <c r="AT2504" s="8">
        <v>404.65</v>
      </c>
      <c r="AU2504" s="8"/>
      <c r="AV2504" s="8"/>
      <c r="AW2504" s="8"/>
      <c r="AX2504" s="8"/>
      <c r="AY2504" s="8"/>
      <c r="AZ2504" s="8"/>
      <c r="BA2504" s="8">
        <v>3.72</v>
      </c>
      <c r="BB2504" s="8"/>
      <c r="BC2504" s="8"/>
      <c r="BD2504" s="8"/>
      <c r="BE2504" s="8"/>
      <c r="BF2504" s="8"/>
      <c r="BG2504" s="8">
        <v>27.31</v>
      </c>
      <c r="BH2504" s="9">
        <f t="shared" si="351"/>
        <v>823.84999999999991</v>
      </c>
      <c r="BI2504" s="9">
        <f t="shared" si="352"/>
        <v>1.74</v>
      </c>
      <c r="BJ2504" s="9">
        <f t="shared" si="353"/>
        <v>1.9</v>
      </c>
      <c r="BK2504" s="9">
        <f t="shared" si="354"/>
        <v>9.866109999999999</v>
      </c>
      <c r="BL2504" s="9">
        <f t="shared" si="355"/>
        <v>0</v>
      </c>
      <c r="BM2504" s="9">
        <f t="shared" si="356"/>
        <v>0</v>
      </c>
      <c r="BN2504" s="9">
        <f t="shared" si="357"/>
        <v>404.65</v>
      </c>
      <c r="BO2504" s="9">
        <f t="shared" si="358"/>
        <v>3.72</v>
      </c>
      <c r="BP2504" s="9">
        <f t="shared" si="359"/>
        <v>0</v>
      </c>
    </row>
    <row r="2505" spans="1:68">
      <c r="A2505" s="6">
        <v>44986</v>
      </c>
      <c r="B2505" s="7">
        <v>3200</v>
      </c>
      <c r="C2505" s="8">
        <v>2294.0700000000002</v>
      </c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>
        <v>5.75</v>
      </c>
      <c r="P2505" s="8"/>
      <c r="Q2505" s="11"/>
      <c r="R2505" s="11"/>
      <c r="S2505" s="8">
        <v>8.9499999999999993</v>
      </c>
      <c r="T2505" s="8"/>
      <c r="U2505" s="8">
        <v>34.42</v>
      </c>
      <c r="V2505" s="8"/>
      <c r="W2505" s="8"/>
      <c r="X2505" s="8"/>
      <c r="Y2505" s="8"/>
      <c r="Z2505" s="8">
        <v>482.26</v>
      </c>
      <c r="AA2505" s="8"/>
      <c r="AB2505" s="8"/>
      <c r="AC2505" s="8"/>
      <c r="AD2505" s="8"/>
      <c r="AE2505" s="8"/>
      <c r="AF2505" s="8">
        <v>114.49</v>
      </c>
      <c r="AG2505" s="8"/>
      <c r="AH2505" s="8"/>
      <c r="AI2505" s="8"/>
      <c r="AJ2505" s="8"/>
      <c r="AK2505" s="8"/>
      <c r="AL2505" s="8"/>
      <c r="AM2505" s="8"/>
      <c r="AN2505" s="8"/>
      <c r="AO2505" s="8"/>
      <c r="AP2505" s="11"/>
      <c r="AQ2505" s="8">
        <f>1524*22.95/1000</f>
        <v>34.975799999999992</v>
      </c>
      <c r="AR2505" s="8"/>
      <c r="AS2505" s="8"/>
      <c r="AT2505" s="8">
        <v>1571.64</v>
      </c>
      <c r="AU2505" s="8"/>
      <c r="AV2505" s="8"/>
      <c r="AW2505" s="8">
        <v>6.71</v>
      </c>
      <c r="AX2505" s="8"/>
      <c r="AY2505" s="8"/>
      <c r="AZ2505" s="8"/>
      <c r="BA2505" s="8"/>
      <c r="BB2505" s="8"/>
      <c r="BC2505" s="8"/>
      <c r="BD2505" s="8"/>
      <c r="BE2505" s="8"/>
      <c r="BF2505" s="8">
        <v>110.19</v>
      </c>
      <c r="BG2505" s="8">
        <v>113.76</v>
      </c>
      <c r="BH2505" s="9">
        <f t="shared" si="351"/>
        <v>2294.0700000000002</v>
      </c>
      <c r="BI2505" s="9">
        <f t="shared" si="352"/>
        <v>5.75</v>
      </c>
      <c r="BJ2505" s="9">
        <f t="shared" si="353"/>
        <v>8.9499999999999993</v>
      </c>
      <c r="BK2505" s="9">
        <f t="shared" si="354"/>
        <v>34.42</v>
      </c>
      <c r="BL2505" s="9">
        <f t="shared" si="355"/>
        <v>482.26</v>
      </c>
      <c r="BM2505" s="9">
        <f t="shared" si="356"/>
        <v>149.4658</v>
      </c>
      <c r="BN2505" s="9">
        <f t="shared" si="357"/>
        <v>1571.64</v>
      </c>
      <c r="BO2505" s="9">
        <f t="shared" si="358"/>
        <v>6.71</v>
      </c>
      <c r="BP2505" s="9">
        <f t="shared" si="359"/>
        <v>110.19</v>
      </c>
    </row>
    <row r="2506" spans="1:68">
      <c r="A2506" s="6">
        <v>44987</v>
      </c>
      <c r="B2506" s="7">
        <v>3307</v>
      </c>
      <c r="C2506" s="8"/>
      <c r="D2506" s="8">
        <v>1933.36</v>
      </c>
      <c r="E2506" s="8"/>
      <c r="F2506" s="8"/>
      <c r="G2506" s="8"/>
      <c r="H2506" s="8"/>
      <c r="I2506" s="8"/>
      <c r="J2506" s="8"/>
      <c r="K2506" s="8"/>
      <c r="L2506" s="8"/>
      <c r="M2506" s="8">
        <v>1.87</v>
      </c>
      <c r="N2506" s="8"/>
      <c r="O2506" s="8"/>
      <c r="P2506" s="8"/>
      <c r="Q2506" s="11"/>
      <c r="R2506" s="11"/>
      <c r="S2506" s="8">
        <v>13.13</v>
      </c>
      <c r="T2506" s="8"/>
      <c r="U2506" s="8">
        <v>19.32</v>
      </c>
      <c r="V2506" s="8"/>
      <c r="W2506" s="8"/>
      <c r="X2506" s="8"/>
      <c r="Y2506" s="8"/>
      <c r="Z2506" s="8"/>
      <c r="AA2506" s="8"/>
      <c r="AB2506" s="8"/>
      <c r="AC2506" s="8">
        <v>11.6</v>
      </c>
      <c r="AD2506" s="8"/>
      <c r="AE2506" s="8"/>
      <c r="AF2506" s="8"/>
      <c r="AG2506" s="8">
        <v>19.329999999999998</v>
      </c>
      <c r="AH2506" s="8"/>
      <c r="AI2506" s="8"/>
      <c r="AJ2506" s="8"/>
      <c r="AK2506" s="8"/>
      <c r="AL2506" s="8"/>
      <c r="AM2506" s="8"/>
      <c r="AN2506" s="8"/>
      <c r="AO2506" s="8"/>
      <c r="AP2506" s="11"/>
      <c r="AQ2506" s="8"/>
      <c r="AR2506" s="8"/>
      <c r="AS2506" s="8"/>
      <c r="AT2506" s="8"/>
      <c r="AU2506" s="8">
        <v>968.6</v>
      </c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>
        <v>69.56</v>
      </c>
      <c r="BH2506" s="9">
        <f t="shared" si="351"/>
        <v>1933.36</v>
      </c>
      <c r="BI2506" s="9">
        <f t="shared" si="352"/>
        <v>1.87</v>
      </c>
      <c r="BJ2506" s="9">
        <f t="shared" si="353"/>
        <v>13.13</v>
      </c>
      <c r="BK2506" s="9">
        <f t="shared" si="354"/>
        <v>19.32</v>
      </c>
      <c r="BL2506" s="9">
        <f t="shared" si="355"/>
        <v>0</v>
      </c>
      <c r="BM2506" s="9">
        <f t="shared" si="356"/>
        <v>30.93</v>
      </c>
      <c r="BN2506" s="9">
        <f t="shared" si="357"/>
        <v>968.6</v>
      </c>
      <c r="BO2506" s="9">
        <f t="shared" si="358"/>
        <v>0</v>
      </c>
      <c r="BP2506" s="9">
        <f t="shared" si="359"/>
        <v>0</v>
      </c>
    </row>
    <row r="2507" spans="1:68">
      <c r="A2507" s="6">
        <v>44987</v>
      </c>
      <c r="B2507" s="7">
        <v>3145</v>
      </c>
      <c r="C2507" s="8">
        <v>1248.45</v>
      </c>
      <c r="D2507" s="8">
        <v>219.99</v>
      </c>
      <c r="E2507" s="8"/>
      <c r="F2507" s="8"/>
      <c r="G2507" s="8"/>
      <c r="H2507" s="8"/>
      <c r="I2507" s="8"/>
      <c r="J2507" s="8"/>
      <c r="K2507" s="8"/>
      <c r="L2507" s="8"/>
      <c r="M2507" s="8">
        <v>4.26</v>
      </c>
      <c r="N2507" s="8"/>
      <c r="O2507" s="8"/>
      <c r="P2507" s="8"/>
      <c r="Q2507" s="11"/>
      <c r="R2507" s="11"/>
      <c r="S2507" s="8">
        <v>6.91</v>
      </c>
      <c r="T2507" s="8"/>
      <c r="U2507" s="8">
        <v>22.03</v>
      </c>
      <c r="V2507" s="8"/>
      <c r="W2507" s="8"/>
      <c r="X2507" s="8"/>
      <c r="Y2507" s="8"/>
      <c r="Z2507" s="8"/>
      <c r="AA2507" s="8"/>
      <c r="AB2507" s="8"/>
      <c r="AC2507" s="8">
        <v>5.88</v>
      </c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11"/>
      <c r="AQ2507" s="8"/>
      <c r="AR2507" s="8"/>
      <c r="AS2507" s="8"/>
      <c r="AT2507" s="8">
        <v>970.25</v>
      </c>
      <c r="AU2507" s="8"/>
      <c r="AV2507" s="8"/>
      <c r="AW2507" s="8"/>
      <c r="AX2507" s="8"/>
      <c r="AY2507" s="8"/>
      <c r="AZ2507" s="8"/>
      <c r="BA2507" s="8"/>
      <c r="BB2507" s="8"/>
      <c r="BC2507" s="8"/>
      <c r="BD2507" s="8">
        <v>3.67</v>
      </c>
      <c r="BE2507" s="8">
        <f>1358*9.78/1000</f>
        <v>13.28124</v>
      </c>
      <c r="BF2507" s="8">
        <v>102.82</v>
      </c>
      <c r="BG2507" s="8">
        <v>76.489999999999995</v>
      </c>
      <c r="BH2507" s="9">
        <f t="shared" si="351"/>
        <v>1468.44</v>
      </c>
      <c r="BI2507" s="9">
        <f t="shared" si="352"/>
        <v>4.26</v>
      </c>
      <c r="BJ2507" s="9">
        <f t="shared" si="353"/>
        <v>6.91</v>
      </c>
      <c r="BK2507" s="9">
        <f t="shared" si="354"/>
        <v>22.03</v>
      </c>
      <c r="BL2507" s="9">
        <f t="shared" si="355"/>
        <v>0</v>
      </c>
      <c r="BM2507" s="9">
        <f t="shared" si="356"/>
        <v>5.88</v>
      </c>
      <c r="BN2507" s="9">
        <f t="shared" si="357"/>
        <v>970.25</v>
      </c>
      <c r="BO2507" s="9">
        <f t="shared" si="358"/>
        <v>16.951239999999999</v>
      </c>
      <c r="BP2507" s="9">
        <f t="shared" si="359"/>
        <v>102.82</v>
      </c>
    </row>
    <row r="2508" spans="1:68">
      <c r="A2508" s="6">
        <v>44987</v>
      </c>
      <c r="B2508" s="7">
        <v>3141</v>
      </c>
      <c r="C2508" s="8">
        <v>3576.71</v>
      </c>
      <c r="D2508" s="8">
        <v>631.17999999999995</v>
      </c>
      <c r="E2508" s="8"/>
      <c r="F2508" s="8"/>
      <c r="G2508" s="8"/>
      <c r="H2508" s="8"/>
      <c r="I2508" s="8"/>
      <c r="J2508" s="8"/>
      <c r="K2508" s="8"/>
      <c r="L2508" s="8"/>
      <c r="M2508" s="8">
        <v>12.19</v>
      </c>
      <c r="N2508" s="8"/>
      <c r="O2508" s="8"/>
      <c r="P2508" s="8"/>
      <c r="Q2508" s="11"/>
      <c r="R2508" s="11"/>
      <c r="S2508" s="8">
        <v>19.8</v>
      </c>
      <c r="T2508" s="8"/>
      <c r="U2508" s="8">
        <v>63.15</v>
      </c>
      <c r="V2508" s="8"/>
      <c r="W2508" s="8"/>
      <c r="X2508" s="8"/>
      <c r="Y2508" s="8"/>
      <c r="Z2508" s="8"/>
      <c r="AA2508" s="8"/>
      <c r="AB2508" s="8"/>
      <c r="AC2508" s="8">
        <v>16.829999999999998</v>
      </c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11"/>
      <c r="AQ2508" s="8"/>
      <c r="AR2508" s="8"/>
      <c r="AS2508" s="8"/>
      <c r="AT2508" s="8">
        <v>2782</v>
      </c>
      <c r="AU2508" s="8"/>
      <c r="AV2508" s="8"/>
      <c r="AW2508" s="8"/>
      <c r="AX2508" s="8"/>
      <c r="AY2508" s="8"/>
      <c r="AZ2508" s="8"/>
      <c r="BA2508" s="8">
        <v>96.38</v>
      </c>
      <c r="BB2508" s="8"/>
      <c r="BC2508" s="8"/>
      <c r="BD2508" s="8"/>
      <c r="BE2508" s="8"/>
      <c r="BF2508" s="8">
        <v>294.51</v>
      </c>
      <c r="BG2508" s="8">
        <v>219.11</v>
      </c>
      <c r="BH2508" s="9">
        <f t="shared" si="351"/>
        <v>4207.8900000000003</v>
      </c>
      <c r="BI2508" s="9">
        <f t="shared" si="352"/>
        <v>12.19</v>
      </c>
      <c r="BJ2508" s="9">
        <f t="shared" si="353"/>
        <v>19.8</v>
      </c>
      <c r="BK2508" s="9">
        <f t="shared" si="354"/>
        <v>63.15</v>
      </c>
      <c r="BL2508" s="9">
        <f t="shared" si="355"/>
        <v>0</v>
      </c>
      <c r="BM2508" s="9">
        <f t="shared" si="356"/>
        <v>16.829999999999998</v>
      </c>
      <c r="BN2508" s="9">
        <f t="shared" si="357"/>
        <v>2782</v>
      </c>
      <c r="BO2508" s="9">
        <f t="shared" si="358"/>
        <v>96.38</v>
      </c>
      <c r="BP2508" s="9">
        <f t="shared" si="359"/>
        <v>294.51</v>
      </c>
    </row>
    <row r="2509" spans="1:68">
      <c r="A2509" s="6">
        <v>44987</v>
      </c>
      <c r="B2509" s="7">
        <v>3127</v>
      </c>
      <c r="C2509" s="8">
        <v>1086.56</v>
      </c>
      <c r="D2509" s="8"/>
      <c r="E2509" s="8"/>
      <c r="F2509" s="8"/>
      <c r="G2509" s="8"/>
      <c r="H2509" s="8"/>
      <c r="I2509" s="8"/>
      <c r="J2509" s="8"/>
      <c r="K2509" s="8"/>
      <c r="L2509" s="8"/>
      <c r="M2509" s="8">
        <v>3.24</v>
      </c>
      <c r="N2509" s="8"/>
      <c r="O2509" s="8"/>
      <c r="P2509" s="8"/>
      <c r="Q2509" s="11"/>
      <c r="R2509" s="11"/>
      <c r="S2509" s="8">
        <v>5.22</v>
      </c>
      <c r="T2509" s="8"/>
      <c r="U2509" s="8">
        <v>10.9</v>
      </c>
      <c r="V2509" s="8"/>
      <c r="W2509" s="8"/>
      <c r="X2509" s="8"/>
      <c r="Y2509" s="8"/>
      <c r="Z2509" s="8">
        <v>162.87</v>
      </c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11"/>
      <c r="AQ2509" s="8"/>
      <c r="AR2509" s="8"/>
      <c r="AS2509" s="8"/>
      <c r="AT2509" s="8">
        <v>534.1</v>
      </c>
      <c r="AU2509" s="8"/>
      <c r="AV2509" s="8">
        <v>21.77</v>
      </c>
      <c r="AW2509" s="8"/>
      <c r="AX2509" s="8"/>
      <c r="AY2509" s="8"/>
      <c r="AZ2509" s="8"/>
      <c r="BA2509" s="8"/>
      <c r="BB2509" s="8"/>
      <c r="BC2509" s="8"/>
      <c r="BD2509" s="8"/>
      <c r="BE2509" s="8"/>
      <c r="BF2509" s="8">
        <v>54.45</v>
      </c>
      <c r="BG2509" s="8">
        <v>38.15</v>
      </c>
      <c r="BH2509" s="9">
        <f t="shared" si="351"/>
        <v>1086.56</v>
      </c>
      <c r="BI2509" s="9">
        <f t="shared" si="352"/>
        <v>3.24</v>
      </c>
      <c r="BJ2509" s="9">
        <f t="shared" si="353"/>
        <v>5.22</v>
      </c>
      <c r="BK2509" s="9">
        <f t="shared" si="354"/>
        <v>10.9</v>
      </c>
      <c r="BL2509" s="9">
        <f t="shared" si="355"/>
        <v>162.87</v>
      </c>
      <c r="BM2509" s="9">
        <f t="shared" si="356"/>
        <v>0</v>
      </c>
      <c r="BN2509" s="9">
        <f t="shared" si="357"/>
        <v>534.1</v>
      </c>
      <c r="BO2509" s="9">
        <f t="shared" si="358"/>
        <v>21.77</v>
      </c>
      <c r="BP2509" s="9">
        <f t="shared" si="359"/>
        <v>54.45</v>
      </c>
    </row>
    <row r="2510" spans="1:68">
      <c r="A2510" s="6">
        <v>44987</v>
      </c>
      <c r="B2510" s="7">
        <v>3113</v>
      </c>
      <c r="C2510" s="8">
        <v>1530.81</v>
      </c>
      <c r="D2510" s="8"/>
      <c r="E2510" s="8"/>
      <c r="F2510" s="8"/>
      <c r="G2510" s="8"/>
      <c r="H2510" s="8"/>
      <c r="I2510" s="8"/>
      <c r="J2510" s="8"/>
      <c r="K2510" s="8"/>
      <c r="L2510" s="8"/>
      <c r="M2510" s="8">
        <v>1.44</v>
      </c>
      <c r="N2510" s="8">
        <v>1.43</v>
      </c>
      <c r="O2510" s="8"/>
      <c r="P2510" s="8"/>
      <c r="Q2510" s="11"/>
      <c r="R2510" s="11"/>
      <c r="S2510" s="8">
        <v>4.6100000000000003</v>
      </c>
      <c r="T2510" s="8"/>
      <c r="U2510" s="8">
        <v>15.31</v>
      </c>
      <c r="V2510" s="8"/>
      <c r="W2510" s="8"/>
      <c r="X2510" s="8"/>
      <c r="Y2510" s="8"/>
      <c r="Z2510" s="8"/>
      <c r="AA2510" s="8"/>
      <c r="AB2510" s="8"/>
      <c r="AC2510" s="8">
        <v>6.12</v>
      </c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11"/>
      <c r="AQ2510" s="8"/>
      <c r="AR2510" s="8"/>
      <c r="AS2510" s="8"/>
      <c r="AT2510" s="8">
        <v>642.13</v>
      </c>
      <c r="AU2510" s="8"/>
      <c r="AV2510" s="8">
        <v>52.03</v>
      </c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>
        <v>45.9</v>
      </c>
      <c r="BH2510" s="9">
        <f t="shared" si="351"/>
        <v>1530.81</v>
      </c>
      <c r="BI2510" s="9">
        <f t="shared" si="352"/>
        <v>2.87</v>
      </c>
      <c r="BJ2510" s="9">
        <f t="shared" si="353"/>
        <v>4.6100000000000003</v>
      </c>
      <c r="BK2510" s="9">
        <f t="shared" si="354"/>
        <v>15.31</v>
      </c>
      <c r="BL2510" s="9">
        <f t="shared" si="355"/>
        <v>0</v>
      </c>
      <c r="BM2510" s="9">
        <f t="shared" si="356"/>
        <v>6.12</v>
      </c>
      <c r="BN2510" s="9">
        <f t="shared" si="357"/>
        <v>642.13</v>
      </c>
      <c r="BO2510" s="9">
        <f t="shared" si="358"/>
        <v>52.03</v>
      </c>
      <c r="BP2510" s="9">
        <f t="shared" si="359"/>
        <v>0</v>
      </c>
    </row>
    <row r="2511" spans="1:68">
      <c r="A2511" s="6">
        <v>44987</v>
      </c>
      <c r="B2511" s="7">
        <v>3406</v>
      </c>
      <c r="C2511" s="8">
        <v>622.89</v>
      </c>
      <c r="D2511" s="8">
        <v>155.86000000000001</v>
      </c>
      <c r="E2511" s="8"/>
      <c r="F2511" s="8"/>
      <c r="G2511" s="8"/>
      <c r="H2511" s="8"/>
      <c r="I2511" s="8"/>
      <c r="J2511" s="8"/>
      <c r="K2511" s="8"/>
      <c r="L2511" s="8"/>
      <c r="M2511" s="8">
        <v>1.6</v>
      </c>
      <c r="N2511" s="8"/>
      <c r="O2511" s="8"/>
      <c r="P2511" s="8"/>
      <c r="Q2511" s="11"/>
      <c r="R2511" s="11"/>
      <c r="S2511" s="8">
        <v>1.79</v>
      </c>
      <c r="T2511" s="8"/>
      <c r="U2511" s="8"/>
      <c r="V2511" s="8"/>
      <c r="W2511" s="8"/>
      <c r="X2511" s="8">
        <f>1204*7.8/1000</f>
        <v>9.3911999999999995</v>
      </c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11"/>
      <c r="AQ2511" s="8"/>
      <c r="AR2511" s="8"/>
      <c r="AS2511" s="8"/>
      <c r="AT2511" s="8">
        <v>392.33</v>
      </c>
      <c r="AU2511" s="8"/>
      <c r="AV2511" s="8">
        <v>23.4</v>
      </c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>
        <v>26.63</v>
      </c>
      <c r="BH2511" s="9">
        <f t="shared" si="351"/>
        <v>778.75</v>
      </c>
      <c r="BI2511" s="9">
        <f t="shared" si="352"/>
        <v>1.6</v>
      </c>
      <c r="BJ2511" s="9">
        <f t="shared" si="353"/>
        <v>1.79</v>
      </c>
      <c r="BK2511" s="9">
        <f t="shared" si="354"/>
        <v>9.3911999999999995</v>
      </c>
      <c r="BL2511" s="9">
        <f t="shared" si="355"/>
        <v>0</v>
      </c>
      <c r="BM2511" s="9">
        <f t="shared" si="356"/>
        <v>0</v>
      </c>
      <c r="BN2511" s="9">
        <f t="shared" si="357"/>
        <v>392.33</v>
      </c>
      <c r="BO2511" s="9">
        <f t="shared" si="358"/>
        <v>23.4</v>
      </c>
      <c r="BP2511" s="9">
        <f t="shared" si="359"/>
        <v>0</v>
      </c>
    </row>
    <row r="2512" spans="1:68">
      <c r="A2512" s="6">
        <v>44987</v>
      </c>
      <c r="B2512" s="7">
        <v>3029</v>
      </c>
      <c r="C2512" s="8"/>
      <c r="D2512" s="8">
        <v>454.23</v>
      </c>
      <c r="E2512" s="8"/>
      <c r="F2512" s="8">
        <v>319.31</v>
      </c>
      <c r="G2512" s="8"/>
      <c r="H2512" s="8"/>
      <c r="I2512" s="8">
        <v>1894.55</v>
      </c>
      <c r="J2512" s="8"/>
      <c r="K2512" s="8"/>
      <c r="L2512" s="8"/>
      <c r="M2512" s="8"/>
      <c r="N2512" s="8">
        <v>20.87</v>
      </c>
      <c r="O2512" s="8"/>
      <c r="P2512" s="8"/>
      <c r="Q2512" s="11"/>
      <c r="R2512" s="11"/>
      <c r="S2512" s="8">
        <v>1.6</v>
      </c>
      <c r="T2512" s="8"/>
      <c r="U2512" s="8"/>
      <c r="V2512" s="8"/>
      <c r="W2512" s="8">
        <v>26.75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>
        <v>9.26</v>
      </c>
      <c r="AN2512" s="8">
        <f>766*17.82/1000</f>
        <v>13.650120000000001</v>
      </c>
      <c r="AO2512" s="8"/>
      <c r="AP2512" s="11"/>
      <c r="AQ2512" s="8"/>
      <c r="AR2512" s="8">
        <f>4527*17.82/1000</f>
        <v>80.671139999999994</v>
      </c>
      <c r="AS2512" s="8"/>
      <c r="AT2512" s="8">
        <v>1013.68</v>
      </c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>
        <v>70.61</v>
      </c>
      <c r="BH2512" s="9">
        <f t="shared" si="351"/>
        <v>2668.09</v>
      </c>
      <c r="BI2512" s="9">
        <f t="shared" si="352"/>
        <v>20.87</v>
      </c>
      <c r="BJ2512" s="9">
        <f t="shared" si="353"/>
        <v>1.6</v>
      </c>
      <c r="BK2512" s="9">
        <f t="shared" si="354"/>
        <v>26.75</v>
      </c>
      <c r="BL2512" s="9">
        <f t="shared" si="355"/>
        <v>0</v>
      </c>
      <c r="BM2512" s="9">
        <f t="shared" si="356"/>
        <v>103.58125999999999</v>
      </c>
      <c r="BN2512" s="9">
        <f t="shared" si="357"/>
        <v>1013.68</v>
      </c>
      <c r="BO2512" s="9">
        <f t="shared" si="358"/>
        <v>0</v>
      </c>
      <c r="BP2512" s="9">
        <f t="shared" si="359"/>
        <v>0</v>
      </c>
    </row>
    <row r="2513" spans="1:68">
      <c r="A2513" s="6">
        <v>44987</v>
      </c>
      <c r="B2513" s="7">
        <v>3079</v>
      </c>
      <c r="C2513" s="8"/>
      <c r="D2513" s="8"/>
      <c r="E2513" s="8"/>
      <c r="F2513" s="8">
        <v>334.56</v>
      </c>
      <c r="G2513" s="8"/>
      <c r="H2513" s="8"/>
      <c r="I2513" s="8">
        <v>2707.9</v>
      </c>
      <c r="J2513" s="8"/>
      <c r="K2513" s="8"/>
      <c r="L2513" s="8"/>
      <c r="M2513" s="8"/>
      <c r="N2513" s="8">
        <v>21.9</v>
      </c>
      <c r="O2513" s="8"/>
      <c r="P2513" s="8"/>
      <c r="Q2513" s="11"/>
      <c r="R2513" s="11"/>
      <c r="S2513" s="8">
        <v>1.21</v>
      </c>
      <c r="T2513" s="8"/>
      <c r="U2513" s="8"/>
      <c r="V2513" s="8"/>
      <c r="W2513" s="8">
        <v>30.43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>
        <v>12.12</v>
      </c>
      <c r="AN2513" s="8">
        <f>1711*17.88/1000</f>
        <v>30.592679999999998</v>
      </c>
      <c r="AO2513" s="8"/>
      <c r="AP2513" s="11"/>
      <c r="AQ2513" s="8"/>
      <c r="AR2513" s="8">
        <f>4321*17.88/1000</f>
        <v>77.259479999999996</v>
      </c>
      <c r="AS2513" s="8"/>
      <c r="AT2513" s="8">
        <v>1173.02</v>
      </c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>
        <v>85.41</v>
      </c>
      <c r="BH2513" s="9">
        <f t="shared" si="351"/>
        <v>3042.46</v>
      </c>
      <c r="BI2513" s="9">
        <f t="shared" si="352"/>
        <v>21.9</v>
      </c>
      <c r="BJ2513" s="9">
        <f t="shared" si="353"/>
        <v>1.21</v>
      </c>
      <c r="BK2513" s="9">
        <f t="shared" si="354"/>
        <v>30.43</v>
      </c>
      <c r="BL2513" s="9">
        <f t="shared" si="355"/>
        <v>0</v>
      </c>
      <c r="BM2513" s="9">
        <f t="shared" si="356"/>
        <v>119.97216</v>
      </c>
      <c r="BN2513" s="9">
        <f t="shared" si="357"/>
        <v>1173.02</v>
      </c>
      <c r="BO2513" s="9">
        <f t="shared" si="358"/>
        <v>0</v>
      </c>
      <c r="BP2513" s="9">
        <f t="shared" si="359"/>
        <v>0</v>
      </c>
    </row>
    <row r="2514" spans="1:68">
      <c r="A2514" s="6">
        <v>44987</v>
      </c>
      <c r="B2514" s="7">
        <v>3309</v>
      </c>
      <c r="C2514" s="8"/>
      <c r="D2514" s="8">
        <v>1067.3599999999999</v>
      </c>
      <c r="E2514" s="8"/>
      <c r="F2514" s="8"/>
      <c r="G2514" s="8"/>
      <c r="H2514" s="8"/>
      <c r="I2514" s="8"/>
      <c r="J2514" s="8"/>
      <c r="K2514" s="8"/>
      <c r="L2514" s="8"/>
      <c r="M2514" s="8">
        <v>2.13</v>
      </c>
      <c r="N2514" s="8"/>
      <c r="O2514" s="8"/>
      <c r="P2514" s="8"/>
      <c r="Q2514" s="11"/>
      <c r="R2514" s="11"/>
      <c r="S2514" s="8">
        <v>1.6</v>
      </c>
      <c r="T2514" s="8"/>
      <c r="U2514" s="8">
        <v>9.61</v>
      </c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>
        <v>10.68</v>
      </c>
      <c r="AH2514" s="8"/>
      <c r="AI2514" s="8"/>
      <c r="AJ2514" s="8"/>
      <c r="AK2514" s="8"/>
      <c r="AL2514" s="8"/>
      <c r="AM2514" s="8"/>
      <c r="AN2514" s="8"/>
      <c r="AO2514" s="8"/>
      <c r="AP2514" s="11"/>
      <c r="AQ2514" s="8"/>
      <c r="AR2514" s="8"/>
      <c r="AS2514" s="8"/>
      <c r="AT2514" s="8">
        <v>285.92</v>
      </c>
      <c r="AU2514" s="8">
        <v>142.6</v>
      </c>
      <c r="AV2514" s="8"/>
      <c r="AW2514" s="8"/>
      <c r="AX2514" s="8"/>
      <c r="AY2514" s="8"/>
      <c r="AZ2514" s="8"/>
      <c r="BA2514" s="8"/>
      <c r="BB2514" s="8"/>
      <c r="BC2514" s="8">
        <v>0.99</v>
      </c>
      <c r="BD2514" s="8"/>
      <c r="BE2514" s="8"/>
      <c r="BF2514" s="8"/>
      <c r="BG2514" s="8">
        <v>29.4</v>
      </c>
      <c r="BH2514" s="9">
        <f t="shared" si="351"/>
        <v>1067.3599999999999</v>
      </c>
      <c r="BI2514" s="9">
        <f t="shared" si="352"/>
        <v>2.13</v>
      </c>
      <c r="BJ2514" s="9">
        <f t="shared" si="353"/>
        <v>1.6</v>
      </c>
      <c r="BK2514" s="9">
        <f t="shared" si="354"/>
        <v>9.61</v>
      </c>
      <c r="BL2514" s="9">
        <f t="shared" si="355"/>
        <v>0</v>
      </c>
      <c r="BM2514" s="9">
        <f t="shared" si="356"/>
        <v>10.68</v>
      </c>
      <c r="BN2514" s="9">
        <f t="shared" si="357"/>
        <v>428.52</v>
      </c>
      <c r="BO2514" s="9">
        <f t="shared" si="358"/>
        <v>0.99</v>
      </c>
      <c r="BP2514" s="9">
        <f t="shared" si="359"/>
        <v>0</v>
      </c>
    </row>
    <row r="2515" spans="1:68">
      <c r="A2515" s="6">
        <v>44987</v>
      </c>
      <c r="B2515" s="7">
        <v>3430</v>
      </c>
      <c r="C2515" s="8">
        <v>184.48</v>
      </c>
      <c r="D2515" s="8">
        <v>277.7</v>
      </c>
      <c r="E2515" s="8"/>
      <c r="F2515" s="8"/>
      <c r="G2515" s="8"/>
      <c r="H2515" s="8"/>
      <c r="I2515" s="8"/>
      <c r="J2515" s="8"/>
      <c r="K2515" s="8"/>
      <c r="L2515" s="8"/>
      <c r="M2515" s="8"/>
      <c r="N2515" s="8">
        <v>0.83</v>
      </c>
      <c r="O2515" s="8"/>
      <c r="P2515" s="8"/>
      <c r="Q2515" s="11"/>
      <c r="R2515" s="11"/>
      <c r="S2515" s="8">
        <v>1.39</v>
      </c>
      <c r="T2515" s="8"/>
      <c r="U2515" s="8"/>
      <c r="V2515" s="8"/>
      <c r="W2515" s="8"/>
      <c r="X2515" s="8">
        <f>1076*5.13/1000</f>
        <v>5.5198799999999997</v>
      </c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11"/>
      <c r="AQ2515" s="8"/>
      <c r="AR2515" s="8"/>
      <c r="AS2515" s="8"/>
      <c r="AT2515" s="8">
        <v>187.18</v>
      </c>
      <c r="AU2515" s="8"/>
      <c r="AV2515" s="8"/>
      <c r="AW2515" s="8">
        <v>9.02</v>
      </c>
      <c r="AX2515" s="8"/>
      <c r="AY2515" s="8"/>
      <c r="AZ2515" s="8"/>
      <c r="BA2515" s="8"/>
      <c r="BB2515" s="8"/>
      <c r="BC2515" s="8"/>
      <c r="BD2515" s="8"/>
      <c r="BE2515" s="8"/>
      <c r="BF2515" s="8"/>
      <c r="BG2515" s="8">
        <v>14.44</v>
      </c>
      <c r="BH2515" s="9">
        <f t="shared" si="351"/>
        <v>462.17999999999995</v>
      </c>
      <c r="BI2515" s="9">
        <f t="shared" si="352"/>
        <v>0.83</v>
      </c>
      <c r="BJ2515" s="9">
        <f t="shared" si="353"/>
        <v>1.39</v>
      </c>
      <c r="BK2515" s="9">
        <f t="shared" si="354"/>
        <v>5.5198799999999997</v>
      </c>
      <c r="BL2515" s="9">
        <f t="shared" si="355"/>
        <v>0</v>
      </c>
      <c r="BM2515" s="9">
        <f t="shared" si="356"/>
        <v>0</v>
      </c>
      <c r="BN2515" s="9">
        <f t="shared" si="357"/>
        <v>187.18</v>
      </c>
      <c r="BO2515" s="9">
        <f t="shared" si="358"/>
        <v>9.02</v>
      </c>
      <c r="BP2515" s="9">
        <f t="shared" si="359"/>
        <v>0</v>
      </c>
    </row>
    <row r="2516" spans="1:68">
      <c r="A2516" s="6">
        <v>44988</v>
      </c>
      <c r="B2516" s="7">
        <v>3602</v>
      </c>
      <c r="C2516" s="8">
        <v>562.92999999999995</v>
      </c>
      <c r="D2516" s="8"/>
      <c r="E2516" s="8"/>
      <c r="F2516" s="8"/>
      <c r="G2516" s="8">
        <v>844.54</v>
      </c>
      <c r="H2516" s="8"/>
      <c r="I2516" s="8"/>
      <c r="J2516" s="8"/>
      <c r="K2516" s="8"/>
      <c r="L2516" s="8"/>
      <c r="M2516" s="8">
        <v>1.47</v>
      </c>
      <c r="N2516" s="8"/>
      <c r="O2516" s="8"/>
      <c r="P2516" s="8"/>
      <c r="Q2516" s="11"/>
      <c r="R2516" s="11"/>
      <c r="S2516" s="8">
        <v>6.77</v>
      </c>
      <c r="T2516" s="8"/>
      <c r="U2516" s="8">
        <v>11.31</v>
      </c>
      <c r="V2516" s="8">
        <f>863*16.12/1000</f>
        <v>13.911560000000001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11"/>
      <c r="AQ2516" s="8"/>
      <c r="AR2516" s="8"/>
      <c r="AS2516" s="8"/>
      <c r="AT2516" s="8">
        <v>569.86</v>
      </c>
      <c r="AU2516" s="8"/>
      <c r="AV2516" s="8"/>
      <c r="AW2516" s="8">
        <v>36.479999999999997</v>
      </c>
      <c r="AX2516" s="8"/>
      <c r="AY2516" s="8"/>
      <c r="AZ2516" s="8"/>
      <c r="BA2516" s="8"/>
      <c r="BB2516" s="8"/>
      <c r="BC2516" s="8"/>
      <c r="BD2516" s="8"/>
      <c r="BE2516" s="8"/>
      <c r="BF2516" s="8">
        <v>45.2</v>
      </c>
      <c r="BG2516" s="8">
        <v>42.39</v>
      </c>
      <c r="BH2516" s="9">
        <f t="shared" si="351"/>
        <v>1407.4699999999998</v>
      </c>
      <c r="BI2516" s="9">
        <f t="shared" si="352"/>
        <v>1.47</v>
      </c>
      <c r="BJ2516" s="9">
        <f t="shared" si="353"/>
        <v>6.77</v>
      </c>
      <c r="BK2516" s="9">
        <f t="shared" si="354"/>
        <v>25.221560000000004</v>
      </c>
      <c r="BL2516" s="9">
        <f t="shared" si="355"/>
        <v>0</v>
      </c>
      <c r="BM2516" s="9">
        <f t="shared" si="356"/>
        <v>0</v>
      </c>
      <c r="BN2516" s="9">
        <f t="shared" si="357"/>
        <v>569.86</v>
      </c>
      <c r="BO2516" s="9">
        <f t="shared" si="358"/>
        <v>36.479999999999997</v>
      </c>
      <c r="BP2516" s="9">
        <f t="shared" si="359"/>
        <v>45.2</v>
      </c>
    </row>
    <row r="2517" spans="1:68">
      <c r="A2517" s="6">
        <v>44988</v>
      </c>
      <c r="B2517" s="7">
        <v>3106</v>
      </c>
      <c r="C2517" s="8">
        <v>8244.1200000000008</v>
      </c>
      <c r="D2517" s="8"/>
      <c r="E2517" s="8"/>
      <c r="F2517" s="8"/>
      <c r="G2517" s="8"/>
      <c r="H2517" s="8"/>
      <c r="I2517" s="8"/>
      <c r="J2517" s="8"/>
      <c r="K2517" s="8"/>
      <c r="L2517" s="8"/>
      <c r="M2517" s="8">
        <v>22.25</v>
      </c>
      <c r="N2517" s="8"/>
      <c r="O2517" s="8"/>
      <c r="P2517" s="8"/>
      <c r="Q2517" s="11"/>
      <c r="R2517" s="11"/>
      <c r="S2517" s="8">
        <v>24.73</v>
      </c>
      <c r="T2517" s="8"/>
      <c r="U2517" s="8">
        <v>104.67</v>
      </c>
      <c r="V2517" s="8"/>
      <c r="W2517" s="8"/>
      <c r="X2517" s="8"/>
      <c r="Y2517" s="8"/>
      <c r="Z2517" s="8"/>
      <c r="AA2517" s="8"/>
      <c r="AB2517" s="8"/>
      <c r="AC2517" s="8">
        <v>20.57</v>
      </c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11"/>
      <c r="AQ2517" s="8"/>
      <c r="AR2517" s="8"/>
      <c r="AS2517" s="8"/>
      <c r="AT2517" s="8">
        <v>4688.5600000000004</v>
      </c>
      <c r="AU2517" s="8"/>
      <c r="AV2517" s="8"/>
      <c r="AW2517" s="8"/>
      <c r="AX2517" s="8">
        <v>10.29</v>
      </c>
      <c r="AY2517" s="8"/>
      <c r="AZ2517" s="8"/>
      <c r="BA2517" s="8"/>
      <c r="BB2517" s="8"/>
      <c r="BC2517" s="8"/>
      <c r="BD2517" s="8"/>
      <c r="BE2517" s="8"/>
      <c r="BF2517" s="8"/>
      <c r="BG2517" s="8">
        <v>355.12</v>
      </c>
      <c r="BH2517" s="9">
        <f t="shared" si="351"/>
        <v>8244.1200000000008</v>
      </c>
      <c r="BI2517" s="9">
        <f t="shared" si="352"/>
        <v>22.25</v>
      </c>
      <c r="BJ2517" s="9">
        <f t="shared" si="353"/>
        <v>24.73</v>
      </c>
      <c r="BK2517" s="9">
        <f t="shared" si="354"/>
        <v>104.67</v>
      </c>
      <c r="BL2517" s="9">
        <f t="shared" si="355"/>
        <v>0</v>
      </c>
      <c r="BM2517" s="9">
        <f t="shared" si="356"/>
        <v>20.57</v>
      </c>
      <c r="BN2517" s="9">
        <f t="shared" si="357"/>
        <v>4688.5600000000004</v>
      </c>
      <c r="BO2517" s="9">
        <f t="shared" si="358"/>
        <v>10.29</v>
      </c>
      <c r="BP2517" s="9">
        <f t="shared" si="359"/>
        <v>0</v>
      </c>
    </row>
    <row r="2518" spans="1:68">
      <c r="A2518" s="6">
        <v>44988</v>
      </c>
      <c r="B2518" s="7">
        <v>3116</v>
      </c>
      <c r="C2518" s="8">
        <v>1490.32</v>
      </c>
      <c r="D2518" s="8"/>
      <c r="E2518" s="8"/>
      <c r="F2518" s="8"/>
      <c r="G2518" s="8"/>
      <c r="H2518" s="8"/>
      <c r="I2518" s="8"/>
      <c r="J2518" s="8"/>
      <c r="K2518" s="8"/>
      <c r="L2518" s="8"/>
      <c r="M2518" s="8">
        <v>2.99</v>
      </c>
      <c r="N2518" s="8"/>
      <c r="O2518" s="8"/>
      <c r="P2518" s="8"/>
      <c r="Q2518" s="11"/>
      <c r="R2518" s="11"/>
      <c r="S2518" s="8">
        <v>6.4</v>
      </c>
      <c r="T2518" s="8"/>
      <c r="U2518" s="8">
        <v>21.91</v>
      </c>
      <c r="V2518" s="8"/>
      <c r="W2518" s="8"/>
      <c r="X2518" s="8"/>
      <c r="Y2518" s="8"/>
      <c r="Z2518" s="8"/>
      <c r="AA2518" s="8"/>
      <c r="AB2518" s="8"/>
      <c r="AC2518" s="8">
        <v>5.95</v>
      </c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11"/>
      <c r="AQ2518" s="8">
        <f>1434*10.63/1000</f>
        <v>15.243420000000002</v>
      </c>
      <c r="AR2518" s="8"/>
      <c r="AS2518" s="8"/>
      <c r="AT2518" s="8">
        <v>910.79</v>
      </c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>
        <v>59.55</v>
      </c>
      <c r="BG2518" s="8">
        <v>67.77</v>
      </c>
      <c r="BH2518" s="9">
        <f t="shared" si="351"/>
        <v>1490.32</v>
      </c>
      <c r="BI2518" s="9">
        <f t="shared" si="352"/>
        <v>2.99</v>
      </c>
      <c r="BJ2518" s="9">
        <f t="shared" si="353"/>
        <v>6.4</v>
      </c>
      <c r="BK2518" s="9">
        <f t="shared" si="354"/>
        <v>21.91</v>
      </c>
      <c r="BL2518" s="9">
        <f t="shared" si="355"/>
        <v>0</v>
      </c>
      <c r="BM2518" s="9">
        <f t="shared" si="356"/>
        <v>21.193420000000003</v>
      </c>
      <c r="BN2518" s="9">
        <f t="shared" si="357"/>
        <v>910.79</v>
      </c>
      <c r="BO2518" s="9">
        <f t="shared" si="358"/>
        <v>0</v>
      </c>
      <c r="BP2518" s="9">
        <f t="shared" si="359"/>
        <v>59.55</v>
      </c>
    </row>
    <row r="2519" spans="1:68">
      <c r="A2519" s="6">
        <v>44988</v>
      </c>
      <c r="B2519" s="7">
        <v>3406</v>
      </c>
      <c r="C2519" s="8">
        <v>651.16</v>
      </c>
      <c r="D2519" s="8">
        <v>163.1</v>
      </c>
      <c r="E2519" s="8"/>
      <c r="F2519" s="8"/>
      <c r="G2519" s="8"/>
      <c r="H2519" s="8"/>
      <c r="I2519" s="8"/>
      <c r="J2519" s="8"/>
      <c r="K2519" s="8"/>
      <c r="L2519" s="8"/>
      <c r="M2519" s="8">
        <v>1.64</v>
      </c>
      <c r="N2519" s="8"/>
      <c r="O2519" s="8"/>
      <c r="P2519" s="8"/>
      <c r="Q2519" s="11"/>
      <c r="R2519" s="11"/>
      <c r="S2519" s="8">
        <v>1.88</v>
      </c>
      <c r="T2519" s="8"/>
      <c r="U2519" s="8"/>
      <c r="V2519" s="8"/>
      <c r="W2519" s="8"/>
      <c r="X2519" s="8">
        <f>1204*8.18/1000</f>
        <v>9.8487200000000001</v>
      </c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11"/>
      <c r="AQ2519" s="8"/>
      <c r="AR2519" s="8"/>
      <c r="AS2519" s="8"/>
      <c r="AT2519" s="8">
        <v>411.75</v>
      </c>
      <c r="AU2519" s="8"/>
      <c r="AV2519" s="8">
        <v>24.58</v>
      </c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>
        <v>27.73</v>
      </c>
      <c r="BH2519" s="9">
        <f t="shared" si="351"/>
        <v>814.26</v>
      </c>
      <c r="BI2519" s="9">
        <f t="shared" si="352"/>
        <v>1.64</v>
      </c>
      <c r="BJ2519" s="9">
        <f t="shared" si="353"/>
        <v>1.88</v>
      </c>
      <c r="BK2519" s="9">
        <f t="shared" si="354"/>
        <v>9.8487200000000001</v>
      </c>
      <c r="BL2519" s="9">
        <f t="shared" si="355"/>
        <v>0</v>
      </c>
      <c r="BM2519" s="9">
        <f t="shared" si="356"/>
        <v>0</v>
      </c>
      <c r="BN2519" s="9">
        <f t="shared" si="357"/>
        <v>411.75</v>
      </c>
      <c r="BO2519" s="9">
        <f t="shared" si="358"/>
        <v>24.58</v>
      </c>
      <c r="BP2519" s="9">
        <f t="shared" si="359"/>
        <v>0</v>
      </c>
    </row>
    <row r="2520" spans="1:68">
      <c r="A2520" s="6">
        <v>44988</v>
      </c>
      <c r="B2520" s="7">
        <v>3200</v>
      </c>
      <c r="C2520" s="8">
        <f>566.69+1941.63</f>
        <v>2508.3200000000002</v>
      </c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>
        <f>1.42+4.85</f>
        <v>6.27</v>
      </c>
      <c r="P2520" s="8"/>
      <c r="Q2520" s="11"/>
      <c r="R2520" s="11"/>
      <c r="S2520" s="8">
        <f>2.21+7.59</f>
        <v>9.8000000000000007</v>
      </c>
      <c r="T2520" s="8"/>
      <c r="U2520" s="8">
        <f>8.5+29.14</f>
        <v>37.64</v>
      </c>
      <c r="V2520" s="8"/>
      <c r="W2520" s="8"/>
      <c r="X2520" s="8"/>
      <c r="Y2520" s="8"/>
      <c r="Z2520" s="8">
        <f>119.17+407.91</f>
        <v>527.08000000000004</v>
      </c>
      <c r="AA2520" s="8"/>
      <c r="AB2520" s="8"/>
      <c r="AC2520" s="8"/>
      <c r="AD2520" s="8"/>
      <c r="AE2520" s="8"/>
      <c r="AF2520" s="8">
        <f>28.35+96.05</f>
        <v>124.4</v>
      </c>
      <c r="AG2520" s="8"/>
      <c r="AH2520" s="8"/>
      <c r="AI2520" s="8"/>
      <c r="AJ2520" s="8"/>
      <c r="AK2520" s="8"/>
      <c r="AL2520" s="8"/>
      <c r="AM2520" s="8"/>
      <c r="AN2520" s="8"/>
      <c r="AO2520" s="8"/>
      <c r="AP2520" s="11"/>
      <c r="AQ2520" s="8">
        <f>1522*25.09/1000</f>
        <v>38.186980000000005</v>
      </c>
      <c r="AR2520" s="8"/>
      <c r="AS2520" s="8"/>
      <c r="AT2520" s="8">
        <f>387.79+1330.3</f>
        <v>1718.09</v>
      </c>
      <c r="AU2520" s="8"/>
      <c r="AV2520" s="8"/>
      <c r="AW2520" s="8">
        <f>1.63+5.53</f>
        <v>7.16</v>
      </c>
      <c r="AX2520" s="8"/>
      <c r="AY2520" s="8"/>
      <c r="AZ2520" s="8"/>
      <c r="BA2520" s="8"/>
      <c r="BB2520" s="8"/>
      <c r="BC2520" s="8"/>
      <c r="BD2520" s="8"/>
      <c r="BE2520" s="8"/>
      <c r="BF2520" s="8">
        <f>27.21+93.24</f>
        <v>120.44999999999999</v>
      </c>
      <c r="BG2520" s="8">
        <f>28.04+95.75</f>
        <v>123.78999999999999</v>
      </c>
      <c r="BH2520" s="9">
        <f t="shared" si="351"/>
        <v>2508.3200000000002</v>
      </c>
      <c r="BI2520" s="9">
        <f t="shared" si="352"/>
        <v>6.27</v>
      </c>
      <c r="BJ2520" s="9">
        <f t="shared" si="353"/>
        <v>9.8000000000000007</v>
      </c>
      <c r="BK2520" s="9">
        <f t="shared" si="354"/>
        <v>37.64</v>
      </c>
      <c r="BL2520" s="9">
        <f t="shared" si="355"/>
        <v>527.08000000000004</v>
      </c>
      <c r="BM2520" s="9">
        <f t="shared" si="356"/>
        <v>162.58698000000001</v>
      </c>
      <c r="BN2520" s="9">
        <f t="shared" si="357"/>
        <v>1718.09</v>
      </c>
      <c r="BO2520" s="9">
        <f t="shared" si="358"/>
        <v>7.16</v>
      </c>
      <c r="BP2520" s="9">
        <f t="shared" si="359"/>
        <v>120.44999999999999</v>
      </c>
    </row>
    <row r="2521" spans="1:68">
      <c r="A2521" s="6">
        <v>44988</v>
      </c>
      <c r="B2521" s="7">
        <v>3021</v>
      </c>
      <c r="C2521" s="8"/>
      <c r="D2521" s="8">
        <v>342.81</v>
      </c>
      <c r="E2521" s="8"/>
      <c r="F2521" s="8"/>
      <c r="G2521" s="8"/>
      <c r="H2521" s="8"/>
      <c r="I2521" s="8">
        <v>633.49</v>
      </c>
      <c r="J2521" s="8"/>
      <c r="K2521" s="8"/>
      <c r="L2521" s="8"/>
      <c r="M2521" s="8"/>
      <c r="N2521" s="8">
        <v>5.18</v>
      </c>
      <c r="O2521" s="8"/>
      <c r="P2521" s="8"/>
      <c r="Q2521" s="11"/>
      <c r="R2521" s="11"/>
      <c r="S2521" s="8">
        <v>1.76</v>
      </c>
      <c r="T2521" s="8"/>
      <c r="U2521" s="8"/>
      <c r="V2521" s="8"/>
      <c r="W2521" s="8">
        <v>9.7899999999999991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>
        <v>9.66</v>
      </c>
      <c r="AN2521" s="8"/>
      <c r="AO2521" s="8"/>
      <c r="AP2521" s="11"/>
      <c r="AQ2521" s="8"/>
      <c r="AR2521" s="8"/>
      <c r="AS2521" s="8">
        <f>2631*9.32/1000</f>
        <v>24.52092</v>
      </c>
      <c r="AT2521" s="8">
        <v>457.76</v>
      </c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>
        <v>34.65</v>
      </c>
      <c r="BH2521" s="9">
        <f t="shared" si="351"/>
        <v>976.3</v>
      </c>
      <c r="BI2521" s="9">
        <f t="shared" si="352"/>
        <v>5.18</v>
      </c>
      <c r="BJ2521" s="9">
        <f t="shared" si="353"/>
        <v>1.76</v>
      </c>
      <c r="BK2521" s="9">
        <f t="shared" si="354"/>
        <v>9.7899999999999991</v>
      </c>
      <c r="BL2521" s="9">
        <f t="shared" si="355"/>
        <v>0</v>
      </c>
      <c r="BM2521" s="9">
        <f t="shared" si="356"/>
        <v>34.18092</v>
      </c>
      <c r="BN2521" s="9">
        <f t="shared" si="357"/>
        <v>457.76</v>
      </c>
      <c r="BO2521" s="9">
        <f t="shared" si="358"/>
        <v>0</v>
      </c>
      <c r="BP2521" s="9">
        <f t="shared" si="359"/>
        <v>0</v>
      </c>
    </row>
    <row r="2522" spans="1:68">
      <c r="A2522" s="6">
        <v>44988</v>
      </c>
      <c r="B2522" s="7">
        <v>3022</v>
      </c>
      <c r="C2522" s="8"/>
      <c r="D2522" s="8">
        <v>555.70000000000005</v>
      </c>
      <c r="E2522" s="8"/>
      <c r="F2522" s="8"/>
      <c r="G2522" s="8"/>
      <c r="H2522" s="8"/>
      <c r="I2522" s="8">
        <v>456.58</v>
      </c>
      <c r="J2522" s="8"/>
      <c r="K2522" s="8"/>
      <c r="L2522" s="8"/>
      <c r="M2522" s="8"/>
      <c r="N2522" s="8">
        <v>5.08</v>
      </c>
      <c r="O2522" s="8"/>
      <c r="P2522" s="8"/>
      <c r="Q2522" s="11"/>
      <c r="R2522" s="11"/>
      <c r="S2522" s="8">
        <v>1.82</v>
      </c>
      <c r="T2522" s="8"/>
      <c r="U2522" s="8"/>
      <c r="V2522" s="8"/>
      <c r="W2522" s="8">
        <v>10.14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>
        <v>13.15</v>
      </c>
      <c r="AN2522" s="8"/>
      <c r="AO2522" s="8"/>
      <c r="AP2522" s="11"/>
      <c r="AQ2522" s="8"/>
      <c r="AR2522" s="8"/>
      <c r="AS2522" s="8">
        <f>3846*9.2/1000</f>
        <v>35.383199999999995</v>
      </c>
      <c r="AT2522" s="8">
        <v>474.56</v>
      </c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>
        <v>36.44</v>
      </c>
      <c r="BH2522" s="9">
        <f t="shared" si="351"/>
        <v>1012.28</v>
      </c>
      <c r="BI2522" s="9">
        <f t="shared" si="352"/>
        <v>5.08</v>
      </c>
      <c r="BJ2522" s="9">
        <f t="shared" si="353"/>
        <v>1.82</v>
      </c>
      <c r="BK2522" s="9">
        <f t="shared" si="354"/>
        <v>10.14</v>
      </c>
      <c r="BL2522" s="9">
        <f t="shared" si="355"/>
        <v>0</v>
      </c>
      <c r="BM2522" s="9">
        <f t="shared" si="356"/>
        <v>48.533199999999994</v>
      </c>
      <c r="BN2522" s="9">
        <f t="shared" si="357"/>
        <v>474.56</v>
      </c>
      <c r="BO2522" s="9">
        <f t="shared" si="358"/>
        <v>0</v>
      </c>
      <c r="BP2522" s="9">
        <f t="shared" si="359"/>
        <v>0</v>
      </c>
    </row>
    <row r="2523" spans="1:68">
      <c r="A2523" s="6">
        <v>44988</v>
      </c>
      <c r="B2523" s="7">
        <v>3023</v>
      </c>
      <c r="C2523" s="8"/>
      <c r="D2523" s="8">
        <v>866.02</v>
      </c>
      <c r="E2523" s="8"/>
      <c r="F2523" s="8"/>
      <c r="G2523" s="8"/>
      <c r="H2523" s="8"/>
      <c r="I2523" s="8">
        <v>466.42</v>
      </c>
      <c r="J2523" s="8"/>
      <c r="K2523" s="8"/>
      <c r="L2523" s="8"/>
      <c r="M2523" s="8"/>
      <c r="N2523" s="8">
        <v>7.48</v>
      </c>
      <c r="O2523" s="8"/>
      <c r="P2523" s="8"/>
      <c r="Q2523" s="11"/>
      <c r="R2523" s="11"/>
      <c r="S2523" s="8">
        <v>2.13</v>
      </c>
      <c r="T2523" s="8"/>
      <c r="U2523" s="8"/>
      <c r="V2523" s="8"/>
      <c r="W2523" s="8">
        <v>11.99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>
        <v>13.32</v>
      </c>
      <c r="AN2523" s="8">
        <f>1028*9.18/1000</f>
        <v>9.4370399999999997</v>
      </c>
      <c r="AO2523" s="8"/>
      <c r="AP2523" s="11"/>
      <c r="AQ2523" s="8"/>
      <c r="AR2523" s="8"/>
      <c r="AS2523" s="8">
        <f>4787*9.18/1000</f>
        <v>43.944659999999999</v>
      </c>
      <c r="AT2523" s="8">
        <v>545.84</v>
      </c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>
        <v>41.24</v>
      </c>
      <c r="BH2523" s="9">
        <f t="shared" si="351"/>
        <v>1332.44</v>
      </c>
      <c r="BI2523" s="9">
        <f t="shared" si="352"/>
        <v>7.48</v>
      </c>
      <c r="BJ2523" s="9">
        <f t="shared" si="353"/>
        <v>2.13</v>
      </c>
      <c r="BK2523" s="9">
        <f t="shared" si="354"/>
        <v>11.99</v>
      </c>
      <c r="BL2523" s="9">
        <f t="shared" si="355"/>
        <v>0</v>
      </c>
      <c r="BM2523" s="9">
        <f t="shared" si="356"/>
        <v>66.701700000000002</v>
      </c>
      <c r="BN2523" s="9">
        <f t="shared" si="357"/>
        <v>545.84</v>
      </c>
      <c r="BO2523" s="9">
        <f t="shared" si="358"/>
        <v>0</v>
      </c>
      <c r="BP2523" s="9">
        <f t="shared" si="359"/>
        <v>0</v>
      </c>
    </row>
    <row r="2524" spans="1:68">
      <c r="A2524" s="6">
        <v>44988</v>
      </c>
      <c r="B2524" s="7">
        <v>3028</v>
      </c>
      <c r="C2524" s="8"/>
      <c r="D2524" s="8">
        <v>380.86</v>
      </c>
      <c r="E2524" s="8"/>
      <c r="F2524" s="8">
        <v>349.2</v>
      </c>
      <c r="G2524" s="8"/>
      <c r="H2524" s="8"/>
      <c r="I2524" s="8">
        <v>787.47</v>
      </c>
      <c r="J2524" s="8"/>
      <c r="K2524" s="8"/>
      <c r="L2524" s="8"/>
      <c r="M2524" s="8"/>
      <c r="N2524" s="8">
        <v>11.68</v>
      </c>
      <c r="O2524" s="8"/>
      <c r="P2524" s="8"/>
      <c r="Q2524" s="11"/>
      <c r="R2524" s="11"/>
      <c r="S2524" s="8">
        <v>2.13</v>
      </c>
      <c r="T2524" s="8"/>
      <c r="U2524" s="8"/>
      <c r="V2524" s="8"/>
      <c r="W2524" s="8">
        <v>11.37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>
        <v>15.19</v>
      </c>
      <c r="AN2524" s="8">
        <f>1044*10.12/1000</f>
        <v>10.56528</v>
      </c>
      <c r="AO2524" s="8"/>
      <c r="AP2524" s="11"/>
      <c r="AQ2524" s="8"/>
      <c r="AR2524" s="8"/>
      <c r="AS2524" s="8">
        <f>4951*10.12/1000</f>
        <v>50.104119999999995</v>
      </c>
      <c r="AT2524" s="8">
        <v>506.4</v>
      </c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>
        <v>34.619999999999997</v>
      </c>
      <c r="BH2524" s="9">
        <f t="shared" si="351"/>
        <v>1517.53</v>
      </c>
      <c r="BI2524" s="9">
        <f t="shared" si="352"/>
        <v>11.68</v>
      </c>
      <c r="BJ2524" s="9">
        <f t="shared" si="353"/>
        <v>2.13</v>
      </c>
      <c r="BK2524" s="9">
        <f t="shared" si="354"/>
        <v>11.37</v>
      </c>
      <c r="BL2524" s="9">
        <f t="shared" si="355"/>
        <v>0</v>
      </c>
      <c r="BM2524" s="9">
        <f t="shared" si="356"/>
        <v>75.859399999999994</v>
      </c>
      <c r="BN2524" s="9">
        <f t="shared" si="357"/>
        <v>506.4</v>
      </c>
      <c r="BO2524" s="9">
        <f t="shared" si="358"/>
        <v>0</v>
      </c>
      <c r="BP2524" s="9">
        <f t="shared" si="359"/>
        <v>0</v>
      </c>
    </row>
    <row r="2525" spans="1:68">
      <c r="A2525" s="6">
        <v>44991</v>
      </c>
      <c r="B2525" s="7">
        <v>3101</v>
      </c>
      <c r="C2525" s="8">
        <v>633.02</v>
      </c>
      <c r="D2525" s="8"/>
      <c r="E2525" s="8"/>
      <c r="F2525" s="8"/>
      <c r="G2525" s="8"/>
      <c r="H2525" s="8"/>
      <c r="I2525" s="8"/>
      <c r="J2525" s="8"/>
      <c r="K2525" s="8"/>
      <c r="L2525" s="8"/>
      <c r="M2525" s="8">
        <v>1.46</v>
      </c>
      <c r="N2525" s="8"/>
      <c r="O2525" s="8"/>
      <c r="P2525" s="8"/>
      <c r="Q2525" s="11"/>
      <c r="R2525" s="11"/>
      <c r="S2525" s="8">
        <v>3.68</v>
      </c>
      <c r="T2525" s="8"/>
      <c r="U2525" s="8">
        <v>10.16</v>
      </c>
      <c r="V2525" s="8"/>
      <c r="W2525" s="8"/>
      <c r="X2525" s="8"/>
      <c r="Y2525" s="8"/>
      <c r="Z2525" s="8"/>
      <c r="AA2525" s="8"/>
      <c r="AB2525" s="8"/>
      <c r="AC2525" s="8">
        <v>2.5299999999999998</v>
      </c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11"/>
      <c r="AQ2525" s="8"/>
      <c r="AR2525" s="8"/>
      <c r="AS2525" s="8"/>
      <c r="AT2525" s="8">
        <v>425.05</v>
      </c>
      <c r="AU2525" s="8"/>
      <c r="AV2525" s="8"/>
      <c r="AW2525" s="8">
        <v>13.51</v>
      </c>
      <c r="AX2525" s="8"/>
      <c r="AY2525" s="8"/>
      <c r="AZ2525" s="8"/>
      <c r="BA2525" s="8"/>
      <c r="BB2525" s="8"/>
      <c r="BC2525" s="8"/>
      <c r="BD2525" s="8"/>
      <c r="BE2525" s="8"/>
      <c r="BF2525" s="8">
        <v>82.42</v>
      </c>
      <c r="BG2525" s="8">
        <v>32.75</v>
      </c>
      <c r="BH2525" s="9">
        <f t="shared" si="351"/>
        <v>633.02</v>
      </c>
      <c r="BI2525" s="9">
        <f t="shared" si="352"/>
        <v>1.46</v>
      </c>
      <c r="BJ2525" s="9">
        <f t="shared" si="353"/>
        <v>3.68</v>
      </c>
      <c r="BK2525" s="9">
        <f t="shared" si="354"/>
        <v>10.16</v>
      </c>
      <c r="BL2525" s="9">
        <f t="shared" si="355"/>
        <v>0</v>
      </c>
      <c r="BM2525" s="9">
        <f t="shared" si="356"/>
        <v>2.5299999999999998</v>
      </c>
      <c r="BN2525" s="9">
        <f t="shared" si="357"/>
        <v>425.05</v>
      </c>
      <c r="BO2525" s="9">
        <f t="shared" si="358"/>
        <v>13.51</v>
      </c>
      <c r="BP2525" s="9">
        <f t="shared" si="359"/>
        <v>82.42</v>
      </c>
    </row>
    <row r="2526" spans="1:68">
      <c r="A2526" s="6">
        <v>44991</v>
      </c>
      <c r="B2526" s="7">
        <v>3134</v>
      </c>
      <c r="C2526" s="8">
        <v>1080.5</v>
      </c>
      <c r="D2526" s="8">
        <v>152.63</v>
      </c>
      <c r="E2526" s="8"/>
      <c r="F2526" s="8"/>
      <c r="G2526" s="8"/>
      <c r="H2526" s="8">
        <v>511.74</v>
      </c>
      <c r="I2526" s="8"/>
      <c r="J2526" s="8"/>
      <c r="K2526" s="8"/>
      <c r="L2526" s="8"/>
      <c r="M2526" s="8">
        <v>3.1</v>
      </c>
      <c r="N2526" s="8"/>
      <c r="O2526" s="8"/>
      <c r="P2526" s="8"/>
      <c r="Q2526" s="11"/>
      <c r="R2526" s="11"/>
      <c r="S2526" s="8">
        <v>6.98</v>
      </c>
      <c r="T2526" s="8"/>
      <c r="U2526" s="8">
        <v>19.75</v>
      </c>
      <c r="V2526" s="8"/>
      <c r="W2526" s="8"/>
      <c r="X2526" s="8"/>
      <c r="Y2526" s="8"/>
      <c r="Z2526" s="8"/>
      <c r="AA2526" s="8"/>
      <c r="AB2526" s="8"/>
      <c r="AC2526" s="8">
        <v>6.06</v>
      </c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11"/>
      <c r="AQ2526" s="8"/>
      <c r="AR2526" s="8"/>
      <c r="AS2526" s="8"/>
      <c r="AT2526" s="8">
        <v>1067.56</v>
      </c>
      <c r="AU2526" s="8"/>
      <c r="AV2526" s="8"/>
      <c r="AW2526" s="8"/>
      <c r="AX2526" s="8"/>
      <c r="AY2526" s="8">
        <f>1434*10.83/1000</f>
        <v>15.53022</v>
      </c>
      <c r="AZ2526" s="8"/>
      <c r="BA2526" s="8"/>
      <c r="BB2526" s="8"/>
      <c r="BC2526" s="8"/>
      <c r="BD2526" s="8"/>
      <c r="BE2526" s="8"/>
      <c r="BF2526" s="8">
        <v>68.290000000000006</v>
      </c>
      <c r="BG2526" s="8">
        <v>80.319999999999993</v>
      </c>
      <c r="BH2526" s="9">
        <f t="shared" si="351"/>
        <v>1744.8700000000001</v>
      </c>
      <c r="BI2526" s="9">
        <f t="shared" si="352"/>
        <v>3.1</v>
      </c>
      <c r="BJ2526" s="9">
        <f t="shared" si="353"/>
        <v>6.98</v>
      </c>
      <c r="BK2526" s="9">
        <f t="shared" si="354"/>
        <v>19.75</v>
      </c>
      <c r="BL2526" s="9">
        <f t="shared" si="355"/>
        <v>0</v>
      </c>
      <c r="BM2526" s="9">
        <f t="shared" si="356"/>
        <v>6.06</v>
      </c>
      <c r="BN2526" s="9">
        <f t="shared" si="357"/>
        <v>1067.56</v>
      </c>
      <c r="BO2526" s="9">
        <f t="shared" si="358"/>
        <v>15.53022</v>
      </c>
      <c r="BP2526" s="9">
        <f t="shared" si="359"/>
        <v>68.290000000000006</v>
      </c>
    </row>
    <row r="2527" spans="1:68">
      <c r="A2527" s="6">
        <v>44991</v>
      </c>
      <c r="B2527" s="7">
        <v>3106</v>
      </c>
      <c r="C2527" s="8">
        <v>4169.6000000000004</v>
      </c>
      <c r="D2527" s="8"/>
      <c r="E2527" s="8"/>
      <c r="F2527" s="8"/>
      <c r="G2527" s="8"/>
      <c r="H2527" s="8"/>
      <c r="I2527" s="8"/>
      <c r="J2527" s="8"/>
      <c r="K2527" s="8"/>
      <c r="L2527" s="8"/>
      <c r="M2527" s="8">
        <v>10.85</v>
      </c>
      <c r="N2527" s="8"/>
      <c r="O2527" s="8"/>
      <c r="P2527" s="8"/>
      <c r="Q2527" s="11"/>
      <c r="R2527" s="11"/>
      <c r="S2527" s="8">
        <v>12.54</v>
      </c>
      <c r="T2527" s="8"/>
      <c r="U2527" s="8">
        <v>53.04</v>
      </c>
      <c r="V2527" s="8"/>
      <c r="W2527" s="8"/>
      <c r="X2527" s="8"/>
      <c r="Y2527" s="8"/>
      <c r="Z2527" s="8"/>
      <c r="AA2527" s="8"/>
      <c r="AB2527" s="8"/>
      <c r="AC2527" s="8">
        <v>10.43</v>
      </c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11"/>
      <c r="AQ2527" s="8"/>
      <c r="AR2527" s="8"/>
      <c r="AS2527" s="8"/>
      <c r="AT2527" s="8">
        <v>2379.02</v>
      </c>
      <c r="AU2527" s="8"/>
      <c r="AV2527" s="8"/>
      <c r="AW2527" s="8"/>
      <c r="AX2527" s="8">
        <v>5.22</v>
      </c>
      <c r="AY2527" s="8"/>
      <c r="AZ2527" s="8"/>
      <c r="BA2527" s="8"/>
      <c r="BB2527" s="8"/>
      <c r="BC2527" s="8"/>
      <c r="BD2527" s="8"/>
      <c r="BE2527" s="8"/>
      <c r="BF2527" s="8"/>
      <c r="BG2527" s="8">
        <v>179.73</v>
      </c>
      <c r="BH2527" s="9">
        <f t="shared" si="351"/>
        <v>4169.6000000000004</v>
      </c>
      <c r="BI2527" s="9">
        <f t="shared" si="352"/>
        <v>10.85</v>
      </c>
      <c r="BJ2527" s="9">
        <f t="shared" si="353"/>
        <v>12.54</v>
      </c>
      <c r="BK2527" s="9">
        <f t="shared" si="354"/>
        <v>53.04</v>
      </c>
      <c r="BL2527" s="9">
        <f t="shared" si="355"/>
        <v>0</v>
      </c>
      <c r="BM2527" s="9">
        <f t="shared" si="356"/>
        <v>10.43</v>
      </c>
      <c r="BN2527" s="9">
        <f t="shared" si="357"/>
        <v>2379.02</v>
      </c>
      <c r="BO2527" s="9">
        <f t="shared" si="358"/>
        <v>5.22</v>
      </c>
      <c r="BP2527" s="9">
        <f t="shared" si="359"/>
        <v>0</v>
      </c>
    </row>
    <row r="2528" spans="1:68">
      <c r="A2528" s="6">
        <v>44991</v>
      </c>
      <c r="B2528" s="7">
        <v>3144</v>
      </c>
      <c r="C2528" s="8">
        <v>1232.73</v>
      </c>
      <c r="D2528" s="8">
        <v>217.07</v>
      </c>
      <c r="E2528" s="8"/>
      <c r="F2528" s="8"/>
      <c r="G2528" s="8"/>
      <c r="H2528" s="8"/>
      <c r="I2528" s="8"/>
      <c r="J2528" s="8"/>
      <c r="K2528" s="8"/>
      <c r="L2528" s="8"/>
      <c r="M2528" s="8">
        <v>4.43</v>
      </c>
      <c r="N2528" s="8"/>
      <c r="O2528" s="8"/>
      <c r="P2528" s="8"/>
      <c r="Q2528" s="11"/>
      <c r="R2528" s="11"/>
      <c r="S2528" s="8">
        <v>6.81</v>
      </c>
      <c r="T2528" s="8"/>
      <c r="U2528" s="8">
        <v>21.71</v>
      </c>
      <c r="V2528" s="8"/>
      <c r="W2528" s="8"/>
      <c r="X2528" s="8"/>
      <c r="Y2528" s="8"/>
      <c r="Z2528" s="8"/>
      <c r="AA2528" s="8"/>
      <c r="AB2528" s="8"/>
      <c r="AC2528" s="8">
        <v>5.79</v>
      </c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11">
        <f>1206*9.65/1000</f>
        <v>11.6379</v>
      </c>
      <c r="AQ2528" s="8"/>
      <c r="AR2528" s="8"/>
      <c r="AS2528" s="8"/>
      <c r="AT2528" s="8">
        <v>953.69</v>
      </c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>
        <v>101.41</v>
      </c>
      <c r="BG2528" s="8">
        <v>75.27</v>
      </c>
      <c r="BH2528" s="9">
        <f t="shared" si="351"/>
        <v>1449.8</v>
      </c>
      <c r="BI2528" s="9">
        <f t="shared" si="352"/>
        <v>4.43</v>
      </c>
      <c r="BJ2528" s="9">
        <f t="shared" si="353"/>
        <v>6.81</v>
      </c>
      <c r="BK2528" s="9">
        <f t="shared" si="354"/>
        <v>21.71</v>
      </c>
      <c r="BL2528" s="9">
        <f t="shared" si="355"/>
        <v>0</v>
      </c>
      <c r="BM2528" s="9">
        <f t="shared" si="356"/>
        <v>17.427900000000001</v>
      </c>
      <c r="BN2528" s="9">
        <f t="shared" si="357"/>
        <v>953.69</v>
      </c>
      <c r="BO2528" s="9">
        <f t="shared" si="358"/>
        <v>0</v>
      </c>
      <c r="BP2528" s="9">
        <f t="shared" si="359"/>
        <v>101.41</v>
      </c>
    </row>
    <row r="2529" spans="1:68">
      <c r="A2529" s="6">
        <v>44991</v>
      </c>
      <c r="B2529" s="7">
        <v>3083</v>
      </c>
      <c r="C2529" s="8"/>
      <c r="D2529" s="8">
        <v>1053.67</v>
      </c>
      <c r="E2529" s="8"/>
      <c r="F2529" s="8"/>
      <c r="G2529" s="8"/>
      <c r="H2529" s="8"/>
      <c r="I2529" s="8">
        <v>2460.08</v>
      </c>
      <c r="J2529" s="8"/>
      <c r="K2529" s="8"/>
      <c r="L2529" s="8"/>
      <c r="M2529" s="8"/>
      <c r="N2529" s="8">
        <v>22.85</v>
      </c>
      <c r="O2529" s="8"/>
      <c r="P2529" s="8"/>
      <c r="Q2529" s="11"/>
      <c r="R2529" s="11"/>
      <c r="S2529" s="8">
        <v>2.46</v>
      </c>
      <c r="T2529" s="8"/>
      <c r="U2529" s="8"/>
      <c r="V2529" s="8"/>
      <c r="W2529" s="8">
        <v>28.15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>
        <v>14.06</v>
      </c>
      <c r="AN2529" s="8">
        <f>1944*26.03/1000</f>
        <v>50.602319999999999</v>
      </c>
      <c r="AO2529" s="8"/>
      <c r="AP2529" s="11"/>
      <c r="AQ2529" s="8"/>
      <c r="AR2529" s="8">
        <f>3465*26.03/1000</f>
        <v>90.193950000000001</v>
      </c>
      <c r="AS2529" s="8"/>
      <c r="AT2529" s="8">
        <v>1654</v>
      </c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>
        <v>131.1</v>
      </c>
      <c r="BH2529" s="9">
        <f t="shared" si="351"/>
        <v>3513.75</v>
      </c>
      <c r="BI2529" s="9">
        <f t="shared" si="352"/>
        <v>22.85</v>
      </c>
      <c r="BJ2529" s="9">
        <f t="shared" si="353"/>
        <v>2.46</v>
      </c>
      <c r="BK2529" s="9">
        <f t="shared" si="354"/>
        <v>28.15</v>
      </c>
      <c r="BL2529" s="9">
        <f t="shared" si="355"/>
        <v>0</v>
      </c>
      <c r="BM2529" s="9">
        <f t="shared" si="356"/>
        <v>154.85626999999999</v>
      </c>
      <c r="BN2529" s="9">
        <f t="shared" si="357"/>
        <v>1654</v>
      </c>
      <c r="BO2529" s="9">
        <f t="shared" si="358"/>
        <v>0</v>
      </c>
      <c r="BP2529" s="9">
        <f t="shared" si="359"/>
        <v>0</v>
      </c>
    </row>
    <row r="2530" spans="1:68">
      <c r="A2530" s="6">
        <v>44991</v>
      </c>
      <c r="B2530" s="7">
        <v>3016</v>
      </c>
      <c r="C2530" s="8"/>
      <c r="D2530" s="8">
        <v>1549.54</v>
      </c>
      <c r="E2530" s="8"/>
      <c r="F2530" s="8"/>
      <c r="G2530" s="8"/>
      <c r="H2530" s="8"/>
      <c r="I2530" s="8">
        <v>1433</v>
      </c>
      <c r="J2530" s="8"/>
      <c r="K2530" s="8"/>
      <c r="L2530" s="8"/>
      <c r="M2530" s="8"/>
      <c r="N2530" s="8">
        <v>18.52</v>
      </c>
      <c r="O2530" s="8"/>
      <c r="P2530" s="8"/>
      <c r="Q2530" s="11"/>
      <c r="R2530" s="11"/>
      <c r="S2530" s="8">
        <v>2.09</v>
      </c>
      <c r="T2530" s="8"/>
      <c r="U2530" s="8"/>
      <c r="V2530" s="8"/>
      <c r="W2530" s="8">
        <v>29.85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>
        <v>11.94</v>
      </c>
      <c r="AN2530" s="8">
        <f>2033*17.57/1000</f>
        <v>35.719809999999995</v>
      </c>
      <c r="AO2530" s="8"/>
      <c r="AP2530" s="11"/>
      <c r="AQ2530" s="8"/>
      <c r="AR2530" s="8">
        <f>4269*17.57/1000</f>
        <v>75.006330000000005</v>
      </c>
      <c r="AS2530" s="8"/>
      <c r="AT2530" s="8">
        <v>1109.53</v>
      </c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>
        <v>81.180000000000007</v>
      </c>
      <c r="BH2530" s="9">
        <f t="shared" si="351"/>
        <v>2982.54</v>
      </c>
      <c r="BI2530" s="9">
        <f t="shared" si="352"/>
        <v>18.52</v>
      </c>
      <c r="BJ2530" s="9">
        <f t="shared" si="353"/>
        <v>2.09</v>
      </c>
      <c r="BK2530" s="9">
        <f t="shared" si="354"/>
        <v>29.85</v>
      </c>
      <c r="BL2530" s="9">
        <f t="shared" si="355"/>
        <v>0</v>
      </c>
      <c r="BM2530" s="9">
        <f t="shared" si="356"/>
        <v>122.66614</v>
      </c>
      <c r="BN2530" s="9">
        <f t="shared" si="357"/>
        <v>1109.53</v>
      </c>
      <c r="BO2530" s="9">
        <f t="shared" si="358"/>
        <v>0</v>
      </c>
      <c r="BP2530" s="9">
        <f t="shared" si="359"/>
        <v>0</v>
      </c>
    </row>
    <row r="2531" spans="1:68">
      <c r="A2531" s="6">
        <v>44991</v>
      </c>
      <c r="B2531" s="7">
        <v>3020</v>
      </c>
      <c r="C2531" s="8"/>
      <c r="D2531" s="8">
        <v>167.48</v>
      </c>
      <c r="E2531" s="8"/>
      <c r="F2531" s="8"/>
      <c r="G2531" s="8"/>
      <c r="H2531" s="8"/>
      <c r="I2531" s="8">
        <v>947.21</v>
      </c>
      <c r="J2531" s="8"/>
      <c r="K2531" s="8"/>
      <c r="L2531" s="8"/>
      <c r="M2531" s="8"/>
      <c r="N2531" s="8">
        <v>6.8</v>
      </c>
      <c r="O2531" s="8"/>
      <c r="P2531" s="8"/>
      <c r="Q2531" s="11"/>
      <c r="R2531" s="11"/>
      <c r="S2531" s="8">
        <v>2.0099999999999998</v>
      </c>
      <c r="T2531" s="8"/>
      <c r="U2531" s="8"/>
      <c r="V2531" s="8"/>
      <c r="W2531" s="8">
        <v>11.16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>
        <v>11.14</v>
      </c>
      <c r="AN2531" s="8"/>
      <c r="AO2531" s="8"/>
      <c r="AP2531" s="11"/>
      <c r="AQ2531" s="8"/>
      <c r="AR2531" s="8"/>
      <c r="AS2531" s="8">
        <f>2931*9.28/1000</f>
        <v>27.199679999999997</v>
      </c>
      <c r="AT2531" s="8">
        <v>547.22</v>
      </c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>
        <v>40.07</v>
      </c>
      <c r="BH2531" s="9">
        <f t="shared" si="351"/>
        <v>1114.69</v>
      </c>
      <c r="BI2531" s="9">
        <f t="shared" si="352"/>
        <v>6.8</v>
      </c>
      <c r="BJ2531" s="9">
        <f t="shared" si="353"/>
        <v>2.0099999999999998</v>
      </c>
      <c r="BK2531" s="9">
        <f t="shared" si="354"/>
        <v>11.16</v>
      </c>
      <c r="BL2531" s="9">
        <f t="shared" si="355"/>
        <v>0</v>
      </c>
      <c r="BM2531" s="9">
        <f t="shared" si="356"/>
        <v>38.339680000000001</v>
      </c>
      <c r="BN2531" s="9">
        <f t="shared" si="357"/>
        <v>547.22</v>
      </c>
      <c r="BO2531" s="9">
        <f t="shared" si="358"/>
        <v>0</v>
      </c>
      <c r="BP2531" s="9">
        <f t="shared" si="359"/>
        <v>0</v>
      </c>
    </row>
    <row r="2532" spans="1:68">
      <c r="A2532" s="6">
        <v>44991</v>
      </c>
      <c r="B2532" s="7">
        <v>3025</v>
      </c>
      <c r="C2532" s="8"/>
      <c r="D2532" s="8">
        <v>217.63</v>
      </c>
      <c r="E2532" s="8"/>
      <c r="F2532" s="8"/>
      <c r="G2532" s="8"/>
      <c r="H2532" s="8"/>
      <c r="I2532" s="8">
        <v>1231.4000000000001</v>
      </c>
      <c r="J2532" s="8"/>
      <c r="K2532" s="8"/>
      <c r="L2532" s="8"/>
      <c r="M2532" s="8"/>
      <c r="N2532" s="8">
        <v>7.96</v>
      </c>
      <c r="O2532" s="8"/>
      <c r="P2532" s="8"/>
      <c r="Q2532" s="11"/>
      <c r="R2532" s="11"/>
      <c r="S2532" s="8">
        <v>2.31</v>
      </c>
      <c r="T2532" s="8"/>
      <c r="U2532" s="8"/>
      <c r="V2532" s="8"/>
      <c r="W2532" s="8">
        <v>13.02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>
        <v>14.48</v>
      </c>
      <c r="AN2532" s="8">
        <f>709*14.48/1000</f>
        <v>10.26632</v>
      </c>
      <c r="AO2532" s="8"/>
      <c r="AP2532" s="11"/>
      <c r="AQ2532" s="8"/>
      <c r="AR2532" s="8"/>
      <c r="AS2532" s="8">
        <f>3296*14.48/1000</f>
        <v>47.726080000000003</v>
      </c>
      <c r="AT2532" s="8">
        <v>501.41</v>
      </c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>
        <v>33.22</v>
      </c>
      <c r="BH2532" s="9">
        <f t="shared" si="351"/>
        <v>1449.0300000000002</v>
      </c>
      <c r="BI2532" s="9">
        <f t="shared" si="352"/>
        <v>7.96</v>
      </c>
      <c r="BJ2532" s="9">
        <f t="shared" si="353"/>
        <v>2.31</v>
      </c>
      <c r="BK2532" s="9">
        <f t="shared" si="354"/>
        <v>13.02</v>
      </c>
      <c r="BL2532" s="9">
        <f t="shared" si="355"/>
        <v>0</v>
      </c>
      <c r="BM2532" s="9">
        <f t="shared" si="356"/>
        <v>72.472400000000007</v>
      </c>
      <c r="BN2532" s="9">
        <f t="shared" si="357"/>
        <v>501.41</v>
      </c>
      <c r="BO2532" s="9">
        <f t="shared" si="358"/>
        <v>0</v>
      </c>
      <c r="BP2532" s="9">
        <f t="shared" si="359"/>
        <v>0</v>
      </c>
    </row>
    <row r="2533" spans="1:68">
      <c r="A2533" s="6">
        <v>44991</v>
      </c>
      <c r="B2533" s="7">
        <v>3203</v>
      </c>
      <c r="C2533" s="8">
        <v>1691.86</v>
      </c>
      <c r="D2533" s="8"/>
      <c r="E2533" s="8">
        <v>725.59</v>
      </c>
      <c r="F2533" s="8"/>
      <c r="G2533" s="8"/>
      <c r="H2533" s="8"/>
      <c r="I2533" s="8"/>
      <c r="J2533" s="8"/>
      <c r="K2533" s="8"/>
      <c r="L2533" s="8"/>
      <c r="M2533" s="8"/>
      <c r="N2533" s="8"/>
      <c r="O2533" s="8">
        <v>7.26</v>
      </c>
      <c r="P2533" s="8"/>
      <c r="Q2533" s="11"/>
      <c r="R2533" s="11"/>
      <c r="S2533" s="8">
        <v>9.42</v>
      </c>
      <c r="T2533" s="8"/>
      <c r="U2533" s="8">
        <v>29.96</v>
      </c>
      <c r="V2533" s="8"/>
      <c r="W2533" s="8"/>
      <c r="X2533" s="8"/>
      <c r="Y2533" s="8"/>
      <c r="Z2533" s="8">
        <v>380.78</v>
      </c>
      <c r="AA2533" s="8">
        <f>10392*28.43/1000</f>
        <v>295.44456000000002</v>
      </c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11"/>
      <c r="AQ2533" s="8"/>
      <c r="AR2533" s="8"/>
      <c r="AS2533" s="8"/>
      <c r="AT2533" s="8">
        <v>903.94</v>
      </c>
      <c r="AU2533" s="8">
        <v>452.42</v>
      </c>
      <c r="AV2533" s="8"/>
      <c r="AW2533" s="8"/>
      <c r="AX2533" s="8"/>
      <c r="AY2533" s="8"/>
      <c r="AZ2533" s="8"/>
      <c r="BA2533" s="8"/>
      <c r="BB2533" s="8"/>
      <c r="BC2533" s="8">
        <v>6.28</v>
      </c>
      <c r="BD2533" s="8"/>
      <c r="BE2533" s="8"/>
      <c r="BF2533" s="8"/>
      <c r="BG2533" s="8">
        <v>88.43</v>
      </c>
      <c r="BH2533" s="9">
        <f t="shared" si="351"/>
        <v>2417.4499999999998</v>
      </c>
      <c r="BI2533" s="9">
        <f t="shared" si="352"/>
        <v>7.26</v>
      </c>
      <c r="BJ2533" s="9">
        <f t="shared" si="353"/>
        <v>9.42</v>
      </c>
      <c r="BK2533" s="9">
        <f t="shared" si="354"/>
        <v>29.96</v>
      </c>
      <c r="BL2533" s="9">
        <f t="shared" si="355"/>
        <v>676.22456</v>
      </c>
      <c r="BM2533" s="9">
        <f t="shared" si="356"/>
        <v>0</v>
      </c>
      <c r="BN2533" s="9">
        <f t="shared" si="357"/>
        <v>1356.3600000000001</v>
      </c>
      <c r="BO2533" s="9">
        <f t="shared" si="358"/>
        <v>6.28</v>
      </c>
      <c r="BP2533" s="9">
        <f t="shared" si="359"/>
        <v>0</v>
      </c>
    </row>
    <row r="2534" spans="1:68">
      <c r="A2534" s="6">
        <v>44991</v>
      </c>
      <c r="B2534" s="7">
        <v>3201</v>
      </c>
      <c r="C2534" s="8">
        <v>1164.8</v>
      </c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>
        <v>2.91</v>
      </c>
      <c r="P2534" s="8"/>
      <c r="Q2534" s="11"/>
      <c r="R2534" s="11"/>
      <c r="S2534" s="8">
        <v>4.43</v>
      </c>
      <c r="T2534" s="8"/>
      <c r="U2534" s="8">
        <v>17.5</v>
      </c>
      <c r="V2534" s="8"/>
      <c r="W2534" s="8"/>
      <c r="X2534" s="8"/>
      <c r="Y2534" s="8"/>
      <c r="Z2534" s="8">
        <v>245.29</v>
      </c>
      <c r="AA2534" s="8"/>
      <c r="AB2534" s="8"/>
      <c r="AC2534" s="8"/>
      <c r="AD2534" s="8"/>
      <c r="AE2534" s="8"/>
      <c r="AF2534" s="8">
        <v>58.21</v>
      </c>
      <c r="AG2534" s="8"/>
      <c r="AH2534" s="8"/>
      <c r="AI2534" s="8"/>
      <c r="AJ2534" s="8"/>
      <c r="AK2534" s="8"/>
      <c r="AL2534" s="8"/>
      <c r="AM2534" s="8"/>
      <c r="AN2534" s="8"/>
      <c r="AO2534" s="8"/>
      <c r="AP2534" s="11"/>
      <c r="AQ2534" s="8">
        <f>1512*11.67/1000</f>
        <v>17.645040000000002</v>
      </c>
      <c r="AR2534" s="8"/>
      <c r="AS2534" s="8"/>
      <c r="AT2534" s="8">
        <v>799.37</v>
      </c>
      <c r="AU2534" s="8"/>
      <c r="AV2534" s="8"/>
      <c r="AW2534" s="8"/>
      <c r="AX2534" s="8"/>
      <c r="AY2534" s="8"/>
      <c r="AZ2534" s="8"/>
      <c r="BA2534" s="8"/>
      <c r="BB2534" s="8"/>
      <c r="BC2534" s="8">
        <v>3.04</v>
      </c>
      <c r="BD2534" s="8"/>
      <c r="BE2534" s="8"/>
      <c r="BF2534" s="8">
        <v>56.04</v>
      </c>
      <c r="BG2534" s="8">
        <v>57.78</v>
      </c>
      <c r="BH2534" s="9">
        <f t="shared" si="351"/>
        <v>1164.8</v>
      </c>
      <c r="BI2534" s="9">
        <f t="shared" si="352"/>
        <v>2.91</v>
      </c>
      <c r="BJ2534" s="9">
        <f t="shared" si="353"/>
        <v>4.43</v>
      </c>
      <c r="BK2534" s="9">
        <f t="shared" si="354"/>
        <v>17.5</v>
      </c>
      <c r="BL2534" s="9">
        <f t="shared" si="355"/>
        <v>245.29</v>
      </c>
      <c r="BM2534" s="9">
        <f t="shared" si="356"/>
        <v>75.855040000000002</v>
      </c>
      <c r="BN2534" s="9">
        <f t="shared" si="357"/>
        <v>799.37</v>
      </c>
      <c r="BO2534" s="9">
        <f t="shared" si="358"/>
        <v>3.04</v>
      </c>
      <c r="BP2534" s="9">
        <f t="shared" si="359"/>
        <v>56.04</v>
      </c>
    </row>
    <row r="2535" spans="1:68">
      <c r="A2535" s="6">
        <v>44992</v>
      </c>
      <c r="B2535" s="7">
        <v>3141</v>
      </c>
      <c r="C2535" s="8">
        <v>2434.37</v>
      </c>
      <c r="D2535" s="8">
        <v>429.6</v>
      </c>
      <c r="E2535" s="8"/>
      <c r="F2535" s="8"/>
      <c r="G2535" s="8"/>
      <c r="H2535" s="8"/>
      <c r="I2535" s="8"/>
      <c r="J2535" s="8"/>
      <c r="K2535" s="8"/>
      <c r="L2535" s="8"/>
      <c r="M2535" s="8">
        <v>7.85</v>
      </c>
      <c r="N2535" s="8"/>
      <c r="O2535" s="8"/>
      <c r="P2535" s="8"/>
      <c r="Q2535" s="11"/>
      <c r="R2535" s="11"/>
      <c r="S2535" s="8">
        <v>13.47</v>
      </c>
      <c r="T2535" s="8"/>
      <c r="U2535" s="8">
        <v>42.98</v>
      </c>
      <c r="V2535" s="8"/>
      <c r="W2535" s="8"/>
      <c r="X2535" s="8"/>
      <c r="Y2535" s="8"/>
      <c r="Z2535" s="8"/>
      <c r="AA2535" s="8"/>
      <c r="AB2535" s="8"/>
      <c r="AC2535" s="8">
        <v>11.47</v>
      </c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11"/>
      <c r="AQ2535" s="8"/>
      <c r="AR2535" s="8"/>
      <c r="AS2535" s="8"/>
      <c r="AT2535" s="8">
        <v>1895.3</v>
      </c>
      <c r="AU2535" s="8"/>
      <c r="AV2535" s="8"/>
      <c r="AW2535" s="8"/>
      <c r="AX2535" s="8"/>
      <c r="AY2535" s="8"/>
      <c r="AZ2535" s="8"/>
      <c r="BA2535" s="8">
        <v>65.680000000000007</v>
      </c>
      <c r="BB2535" s="8"/>
      <c r="BC2535" s="8"/>
      <c r="BD2535" s="8"/>
      <c r="BE2535" s="8"/>
      <c r="BF2535" s="8">
        <v>200.55</v>
      </c>
      <c r="BG2535" s="8">
        <v>148.91</v>
      </c>
      <c r="BH2535" s="9">
        <f t="shared" si="351"/>
        <v>2863.97</v>
      </c>
      <c r="BI2535" s="9">
        <f t="shared" si="352"/>
        <v>7.85</v>
      </c>
      <c r="BJ2535" s="9">
        <f t="shared" si="353"/>
        <v>13.47</v>
      </c>
      <c r="BK2535" s="9">
        <f t="shared" si="354"/>
        <v>42.98</v>
      </c>
      <c r="BL2535" s="9">
        <f t="shared" si="355"/>
        <v>0</v>
      </c>
      <c r="BM2535" s="9">
        <f t="shared" si="356"/>
        <v>11.47</v>
      </c>
      <c r="BN2535" s="9">
        <f t="shared" si="357"/>
        <v>1895.3</v>
      </c>
      <c r="BO2535" s="9">
        <f t="shared" si="358"/>
        <v>65.680000000000007</v>
      </c>
      <c r="BP2535" s="9">
        <f t="shared" si="359"/>
        <v>200.55</v>
      </c>
    </row>
    <row r="2536" spans="1:68">
      <c r="A2536" s="6">
        <v>44992</v>
      </c>
      <c r="B2536" s="7">
        <v>3145</v>
      </c>
      <c r="C2536" s="8">
        <v>1223.5999999999999</v>
      </c>
      <c r="D2536" s="8">
        <v>215.93</v>
      </c>
      <c r="E2536" s="8"/>
      <c r="F2536" s="8"/>
      <c r="G2536" s="8"/>
      <c r="H2536" s="8"/>
      <c r="I2536" s="8"/>
      <c r="J2536" s="8"/>
      <c r="K2536" s="8"/>
      <c r="L2536" s="8"/>
      <c r="M2536" s="8">
        <v>3.91</v>
      </c>
      <c r="N2536" s="8"/>
      <c r="O2536" s="8"/>
      <c r="P2536" s="8"/>
      <c r="Q2536" s="11"/>
      <c r="R2536" s="11"/>
      <c r="S2536" s="8">
        <v>6.77</v>
      </c>
      <c r="T2536" s="8"/>
      <c r="U2536" s="8">
        <v>21.6</v>
      </c>
      <c r="V2536" s="8"/>
      <c r="W2536" s="8"/>
      <c r="X2536" s="8"/>
      <c r="Y2536" s="8"/>
      <c r="Z2536" s="8"/>
      <c r="AA2536" s="8"/>
      <c r="AB2536" s="8"/>
      <c r="AC2536" s="8">
        <v>5.76</v>
      </c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11"/>
      <c r="AQ2536" s="8"/>
      <c r="AR2536" s="8"/>
      <c r="AS2536" s="8"/>
      <c r="AT2536" s="8">
        <v>956.01</v>
      </c>
      <c r="AU2536" s="8"/>
      <c r="AV2536" s="8"/>
      <c r="AW2536" s="8"/>
      <c r="AX2536" s="8"/>
      <c r="AY2536" s="8"/>
      <c r="AZ2536" s="8"/>
      <c r="BA2536" s="8"/>
      <c r="BB2536" s="8"/>
      <c r="BC2536" s="8"/>
      <c r="BD2536" s="8">
        <v>3.6</v>
      </c>
      <c r="BE2536" s="8">
        <f>1364*9.6/1000</f>
        <v>13.0944</v>
      </c>
      <c r="BF2536" s="8">
        <v>100.87</v>
      </c>
      <c r="BG2536" s="8">
        <v>75.03</v>
      </c>
      <c r="BH2536" s="9">
        <f t="shared" si="351"/>
        <v>1439.53</v>
      </c>
      <c r="BI2536" s="9">
        <f t="shared" si="352"/>
        <v>3.91</v>
      </c>
      <c r="BJ2536" s="9">
        <f t="shared" si="353"/>
        <v>6.77</v>
      </c>
      <c r="BK2536" s="9">
        <f t="shared" si="354"/>
        <v>21.6</v>
      </c>
      <c r="BL2536" s="9">
        <f t="shared" si="355"/>
        <v>0</v>
      </c>
      <c r="BM2536" s="9">
        <f t="shared" si="356"/>
        <v>5.76</v>
      </c>
      <c r="BN2536" s="9">
        <f t="shared" si="357"/>
        <v>956.01</v>
      </c>
      <c r="BO2536" s="9">
        <f t="shared" si="358"/>
        <v>16.694400000000002</v>
      </c>
      <c r="BP2536" s="9">
        <f t="shared" si="359"/>
        <v>100.87</v>
      </c>
    </row>
    <row r="2537" spans="1:68">
      <c r="A2537" s="6">
        <v>44992</v>
      </c>
      <c r="B2537" s="7">
        <v>3110</v>
      </c>
      <c r="C2537" s="8">
        <v>1228.3699999999999</v>
      </c>
      <c r="D2537" s="8"/>
      <c r="E2537" s="8"/>
      <c r="F2537" s="8"/>
      <c r="G2537" s="8"/>
      <c r="H2537" s="8"/>
      <c r="I2537" s="8"/>
      <c r="J2537" s="8"/>
      <c r="K2537" s="8"/>
      <c r="L2537" s="8"/>
      <c r="M2537" s="8">
        <v>1.89</v>
      </c>
      <c r="N2537" s="8"/>
      <c r="O2537" s="8"/>
      <c r="P2537" s="8"/>
      <c r="Q2537" s="11"/>
      <c r="R2537" s="11"/>
      <c r="S2537" s="8">
        <v>4.1900000000000004</v>
      </c>
      <c r="T2537" s="8"/>
      <c r="U2537" s="8">
        <v>12.34</v>
      </c>
      <c r="V2537" s="8"/>
      <c r="W2537" s="8"/>
      <c r="X2537" s="8"/>
      <c r="Y2537" s="8"/>
      <c r="Z2537" s="8"/>
      <c r="AA2537" s="8"/>
      <c r="AB2537" s="8"/>
      <c r="AC2537" s="8">
        <v>4.92</v>
      </c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11"/>
      <c r="AQ2537" s="8"/>
      <c r="AR2537" s="8"/>
      <c r="AS2537" s="8"/>
      <c r="AT2537" s="8">
        <v>643.74</v>
      </c>
      <c r="AU2537" s="8"/>
      <c r="AV2537" s="8">
        <v>20.97</v>
      </c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>
        <v>47.38</v>
      </c>
      <c r="BH2537" s="9">
        <f t="shared" si="351"/>
        <v>1228.3699999999999</v>
      </c>
      <c r="BI2537" s="9">
        <f t="shared" si="352"/>
        <v>1.89</v>
      </c>
      <c r="BJ2537" s="9">
        <f t="shared" si="353"/>
        <v>4.1900000000000004</v>
      </c>
      <c r="BK2537" s="9">
        <f t="shared" si="354"/>
        <v>12.34</v>
      </c>
      <c r="BL2537" s="9">
        <f t="shared" si="355"/>
        <v>0</v>
      </c>
      <c r="BM2537" s="9">
        <f t="shared" si="356"/>
        <v>4.92</v>
      </c>
      <c r="BN2537" s="9">
        <f t="shared" si="357"/>
        <v>643.74</v>
      </c>
      <c r="BO2537" s="9">
        <f t="shared" si="358"/>
        <v>20.97</v>
      </c>
      <c r="BP2537" s="9">
        <f t="shared" si="359"/>
        <v>0</v>
      </c>
    </row>
    <row r="2538" spans="1:68">
      <c r="A2538" s="6">
        <v>44992</v>
      </c>
      <c r="B2538" s="7">
        <v>3409</v>
      </c>
      <c r="C2538" s="8">
        <v>795.42</v>
      </c>
      <c r="D2538" s="8"/>
      <c r="E2538" s="8"/>
      <c r="F2538" s="8"/>
      <c r="G2538" s="8"/>
      <c r="H2538" s="8"/>
      <c r="I2538" s="8"/>
      <c r="J2538" s="8"/>
      <c r="K2538" s="8"/>
      <c r="L2538" s="8"/>
      <c r="M2538" s="8">
        <v>1.84</v>
      </c>
      <c r="N2538" s="8"/>
      <c r="O2538" s="8"/>
      <c r="P2538" s="8"/>
      <c r="Q2538" s="11"/>
      <c r="R2538" s="11"/>
      <c r="S2538" s="8">
        <v>1.99</v>
      </c>
      <c r="T2538" s="8"/>
      <c r="U2538" s="8"/>
      <c r="V2538" s="8"/>
      <c r="W2538" s="8"/>
      <c r="X2538" s="8">
        <f>1020*7.95/1000</f>
        <v>8.109</v>
      </c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11"/>
      <c r="AQ2538" s="8"/>
      <c r="AR2538" s="8"/>
      <c r="AS2538" s="8"/>
      <c r="AT2538" s="8">
        <v>407.44</v>
      </c>
      <c r="AU2538" s="8"/>
      <c r="AV2538" s="8">
        <v>23.93</v>
      </c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>
        <v>27.9</v>
      </c>
      <c r="BH2538" s="9">
        <f t="shared" si="351"/>
        <v>795.42</v>
      </c>
      <c r="BI2538" s="9">
        <f t="shared" si="352"/>
        <v>1.84</v>
      </c>
      <c r="BJ2538" s="9">
        <f t="shared" si="353"/>
        <v>1.99</v>
      </c>
      <c r="BK2538" s="9">
        <f t="shared" si="354"/>
        <v>8.109</v>
      </c>
      <c r="BL2538" s="9">
        <f t="shared" si="355"/>
        <v>0</v>
      </c>
      <c r="BM2538" s="9">
        <f t="shared" si="356"/>
        <v>0</v>
      </c>
      <c r="BN2538" s="9">
        <f t="shared" si="357"/>
        <v>407.44</v>
      </c>
      <c r="BO2538" s="9">
        <f t="shared" si="358"/>
        <v>23.93</v>
      </c>
      <c r="BP2538" s="9">
        <f t="shared" si="359"/>
        <v>0</v>
      </c>
    </row>
    <row r="2539" spans="1:68">
      <c r="A2539" s="6">
        <v>44992</v>
      </c>
      <c r="B2539" s="7">
        <v>3205</v>
      </c>
      <c r="C2539" s="8">
        <v>679.02</v>
      </c>
      <c r="D2539" s="8">
        <v>376.87</v>
      </c>
      <c r="E2539" s="8">
        <v>451.78</v>
      </c>
      <c r="F2539" s="8"/>
      <c r="G2539" s="8"/>
      <c r="H2539" s="8"/>
      <c r="I2539" s="8"/>
      <c r="J2539" s="8"/>
      <c r="K2539" s="8"/>
      <c r="L2539" s="8"/>
      <c r="M2539" s="8"/>
      <c r="N2539" s="8"/>
      <c r="O2539" s="8">
        <v>6.02</v>
      </c>
      <c r="P2539" s="8"/>
      <c r="Q2539" s="11"/>
      <c r="R2539" s="11"/>
      <c r="S2539" s="8">
        <v>5.58</v>
      </c>
      <c r="T2539" s="8"/>
      <c r="U2539" s="8">
        <v>18.100000000000001</v>
      </c>
      <c r="V2539" s="8"/>
      <c r="W2539" s="8"/>
      <c r="X2539" s="8"/>
      <c r="Y2539" s="8"/>
      <c r="Z2539" s="8">
        <v>150.91999999999999</v>
      </c>
      <c r="AA2539" s="8"/>
      <c r="AB2539" s="8">
        <f>1023*15.07/1000</f>
        <v>15.41661</v>
      </c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11"/>
      <c r="AQ2539" s="8">
        <f>504*15.07/1000</f>
        <v>7.5952799999999998</v>
      </c>
      <c r="AR2539" s="8"/>
      <c r="AS2539" s="8"/>
      <c r="AT2539" s="8">
        <v>393.87</v>
      </c>
      <c r="AU2539" s="8">
        <v>196.49</v>
      </c>
      <c r="AV2539" s="8"/>
      <c r="AW2539" s="8">
        <v>6.48</v>
      </c>
      <c r="AX2539" s="8"/>
      <c r="AY2539" s="8"/>
      <c r="AZ2539" s="8"/>
      <c r="BA2539" s="8"/>
      <c r="BB2539" s="8"/>
      <c r="BC2539" s="8"/>
      <c r="BD2539" s="8"/>
      <c r="BE2539" s="8"/>
      <c r="BF2539" s="8"/>
      <c r="BG2539" s="8">
        <v>35.46</v>
      </c>
      <c r="BH2539" s="9">
        <f t="shared" si="351"/>
        <v>1507.6699999999998</v>
      </c>
      <c r="BI2539" s="9">
        <f t="shared" si="352"/>
        <v>6.02</v>
      </c>
      <c r="BJ2539" s="9">
        <f t="shared" si="353"/>
        <v>5.58</v>
      </c>
      <c r="BK2539" s="9">
        <f t="shared" si="354"/>
        <v>18.100000000000001</v>
      </c>
      <c r="BL2539" s="9">
        <f t="shared" si="355"/>
        <v>150.91999999999999</v>
      </c>
      <c r="BM2539" s="9">
        <f t="shared" si="356"/>
        <v>23.011890000000001</v>
      </c>
      <c r="BN2539" s="9">
        <f t="shared" si="357"/>
        <v>590.36</v>
      </c>
      <c r="BO2539" s="9">
        <f t="shared" si="358"/>
        <v>6.48</v>
      </c>
      <c r="BP2539" s="9">
        <f t="shared" si="359"/>
        <v>0</v>
      </c>
    </row>
    <row r="2540" spans="1:68">
      <c r="A2540" s="6">
        <v>44992</v>
      </c>
      <c r="B2540" s="7">
        <v>3139</v>
      </c>
      <c r="C2540" s="8">
        <v>864.15</v>
      </c>
      <c r="D2540" s="8"/>
      <c r="E2540" s="8"/>
      <c r="F2540" s="8"/>
      <c r="G2540" s="8"/>
      <c r="H2540" s="8">
        <v>358.55</v>
      </c>
      <c r="I2540" s="8"/>
      <c r="J2540" s="8"/>
      <c r="K2540" s="8"/>
      <c r="L2540" s="8"/>
      <c r="M2540" s="8">
        <v>2.0299999999999998</v>
      </c>
      <c r="N2540" s="8"/>
      <c r="O2540" s="8"/>
      <c r="P2540" s="8"/>
      <c r="Q2540" s="11"/>
      <c r="R2540" s="11"/>
      <c r="S2540" s="8">
        <v>3.83</v>
      </c>
      <c r="T2540" s="8"/>
      <c r="U2540" s="8">
        <v>12.76</v>
      </c>
      <c r="V2540" s="8"/>
      <c r="W2540" s="8"/>
      <c r="X2540" s="8"/>
      <c r="Y2540" s="8"/>
      <c r="Z2540" s="8"/>
      <c r="AA2540" s="8"/>
      <c r="AB2540" s="8"/>
      <c r="AC2540" s="8">
        <v>4.26</v>
      </c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11"/>
      <c r="AQ2540" s="8"/>
      <c r="AR2540" s="8"/>
      <c r="AS2540" s="8"/>
      <c r="AT2540" s="8">
        <v>627.17999999999995</v>
      </c>
      <c r="AU2540" s="8"/>
      <c r="AV2540" s="8">
        <v>21.22</v>
      </c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>
        <v>45.76</v>
      </c>
      <c r="BH2540" s="9">
        <f t="shared" si="351"/>
        <v>1222.7</v>
      </c>
      <c r="BI2540" s="9">
        <f t="shared" si="352"/>
        <v>2.0299999999999998</v>
      </c>
      <c r="BJ2540" s="9">
        <f t="shared" si="353"/>
        <v>3.83</v>
      </c>
      <c r="BK2540" s="9">
        <f t="shared" si="354"/>
        <v>12.76</v>
      </c>
      <c r="BL2540" s="9">
        <f t="shared" si="355"/>
        <v>0</v>
      </c>
      <c r="BM2540" s="9">
        <f t="shared" si="356"/>
        <v>4.26</v>
      </c>
      <c r="BN2540" s="9">
        <f t="shared" si="357"/>
        <v>627.17999999999995</v>
      </c>
      <c r="BO2540" s="9">
        <f t="shared" si="358"/>
        <v>21.22</v>
      </c>
      <c r="BP2540" s="9">
        <f t="shared" si="359"/>
        <v>0</v>
      </c>
    </row>
    <row r="2541" spans="1:68">
      <c r="A2541" s="6">
        <v>44992</v>
      </c>
      <c r="B2541" s="7">
        <v>3029</v>
      </c>
      <c r="C2541" s="8"/>
      <c r="D2541" s="8">
        <v>454.49</v>
      </c>
      <c r="E2541" s="8"/>
      <c r="F2541" s="8">
        <v>320.77999999999997</v>
      </c>
      <c r="G2541" s="8"/>
      <c r="H2541" s="8"/>
      <c r="I2541" s="8">
        <v>1899.27</v>
      </c>
      <c r="J2541" s="8"/>
      <c r="K2541" s="8"/>
      <c r="L2541" s="8"/>
      <c r="M2541" s="8"/>
      <c r="N2541" s="8">
        <v>20.63</v>
      </c>
      <c r="O2541" s="8"/>
      <c r="P2541" s="8"/>
      <c r="Q2541" s="11"/>
      <c r="R2541" s="11"/>
      <c r="S2541" s="8">
        <v>1.6</v>
      </c>
      <c r="T2541" s="8"/>
      <c r="U2541" s="8"/>
      <c r="V2541" s="8"/>
      <c r="W2541" s="8">
        <v>26.77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>
        <v>9.26</v>
      </c>
      <c r="AN2541" s="8">
        <f>754*17.85/1000</f>
        <v>13.458900000000002</v>
      </c>
      <c r="AO2541" s="8"/>
      <c r="AP2541" s="11"/>
      <c r="AQ2541" s="8"/>
      <c r="AR2541" s="8">
        <f>4544*17.85/1000</f>
        <v>81.110400000000013</v>
      </c>
      <c r="AS2541" s="8"/>
      <c r="AT2541" s="8">
        <v>1015.87</v>
      </c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>
        <v>71.22</v>
      </c>
      <c r="BH2541" s="9">
        <f t="shared" si="351"/>
        <v>2674.54</v>
      </c>
      <c r="BI2541" s="9">
        <f t="shared" si="352"/>
        <v>20.63</v>
      </c>
      <c r="BJ2541" s="9">
        <f t="shared" si="353"/>
        <v>1.6</v>
      </c>
      <c r="BK2541" s="9">
        <f t="shared" si="354"/>
        <v>26.77</v>
      </c>
      <c r="BL2541" s="9">
        <f t="shared" si="355"/>
        <v>0</v>
      </c>
      <c r="BM2541" s="9">
        <f t="shared" si="356"/>
        <v>103.82930000000002</v>
      </c>
      <c r="BN2541" s="9">
        <f t="shared" si="357"/>
        <v>1015.87</v>
      </c>
      <c r="BO2541" s="9">
        <f t="shared" si="358"/>
        <v>0</v>
      </c>
      <c r="BP2541" s="9">
        <f t="shared" si="359"/>
        <v>0</v>
      </c>
    </row>
    <row r="2542" spans="1:68">
      <c r="A2542" s="6">
        <v>44992</v>
      </c>
      <c r="B2542" s="7">
        <v>3009</v>
      </c>
      <c r="C2542" s="8"/>
      <c r="D2542" s="8">
        <v>384.82</v>
      </c>
      <c r="E2542" s="8"/>
      <c r="F2542" s="8">
        <v>216.58</v>
      </c>
      <c r="G2542" s="8"/>
      <c r="H2542" s="8"/>
      <c r="I2542" s="8">
        <v>203.01</v>
      </c>
      <c r="J2542" s="8"/>
      <c r="K2542" s="8"/>
      <c r="L2542" s="8"/>
      <c r="M2542" s="8"/>
      <c r="N2542" s="8">
        <v>5.8</v>
      </c>
      <c r="O2542" s="8"/>
      <c r="P2542" s="8"/>
      <c r="Q2542" s="11"/>
      <c r="R2542" s="11"/>
      <c r="S2542" s="8">
        <v>0.48</v>
      </c>
      <c r="T2542" s="8"/>
      <c r="U2542" s="8"/>
      <c r="V2542" s="8"/>
      <c r="W2542" s="8">
        <v>6.52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>
        <v>2.82</v>
      </c>
      <c r="AN2542" s="8">
        <f>1526*5.37/1000</f>
        <v>8.1946200000000005</v>
      </c>
      <c r="AO2542" s="8"/>
      <c r="AP2542" s="11"/>
      <c r="AQ2542" s="8"/>
      <c r="AR2542" s="8">
        <f>5247*5.37/1000</f>
        <v>28.176389999999998</v>
      </c>
      <c r="AS2542" s="8"/>
      <c r="AT2542" s="8">
        <v>302.83</v>
      </c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>
        <v>22.14</v>
      </c>
      <c r="BH2542" s="9">
        <f t="shared" si="351"/>
        <v>804.41</v>
      </c>
      <c r="BI2542" s="9">
        <f t="shared" si="352"/>
        <v>5.8</v>
      </c>
      <c r="BJ2542" s="9">
        <f t="shared" si="353"/>
        <v>0.48</v>
      </c>
      <c r="BK2542" s="9">
        <f t="shared" si="354"/>
        <v>6.52</v>
      </c>
      <c r="BL2542" s="9">
        <f t="shared" si="355"/>
        <v>0</v>
      </c>
      <c r="BM2542" s="9">
        <f t="shared" si="356"/>
        <v>39.191009999999999</v>
      </c>
      <c r="BN2542" s="9">
        <f t="shared" si="357"/>
        <v>302.83</v>
      </c>
      <c r="BO2542" s="9">
        <f t="shared" si="358"/>
        <v>0</v>
      </c>
      <c r="BP2542" s="9">
        <f t="shared" si="359"/>
        <v>0</v>
      </c>
    </row>
    <row r="2543" spans="1:68">
      <c r="A2543" s="6">
        <v>44992</v>
      </c>
      <c r="B2543" s="7">
        <v>3701</v>
      </c>
      <c r="C2543" s="8">
        <v>371.66</v>
      </c>
      <c r="D2543" s="8"/>
      <c r="E2543" s="8"/>
      <c r="F2543" s="8"/>
      <c r="G2543" s="8"/>
      <c r="H2543" s="8"/>
      <c r="I2543" s="8"/>
      <c r="J2543" s="8">
        <f>48120*12.55/1000</f>
        <v>603.90599999999995</v>
      </c>
      <c r="K2543" s="8"/>
      <c r="L2543" s="8"/>
      <c r="M2543" s="8"/>
      <c r="N2543" s="8">
        <v>2.31</v>
      </c>
      <c r="O2543" s="8"/>
      <c r="P2543" s="8"/>
      <c r="Q2543" s="11"/>
      <c r="R2543" s="11"/>
      <c r="S2543" s="8">
        <v>2.71</v>
      </c>
      <c r="T2543" s="8"/>
      <c r="U2543" s="8">
        <v>6.02</v>
      </c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>
        <v>20.12</v>
      </c>
      <c r="AH2543" s="8"/>
      <c r="AI2543" s="8"/>
      <c r="AJ2543" s="8">
        <f>2452*12.55/1000</f>
        <v>30.772600000000001</v>
      </c>
      <c r="AK2543" s="8"/>
      <c r="AL2543" s="8"/>
      <c r="AM2543" s="8"/>
      <c r="AN2543" s="8"/>
      <c r="AO2543" s="8"/>
      <c r="AP2543" s="11"/>
      <c r="AQ2543" s="8"/>
      <c r="AR2543" s="8"/>
      <c r="AS2543" s="8"/>
      <c r="AT2543" s="8"/>
      <c r="AU2543" s="8">
        <v>354.59</v>
      </c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>
        <v>24.24</v>
      </c>
      <c r="BH2543" s="9">
        <f t="shared" si="351"/>
        <v>975.56600000000003</v>
      </c>
      <c r="BI2543" s="9">
        <f t="shared" si="352"/>
        <v>2.31</v>
      </c>
      <c r="BJ2543" s="9">
        <f t="shared" si="353"/>
        <v>2.71</v>
      </c>
      <c r="BK2543" s="9">
        <f t="shared" si="354"/>
        <v>6.02</v>
      </c>
      <c r="BL2543" s="9">
        <f t="shared" si="355"/>
        <v>0</v>
      </c>
      <c r="BM2543" s="9">
        <f t="shared" si="356"/>
        <v>50.892600000000002</v>
      </c>
      <c r="BN2543" s="9">
        <f t="shared" si="357"/>
        <v>354.59</v>
      </c>
      <c r="BO2543" s="9">
        <f t="shared" si="358"/>
        <v>0</v>
      </c>
      <c r="BP2543" s="9">
        <f t="shared" si="359"/>
        <v>0</v>
      </c>
    </row>
    <row r="2544" spans="1:68">
      <c r="A2544" s="6">
        <v>44992</v>
      </c>
      <c r="B2544" s="7">
        <v>3310</v>
      </c>
      <c r="C2544" s="8"/>
      <c r="D2544" s="8">
        <v>1011.3</v>
      </c>
      <c r="E2544" s="8"/>
      <c r="F2544" s="8"/>
      <c r="G2544" s="8"/>
      <c r="H2544" s="8"/>
      <c r="I2544" s="8"/>
      <c r="J2544" s="8"/>
      <c r="K2544" s="8"/>
      <c r="L2544" s="8"/>
      <c r="M2544" s="8">
        <v>2.04</v>
      </c>
      <c r="N2544" s="8"/>
      <c r="O2544" s="8"/>
      <c r="P2544" s="8"/>
      <c r="Q2544" s="11"/>
      <c r="R2544" s="11"/>
      <c r="S2544" s="8">
        <v>1.51</v>
      </c>
      <c r="T2544" s="8"/>
      <c r="U2544" s="8">
        <v>9.1300000000000008</v>
      </c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>
        <v>10.210000000000001</v>
      </c>
      <c r="AH2544" s="8"/>
      <c r="AI2544" s="8"/>
      <c r="AJ2544" s="8"/>
      <c r="AK2544" s="8"/>
      <c r="AL2544" s="8"/>
      <c r="AM2544" s="8"/>
      <c r="AN2544" s="8"/>
      <c r="AO2544" s="8"/>
      <c r="AP2544" s="11"/>
      <c r="AQ2544" s="8"/>
      <c r="AR2544" s="8"/>
      <c r="AS2544" s="8"/>
      <c r="AT2544" s="8">
        <v>270.67</v>
      </c>
      <c r="AU2544" s="8">
        <v>135.18</v>
      </c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>
        <v>28.21</v>
      </c>
      <c r="BH2544" s="9">
        <f t="shared" si="351"/>
        <v>1011.3</v>
      </c>
      <c r="BI2544" s="9">
        <f t="shared" si="352"/>
        <v>2.04</v>
      </c>
      <c r="BJ2544" s="9">
        <f t="shared" si="353"/>
        <v>1.51</v>
      </c>
      <c r="BK2544" s="9">
        <f t="shared" si="354"/>
        <v>9.1300000000000008</v>
      </c>
      <c r="BL2544" s="9">
        <f t="shared" si="355"/>
        <v>0</v>
      </c>
      <c r="BM2544" s="9">
        <f t="shared" si="356"/>
        <v>10.210000000000001</v>
      </c>
      <c r="BN2544" s="9">
        <f t="shared" si="357"/>
        <v>405.85</v>
      </c>
      <c r="BO2544" s="9">
        <f t="shared" si="358"/>
        <v>0</v>
      </c>
      <c r="BP2544" s="9">
        <f t="shared" si="359"/>
        <v>0</v>
      </c>
    </row>
    <row r="2545" spans="1:68">
      <c r="A2545" s="6">
        <v>44992</v>
      </c>
      <c r="B2545" s="7">
        <v>3122</v>
      </c>
      <c r="C2545" s="8">
        <v>1233.4000000000001</v>
      </c>
      <c r="D2545" s="8"/>
      <c r="E2545" s="8"/>
      <c r="F2545" s="8"/>
      <c r="G2545" s="8"/>
      <c r="H2545" s="8"/>
      <c r="I2545" s="8"/>
      <c r="J2545" s="8"/>
      <c r="K2545" s="8"/>
      <c r="L2545" s="8"/>
      <c r="M2545" s="8">
        <v>2.2200000000000002</v>
      </c>
      <c r="N2545" s="8">
        <v>2.21</v>
      </c>
      <c r="O2545" s="8"/>
      <c r="P2545" s="8"/>
      <c r="Q2545" s="11"/>
      <c r="R2545" s="11"/>
      <c r="S2545" s="8">
        <v>5.0599999999999996</v>
      </c>
      <c r="T2545" s="8"/>
      <c r="U2545" s="8">
        <v>12.34</v>
      </c>
      <c r="V2545" s="8"/>
      <c r="W2545" s="8"/>
      <c r="X2545" s="8"/>
      <c r="Y2545" s="8"/>
      <c r="Z2545" s="8"/>
      <c r="AA2545" s="8"/>
      <c r="AB2545" s="8"/>
      <c r="AC2545" s="8">
        <v>4.93</v>
      </c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11"/>
      <c r="AQ2545" s="8"/>
      <c r="AR2545" s="8"/>
      <c r="AS2545" s="8"/>
      <c r="AT2545" s="8">
        <v>547.6</v>
      </c>
      <c r="AU2545" s="8"/>
      <c r="AV2545" s="8">
        <v>41.94</v>
      </c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>
        <v>40.11</v>
      </c>
      <c r="BH2545" s="9">
        <f t="shared" si="351"/>
        <v>1233.4000000000001</v>
      </c>
      <c r="BI2545" s="9">
        <f t="shared" si="352"/>
        <v>4.43</v>
      </c>
      <c r="BJ2545" s="9">
        <f t="shared" si="353"/>
        <v>5.0599999999999996</v>
      </c>
      <c r="BK2545" s="9">
        <f t="shared" si="354"/>
        <v>12.34</v>
      </c>
      <c r="BL2545" s="9">
        <f t="shared" si="355"/>
        <v>0</v>
      </c>
      <c r="BM2545" s="9">
        <f t="shared" si="356"/>
        <v>4.93</v>
      </c>
      <c r="BN2545" s="9">
        <f t="shared" si="357"/>
        <v>547.6</v>
      </c>
      <c r="BO2545" s="9">
        <f t="shared" si="358"/>
        <v>41.94</v>
      </c>
      <c r="BP2545" s="9">
        <f t="shared" si="359"/>
        <v>0</v>
      </c>
    </row>
    <row r="2546" spans="1:68">
      <c r="A2546" s="6">
        <v>44992</v>
      </c>
      <c r="B2546" s="7">
        <v>3117</v>
      </c>
      <c r="C2546" s="8">
        <v>709.26</v>
      </c>
      <c r="D2546" s="8"/>
      <c r="E2546" s="8"/>
      <c r="F2546" s="8"/>
      <c r="G2546" s="8"/>
      <c r="H2546" s="8"/>
      <c r="I2546" s="8"/>
      <c r="J2546" s="8"/>
      <c r="K2546" s="8"/>
      <c r="L2546" s="8"/>
      <c r="M2546" s="8">
        <v>2.06</v>
      </c>
      <c r="N2546" s="8"/>
      <c r="O2546" s="8"/>
      <c r="P2546" s="8"/>
      <c r="Q2546" s="11"/>
      <c r="R2546" s="11"/>
      <c r="S2546" s="8">
        <v>2.85</v>
      </c>
      <c r="T2546" s="8"/>
      <c r="U2546" s="8">
        <v>7.15</v>
      </c>
      <c r="V2546" s="8"/>
      <c r="W2546" s="8"/>
      <c r="X2546" s="8"/>
      <c r="Y2546" s="8"/>
      <c r="Z2546" s="8"/>
      <c r="AA2546" s="8"/>
      <c r="AB2546" s="8"/>
      <c r="AC2546" s="8">
        <v>2.85</v>
      </c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11"/>
      <c r="AQ2546" s="8"/>
      <c r="AR2546" s="8"/>
      <c r="AS2546" s="8"/>
      <c r="AT2546" s="8">
        <v>448.64</v>
      </c>
      <c r="AU2546" s="8"/>
      <c r="AV2546" s="8">
        <v>17.809999999999999</v>
      </c>
      <c r="AW2546" s="8"/>
      <c r="AX2546" s="8"/>
      <c r="AY2546" s="8"/>
      <c r="AZ2546" s="8"/>
      <c r="BA2546" s="8"/>
      <c r="BB2546" s="8"/>
      <c r="BC2546" s="8"/>
      <c r="BD2546" s="8"/>
      <c r="BE2546" s="8"/>
      <c r="BF2546" s="8">
        <v>35.56</v>
      </c>
      <c r="BG2546" s="8">
        <v>34.31</v>
      </c>
      <c r="BH2546" s="9">
        <f t="shared" si="351"/>
        <v>709.26</v>
      </c>
      <c r="BI2546" s="9">
        <f t="shared" si="352"/>
        <v>2.06</v>
      </c>
      <c r="BJ2546" s="9">
        <f t="shared" si="353"/>
        <v>2.85</v>
      </c>
      <c r="BK2546" s="9">
        <f t="shared" si="354"/>
        <v>7.15</v>
      </c>
      <c r="BL2546" s="9">
        <f t="shared" si="355"/>
        <v>0</v>
      </c>
      <c r="BM2546" s="9">
        <f t="shared" si="356"/>
        <v>2.85</v>
      </c>
      <c r="BN2546" s="9">
        <f t="shared" si="357"/>
        <v>448.64</v>
      </c>
      <c r="BO2546" s="9">
        <f t="shared" si="358"/>
        <v>17.809999999999999</v>
      </c>
      <c r="BP2546" s="9">
        <f t="shared" si="359"/>
        <v>35.56</v>
      </c>
    </row>
    <row r="2547" spans="1:68">
      <c r="A2547" s="6">
        <v>44993</v>
      </c>
      <c r="B2547" s="7">
        <v>3704</v>
      </c>
      <c r="C2547" s="8">
        <v>240.31</v>
      </c>
      <c r="D2547" s="8">
        <v>362.8</v>
      </c>
      <c r="E2547" s="8"/>
      <c r="F2547" s="8"/>
      <c r="G2547" s="8"/>
      <c r="H2547" s="8"/>
      <c r="I2547" s="8"/>
      <c r="J2547" s="8"/>
      <c r="K2547" s="8"/>
      <c r="L2547" s="8"/>
      <c r="M2547" s="8">
        <v>1.81</v>
      </c>
      <c r="N2547" s="8"/>
      <c r="O2547" s="8"/>
      <c r="P2547" s="8"/>
      <c r="Q2547" s="11"/>
      <c r="R2547" s="11"/>
      <c r="S2547" s="8">
        <v>2.11</v>
      </c>
      <c r="T2547" s="8"/>
      <c r="U2547" s="8">
        <v>4.53</v>
      </c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>
        <v>7.22</v>
      </c>
      <c r="AN2547" s="8"/>
      <c r="AO2547" s="8"/>
      <c r="AP2547" s="11"/>
      <c r="AQ2547" s="8"/>
      <c r="AR2547" s="8"/>
      <c r="AS2547" s="8"/>
      <c r="AT2547" s="8">
        <v>104.89</v>
      </c>
      <c r="AU2547" s="8">
        <v>52.4</v>
      </c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>
        <v>9.73</v>
      </c>
      <c r="BH2547" s="9">
        <f t="shared" si="351"/>
        <v>603.11</v>
      </c>
      <c r="BI2547" s="9">
        <f t="shared" si="352"/>
        <v>1.81</v>
      </c>
      <c r="BJ2547" s="9">
        <f t="shared" si="353"/>
        <v>2.11</v>
      </c>
      <c r="BK2547" s="9">
        <f t="shared" si="354"/>
        <v>4.53</v>
      </c>
      <c r="BL2547" s="9">
        <f t="shared" si="355"/>
        <v>0</v>
      </c>
      <c r="BM2547" s="9">
        <f t="shared" si="356"/>
        <v>7.22</v>
      </c>
      <c r="BN2547" s="9">
        <f t="shared" si="357"/>
        <v>157.29</v>
      </c>
      <c r="BO2547" s="9">
        <f t="shared" si="358"/>
        <v>0</v>
      </c>
      <c r="BP2547" s="9">
        <f t="shared" si="359"/>
        <v>0</v>
      </c>
    </row>
    <row r="2548" spans="1:68">
      <c r="A2548" s="6">
        <v>44993</v>
      </c>
      <c r="B2548" s="7">
        <v>3304</v>
      </c>
      <c r="C2548" s="8"/>
      <c r="D2548" s="8">
        <v>1107.97</v>
      </c>
      <c r="E2548" s="8"/>
      <c r="F2548" s="8"/>
      <c r="G2548" s="8"/>
      <c r="H2548" s="8"/>
      <c r="I2548" s="8"/>
      <c r="J2548" s="8"/>
      <c r="K2548" s="8"/>
      <c r="L2548" s="8"/>
      <c r="M2548" s="8">
        <v>2.23</v>
      </c>
      <c r="N2548" s="8"/>
      <c r="O2548" s="8"/>
      <c r="P2548" s="8"/>
      <c r="Q2548" s="11"/>
      <c r="R2548" s="11"/>
      <c r="S2548" s="8">
        <v>1.66</v>
      </c>
      <c r="T2548" s="8"/>
      <c r="U2548" s="8">
        <v>9.99</v>
      </c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>
        <v>11.09</v>
      </c>
      <c r="AH2548" s="8"/>
      <c r="AI2548" s="8"/>
      <c r="AJ2548" s="8"/>
      <c r="AK2548" s="8"/>
      <c r="AL2548" s="8"/>
      <c r="AM2548" s="8"/>
      <c r="AN2548" s="8"/>
      <c r="AO2548" s="8"/>
      <c r="AP2548" s="11"/>
      <c r="AQ2548" s="8"/>
      <c r="AR2548" s="8"/>
      <c r="AS2548" s="8"/>
      <c r="AT2548" s="8">
        <v>296.77</v>
      </c>
      <c r="AU2548" s="8">
        <v>148.16999999999999</v>
      </c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>
        <v>30.67</v>
      </c>
      <c r="BH2548" s="9">
        <f t="shared" si="351"/>
        <v>1107.97</v>
      </c>
      <c r="BI2548" s="9">
        <f t="shared" si="352"/>
        <v>2.23</v>
      </c>
      <c r="BJ2548" s="9">
        <f t="shared" si="353"/>
        <v>1.66</v>
      </c>
      <c r="BK2548" s="9">
        <f t="shared" si="354"/>
        <v>9.99</v>
      </c>
      <c r="BL2548" s="9">
        <f t="shared" si="355"/>
        <v>0</v>
      </c>
      <c r="BM2548" s="9">
        <f t="shared" si="356"/>
        <v>11.09</v>
      </c>
      <c r="BN2548" s="9">
        <f t="shared" si="357"/>
        <v>444.93999999999994</v>
      </c>
      <c r="BO2548" s="9">
        <f t="shared" si="358"/>
        <v>0</v>
      </c>
      <c r="BP2548" s="9">
        <f t="shared" si="359"/>
        <v>0</v>
      </c>
    </row>
    <row r="2549" spans="1:68">
      <c r="A2549" s="6">
        <v>44993</v>
      </c>
      <c r="B2549" s="7">
        <v>3602</v>
      </c>
      <c r="C2549" s="8">
        <v>573.65</v>
      </c>
      <c r="D2549" s="8"/>
      <c r="E2549" s="8"/>
      <c r="F2549" s="8"/>
      <c r="G2549" s="8">
        <v>860.57</v>
      </c>
      <c r="H2549" s="8"/>
      <c r="I2549" s="8"/>
      <c r="J2549" s="8"/>
      <c r="K2549" s="8"/>
      <c r="L2549" s="8"/>
      <c r="M2549" s="8">
        <v>1.51</v>
      </c>
      <c r="N2549" s="8"/>
      <c r="O2549" s="8"/>
      <c r="P2549" s="8"/>
      <c r="Q2549" s="11"/>
      <c r="R2549" s="11"/>
      <c r="S2549" s="8">
        <v>6.89</v>
      </c>
      <c r="T2549" s="8"/>
      <c r="U2549" s="8">
        <v>11.51</v>
      </c>
      <c r="V2549" s="8">
        <f>853*16.42/1000</f>
        <v>14.006260000000003</v>
      </c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11"/>
      <c r="AQ2549" s="8"/>
      <c r="AR2549" s="8"/>
      <c r="AS2549" s="8"/>
      <c r="AT2549" s="8">
        <v>578.4</v>
      </c>
      <c r="AU2549" s="8"/>
      <c r="AV2549" s="8"/>
      <c r="AW2549" s="8">
        <v>37.1</v>
      </c>
      <c r="AX2549" s="8"/>
      <c r="AY2549" s="8"/>
      <c r="AZ2549" s="8"/>
      <c r="BA2549" s="8"/>
      <c r="BB2549" s="8"/>
      <c r="BC2549" s="8"/>
      <c r="BD2549" s="8"/>
      <c r="BE2549" s="8"/>
      <c r="BF2549" s="8">
        <v>45.93</v>
      </c>
      <c r="BG2549" s="8">
        <v>43.26</v>
      </c>
      <c r="BH2549" s="9">
        <f t="shared" si="351"/>
        <v>1434.22</v>
      </c>
      <c r="BI2549" s="9">
        <f t="shared" si="352"/>
        <v>1.51</v>
      </c>
      <c r="BJ2549" s="9">
        <f t="shared" si="353"/>
        <v>6.89</v>
      </c>
      <c r="BK2549" s="9">
        <f t="shared" si="354"/>
        <v>25.516260000000003</v>
      </c>
      <c r="BL2549" s="9">
        <f t="shared" si="355"/>
        <v>0</v>
      </c>
      <c r="BM2549" s="9">
        <f t="shared" si="356"/>
        <v>0</v>
      </c>
      <c r="BN2549" s="9">
        <f t="shared" si="357"/>
        <v>578.4</v>
      </c>
      <c r="BO2549" s="9">
        <f t="shared" si="358"/>
        <v>37.1</v>
      </c>
      <c r="BP2549" s="9">
        <f t="shared" si="359"/>
        <v>45.93</v>
      </c>
    </row>
    <row r="2550" spans="1:68">
      <c r="A2550" s="6">
        <v>44993</v>
      </c>
      <c r="B2550" s="7">
        <v>3106</v>
      </c>
      <c r="C2550" s="8">
        <v>4161.8</v>
      </c>
      <c r="D2550" s="8"/>
      <c r="E2550" s="8"/>
      <c r="F2550" s="8"/>
      <c r="G2550" s="8"/>
      <c r="H2550" s="8"/>
      <c r="I2550" s="8"/>
      <c r="J2550" s="8"/>
      <c r="K2550" s="8"/>
      <c r="L2550" s="8"/>
      <c r="M2550" s="8">
        <v>10.77</v>
      </c>
      <c r="N2550" s="8"/>
      <c r="O2550" s="8"/>
      <c r="P2550" s="8"/>
      <c r="Q2550" s="11"/>
      <c r="R2550" s="11"/>
      <c r="S2550" s="8">
        <v>12.49</v>
      </c>
      <c r="T2550" s="8"/>
      <c r="U2550" s="8">
        <v>52.86</v>
      </c>
      <c r="V2550" s="8"/>
      <c r="W2550" s="8"/>
      <c r="X2550" s="8"/>
      <c r="Y2550" s="8"/>
      <c r="Z2550" s="8"/>
      <c r="AA2550" s="8"/>
      <c r="AB2550" s="8"/>
      <c r="AC2550" s="8">
        <v>10.39</v>
      </c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11"/>
      <c r="AQ2550" s="8"/>
      <c r="AR2550" s="8"/>
      <c r="AS2550" s="8"/>
      <c r="AT2550" s="8">
        <v>2368.71</v>
      </c>
      <c r="AU2550" s="8"/>
      <c r="AV2550" s="8"/>
      <c r="AW2550" s="8"/>
      <c r="AX2550" s="8">
        <v>5.2</v>
      </c>
      <c r="AY2550" s="8"/>
      <c r="AZ2550" s="8"/>
      <c r="BA2550" s="8"/>
      <c r="BB2550" s="8"/>
      <c r="BC2550" s="8"/>
      <c r="BD2550" s="8"/>
      <c r="BE2550" s="8"/>
      <c r="BF2550" s="8"/>
      <c r="BG2550" s="8">
        <v>179.4</v>
      </c>
      <c r="BH2550" s="9">
        <f t="shared" si="351"/>
        <v>4161.8</v>
      </c>
      <c r="BI2550" s="9">
        <f t="shared" si="352"/>
        <v>10.77</v>
      </c>
      <c r="BJ2550" s="9">
        <f t="shared" si="353"/>
        <v>12.49</v>
      </c>
      <c r="BK2550" s="9">
        <f t="shared" si="354"/>
        <v>52.86</v>
      </c>
      <c r="BL2550" s="9">
        <f t="shared" si="355"/>
        <v>0</v>
      </c>
      <c r="BM2550" s="9">
        <f t="shared" si="356"/>
        <v>10.39</v>
      </c>
      <c r="BN2550" s="9">
        <f t="shared" si="357"/>
        <v>2368.71</v>
      </c>
      <c r="BO2550" s="9">
        <f t="shared" si="358"/>
        <v>5.2</v>
      </c>
      <c r="BP2550" s="9">
        <f t="shared" si="359"/>
        <v>0</v>
      </c>
    </row>
    <row r="2551" spans="1:68">
      <c r="A2551" s="6">
        <v>44993</v>
      </c>
      <c r="B2551" s="7">
        <v>3402</v>
      </c>
      <c r="C2551" s="8">
        <v>466.63</v>
      </c>
      <c r="D2551" s="8">
        <v>311.02999999999997</v>
      </c>
      <c r="E2551" s="8"/>
      <c r="F2551" s="8"/>
      <c r="G2551" s="8"/>
      <c r="H2551" s="8"/>
      <c r="I2551" s="8"/>
      <c r="J2551" s="8"/>
      <c r="K2551" s="8"/>
      <c r="L2551" s="8"/>
      <c r="M2551" s="8">
        <v>1.95</v>
      </c>
      <c r="N2551" s="8"/>
      <c r="O2551" s="8"/>
      <c r="P2551" s="8"/>
      <c r="Q2551" s="11"/>
      <c r="R2551" s="11"/>
      <c r="S2551" s="8">
        <v>1.79</v>
      </c>
      <c r="T2551" s="8"/>
      <c r="U2551" s="8"/>
      <c r="V2551" s="8"/>
      <c r="W2551" s="8"/>
      <c r="X2551" s="8">
        <f>1213*7.77/1000</f>
        <v>9.4250100000000003</v>
      </c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11"/>
      <c r="AQ2551" s="8"/>
      <c r="AR2551" s="8"/>
      <c r="AS2551" s="8"/>
      <c r="AT2551" s="8">
        <v>365.61</v>
      </c>
      <c r="AU2551" s="8"/>
      <c r="AV2551" s="8"/>
      <c r="AW2551" s="8"/>
      <c r="AX2551" s="8"/>
      <c r="AY2551" s="8"/>
      <c r="AZ2551" s="8"/>
      <c r="BA2551" s="8">
        <v>3.51</v>
      </c>
      <c r="BB2551" s="8"/>
      <c r="BC2551" s="8"/>
      <c r="BD2551" s="8"/>
      <c r="BE2551" s="8"/>
      <c r="BF2551" s="8"/>
      <c r="BG2551" s="8">
        <v>25.72</v>
      </c>
      <c r="BH2551" s="9">
        <f t="shared" si="351"/>
        <v>777.66</v>
      </c>
      <c r="BI2551" s="9">
        <f t="shared" si="352"/>
        <v>1.95</v>
      </c>
      <c r="BJ2551" s="9">
        <f t="shared" si="353"/>
        <v>1.79</v>
      </c>
      <c r="BK2551" s="9">
        <f t="shared" si="354"/>
        <v>9.4250100000000003</v>
      </c>
      <c r="BL2551" s="9">
        <f t="shared" si="355"/>
        <v>0</v>
      </c>
      <c r="BM2551" s="9">
        <f t="shared" si="356"/>
        <v>0</v>
      </c>
      <c r="BN2551" s="9">
        <f t="shared" si="357"/>
        <v>365.61</v>
      </c>
      <c r="BO2551" s="9">
        <f t="shared" si="358"/>
        <v>3.51</v>
      </c>
      <c r="BP2551" s="9">
        <f t="shared" si="359"/>
        <v>0</v>
      </c>
    </row>
    <row r="2552" spans="1:68">
      <c r="A2552" s="6">
        <v>44993</v>
      </c>
      <c r="B2552" s="7">
        <v>3405</v>
      </c>
      <c r="C2552" s="8">
        <v>1448.96</v>
      </c>
      <c r="D2552" s="8">
        <v>362.34</v>
      </c>
      <c r="E2552" s="8"/>
      <c r="F2552" s="8"/>
      <c r="G2552" s="8"/>
      <c r="H2552" s="8"/>
      <c r="I2552" s="8"/>
      <c r="J2552" s="8"/>
      <c r="K2552" s="8"/>
      <c r="L2552" s="8"/>
      <c r="M2552" s="8">
        <v>3.8</v>
      </c>
      <c r="N2552" s="8"/>
      <c r="O2552" s="8"/>
      <c r="P2552" s="8"/>
      <c r="Q2552" s="11"/>
      <c r="R2552" s="11"/>
      <c r="S2552" s="8">
        <v>4.17</v>
      </c>
      <c r="T2552" s="8"/>
      <c r="U2552" s="8"/>
      <c r="V2552" s="8"/>
      <c r="W2552" s="8"/>
      <c r="X2552" s="8">
        <f>998*18.12/1000</f>
        <v>18.083760000000002</v>
      </c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11"/>
      <c r="AQ2552" s="8"/>
      <c r="AR2552" s="8"/>
      <c r="AS2552" s="8"/>
      <c r="AT2552" s="8">
        <v>885.14</v>
      </c>
      <c r="AU2552" s="8"/>
      <c r="AV2552" s="8"/>
      <c r="AW2552" s="8"/>
      <c r="AX2552" s="8"/>
      <c r="AY2552" s="8"/>
      <c r="AZ2552" s="8"/>
      <c r="BA2552" s="8">
        <v>8.16</v>
      </c>
      <c r="BB2552" s="8"/>
      <c r="BC2552" s="8"/>
      <c r="BD2552" s="8"/>
      <c r="BE2552" s="8"/>
      <c r="BF2552" s="8"/>
      <c r="BG2552" s="8">
        <v>59.84</v>
      </c>
      <c r="BH2552" s="9">
        <f t="shared" si="351"/>
        <v>1811.3</v>
      </c>
      <c r="BI2552" s="9">
        <f t="shared" si="352"/>
        <v>3.8</v>
      </c>
      <c r="BJ2552" s="9">
        <f t="shared" si="353"/>
        <v>4.17</v>
      </c>
      <c r="BK2552" s="9">
        <f t="shared" si="354"/>
        <v>18.083760000000002</v>
      </c>
      <c r="BL2552" s="9">
        <f t="shared" si="355"/>
        <v>0</v>
      </c>
      <c r="BM2552" s="9">
        <f t="shared" si="356"/>
        <v>0</v>
      </c>
      <c r="BN2552" s="9">
        <f t="shared" si="357"/>
        <v>885.14</v>
      </c>
      <c r="BO2552" s="9">
        <f t="shared" si="358"/>
        <v>8.16</v>
      </c>
      <c r="BP2552" s="9">
        <f t="shared" si="359"/>
        <v>0</v>
      </c>
    </row>
    <row r="2553" spans="1:68">
      <c r="A2553" s="6">
        <v>44993</v>
      </c>
      <c r="B2553" s="7">
        <v>3433</v>
      </c>
      <c r="C2553" s="8">
        <v>353.55</v>
      </c>
      <c r="D2553" s="8"/>
      <c r="E2553" s="8"/>
      <c r="F2553" s="8"/>
      <c r="G2553" s="8"/>
      <c r="H2553" s="8"/>
      <c r="I2553" s="8"/>
      <c r="J2553" s="8"/>
      <c r="K2553" s="8"/>
      <c r="L2553" s="8"/>
      <c r="M2553" s="8">
        <v>0.89</v>
      </c>
      <c r="N2553" s="8"/>
      <c r="O2553" s="8"/>
      <c r="P2553" s="8"/>
      <c r="Q2553" s="11"/>
      <c r="R2553" s="11"/>
      <c r="S2553" s="8">
        <v>1.41</v>
      </c>
      <c r="T2553" s="8"/>
      <c r="U2553" s="8"/>
      <c r="V2553" s="8"/>
      <c r="W2553" s="8"/>
      <c r="X2553" s="8">
        <f>850*4.17/1000</f>
        <v>3.5445000000000002</v>
      </c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11"/>
      <c r="AQ2553" s="8"/>
      <c r="AR2553" s="8"/>
      <c r="AS2553" s="8"/>
      <c r="AT2553" s="8">
        <v>165.16</v>
      </c>
      <c r="AU2553" s="8"/>
      <c r="AV2553" s="8"/>
      <c r="AW2553" s="8"/>
      <c r="AX2553" s="8"/>
      <c r="AY2553" s="8"/>
      <c r="AZ2553" s="8"/>
      <c r="BA2553" s="8">
        <v>1.6</v>
      </c>
      <c r="BB2553" s="8"/>
      <c r="BC2553" s="8"/>
      <c r="BD2553" s="8"/>
      <c r="BE2553" s="8"/>
      <c r="BF2553" s="8">
        <v>17.71</v>
      </c>
      <c r="BG2553" s="8">
        <v>11.93</v>
      </c>
      <c r="BH2553" s="9">
        <f t="shared" si="351"/>
        <v>353.55</v>
      </c>
      <c r="BI2553" s="9">
        <f t="shared" si="352"/>
        <v>0.89</v>
      </c>
      <c r="BJ2553" s="9">
        <f t="shared" si="353"/>
        <v>1.41</v>
      </c>
      <c r="BK2553" s="9">
        <f t="shared" si="354"/>
        <v>3.5445000000000002</v>
      </c>
      <c r="BL2553" s="9">
        <f t="shared" si="355"/>
        <v>0</v>
      </c>
      <c r="BM2553" s="9">
        <f t="shared" si="356"/>
        <v>0</v>
      </c>
      <c r="BN2553" s="9">
        <f t="shared" si="357"/>
        <v>165.16</v>
      </c>
      <c r="BO2553" s="9">
        <f t="shared" si="358"/>
        <v>1.6</v>
      </c>
      <c r="BP2553" s="9">
        <f t="shared" si="359"/>
        <v>17.71</v>
      </c>
    </row>
    <row r="2554" spans="1:68">
      <c r="A2554" s="6">
        <v>44993</v>
      </c>
      <c r="B2554" s="7">
        <v>3200</v>
      </c>
      <c r="C2554" s="8">
        <v>2238.63</v>
      </c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>
        <v>5.59</v>
      </c>
      <c r="P2554" s="8"/>
      <c r="Q2554" s="11"/>
      <c r="R2554" s="11"/>
      <c r="S2554" s="8">
        <v>8.7200000000000006</v>
      </c>
      <c r="T2554" s="8"/>
      <c r="U2554" s="8">
        <v>33.56</v>
      </c>
      <c r="V2554" s="8"/>
      <c r="W2554" s="8"/>
      <c r="X2554" s="8"/>
      <c r="Y2554" s="8"/>
      <c r="Z2554" s="8">
        <v>470.27</v>
      </c>
      <c r="AA2554" s="8"/>
      <c r="AB2554" s="8"/>
      <c r="AC2554" s="8"/>
      <c r="AD2554" s="8"/>
      <c r="AE2554" s="8"/>
      <c r="AF2554" s="8">
        <v>111.11</v>
      </c>
      <c r="AG2554" s="8"/>
      <c r="AH2554" s="8"/>
      <c r="AI2554" s="8"/>
      <c r="AJ2554" s="8"/>
      <c r="AK2554" s="8"/>
      <c r="AL2554" s="8"/>
      <c r="AM2554" s="8"/>
      <c r="AN2554" s="8"/>
      <c r="AO2554" s="8"/>
      <c r="AP2554" s="11"/>
      <c r="AQ2554" s="8">
        <f>1524*22.37/1000</f>
        <v>34.091880000000003</v>
      </c>
      <c r="AR2554" s="8"/>
      <c r="AS2554" s="8"/>
      <c r="AT2554" s="8">
        <v>1531.52</v>
      </c>
      <c r="AU2554" s="8"/>
      <c r="AV2554" s="8"/>
      <c r="AW2554" s="8">
        <v>6.41</v>
      </c>
      <c r="AX2554" s="8"/>
      <c r="AY2554" s="8"/>
      <c r="AZ2554" s="8"/>
      <c r="BA2554" s="8"/>
      <c r="BB2554" s="8"/>
      <c r="BC2554" s="8"/>
      <c r="BD2554" s="8"/>
      <c r="BE2554" s="8"/>
      <c r="BF2554" s="8">
        <v>107.48</v>
      </c>
      <c r="BG2554" s="8">
        <v>110.91</v>
      </c>
      <c r="BH2554" s="9">
        <f t="shared" si="351"/>
        <v>2238.63</v>
      </c>
      <c r="BI2554" s="9">
        <f t="shared" si="352"/>
        <v>5.59</v>
      </c>
      <c r="BJ2554" s="9">
        <f t="shared" si="353"/>
        <v>8.7200000000000006</v>
      </c>
      <c r="BK2554" s="9">
        <f t="shared" si="354"/>
        <v>33.56</v>
      </c>
      <c r="BL2554" s="9">
        <f t="shared" si="355"/>
        <v>470.27</v>
      </c>
      <c r="BM2554" s="9">
        <f t="shared" si="356"/>
        <v>145.20188000000002</v>
      </c>
      <c r="BN2554" s="9">
        <f t="shared" si="357"/>
        <v>1531.52</v>
      </c>
      <c r="BO2554" s="9">
        <f t="shared" si="358"/>
        <v>6.41</v>
      </c>
      <c r="BP2554" s="9">
        <f t="shared" si="359"/>
        <v>107.48</v>
      </c>
    </row>
    <row r="2555" spans="1:68">
      <c r="A2555" s="6">
        <v>44993</v>
      </c>
      <c r="B2555" s="7">
        <v>3083</v>
      </c>
      <c r="C2555" s="8"/>
      <c r="D2555" s="8">
        <v>1049.2</v>
      </c>
      <c r="E2555" s="8"/>
      <c r="F2555" s="8"/>
      <c r="G2555" s="8"/>
      <c r="H2555" s="8"/>
      <c r="I2555" s="8">
        <v>2450.0500000000002</v>
      </c>
      <c r="J2555" s="8"/>
      <c r="K2555" s="8"/>
      <c r="L2555" s="8"/>
      <c r="M2555" s="8"/>
      <c r="N2555" s="8">
        <v>22.76</v>
      </c>
      <c r="O2555" s="8"/>
      <c r="P2555" s="8"/>
      <c r="Q2555" s="11"/>
      <c r="R2555" s="11"/>
      <c r="S2555" s="8">
        <v>2.44</v>
      </c>
      <c r="T2555" s="8"/>
      <c r="U2555" s="8"/>
      <c r="V2555" s="8"/>
      <c r="W2555" s="8">
        <v>28.01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>
        <v>13.95</v>
      </c>
      <c r="AN2555" s="8">
        <f>1925*25.93/1000</f>
        <v>49.91525</v>
      </c>
      <c r="AO2555" s="8"/>
      <c r="AP2555" s="11"/>
      <c r="AQ2555" s="8"/>
      <c r="AR2555" s="8">
        <f>3400*25.93/1000</f>
        <v>88.162000000000006</v>
      </c>
      <c r="AS2555" s="8"/>
      <c r="AT2555" s="8">
        <v>1645.76</v>
      </c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>
        <v>130.41</v>
      </c>
      <c r="BH2555" s="9">
        <f t="shared" si="351"/>
        <v>3499.25</v>
      </c>
      <c r="BI2555" s="9">
        <f t="shared" si="352"/>
        <v>22.76</v>
      </c>
      <c r="BJ2555" s="9">
        <f t="shared" si="353"/>
        <v>2.44</v>
      </c>
      <c r="BK2555" s="9">
        <f t="shared" si="354"/>
        <v>28.01</v>
      </c>
      <c r="BL2555" s="9">
        <f t="shared" si="355"/>
        <v>0</v>
      </c>
      <c r="BM2555" s="9">
        <f t="shared" si="356"/>
        <v>152.02725000000001</v>
      </c>
      <c r="BN2555" s="9">
        <f t="shared" si="357"/>
        <v>1645.76</v>
      </c>
      <c r="BO2555" s="9">
        <f t="shared" si="358"/>
        <v>0</v>
      </c>
      <c r="BP2555" s="9">
        <f t="shared" si="359"/>
        <v>0</v>
      </c>
    </row>
    <row r="2556" spans="1:68">
      <c r="A2556" s="6">
        <v>44993</v>
      </c>
      <c r="B2556" s="7">
        <v>3081</v>
      </c>
      <c r="C2556" s="8"/>
      <c r="D2556" s="8">
        <v>290.19</v>
      </c>
      <c r="E2556" s="8"/>
      <c r="F2556" s="8">
        <v>326.52999999999997</v>
      </c>
      <c r="G2556" s="8"/>
      <c r="H2556" s="8"/>
      <c r="I2556" s="8">
        <v>1193.21</v>
      </c>
      <c r="J2556" s="8"/>
      <c r="K2556" s="8"/>
      <c r="L2556" s="8"/>
      <c r="M2556" s="8"/>
      <c r="N2556" s="8">
        <v>13.28</v>
      </c>
      <c r="O2556" s="8"/>
      <c r="P2556" s="8">
        <f>633*11.72/1000</f>
        <v>7.4187599999999998</v>
      </c>
      <c r="Q2556" s="11"/>
      <c r="R2556" s="11"/>
      <c r="S2556" s="8">
        <v>1.27</v>
      </c>
      <c r="T2556" s="8"/>
      <c r="U2556" s="8"/>
      <c r="V2556" s="8"/>
      <c r="W2556" s="8">
        <v>18.190000000000001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11"/>
      <c r="AQ2556" s="8">
        <f>1557*11.72/1000</f>
        <v>18.24804</v>
      </c>
      <c r="AR2556" s="8">
        <f>5430*11.72/1000</f>
        <v>63.639600000000009</v>
      </c>
      <c r="AS2556" s="8"/>
      <c r="AT2556" s="8">
        <v>570.12</v>
      </c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>
        <v>38</v>
      </c>
      <c r="BH2556" s="9">
        <f t="shared" si="351"/>
        <v>1809.93</v>
      </c>
      <c r="BI2556" s="9">
        <f t="shared" si="352"/>
        <v>20.69876</v>
      </c>
      <c r="BJ2556" s="9">
        <f t="shared" si="353"/>
        <v>1.27</v>
      </c>
      <c r="BK2556" s="9">
        <f t="shared" si="354"/>
        <v>18.190000000000001</v>
      </c>
      <c r="BL2556" s="9">
        <f t="shared" si="355"/>
        <v>0</v>
      </c>
      <c r="BM2556" s="9">
        <f t="shared" si="356"/>
        <v>81.887640000000005</v>
      </c>
      <c r="BN2556" s="9">
        <f t="shared" si="357"/>
        <v>570.12</v>
      </c>
      <c r="BO2556" s="9">
        <f t="shared" si="358"/>
        <v>0</v>
      </c>
      <c r="BP2556" s="9">
        <f t="shared" si="359"/>
        <v>0</v>
      </c>
    </row>
    <row r="2557" spans="1:68">
      <c r="A2557" s="6">
        <v>44994</v>
      </c>
      <c r="B2557" s="7">
        <v>3106</v>
      </c>
      <c r="C2557" s="8">
        <v>4207.62</v>
      </c>
      <c r="D2557" s="8"/>
      <c r="E2557" s="8"/>
      <c r="F2557" s="8"/>
      <c r="G2557" s="8"/>
      <c r="H2557" s="8"/>
      <c r="I2557" s="8"/>
      <c r="J2557" s="8"/>
      <c r="K2557" s="8"/>
      <c r="L2557" s="8"/>
      <c r="M2557" s="8">
        <v>11.2</v>
      </c>
      <c r="N2557" s="8"/>
      <c r="O2557" s="8"/>
      <c r="P2557" s="8"/>
      <c r="Q2557" s="11"/>
      <c r="R2557" s="11"/>
      <c r="S2557" s="8">
        <v>12.64</v>
      </c>
      <c r="T2557" s="8"/>
      <c r="U2557" s="8">
        <v>53.49</v>
      </c>
      <c r="V2557" s="8"/>
      <c r="W2557" s="8"/>
      <c r="X2557" s="8"/>
      <c r="Y2557" s="8"/>
      <c r="Z2557" s="8"/>
      <c r="AA2557" s="8"/>
      <c r="AB2557" s="8"/>
      <c r="AC2557" s="8">
        <v>10.52</v>
      </c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11"/>
      <c r="AQ2557" s="8"/>
      <c r="AR2557" s="8"/>
      <c r="AS2557" s="8"/>
      <c r="AT2557" s="8">
        <v>2395.62</v>
      </c>
      <c r="AU2557" s="8"/>
      <c r="AV2557" s="8"/>
      <c r="AW2557" s="8"/>
      <c r="AX2557" s="8">
        <v>5.26</v>
      </c>
      <c r="AY2557" s="8"/>
      <c r="AZ2557" s="8"/>
      <c r="BA2557" s="8"/>
      <c r="BB2557" s="8"/>
      <c r="BC2557" s="8"/>
      <c r="BD2557" s="8"/>
      <c r="BE2557" s="8"/>
      <c r="BF2557" s="8"/>
      <c r="BG2557" s="8">
        <v>181.14</v>
      </c>
      <c r="BH2557" s="9">
        <f t="shared" si="351"/>
        <v>4207.62</v>
      </c>
      <c r="BI2557" s="9">
        <f t="shared" si="352"/>
        <v>11.2</v>
      </c>
      <c r="BJ2557" s="9">
        <f t="shared" si="353"/>
        <v>12.64</v>
      </c>
      <c r="BK2557" s="9">
        <f t="shared" si="354"/>
        <v>53.49</v>
      </c>
      <c r="BL2557" s="9">
        <f t="shared" si="355"/>
        <v>0</v>
      </c>
      <c r="BM2557" s="9">
        <f t="shared" si="356"/>
        <v>10.52</v>
      </c>
      <c r="BN2557" s="9">
        <f t="shared" si="357"/>
        <v>2395.62</v>
      </c>
      <c r="BO2557" s="9">
        <f t="shared" si="358"/>
        <v>5.26</v>
      </c>
      <c r="BP2557" s="9">
        <f t="shared" si="359"/>
        <v>0</v>
      </c>
    </row>
    <row r="2558" spans="1:68">
      <c r="A2558" s="6">
        <v>44994</v>
      </c>
      <c r="B2558" s="7">
        <v>3200</v>
      </c>
      <c r="C2558" s="8">
        <v>2292.59</v>
      </c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>
        <v>5.73</v>
      </c>
      <c r="P2558" s="8"/>
      <c r="Q2558" s="11"/>
      <c r="R2558" s="11"/>
      <c r="S2558" s="8">
        <v>8.93</v>
      </c>
      <c r="T2558" s="8"/>
      <c r="U2558" s="8">
        <v>34.39</v>
      </c>
      <c r="V2558" s="8"/>
      <c r="W2558" s="8"/>
      <c r="X2558" s="8"/>
      <c r="Y2558" s="8"/>
      <c r="Z2558" s="8">
        <v>481.8</v>
      </c>
      <c r="AA2558" s="8"/>
      <c r="AB2558" s="8"/>
      <c r="AC2558" s="8"/>
      <c r="AD2558" s="8"/>
      <c r="AE2558" s="8"/>
      <c r="AF2558" s="8">
        <v>114.14</v>
      </c>
      <c r="AG2558" s="8"/>
      <c r="AH2558" s="8"/>
      <c r="AI2558" s="8"/>
      <c r="AJ2558" s="8"/>
      <c r="AK2558" s="8"/>
      <c r="AL2558" s="8"/>
      <c r="AM2558" s="8"/>
      <c r="AN2558" s="8"/>
      <c r="AO2558" s="8"/>
      <c r="AP2558" s="11"/>
      <c r="AQ2558" s="8">
        <f>1503*22.93/1000</f>
        <v>34.463790000000003</v>
      </c>
      <c r="AR2558" s="8"/>
      <c r="AS2558" s="8"/>
      <c r="AT2558" s="8">
        <v>1570.23</v>
      </c>
      <c r="AU2558" s="8"/>
      <c r="AV2558" s="8"/>
      <c r="AW2558" s="8">
        <v>6.61</v>
      </c>
      <c r="AX2558" s="8"/>
      <c r="AY2558" s="8"/>
      <c r="AZ2558" s="8"/>
      <c r="BA2558" s="8"/>
      <c r="BB2558" s="8"/>
      <c r="BC2558" s="8"/>
      <c r="BD2558" s="8"/>
      <c r="BE2558" s="8"/>
      <c r="BF2558" s="8">
        <v>110.08</v>
      </c>
      <c r="BG2558" s="8">
        <v>113.79</v>
      </c>
      <c r="BH2558" s="9">
        <f t="shared" si="351"/>
        <v>2292.59</v>
      </c>
      <c r="BI2558" s="9">
        <f t="shared" si="352"/>
        <v>5.73</v>
      </c>
      <c r="BJ2558" s="9">
        <f t="shared" si="353"/>
        <v>8.93</v>
      </c>
      <c r="BK2558" s="9">
        <f t="shared" si="354"/>
        <v>34.39</v>
      </c>
      <c r="BL2558" s="9">
        <f t="shared" si="355"/>
        <v>481.8</v>
      </c>
      <c r="BM2558" s="9">
        <f t="shared" si="356"/>
        <v>148.60379</v>
      </c>
      <c r="BN2558" s="9">
        <f t="shared" si="357"/>
        <v>1570.23</v>
      </c>
      <c r="BO2558" s="9">
        <f t="shared" si="358"/>
        <v>6.61</v>
      </c>
      <c r="BP2558" s="9">
        <f t="shared" si="359"/>
        <v>110.08</v>
      </c>
    </row>
    <row r="2559" spans="1:68">
      <c r="A2559" s="6">
        <v>44994</v>
      </c>
      <c r="B2559" s="7">
        <v>3139</v>
      </c>
      <c r="C2559" s="8">
        <v>2319.6999999999998</v>
      </c>
      <c r="D2559" s="8"/>
      <c r="E2559" s="8"/>
      <c r="F2559" s="8"/>
      <c r="G2559" s="8"/>
      <c r="H2559" s="8">
        <v>962.91</v>
      </c>
      <c r="I2559" s="8"/>
      <c r="J2559" s="8"/>
      <c r="K2559" s="8"/>
      <c r="L2559" s="8"/>
      <c r="M2559" s="8">
        <v>5.42</v>
      </c>
      <c r="N2559" s="8"/>
      <c r="O2559" s="8"/>
      <c r="P2559" s="8"/>
      <c r="Q2559" s="11"/>
      <c r="R2559" s="11"/>
      <c r="S2559" s="8">
        <v>10.27</v>
      </c>
      <c r="T2559" s="8"/>
      <c r="U2559" s="8">
        <v>34.26</v>
      </c>
      <c r="V2559" s="8"/>
      <c r="W2559" s="8"/>
      <c r="X2559" s="8"/>
      <c r="Y2559" s="8"/>
      <c r="Z2559" s="8"/>
      <c r="AA2559" s="8"/>
      <c r="AB2559" s="8"/>
      <c r="AC2559" s="8">
        <v>11.43</v>
      </c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11"/>
      <c r="AQ2559" s="8"/>
      <c r="AR2559" s="8"/>
      <c r="AS2559" s="8"/>
      <c r="AT2559" s="8">
        <v>1689.57</v>
      </c>
      <c r="AU2559" s="8"/>
      <c r="AV2559" s="8">
        <v>57.17</v>
      </c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>
        <v>122.8</v>
      </c>
      <c r="BH2559" s="9">
        <f t="shared" si="351"/>
        <v>3282.6099999999997</v>
      </c>
      <c r="BI2559" s="9">
        <f t="shared" si="352"/>
        <v>5.42</v>
      </c>
      <c r="BJ2559" s="9">
        <f t="shared" si="353"/>
        <v>10.27</v>
      </c>
      <c r="BK2559" s="9">
        <f t="shared" si="354"/>
        <v>34.26</v>
      </c>
      <c r="BL2559" s="9">
        <f t="shared" si="355"/>
        <v>0</v>
      </c>
      <c r="BM2559" s="9">
        <f t="shared" si="356"/>
        <v>11.43</v>
      </c>
      <c r="BN2559" s="9">
        <f t="shared" si="357"/>
        <v>1689.57</v>
      </c>
      <c r="BO2559" s="9">
        <f t="shared" si="358"/>
        <v>57.17</v>
      </c>
      <c r="BP2559" s="9">
        <f t="shared" si="359"/>
        <v>0</v>
      </c>
    </row>
    <row r="2560" spans="1:68">
      <c r="A2560" s="6">
        <v>44995</v>
      </c>
      <c r="B2560" s="7">
        <v>3204</v>
      </c>
      <c r="C2560" s="8"/>
      <c r="D2560" s="8">
        <v>931.56</v>
      </c>
      <c r="E2560" s="8">
        <v>398.74</v>
      </c>
      <c r="F2560" s="8"/>
      <c r="G2560" s="8"/>
      <c r="H2560" s="8"/>
      <c r="I2560" s="8"/>
      <c r="J2560" s="8"/>
      <c r="K2560" s="8"/>
      <c r="L2560" s="8"/>
      <c r="M2560" s="8"/>
      <c r="N2560" s="8"/>
      <c r="O2560" s="8">
        <v>6.66</v>
      </c>
      <c r="P2560" s="8"/>
      <c r="Q2560" s="11"/>
      <c r="R2560" s="11"/>
      <c r="S2560" s="8">
        <v>4.53</v>
      </c>
      <c r="T2560" s="8"/>
      <c r="U2560" s="8">
        <v>14.67</v>
      </c>
      <c r="V2560" s="8"/>
      <c r="W2560" s="8"/>
      <c r="X2560" s="8"/>
      <c r="Y2560" s="8"/>
      <c r="Z2560" s="8">
        <v>200.02</v>
      </c>
      <c r="AA2560" s="8"/>
      <c r="AB2560" s="8">
        <f>717*9.52/1000</f>
        <v>6.8258400000000004</v>
      </c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11"/>
      <c r="AQ2560" s="8"/>
      <c r="AR2560" s="8"/>
      <c r="AS2560" s="8"/>
      <c r="AT2560" s="8">
        <v>586.54</v>
      </c>
      <c r="AU2560" s="8"/>
      <c r="AV2560" s="8"/>
      <c r="AW2560" s="8">
        <v>4.2699999999999996</v>
      </c>
      <c r="AX2560" s="8"/>
      <c r="AY2560" s="8"/>
      <c r="AZ2560" s="8"/>
      <c r="BA2560" s="8"/>
      <c r="BB2560" s="8"/>
      <c r="BC2560" s="8"/>
      <c r="BD2560" s="8"/>
      <c r="BE2560" s="8"/>
      <c r="BF2560" s="8"/>
      <c r="BG2560" s="8">
        <v>43.35</v>
      </c>
      <c r="BH2560" s="9">
        <f t="shared" si="351"/>
        <v>1330.3</v>
      </c>
      <c r="BI2560" s="9">
        <f t="shared" si="352"/>
        <v>6.66</v>
      </c>
      <c r="BJ2560" s="9">
        <f t="shared" si="353"/>
        <v>4.53</v>
      </c>
      <c r="BK2560" s="9">
        <f t="shared" si="354"/>
        <v>14.67</v>
      </c>
      <c r="BL2560" s="9">
        <f t="shared" si="355"/>
        <v>200.02</v>
      </c>
      <c r="BM2560" s="9">
        <f t="shared" si="356"/>
        <v>6.8258400000000004</v>
      </c>
      <c r="BN2560" s="9">
        <f t="shared" si="357"/>
        <v>586.54</v>
      </c>
      <c r="BO2560" s="9">
        <f t="shared" si="358"/>
        <v>4.2699999999999996</v>
      </c>
      <c r="BP2560" s="9">
        <f t="shared" si="359"/>
        <v>0</v>
      </c>
    </row>
    <row r="2561" spans="1:68">
      <c r="A2561" s="6">
        <v>44995</v>
      </c>
      <c r="B2561" s="7">
        <v>3307</v>
      </c>
      <c r="C2561" s="8"/>
      <c r="D2561" s="8">
        <v>980.65</v>
      </c>
      <c r="E2561" s="8"/>
      <c r="F2561" s="8"/>
      <c r="G2561" s="8"/>
      <c r="H2561" s="8"/>
      <c r="I2561" s="8"/>
      <c r="J2561" s="8"/>
      <c r="K2561" s="8"/>
      <c r="L2561" s="8"/>
      <c r="M2561" s="8">
        <v>0.89</v>
      </c>
      <c r="N2561" s="8"/>
      <c r="O2561" s="8"/>
      <c r="P2561" s="8"/>
      <c r="Q2561" s="11"/>
      <c r="R2561" s="11"/>
      <c r="S2561" s="8">
        <v>6.67</v>
      </c>
      <c r="T2561" s="8"/>
      <c r="U2561" s="8">
        <v>9.84</v>
      </c>
      <c r="V2561" s="8"/>
      <c r="W2561" s="8"/>
      <c r="X2561" s="8"/>
      <c r="Y2561" s="8"/>
      <c r="Z2561" s="8"/>
      <c r="AA2561" s="8"/>
      <c r="AB2561" s="8"/>
      <c r="AC2561" s="8">
        <v>5.89</v>
      </c>
      <c r="AD2561" s="8"/>
      <c r="AE2561" s="8"/>
      <c r="AF2561" s="8"/>
      <c r="AG2561" s="8">
        <v>9.85</v>
      </c>
      <c r="AH2561" s="8"/>
      <c r="AI2561" s="8"/>
      <c r="AJ2561" s="8"/>
      <c r="AK2561" s="8"/>
      <c r="AL2561" s="8"/>
      <c r="AM2561" s="8"/>
      <c r="AN2561" s="8"/>
      <c r="AO2561" s="8"/>
      <c r="AP2561" s="11"/>
      <c r="AQ2561" s="8"/>
      <c r="AR2561" s="8"/>
      <c r="AS2561" s="8"/>
      <c r="AT2561" s="8"/>
      <c r="AU2561" s="8">
        <v>491.68</v>
      </c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>
        <v>35.299999999999997</v>
      </c>
      <c r="BH2561" s="9">
        <f t="shared" si="351"/>
        <v>980.65</v>
      </c>
      <c r="BI2561" s="9">
        <f t="shared" si="352"/>
        <v>0.89</v>
      </c>
      <c r="BJ2561" s="9">
        <f t="shared" si="353"/>
        <v>6.67</v>
      </c>
      <c r="BK2561" s="9">
        <f t="shared" si="354"/>
        <v>9.84</v>
      </c>
      <c r="BL2561" s="9">
        <f t="shared" si="355"/>
        <v>0</v>
      </c>
      <c r="BM2561" s="9">
        <f t="shared" si="356"/>
        <v>15.739999999999998</v>
      </c>
      <c r="BN2561" s="9">
        <f t="shared" si="357"/>
        <v>491.68</v>
      </c>
      <c r="BO2561" s="9">
        <f t="shared" si="358"/>
        <v>0</v>
      </c>
      <c r="BP2561" s="9">
        <f t="shared" si="359"/>
        <v>0</v>
      </c>
    </row>
    <row r="2562" spans="1:68">
      <c r="A2562" s="6">
        <v>44995</v>
      </c>
      <c r="B2562" s="7">
        <v>3141</v>
      </c>
      <c r="C2562" s="8">
        <v>1263.6400000000001</v>
      </c>
      <c r="D2562" s="8">
        <v>223.11</v>
      </c>
      <c r="E2562" s="8"/>
      <c r="F2562" s="8"/>
      <c r="G2562" s="8"/>
      <c r="H2562" s="8"/>
      <c r="I2562" s="8"/>
      <c r="J2562" s="8"/>
      <c r="K2562" s="8"/>
      <c r="L2562" s="8"/>
      <c r="M2562" s="8">
        <v>4.32</v>
      </c>
      <c r="N2562" s="8"/>
      <c r="O2562" s="8"/>
      <c r="P2562" s="8"/>
      <c r="Q2562" s="11"/>
      <c r="R2562" s="11"/>
      <c r="S2562" s="8">
        <v>7</v>
      </c>
      <c r="T2562" s="8"/>
      <c r="U2562" s="8">
        <v>22.32</v>
      </c>
      <c r="V2562" s="8"/>
      <c r="W2562" s="8"/>
      <c r="X2562" s="8"/>
      <c r="Y2562" s="8"/>
      <c r="Z2562" s="8"/>
      <c r="AA2562" s="8"/>
      <c r="AB2562" s="8"/>
      <c r="AC2562" s="8">
        <v>5.95</v>
      </c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11"/>
      <c r="AQ2562" s="8"/>
      <c r="AR2562" s="8"/>
      <c r="AS2562" s="8"/>
      <c r="AT2562" s="8">
        <v>978.52</v>
      </c>
      <c r="AU2562" s="8"/>
      <c r="AV2562" s="8"/>
      <c r="AW2562" s="8"/>
      <c r="AX2562" s="8"/>
      <c r="AY2562" s="8"/>
      <c r="AZ2562" s="8"/>
      <c r="BA2562" s="8">
        <v>34.11</v>
      </c>
      <c r="BB2562" s="8"/>
      <c r="BC2562" s="8"/>
      <c r="BD2562" s="8"/>
      <c r="BE2562" s="8"/>
      <c r="BF2562" s="8">
        <v>104.2</v>
      </c>
      <c r="BG2562" s="8">
        <v>77.430000000000007</v>
      </c>
      <c r="BH2562" s="9">
        <f t="shared" si="351"/>
        <v>1486.75</v>
      </c>
      <c r="BI2562" s="9">
        <f t="shared" si="352"/>
        <v>4.32</v>
      </c>
      <c r="BJ2562" s="9">
        <f t="shared" si="353"/>
        <v>7</v>
      </c>
      <c r="BK2562" s="9">
        <f t="shared" si="354"/>
        <v>22.32</v>
      </c>
      <c r="BL2562" s="9">
        <f t="shared" si="355"/>
        <v>0</v>
      </c>
      <c r="BM2562" s="9">
        <f t="shared" si="356"/>
        <v>5.95</v>
      </c>
      <c r="BN2562" s="9">
        <f t="shared" si="357"/>
        <v>978.52</v>
      </c>
      <c r="BO2562" s="9">
        <f t="shared" si="358"/>
        <v>34.11</v>
      </c>
      <c r="BP2562" s="9">
        <f t="shared" si="359"/>
        <v>104.2</v>
      </c>
    </row>
    <row r="2563" spans="1:68">
      <c r="A2563" s="6">
        <v>44995</v>
      </c>
      <c r="B2563" s="7">
        <v>3145</v>
      </c>
      <c r="C2563" s="8">
        <v>1224.1300000000001</v>
      </c>
      <c r="D2563" s="8">
        <v>216.02</v>
      </c>
      <c r="E2563" s="8"/>
      <c r="F2563" s="8"/>
      <c r="G2563" s="8"/>
      <c r="H2563" s="8"/>
      <c r="I2563" s="8"/>
      <c r="J2563" s="8"/>
      <c r="K2563" s="8"/>
      <c r="L2563" s="8"/>
      <c r="M2563" s="8">
        <v>4.18</v>
      </c>
      <c r="N2563" s="8"/>
      <c r="O2563" s="8"/>
      <c r="P2563" s="8"/>
      <c r="Q2563" s="11"/>
      <c r="R2563" s="11"/>
      <c r="S2563" s="8">
        <v>6.77</v>
      </c>
      <c r="T2563" s="8"/>
      <c r="U2563" s="8">
        <v>21.61</v>
      </c>
      <c r="V2563" s="8"/>
      <c r="W2563" s="8"/>
      <c r="X2563" s="8"/>
      <c r="Y2563" s="8"/>
      <c r="Z2563" s="8"/>
      <c r="AA2563" s="8"/>
      <c r="AB2563" s="8"/>
      <c r="AC2563" s="8">
        <v>5.77</v>
      </c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11"/>
      <c r="AQ2563" s="8"/>
      <c r="AR2563" s="8"/>
      <c r="AS2563" s="8"/>
      <c r="AT2563" s="8">
        <v>955.14</v>
      </c>
      <c r="AU2563" s="8"/>
      <c r="AV2563" s="8"/>
      <c r="AW2563" s="8"/>
      <c r="AX2563" s="8"/>
      <c r="AY2563" s="8"/>
      <c r="AZ2563" s="8"/>
      <c r="BA2563" s="8"/>
      <c r="BB2563" s="8"/>
      <c r="BC2563" s="8"/>
      <c r="BD2563" s="8">
        <v>3.6</v>
      </c>
      <c r="BE2563" s="8">
        <f>1369*9.62/1000</f>
        <v>13.169779999999999</v>
      </c>
      <c r="BF2563" s="8">
        <v>100.78</v>
      </c>
      <c r="BG2563" s="8">
        <v>74.75</v>
      </c>
      <c r="BH2563" s="9">
        <f t="shared" si="351"/>
        <v>1440.15</v>
      </c>
      <c r="BI2563" s="9">
        <f t="shared" si="352"/>
        <v>4.18</v>
      </c>
      <c r="BJ2563" s="9">
        <f t="shared" si="353"/>
        <v>6.77</v>
      </c>
      <c r="BK2563" s="9">
        <f t="shared" si="354"/>
        <v>21.61</v>
      </c>
      <c r="BL2563" s="9">
        <f t="shared" si="355"/>
        <v>0</v>
      </c>
      <c r="BM2563" s="9">
        <f t="shared" si="356"/>
        <v>5.77</v>
      </c>
      <c r="BN2563" s="9">
        <f t="shared" si="357"/>
        <v>955.14</v>
      </c>
      <c r="BO2563" s="9">
        <f t="shared" si="358"/>
        <v>16.769780000000001</v>
      </c>
      <c r="BP2563" s="9">
        <f t="shared" si="359"/>
        <v>100.78</v>
      </c>
    </row>
    <row r="2564" spans="1:68">
      <c r="A2564" s="6">
        <v>44995</v>
      </c>
      <c r="B2564" s="7">
        <v>3134</v>
      </c>
      <c r="C2564" s="8">
        <v>1058.9000000000001</v>
      </c>
      <c r="D2564" s="8">
        <v>147.69999999999999</v>
      </c>
      <c r="E2564" s="8"/>
      <c r="F2564" s="8"/>
      <c r="G2564" s="8"/>
      <c r="H2564" s="8">
        <v>500.47</v>
      </c>
      <c r="I2564" s="8"/>
      <c r="J2564" s="8"/>
      <c r="K2564" s="8"/>
      <c r="L2564" s="8"/>
      <c r="M2564" s="8">
        <v>3.05</v>
      </c>
      <c r="N2564" s="8"/>
      <c r="O2564" s="8"/>
      <c r="P2564" s="8"/>
      <c r="Q2564" s="11"/>
      <c r="R2564" s="11"/>
      <c r="S2564" s="8">
        <v>6.83</v>
      </c>
      <c r="T2564" s="8"/>
      <c r="U2564" s="8">
        <v>19.309999999999999</v>
      </c>
      <c r="V2564" s="8"/>
      <c r="W2564" s="8"/>
      <c r="X2564" s="8"/>
      <c r="Y2564" s="8"/>
      <c r="Z2564" s="8"/>
      <c r="AA2564" s="8"/>
      <c r="AB2564" s="8"/>
      <c r="AC2564" s="8">
        <v>5.94</v>
      </c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11"/>
      <c r="AQ2564" s="8"/>
      <c r="AR2564" s="8"/>
      <c r="AS2564" s="8"/>
      <c r="AT2564" s="8">
        <v>1054.98</v>
      </c>
      <c r="AU2564" s="8"/>
      <c r="AV2564" s="8"/>
      <c r="AW2564" s="8"/>
      <c r="AX2564" s="8"/>
      <c r="AY2564" s="8">
        <f>1419*10.6/1000</f>
        <v>15.041399999999999</v>
      </c>
      <c r="AZ2564" s="8"/>
      <c r="BA2564" s="8"/>
      <c r="BB2564" s="8"/>
      <c r="BC2564" s="8"/>
      <c r="BD2564" s="8"/>
      <c r="BE2564" s="8"/>
      <c r="BF2564" s="8">
        <v>66.94</v>
      </c>
      <c r="BG2564" s="8">
        <v>78.66</v>
      </c>
      <c r="BH2564" s="9">
        <f t="shared" ref="BH2564:BH2627" si="360">SUM(C2564:L2564)</f>
        <v>1707.0700000000002</v>
      </c>
      <c r="BI2564" s="9">
        <f t="shared" ref="BI2564:BI2627" si="361">SUM(M2564:R2564)</f>
        <v>3.05</v>
      </c>
      <c r="BJ2564" s="9">
        <f t="shared" ref="BJ2564:BJ2627" si="362">SUM(S2564)</f>
        <v>6.83</v>
      </c>
      <c r="BK2564" s="9">
        <f t="shared" ref="BK2564:BK2627" si="363">SUM(T2564:Y2564)</f>
        <v>19.309999999999999</v>
      </c>
      <c r="BL2564" s="9">
        <f t="shared" ref="BL2564:BL2627" si="364">SUM(Z2564:AA2564)</f>
        <v>0</v>
      </c>
      <c r="BM2564" s="9">
        <f t="shared" ref="BM2564:BM2627" si="365">SUM(AB2564:AS2564)</f>
        <v>5.94</v>
      </c>
      <c r="BN2564" s="9">
        <f t="shared" ref="BN2564:BN2627" si="366">SUM(AT2564:AU2564)</f>
        <v>1054.98</v>
      </c>
      <c r="BO2564" s="9">
        <f t="shared" ref="BO2564:BO2627" si="367">SUM(AV2564:BE2564)</f>
        <v>15.041399999999999</v>
      </c>
      <c r="BP2564" s="9">
        <f t="shared" ref="BP2564:BP2627" si="368">SUM(BF2564)</f>
        <v>66.94</v>
      </c>
    </row>
    <row r="2565" spans="1:68">
      <c r="A2565" s="6">
        <v>44995</v>
      </c>
      <c r="B2565" s="7">
        <v>3106</v>
      </c>
      <c r="C2565" s="8">
        <v>4179.55</v>
      </c>
      <c r="D2565" s="8"/>
      <c r="E2565" s="8"/>
      <c r="F2565" s="8"/>
      <c r="G2565" s="8"/>
      <c r="H2565" s="8"/>
      <c r="I2565" s="8"/>
      <c r="J2565" s="8"/>
      <c r="K2565" s="8"/>
      <c r="L2565" s="8"/>
      <c r="M2565" s="8">
        <v>11.3</v>
      </c>
      <c r="N2565" s="8"/>
      <c r="O2565" s="8"/>
      <c r="P2565" s="8"/>
      <c r="Q2565" s="11"/>
      <c r="R2565" s="11"/>
      <c r="S2565" s="8">
        <v>12.58</v>
      </c>
      <c r="T2565" s="8"/>
      <c r="U2565" s="8">
        <v>53.2</v>
      </c>
      <c r="V2565" s="8"/>
      <c r="W2565" s="8"/>
      <c r="X2565" s="8"/>
      <c r="Y2565" s="8"/>
      <c r="Z2565" s="8"/>
      <c r="AA2565" s="8"/>
      <c r="AB2565" s="8"/>
      <c r="AC2565" s="8">
        <v>10.46</v>
      </c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11"/>
      <c r="AQ2565" s="8"/>
      <c r="AR2565" s="8"/>
      <c r="AS2565" s="8"/>
      <c r="AT2565" s="8">
        <v>2383.25</v>
      </c>
      <c r="AU2565" s="8"/>
      <c r="AV2565" s="8"/>
      <c r="AW2565" s="8"/>
      <c r="AX2565" s="8">
        <v>5.23</v>
      </c>
      <c r="AY2565" s="8"/>
      <c r="AZ2565" s="8"/>
      <c r="BA2565" s="8"/>
      <c r="BB2565" s="8"/>
      <c r="BC2565" s="8"/>
      <c r="BD2565" s="8"/>
      <c r="BE2565" s="8"/>
      <c r="BF2565" s="8"/>
      <c r="BG2565" s="8">
        <v>180.05</v>
      </c>
      <c r="BH2565" s="9">
        <f t="shared" si="360"/>
        <v>4179.55</v>
      </c>
      <c r="BI2565" s="9">
        <f t="shared" si="361"/>
        <v>11.3</v>
      </c>
      <c r="BJ2565" s="9">
        <f t="shared" si="362"/>
        <v>12.58</v>
      </c>
      <c r="BK2565" s="9">
        <f t="shared" si="363"/>
        <v>53.2</v>
      </c>
      <c r="BL2565" s="9">
        <f t="shared" si="364"/>
        <v>0</v>
      </c>
      <c r="BM2565" s="9">
        <f t="shared" si="365"/>
        <v>10.46</v>
      </c>
      <c r="BN2565" s="9">
        <f t="shared" si="366"/>
        <v>2383.25</v>
      </c>
      <c r="BO2565" s="9">
        <f t="shared" si="367"/>
        <v>5.23</v>
      </c>
      <c r="BP2565" s="9">
        <f t="shared" si="368"/>
        <v>0</v>
      </c>
    </row>
    <row r="2566" spans="1:68">
      <c r="A2566" s="6">
        <v>44995</v>
      </c>
      <c r="B2566" s="7">
        <v>3016</v>
      </c>
      <c r="C2566" s="8"/>
      <c r="D2566" s="8">
        <v>2330.58</v>
      </c>
      <c r="E2566" s="8"/>
      <c r="F2566" s="8"/>
      <c r="G2566" s="8"/>
      <c r="H2566" s="8"/>
      <c r="I2566" s="8">
        <v>2147.58</v>
      </c>
      <c r="J2566" s="8"/>
      <c r="K2566" s="8"/>
      <c r="L2566" s="8"/>
      <c r="M2566" s="8"/>
      <c r="N2566" s="8">
        <v>27.77</v>
      </c>
      <c r="O2566" s="8"/>
      <c r="P2566" s="8"/>
      <c r="Q2566" s="11"/>
      <c r="R2566" s="11"/>
      <c r="S2566" s="8">
        <v>3.12</v>
      </c>
      <c r="T2566" s="8"/>
      <c r="U2566" s="8"/>
      <c r="V2566" s="8"/>
      <c r="W2566" s="8">
        <v>44.81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>
        <v>17.84</v>
      </c>
      <c r="AN2566" s="8">
        <f>2033*26.33/1000</f>
        <v>53.528889999999997</v>
      </c>
      <c r="AO2566" s="8"/>
      <c r="AP2566" s="11"/>
      <c r="AQ2566" s="8"/>
      <c r="AR2566" s="8">
        <f>4239*26.33/1000</f>
        <v>111.61287</v>
      </c>
      <c r="AS2566" s="8"/>
      <c r="AT2566" s="8">
        <v>1662.88</v>
      </c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>
        <v>121.94</v>
      </c>
      <c r="BH2566" s="9">
        <f t="shared" si="360"/>
        <v>4478.16</v>
      </c>
      <c r="BI2566" s="9">
        <f t="shared" si="361"/>
        <v>27.77</v>
      </c>
      <c r="BJ2566" s="9">
        <f t="shared" si="362"/>
        <v>3.12</v>
      </c>
      <c r="BK2566" s="9">
        <f t="shared" si="363"/>
        <v>44.81</v>
      </c>
      <c r="BL2566" s="9">
        <f t="shared" si="364"/>
        <v>0</v>
      </c>
      <c r="BM2566" s="9">
        <f t="shared" si="365"/>
        <v>182.98176000000001</v>
      </c>
      <c r="BN2566" s="9">
        <f t="shared" si="366"/>
        <v>1662.88</v>
      </c>
      <c r="BO2566" s="9">
        <f t="shared" si="367"/>
        <v>0</v>
      </c>
      <c r="BP2566" s="9">
        <f t="shared" si="368"/>
        <v>0</v>
      </c>
    </row>
    <row r="2567" spans="1:68">
      <c r="A2567" s="6">
        <v>44995</v>
      </c>
      <c r="B2567" s="7">
        <v>3079</v>
      </c>
      <c r="C2567" s="8"/>
      <c r="D2567" s="8"/>
      <c r="E2567" s="8"/>
      <c r="F2567" s="8">
        <v>334.88</v>
      </c>
      <c r="G2567" s="8"/>
      <c r="H2567" s="8"/>
      <c r="I2567" s="8">
        <v>2707.98</v>
      </c>
      <c r="J2567" s="8"/>
      <c r="K2567" s="8"/>
      <c r="L2567" s="8"/>
      <c r="M2567" s="8"/>
      <c r="N2567" s="8">
        <v>21.93</v>
      </c>
      <c r="O2567" s="8"/>
      <c r="P2567" s="8"/>
      <c r="Q2567" s="11"/>
      <c r="R2567" s="11"/>
      <c r="S2567" s="8">
        <v>1.21</v>
      </c>
      <c r="T2567" s="8"/>
      <c r="U2567" s="8"/>
      <c r="V2567" s="8"/>
      <c r="W2567" s="8">
        <v>30.47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>
        <v>12.16</v>
      </c>
      <c r="AN2567" s="8">
        <f>1714*17.9/1000</f>
        <v>30.680599999999998</v>
      </c>
      <c r="AO2567" s="8"/>
      <c r="AP2567" s="11"/>
      <c r="AQ2567" s="8"/>
      <c r="AR2567" s="8">
        <f>4239*17.9/1000</f>
        <v>75.878099999999989</v>
      </c>
      <c r="AS2567" s="8"/>
      <c r="AT2567" s="8">
        <v>1174.23</v>
      </c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>
        <v>85.41</v>
      </c>
      <c r="BH2567" s="9">
        <f t="shared" si="360"/>
        <v>3042.86</v>
      </c>
      <c r="BI2567" s="9">
        <f t="shared" si="361"/>
        <v>21.93</v>
      </c>
      <c r="BJ2567" s="9">
        <f t="shared" si="362"/>
        <v>1.21</v>
      </c>
      <c r="BK2567" s="9">
        <f t="shared" si="363"/>
        <v>30.47</v>
      </c>
      <c r="BL2567" s="9">
        <f t="shared" si="364"/>
        <v>0</v>
      </c>
      <c r="BM2567" s="9">
        <f t="shared" si="365"/>
        <v>118.71869999999998</v>
      </c>
      <c r="BN2567" s="9">
        <f t="shared" si="366"/>
        <v>1174.23</v>
      </c>
      <c r="BO2567" s="9">
        <f t="shared" si="367"/>
        <v>0</v>
      </c>
      <c r="BP2567" s="9">
        <f t="shared" si="368"/>
        <v>0</v>
      </c>
    </row>
    <row r="2568" spans="1:68">
      <c r="A2568" s="6">
        <v>44995</v>
      </c>
      <c r="B2568" s="7">
        <v>3022</v>
      </c>
      <c r="C2568" s="8"/>
      <c r="D2568" s="8">
        <v>570.03</v>
      </c>
      <c r="E2568" s="8"/>
      <c r="F2568" s="8"/>
      <c r="G2568" s="8"/>
      <c r="H2568" s="8"/>
      <c r="I2568" s="8">
        <v>465.85</v>
      </c>
      <c r="J2568" s="8"/>
      <c r="K2568" s="8"/>
      <c r="L2568" s="8"/>
      <c r="M2568" s="8"/>
      <c r="N2568" s="8">
        <v>5.18</v>
      </c>
      <c r="O2568" s="8"/>
      <c r="P2568" s="8"/>
      <c r="Q2568" s="11"/>
      <c r="R2568" s="11"/>
      <c r="S2568" s="8">
        <v>1.86</v>
      </c>
      <c r="T2568" s="8"/>
      <c r="U2568" s="8"/>
      <c r="V2568" s="8"/>
      <c r="W2568" s="8">
        <v>10.37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>
        <v>13.47</v>
      </c>
      <c r="AN2568" s="8"/>
      <c r="AO2568" s="8"/>
      <c r="AP2568" s="11"/>
      <c r="AQ2568" s="8"/>
      <c r="AR2568" s="8"/>
      <c r="AS2568" s="8">
        <f>3851*9.4/1000</f>
        <v>36.199400000000004</v>
      </c>
      <c r="AT2568" s="8">
        <v>483.89</v>
      </c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>
        <v>37.26</v>
      </c>
      <c r="BH2568" s="9">
        <f t="shared" si="360"/>
        <v>1035.8800000000001</v>
      </c>
      <c r="BI2568" s="9">
        <f t="shared" si="361"/>
        <v>5.18</v>
      </c>
      <c r="BJ2568" s="9">
        <f t="shared" si="362"/>
        <v>1.86</v>
      </c>
      <c r="BK2568" s="9">
        <f t="shared" si="363"/>
        <v>10.37</v>
      </c>
      <c r="BL2568" s="9">
        <f t="shared" si="364"/>
        <v>0</v>
      </c>
      <c r="BM2568" s="9">
        <f t="shared" si="365"/>
        <v>49.669400000000003</v>
      </c>
      <c r="BN2568" s="9">
        <f t="shared" si="366"/>
        <v>483.89</v>
      </c>
      <c r="BO2568" s="9">
        <f t="shared" si="367"/>
        <v>0</v>
      </c>
      <c r="BP2568" s="9">
        <f t="shared" si="368"/>
        <v>0</v>
      </c>
    </row>
    <row r="2569" spans="1:68">
      <c r="A2569" s="6">
        <v>44995</v>
      </c>
      <c r="B2569" s="7">
        <v>3023</v>
      </c>
      <c r="C2569" s="8"/>
      <c r="D2569" s="8">
        <v>857.83</v>
      </c>
      <c r="E2569" s="8"/>
      <c r="F2569" s="8"/>
      <c r="G2569" s="8"/>
      <c r="H2569" s="8"/>
      <c r="I2569" s="8">
        <v>462.42</v>
      </c>
      <c r="J2569" s="8"/>
      <c r="K2569" s="8"/>
      <c r="L2569" s="8"/>
      <c r="M2569" s="8"/>
      <c r="N2569" s="8">
        <v>7.39</v>
      </c>
      <c r="O2569" s="8"/>
      <c r="P2569" s="8"/>
      <c r="Q2569" s="11"/>
      <c r="R2569" s="11"/>
      <c r="S2569" s="8">
        <v>2.11</v>
      </c>
      <c r="T2569" s="8"/>
      <c r="U2569" s="8"/>
      <c r="V2569" s="8"/>
      <c r="W2569" s="8">
        <v>11.89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>
        <v>13.2</v>
      </c>
      <c r="AN2569" s="8">
        <f>1026*9.12/1000</f>
        <v>9.3571199999999983</v>
      </c>
      <c r="AO2569" s="8"/>
      <c r="AP2569" s="11"/>
      <c r="AQ2569" s="8"/>
      <c r="AR2569" s="8"/>
      <c r="AS2569" s="8">
        <f>4791*9.12/1000</f>
        <v>43.693919999999999</v>
      </c>
      <c r="AT2569" s="8">
        <v>541.65</v>
      </c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>
        <v>40.909999999999997</v>
      </c>
      <c r="BH2569" s="9">
        <f t="shared" si="360"/>
        <v>1320.25</v>
      </c>
      <c r="BI2569" s="9">
        <f t="shared" si="361"/>
        <v>7.39</v>
      </c>
      <c r="BJ2569" s="9">
        <f t="shared" si="362"/>
        <v>2.11</v>
      </c>
      <c r="BK2569" s="9">
        <f t="shared" si="363"/>
        <v>11.89</v>
      </c>
      <c r="BL2569" s="9">
        <f t="shared" si="364"/>
        <v>0</v>
      </c>
      <c r="BM2569" s="9">
        <f t="shared" si="365"/>
        <v>66.251039999999989</v>
      </c>
      <c r="BN2569" s="9">
        <f t="shared" si="366"/>
        <v>541.65</v>
      </c>
      <c r="BO2569" s="9">
        <f t="shared" si="367"/>
        <v>0</v>
      </c>
      <c r="BP2569" s="9">
        <f t="shared" si="368"/>
        <v>0</v>
      </c>
    </row>
    <row r="2570" spans="1:68">
      <c r="A2570" s="6">
        <v>44995</v>
      </c>
      <c r="B2570" s="7">
        <v>3206</v>
      </c>
      <c r="C2570" s="8">
        <v>598.9</v>
      </c>
      <c r="D2570" s="8">
        <v>1079.83</v>
      </c>
      <c r="E2570" s="8">
        <v>718.73</v>
      </c>
      <c r="F2570" s="8"/>
      <c r="G2570" s="8"/>
      <c r="H2570" s="8"/>
      <c r="I2570" s="8"/>
      <c r="J2570" s="8"/>
      <c r="K2570" s="8"/>
      <c r="L2570" s="8"/>
      <c r="M2570" s="8"/>
      <c r="N2570" s="8"/>
      <c r="O2570" s="8">
        <v>4.79</v>
      </c>
      <c r="P2570" s="8"/>
      <c r="Q2570" s="11"/>
      <c r="R2570" s="11"/>
      <c r="S2570" s="8">
        <v>11.98</v>
      </c>
      <c r="T2570" s="8"/>
      <c r="U2570" s="8">
        <v>8.39</v>
      </c>
      <c r="V2570" s="8"/>
      <c r="W2570" s="8"/>
      <c r="X2570" s="8"/>
      <c r="Y2570" s="8"/>
      <c r="Z2570" s="8">
        <v>143.84</v>
      </c>
      <c r="AA2570" s="8"/>
      <c r="AB2570" s="8">
        <f>816*14.97/1000</f>
        <v>12.21552</v>
      </c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11"/>
      <c r="AQ2570" s="8"/>
      <c r="AR2570" s="8"/>
      <c r="AS2570" s="8"/>
      <c r="AT2570" s="8">
        <v>419.77</v>
      </c>
      <c r="AU2570" s="8">
        <v>209.84</v>
      </c>
      <c r="AV2570" s="8"/>
      <c r="AW2570" s="8">
        <v>9.1</v>
      </c>
      <c r="AX2570" s="8"/>
      <c r="AY2570" s="8"/>
      <c r="AZ2570" s="8"/>
      <c r="BA2570" s="8"/>
      <c r="BB2570" s="8"/>
      <c r="BC2570" s="8"/>
      <c r="BD2570" s="8"/>
      <c r="BE2570" s="8"/>
      <c r="BF2570" s="8"/>
      <c r="BG2570" s="8">
        <v>41.89</v>
      </c>
      <c r="BH2570" s="9">
        <f t="shared" si="360"/>
        <v>2397.46</v>
      </c>
      <c r="BI2570" s="9">
        <f t="shared" si="361"/>
        <v>4.79</v>
      </c>
      <c r="BJ2570" s="9">
        <f t="shared" si="362"/>
        <v>11.98</v>
      </c>
      <c r="BK2570" s="9">
        <f t="shared" si="363"/>
        <v>8.39</v>
      </c>
      <c r="BL2570" s="9">
        <f t="shared" si="364"/>
        <v>143.84</v>
      </c>
      <c r="BM2570" s="9">
        <f t="shared" si="365"/>
        <v>12.21552</v>
      </c>
      <c r="BN2570" s="9">
        <f t="shared" si="366"/>
        <v>629.61</v>
      </c>
      <c r="BO2570" s="9">
        <f t="shared" si="367"/>
        <v>9.1</v>
      </c>
      <c r="BP2570" s="9">
        <f t="shared" si="368"/>
        <v>0</v>
      </c>
    </row>
    <row r="2571" spans="1:68">
      <c r="A2571" s="6">
        <v>44998</v>
      </c>
      <c r="B2571" s="7">
        <v>3433</v>
      </c>
      <c r="C2571" s="8">
        <v>412.25</v>
      </c>
      <c r="D2571" s="8"/>
      <c r="E2571" s="8"/>
      <c r="F2571" s="8"/>
      <c r="G2571" s="8"/>
      <c r="H2571" s="8"/>
      <c r="I2571" s="8"/>
      <c r="J2571" s="8"/>
      <c r="K2571" s="8"/>
      <c r="L2571" s="8"/>
      <c r="M2571" s="8">
        <v>1.1399999999999999</v>
      </c>
      <c r="N2571" s="8"/>
      <c r="O2571" s="8"/>
      <c r="P2571" s="8"/>
      <c r="Q2571" s="11"/>
      <c r="R2571" s="11"/>
      <c r="S2571" s="8">
        <v>1.66</v>
      </c>
      <c r="T2571" s="8"/>
      <c r="U2571" s="8"/>
      <c r="V2571" s="8"/>
      <c r="W2571" s="8"/>
      <c r="X2571" s="8">
        <f>854*4.88/1000</f>
        <v>4.1675199999999997</v>
      </c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11"/>
      <c r="AQ2571" s="8"/>
      <c r="AR2571" s="8"/>
      <c r="AS2571" s="8"/>
      <c r="AT2571" s="8">
        <v>193.58</v>
      </c>
      <c r="AU2571" s="8"/>
      <c r="AV2571" s="8"/>
      <c r="AW2571" s="8"/>
      <c r="AX2571" s="8"/>
      <c r="AY2571" s="8"/>
      <c r="AZ2571" s="8"/>
      <c r="BA2571" s="8">
        <v>1.88</v>
      </c>
      <c r="BB2571" s="8"/>
      <c r="BC2571" s="8"/>
      <c r="BD2571" s="8"/>
      <c r="BE2571" s="8"/>
      <c r="BF2571" s="8">
        <v>20.84</v>
      </c>
      <c r="BG2571" s="8">
        <v>13.97</v>
      </c>
      <c r="BH2571" s="9">
        <f t="shared" si="360"/>
        <v>412.25</v>
      </c>
      <c r="BI2571" s="9">
        <f t="shared" si="361"/>
        <v>1.1399999999999999</v>
      </c>
      <c r="BJ2571" s="9">
        <f t="shared" si="362"/>
        <v>1.66</v>
      </c>
      <c r="BK2571" s="9">
        <f t="shared" si="363"/>
        <v>4.1675199999999997</v>
      </c>
      <c r="BL2571" s="9">
        <f t="shared" si="364"/>
        <v>0</v>
      </c>
      <c r="BM2571" s="9">
        <f t="shared" si="365"/>
        <v>0</v>
      </c>
      <c r="BN2571" s="9">
        <f t="shared" si="366"/>
        <v>193.58</v>
      </c>
      <c r="BO2571" s="9">
        <f t="shared" si="367"/>
        <v>1.88</v>
      </c>
      <c r="BP2571" s="9">
        <f t="shared" si="368"/>
        <v>20.84</v>
      </c>
    </row>
    <row r="2572" spans="1:68">
      <c r="A2572" s="6">
        <v>44998</v>
      </c>
      <c r="B2572" s="7">
        <v>3406</v>
      </c>
      <c r="C2572" s="8">
        <v>626.39</v>
      </c>
      <c r="D2572" s="8">
        <v>156.18</v>
      </c>
      <c r="E2572" s="8"/>
      <c r="F2572" s="8"/>
      <c r="G2572" s="8"/>
      <c r="H2572" s="8"/>
      <c r="I2572" s="8"/>
      <c r="J2572" s="8"/>
      <c r="K2572" s="8"/>
      <c r="L2572" s="8"/>
      <c r="M2572" s="8">
        <v>1.77</v>
      </c>
      <c r="N2572" s="8"/>
      <c r="O2572" s="8"/>
      <c r="P2572" s="8"/>
      <c r="Q2572" s="11"/>
      <c r="R2572" s="11"/>
      <c r="S2572" s="8">
        <v>1.8</v>
      </c>
      <c r="T2572" s="8"/>
      <c r="U2572" s="8"/>
      <c r="V2572" s="8"/>
      <c r="W2572" s="8"/>
      <c r="X2572" s="8">
        <f>1023*7.82/1000</f>
        <v>7.9998600000000009</v>
      </c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11"/>
      <c r="AQ2572" s="8"/>
      <c r="AR2572" s="8"/>
      <c r="AS2572" s="8"/>
      <c r="AT2572" s="8">
        <v>393.13</v>
      </c>
      <c r="AU2572" s="8"/>
      <c r="AV2572" s="8">
        <v>23.47</v>
      </c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>
        <v>26.53</v>
      </c>
      <c r="BH2572" s="9">
        <f t="shared" si="360"/>
        <v>782.56999999999994</v>
      </c>
      <c r="BI2572" s="9">
        <f t="shared" si="361"/>
        <v>1.77</v>
      </c>
      <c r="BJ2572" s="9">
        <f t="shared" si="362"/>
        <v>1.8</v>
      </c>
      <c r="BK2572" s="9">
        <f t="shared" si="363"/>
        <v>7.9998600000000009</v>
      </c>
      <c r="BL2572" s="9">
        <f t="shared" si="364"/>
        <v>0</v>
      </c>
      <c r="BM2572" s="9">
        <f t="shared" si="365"/>
        <v>0</v>
      </c>
      <c r="BN2572" s="9">
        <f t="shared" si="366"/>
        <v>393.13</v>
      </c>
      <c r="BO2572" s="9">
        <f t="shared" si="367"/>
        <v>23.47</v>
      </c>
      <c r="BP2572" s="9">
        <f t="shared" si="368"/>
        <v>0</v>
      </c>
    </row>
    <row r="2573" spans="1:68">
      <c r="A2573" s="6">
        <v>44998</v>
      </c>
      <c r="B2573" s="7">
        <v>3029</v>
      </c>
      <c r="C2573" s="8"/>
      <c r="D2573" s="8">
        <v>456.51</v>
      </c>
      <c r="E2573" s="8"/>
      <c r="F2573" s="8">
        <v>321.72000000000003</v>
      </c>
      <c r="G2573" s="8"/>
      <c r="H2573" s="8"/>
      <c r="I2573" s="8">
        <v>1904.24</v>
      </c>
      <c r="J2573" s="8"/>
      <c r="K2573" s="8"/>
      <c r="L2573" s="8"/>
      <c r="M2573" s="8"/>
      <c r="N2573" s="8">
        <v>20.96</v>
      </c>
      <c r="O2573" s="8"/>
      <c r="P2573" s="8"/>
      <c r="Q2573" s="11"/>
      <c r="R2573" s="11"/>
      <c r="S2573" s="8">
        <v>1.61</v>
      </c>
      <c r="T2573" s="8"/>
      <c r="U2573" s="8"/>
      <c r="V2573" s="8"/>
      <c r="W2573" s="8">
        <v>26.89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>
        <v>9.36</v>
      </c>
      <c r="AN2573" s="8">
        <f>760*17.92/1000</f>
        <v>13.619200000000001</v>
      </c>
      <c r="AO2573" s="8"/>
      <c r="AP2573" s="11"/>
      <c r="AQ2573" s="8"/>
      <c r="AR2573" s="8">
        <f>4580*17.92/1000</f>
        <v>82.073599999999999</v>
      </c>
      <c r="AS2573" s="8"/>
      <c r="AT2573" s="8">
        <v>1019.9</v>
      </c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>
        <v>71.27</v>
      </c>
      <c r="BH2573" s="9">
        <f t="shared" si="360"/>
        <v>2682.4700000000003</v>
      </c>
      <c r="BI2573" s="9">
        <f t="shared" si="361"/>
        <v>20.96</v>
      </c>
      <c r="BJ2573" s="9">
        <f t="shared" si="362"/>
        <v>1.61</v>
      </c>
      <c r="BK2573" s="9">
        <f t="shared" si="363"/>
        <v>26.89</v>
      </c>
      <c r="BL2573" s="9">
        <f t="shared" si="364"/>
        <v>0</v>
      </c>
      <c r="BM2573" s="9">
        <f t="shared" si="365"/>
        <v>105.05279999999999</v>
      </c>
      <c r="BN2573" s="9">
        <f t="shared" si="366"/>
        <v>1019.9</v>
      </c>
      <c r="BO2573" s="9">
        <f t="shared" si="367"/>
        <v>0</v>
      </c>
      <c r="BP2573" s="9">
        <f t="shared" si="368"/>
        <v>0</v>
      </c>
    </row>
    <row r="2574" spans="1:68">
      <c r="A2574" s="6">
        <v>44998</v>
      </c>
      <c r="B2574" s="7">
        <v>3083</v>
      </c>
      <c r="C2574" s="8"/>
      <c r="D2574" s="8">
        <v>1044.75</v>
      </c>
      <c r="E2574" s="8"/>
      <c r="F2574" s="8"/>
      <c r="G2574" s="8"/>
      <c r="H2574" s="8"/>
      <c r="I2574" s="8">
        <v>2436.69</v>
      </c>
      <c r="J2574" s="8"/>
      <c r="K2574" s="8"/>
      <c r="L2574" s="8"/>
      <c r="M2574" s="8"/>
      <c r="N2574" s="8">
        <v>22.62</v>
      </c>
      <c r="O2574" s="8"/>
      <c r="P2574" s="8"/>
      <c r="Q2574" s="11"/>
      <c r="R2574" s="11"/>
      <c r="S2574" s="8">
        <v>2.4300000000000002</v>
      </c>
      <c r="T2574" s="8"/>
      <c r="U2574" s="8"/>
      <c r="V2574" s="8"/>
      <c r="W2574" s="8">
        <v>27.87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>
        <v>13.93</v>
      </c>
      <c r="AN2574" s="8">
        <f>1902*25.78/1000</f>
        <v>49.033560000000008</v>
      </c>
      <c r="AO2574" s="8"/>
      <c r="AP2574" s="11"/>
      <c r="AQ2574" s="8"/>
      <c r="AR2574" s="8">
        <f>3384*25.78/1000</f>
        <v>87.239519999999999</v>
      </c>
      <c r="AS2574" s="8"/>
      <c r="AT2574" s="8">
        <v>1635.94</v>
      </c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>
        <v>129.79</v>
      </c>
      <c r="BH2574" s="9">
        <f t="shared" si="360"/>
        <v>3481.44</v>
      </c>
      <c r="BI2574" s="9">
        <f t="shared" si="361"/>
        <v>22.62</v>
      </c>
      <c r="BJ2574" s="9">
        <f t="shared" si="362"/>
        <v>2.4300000000000002</v>
      </c>
      <c r="BK2574" s="9">
        <f t="shared" si="363"/>
        <v>27.87</v>
      </c>
      <c r="BL2574" s="9">
        <f t="shared" si="364"/>
        <v>0</v>
      </c>
      <c r="BM2574" s="9">
        <f t="shared" si="365"/>
        <v>150.20308</v>
      </c>
      <c r="BN2574" s="9">
        <f t="shared" si="366"/>
        <v>1635.94</v>
      </c>
      <c r="BO2574" s="9">
        <f t="shared" si="367"/>
        <v>0</v>
      </c>
      <c r="BP2574" s="9">
        <f t="shared" si="368"/>
        <v>0</v>
      </c>
    </row>
    <row r="2575" spans="1:68">
      <c r="A2575" s="6">
        <v>44998</v>
      </c>
      <c r="B2575" s="7">
        <v>3705</v>
      </c>
      <c r="C2575" s="8"/>
      <c r="D2575" s="8">
        <v>721.14</v>
      </c>
      <c r="E2575" s="8"/>
      <c r="F2575" s="8"/>
      <c r="G2575" s="8"/>
      <c r="H2575" s="8"/>
      <c r="I2575" s="8">
        <v>159.25</v>
      </c>
      <c r="J2575" s="8"/>
      <c r="K2575" s="8"/>
      <c r="L2575" s="8"/>
      <c r="M2575" s="8">
        <v>2.64</v>
      </c>
      <c r="N2575" s="8"/>
      <c r="O2575" s="8"/>
      <c r="P2575" s="8"/>
      <c r="Q2575" s="11"/>
      <c r="R2575" s="11"/>
      <c r="S2575" s="8">
        <v>3.07</v>
      </c>
      <c r="T2575" s="8"/>
      <c r="U2575" s="8">
        <v>6.15</v>
      </c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11"/>
      <c r="AQ2575" s="8"/>
      <c r="AR2575" s="8"/>
      <c r="AS2575" s="8"/>
      <c r="AT2575" s="8">
        <v>52.47</v>
      </c>
      <c r="AU2575" s="8">
        <v>104.34</v>
      </c>
      <c r="AV2575" s="8">
        <v>1.76</v>
      </c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>
        <v>8.6300000000000008</v>
      </c>
      <c r="BH2575" s="9">
        <f t="shared" si="360"/>
        <v>880.39</v>
      </c>
      <c r="BI2575" s="9">
        <f t="shared" si="361"/>
        <v>2.64</v>
      </c>
      <c r="BJ2575" s="9">
        <f t="shared" si="362"/>
        <v>3.07</v>
      </c>
      <c r="BK2575" s="9">
        <f t="shared" si="363"/>
        <v>6.15</v>
      </c>
      <c r="BL2575" s="9">
        <f t="shared" si="364"/>
        <v>0</v>
      </c>
      <c r="BM2575" s="9">
        <f t="shared" si="365"/>
        <v>0</v>
      </c>
      <c r="BN2575" s="9">
        <f t="shared" si="366"/>
        <v>156.81</v>
      </c>
      <c r="BO2575" s="9">
        <f t="shared" si="367"/>
        <v>1.76</v>
      </c>
      <c r="BP2575" s="9">
        <f t="shared" si="368"/>
        <v>0</v>
      </c>
    </row>
    <row r="2576" spans="1:68">
      <c r="A2576" s="6">
        <v>44998</v>
      </c>
      <c r="B2576" s="7">
        <v>3602</v>
      </c>
      <c r="C2576" s="8">
        <v>572.61</v>
      </c>
      <c r="D2576" s="8"/>
      <c r="E2576" s="8"/>
      <c r="F2576" s="8"/>
      <c r="G2576" s="8">
        <v>858.52</v>
      </c>
      <c r="H2576" s="8"/>
      <c r="I2576" s="8"/>
      <c r="J2576" s="8"/>
      <c r="K2576" s="8"/>
      <c r="L2576" s="8"/>
      <c r="M2576" s="8">
        <v>1.49</v>
      </c>
      <c r="N2576" s="8"/>
      <c r="O2576" s="8"/>
      <c r="P2576" s="8"/>
      <c r="Q2576" s="11"/>
      <c r="R2576" s="11"/>
      <c r="S2576" s="8">
        <v>6.87</v>
      </c>
      <c r="T2576" s="8"/>
      <c r="U2576" s="8">
        <v>11.47</v>
      </c>
      <c r="V2576" s="8">
        <f>861*16.37/1000</f>
        <v>14.094570000000001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11"/>
      <c r="AQ2576" s="8"/>
      <c r="AR2576" s="8"/>
      <c r="AS2576" s="8"/>
      <c r="AT2576" s="8">
        <v>577.72</v>
      </c>
      <c r="AU2576" s="8"/>
      <c r="AV2576" s="8"/>
      <c r="AW2576" s="8">
        <v>37.04</v>
      </c>
      <c r="AX2576" s="8"/>
      <c r="AY2576" s="8"/>
      <c r="AZ2576" s="8"/>
      <c r="BA2576" s="8"/>
      <c r="BB2576" s="8"/>
      <c r="BC2576" s="8"/>
      <c r="BD2576" s="8"/>
      <c r="BE2576" s="8"/>
      <c r="BF2576" s="8">
        <v>45.89</v>
      </c>
      <c r="BG2576" s="8">
        <v>43.11</v>
      </c>
      <c r="BH2576" s="9">
        <f t="shared" si="360"/>
        <v>1431.13</v>
      </c>
      <c r="BI2576" s="9">
        <f t="shared" si="361"/>
        <v>1.49</v>
      </c>
      <c r="BJ2576" s="9">
        <f t="shared" si="362"/>
        <v>6.87</v>
      </c>
      <c r="BK2576" s="9">
        <f t="shared" si="363"/>
        <v>25.564570000000003</v>
      </c>
      <c r="BL2576" s="9">
        <f t="shared" si="364"/>
        <v>0</v>
      </c>
      <c r="BM2576" s="9">
        <f t="shared" si="365"/>
        <v>0</v>
      </c>
      <c r="BN2576" s="9">
        <f t="shared" si="366"/>
        <v>577.72</v>
      </c>
      <c r="BO2576" s="9">
        <f t="shared" si="367"/>
        <v>37.04</v>
      </c>
      <c r="BP2576" s="9">
        <f t="shared" si="368"/>
        <v>45.89</v>
      </c>
    </row>
    <row r="2577" spans="1:68">
      <c r="A2577" s="6">
        <v>44999</v>
      </c>
      <c r="B2577" s="7">
        <v>3307</v>
      </c>
      <c r="C2577" s="8"/>
      <c r="D2577" s="8">
        <v>976.8</v>
      </c>
      <c r="E2577" s="8"/>
      <c r="F2577" s="8"/>
      <c r="G2577" s="8"/>
      <c r="H2577" s="8"/>
      <c r="I2577" s="8"/>
      <c r="J2577" s="8"/>
      <c r="K2577" s="8"/>
      <c r="L2577" s="8"/>
      <c r="M2577" s="8">
        <v>0.87</v>
      </c>
      <c r="N2577" s="8"/>
      <c r="O2577" s="8"/>
      <c r="P2577" s="8"/>
      <c r="Q2577" s="11"/>
      <c r="R2577" s="11"/>
      <c r="S2577" s="8">
        <v>6.64</v>
      </c>
      <c r="T2577" s="8"/>
      <c r="U2577" s="8">
        <v>9.77</v>
      </c>
      <c r="V2577" s="8"/>
      <c r="W2577" s="8"/>
      <c r="X2577" s="8"/>
      <c r="Y2577" s="8"/>
      <c r="Z2577" s="8"/>
      <c r="AA2577" s="8"/>
      <c r="AB2577" s="8"/>
      <c r="AC2577" s="8">
        <v>5.86</v>
      </c>
      <c r="AD2577" s="8"/>
      <c r="AE2577" s="8"/>
      <c r="AF2577" s="8"/>
      <c r="AG2577" s="8">
        <v>9.7899999999999991</v>
      </c>
      <c r="AH2577" s="8"/>
      <c r="AI2577" s="8"/>
      <c r="AJ2577" s="8"/>
      <c r="AK2577" s="8"/>
      <c r="AL2577" s="8"/>
      <c r="AM2577" s="8"/>
      <c r="AN2577" s="8"/>
      <c r="AO2577" s="8"/>
      <c r="AP2577" s="11"/>
      <c r="AQ2577" s="8"/>
      <c r="AR2577" s="8"/>
      <c r="AS2577" s="8"/>
      <c r="AT2577" s="8"/>
      <c r="AU2577" s="8">
        <v>489.05</v>
      </c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>
        <v>35.159999999999997</v>
      </c>
      <c r="BH2577" s="9">
        <f t="shared" si="360"/>
        <v>976.8</v>
      </c>
      <c r="BI2577" s="9">
        <f t="shared" si="361"/>
        <v>0.87</v>
      </c>
      <c r="BJ2577" s="9">
        <f t="shared" si="362"/>
        <v>6.64</v>
      </c>
      <c r="BK2577" s="9">
        <f t="shared" si="363"/>
        <v>9.77</v>
      </c>
      <c r="BL2577" s="9">
        <f t="shared" si="364"/>
        <v>0</v>
      </c>
      <c r="BM2577" s="9">
        <f t="shared" si="365"/>
        <v>15.649999999999999</v>
      </c>
      <c r="BN2577" s="9">
        <f t="shared" si="366"/>
        <v>489.05</v>
      </c>
      <c r="BO2577" s="9">
        <f t="shared" si="367"/>
        <v>0</v>
      </c>
      <c r="BP2577" s="9">
        <f t="shared" si="368"/>
        <v>0</v>
      </c>
    </row>
    <row r="2578" spans="1:68">
      <c r="A2578" s="6">
        <v>44999</v>
      </c>
      <c r="B2578" s="7">
        <v>3141</v>
      </c>
      <c r="C2578" s="8">
        <v>2417.11</v>
      </c>
      <c r="D2578" s="8">
        <v>426</v>
      </c>
      <c r="E2578" s="8"/>
      <c r="F2578" s="8"/>
      <c r="G2578" s="8"/>
      <c r="H2578" s="8"/>
      <c r="I2578" s="8"/>
      <c r="J2578" s="8"/>
      <c r="K2578" s="8"/>
      <c r="L2578" s="8"/>
      <c r="M2578" s="8">
        <v>8.26</v>
      </c>
      <c r="N2578" s="8"/>
      <c r="O2578" s="8"/>
      <c r="P2578" s="8"/>
      <c r="Q2578" s="11"/>
      <c r="R2578" s="11"/>
      <c r="S2578" s="8">
        <v>13.4</v>
      </c>
      <c r="T2578" s="8"/>
      <c r="U2578" s="8">
        <v>42.75</v>
      </c>
      <c r="V2578" s="8"/>
      <c r="W2578" s="8"/>
      <c r="X2578" s="8"/>
      <c r="Y2578" s="8"/>
      <c r="Z2578" s="8"/>
      <c r="AA2578" s="8"/>
      <c r="AB2578" s="8"/>
      <c r="AC2578" s="8">
        <v>11.39</v>
      </c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11"/>
      <c r="AQ2578" s="8"/>
      <c r="AR2578" s="8"/>
      <c r="AS2578" s="8"/>
      <c r="AT2578" s="8">
        <v>1880.47</v>
      </c>
      <c r="AU2578" s="8"/>
      <c r="AV2578" s="8"/>
      <c r="AW2578" s="8"/>
      <c r="AX2578" s="8"/>
      <c r="AY2578" s="8"/>
      <c r="AZ2578" s="8"/>
      <c r="BA2578" s="8">
        <v>65.31</v>
      </c>
      <c r="BB2578" s="8"/>
      <c r="BC2578" s="8"/>
      <c r="BD2578" s="8"/>
      <c r="BE2578" s="8"/>
      <c r="BF2578" s="8">
        <v>199.53</v>
      </c>
      <c r="BG2578" s="8">
        <v>148.52000000000001</v>
      </c>
      <c r="BH2578" s="9">
        <f t="shared" si="360"/>
        <v>2843.11</v>
      </c>
      <c r="BI2578" s="9">
        <f t="shared" si="361"/>
        <v>8.26</v>
      </c>
      <c r="BJ2578" s="9">
        <f t="shared" si="362"/>
        <v>13.4</v>
      </c>
      <c r="BK2578" s="9">
        <f t="shared" si="363"/>
        <v>42.75</v>
      </c>
      <c r="BL2578" s="9">
        <f t="shared" si="364"/>
        <v>0</v>
      </c>
      <c r="BM2578" s="9">
        <f t="shared" si="365"/>
        <v>11.39</v>
      </c>
      <c r="BN2578" s="9">
        <f t="shared" si="366"/>
        <v>1880.47</v>
      </c>
      <c r="BO2578" s="9">
        <f t="shared" si="367"/>
        <v>65.31</v>
      </c>
      <c r="BP2578" s="9">
        <f t="shared" si="368"/>
        <v>199.53</v>
      </c>
    </row>
    <row r="2579" spans="1:68">
      <c r="A2579" s="6">
        <v>44999</v>
      </c>
      <c r="B2579" s="7">
        <v>3134</v>
      </c>
      <c r="C2579" s="8">
        <v>1049.96</v>
      </c>
      <c r="D2579" s="8">
        <v>147.07</v>
      </c>
      <c r="E2579" s="8"/>
      <c r="F2579" s="8"/>
      <c r="G2579" s="8"/>
      <c r="H2579" s="8">
        <v>495.19</v>
      </c>
      <c r="I2579" s="8"/>
      <c r="J2579" s="8"/>
      <c r="K2579" s="8"/>
      <c r="L2579" s="8"/>
      <c r="M2579" s="8">
        <v>2.99</v>
      </c>
      <c r="N2579" s="8"/>
      <c r="O2579" s="8"/>
      <c r="P2579" s="8"/>
      <c r="Q2579" s="11"/>
      <c r="R2579" s="11"/>
      <c r="S2579" s="8">
        <v>6.77</v>
      </c>
      <c r="T2579" s="8"/>
      <c r="U2579" s="8">
        <v>19.07</v>
      </c>
      <c r="V2579" s="8"/>
      <c r="W2579" s="8"/>
      <c r="X2579" s="8"/>
      <c r="Y2579" s="8"/>
      <c r="Z2579" s="8"/>
      <c r="AA2579" s="8"/>
      <c r="AB2579" s="8"/>
      <c r="AC2579" s="8">
        <v>5.89</v>
      </c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11"/>
      <c r="AQ2579" s="8"/>
      <c r="AR2579" s="8"/>
      <c r="AS2579" s="8"/>
      <c r="AT2579" s="8">
        <v>1036.25</v>
      </c>
      <c r="AU2579" s="8"/>
      <c r="AV2579" s="8"/>
      <c r="AW2579" s="8"/>
      <c r="AX2579" s="8"/>
      <c r="AY2579" s="8">
        <f>1432*10.52/1000</f>
        <v>15.064639999999999</v>
      </c>
      <c r="AZ2579" s="8"/>
      <c r="BA2579" s="8"/>
      <c r="BB2579" s="8"/>
      <c r="BC2579" s="8"/>
      <c r="BD2579" s="8"/>
      <c r="BE2579" s="8"/>
      <c r="BF2579" s="8">
        <v>66.459999999999994</v>
      </c>
      <c r="BG2579" s="8">
        <v>78.650000000000006</v>
      </c>
      <c r="BH2579" s="9">
        <f t="shared" si="360"/>
        <v>1692.22</v>
      </c>
      <c r="BI2579" s="9">
        <f t="shared" si="361"/>
        <v>2.99</v>
      </c>
      <c r="BJ2579" s="9">
        <f t="shared" si="362"/>
        <v>6.77</v>
      </c>
      <c r="BK2579" s="9">
        <f t="shared" si="363"/>
        <v>19.07</v>
      </c>
      <c r="BL2579" s="9">
        <f t="shared" si="364"/>
        <v>0</v>
      </c>
      <c r="BM2579" s="9">
        <f t="shared" si="365"/>
        <v>5.89</v>
      </c>
      <c r="BN2579" s="9">
        <f t="shared" si="366"/>
        <v>1036.25</v>
      </c>
      <c r="BO2579" s="9">
        <f t="shared" si="367"/>
        <v>15.064639999999999</v>
      </c>
      <c r="BP2579" s="9">
        <f t="shared" si="368"/>
        <v>66.459999999999994</v>
      </c>
    </row>
    <row r="2580" spans="1:68">
      <c r="A2580" s="6">
        <v>44999</v>
      </c>
      <c r="B2580" s="7">
        <v>3106</v>
      </c>
      <c r="C2580" s="8">
        <v>4117.26</v>
      </c>
      <c r="D2580" s="8"/>
      <c r="E2580" s="8"/>
      <c r="F2580" s="8"/>
      <c r="G2580" s="8"/>
      <c r="H2580" s="8"/>
      <c r="I2580" s="8"/>
      <c r="J2580" s="8"/>
      <c r="K2580" s="8"/>
      <c r="L2580" s="8"/>
      <c r="M2580" s="8">
        <v>10.63</v>
      </c>
      <c r="N2580" s="8"/>
      <c r="O2580" s="8"/>
      <c r="P2580" s="8"/>
      <c r="Q2580" s="11"/>
      <c r="R2580" s="11"/>
      <c r="S2580" s="8">
        <v>12.39</v>
      </c>
      <c r="T2580" s="8"/>
      <c r="U2580" s="8">
        <v>53.08</v>
      </c>
      <c r="V2580" s="8"/>
      <c r="W2580" s="8"/>
      <c r="X2580" s="8"/>
      <c r="Y2580" s="8"/>
      <c r="Z2580" s="8"/>
      <c r="AA2580" s="8"/>
      <c r="AB2580" s="8"/>
      <c r="AC2580" s="8">
        <v>10.32</v>
      </c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11"/>
      <c r="AQ2580" s="8"/>
      <c r="AR2580" s="8"/>
      <c r="AS2580" s="8"/>
      <c r="AT2580" s="8">
        <v>2357.2800000000002</v>
      </c>
      <c r="AU2580" s="8"/>
      <c r="AV2580" s="8"/>
      <c r="AW2580" s="8"/>
      <c r="AX2580" s="8">
        <v>5.17</v>
      </c>
      <c r="AY2580" s="8"/>
      <c r="AZ2580" s="8"/>
      <c r="BA2580" s="8"/>
      <c r="BB2580" s="8"/>
      <c r="BC2580" s="8"/>
      <c r="BD2580" s="8"/>
      <c r="BE2580" s="8"/>
      <c r="BF2580" s="8"/>
      <c r="BG2580" s="8">
        <v>177.26</v>
      </c>
      <c r="BH2580" s="9">
        <f t="shared" si="360"/>
        <v>4117.26</v>
      </c>
      <c r="BI2580" s="9">
        <f t="shared" si="361"/>
        <v>10.63</v>
      </c>
      <c r="BJ2580" s="9">
        <f t="shared" si="362"/>
        <v>12.39</v>
      </c>
      <c r="BK2580" s="9">
        <f t="shared" si="363"/>
        <v>53.08</v>
      </c>
      <c r="BL2580" s="9">
        <f t="shared" si="364"/>
        <v>0</v>
      </c>
      <c r="BM2580" s="9">
        <f t="shared" si="365"/>
        <v>10.32</v>
      </c>
      <c r="BN2580" s="9">
        <f t="shared" si="366"/>
        <v>2357.2800000000002</v>
      </c>
      <c r="BO2580" s="9">
        <f t="shared" si="367"/>
        <v>5.17</v>
      </c>
      <c r="BP2580" s="9">
        <f t="shared" si="368"/>
        <v>0</v>
      </c>
    </row>
    <row r="2581" spans="1:68">
      <c r="A2581" s="6">
        <v>44999</v>
      </c>
      <c r="B2581" s="7">
        <v>8003</v>
      </c>
      <c r="C2581" s="8"/>
      <c r="D2581" s="8"/>
      <c r="E2581" s="8"/>
      <c r="F2581" s="8">
        <v>493.84</v>
      </c>
      <c r="G2581" s="8"/>
      <c r="H2581" s="8"/>
      <c r="I2581" s="8"/>
      <c r="J2581" s="8"/>
      <c r="K2581" s="8">
        <f>84000*13.8/1000</f>
        <v>1159.2</v>
      </c>
      <c r="L2581" s="8"/>
      <c r="M2581" s="8"/>
      <c r="N2581" s="8">
        <v>3.55</v>
      </c>
      <c r="O2581" s="8"/>
      <c r="P2581" s="8"/>
      <c r="Q2581" s="11"/>
      <c r="R2581" s="11"/>
      <c r="S2581" s="8">
        <v>3.64</v>
      </c>
      <c r="T2581" s="8"/>
      <c r="U2581" s="8">
        <v>11.63</v>
      </c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>
        <f>850*13.8/1000</f>
        <v>11.73</v>
      </c>
      <c r="AK2581" s="8"/>
      <c r="AL2581" s="8"/>
      <c r="AM2581" s="8"/>
      <c r="AN2581" s="8"/>
      <c r="AO2581" s="8"/>
      <c r="AP2581" s="11"/>
      <c r="AQ2581" s="8"/>
      <c r="AR2581" s="8"/>
      <c r="AS2581" s="8"/>
      <c r="AT2581" s="8">
        <v>277.75</v>
      </c>
      <c r="AU2581" s="8">
        <v>556.64</v>
      </c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>
        <v>48.87</v>
      </c>
      <c r="BH2581" s="9">
        <f t="shared" si="360"/>
        <v>1653.04</v>
      </c>
      <c r="BI2581" s="9">
        <f t="shared" si="361"/>
        <v>3.55</v>
      </c>
      <c r="BJ2581" s="9">
        <f t="shared" si="362"/>
        <v>3.64</v>
      </c>
      <c r="BK2581" s="9">
        <f t="shared" si="363"/>
        <v>11.63</v>
      </c>
      <c r="BL2581" s="9">
        <f t="shared" si="364"/>
        <v>0</v>
      </c>
      <c r="BM2581" s="9">
        <f t="shared" si="365"/>
        <v>11.73</v>
      </c>
      <c r="BN2581" s="9">
        <f t="shared" si="366"/>
        <v>834.39</v>
      </c>
      <c r="BO2581" s="9">
        <f t="shared" si="367"/>
        <v>0</v>
      </c>
      <c r="BP2581" s="9">
        <f t="shared" si="368"/>
        <v>0</v>
      </c>
    </row>
    <row r="2582" spans="1:68">
      <c r="A2582" s="6">
        <v>44999</v>
      </c>
      <c r="B2582" s="7">
        <v>3016</v>
      </c>
      <c r="C2582" s="8"/>
      <c r="D2582" s="8">
        <v>2383.61</v>
      </c>
      <c r="E2582" s="8"/>
      <c r="F2582" s="8"/>
      <c r="G2582" s="8"/>
      <c r="H2582" s="8"/>
      <c r="I2582" s="8">
        <v>2196.31</v>
      </c>
      <c r="J2582" s="8"/>
      <c r="K2582" s="8"/>
      <c r="L2582" s="8"/>
      <c r="M2582" s="8"/>
      <c r="N2582" s="8">
        <v>28.43</v>
      </c>
      <c r="O2582" s="8"/>
      <c r="P2582" s="8"/>
      <c r="Q2582" s="11"/>
      <c r="R2582" s="11"/>
      <c r="S2582" s="8">
        <v>3.22</v>
      </c>
      <c r="T2582" s="8"/>
      <c r="U2582" s="8"/>
      <c r="V2582" s="8"/>
      <c r="W2582" s="8">
        <v>45.83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>
        <v>18.25</v>
      </c>
      <c r="AN2582" s="8">
        <f>2053*26.95/1000</f>
        <v>55.32835</v>
      </c>
      <c r="AO2582" s="8"/>
      <c r="AP2582" s="11"/>
      <c r="AQ2582" s="8"/>
      <c r="AR2582" s="8">
        <f>4262*26.95/1000</f>
        <v>114.8609</v>
      </c>
      <c r="AS2582" s="8"/>
      <c r="AT2582" s="8">
        <v>1705.79</v>
      </c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>
        <v>124.4</v>
      </c>
      <c r="BH2582" s="9">
        <f t="shared" si="360"/>
        <v>4579.92</v>
      </c>
      <c r="BI2582" s="9">
        <f t="shared" si="361"/>
        <v>28.43</v>
      </c>
      <c r="BJ2582" s="9">
        <f t="shared" si="362"/>
        <v>3.22</v>
      </c>
      <c r="BK2582" s="9">
        <f t="shared" si="363"/>
        <v>45.83</v>
      </c>
      <c r="BL2582" s="9">
        <f t="shared" si="364"/>
        <v>0</v>
      </c>
      <c r="BM2582" s="9">
        <f t="shared" si="365"/>
        <v>188.43925000000002</v>
      </c>
      <c r="BN2582" s="9">
        <f t="shared" si="366"/>
        <v>1705.79</v>
      </c>
      <c r="BO2582" s="9">
        <f t="shared" si="367"/>
        <v>0</v>
      </c>
      <c r="BP2582" s="9">
        <f t="shared" si="368"/>
        <v>0</v>
      </c>
    </row>
    <row r="2583" spans="1:68">
      <c r="A2583" s="6">
        <v>44999</v>
      </c>
      <c r="B2583" s="7">
        <v>3021</v>
      </c>
      <c r="C2583" s="8"/>
      <c r="D2583" s="8">
        <v>209.92</v>
      </c>
      <c r="E2583" s="8"/>
      <c r="F2583" s="8"/>
      <c r="G2583" s="8"/>
      <c r="H2583" s="8"/>
      <c r="I2583" s="8">
        <v>391.19</v>
      </c>
      <c r="J2583" s="8"/>
      <c r="K2583" s="8"/>
      <c r="L2583" s="8"/>
      <c r="M2583" s="8"/>
      <c r="N2583" s="8">
        <v>3.19</v>
      </c>
      <c r="O2583" s="8"/>
      <c r="P2583" s="8"/>
      <c r="Q2583" s="11"/>
      <c r="R2583" s="11"/>
      <c r="S2583" s="8">
        <v>1.0900000000000001</v>
      </c>
      <c r="T2583" s="8"/>
      <c r="U2583" s="8"/>
      <c r="V2583" s="8"/>
      <c r="W2583" s="8">
        <v>6.04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>
        <v>6</v>
      </c>
      <c r="AN2583" s="8"/>
      <c r="AO2583" s="8"/>
      <c r="AP2583" s="11"/>
      <c r="AQ2583" s="8"/>
      <c r="AR2583" s="8"/>
      <c r="AS2583" s="8">
        <f>2639*5.73/1000</f>
        <v>15.12147</v>
      </c>
      <c r="AT2583" s="8">
        <v>282.82</v>
      </c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>
        <v>21.34</v>
      </c>
      <c r="BH2583" s="9">
        <f t="shared" si="360"/>
        <v>601.11</v>
      </c>
      <c r="BI2583" s="9">
        <f t="shared" si="361"/>
        <v>3.19</v>
      </c>
      <c r="BJ2583" s="9">
        <f t="shared" si="362"/>
        <v>1.0900000000000001</v>
      </c>
      <c r="BK2583" s="9">
        <f t="shared" si="363"/>
        <v>6.04</v>
      </c>
      <c r="BL2583" s="9">
        <f t="shared" si="364"/>
        <v>0</v>
      </c>
      <c r="BM2583" s="9">
        <f t="shared" si="365"/>
        <v>21.121470000000002</v>
      </c>
      <c r="BN2583" s="9">
        <f t="shared" si="366"/>
        <v>282.82</v>
      </c>
      <c r="BO2583" s="9">
        <f t="shared" si="367"/>
        <v>0</v>
      </c>
      <c r="BP2583" s="9">
        <f t="shared" si="368"/>
        <v>0</v>
      </c>
    </row>
    <row r="2584" spans="1:68">
      <c r="A2584" s="6">
        <v>44999</v>
      </c>
      <c r="B2584" s="7">
        <v>3027</v>
      </c>
      <c r="C2584" s="8"/>
      <c r="D2584" s="8">
        <v>991.39</v>
      </c>
      <c r="E2584" s="8"/>
      <c r="F2584" s="8"/>
      <c r="G2584" s="8"/>
      <c r="H2584" s="8"/>
      <c r="I2584" s="8">
        <v>814.44</v>
      </c>
      <c r="J2584" s="8"/>
      <c r="K2584" s="8"/>
      <c r="L2584" s="8"/>
      <c r="M2584" s="8"/>
      <c r="N2584" s="8">
        <v>10.11</v>
      </c>
      <c r="O2584" s="8"/>
      <c r="P2584" s="8"/>
      <c r="Q2584" s="11"/>
      <c r="R2584" s="11"/>
      <c r="S2584" s="8">
        <v>2.88</v>
      </c>
      <c r="T2584" s="8"/>
      <c r="U2584" s="8"/>
      <c r="V2584" s="8"/>
      <c r="W2584" s="8">
        <v>13.57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>
        <v>18.04</v>
      </c>
      <c r="AN2584" s="8">
        <f>1216*10.32/1000</f>
        <v>12.54912</v>
      </c>
      <c r="AO2584" s="8"/>
      <c r="AP2584" s="11"/>
      <c r="AQ2584" s="8"/>
      <c r="AR2584" s="8"/>
      <c r="AS2584" s="8">
        <f>5771*10.32/1000</f>
        <v>59.556719999999999</v>
      </c>
      <c r="AT2584" s="8">
        <v>602.30999999999995</v>
      </c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>
        <v>42.25</v>
      </c>
      <c r="BH2584" s="9">
        <f t="shared" si="360"/>
        <v>1805.83</v>
      </c>
      <c r="BI2584" s="9">
        <f t="shared" si="361"/>
        <v>10.11</v>
      </c>
      <c r="BJ2584" s="9">
        <f t="shared" si="362"/>
        <v>2.88</v>
      </c>
      <c r="BK2584" s="9">
        <f t="shared" si="363"/>
        <v>13.57</v>
      </c>
      <c r="BL2584" s="9">
        <f t="shared" si="364"/>
        <v>0</v>
      </c>
      <c r="BM2584" s="9">
        <f t="shared" si="365"/>
        <v>90.145839999999993</v>
      </c>
      <c r="BN2584" s="9">
        <f t="shared" si="366"/>
        <v>602.30999999999995</v>
      </c>
      <c r="BO2584" s="9">
        <f t="shared" si="367"/>
        <v>0</v>
      </c>
      <c r="BP2584" s="9">
        <f t="shared" si="368"/>
        <v>0</v>
      </c>
    </row>
    <row r="2585" spans="1:68">
      <c r="A2585" s="6">
        <v>44999</v>
      </c>
      <c r="B2585" s="7">
        <v>3023</v>
      </c>
      <c r="C2585" s="8"/>
      <c r="D2585" s="8">
        <v>885.92</v>
      </c>
      <c r="E2585" s="8"/>
      <c r="F2585" s="8"/>
      <c r="G2585" s="8"/>
      <c r="H2585" s="8"/>
      <c r="I2585" s="8">
        <v>477.13</v>
      </c>
      <c r="J2585" s="8"/>
      <c r="K2585" s="8"/>
      <c r="L2585" s="8"/>
      <c r="M2585" s="8"/>
      <c r="N2585" s="8">
        <v>7.63</v>
      </c>
      <c r="O2585" s="8"/>
      <c r="P2585" s="8"/>
      <c r="Q2585" s="11"/>
      <c r="R2585" s="11"/>
      <c r="S2585" s="8">
        <v>2.1800000000000002</v>
      </c>
      <c r="T2585" s="8"/>
      <c r="U2585" s="8"/>
      <c r="V2585" s="8"/>
      <c r="W2585" s="8">
        <v>12.27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>
        <v>13.62</v>
      </c>
      <c r="AN2585" s="8">
        <f>1020*9.38/1000</f>
        <v>9.5676000000000005</v>
      </c>
      <c r="AO2585" s="8"/>
      <c r="AP2585" s="11"/>
      <c r="AQ2585" s="8"/>
      <c r="AR2585" s="8"/>
      <c r="AS2585" s="8">
        <f>4788*9.38/1000</f>
        <v>44.911439999999999</v>
      </c>
      <c r="AT2585" s="8">
        <v>558.69000000000005</v>
      </c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>
        <v>42.21</v>
      </c>
      <c r="BH2585" s="9">
        <f t="shared" si="360"/>
        <v>1363.05</v>
      </c>
      <c r="BI2585" s="9">
        <f t="shared" si="361"/>
        <v>7.63</v>
      </c>
      <c r="BJ2585" s="9">
        <f t="shared" si="362"/>
        <v>2.1800000000000002</v>
      </c>
      <c r="BK2585" s="9">
        <f t="shared" si="363"/>
        <v>12.27</v>
      </c>
      <c r="BL2585" s="9">
        <f t="shared" si="364"/>
        <v>0</v>
      </c>
      <c r="BM2585" s="9">
        <f t="shared" si="365"/>
        <v>68.099040000000002</v>
      </c>
      <c r="BN2585" s="9">
        <f t="shared" si="366"/>
        <v>558.69000000000005</v>
      </c>
      <c r="BO2585" s="9">
        <f t="shared" si="367"/>
        <v>0</v>
      </c>
      <c r="BP2585" s="9">
        <f t="shared" si="368"/>
        <v>0</v>
      </c>
    </row>
    <row r="2586" spans="1:68">
      <c r="A2586" s="6">
        <v>44999</v>
      </c>
      <c r="B2586" s="7">
        <v>3028</v>
      </c>
      <c r="C2586" s="8"/>
      <c r="D2586" s="8">
        <v>752.15</v>
      </c>
      <c r="E2586" s="8"/>
      <c r="F2586" s="8">
        <v>689.92</v>
      </c>
      <c r="G2586" s="8"/>
      <c r="H2586" s="8"/>
      <c r="I2586" s="8">
        <v>1557.68</v>
      </c>
      <c r="J2586" s="8"/>
      <c r="K2586" s="8"/>
      <c r="L2586" s="8"/>
      <c r="M2586" s="8"/>
      <c r="N2586" s="8">
        <v>23.08</v>
      </c>
      <c r="O2586" s="8"/>
      <c r="P2586" s="8"/>
      <c r="Q2586" s="11"/>
      <c r="R2586" s="11"/>
      <c r="S2586" s="8">
        <v>4.2</v>
      </c>
      <c r="T2586" s="8"/>
      <c r="U2586" s="8"/>
      <c r="V2586" s="8"/>
      <c r="W2586" s="8">
        <v>22.48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>
        <v>29.97</v>
      </c>
      <c r="AN2586" s="8">
        <f>1041*0.02</f>
        <v>20.82</v>
      </c>
      <c r="AO2586" s="8"/>
      <c r="AP2586" s="11"/>
      <c r="AQ2586" s="8"/>
      <c r="AR2586" s="8"/>
      <c r="AS2586" s="8">
        <f>4937*0.02</f>
        <v>98.740000000000009</v>
      </c>
      <c r="AT2586" s="8">
        <v>1001.02</v>
      </c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>
        <v>68.239999999999995</v>
      </c>
      <c r="BH2586" s="9">
        <f t="shared" si="360"/>
        <v>2999.75</v>
      </c>
      <c r="BI2586" s="9">
        <f t="shared" si="361"/>
        <v>23.08</v>
      </c>
      <c r="BJ2586" s="9">
        <f t="shared" si="362"/>
        <v>4.2</v>
      </c>
      <c r="BK2586" s="9">
        <f t="shared" si="363"/>
        <v>22.48</v>
      </c>
      <c r="BL2586" s="9">
        <f t="shared" si="364"/>
        <v>0</v>
      </c>
      <c r="BM2586" s="9">
        <f t="shared" si="365"/>
        <v>149.53</v>
      </c>
      <c r="BN2586" s="9">
        <f t="shared" si="366"/>
        <v>1001.02</v>
      </c>
      <c r="BO2586" s="9">
        <f t="shared" si="367"/>
        <v>0</v>
      </c>
      <c r="BP2586" s="9">
        <f t="shared" si="368"/>
        <v>0</v>
      </c>
    </row>
    <row r="2587" spans="1:68">
      <c r="A2587" s="6">
        <v>45000</v>
      </c>
      <c r="B2587" s="7">
        <v>3106</v>
      </c>
      <c r="C2587" s="8">
        <v>6229.11</v>
      </c>
      <c r="D2587" s="8"/>
      <c r="E2587" s="8"/>
      <c r="F2587" s="8"/>
      <c r="G2587" s="8"/>
      <c r="H2587" s="8"/>
      <c r="I2587" s="8"/>
      <c r="J2587" s="8"/>
      <c r="K2587" s="8"/>
      <c r="L2587" s="8"/>
      <c r="M2587" s="8">
        <v>15.57</v>
      </c>
      <c r="N2587" s="8"/>
      <c r="O2587" s="8"/>
      <c r="P2587" s="8"/>
      <c r="Q2587" s="11"/>
      <c r="R2587" s="11"/>
      <c r="S2587" s="8">
        <v>18.72</v>
      </c>
      <c r="T2587" s="8"/>
      <c r="U2587" s="8">
        <v>79.239999999999995</v>
      </c>
      <c r="V2587" s="8"/>
      <c r="W2587" s="8"/>
      <c r="X2587" s="8"/>
      <c r="Y2587" s="8"/>
      <c r="Z2587" s="8"/>
      <c r="AA2587" s="8"/>
      <c r="AB2587" s="8"/>
      <c r="AC2587" s="8">
        <v>15.57</v>
      </c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11"/>
      <c r="AQ2587" s="8"/>
      <c r="AR2587" s="8"/>
      <c r="AS2587" s="8"/>
      <c r="AT2587" s="8">
        <v>3549.49</v>
      </c>
      <c r="AU2587" s="8"/>
      <c r="AV2587" s="8"/>
      <c r="AW2587" s="8"/>
      <c r="AX2587" s="8">
        <v>7.79</v>
      </c>
      <c r="AY2587" s="8"/>
      <c r="AZ2587" s="8"/>
      <c r="BA2587" s="8"/>
      <c r="BB2587" s="8"/>
      <c r="BC2587" s="8"/>
      <c r="BD2587" s="8"/>
      <c r="BE2587" s="8"/>
      <c r="BF2587" s="8"/>
      <c r="BG2587" s="8">
        <v>268.14</v>
      </c>
      <c r="BH2587" s="9">
        <f t="shared" si="360"/>
        <v>6229.11</v>
      </c>
      <c r="BI2587" s="9">
        <f t="shared" si="361"/>
        <v>15.57</v>
      </c>
      <c r="BJ2587" s="9">
        <f t="shared" si="362"/>
        <v>18.72</v>
      </c>
      <c r="BK2587" s="9">
        <f t="shared" si="363"/>
        <v>79.239999999999995</v>
      </c>
      <c r="BL2587" s="9">
        <f t="shared" si="364"/>
        <v>0</v>
      </c>
      <c r="BM2587" s="9">
        <f t="shared" si="365"/>
        <v>15.57</v>
      </c>
      <c r="BN2587" s="9">
        <f t="shared" si="366"/>
        <v>3549.49</v>
      </c>
      <c r="BO2587" s="9">
        <f t="shared" si="367"/>
        <v>7.79</v>
      </c>
      <c r="BP2587" s="9">
        <f t="shared" si="368"/>
        <v>0</v>
      </c>
    </row>
    <row r="2588" spans="1:68">
      <c r="A2588" s="6">
        <v>45000</v>
      </c>
      <c r="B2588" s="7">
        <v>3108</v>
      </c>
      <c r="C2588" s="8">
        <v>2311.0300000000002</v>
      </c>
      <c r="D2588" s="8"/>
      <c r="E2588" s="8"/>
      <c r="F2588" s="8"/>
      <c r="G2588" s="8"/>
      <c r="H2588" s="8"/>
      <c r="I2588" s="8"/>
      <c r="J2588" s="8"/>
      <c r="K2588" s="8"/>
      <c r="L2588" s="8"/>
      <c r="M2588" s="8">
        <v>5.12</v>
      </c>
      <c r="N2588" s="8"/>
      <c r="O2588" s="8"/>
      <c r="P2588" s="8"/>
      <c r="Q2588" s="11"/>
      <c r="R2588" s="11"/>
      <c r="S2588" s="8">
        <v>7.41</v>
      </c>
      <c r="T2588" s="8"/>
      <c r="U2588" s="8">
        <v>29.37</v>
      </c>
      <c r="V2588" s="8"/>
      <c r="W2588" s="8"/>
      <c r="X2588" s="8"/>
      <c r="Y2588" s="8"/>
      <c r="Z2588" s="8"/>
      <c r="AA2588" s="8"/>
      <c r="AB2588" s="8"/>
      <c r="AC2588" s="8">
        <v>9.24</v>
      </c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11"/>
      <c r="AQ2588" s="8"/>
      <c r="AR2588" s="8"/>
      <c r="AS2588" s="8"/>
      <c r="AT2588" s="8">
        <v>1257.81</v>
      </c>
      <c r="AU2588" s="8"/>
      <c r="AV2588" s="8"/>
      <c r="AW2588" s="8"/>
      <c r="AX2588" s="8"/>
      <c r="AY2588" s="8"/>
      <c r="AZ2588" s="8"/>
      <c r="BA2588" s="8">
        <v>86.01</v>
      </c>
      <c r="BB2588" s="8"/>
      <c r="BC2588" s="8"/>
      <c r="BD2588" s="8"/>
      <c r="BE2588" s="8"/>
      <c r="BF2588" s="8"/>
      <c r="BG2588" s="8">
        <v>93.67</v>
      </c>
      <c r="BH2588" s="9">
        <f t="shared" si="360"/>
        <v>2311.0300000000002</v>
      </c>
      <c r="BI2588" s="9">
        <f t="shared" si="361"/>
        <v>5.12</v>
      </c>
      <c r="BJ2588" s="9">
        <f t="shared" si="362"/>
        <v>7.41</v>
      </c>
      <c r="BK2588" s="9">
        <f t="shared" si="363"/>
        <v>29.37</v>
      </c>
      <c r="BL2588" s="9">
        <f t="shared" si="364"/>
        <v>0</v>
      </c>
      <c r="BM2588" s="9">
        <f t="shared" si="365"/>
        <v>9.24</v>
      </c>
      <c r="BN2588" s="9">
        <f t="shared" si="366"/>
        <v>1257.81</v>
      </c>
      <c r="BO2588" s="9">
        <f t="shared" si="367"/>
        <v>86.01</v>
      </c>
      <c r="BP2588" s="9">
        <f t="shared" si="368"/>
        <v>0</v>
      </c>
    </row>
    <row r="2589" spans="1:68">
      <c r="A2589" s="6">
        <v>45000</v>
      </c>
      <c r="B2589" s="7">
        <v>3113</v>
      </c>
      <c r="C2589" s="8">
        <v>1532.2</v>
      </c>
      <c r="D2589" s="8"/>
      <c r="E2589" s="8"/>
      <c r="F2589" s="8"/>
      <c r="G2589" s="8"/>
      <c r="H2589" s="8"/>
      <c r="I2589" s="8"/>
      <c r="J2589" s="8"/>
      <c r="K2589" s="8"/>
      <c r="L2589" s="8"/>
      <c r="M2589" s="8">
        <v>1.4</v>
      </c>
      <c r="N2589" s="8">
        <v>1.39</v>
      </c>
      <c r="O2589" s="8"/>
      <c r="P2589" s="8"/>
      <c r="Q2589" s="11"/>
      <c r="R2589" s="11"/>
      <c r="S2589" s="8">
        <v>4.63</v>
      </c>
      <c r="T2589" s="8"/>
      <c r="U2589" s="8">
        <v>15.33</v>
      </c>
      <c r="V2589" s="8"/>
      <c r="W2589" s="8"/>
      <c r="X2589" s="8"/>
      <c r="Y2589" s="8"/>
      <c r="Z2589" s="8"/>
      <c r="AA2589" s="8"/>
      <c r="AB2589" s="8"/>
      <c r="AC2589" s="8">
        <v>6.13</v>
      </c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11"/>
      <c r="AQ2589" s="8"/>
      <c r="AR2589" s="8"/>
      <c r="AS2589" s="8"/>
      <c r="AT2589" s="8">
        <v>643.95000000000005</v>
      </c>
      <c r="AU2589" s="8"/>
      <c r="AV2589" s="8">
        <v>52.16</v>
      </c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>
        <v>46.07</v>
      </c>
      <c r="BH2589" s="9">
        <f t="shared" si="360"/>
        <v>1532.2</v>
      </c>
      <c r="BI2589" s="9">
        <f t="shared" si="361"/>
        <v>2.79</v>
      </c>
      <c r="BJ2589" s="9">
        <f t="shared" si="362"/>
        <v>4.63</v>
      </c>
      <c r="BK2589" s="9">
        <f t="shared" si="363"/>
        <v>15.33</v>
      </c>
      <c r="BL2589" s="9">
        <f t="shared" si="364"/>
        <v>0</v>
      </c>
      <c r="BM2589" s="9">
        <f t="shared" si="365"/>
        <v>6.13</v>
      </c>
      <c r="BN2589" s="9">
        <f t="shared" si="366"/>
        <v>643.95000000000005</v>
      </c>
      <c r="BO2589" s="9">
        <f t="shared" si="367"/>
        <v>52.16</v>
      </c>
      <c r="BP2589" s="9">
        <f t="shared" si="368"/>
        <v>0</v>
      </c>
    </row>
    <row r="2590" spans="1:68">
      <c r="A2590" s="6">
        <v>45000</v>
      </c>
      <c r="B2590" s="7">
        <v>3405</v>
      </c>
      <c r="C2590" s="8">
        <v>2272.83</v>
      </c>
      <c r="D2590" s="8">
        <v>568.04</v>
      </c>
      <c r="E2590" s="8"/>
      <c r="F2590" s="8"/>
      <c r="G2590" s="8"/>
      <c r="H2590" s="8"/>
      <c r="I2590" s="8"/>
      <c r="J2590" s="8"/>
      <c r="K2590" s="8"/>
      <c r="L2590" s="8"/>
      <c r="M2590" s="8">
        <v>6.09</v>
      </c>
      <c r="N2590" s="8"/>
      <c r="O2590" s="8"/>
      <c r="P2590" s="8"/>
      <c r="Q2590" s="11"/>
      <c r="R2590" s="11"/>
      <c r="S2590" s="8">
        <v>6.53</v>
      </c>
      <c r="T2590" s="8"/>
      <c r="U2590" s="8"/>
      <c r="V2590" s="8"/>
      <c r="W2590" s="8"/>
      <c r="X2590" s="8">
        <f>1220*28.42/1000</f>
        <v>34.672400000000003</v>
      </c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11"/>
      <c r="AQ2590" s="8"/>
      <c r="AR2590" s="8"/>
      <c r="AS2590" s="8"/>
      <c r="AT2590" s="8">
        <v>1391.91</v>
      </c>
      <c r="AU2590" s="8"/>
      <c r="AV2590" s="8"/>
      <c r="AW2590" s="8"/>
      <c r="AX2590" s="8"/>
      <c r="AY2590" s="8"/>
      <c r="AZ2590" s="8"/>
      <c r="BA2590" s="8">
        <v>12.8</v>
      </c>
      <c r="BB2590" s="8"/>
      <c r="BC2590" s="8"/>
      <c r="BD2590" s="8"/>
      <c r="BE2590" s="8"/>
      <c r="BF2590" s="8"/>
      <c r="BG2590" s="8">
        <v>93.84</v>
      </c>
      <c r="BH2590" s="9">
        <f t="shared" si="360"/>
        <v>2840.87</v>
      </c>
      <c r="BI2590" s="9">
        <f t="shared" si="361"/>
        <v>6.09</v>
      </c>
      <c r="BJ2590" s="9">
        <f t="shared" si="362"/>
        <v>6.53</v>
      </c>
      <c r="BK2590" s="9">
        <f t="shared" si="363"/>
        <v>34.672400000000003</v>
      </c>
      <c r="BL2590" s="9">
        <f t="shared" si="364"/>
        <v>0</v>
      </c>
      <c r="BM2590" s="9">
        <f t="shared" si="365"/>
        <v>0</v>
      </c>
      <c r="BN2590" s="9">
        <f t="shared" si="366"/>
        <v>1391.91</v>
      </c>
      <c r="BO2590" s="9">
        <f t="shared" si="367"/>
        <v>12.8</v>
      </c>
      <c r="BP2590" s="9">
        <f t="shared" si="368"/>
        <v>0</v>
      </c>
    </row>
    <row r="2591" spans="1:68">
      <c r="A2591" s="6">
        <v>45000</v>
      </c>
      <c r="B2591" s="7">
        <v>3408</v>
      </c>
      <c r="C2591" s="8">
        <f>41.42+2767.46</f>
        <v>2808.88</v>
      </c>
      <c r="D2591" s="8"/>
      <c r="E2591" s="8"/>
      <c r="F2591" s="8"/>
      <c r="G2591" s="8"/>
      <c r="H2591" s="8"/>
      <c r="I2591" s="8"/>
      <c r="J2591" s="8"/>
      <c r="K2591" s="8"/>
      <c r="L2591" s="8"/>
      <c r="M2591" s="8">
        <f>6.36+0.08</f>
        <v>6.44</v>
      </c>
      <c r="N2591" s="8"/>
      <c r="O2591" s="8"/>
      <c r="P2591" s="8"/>
      <c r="Q2591" s="11"/>
      <c r="R2591" s="11"/>
      <c r="S2591" s="8">
        <f>6.98+0.1</f>
        <v>7.08</v>
      </c>
      <c r="T2591" s="8"/>
      <c r="U2591" s="8"/>
      <c r="V2591" s="8"/>
      <c r="W2591" s="8"/>
      <c r="X2591" s="8">
        <f>1024*28.1/1000</f>
        <v>28.7744</v>
      </c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11"/>
      <c r="AQ2591" s="8"/>
      <c r="AR2591" s="8"/>
      <c r="AS2591" s="8"/>
      <c r="AT2591" s="8">
        <f>1346.04+20.77</f>
        <v>1366.81</v>
      </c>
      <c r="AU2591" s="8"/>
      <c r="AV2591" s="8"/>
      <c r="AW2591" s="8"/>
      <c r="AX2591" s="8"/>
      <c r="AY2591" s="8"/>
      <c r="AZ2591" s="8"/>
      <c r="BA2591" s="8">
        <f>12.44+0.19</f>
        <v>12.629999999999999</v>
      </c>
      <c r="BB2591" s="8"/>
      <c r="BC2591" s="8"/>
      <c r="BD2591" s="8"/>
      <c r="BE2591" s="8"/>
      <c r="BF2591" s="8"/>
      <c r="BG2591" s="8">
        <f>93.68+1.43</f>
        <v>95.110000000000014</v>
      </c>
      <c r="BH2591" s="9">
        <f t="shared" si="360"/>
        <v>2808.88</v>
      </c>
      <c r="BI2591" s="9">
        <f t="shared" si="361"/>
        <v>6.44</v>
      </c>
      <c r="BJ2591" s="9">
        <f t="shared" si="362"/>
        <v>7.08</v>
      </c>
      <c r="BK2591" s="9">
        <f t="shared" si="363"/>
        <v>28.7744</v>
      </c>
      <c r="BL2591" s="9">
        <f t="shared" si="364"/>
        <v>0</v>
      </c>
      <c r="BM2591" s="9">
        <f t="shared" si="365"/>
        <v>0</v>
      </c>
      <c r="BN2591" s="9">
        <f t="shared" si="366"/>
        <v>1366.81</v>
      </c>
      <c r="BO2591" s="9">
        <f t="shared" si="367"/>
        <v>12.629999999999999</v>
      </c>
      <c r="BP2591" s="9">
        <f t="shared" si="368"/>
        <v>0</v>
      </c>
    </row>
    <row r="2592" spans="1:68">
      <c r="A2592" s="6">
        <v>45000</v>
      </c>
      <c r="B2592" s="7">
        <v>3100</v>
      </c>
      <c r="C2592" s="8">
        <v>628.35</v>
      </c>
      <c r="D2592" s="8"/>
      <c r="E2592" s="8"/>
      <c r="F2592" s="8"/>
      <c r="G2592" s="8"/>
      <c r="H2592" s="8"/>
      <c r="I2592" s="8"/>
      <c r="J2592" s="8"/>
      <c r="K2592" s="8"/>
      <c r="L2592" s="8"/>
      <c r="M2592" s="8">
        <v>1.57</v>
      </c>
      <c r="N2592" s="8"/>
      <c r="O2592" s="8"/>
      <c r="P2592" s="8"/>
      <c r="Q2592" s="11"/>
      <c r="R2592" s="11"/>
      <c r="S2592" s="8">
        <v>3.58</v>
      </c>
      <c r="T2592" s="8"/>
      <c r="U2592" s="8">
        <v>10.08</v>
      </c>
      <c r="V2592" s="8"/>
      <c r="W2592" s="8"/>
      <c r="X2592" s="8"/>
      <c r="Y2592" s="8"/>
      <c r="Z2592" s="8"/>
      <c r="AA2592" s="8"/>
      <c r="AB2592" s="8"/>
      <c r="AC2592" s="8">
        <v>2.5099999999999998</v>
      </c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11"/>
      <c r="AQ2592" s="8"/>
      <c r="AR2592" s="8"/>
      <c r="AS2592" s="8"/>
      <c r="AT2592" s="8">
        <v>423.42</v>
      </c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>
        <v>81.75</v>
      </c>
      <c r="BG2592" s="8">
        <v>32.369999999999997</v>
      </c>
      <c r="BH2592" s="9">
        <f t="shared" si="360"/>
        <v>628.35</v>
      </c>
      <c r="BI2592" s="9">
        <f t="shared" si="361"/>
        <v>1.57</v>
      </c>
      <c r="BJ2592" s="9">
        <f t="shared" si="362"/>
        <v>3.58</v>
      </c>
      <c r="BK2592" s="9">
        <f t="shared" si="363"/>
        <v>10.08</v>
      </c>
      <c r="BL2592" s="9">
        <f t="shared" si="364"/>
        <v>0</v>
      </c>
      <c r="BM2592" s="9">
        <f t="shared" si="365"/>
        <v>2.5099999999999998</v>
      </c>
      <c r="BN2592" s="9">
        <f t="shared" si="366"/>
        <v>423.42</v>
      </c>
      <c r="BO2592" s="9">
        <f t="shared" si="367"/>
        <v>0</v>
      </c>
      <c r="BP2592" s="9">
        <f t="shared" si="368"/>
        <v>81.75</v>
      </c>
    </row>
    <row r="2593" spans="1:68">
      <c r="A2593" s="6">
        <v>45000</v>
      </c>
      <c r="B2593" s="7">
        <v>3117</v>
      </c>
      <c r="C2593" s="8">
        <v>736.47</v>
      </c>
      <c r="D2593" s="8"/>
      <c r="E2593" s="8"/>
      <c r="F2593" s="8"/>
      <c r="G2593" s="8"/>
      <c r="H2593" s="8"/>
      <c r="I2593" s="8"/>
      <c r="J2593" s="8"/>
      <c r="K2593" s="8"/>
      <c r="L2593" s="8"/>
      <c r="M2593" s="8">
        <v>2.11</v>
      </c>
      <c r="N2593" s="8"/>
      <c r="O2593" s="8"/>
      <c r="P2593" s="8"/>
      <c r="Q2593" s="11"/>
      <c r="R2593" s="11"/>
      <c r="S2593" s="8">
        <v>2.94</v>
      </c>
      <c r="T2593" s="8"/>
      <c r="U2593" s="8">
        <v>7.38</v>
      </c>
      <c r="V2593" s="8"/>
      <c r="W2593" s="8"/>
      <c r="X2593" s="8"/>
      <c r="Y2593" s="8"/>
      <c r="Z2593" s="8"/>
      <c r="AA2593" s="8"/>
      <c r="AB2593" s="8"/>
      <c r="AC2593" s="8">
        <v>2.95</v>
      </c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11"/>
      <c r="AQ2593" s="8"/>
      <c r="AR2593" s="8"/>
      <c r="AS2593" s="8"/>
      <c r="AT2593" s="8">
        <v>464.59</v>
      </c>
      <c r="AU2593" s="8"/>
      <c r="AV2593" s="8">
        <v>18.39</v>
      </c>
      <c r="AW2593" s="8"/>
      <c r="AX2593" s="8"/>
      <c r="AY2593" s="8"/>
      <c r="AZ2593" s="8"/>
      <c r="BA2593" s="8"/>
      <c r="BB2593" s="8"/>
      <c r="BC2593" s="8"/>
      <c r="BD2593" s="8"/>
      <c r="BE2593" s="8"/>
      <c r="BF2593" s="8">
        <v>36.96</v>
      </c>
      <c r="BG2593" s="8">
        <v>35.369999999999997</v>
      </c>
      <c r="BH2593" s="9">
        <f t="shared" si="360"/>
        <v>736.47</v>
      </c>
      <c r="BI2593" s="9">
        <f t="shared" si="361"/>
        <v>2.11</v>
      </c>
      <c r="BJ2593" s="9">
        <f t="shared" si="362"/>
        <v>2.94</v>
      </c>
      <c r="BK2593" s="9">
        <f t="shared" si="363"/>
        <v>7.38</v>
      </c>
      <c r="BL2593" s="9">
        <f t="shared" si="364"/>
        <v>0</v>
      </c>
      <c r="BM2593" s="9">
        <f t="shared" si="365"/>
        <v>2.95</v>
      </c>
      <c r="BN2593" s="9">
        <f t="shared" si="366"/>
        <v>464.59</v>
      </c>
      <c r="BO2593" s="9">
        <f t="shared" si="367"/>
        <v>18.39</v>
      </c>
      <c r="BP2593" s="9">
        <f t="shared" si="368"/>
        <v>36.96</v>
      </c>
    </row>
    <row r="2594" spans="1:68">
      <c r="A2594" s="6">
        <v>45000</v>
      </c>
      <c r="B2594" s="7">
        <v>3146</v>
      </c>
      <c r="C2594" s="8">
        <f>847.62+676.69</f>
        <v>1524.31</v>
      </c>
      <c r="D2594" s="8">
        <f>150.18+120.23</f>
        <v>270.41000000000003</v>
      </c>
      <c r="E2594" s="8"/>
      <c r="F2594" s="8"/>
      <c r="G2594" s="8"/>
      <c r="H2594" s="8"/>
      <c r="I2594" s="8"/>
      <c r="J2594" s="8"/>
      <c r="K2594" s="8"/>
      <c r="L2594" s="8"/>
      <c r="M2594" s="8">
        <f>2.9+2.32</f>
        <v>5.22</v>
      </c>
      <c r="N2594" s="8"/>
      <c r="O2594" s="8"/>
      <c r="P2594" s="8"/>
      <c r="Q2594" s="11"/>
      <c r="R2594" s="11"/>
      <c r="S2594" s="8">
        <f>4.69+3.74</f>
        <v>8.43</v>
      </c>
      <c r="T2594" s="8"/>
      <c r="U2594" s="8">
        <f>14.97+11.96</f>
        <v>26.93</v>
      </c>
      <c r="V2594" s="8"/>
      <c r="W2594" s="8"/>
      <c r="X2594" s="8"/>
      <c r="Y2594" s="8"/>
      <c r="Z2594" s="8"/>
      <c r="AA2594" s="8"/>
      <c r="AB2594" s="8"/>
      <c r="AC2594" s="8">
        <f>3.99+3.18</f>
        <v>7.17</v>
      </c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11"/>
      <c r="AQ2594" s="8"/>
      <c r="AR2594" s="8"/>
      <c r="AS2594" s="8"/>
      <c r="AT2594" s="8">
        <f>524.76+654.86</f>
        <v>1179.6199999999999</v>
      </c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>
        <f>69.77+55.83</f>
        <v>125.6</v>
      </c>
      <c r="BG2594" s="8">
        <f>51.9+41.44</f>
        <v>93.34</v>
      </c>
      <c r="BH2594" s="9">
        <f t="shared" si="360"/>
        <v>1794.72</v>
      </c>
      <c r="BI2594" s="9">
        <f t="shared" si="361"/>
        <v>5.22</v>
      </c>
      <c r="BJ2594" s="9">
        <f t="shared" si="362"/>
        <v>8.43</v>
      </c>
      <c r="BK2594" s="9">
        <f t="shared" si="363"/>
        <v>26.93</v>
      </c>
      <c r="BL2594" s="9">
        <f t="shared" si="364"/>
        <v>0</v>
      </c>
      <c r="BM2594" s="9">
        <f t="shared" si="365"/>
        <v>7.17</v>
      </c>
      <c r="BN2594" s="9">
        <f t="shared" si="366"/>
        <v>1179.6199999999999</v>
      </c>
      <c r="BO2594" s="9">
        <f t="shared" si="367"/>
        <v>0</v>
      </c>
      <c r="BP2594" s="9">
        <f t="shared" si="368"/>
        <v>125.6</v>
      </c>
    </row>
    <row r="2595" spans="1:68">
      <c r="A2595" s="6">
        <v>45000</v>
      </c>
      <c r="B2595" s="7">
        <v>3702</v>
      </c>
      <c r="C2595" s="8">
        <v>317.64</v>
      </c>
      <c r="D2595" s="8">
        <v>211.64</v>
      </c>
      <c r="E2595" s="8"/>
      <c r="F2595" s="8"/>
      <c r="G2595" s="8"/>
      <c r="H2595" s="8"/>
      <c r="I2595" s="8"/>
      <c r="J2595" s="8"/>
      <c r="K2595" s="8"/>
      <c r="L2595" s="8"/>
      <c r="M2595" s="8">
        <v>1.06</v>
      </c>
      <c r="N2595" s="8"/>
      <c r="O2595" s="8"/>
      <c r="P2595" s="8"/>
      <c r="Q2595" s="11"/>
      <c r="R2595" s="11"/>
      <c r="S2595" s="8">
        <v>2.4900000000000002</v>
      </c>
      <c r="T2595" s="8"/>
      <c r="U2595" s="8">
        <v>3.97</v>
      </c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11"/>
      <c r="AQ2595" s="8"/>
      <c r="AR2595" s="8"/>
      <c r="AS2595" s="8"/>
      <c r="AT2595" s="8">
        <v>128.53</v>
      </c>
      <c r="AU2595" s="8">
        <v>64.52</v>
      </c>
      <c r="AV2595" s="8"/>
      <c r="AW2595" s="8">
        <v>1.1599999999999999</v>
      </c>
      <c r="AX2595" s="8"/>
      <c r="AY2595" s="8"/>
      <c r="AZ2595" s="8"/>
      <c r="BA2595" s="8"/>
      <c r="BB2595" s="8"/>
      <c r="BC2595" s="8"/>
      <c r="BD2595" s="8"/>
      <c r="BE2595" s="8"/>
      <c r="BF2595" s="8"/>
      <c r="BG2595" s="8">
        <v>13.54</v>
      </c>
      <c r="BH2595" s="9">
        <f t="shared" si="360"/>
        <v>529.28</v>
      </c>
      <c r="BI2595" s="9">
        <f t="shared" si="361"/>
        <v>1.06</v>
      </c>
      <c r="BJ2595" s="9">
        <f t="shared" si="362"/>
        <v>2.4900000000000002</v>
      </c>
      <c r="BK2595" s="9">
        <f t="shared" si="363"/>
        <v>3.97</v>
      </c>
      <c r="BL2595" s="9">
        <f t="shared" si="364"/>
        <v>0</v>
      </c>
      <c r="BM2595" s="9">
        <f t="shared" si="365"/>
        <v>0</v>
      </c>
      <c r="BN2595" s="9">
        <f t="shared" si="366"/>
        <v>193.05</v>
      </c>
      <c r="BO2595" s="9">
        <f t="shared" si="367"/>
        <v>1.1599999999999999</v>
      </c>
      <c r="BP2595" s="9">
        <f t="shared" si="368"/>
        <v>0</v>
      </c>
    </row>
    <row r="2596" spans="1:68">
      <c r="A2596" s="6">
        <v>45001</v>
      </c>
      <c r="B2596" s="7">
        <v>3602</v>
      </c>
      <c r="C2596" s="8">
        <v>567.85</v>
      </c>
      <c r="D2596" s="8"/>
      <c r="E2596" s="8"/>
      <c r="F2596" s="8"/>
      <c r="G2596" s="8">
        <v>851.35</v>
      </c>
      <c r="H2596" s="8"/>
      <c r="I2596" s="8"/>
      <c r="J2596" s="8"/>
      <c r="K2596" s="8"/>
      <c r="L2596" s="8"/>
      <c r="M2596" s="8">
        <v>1.48</v>
      </c>
      <c r="N2596" s="8"/>
      <c r="O2596" s="8"/>
      <c r="P2596" s="8"/>
      <c r="Q2596" s="11"/>
      <c r="R2596" s="11"/>
      <c r="S2596" s="8">
        <v>6.81</v>
      </c>
      <c r="T2596" s="8"/>
      <c r="U2596" s="8">
        <v>11.37</v>
      </c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11"/>
      <c r="AQ2596" s="8"/>
      <c r="AR2596" s="8"/>
      <c r="AS2596" s="8"/>
      <c r="AT2596" s="8">
        <v>572.26</v>
      </c>
      <c r="AU2596" s="8"/>
      <c r="AV2596" s="8"/>
      <c r="AW2596" s="8">
        <v>36.72</v>
      </c>
      <c r="AX2596" s="8"/>
      <c r="AY2596" s="8"/>
      <c r="AZ2596" s="8"/>
      <c r="BA2596" s="8"/>
      <c r="BB2596" s="8"/>
      <c r="BC2596" s="8"/>
      <c r="BD2596" s="8"/>
      <c r="BE2596" s="8"/>
      <c r="BF2596" s="8">
        <v>45.45</v>
      </c>
      <c r="BG2596" s="8">
        <v>42.47</v>
      </c>
      <c r="BH2596" s="9">
        <f t="shared" si="360"/>
        <v>1419.2</v>
      </c>
      <c r="BI2596" s="9">
        <f t="shared" si="361"/>
        <v>1.48</v>
      </c>
      <c r="BJ2596" s="9">
        <f t="shared" si="362"/>
        <v>6.81</v>
      </c>
      <c r="BK2596" s="9">
        <f t="shared" si="363"/>
        <v>11.37</v>
      </c>
      <c r="BL2596" s="9">
        <f t="shared" si="364"/>
        <v>0</v>
      </c>
      <c r="BM2596" s="9">
        <f t="shared" si="365"/>
        <v>0</v>
      </c>
      <c r="BN2596" s="9">
        <f t="shared" si="366"/>
        <v>572.26</v>
      </c>
      <c r="BO2596" s="9">
        <f t="shared" si="367"/>
        <v>36.72</v>
      </c>
      <c r="BP2596" s="9">
        <f t="shared" si="368"/>
        <v>45.45</v>
      </c>
    </row>
    <row r="2597" spans="1:68">
      <c r="A2597" s="6">
        <v>45001</v>
      </c>
      <c r="B2597" s="7">
        <v>3139</v>
      </c>
      <c r="C2597" s="8">
        <v>1662.7</v>
      </c>
      <c r="D2597" s="8"/>
      <c r="E2597" s="8"/>
      <c r="F2597" s="8"/>
      <c r="G2597" s="8"/>
      <c r="H2597" s="8">
        <v>696.45</v>
      </c>
      <c r="I2597" s="8"/>
      <c r="J2597" s="8"/>
      <c r="K2597" s="8"/>
      <c r="L2597" s="8"/>
      <c r="M2597" s="8">
        <v>3.9</v>
      </c>
      <c r="N2597" s="8"/>
      <c r="O2597" s="8"/>
      <c r="P2597" s="8"/>
      <c r="Q2597" s="11"/>
      <c r="R2597" s="11"/>
      <c r="S2597" s="8">
        <v>7.33</v>
      </c>
      <c r="T2597" s="8"/>
      <c r="U2597" s="8">
        <v>24.44</v>
      </c>
      <c r="V2597" s="8"/>
      <c r="W2597" s="8"/>
      <c r="X2597" s="8"/>
      <c r="Y2597" s="8"/>
      <c r="Z2597" s="8"/>
      <c r="AA2597" s="8"/>
      <c r="AB2597" s="8"/>
      <c r="AC2597" s="8">
        <v>8.15</v>
      </c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11"/>
      <c r="AQ2597" s="8"/>
      <c r="AR2597" s="8"/>
      <c r="AS2597" s="8"/>
      <c r="AT2597" s="8">
        <v>1202.82</v>
      </c>
      <c r="AU2597" s="8"/>
      <c r="AV2597" s="8">
        <v>40.880000000000003</v>
      </c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>
        <v>87.64</v>
      </c>
      <c r="BH2597" s="9">
        <f t="shared" si="360"/>
        <v>2359.15</v>
      </c>
      <c r="BI2597" s="9">
        <f t="shared" si="361"/>
        <v>3.9</v>
      </c>
      <c r="BJ2597" s="9">
        <f t="shared" si="362"/>
        <v>7.33</v>
      </c>
      <c r="BK2597" s="9">
        <f t="shared" si="363"/>
        <v>24.44</v>
      </c>
      <c r="BL2597" s="9">
        <f t="shared" si="364"/>
        <v>0</v>
      </c>
      <c r="BM2597" s="9">
        <f t="shared" si="365"/>
        <v>8.15</v>
      </c>
      <c r="BN2597" s="9">
        <f t="shared" si="366"/>
        <v>1202.82</v>
      </c>
      <c r="BO2597" s="9">
        <f t="shared" si="367"/>
        <v>40.880000000000003</v>
      </c>
      <c r="BP2597" s="9">
        <f t="shared" si="368"/>
        <v>0</v>
      </c>
    </row>
    <row r="2598" spans="1:68">
      <c r="A2598" s="6">
        <v>45001</v>
      </c>
      <c r="B2598" s="7">
        <v>3148</v>
      </c>
      <c r="C2598" s="8">
        <v>1304.69</v>
      </c>
      <c r="D2598" s="8"/>
      <c r="E2598" s="8"/>
      <c r="F2598" s="8"/>
      <c r="G2598" s="8"/>
      <c r="H2598" s="8"/>
      <c r="I2598" s="8"/>
      <c r="J2598" s="8"/>
      <c r="K2598" s="8"/>
      <c r="L2598" s="8"/>
      <c r="M2598" s="8">
        <v>3.02</v>
      </c>
      <c r="N2598" s="8"/>
      <c r="O2598" s="8"/>
      <c r="P2598" s="8"/>
      <c r="Q2598" s="11"/>
      <c r="R2598" s="11"/>
      <c r="S2598" s="8">
        <v>4.4400000000000004</v>
      </c>
      <c r="T2598" s="8"/>
      <c r="U2598" s="8">
        <v>13.08</v>
      </c>
      <c r="V2598" s="8"/>
      <c r="W2598" s="8"/>
      <c r="X2598" s="8"/>
      <c r="Y2598" s="8"/>
      <c r="Z2598" s="8"/>
      <c r="AA2598" s="8"/>
      <c r="AB2598" s="8"/>
      <c r="AC2598" s="8">
        <v>5.23</v>
      </c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11">
        <f>1209*10.88/1000</f>
        <v>13.153919999999999</v>
      </c>
      <c r="AQ2598" s="8"/>
      <c r="AR2598" s="8"/>
      <c r="AS2598" s="8"/>
      <c r="AT2598" s="8">
        <v>689.21</v>
      </c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>
        <v>50.88</v>
      </c>
      <c r="BH2598" s="9">
        <f t="shared" si="360"/>
        <v>1304.69</v>
      </c>
      <c r="BI2598" s="9">
        <f t="shared" si="361"/>
        <v>3.02</v>
      </c>
      <c r="BJ2598" s="9">
        <f t="shared" si="362"/>
        <v>4.4400000000000004</v>
      </c>
      <c r="BK2598" s="9">
        <f t="shared" si="363"/>
        <v>13.08</v>
      </c>
      <c r="BL2598" s="9">
        <f t="shared" si="364"/>
        <v>0</v>
      </c>
      <c r="BM2598" s="9">
        <f t="shared" si="365"/>
        <v>18.38392</v>
      </c>
      <c r="BN2598" s="9">
        <f t="shared" si="366"/>
        <v>689.21</v>
      </c>
      <c r="BO2598" s="9">
        <f t="shared" si="367"/>
        <v>0</v>
      </c>
      <c r="BP2598" s="9">
        <f t="shared" si="368"/>
        <v>0</v>
      </c>
    </row>
    <row r="2599" spans="1:68">
      <c r="A2599" s="6">
        <v>45001</v>
      </c>
      <c r="B2599" s="7">
        <v>3141</v>
      </c>
      <c r="C2599" s="8">
        <v>2432.7399999999998</v>
      </c>
      <c r="D2599" s="8"/>
      <c r="E2599" s="8"/>
      <c r="F2599" s="8"/>
      <c r="G2599" s="8"/>
      <c r="H2599" s="8"/>
      <c r="I2599" s="8"/>
      <c r="J2599" s="8"/>
      <c r="K2599" s="8"/>
      <c r="L2599" s="8"/>
      <c r="M2599" s="8">
        <v>8.32</v>
      </c>
      <c r="N2599" s="8"/>
      <c r="O2599" s="8"/>
      <c r="P2599" s="8"/>
      <c r="Q2599" s="11"/>
      <c r="R2599" s="11"/>
      <c r="S2599" s="8">
        <v>13.47</v>
      </c>
      <c r="T2599" s="8"/>
      <c r="U2599" s="8">
        <v>42.96</v>
      </c>
      <c r="V2599" s="8"/>
      <c r="W2599" s="8"/>
      <c r="X2599" s="8"/>
      <c r="Y2599" s="8"/>
      <c r="Z2599" s="8"/>
      <c r="AA2599" s="8"/>
      <c r="AB2599" s="8"/>
      <c r="AC2599" s="8">
        <v>11.46</v>
      </c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11"/>
      <c r="AQ2599" s="8"/>
      <c r="AR2599" s="8"/>
      <c r="AS2599" s="8"/>
      <c r="AT2599" s="8">
        <v>1894.81</v>
      </c>
      <c r="AU2599" s="8"/>
      <c r="AV2599" s="8"/>
      <c r="AW2599" s="8"/>
      <c r="AX2599" s="8"/>
      <c r="AY2599" s="8"/>
      <c r="AZ2599" s="8"/>
      <c r="BA2599" s="8">
        <v>65.64</v>
      </c>
      <c r="BB2599" s="8"/>
      <c r="BC2599" s="8"/>
      <c r="BD2599" s="8"/>
      <c r="BE2599" s="8"/>
      <c r="BF2599" s="8">
        <v>200.65</v>
      </c>
      <c r="BG2599" s="8">
        <v>148.58000000000001</v>
      </c>
      <c r="BH2599" s="9">
        <f t="shared" si="360"/>
        <v>2432.7399999999998</v>
      </c>
      <c r="BI2599" s="9">
        <f t="shared" si="361"/>
        <v>8.32</v>
      </c>
      <c r="BJ2599" s="9">
        <f t="shared" si="362"/>
        <v>13.47</v>
      </c>
      <c r="BK2599" s="9">
        <f t="shared" si="363"/>
        <v>42.96</v>
      </c>
      <c r="BL2599" s="9">
        <f t="shared" si="364"/>
        <v>0</v>
      </c>
      <c r="BM2599" s="9">
        <f t="shared" si="365"/>
        <v>11.46</v>
      </c>
      <c r="BN2599" s="9">
        <f t="shared" si="366"/>
        <v>1894.81</v>
      </c>
      <c r="BO2599" s="9">
        <f t="shared" si="367"/>
        <v>65.64</v>
      </c>
      <c r="BP2599" s="9">
        <f t="shared" si="368"/>
        <v>200.65</v>
      </c>
    </row>
    <row r="2600" spans="1:68">
      <c r="A2600" s="6">
        <v>45001</v>
      </c>
      <c r="B2600" s="7">
        <v>3106</v>
      </c>
      <c r="C2600" s="8">
        <v>4156.2700000000004</v>
      </c>
      <c r="D2600" s="8"/>
      <c r="E2600" s="8"/>
      <c r="F2600" s="8"/>
      <c r="G2600" s="8"/>
      <c r="H2600" s="8"/>
      <c r="I2600" s="8"/>
      <c r="J2600" s="8"/>
      <c r="K2600" s="8"/>
      <c r="L2600" s="8"/>
      <c r="M2600" s="8">
        <v>10.41</v>
      </c>
      <c r="N2600" s="8"/>
      <c r="O2600" s="8"/>
      <c r="P2600" s="8"/>
      <c r="Q2600" s="11"/>
      <c r="R2600" s="11"/>
      <c r="S2600" s="8">
        <v>12.48</v>
      </c>
      <c r="T2600" s="8"/>
      <c r="U2600" s="8">
        <v>52.84</v>
      </c>
      <c r="V2600" s="8"/>
      <c r="W2600" s="8"/>
      <c r="X2600" s="8"/>
      <c r="Y2600" s="8"/>
      <c r="Z2600" s="8"/>
      <c r="AA2600" s="8"/>
      <c r="AB2600" s="8"/>
      <c r="AC2600" s="8">
        <v>10.4</v>
      </c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11"/>
      <c r="AQ2600" s="8"/>
      <c r="AR2600" s="8"/>
      <c r="AS2600" s="8"/>
      <c r="AT2600" s="8">
        <v>2369.7199999999998</v>
      </c>
      <c r="AU2600" s="8"/>
      <c r="AV2600" s="8"/>
      <c r="AW2600" s="8"/>
      <c r="AX2600" s="8">
        <v>5.2</v>
      </c>
      <c r="AY2600" s="8"/>
      <c r="AZ2600" s="8"/>
      <c r="BA2600" s="8"/>
      <c r="BB2600" s="8"/>
      <c r="BC2600" s="8"/>
      <c r="BD2600" s="8"/>
      <c r="BE2600" s="8"/>
      <c r="BF2600" s="8"/>
      <c r="BG2600" s="8">
        <v>179.15</v>
      </c>
      <c r="BH2600" s="9">
        <f t="shared" si="360"/>
        <v>4156.2700000000004</v>
      </c>
      <c r="BI2600" s="9">
        <f t="shared" si="361"/>
        <v>10.41</v>
      </c>
      <c r="BJ2600" s="9">
        <f t="shared" si="362"/>
        <v>12.48</v>
      </c>
      <c r="BK2600" s="9">
        <f t="shared" si="363"/>
        <v>52.84</v>
      </c>
      <c r="BL2600" s="9">
        <f t="shared" si="364"/>
        <v>0</v>
      </c>
      <c r="BM2600" s="9">
        <f t="shared" si="365"/>
        <v>10.4</v>
      </c>
      <c r="BN2600" s="9">
        <f t="shared" si="366"/>
        <v>2369.7199999999998</v>
      </c>
      <c r="BO2600" s="9">
        <f t="shared" si="367"/>
        <v>5.2</v>
      </c>
      <c r="BP2600" s="9">
        <f t="shared" si="368"/>
        <v>0</v>
      </c>
    </row>
    <row r="2601" spans="1:68">
      <c r="A2601" s="6">
        <v>45001</v>
      </c>
      <c r="B2601" s="7">
        <v>3121</v>
      </c>
      <c r="C2601" s="8">
        <v>2370.35</v>
      </c>
      <c r="D2601" s="8"/>
      <c r="E2601" s="8"/>
      <c r="F2601" s="8"/>
      <c r="G2601" s="8"/>
      <c r="H2601" s="8"/>
      <c r="I2601" s="8"/>
      <c r="J2601" s="8"/>
      <c r="K2601" s="8"/>
      <c r="L2601" s="8"/>
      <c r="M2601" s="8">
        <v>5</v>
      </c>
      <c r="N2601" s="8"/>
      <c r="O2601" s="8"/>
      <c r="P2601" s="8"/>
      <c r="Q2601" s="11"/>
      <c r="R2601" s="11"/>
      <c r="S2601" s="8">
        <v>7.59</v>
      </c>
      <c r="T2601" s="8"/>
      <c r="U2601" s="8">
        <v>23.7</v>
      </c>
      <c r="V2601" s="8"/>
      <c r="W2601" s="8"/>
      <c r="X2601" s="8"/>
      <c r="Y2601" s="8"/>
      <c r="Z2601" s="8"/>
      <c r="AA2601" s="8"/>
      <c r="AB2601" s="8"/>
      <c r="AC2601" s="8">
        <v>9.4700000000000006</v>
      </c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11">
        <f>2231*10.77/1000</f>
        <v>24.02787</v>
      </c>
      <c r="AQ2601" s="8"/>
      <c r="AR2601" s="8"/>
      <c r="AS2601" s="8"/>
      <c r="AT2601" s="8">
        <v>1254.68</v>
      </c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>
        <v>92.63</v>
      </c>
      <c r="BH2601" s="9">
        <f t="shared" si="360"/>
        <v>2370.35</v>
      </c>
      <c r="BI2601" s="9">
        <f t="shared" si="361"/>
        <v>5</v>
      </c>
      <c r="BJ2601" s="9">
        <f t="shared" si="362"/>
        <v>7.59</v>
      </c>
      <c r="BK2601" s="9">
        <f t="shared" si="363"/>
        <v>23.7</v>
      </c>
      <c r="BL2601" s="9">
        <f t="shared" si="364"/>
        <v>0</v>
      </c>
      <c r="BM2601" s="9">
        <f t="shared" si="365"/>
        <v>33.497869999999999</v>
      </c>
      <c r="BN2601" s="9">
        <f t="shared" si="366"/>
        <v>1254.68</v>
      </c>
      <c r="BO2601" s="9">
        <f t="shared" si="367"/>
        <v>0</v>
      </c>
      <c r="BP2601" s="9">
        <f t="shared" si="368"/>
        <v>0</v>
      </c>
    </row>
    <row r="2602" spans="1:68">
      <c r="A2602" s="6">
        <v>45001</v>
      </c>
      <c r="B2602" s="7">
        <v>3200</v>
      </c>
      <c r="C2602" s="8">
        <v>2318.96</v>
      </c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>
        <v>5.8</v>
      </c>
      <c r="P2602" s="8"/>
      <c r="Q2602" s="11"/>
      <c r="R2602" s="11"/>
      <c r="S2602" s="8">
        <v>9.0500000000000007</v>
      </c>
      <c r="T2602" s="8"/>
      <c r="U2602" s="8">
        <v>34.83</v>
      </c>
      <c r="V2602" s="8"/>
      <c r="W2602" s="8"/>
      <c r="X2602" s="8"/>
      <c r="Y2602" s="8"/>
      <c r="Z2602" s="8">
        <v>488.03</v>
      </c>
      <c r="AA2602" s="8"/>
      <c r="AB2602" s="8"/>
      <c r="AC2602" s="8"/>
      <c r="AD2602" s="8"/>
      <c r="AE2602" s="8"/>
      <c r="AF2602" s="8">
        <v>115.52</v>
      </c>
      <c r="AG2602" s="8"/>
      <c r="AH2602" s="8"/>
      <c r="AI2602" s="8"/>
      <c r="AJ2602" s="8"/>
      <c r="AK2602" s="8"/>
      <c r="AL2602" s="8"/>
      <c r="AM2602" s="8"/>
      <c r="AN2602" s="8"/>
      <c r="AO2602" s="8"/>
      <c r="AP2602" s="11"/>
      <c r="AQ2602" s="8">
        <f>1537*23.22/1000</f>
        <v>35.689140000000002</v>
      </c>
      <c r="AR2602" s="8"/>
      <c r="AS2602" s="8"/>
      <c r="AT2602" s="8">
        <v>1589.49</v>
      </c>
      <c r="AU2602" s="8"/>
      <c r="AV2602" s="8"/>
      <c r="AW2602" s="8">
        <v>6.76</v>
      </c>
      <c r="AX2602" s="8"/>
      <c r="AY2602" s="8"/>
      <c r="AZ2602" s="8"/>
      <c r="BA2602" s="8"/>
      <c r="BB2602" s="8"/>
      <c r="BC2602" s="8"/>
      <c r="BD2602" s="8"/>
      <c r="BE2602" s="8"/>
      <c r="BF2602" s="8">
        <v>111.45</v>
      </c>
      <c r="BG2602" s="8">
        <v>115.04</v>
      </c>
      <c r="BH2602" s="9">
        <f t="shared" si="360"/>
        <v>2318.96</v>
      </c>
      <c r="BI2602" s="9">
        <f t="shared" si="361"/>
        <v>5.8</v>
      </c>
      <c r="BJ2602" s="9">
        <f t="shared" si="362"/>
        <v>9.0500000000000007</v>
      </c>
      <c r="BK2602" s="9">
        <f t="shared" si="363"/>
        <v>34.83</v>
      </c>
      <c r="BL2602" s="9">
        <f t="shared" si="364"/>
        <v>488.03</v>
      </c>
      <c r="BM2602" s="9">
        <f t="shared" si="365"/>
        <v>151.20913999999999</v>
      </c>
      <c r="BN2602" s="9">
        <f t="shared" si="366"/>
        <v>1589.49</v>
      </c>
      <c r="BO2602" s="9">
        <f t="shared" si="367"/>
        <v>6.76</v>
      </c>
      <c r="BP2602" s="9">
        <f t="shared" si="368"/>
        <v>111.45</v>
      </c>
    </row>
    <row r="2603" spans="1:68">
      <c r="A2603" s="6">
        <v>45001</v>
      </c>
      <c r="B2603" s="7">
        <v>3203</v>
      </c>
      <c r="C2603" s="8">
        <v>888.6</v>
      </c>
      <c r="D2603" s="8"/>
      <c r="E2603" s="8">
        <v>380.98</v>
      </c>
      <c r="F2603" s="8"/>
      <c r="G2603" s="8"/>
      <c r="H2603" s="8"/>
      <c r="I2603" s="8"/>
      <c r="J2603" s="8"/>
      <c r="K2603" s="8"/>
      <c r="L2603" s="8"/>
      <c r="M2603" s="8"/>
      <c r="N2603" s="8"/>
      <c r="O2603" s="8">
        <v>3.8</v>
      </c>
      <c r="P2603" s="8"/>
      <c r="Q2603" s="11"/>
      <c r="R2603" s="11"/>
      <c r="S2603" s="8">
        <v>4.95</v>
      </c>
      <c r="T2603" s="8"/>
      <c r="U2603" s="8">
        <v>15.73</v>
      </c>
      <c r="V2603" s="8"/>
      <c r="W2603" s="8"/>
      <c r="X2603" s="8"/>
      <c r="Y2603" s="8"/>
      <c r="Z2603" s="8">
        <v>199.9</v>
      </c>
      <c r="AA2603" s="8">
        <f>10149*14.92/1000</f>
        <v>151.42308</v>
      </c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11"/>
      <c r="AQ2603" s="8"/>
      <c r="AR2603" s="8"/>
      <c r="AS2603" s="8"/>
      <c r="AT2603" s="8">
        <v>474.49</v>
      </c>
      <c r="AU2603" s="8">
        <v>237.13</v>
      </c>
      <c r="AV2603" s="8"/>
      <c r="AW2603" s="8"/>
      <c r="AX2603" s="8"/>
      <c r="AY2603" s="8"/>
      <c r="AZ2603" s="8"/>
      <c r="BA2603" s="8"/>
      <c r="BB2603" s="8"/>
      <c r="BC2603" s="8">
        <v>3.3</v>
      </c>
      <c r="BD2603" s="8"/>
      <c r="BE2603" s="8"/>
      <c r="BF2603" s="8"/>
      <c r="BG2603" s="8">
        <v>46.45</v>
      </c>
      <c r="BH2603" s="9">
        <f t="shared" si="360"/>
        <v>1269.58</v>
      </c>
      <c r="BI2603" s="9">
        <f t="shared" si="361"/>
        <v>3.8</v>
      </c>
      <c r="BJ2603" s="9">
        <f t="shared" si="362"/>
        <v>4.95</v>
      </c>
      <c r="BK2603" s="9">
        <f t="shared" si="363"/>
        <v>15.73</v>
      </c>
      <c r="BL2603" s="9">
        <f t="shared" si="364"/>
        <v>351.32308</v>
      </c>
      <c r="BM2603" s="9">
        <f t="shared" si="365"/>
        <v>0</v>
      </c>
      <c r="BN2603" s="9">
        <f t="shared" si="366"/>
        <v>711.62</v>
      </c>
      <c r="BO2603" s="9">
        <f t="shared" si="367"/>
        <v>3.3</v>
      </c>
      <c r="BP2603" s="9">
        <f t="shared" si="368"/>
        <v>0</v>
      </c>
    </row>
    <row r="2604" spans="1:68">
      <c r="A2604" s="6">
        <v>45002</v>
      </c>
      <c r="B2604" s="7">
        <v>3200</v>
      </c>
      <c r="C2604" s="8">
        <v>2310.64</v>
      </c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>
        <v>5.77</v>
      </c>
      <c r="P2604" s="8"/>
      <c r="Q2604" s="11"/>
      <c r="R2604" s="11"/>
      <c r="S2604" s="8">
        <v>9.01</v>
      </c>
      <c r="T2604" s="8"/>
      <c r="U2604" s="8">
        <v>34.659999999999997</v>
      </c>
      <c r="V2604" s="8"/>
      <c r="W2604" s="8"/>
      <c r="X2604" s="8"/>
      <c r="Y2604" s="8"/>
      <c r="Z2604" s="8">
        <v>485.77</v>
      </c>
      <c r="AA2604" s="8"/>
      <c r="AB2604" s="8"/>
      <c r="AC2604" s="8"/>
      <c r="AD2604" s="8"/>
      <c r="AE2604" s="8"/>
      <c r="AF2604" s="8">
        <v>114.92</v>
      </c>
      <c r="AG2604" s="8"/>
      <c r="AH2604" s="8"/>
      <c r="AI2604" s="8"/>
      <c r="AJ2604" s="8"/>
      <c r="AK2604" s="8"/>
      <c r="AL2604" s="8"/>
      <c r="AM2604" s="8"/>
      <c r="AN2604" s="8"/>
      <c r="AO2604" s="8"/>
      <c r="AP2604" s="11"/>
      <c r="AQ2604" s="8">
        <f>1507*23.12/1000</f>
        <v>34.841840000000005</v>
      </c>
      <c r="AR2604" s="8"/>
      <c r="AS2604" s="8"/>
      <c r="AT2604" s="8">
        <v>1580.47</v>
      </c>
      <c r="AU2604" s="8"/>
      <c r="AV2604" s="8"/>
      <c r="AW2604" s="8">
        <v>6.77</v>
      </c>
      <c r="AX2604" s="8"/>
      <c r="AY2604" s="8"/>
      <c r="AZ2604" s="8"/>
      <c r="BA2604" s="8"/>
      <c r="BB2604" s="8"/>
      <c r="BC2604" s="8"/>
      <c r="BD2604" s="8"/>
      <c r="BE2604" s="8"/>
      <c r="BF2604" s="8">
        <v>110.95</v>
      </c>
      <c r="BG2604" s="8">
        <v>114.59</v>
      </c>
      <c r="BH2604" s="9">
        <f t="shared" si="360"/>
        <v>2310.64</v>
      </c>
      <c r="BI2604" s="9">
        <f t="shared" si="361"/>
        <v>5.77</v>
      </c>
      <c r="BJ2604" s="9">
        <f t="shared" si="362"/>
        <v>9.01</v>
      </c>
      <c r="BK2604" s="9">
        <f t="shared" si="363"/>
        <v>34.659999999999997</v>
      </c>
      <c r="BL2604" s="9">
        <f t="shared" si="364"/>
        <v>485.77</v>
      </c>
      <c r="BM2604" s="9">
        <f t="shared" si="365"/>
        <v>149.76184000000001</v>
      </c>
      <c r="BN2604" s="9">
        <f t="shared" si="366"/>
        <v>1580.47</v>
      </c>
      <c r="BO2604" s="9">
        <f t="shared" si="367"/>
        <v>6.77</v>
      </c>
      <c r="BP2604" s="9">
        <f t="shared" si="368"/>
        <v>110.95</v>
      </c>
    </row>
    <row r="2605" spans="1:68">
      <c r="A2605" s="6">
        <v>45002</v>
      </c>
      <c r="B2605" s="7">
        <v>3020</v>
      </c>
      <c r="C2605" s="8"/>
      <c r="D2605" s="8">
        <v>323.2</v>
      </c>
      <c r="E2605" s="8"/>
      <c r="F2605" s="8"/>
      <c r="G2605" s="8"/>
      <c r="H2605" s="8"/>
      <c r="I2605" s="8">
        <v>1823.4</v>
      </c>
      <c r="J2605" s="8"/>
      <c r="K2605" s="8"/>
      <c r="L2605" s="8"/>
      <c r="M2605" s="8"/>
      <c r="N2605" s="8">
        <v>13.12</v>
      </c>
      <c r="O2605" s="8"/>
      <c r="P2605" s="8"/>
      <c r="Q2605" s="11"/>
      <c r="R2605" s="11"/>
      <c r="S2605" s="8">
        <v>3.86</v>
      </c>
      <c r="T2605" s="8"/>
      <c r="U2605" s="8"/>
      <c r="V2605" s="8"/>
      <c r="W2605" s="8">
        <v>21.51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>
        <v>21.34</v>
      </c>
      <c r="AN2605" s="8"/>
      <c r="AO2605" s="8"/>
      <c r="AP2605" s="11"/>
      <c r="AQ2605" s="8"/>
      <c r="AR2605" s="8"/>
      <c r="AS2605" s="8">
        <f>3029*17.9/1000</f>
        <v>54.219099999999997</v>
      </c>
      <c r="AT2605" s="8">
        <v>1057.19</v>
      </c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>
        <v>77.290000000000006</v>
      </c>
      <c r="BH2605" s="9">
        <f t="shared" si="360"/>
        <v>2146.6</v>
      </c>
      <c r="BI2605" s="9">
        <f t="shared" si="361"/>
        <v>13.12</v>
      </c>
      <c r="BJ2605" s="9">
        <f t="shared" si="362"/>
        <v>3.86</v>
      </c>
      <c r="BK2605" s="9">
        <f t="shared" si="363"/>
        <v>21.51</v>
      </c>
      <c r="BL2605" s="9">
        <f t="shared" si="364"/>
        <v>0</v>
      </c>
      <c r="BM2605" s="9">
        <f t="shared" si="365"/>
        <v>75.559100000000001</v>
      </c>
      <c r="BN2605" s="9">
        <f t="shared" si="366"/>
        <v>1057.19</v>
      </c>
      <c r="BO2605" s="9">
        <f t="shared" si="367"/>
        <v>0</v>
      </c>
      <c r="BP2605" s="9">
        <f t="shared" si="368"/>
        <v>0</v>
      </c>
    </row>
    <row r="2606" spans="1:68">
      <c r="A2606" s="6">
        <v>45002</v>
      </c>
      <c r="B2606" s="7">
        <v>3023</v>
      </c>
      <c r="C2606" s="8"/>
      <c r="D2606" s="8">
        <v>871.05</v>
      </c>
      <c r="E2606" s="8"/>
      <c r="F2606" s="8"/>
      <c r="G2606" s="8"/>
      <c r="H2606" s="8"/>
      <c r="I2606" s="8">
        <v>473.76</v>
      </c>
      <c r="J2606" s="8"/>
      <c r="K2606" s="8"/>
      <c r="L2606" s="8"/>
      <c r="M2606" s="8"/>
      <c r="N2606" s="8">
        <v>7.53</v>
      </c>
      <c r="O2606" s="8"/>
      <c r="P2606" s="8"/>
      <c r="Q2606" s="11"/>
      <c r="R2606" s="11"/>
      <c r="S2606" s="8">
        <v>2.15</v>
      </c>
      <c r="T2606" s="8"/>
      <c r="U2606" s="8"/>
      <c r="V2606" s="8"/>
      <c r="W2606" s="8">
        <v>12.12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>
        <v>13.46</v>
      </c>
      <c r="AN2606" s="8">
        <f>1009*9.27/1000</f>
        <v>9.3534299999999995</v>
      </c>
      <c r="AO2606" s="8"/>
      <c r="AP2606" s="11"/>
      <c r="AQ2606" s="8"/>
      <c r="AR2606" s="8"/>
      <c r="AS2606" s="8">
        <f>4793*9.27/1000</f>
        <v>44.431110000000004</v>
      </c>
      <c r="AT2606" s="8">
        <v>551.4</v>
      </c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>
        <v>41.69</v>
      </c>
      <c r="BH2606" s="9">
        <f t="shared" si="360"/>
        <v>1344.81</v>
      </c>
      <c r="BI2606" s="9">
        <f t="shared" si="361"/>
        <v>7.53</v>
      </c>
      <c r="BJ2606" s="9">
        <f t="shared" si="362"/>
        <v>2.15</v>
      </c>
      <c r="BK2606" s="9">
        <f t="shared" si="363"/>
        <v>12.12</v>
      </c>
      <c r="BL2606" s="9">
        <f t="shared" si="364"/>
        <v>0</v>
      </c>
      <c r="BM2606" s="9">
        <f t="shared" si="365"/>
        <v>67.244540000000001</v>
      </c>
      <c r="BN2606" s="9">
        <f t="shared" si="366"/>
        <v>551.4</v>
      </c>
      <c r="BO2606" s="9">
        <f t="shared" si="367"/>
        <v>0</v>
      </c>
      <c r="BP2606" s="9">
        <f t="shared" si="368"/>
        <v>0</v>
      </c>
    </row>
    <row r="2607" spans="1:68">
      <c r="A2607" s="6">
        <v>45002</v>
      </c>
      <c r="B2607" s="7">
        <v>3025</v>
      </c>
      <c r="C2607" s="8"/>
      <c r="D2607" s="8">
        <v>221.2</v>
      </c>
      <c r="E2607" s="8"/>
      <c r="F2607" s="8"/>
      <c r="G2607" s="8"/>
      <c r="H2607" s="8"/>
      <c r="I2607" s="8">
        <v>1235.28</v>
      </c>
      <c r="J2607" s="8"/>
      <c r="K2607" s="8"/>
      <c r="L2607" s="8"/>
      <c r="M2607" s="8"/>
      <c r="N2607" s="8">
        <v>8.01</v>
      </c>
      <c r="O2607" s="8"/>
      <c r="P2607" s="8"/>
      <c r="Q2607" s="11"/>
      <c r="R2607" s="11"/>
      <c r="S2607" s="8">
        <v>2.33</v>
      </c>
      <c r="T2607" s="8"/>
      <c r="U2607" s="8"/>
      <c r="V2607" s="8"/>
      <c r="W2607" s="8">
        <v>13.1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>
        <v>14.53</v>
      </c>
      <c r="AN2607" s="8">
        <f>711*14.57/1000</f>
        <v>10.35927</v>
      </c>
      <c r="AO2607" s="8"/>
      <c r="AP2607" s="11"/>
      <c r="AQ2607" s="8"/>
      <c r="AR2607" s="8"/>
      <c r="AS2607" s="8">
        <f>3331*14.57/1000</f>
        <v>48.532669999999996</v>
      </c>
      <c r="AT2607" s="8">
        <v>503.48</v>
      </c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>
        <v>33.409999999999997</v>
      </c>
      <c r="BH2607" s="9">
        <f t="shared" si="360"/>
        <v>1456.48</v>
      </c>
      <c r="BI2607" s="9">
        <f t="shared" si="361"/>
        <v>8.01</v>
      </c>
      <c r="BJ2607" s="9">
        <f t="shared" si="362"/>
        <v>2.33</v>
      </c>
      <c r="BK2607" s="9">
        <f t="shared" si="363"/>
        <v>13.1</v>
      </c>
      <c r="BL2607" s="9">
        <f t="shared" si="364"/>
        <v>0</v>
      </c>
      <c r="BM2607" s="9">
        <f t="shared" si="365"/>
        <v>73.421939999999992</v>
      </c>
      <c r="BN2607" s="9">
        <f t="shared" si="366"/>
        <v>503.48</v>
      </c>
      <c r="BO2607" s="9">
        <f t="shared" si="367"/>
        <v>0</v>
      </c>
      <c r="BP2607" s="9">
        <f t="shared" si="368"/>
        <v>0</v>
      </c>
    </row>
    <row r="2608" spans="1:68">
      <c r="A2608" s="6">
        <v>45002</v>
      </c>
      <c r="B2608" s="7">
        <v>3016</v>
      </c>
      <c r="C2608" s="8"/>
      <c r="D2608" s="8">
        <v>2396.3200000000002</v>
      </c>
      <c r="E2608" s="8"/>
      <c r="F2608" s="8"/>
      <c r="G2608" s="8"/>
      <c r="H2608" s="8"/>
      <c r="I2608" s="8">
        <v>2211.89</v>
      </c>
      <c r="J2608" s="8"/>
      <c r="K2608" s="8"/>
      <c r="L2608" s="8"/>
      <c r="M2608" s="8"/>
      <c r="N2608" s="8">
        <v>28.61</v>
      </c>
      <c r="O2608" s="8"/>
      <c r="P2608" s="8"/>
      <c r="Q2608" s="11"/>
      <c r="R2608" s="11"/>
      <c r="S2608" s="8">
        <v>3.23</v>
      </c>
      <c r="T2608" s="8"/>
      <c r="U2608" s="8"/>
      <c r="V2608" s="8"/>
      <c r="W2608" s="8">
        <v>46.14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>
        <v>18.399999999999999</v>
      </c>
      <c r="AN2608" s="8">
        <f>2049*27.12/1000</f>
        <v>55.568880000000007</v>
      </c>
      <c r="AO2608" s="8"/>
      <c r="AP2608" s="11"/>
      <c r="AQ2608" s="8"/>
      <c r="AR2608" s="8">
        <f>4343*27.12/1000</f>
        <v>117.78216</v>
      </c>
      <c r="AS2608" s="8"/>
      <c r="AT2608" s="8">
        <v>1714.95</v>
      </c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>
        <v>125.49</v>
      </c>
      <c r="BH2608" s="9">
        <f t="shared" si="360"/>
        <v>4608.21</v>
      </c>
      <c r="BI2608" s="9">
        <f t="shared" si="361"/>
        <v>28.61</v>
      </c>
      <c r="BJ2608" s="9">
        <f t="shared" si="362"/>
        <v>3.23</v>
      </c>
      <c r="BK2608" s="9">
        <f t="shared" si="363"/>
        <v>46.14</v>
      </c>
      <c r="BL2608" s="9">
        <f t="shared" si="364"/>
        <v>0</v>
      </c>
      <c r="BM2608" s="9">
        <f t="shared" si="365"/>
        <v>191.75104000000002</v>
      </c>
      <c r="BN2608" s="9">
        <f t="shared" si="366"/>
        <v>1714.95</v>
      </c>
      <c r="BO2608" s="9">
        <f t="shared" si="367"/>
        <v>0</v>
      </c>
      <c r="BP2608" s="9">
        <f t="shared" si="368"/>
        <v>0</v>
      </c>
    </row>
    <row r="2609" spans="1:68">
      <c r="A2609" s="6">
        <v>45002</v>
      </c>
      <c r="B2609" s="7">
        <v>3701</v>
      </c>
      <c r="C2609" s="8">
        <v>376.38</v>
      </c>
      <c r="D2609" s="8"/>
      <c r="E2609" s="8"/>
      <c r="F2609" s="8"/>
      <c r="G2609" s="8"/>
      <c r="H2609" s="8"/>
      <c r="I2609" s="8"/>
      <c r="J2609" s="8">
        <f>49200*12.73/1000</f>
        <v>626.31600000000003</v>
      </c>
      <c r="K2609" s="8"/>
      <c r="L2609" s="8"/>
      <c r="M2609" s="8"/>
      <c r="N2609" s="8">
        <v>2.33</v>
      </c>
      <c r="O2609" s="8"/>
      <c r="P2609" s="8"/>
      <c r="Q2609" s="11"/>
      <c r="R2609" s="11"/>
      <c r="S2609" s="8">
        <v>2.75</v>
      </c>
      <c r="T2609" s="8"/>
      <c r="U2609" s="8">
        <v>6.11</v>
      </c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>
        <v>20.39</v>
      </c>
      <c r="AH2609" s="8"/>
      <c r="AI2609" s="8"/>
      <c r="AJ2609" s="8">
        <f>2408*12.73/1000</f>
        <v>30.653839999999999</v>
      </c>
      <c r="AK2609" s="8"/>
      <c r="AL2609" s="8"/>
      <c r="AM2609" s="8"/>
      <c r="AN2609" s="8"/>
      <c r="AO2609" s="8"/>
      <c r="AP2609" s="11"/>
      <c r="AQ2609" s="8"/>
      <c r="AR2609" s="8"/>
      <c r="AS2609" s="8"/>
      <c r="AT2609" s="8"/>
      <c r="AU2609" s="8">
        <v>358.92</v>
      </c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>
        <v>24.34</v>
      </c>
      <c r="BH2609" s="9">
        <f t="shared" si="360"/>
        <v>1002.696</v>
      </c>
      <c r="BI2609" s="9">
        <f t="shared" si="361"/>
        <v>2.33</v>
      </c>
      <c r="BJ2609" s="9">
        <f t="shared" si="362"/>
        <v>2.75</v>
      </c>
      <c r="BK2609" s="9">
        <f t="shared" si="363"/>
        <v>6.11</v>
      </c>
      <c r="BL2609" s="9">
        <f t="shared" si="364"/>
        <v>0</v>
      </c>
      <c r="BM2609" s="9">
        <f t="shared" si="365"/>
        <v>51.043840000000003</v>
      </c>
      <c r="BN2609" s="9">
        <f t="shared" si="366"/>
        <v>358.92</v>
      </c>
      <c r="BO2609" s="9">
        <f t="shared" si="367"/>
        <v>0</v>
      </c>
      <c r="BP2609" s="9">
        <f t="shared" si="368"/>
        <v>0</v>
      </c>
    </row>
    <row r="2610" spans="1:68">
      <c r="A2610" s="6">
        <v>45002</v>
      </c>
      <c r="B2610" s="7">
        <v>3802</v>
      </c>
      <c r="C2610" s="8">
        <v>59.96</v>
      </c>
      <c r="D2610" s="8"/>
      <c r="E2610" s="8"/>
      <c r="F2610" s="8"/>
      <c r="G2610" s="8"/>
      <c r="H2610" s="8"/>
      <c r="I2610" s="8"/>
      <c r="J2610" s="8"/>
      <c r="K2610" s="8"/>
      <c r="L2610" s="8">
        <f>39008*1.23/1000</f>
        <v>47.979839999999996</v>
      </c>
      <c r="M2610" s="8"/>
      <c r="N2610" s="8">
        <v>0.16</v>
      </c>
      <c r="O2610" s="8"/>
      <c r="P2610" s="8"/>
      <c r="Q2610" s="11"/>
      <c r="R2610" s="11"/>
      <c r="S2610" s="8">
        <v>0.44</v>
      </c>
      <c r="T2610" s="8"/>
      <c r="U2610" s="8">
        <v>0.87</v>
      </c>
      <c r="V2610" s="8"/>
      <c r="W2610" s="8"/>
      <c r="X2610" s="8"/>
      <c r="Y2610" s="8"/>
      <c r="Z2610" s="8">
        <v>13.09</v>
      </c>
      <c r="AA2610" s="8">
        <f>3512*1.23/1000</f>
        <v>4.3197600000000005</v>
      </c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11"/>
      <c r="AQ2610" s="8"/>
      <c r="AR2610" s="8"/>
      <c r="AS2610" s="8">
        <f>1421*1.23/1000</f>
        <v>1.74783</v>
      </c>
      <c r="AT2610" s="8">
        <v>53</v>
      </c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>
        <v>4.12</v>
      </c>
      <c r="BH2610" s="9">
        <f t="shared" si="360"/>
        <v>107.93984</v>
      </c>
      <c r="BI2610" s="9">
        <f t="shared" si="361"/>
        <v>0.16</v>
      </c>
      <c r="BJ2610" s="9">
        <f t="shared" si="362"/>
        <v>0.44</v>
      </c>
      <c r="BK2610" s="9">
        <f t="shared" si="363"/>
        <v>0.87</v>
      </c>
      <c r="BL2610" s="9">
        <f t="shared" si="364"/>
        <v>17.409759999999999</v>
      </c>
      <c r="BM2610" s="9">
        <f t="shared" si="365"/>
        <v>1.74783</v>
      </c>
      <c r="BN2610" s="9">
        <f t="shared" si="366"/>
        <v>53</v>
      </c>
      <c r="BO2610" s="9">
        <f t="shared" si="367"/>
        <v>0</v>
      </c>
      <c r="BP2610" s="9">
        <f t="shared" si="368"/>
        <v>0</v>
      </c>
    </row>
    <row r="2611" spans="1:68">
      <c r="A2611" s="6">
        <v>45002</v>
      </c>
      <c r="B2611" s="7">
        <v>3601</v>
      </c>
      <c r="C2611" s="8">
        <v>287.77999999999997</v>
      </c>
      <c r="D2611" s="8"/>
      <c r="E2611" s="8"/>
      <c r="F2611" s="8"/>
      <c r="G2611" s="8">
        <v>431.85</v>
      </c>
      <c r="H2611" s="8"/>
      <c r="I2611" s="8"/>
      <c r="J2611" s="8"/>
      <c r="K2611" s="8"/>
      <c r="L2611" s="8"/>
      <c r="M2611" s="8">
        <v>0.87</v>
      </c>
      <c r="N2611" s="8"/>
      <c r="O2611" s="8"/>
      <c r="P2611" s="8"/>
      <c r="Q2611" s="11"/>
      <c r="R2611" s="11"/>
      <c r="S2611" s="8">
        <v>3.63</v>
      </c>
      <c r="T2611" s="8"/>
      <c r="U2611" s="8">
        <v>4.33</v>
      </c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11"/>
      <c r="AQ2611" s="8"/>
      <c r="AR2611" s="8"/>
      <c r="AS2611" s="8"/>
      <c r="AT2611" s="8">
        <v>352.92</v>
      </c>
      <c r="AU2611" s="8"/>
      <c r="AV2611" s="8"/>
      <c r="AW2611" s="8">
        <v>21.91</v>
      </c>
      <c r="AX2611" s="8"/>
      <c r="AY2611" s="8"/>
      <c r="AZ2611" s="8"/>
      <c r="BA2611" s="8"/>
      <c r="BB2611" s="8"/>
      <c r="BC2611" s="8"/>
      <c r="BD2611" s="8"/>
      <c r="BE2611" s="8"/>
      <c r="BF2611" s="8">
        <v>40.380000000000003</v>
      </c>
      <c r="BG2611" s="8">
        <v>25.55</v>
      </c>
      <c r="BH2611" s="9">
        <f t="shared" si="360"/>
        <v>719.63</v>
      </c>
      <c r="BI2611" s="9">
        <f t="shared" si="361"/>
        <v>0.87</v>
      </c>
      <c r="BJ2611" s="9">
        <f t="shared" si="362"/>
        <v>3.63</v>
      </c>
      <c r="BK2611" s="9">
        <f t="shared" si="363"/>
        <v>4.33</v>
      </c>
      <c r="BL2611" s="9">
        <f t="shared" si="364"/>
        <v>0</v>
      </c>
      <c r="BM2611" s="9">
        <f t="shared" si="365"/>
        <v>0</v>
      </c>
      <c r="BN2611" s="9">
        <f t="shared" si="366"/>
        <v>352.92</v>
      </c>
      <c r="BO2611" s="9">
        <f t="shared" si="367"/>
        <v>21.91</v>
      </c>
      <c r="BP2611" s="9">
        <f t="shared" si="368"/>
        <v>40.380000000000003</v>
      </c>
    </row>
    <row r="2612" spans="1:68">
      <c r="A2612" s="6">
        <v>45005</v>
      </c>
      <c r="B2612" s="7">
        <v>3100</v>
      </c>
      <c r="C2612" s="8">
        <v>639</v>
      </c>
      <c r="D2612" s="8"/>
      <c r="E2612" s="8"/>
      <c r="F2612" s="8"/>
      <c r="G2612" s="8"/>
      <c r="H2612" s="8"/>
      <c r="I2612" s="8"/>
      <c r="J2612" s="8"/>
      <c r="K2612" s="8"/>
      <c r="L2612" s="8"/>
      <c r="M2612" s="8">
        <v>1.6</v>
      </c>
      <c r="N2612" s="8"/>
      <c r="O2612" s="8"/>
      <c r="P2612" s="8"/>
      <c r="Q2612" s="11"/>
      <c r="R2612" s="11"/>
      <c r="S2612" s="8">
        <v>3.65</v>
      </c>
      <c r="T2612" s="8"/>
      <c r="U2612" s="8">
        <v>10.26</v>
      </c>
      <c r="V2612" s="8"/>
      <c r="W2612" s="8"/>
      <c r="X2612" s="8"/>
      <c r="Y2612" s="8"/>
      <c r="Z2612" s="8"/>
      <c r="AA2612" s="8"/>
      <c r="AB2612" s="8"/>
      <c r="AC2612" s="8">
        <v>2.57</v>
      </c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11"/>
      <c r="AQ2612" s="8"/>
      <c r="AR2612" s="8"/>
      <c r="AS2612" s="8"/>
      <c r="AT2612" s="8">
        <v>430.99</v>
      </c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>
        <v>83.36</v>
      </c>
      <c r="BG2612" s="8">
        <v>32.950000000000003</v>
      </c>
      <c r="BH2612" s="9">
        <f t="shared" si="360"/>
        <v>639</v>
      </c>
      <c r="BI2612" s="9">
        <f t="shared" si="361"/>
        <v>1.6</v>
      </c>
      <c r="BJ2612" s="9">
        <f t="shared" si="362"/>
        <v>3.65</v>
      </c>
      <c r="BK2612" s="9">
        <f t="shared" si="363"/>
        <v>10.26</v>
      </c>
      <c r="BL2612" s="9">
        <f t="shared" si="364"/>
        <v>0</v>
      </c>
      <c r="BM2612" s="9">
        <f t="shared" si="365"/>
        <v>2.57</v>
      </c>
      <c r="BN2612" s="9">
        <f t="shared" si="366"/>
        <v>430.99</v>
      </c>
      <c r="BO2612" s="9">
        <f t="shared" si="367"/>
        <v>0</v>
      </c>
      <c r="BP2612" s="9">
        <f t="shared" si="368"/>
        <v>83.36</v>
      </c>
    </row>
    <row r="2613" spans="1:68">
      <c r="A2613" s="6">
        <v>45005</v>
      </c>
      <c r="B2613" s="7">
        <v>3204</v>
      </c>
      <c r="C2613" s="8"/>
      <c r="D2613" s="8">
        <v>1802.77</v>
      </c>
      <c r="E2613" s="8">
        <v>771.8</v>
      </c>
      <c r="F2613" s="8"/>
      <c r="G2613" s="8"/>
      <c r="H2613" s="8"/>
      <c r="I2613" s="8"/>
      <c r="J2613" s="8"/>
      <c r="K2613" s="8"/>
      <c r="L2613" s="8"/>
      <c r="M2613" s="8"/>
      <c r="N2613" s="8"/>
      <c r="O2613" s="8">
        <v>12.85</v>
      </c>
      <c r="P2613" s="8"/>
      <c r="Q2613" s="11"/>
      <c r="R2613" s="11"/>
      <c r="S2613" s="8">
        <v>8.74</v>
      </c>
      <c r="T2613" s="8"/>
      <c r="U2613" s="8">
        <v>28.33</v>
      </c>
      <c r="V2613" s="8"/>
      <c r="W2613" s="8"/>
      <c r="X2613" s="8"/>
      <c r="Y2613" s="8"/>
      <c r="Z2613" s="8">
        <v>386.01</v>
      </c>
      <c r="AA2613" s="8"/>
      <c r="AB2613" s="8">
        <f>703*18.37/1000</f>
        <v>12.914110000000001</v>
      </c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11"/>
      <c r="AQ2613" s="8"/>
      <c r="AR2613" s="8"/>
      <c r="AS2613" s="8"/>
      <c r="AT2613" s="8">
        <v>1132.03</v>
      </c>
      <c r="AU2613" s="8"/>
      <c r="AV2613" s="8"/>
      <c r="AW2613" s="8">
        <v>8.25</v>
      </c>
      <c r="AX2613" s="8"/>
      <c r="AY2613" s="8"/>
      <c r="AZ2613" s="8"/>
      <c r="BA2613" s="8"/>
      <c r="BB2613" s="8"/>
      <c r="BC2613" s="8"/>
      <c r="BD2613" s="8"/>
      <c r="BE2613" s="8"/>
      <c r="BF2613" s="8"/>
      <c r="BG2613" s="8">
        <v>83.65</v>
      </c>
      <c r="BH2613" s="9">
        <f t="shared" si="360"/>
        <v>2574.5699999999997</v>
      </c>
      <c r="BI2613" s="9">
        <f t="shared" si="361"/>
        <v>12.85</v>
      </c>
      <c r="BJ2613" s="9">
        <f t="shared" si="362"/>
        <v>8.74</v>
      </c>
      <c r="BK2613" s="9">
        <f t="shared" si="363"/>
        <v>28.33</v>
      </c>
      <c r="BL2613" s="9">
        <f t="shared" si="364"/>
        <v>386.01</v>
      </c>
      <c r="BM2613" s="9">
        <f t="shared" si="365"/>
        <v>12.914110000000001</v>
      </c>
      <c r="BN2613" s="9">
        <f t="shared" si="366"/>
        <v>1132.03</v>
      </c>
      <c r="BO2613" s="9">
        <f t="shared" si="367"/>
        <v>8.25</v>
      </c>
      <c r="BP2613" s="9">
        <f t="shared" si="368"/>
        <v>0</v>
      </c>
    </row>
    <row r="2614" spans="1:68">
      <c r="A2614" s="6">
        <v>45005</v>
      </c>
      <c r="B2614" s="7">
        <v>3141</v>
      </c>
      <c r="C2614" s="8">
        <v>2432.73</v>
      </c>
      <c r="D2614" s="8">
        <v>429.35</v>
      </c>
      <c r="E2614" s="8"/>
      <c r="F2614" s="8"/>
      <c r="G2614" s="8"/>
      <c r="H2614" s="8"/>
      <c r="I2614" s="8"/>
      <c r="J2614" s="8"/>
      <c r="K2614" s="8"/>
      <c r="L2614" s="8"/>
      <c r="M2614" s="8">
        <v>8.31</v>
      </c>
      <c r="N2614" s="8"/>
      <c r="O2614" s="8"/>
      <c r="P2614" s="8"/>
      <c r="Q2614" s="11"/>
      <c r="R2614" s="11"/>
      <c r="S2614" s="8">
        <v>13.47</v>
      </c>
      <c r="T2614" s="8"/>
      <c r="U2614" s="8">
        <v>42.96</v>
      </c>
      <c r="V2614" s="8"/>
      <c r="W2614" s="8"/>
      <c r="X2614" s="8"/>
      <c r="Y2614" s="8"/>
      <c r="Z2614" s="8"/>
      <c r="AA2614" s="8"/>
      <c r="AB2614" s="8"/>
      <c r="AC2614" s="8">
        <v>11.46</v>
      </c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11"/>
      <c r="AQ2614" s="8"/>
      <c r="AR2614" s="8"/>
      <c r="AS2614" s="8"/>
      <c r="AT2614" s="8">
        <v>1887.89</v>
      </c>
      <c r="AU2614" s="8"/>
      <c r="AV2614" s="8"/>
      <c r="AW2614" s="8"/>
      <c r="AX2614" s="8"/>
      <c r="AY2614" s="8"/>
      <c r="AZ2614" s="8"/>
      <c r="BA2614" s="8">
        <v>65.63</v>
      </c>
      <c r="BB2614" s="8"/>
      <c r="BC2614" s="8"/>
      <c r="BD2614" s="8"/>
      <c r="BE2614" s="8"/>
      <c r="BF2614" s="8">
        <v>200.38</v>
      </c>
      <c r="BG2614" s="8">
        <v>149.03</v>
      </c>
      <c r="BH2614" s="9">
        <f t="shared" si="360"/>
        <v>2862.08</v>
      </c>
      <c r="BI2614" s="9">
        <f t="shared" si="361"/>
        <v>8.31</v>
      </c>
      <c r="BJ2614" s="9">
        <f t="shared" si="362"/>
        <v>13.47</v>
      </c>
      <c r="BK2614" s="9">
        <f t="shared" si="363"/>
        <v>42.96</v>
      </c>
      <c r="BL2614" s="9">
        <f t="shared" si="364"/>
        <v>0</v>
      </c>
      <c r="BM2614" s="9">
        <f t="shared" si="365"/>
        <v>11.46</v>
      </c>
      <c r="BN2614" s="9">
        <f t="shared" si="366"/>
        <v>1887.89</v>
      </c>
      <c r="BO2614" s="9">
        <f t="shared" si="367"/>
        <v>65.63</v>
      </c>
      <c r="BP2614" s="9">
        <f t="shared" si="368"/>
        <v>200.38</v>
      </c>
    </row>
    <row r="2615" spans="1:68">
      <c r="A2615" s="6">
        <v>45005</v>
      </c>
      <c r="B2615" s="7">
        <v>3145</v>
      </c>
      <c r="C2615" s="8">
        <v>1192.1400000000001</v>
      </c>
      <c r="D2615" s="8">
        <v>210.38</v>
      </c>
      <c r="E2615" s="8"/>
      <c r="F2615" s="8"/>
      <c r="G2615" s="8"/>
      <c r="H2615" s="8"/>
      <c r="I2615" s="8"/>
      <c r="J2615" s="8"/>
      <c r="K2615" s="8"/>
      <c r="L2615" s="8"/>
      <c r="M2615" s="8">
        <v>4.07</v>
      </c>
      <c r="N2615" s="8"/>
      <c r="O2615" s="8"/>
      <c r="P2615" s="8"/>
      <c r="Q2615" s="11"/>
      <c r="R2615" s="11"/>
      <c r="S2615" s="8">
        <v>6.6</v>
      </c>
      <c r="T2615" s="8"/>
      <c r="U2615" s="8">
        <v>21.05</v>
      </c>
      <c r="V2615" s="8"/>
      <c r="W2615" s="8"/>
      <c r="X2615" s="8"/>
      <c r="Y2615" s="8"/>
      <c r="Z2615" s="8"/>
      <c r="AA2615" s="8"/>
      <c r="AB2615" s="8"/>
      <c r="AC2615" s="8">
        <v>5.61</v>
      </c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11"/>
      <c r="AQ2615" s="8"/>
      <c r="AR2615" s="8"/>
      <c r="AS2615" s="8"/>
      <c r="AT2615" s="8">
        <v>926.97</v>
      </c>
      <c r="AU2615" s="8"/>
      <c r="AV2615" s="8"/>
      <c r="AW2615" s="8"/>
      <c r="AX2615" s="8"/>
      <c r="AY2615" s="8"/>
      <c r="AZ2615" s="8"/>
      <c r="BA2615" s="8"/>
      <c r="BB2615" s="8"/>
      <c r="BC2615" s="8"/>
      <c r="BD2615" s="8">
        <v>3.51</v>
      </c>
      <c r="BE2615" s="8">
        <f>1366*9.35/1000</f>
        <v>12.7721</v>
      </c>
      <c r="BF2615" s="8">
        <v>98.22</v>
      </c>
      <c r="BG2615" s="8">
        <v>73.02</v>
      </c>
      <c r="BH2615" s="9">
        <f t="shared" si="360"/>
        <v>1402.52</v>
      </c>
      <c r="BI2615" s="9">
        <f t="shared" si="361"/>
        <v>4.07</v>
      </c>
      <c r="BJ2615" s="9">
        <f t="shared" si="362"/>
        <v>6.6</v>
      </c>
      <c r="BK2615" s="9">
        <f t="shared" si="363"/>
        <v>21.05</v>
      </c>
      <c r="BL2615" s="9">
        <f t="shared" si="364"/>
        <v>0</v>
      </c>
      <c r="BM2615" s="9">
        <f t="shared" si="365"/>
        <v>5.61</v>
      </c>
      <c r="BN2615" s="9">
        <f t="shared" si="366"/>
        <v>926.97</v>
      </c>
      <c r="BO2615" s="9">
        <f t="shared" si="367"/>
        <v>16.2821</v>
      </c>
      <c r="BP2615" s="9">
        <f t="shared" si="368"/>
        <v>98.22</v>
      </c>
    </row>
    <row r="2616" spans="1:68">
      <c r="A2616" s="6">
        <v>45005</v>
      </c>
      <c r="B2616" s="7">
        <v>3106</v>
      </c>
      <c r="C2616" s="8">
        <v>4155.9399999999996</v>
      </c>
      <c r="D2616" s="8"/>
      <c r="E2616" s="8"/>
      <c r="F2616" s="8"/>
      <c r="G2616" s="8"/>
      <c r="H2616" s="8"/>
      <c r="I2616" s="8"/>
      <c r="J2616" s="8"/>
      <c r="K2616" s="8"/>
      <c r="L2616" s="8"/>
      <c r="M2616" s="8">
        <v>11.07</v>
      </c>
      <c r="N2616" s="8"/>
      <c r="O2616" s="8"/>
      <c r="P2616" s="8"/>
      <c r="Q2616" s="11"/>
      <c r="R2616" s="11"/>
      <c r="S2616" s="8">
        <v>12.47</v>
      </c>
      <c r="T2616" s="8"/>
      <c r="U2616" s="8">
        <v>52.9</v>
      </c>
      <c r="V2616" s="8"/>
      <c r="W2616" s="8"/>
      <c r="X2616" s="8"/>
      <c r="Y2616" s="8"/>
      <c r="Z2616" s="8"/>
      <c r="AA2616" s="8"/>
      <c r="AB2616" s="8"/>
      <c r="AC2616" s="8">
        <v>10.4</v>
      </c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11"/>
      <c r="AQ2616" s="8"/>
      <c r="AR2616" s="8"/>
      <c r="AS2616" s="8"/>
      <c r="AT2616" s="8">
        <v>2370.4</v>
      </c>
      <c r="AU2616" s="8"/>
      <c r="AV2616" s="8"/>
      <c r="AW2616" s="8"/>
      <c r="AX2616" s="8">
        <v>5.2</v>
      </c>
      <c r="AY2616" s="8"/>
      <c r="AZ2616" s="8"/>
      <c r="BA2616" s="8"/>
      <c r="BB2616" s="8"/>
      <c r="BC2616" s="8"/>
      <c r="BD2616" s="8"/>
      <c r="BE2616" s="8"/>
      <c r="BF2616" s="8"/>
      <c r="BG2616" s="8">
        <v>179</v>
      </c>
      <c r="BH2616" s="9">
        <f t="shared" si="360"/>
        <v>4155.9399999999996</v>
      </c>
      <c r="BI2616" s="9">
        <f t="shared" si="361"/>
        <v>11.07</v>
      </c>
      <c r="BJ2616" s="9">
        <f t="shared" si="362"/>
        <v>12.47</v>
      </c>
      <c r="BK2616" s="9">
        <f t="shared" si="363"/>
        <v>52.9</v>
      </c>
      <c r="BL2616" s="9">
        <f t="shared" si="364"/>
        <v>0</v>
      </c>
      <c r="BM2616" s="9">
        <f t="shared" si="365"/>
        <v>10.4</v>
      </c>
      <c r="BN2616" s="9">
        <f t="shared" si="366"/>
        <v>2370.4</v>
      </c>
      <c r="BO2616" s="9">
        <f t="shared" si="367"/>
        <v>5.2</v>
      </c>
      <c r="BP2616" s="9">
        <f t="shared" si="368"/>
        <v>0</v>
      </c>
    </row>
    <row r="2617" spans="1:68">
      <c r="A2617" s="6">
        <v>45005</v>
      </c>
      <c r="B2617" s="7">
        <v>3200</v>
      </c>
      <c r="C2617" s="8">
        <v>2238.16</v>
      </c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>
        <v>5.6</v>
      </c>
      <c r="P2617" s="8"/>
      <c r="Q2617" s="11"/>
      <c r="R2617" s="11"/>
      <c r="S2617" s="8">
        <v>8.73</v>
      </c>
      <c r="T2617" s="8"/>
      <c r="U2617" s="8">
        <v>33.590000000000003</v>
      </c>
      <c r="V2617" s="8"/>
      <c r="W2617" s="8"/>
      <c r="X2617" s="8"/>
      <c r="Y2617" s="8"/>
      <c r="Z2617" s="8">
        <v>470.67</v>
      </c>
      <c r="AA2617" s="8"/>
      <c r="AB2617" s="8"/>
      <c r="AC2617" s="8"/>
      <c r="AD2617" s="8"/>
      <c r="AE2617" s="8"/>
      <c r="AF2617" s="8">
        <v>111.8</v>
      </c>
      <c r="AG2617" s="8"/>
      <c r="AH2617" s="8"/>
      <c r="AI2617" s="8"/>
      <c r="AJ2617" s="8"/>
      <c r="AK2617" s="8"/>
      <c r="AL2617" s="8"/>
      <c r="AM2617" s="8"/>
      <c r="AN2617" s="8"/>
      <c r="AO2617" s="8"/>
      <c r="AP2617" s="11"/>
      <c r="AQ2617" s="8">
        <f>1510*22.4/1000</f>
        <v>33.823999999999998</v>
      </c>
      <c r="AR2617" s="8"/>
      <c r="AS2617" s="8"/>
      <c r="AT2617" s="8">
        <v>1533.75</v>
      </c>
      <c r="AU2617" s="8"/>
      <c r="AV2617" s="8"/>
      <c r="AW2617" s="8">
        <v>6.43</v>
      </c>
      <c r="AX2617" s="8"/>
      <c r="AY2617" s="8"/>
      <c r="AZ2617" s="8"/>
      <c r="BA2617" s="8"/>
      <c r="BB2617" s="8"/>
      <c r="BC2617" s="8"/>
      <c r="BD2617" s="8"/>
      <c r="BE2617" s="8"/>
      <c r="BF2617" s="8">
        <v>107.54</v>
      </c>
      <c r="BG2617" s="8">
        <v>111.03</v>
      </c>
      <c r="BH2617" s="9">
        <f t="shared" si="360"/>
        <v>2238.16</v>
      </c>
      <c r="BI2617" s="9">
        <f t="shared" si="361"/>
        <v>5.6</v>
      </c>
      <c r="BJ2617" s="9">
        <f t="shared" si="362"/>
        <v>8.73</v>
      </c>
      <c r="BK2617" s="9">
        <f t="shared" si="363"/>
        <v>33.590000000000003</v>
      </c>
      <c r="BL2617" s="9">
        <f t="shared" si="364"/>
        <v>470.67</v>
      </c>
      <c r="BM2617" s="9">
        <f t="shared" si="365"/>
        <v>145.624</v>
      </c>
      <c r="BN2617" s="9">
        <f t="shared" si="366"/>
        <v>1533.75</v>
      </c>
      <c r="BO2617" s="9">
        <f t="shared" si="367"/>
        <v>6.43</v>
      </c>
      <c r="BP2617" s="9">
        <f t="shared" si="368"/>
        <v>107.54</v>
      </c>
    </row>
    <row r="2618" spans="1:68">
      <c r="A2618" s="6">
        <v>45006</v>
      </c>
      <c r="B2618" s="7">
        <v>3602</v>
      </c>
      <c r="C2618" s="8">
        <v>563.1</v>
      </c>
      <c r="D2618" s="8"/>
      <c r="E2618" s="8"/>
      <c r="F2618" s="8"/>
      <c r="G2618" s="8">
        <v>844.66</v>
      </c>
      <c r="H2618" s="8"/>
      <c r="I2618" s="8"/>
      <c r="J2618" s="8"/>
      <c r="K2618" s="8"/>
      <c r="L2618" s="8"/>
      <c r="M2618" s="8">
        <v>1.47</v>
      </c>
      <c r="N2618" s="8"/>
      <c r="O2618" s="8"/>
      <c r="P2618" s="8"/>
      <c r="Q2618" s="11"/>
      <c r="R2618" s="11"/>
      <c r="S2618" s="8">
        <v>6.76</v>
      </c>
      <c r="T2618" s="8"/>
      <c r="U2618" s="8">
        <v>11.28</v>
      </c>
      <c r="V2618" s="8">
        <f>859*16.1/1000</f>
        <v>13.829900000000002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11"/>
      <c r="AQ2618" s="8"/>
      <c r="AR2618" s="8"/>
      <c r="AS2618" s="8"/>
      <c r="AT2618" s="8">
        <v>568.05999999999995</v>
      </c>
      <c r="AU2618" s="8"/>
      <c r="AV2618" s="8"/>
      <c r="AW2618" s="8">
        <v>36.42</v>
      </c>
      <c r="AX2618" s="8"/>
      <c r="AY2618" s="8"/>
      <c r="AZ2618" s="8"/>
      <c r="BA2618" s="8"/>
      <c r="BB2618" s="8"/>
      <c r="BC2618" s="8"/>
      <c r="BD2618" s="8"/>
      <c r="BE2618" s="8"/>
      <c r="BF2618" s="8">
        <v>45.1</v>
      </c>
      <c r="BG2618" s="8">
        <v>42.3</v>
      </c>
      <c r="BH2618" s="9">
        <f t="shared" si="360"/>
        <v>1407.76</v>
      </c>
      <c r="BI2618" s="9">
        <f t="shared" si="361"/>
        <v>1.47</v>
      </c>
      <c r="BJ2618" s="9">
        <f t="shared" si="362"/>
        <v>6.76</v>
      </c>
      <c r="BK2618" s="9">
        <f t="shared" si="363"/>
        <v>25.109900000000003</v>
      </c>
      <c r="BL2618" s="9">
        <f t="shared" si="364"/>
        <v>0</v>
      </c>
      <c r="BM2618" s="9">
        <f t="shared" si="365"/>
        <v>0</v>
      </c>
      <c r="BN2618" s="9">
        <f t="shared" si="366"/>
        <v>568.05999999999995</v>
      </c>
      <c r="BO2618" s="9">
        <f t="shared" si="367"/>
        <v>36.42</v>
      </c>
      <c r="BP2618" s="9">
        <f t="shared" si="368"/>
        <v>45.1</v>
      </c>
    </row>
    <row r="2619" spans="1:68">
      <c r="A2619" s="6">
        <v>45006</v>
      </c>
      <c r="B2619" s="7">
        <v>3703</v>
      </c>
      <c r="C2619" s="8">
        <v>423.28</v>
      </c>
      <c r="D2619" s="8">
        <v>282.02</v>
      </c>
      <c r="E2619" s="8"/>
      <c r="F2619" s="8"/>
      <c r="G2619" s="8"/>
      <c r="H2619" s="8"/>
      <c r="I2619" s="8"/>
      <c r="J2619" s="8"/>
      <c r="K2619" s="8"/>
      <c r="L2619" s="8"/>
      <c r="M2619" s="8">
        <v>1.41</v>
      </c>
      <c r="N2619" s="8"/>
      <c r="O2619" s="8"/>
      <c r="P2619" s="8"/>
      <c r="Q2619" s="11"/>
      <c r="R2619" s="11"/>
      <c r="S2619" s="8">
        <v>3.46</v>
      </c>
      <c r="T2619" s="8"/>
      <c r="U2619" s="8">
        <v>5.65</v>
      </c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>
        <v>7.09</v>
      </c>
      <c r="AN2619" s="8"/>
      <c r="AO2619" s="8"/>
      <c r="AP2619" s="11"/>
      <c r="AQ2619" s="8"/>
      <c r="AR2619" s="8"/>
      <c r="AS2619" s="8"/>
      <c r="AT2619" s="8">
        <v>170.8</v>
      </c>
      <c r="AU2619" s="8">
        <v>85.5</v>
      </c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>
        <v>17.95</v>
      </c>
      <c r="BH2619" s="9">
        <f t="shared" si="360"/>
        <v>705.3</v>
      </c>
      <c r="BI2619" s="9">
        <f t="shared" si="361"/>
        <v>1.41</v>
      </c>
      <c r="BJ2619" s="9">
        <f t="shared" si="362"/>
        <v>3.46</v>
      </c>
      <c r="BK2619" s="9">
        <f t="shared" si="363"/>
        <v>5.65</v>
      </c>
      <c r="BL2619" s="9">
        <f t="shared" si="364"/>
        <v>0</v>
      </c>
      <c r="BM2619" s="9">
        <f t="shared" si="365"/>
        <v>7.09</v>
      </c>
      <c r="BN2619" s="9">
        <f t="shared" si="366"/>
        <v>256.3</v>
      </c>
      <c r="BO2619" s="9">
        <f t="shared" si="367"/>
        <v>0</v>
      </c>
      <c r="BP2619" s="9">
        <f t="shared" si="368"/>
        <v>0</v>
      </c>
    </row>
    <row r="2620" spans="1:68">
      <c r="A2620" s="6">
        <v>45006</v>
      </c>
      <c r="B2620" s="7">
        <v>3503</v>
      </c>
      <c r="C2620" s="8">
        <v>531</v>
      </c>
      <c r="D2620" s="8">
        <v>798.24</v>
      </c>
      <c r="E2620" s="8"/>
      <c r="F2620" s="8"/>
      <c r="G2620" s="8"/>
      <c r="H2620" s="8"/>
      <c r="I2620" s="8"/>
      <c r="J2620" s="8"/>
      <c r="K2620" s="8"/>
      <c r="L2620" s="8"/>
      <c r="M2620" s="8">
        <v>2</v>
      </c>
      <c r="N2620" s="8">
        <v>1.99</v>
      </c>
      <c r="O2620" s="8"/>
      <c r="P2620" s="8"/>
      <c r="Q2620" s="11"/>
      <c r="R2620" s="11"/>
      <c r="S2620" s="8">
        <v>5.46</v>
      </c>
      <c r="T2620" s="8"/>
      <c r="U2620" s="8">
        <v>13.31</v>
      </c>
      <c r="V2620" s="8"/>
      <c r="W2620" s="8"/>
      <c r="X2620" s="8"/>
      <c r="Y2620" s="8"/>
      <c r="Z2620" s="8">
        <v>252.86</v>
      </c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11"/>
      <c r="AQ2620" s="8"/>
      <c r="AR2620" s="8"/>
      <c r="AS2620" s="8"/>
      <c r="AT2620" s="8">
        <v>436.09</v>
      </c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>
        <v>33.31</v>
      </c>
      <c r="BH2620" s="9">
        <f t="shared" si="360"/>
        <v>1329.24</v>
      </c>
      <c r="BI2620" s="9">
        <f t="shared" si="361"/>
        <v>3.99</v>
      </c>
      <c r="BJ2620" s="9">
        <f t="shared" si="362"/>
        <v>5.46</v>
      </c>
      <c r="BK2620" s="9">
        <f t="shared" si="363"/>
        <v>13.31</v>
      </c>
      <c r="BL2620" s="9">
        <f t="shared" si="364"/>
        <v>252.86</v>
      </c>
      <c r="BM2620" s="9">
        <f t="shared" si="365"/>
        <v>0</v>
      </c>
      <c r="BN2620" s="9">
        <f t="shared" si="366"/>
        <v>436.09</v>
      </c>
      <c r="BO2620" s="9">
        <f t="shared" si="367"/>
        <v>0</v>
      </c>
      <c r="BP2620" s="9">
        <f t="shared" si="368"/>
        <v>0</v>
      </c>
    </row>
    <row r="2621" spans="1:68">
      <c r="A2621" s="6">
        <v>45006</v>
      </c>
      <c r="B2621" s="7">
        <v>3141</v>
      </c>
      <c r="C2621" s="8">
        <v>2502.56</v>
      </c>
      <c r="D2621" s="8">
        <v>441.81</v>
      </c>
      <c r="E2621" s="8"/>
      <c r="F2621" s="8"/>
      <c r="G2621" s="8"/>
      <c r="H2621" s="8"/>
      <c r="I2621" s="8"/>
      <c r="J2621" s="8"/>
      <c r="K2621" s="8"/>
      <c r="L2621" s="8"/>
      <c r="M2621" s="8">
        <v>8.0399999999999991</v>
      </c>
      <c r="N2621" s="8"/>
      <c r="O2621" s="8"/>
      <c r="P2621" s="8"/>
      <c r="Q2621" s="11"/>
      <c r="R2621" s="11"/>
      <c r="S2621" s="8">
        <v>13.86</v>
      </c>
      <c r="T2621" s="8"/>
      <c r="U2621" s="8">
        <v>44.21</v>
      </c>
      <c r="V2621" s="8"/>
      <c r="W2621" s="8"/>
      <c r="X2621" s="8"/>
      <c r="Y2621" s="8"/>
      <c r="Z2621" s="8"/>
      <c r="AA2621" s="8"/>
      <c r="AB2621" s="8"/>
      <c r="AC2621" s="8">
        <v>11.79</v>
      </c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11"/>
      <c r="AQ2621" s="8"/>
      <c r="AR2621" s="8"/>
      <c r="AS2621" s="8"/>
      <c r="AT2621" s="8">
        <v>1949.44</v>
      </c>
      <c r="AU2621" s="8"/>
      <c r="AV2621" s="8"/>
      <c r="AW2621" s="8"/>
      <c r="AX2621" s="8"/>
      <c r="AY2621" s="8"/>
      <c r="AZ2621" s="8"/>
      <c r="BA2621" s="8">
        <v>67.52</v>
      </c>
      <c r="BB2621" s="8"/>
      <c r="BC2621" s="8"/>
      <c r="BD2621" s="8"/>
      <c r="BE2621" s="8"/>
      <c r="BF2621" s="8">
        <v>206.25</v>
      </c>
      <c r="BG2621" s="8">
        <v>153.08000000000001</v>
      </c>
      <c r="BH2621" s="9">
        <f t="shared" si="360"/>
        <v>2944.37</v>
      </c>
      <c r="BI2621" s="9">
        <f t="shared" si="361"/>
        <v>8.0399999999999991</v>
      </c>
      <c r="BJ2621" s="9">
        <f t="shared" si="362"/>
        <v>13.86</v>
      </c>
      <c r="BK2621" s="9">
        <f t="shared" si="363"/>
        <v>44.21</v>
      </c>
      <c r="BL2621" s="9">
        <f t="shared" si="364"/>
        <v>0</v>
      </c>
      <c r="BM2621" s="9">
        <f t="shared" si="365"/>
        <v>11.79</v>
      </c>
      <c r="BN2621" s="9">
        <f t="shared" si="366"/>
        <v>1949.44</v>
      </c>
      <c r="BO2621" s="9">
        <f t="shared" si="367"/>
        <v>67.52</v>
      </c>
      <c r="BP2621" s="9">
        <f t="shared" si="368"/>
        <v>206.25</v>
      </c>
    </row>
    <row r="2622" spans="1:68">
      <c r="A2622" s="6">
        <v>45006</v>
      </c>
      <c r="B2622" s="7">
        <v>3106</v>
      </c>
      <c r="C2622" s="8">
        <v>8176.25</v>
      </c>
      <c r="D2622" s="8"/>
      <c r="E2622" s="8"/>
      <c r="F2622" s="8"/>
      <c r="G2622" s="8"/>
      <c r="H2622" s="8"/>
      <c r="I2622" s="8"/>
      <c r="J2622" s="8"/>
      <c r="K2622" s="8"/>
      <c r="L2622" s="8"/>
      <c r="M2622" s="8">
        <v>20.46</v>
      </c>
      <c r="N2622" s="8"/>
      <c r="O2622" s="8"/>
      <c r="P2622" s="8"/>
      <c r="Q2622" s="11"/>
      <c r="R2622" s="11"/>
      <c r="S2622" s="8">
        <v>24.55</v>
      </c>
      <c r="T2622" s="8"/>
      <c r="U2622" s="8">
        <v>103.94</v>
      </c>
      <c r="V2622" s="8"/>
      <c r="W2622" s="8"/>
      <c r="X2622" s="8"/>
      <c r="Y2622" s="8"/>
      <c r="Z2622" s="8"/>
      <c r="AA2622" s="8"/>
      <c r="AB2622" s="8"/>
      <c r="AC2622" s="8">
        <v>20.45</v>
      </c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11"/>
      <c r="AQ2622" s="8"/>
      <c r="AR2622" s="8"/>
      <c r="AS2622" s="8"/>
      <c r="AT2622" s="8">
        <v>4659.96</v>
      </c>
      <c r="AU2622" s="8"/>
      <c r="AV2622" s="8"/>
      <c r="AW2622" s="8"/>
      <c r="AX2622" s="8">
        <v>10.24</v>
      </c>
      <c r="AY2622" s="8"/>
      <c r="AZ2622" s="8"/>
      <c r="BA2622" s="8"/>
      <c r="BB2622" s="8"/>
      <c r="BC2622" s="8"/>
      <c r="BD2622" s="8"/>
      <c r="BE2622" s="8"/>
      <c r="BF2622" s="8"/>
      <c r="BG2622" s="8">
        <v>351.44</v>
      </c>
      <c r="BH2622" s="9">
        <f t="shared" si="360"/>
        <v>8176.25</v>
      </c>
      <c r="BI2622" s="9">
        <f t="shared" si="361"/>
        <v>20.46</v>
      </c>
      <c r="BJ2622" s="9">
        <f t="shared" si="362"/>
        <v>24.55</v>
      </c>
      <c r="BK2622" s="9">
        <f t="shared" si="363"/>
        <v>103.94</v>
      </c>
      <c r="BL2622" s="9">
        <f t="shared" si="364"/>
        <v>0</v>
      </c>
      <c r="BM2622" s="9">
        <f t="shared" si="365"/>
        <v>20.45</v>
      </c>
      <c r="BN2622" s="9">
        <f t="shared" si="366"/>
        <v>4659.96</v>
      </c>
      <c r="BO2622" s="9">
        <f t="shared" si="367"/>
        <v>10.24</v>
      </c>
      <c r="BP2622" s="9">
        <f t="shared" si="368"/>
        <v>0</v>
      </c>
    </row>
    <row r="2623" spans="1:68">
      <c r="A2623" s="6">
        <v>45006</v>
      </c>
      <c r="B2623" s="7">
        <v>3116</v>
      </c>
      <c r="C2623" s="8">
        <v>1511.54</v>
      </c>
      <c r="D2623" s="8"/>
      <c r="E2623" s="8"/>
      <c r="F2623" s="8"/>
      <c r="G2623" s="8"/>
      <c r="H2623" s="8"/>
      <c r="I2623" s="8"/>
      <c r="J2623" s="8"/>
      <c r="K2623" s="8"/>
      <c r="L2623" s="8"/>
      <c r="M2623" s="8">
        <v>3.03</v>
      </c>
      <c r="N2623" s="8"/>
      <c r="O2623" s="8"/>
      <c r="P2623" s="8"/>
      <c r="Q2623" s="11"/>
      <c r="R2623" s="11"/>
      <c r="S2623" s="8">
        <v>6.51</v>
      </c>
      <c r="T2623" s="8"/>
      <c r="U2623" s="8">
        <v>22.21</v>
      </c>
      <c r="V2623" s="8"/>
      <c r="W2623" s="8"/>
      <c r="X2623" s="8"/>
      <c r="Y2623" s="8"/>
      <c r="Z2623" s="8"/>
      <c r="AA2623" s="8"/>
      <c r="AB2623" s="8"/>
      <c r="AC2623" s="8">
        <v>6.05</v>
      </c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11"/>
      <c r="AQ2623" s="8">
        <f>1420*10.8/1000</f>
        <v>15.336000000000002</v>
      </c>
      <c r="AR2623" s="8"/>
      <c r="AS2623" s="8"/>
      <c r="AT2623" s="8">
        <v>924.49</v>
      </c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>
        <v>60.49</v>
      </c>
      <c r="BG2623" s="8">
        <v>68.83</v>
      </c>
      <c r="BH2623" s="9">
        <f t="shared" si="360"/>
        <v>1511.54</v>
      </c>
      <c r="BI2623" s="9">
        <f t="shared" si="361"/>
        <v>3.03</v>
      </c>
      <c r="BJ2623" s="9">
        <f t="shared" si="362"/>
        <v>6.51</v>
      </c>
      <c r="BK2623" s="9">
        <f t="shared" si="363"/>
        <v>22.21</v>
      </c>
      <c r="BL2623" s="9">
        <f t="shared" si="364"/>
        <v>0</v>
      </c>
      <c r="BM2623" s="9">
        <f t="shared" si="365"/>
        <v>21.386000000000003</v>
      </c>
      <c r="BN2623" s="9">
        <f t="shared" si="366"/>
        <v>924.49</v>
      </c>
      <c r="BO2623" s="9">
        <f t="shared" si="367"/>
        <v>0</v>
      </c>
      <c r="BP2623" s="9">
        <f t="shared" si="368"/>
        <v>60.49</v>
      </c>
    </row>
    <row r="2624" spans="1:68">
      <c r="A2624" s="6">
        <v>45006</v>
      </c>
      <c r="B2624" s="7">
        <v>3081</v>
      </c>
      <c r="C2624" s="8"/>
      <c r="D2624" s="8">
        <v>292.83999999999997</v>
      </c>
      <c r="E2624" s="8"/>
      <c r="F2624" s="8">
        <v>329.79</v>
      </c>
      <c r="G2624" s="8"/>
      <c r="H2624" s="8"/>
      <c r="I2624" s="8">
        <v>1203.1400000000001</v>
      </c>
      <c r="J2624" s="8"/>
      <c r="K2624" s="8"/>
      <c r="L2624" s="8"/>
      <c r="M2624" s="8"/>
      <c r="N2624" s="8">
        <v>13.39</v>
      </c>
      <c r="O2624" s="8"/>
      <c r="P2624" s="8">
        <f>633*11.83/1000</f>
        <v>7.4883900000000008</v>
      </c>
      <c r="Q2624" s="11"/>
      <c r="R2624" s="11"/>
      <c r="S2624" s="8">
        <v>1.28</v>
      </c>
      <c r="T2624" s="8"/>
      <c r="U2624" s="8"/>
      <c r="V2624" s="8"/>
      <c r="W2624" s="8">
        <v>18.34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11"/>
      <c r="AQ2624" s="8"/>
      <c r="AR2624" s="8"/>
      <c r="AS2624" s="8"/>
      <c r="AT2624" s="8">
        <v>573.14</v>
      </c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>
        <v>38.08</v>
      </c>
      <c r="BH2624" s="9">
        <f t="shared" si="360"/>
        <v>1825.77</v>
      </c>
      <c r="BI2624" s="9">
        <f t="shared" si="361"/>
        <v>20.878390000000003</v>
      </c>
      <c r="BJ2624" s="9">
        <f t="shared" si="362"/>
        <v>1.28</v>
      </c>
      <c r="BK2624" s="9">
        <f t="shared" si="363"/>
        <v>18.34</v>
      </c>
      <c r="BL2624" s="9">
        <f t="shared" si="364"/>
        <v>0</v>
      </c>
      <c r="BM2624" s="9">
        <f t="shared" si="365"/>
        <v>0</v>
      </c>
      <c r="BN2624" s="9">
        <f t="shared" si="366"/>
        <v>573.14</v>
      </c>
      <c r="BO2624" s="9">
        <f t="shared" si="367"/>
        <v>0</v>
      </c>
      <c r="BP2624" s="9">
        <f t="shared" si="368"/>
        <v>0</v>
      </c>
    </row>
    <row r="2625" spans="1:68">
      <c r="A2625" s="6">
        <v>45006</v>
      </c>
      <c r="B2625" s="7">
        <v>3024</v>
      </c>
      <c r="C2625" s="8"/>
      <c r="D2625" s="8">
        <v>631.67999999999995</v>
      </c>
      <c r="E2625" s="8"/>
      <c r="F2625" s="8"/>
      <c r="G2625" s="8"/>
      <c r="H2625" s="8"/>
      <c r="I2625" s="8">
        <v>631.5</v>
      </c>
      <c r="J2625" s="8"/>
      <c r="K2625" s="8"/>
      <c r="L2625" s="8"/>
      <c r="M2625" s="8"/>
      <c r="N2625" s="8">
        <v>7.58</v>
      </c>
      <c r="O2625" s="8"/>
      <c r="P2625" s="8"/>
      <c r="Q2625" s="11"/>
      <c r="R2625" s="11"/>
      <c r="S2625" s="8">
        <v>2.0299999999999998</v>
      </c>
      <c r="T2625" s="8"/>
      <c r="U2625" s="8"/>
      <c r="V2625" s="8"/>
      <c r="W2625" s="8">
        <v>10.119999999999999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>
        <v>12.61</v>
      </c>
      <c r="AN2625" s="8">
        <f>859*10.52/1000</f>
        <v>9.0366800000000005</v>
      </c>
      <c r="AO2625" s="8"/>
      <c r="AP2625" s="11"/>
      <c r="AQ2625" s="8"/>
      <c r="AR2625" s="8"/>
      <c r="AS2625" s="8">
        <f>3971*10.52/1000</f>
        <v>41.774920000000002</v>
      </c>
      <c r="AT2625" s="8">
        <v>485.66</v>
      </c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>
        <v>35.42</v>
      </c>
      <c r="BH2625" s="9">
        <f t="shared" si="360"/>
        <v>1263.1799999999998</v>
      </c>
      <c r="BI2625" s="9">
        <f t="shared" si="361"/>
        <v>7.58</v>
      </c>
      <c r="BJ2625" s="9">
        <f t="shared" si="362"/>
        <v>2.0299999999999998</v>
      </c>
      <c r="BK2625" s="9">
        <f t="shared" si="363"/>
        <v>10.119999999999999</v>
      </c>
      <c r="BL2625" s="9">
        <f t="shared" si="364"/>
        <v>0</v>
      </c>
      <c r="BM2625" s="9">
        <f t="shared" si="365"/>
        <v>63.421599999999998</v>
      </c>
      <c r="BN2625" s="9">
        <f t="shared" si="366"/>
        <v>485.66</v>
      </c>
      <c r="BO2625" s="9">
        <f t="shared" si="367"/>
        <v>0</v>
      </c>
      <c r="BP2625" s="9">
        <f t="shared" si="368"/>
        <v>0</v>
      </c>
    </row>
    <row r="2626" spans="1:68">
      <c r="A2626" s="6">
        <v>45006</v>
      </c>
      <c r="B2626" s="7">
        <v>3028</v>
      </c>
      <c r="C2626" s="8"/>
      <c r="D2626" s="8">
        <v>393.39</v>
      </c>
      <c r="E2626" s="8"/>
      <c r="F2626" s="8">
        <v>361.13</v>
      </c>
      <c r="G2626" s="8"/>
      <c r="H2626" s="8"/>
      <c r="I2626" s="8">
        <v>816.66</v>
      </c>
      <c r="J2626" s="8"/>
      <c r="K2626" s="8"/>
      <c r="L2626" s="8"/>
      <c r="M2626" s="8"/>
      <c r="N2626" s="8">
        <v>12.09</v>
      </c>
      <c r="O2626" s="8"/>
      <c r="P2626" s="8"/>
      <c r="Q2626" s="11"/>
      <c r="R2626" s="11"/>
      <c r="S2626" s="8">
        <v>2.2000000000000002</v>
      </c>
      <c r="T2626" s="8"/>
      <c r="U2626" s="8"/>
      <c r="V2626" s="8"/>
      <c r="W2626" s="8">
        <v>11.78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>
        <v>15.67</v>
      </c>
      <c r="AN2626" s="8">
        <f>1049*10.47/1000</f>
        <v>10.983030000000001</v>
      </c>
      <c r="AO2626" s="8"/>
      <c r="AP2626" s="11"/>
      <c r="AQ2626" s="8"/>
      <c r="AR2626" s="8"/>
      <c r="AS2626" s="8">
        <f>4937*10.47/1000</f>
        <v>51.690390000000008</v>
      </c>
      <c r="AT2626" s="8">
        <v>525.5</v>
      </c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>
        <v>35.76</v>
      </c>
      <c r="BH2626" s="9">
        <f t="shared" si="360"/>
        <v>1571.1799999999998</v>
      </c>
      <c r="BI2626" s="9">
        <f t="shared" si="361"/>
        <v>12.09</v>
      </c>
      <c r="BJ2626" s="9">
        <f t="shared" si="362"/>
        <v>2.2000000000000002</v>
      </c>
      <c r="BK2626" s="9">
        <f t="shared" si="363"/>
        <v>11.78</v>
      </c>
      <c r="BL2626" s="9">
        <f t="shared" si="364"/>
        <v>0</v>
      </c>
      <c r="BM2626" s="9">
        <f t="shared" si="365"/>
        <v>78.343420000000009</v>
      </c>
      <c r="BN2626" s="9">
        <f t="shared" si="366"/>
        <v>525.5</v>
      </c>
      <c r="BO2626" s="9">
        <f t="shared" si="367"/>
        <v>0</v>
      </c>
      <c r="BP2626" s="9">
        <f t="shared" si="368"/>
        <v>0</v>
      </c>
    </row>
    <row r="2627" spans="1:68">
      <c r="A2627" s="6">
        <v>45006</v>
      </c>
      <c r="B2627" s="7">
        <v>3013</v>
      </c>
      <c r="C2627" s="8">
        <v>1073.0999999999999</v>
      </c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>
        <v>2.15</v>
      </c>
      <c r="O2627" s="8"/>
      <c r="P2627" s="8"/>
      <c r="Q2627" s="11"/>
      <c r="R2627" s="11"/>
      <c r="S2627" s="8">
        <v>2.4700000000000002</v>
      </c>
      <c r="T2627" s="8"/>
      <c r="U2627" s="8"/>
      <c r="V2627" s="8"/>
      <c r="W2627" s="8">
        <v>10.74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11"/>
      <c r="AQ2627" s="8"/>
      <c r="AR2627" s="8"/>
      <c r="AS2627" s="8"/>
      <c r="AT2627" s="8">
        <v>370.39</v>
      </c>
      <c r="AU2627" s="8"/>
      <c r="AV2627" s="8"/>
      <c r="AW2627" s="8">
        <v>11.92</v>
      </c>
      <c r="AX2627" s="8"/>
      <c r="AY2627" s="8"/>
      <c r="AZ2627" s="8"/>
      <c r="BA2627" s="8"/>
      <c r="BB2627" s="8"/>
      <c r="BC2627" s="8"/>
      <c r="BD2627" s="8"/>
      <c r="BE2627" s="8"/>
      <c r="BF2627" s="8"/>
      <c r="BG2627" s="8">
        <v>24.72</v>
      </c>
      <c r="BH2627" s="9">
        <f t="shared" si="360"/>
        <v>1073.0999999999999</v>
      </c>
      <c r="BI2627" s="9">
        <f t="shared" si="361"/>
        <v>2.15</v>
      </c>
      <c r="BJ2627" s="9">
        <f t="shared" si="362"/>
        <v>2.4700000000000002</v>
      </c>
      <c r="BK2627" s="9">
        <f t="shared" si="363"/>
        <v>10.74</v>
      </c>
      <c r="BL2627" s="9">
        <f t="shared" si="364"/>
        <v>0</v>
      </c>
      <c r="BM2627" s="9">
        <f t="shared" si="365"/>
        <v>0</v>
      </c>
      <c r="BN2627" s="9">
        <f t="shared" si="366"/>
        <v>370.39</v>
      </c>
      <c r="BO2627" s="9">
        <f t="shared" si="367"/>
        <v>11.92</v>
      </c>
      <c r="BP2627" s="9">
        <f t="shared" si="368"/>
        <v>0</v>
      </c>
    </row>
    <row r="2628" spans="1:68">
      <c r="A2628" s="6">
        <v>45008</v>
      </c>
      <c r="B2628" s="7">
        <v>8090</v>
      </c>
      <c r="C2628" s="8">
        <v>1483.46</v>
      </c>
      <c r="D2628" s="8"/>
      <c r="E2628" s="8"/>
      <c r="F2628" s="8"/>
      <c r="G2628" s="8"/>
      <c r="H2628" s="8"/>
      <c r="I2628" s="8"/>
      <c r="J2628" s="8"/>
      <c r="K2628" s="8"/>
      <c r="L2628" s="8"/>
      <c r="M2628" s="8">
        <v>2.67</v>
      </c>
      <c r="N2628" s="8"/>
      <c r="O2628" s="8"/>
      <c r="P2628" s="8"/>
      <c r="Q2628" s="11"/>
      <c r="R2628" s="11"/>
      <c r="S2628" s="8">
        <v>5.34</v>
      </c>
      <c r="T2628" s="8"/>
      <c r="U2628" s="8">
        <v>17.36</v>
      </c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11"/>
      <c r="AQ2628" s="8"/>
      <c r="AR2628" s="8"/>
      <c r="AS2628" s="8"/>
      <c r="AT2628" s="8">
        <v>829.89</v>
      </c>
      <c r="AU2628" s="8"/>
      <c r="AV2628" s="8">
        <v>29.68</v>
      </c>
      <c r="AW2628" s="8"/>
      <c r="AX2628" s="8"/>
      <c r="AY2628" s="8"/>
      <c r="AZ2628" s="8"/>
      <c r="BA2628" s="8"/>
      <c r="BB2628" s="8"/>
      <c r="BC2628" s="8"/>
      <c r="BD2628" s="8"/>
      <c r="BE2628" s="8"/>
      <c r="BF2628" s="8">
        <v>37.04</v>
      </c>
      <c r="BG2628" s="8">
        <v>59.42</v>
      </c>
      <c r="BH2628" s="9">
        <f t="shared" ref="BH2628:BH2691" si="369">SUM(C2628:L2628)</f>
        <v>1483.46</v>
      </c>
      <c r="BI2628" s="9">
        <f t="shared" ref="BI2628:BI2691" si="370">SUM(M2628:R2628)</f>
        <v>2.67</v>
      </c>
      <c r="BJ2628" s="9">
        <f t="shared" ref="BJ2628:BJ2691" si="371">SUM(S2628)</f>
        <v>5.34</v>
      </c>
      <c r="BK2628" s="9">
        <f t="shared" ref="BK2628:BK2691" si="372">SUM(T2628:Y2628)</f>
        <v>17.36</v>
      </c>
      <c r="BL2628" s="9">
        <f t="shared" ref="BL2628:BL2691" si="373">SUM(Z2628:AA2628)</f>
        <v>0</v>
      </c>
      <c r="BM2628" s="9">
        <f t="shared" ref="BM2628:BM2691" si="374">SUM(AB2628:AS2628)</f>
        <v>0</v>
      </c>
      <c r="BN2628" s="9">
        <f t="shared" ref="BN2628:BN2691" si="375">SUM(AT2628:AU2628)</f>
        <v>829.89</v>
      </c>
      <c r="BO2628" s="9">
        <f t="shared" ref="BO2628:BO2691" si="376">SUM(AV2628:BE2628)</f>
        <v>29.68</v>
      </c>
      <c r="BP2628" s="9">
        <f t="shared" ref="BP2628:BP2691" si="377">SUM(BF2628)</f>
        <v>37.04</v>
      </c>
    </row>
    <row r="2629" spans="1:68">
      <c r="A2629" s="6">
        <v>45008</v>
      </c>
      <c r="B2629" s="7">
        <v>3205</v>
      </c>
      <c r="C2629" s="8">
        <v>680.65</v>
      </c>
      <c r="D2629" s="8">
        <v>380.08</v>
      </c>
      <c r="E2629" s="8">
        <v>453.94</v>
      </c>
      <c r="F2629" s="8"/>
      <c r="G2629" s="8"/>
      <c r="H2629" s="8"/>
      <c r="I2629" s="8"/>
      <c r="J2629" s="8"/>
      <c r="K2629" s="8"/>
      <c r="L2629" s="8"/>
      <c r="M2629" s="8"/>
      <c r="N2629" s="8"/>
      <c r="O2629" s="8">
        <v>6.07</v>
      </c>
      <c r="P2629" s="8"/>
      <c r="Q2629" s="11"/>
      <c r="R2629" s="11"/>
      <c r="S2629" s="8">
        <v>5.61</v>
      </c>
      <c r="T2629" s="8"/>
      <c r="U2629" s="8">
        <v>18.21</v>
      </c>
      <c r="V2629" s="8"/>
      <c r="W2629" s="8"/>
      <c r="X2629" s="8"/>
      <c r="Y2629" s="8"/>
      <c r="Z2629" s="8">
        <v>151.65</v>
      </c>
      <c r="AA2629" s="8"/>
      <c r="AB2629" s="8">
        <f>1009*15.15/1000</f>
        <v>15.286350000000001</v>
      </c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11"/>
      <c r="AQ2629" s="8">
        <f>511*15.15/1000</f>
        <v>7.7416500000000008</v>
      </c>
      <c r="AR2629" s="8"/>
      <c r="AS2629" s="8"/>
      <c r="AT2629" s="8">
        <v>394.21</v>
      </c>
      <c r="AU2629" s="8">
        <v>197.41</v>
      </c>
      <c r="AV2629" s="8"/>
      <c r="AW2629" s="8">
        <v>6.52</v>
      </c>
      <c r="AX2629" s="8"/>
      <c r="AY2629" s="8"/>
      <c r="AZ2629" s="8"/>
      <c r="BA2629" s="8"/>
      <c r="BB2629" s="8"/>
      <c r="BC2629" s="8"/>
      <c r="BD2629" s="8"/>
      <c r="BE2629" s="8"/>
      <c r="BF2629" s="8"/>
      <c r="BG2629" s="8">
        <v>35.42</v>
      </c>
      <c r="BH2629" s="9">
        <f t="shared" si="369"/>
        <v>1514.67</v>
      </c>
      <c r="BI2629" s="9">
        <f t="shared" si="370"/>
        <v>6.07</v>
      </c>
      <c r="BJ2629" s="9">
        <f t="shared" si="371"/>
        <v>5.61</v>
      </c>
      <c r="BK2629" s="9">
        <f t="shared" si="372"/>
        <v>18.21</v>
      </c>
      <c r="BL2629" s="9">
        <f t="shared" si="373"/>
        <v>151.65</v>
      </c>
      <c r="BM2629" s="9">
        <f t="shared" si="374"/>
        <v>23.028000000000002</v>
      </c>
      <c r="BN2629" s="9">
        <f t="shared" si="375"/>
        <v>591.62</v>
      </c>
      <c r="BO2629" s="9">
        <f t="shared" si="376"/>
        <v>6.52</v>
      </c>
      <c r="BP2629" s="9">
        <f t="shared" si="377"/>
        <v>0</v>
      </c>
    </row>
    <row r="2630" spans="1:68">
      <c r="A2630" s="6">
        <v>45008</v>
      </c>
      <c r="B2630" s="7">
        <v>3016</v>
      </c>
      <c r="C2630" s="8"/>
      <c r="D2630" s="8">
        <v>2401.16</v>
      </c>
      <c r="E2630" s="8"/>
      <c r="F2630" s="8"/>
      <c r="G2630" s="8"/>
      <c r="H2630" s="8"/>
      <c r="I2630" s="8">
        <v>2214.39</v>
      </c>
      <c r="J2630" s="8"/>
      <c r="K2630" s="8"/>
      <c r="L2630" s="8"/>
      <c r="M2630" s="8"/>
      <c r="N2630" s="8">
        <v>28.62</v>
      </c>
      <c r="O2630" s="8"/>
      <c r="P2630" s="8"/>
      <c r="Q2630" s="11"/>
      <c r="R2630" s="11"/>
      <c r="S2630" s="8">
        <v>3.22</v>
      </c>
      <c r="T2630" s="8"/>
      <c r="U2630" s="8"/>
      <c r="V2630" s="8"/>
      <c r="W2630" s="8">
        <v>46.15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>
        <v>18.47</v>
      </c>
      <c r="AN2630" s="8">
        <f>2048*27.15/1000</f>
        <v>55.603199999999994</v>
      </c>
      <c r="AO2630" s="8"/>
      <c r="AP2630" s="11"/>
      <c r="AQ2630" s="8"/>
      <c r="AR2630" s="8">
        <f>4231*27.15/1000</f>
        <v>114.87164999999999</v>
      </c>
      <c r="AS2630" s="8"/>
      <c r="AT2630" s="8">
        <v>1717.44</v>
      </c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>
        <v>125.3</v>
      </c>
      <c r="BH2630" s="9">
        <f t="shared" si="369"/>
        <v>4615.5499999999993</v>
      </c>
      <c r="BI2630" s="9">
        <f t="shared" si="370"/>
        <v>28.62</v>
      </c>
      <c r="BJ2630" s="9">
        <f t="shared" si="371"/>
        <v>3.22</v>
      </c>
      <c r="BK2630" s="9">
        <f t="shared" si="372"/>
        <v>46.15</v>
      </c>
      <c r="BL2630" s="9">
        <f t="shared" si="373"/>
        <v>0</v>
      </c>
      <c r="BM2630" s="9">
        <f t="shared" si="374"/>
        <v>188.94484999999997</v>
      </c>
      <c r="BN2630" s="9">
        <f t="shared" si="375"/>
        <v>1717.44</v>
      </c>
      <c r="BO2630" s="9">
        <f t="shared" si="376"/>
        <v>0</v>
      </c>
      <c r="BP2630" s="9">
        <f t="shared" si="377"/>
        <v>0</v>
      </c>
    </row>
    <row r="2631" spans="1:68">
      <c r="A2631" s="6">
        <v>45008</v>
      </c>
      <c r="B2631" s="7">
        <v>3106</v>
      </c>
      <c r="C2631" s="8">
        <v>6107.93</v>
      </c>
      <c r="D2631" s="8"/>
      <c r="E2631" s="8"/>
      <c r="F2631" s="8"/>
      <c r="G2631" s="8"/>
      <c r="H2631" s="8"/>
      <c r="I2631" s="8"/>
      <c r="J2631" s="8"/>
      <c r="K2631" s="8"/>
      <c r="L2631" s="8"/>
      <c r="M2631" s="8">
        <v>15.28</v>
      </c>
      <c r="N2631" s="8"/>
      <c r="O2631" s="8"/>
      <c r="P2631" s="8"/>
      <c r="Q2631" s="11"/>
      <c r="R2631" s="11"/>
      <c r="S2631" s="8">
        <v>18.38</v>
      </c>
      <c r="T2631" s="8"/>
      <c r="U2631" s="8">
        <v>77.72</v>
      </c>
      <c r="V2631" s="8"/>
      <c r="W2631" s="8"/>
      <c r="X2631" s="8"/>
      <c r="Y2631" s="8"/>
      <c r="Z2631" s="8"/>
      <c r="AA2631" s="8"/>
      <c r="AB2631" s="8"/>
      <c r="AC2631" s="8">
        <v>15.27</v>
      </c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11"/>
      <c r="AQ2631" s="8"/>
      <c r="AR2631" s="8"/>
      <c r="AS2631" s="8"/>
      <c r="AT2631" s="8">
        <v>3479.39</v>
      </c>
      <c r="AU2631" s="8"/>
      <c r="AV2631" s="8"/>
      <c r="AW2631" s="8"/>
      <c r="AX2631" s="8">
        <v>7.64</v>
      </c>
      <c r="AY2631" s="8"/>
      <c r="AZ2631" s="8"/>
      <c r="BA2631" s="8"/>
      <c r="BB2631" s="8"/>
      <c r="BC2631" s="8"/>
      <c r="BD2631" s="8"/>
      <c r="BE2631" s="8"/>
      <c r="BF2631" s="8"/>
      <c r="BG2631" s="8">
        <v>263.02</v>
      </c>
      <c r="BH2631" s="9">
        <f t="shared" si="369"/>
        <v>6107.93</v>
      </c>
      <c r="BI2631" s="9">
        <f t="shared" si="370"/>
        <v>15.28</v>
      </c>
      <c r="BJ2631" s="9">
        <f t="shared" si="371"/>
        <v>18.38</v>
      </c>
      <c r="BK2631" s="9">
        <f t="shared" si="372"/>
        <v>77.72</v>
      </c>
      <c r="BL2631" s="9">
        <f t="shared" si="373"/>
        <v>0</v>
      </c>
      <c r="BM2631" s="9">
        <f t="shared" si="374"/>
        <v>15.27</v>
      </c>
      <c r="BN2631" s="9">
        <f t="shared" si="375"/>
        <v>3479.39</v>
      </c>
      <c r="BO2631" s="9">
        <f t="shared" si="376"/>
        <v>7.64</v>
      </c>
      <c r="BP2631" s="9">
        <f t="shared" si="377"/>
        <v>0</v>
      </c>
    </row>
    <row r="2632" spans="1:68">
      <c r="A2632" s="6">
        <v>45008</v>
      </c>
      <c r="B2632" s="7">
        <v>3141</v>
      </c>
      <c r="C2632" s="8">
        <v>2395.39</v>
      </c>
      <c r="D2632" s="8">
        <v>422.75</v>
      </c>
      <c r="E2632" s="8"/>
      <c r="F2632" s="8"/>
      <c r="G2632" s="8"/>
      <c r="H2632" s="8"/>
      <c r="I2632" s="8"/>
      <c r="J2632" s="8"/>
      <c r="K2632" s="8"/>
      <c r="L2632" s="8"/>
      <c r="M2632" s="8">
        <v>7.76</v>
      </c>
      <c r="N2632" s="8"/>
      <c r="O2632" s="8"/>
      <c r="P2632" s="8"/>
      <c r="Q2632" s="11"/>
      <c r="R2632" s="11"/>
      <c r="S2632" s="8">
        <v>13.26</v>
      </c>
      <c r="T2632" s="8"/>
      <c r="U2632" s="8">
        <v>42.29</v>
      </c>
      <c r="V2632" s="8"/>
      <c r="W2632" s="8"/>
      <c r="X2632" s="8"/>
      <c r="Y2632" s="8"/>
      <c r="Z2632" s="8"/>
      <c r="AA2632" s="8"/>
      <c r="AB2632" s="8"/>
      <c r="AC2632" s="8">
        <v>11.28</v>
      </c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11"/>
      <c r="AQ2632" s="8"/>
      <c r="AR2632" s="8"/>
      <c r="AS2632" s="8"/>
      <c r="AT2632" s="8">
        <v>1857.86</v>
      </c>
      <c r="AU2632" s="8"/>
      <c r="AV2632" s="8"/>
      <c r="AW2632" s="8"/>
      <c r="AX2632" s="8"/>
      <c r="AY2632" s="8"/>
      <c r="AZ2632" s="8"/>
      <c r="BA2632" s="8">
        <v>64.62</v>
      </c>
      <c r="BB2632" s="8"/>
      <c r="BC2632" s="8"/>
      <c r="BD2632" s="8"/>
      <c r="BE2632" s="8"/>
      <c r="BF2632" s="8">
        <v>197.38</v>
      </c>
      <c r="BG2632" s="8">
        <v>146.46</v>
      </c>
      <c r="BH2632" s="9">
        <f t="shared" si="369"/>
        <v>2818.14</v>
      </c>
      <c r="BI2632" s="9">
        <f t="shared" si="370"/>
        <v>7.76</v>
      </c>
      <c r="BJ2632" s="9">
        <f t="shared" si="371"/>
        <v>13.26</v>
      </c>
      <c r="BK2632" s="9">
        <f t="shared" si="372"/>
        <v>42.29</v>
      </c>
      <c r="BL2632" s="9">
        <f t="shared" si="373"/>
        <v>0</v>
      </c>
      <c r="BM2632" s="9">
        <f t="shared" si="374"/>
        <v>11.28</v>
      </c>
      <c r="BN2632" s="9">
        <f t="shared" si="375"/>
        <v>1857.86</v>
      </c>
      <c r="BO2632" s="9">
        <f t="shared" si="376"/>
        <v>64.62</v>
      </c>
      <c r="BP2632" s="9">
        <f t="shared" si="377"/>
        <v>197.38</v>
      </c>
    </row>
    <row r="2633" spans="1:68">
      <c r="A2633" s="6">
        <v>45009</v>
      </c>
      <c r="B2633" s="7">
        <v>3145</v>
      </c>
      <c r="C2633" s="8">
        <v>1237.19</v>
      </c>
      <c r="D2633" s="8">
        <v>218.37</v>
      </c>
      <c r="E2633" s="8"/>
      <c r="F2633" s="8"/>
      <c r="G2633" s="8"/>
      <c r="H2633" s="8"/>
      <c r="I2633" s="8"/>
      <c r="J2633" s="8"/>
      <c r="K2633" s="8"/>
      <c r="L2633" s="8"/>
      <c r="M2633" s="8">
        <v>4.03</v>
      </c>
      <c r="N2633" s="8"/>
      <c r="O2633" s="8"/>
      <c r="P2633" s="8"/>
      <c r="Q2633" s="11"/>
      <c r="R2633" s="11"/>
      <c r="S2633" s="8">
        <v>6.85</v>
      </c>
      <c r="T2633" s="8"/>
      <c r="U2633" s="8">
        <v>21.85</v>
      </c>
      <c r="V2633" s="8"/>
      <c r="W2633" s="8"/>
      <c r="X2633" s="8"/>
      <c r="Y2633" s="8"/>
      <c r="Z2633" s="8"/>
      <c r="AA2633" s="8"/>
      <c r="AB2633" s="8"/>
      <c r="AC2633" s="8">
        <v>5.83</v>
      </c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11"/>
      <c r="AQ2633" s="8"/>
      <c r="AR2633" s="8"/>
      <c r="AS2633" s="8"/>
      <c r="AT2633" s="8">
        <v>966.32</v>
      </c>
      <c r="AU2633" s="8"/>
      <c r="AV2633" s="8"/>
      <c r="AW2633" s="8"/>
      <c r="AX2633" s="8"/>
      <c r="AY2633" s="8"/>
      <c r="AZ2633" s="8"/>
      <c r="BA2633" s="8"/>
      <c r="BB2633" s="8"/>
      <c r="BC2633" s="8"/>
      <c r="BD2633" s="8">
        <v>3.64</v>
      </c>
      <c r="BE2633" s="8">
        <v>13.23</v>
      </c>
      <c r="BF2633" s="8">
        <v>101.99</v>
      </c>
      <c r="BG2633" s="8">
        <v>75.55</v>
      </c>
      <c r="BH2633" s="9">
        <f t="shared" si="369"/>
        <v>1455.56</v>
      </c>
      <c r="BI2633" s="9">
        <f t="shared" si="370"/>
        <v>4.03</v>
      </c>
      <c r="BJ2633" s="9">
        <f t="shared" si="371"/>
        <v>6.85</v>
      </c>
      <c r="BK2633" s="9">
        <f t="shared" si="372"/>
        <v>21.85</v>
      </c>
      <c r="BL2633" s="9">
        <f t="shared" si="373"/>
        <v>0</v>
      </c>
      <c r="BM2633" s="9">
        <f t="shared" si="374"/>
        <v>5.83</v>
      </c>
      <c r="BN2633" s="9">
        <f t="shared" si="375"/>
        <v>966.32</v>
      </c>
      <c r="BO2633" s="9">
        <f t="shared" si="376"/>
        <v>16.87</v>
      </c>
      <c r="BP2633" s="9">
        <f t="shared" si="377"/>
        <v>101.99</v>
      </c>
    </row>
    <row r="2634" spans="1:68">
      <c r="A2634" s="6">
        <v>45009</v>
      </c>
      <c r="B2634" s="7">
        <v>3141</v>
      </c>
      <c r="C2634" s="8">
        <v>2365.9299999999998</v>
      </c>
      <c r="D2634" s="8">
        <v>417.48</v>
      </c>
      <c r="E2634" s="8"/>
      <c r="F2634" s="8"/>
      <c r="G2634" s="8"/>
      <c r="H2634" s="8"/>
      <c r="I2634" s="8"/>
      <c r="J2634" s="8"/>
      <c r="K2634" s="8"/>
      <c r="L2634" s="8"/>
      <c r="M2634" s="8">
        <v>7.59</v>
      </c>
      <c r="N2634" s="8"/>
      <c r="O2634" s="8"/>
      <c r="P2634" s="8"/>
      <c r="Q2634" s="11"/>
      <c r="R2634" s="11"/>
      <c r="S2634" s="8">
        <v>13.09</v>
      </c>
      <c r="T2634" s="8"/>
      <c r="U2634" s="8">
        <v>41.77</v>
      </c>
      <c r="V2634" s="8"/>
      <c r="W2634" s="8"/>
      <c r="X2634" s="8"/>
      <c r="Y2634" s="8"/>
      <c r="Z2634" s="8"/>
      <c r="AA2634" s="8"/>
      <c r="AB2634" s="8"/>
      <c r="AC2634" s="8">
        <v>11.13</v>
      </c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11"/>
      <c r="AQ2634" s="8"/>
      <c r="AR2634" s="8"/>
      <c r="AS2634" s="8"/>
      <c r="AT2634" s="8">
        <v>1845.29</v>
      </c>
      <c r="AU2634" s="8"/>
      <c r="AV2634" s="8"/>
      <c r="AW2634" s="8"/>
      <c r="AX2634" s="8"/>
      <c r="AY2634" s="8"/>
      <c r="AZ2634" s="8"/>
      <c r="BA2634" s="8">
        <v>63.73</v>
      </c>
      <c r="BB2634" s="8"/>
      <c r="BC2634" s="8"/>
      <c r="BD2634" s="8"/>
      <c r="BE2634" s="8"/>
      <c r="BF2634" s="8">
        <v>194.84</v>
      </c>
      <c r="BG2634" s="8">
        <v>145.02000000000001</v>
      </c>
      <c r="BH2634" s="9">
        <f t="shared" si="369"/>
        <v>2783.41</v>
      </c>
      <c r="BI2634" s="9">
        <f t="shared" si="370"/>
        <v>7.59</v>
      </c>
      <c r="BJ2634" s="9">
        <f t="shared" si="371"/>
        <v>13.09</v>
      </c>
      <c r="BK2634" s="9">
        <f t="shared" si="372"/>
        <v>41.77</v>
      </c>
      <c r="BL2634" s="9">
        <f t="shared" si="373"/>
        <v>0</v>
      </c>
      <c r="BM2634" s="9">
        <f t="shared" si="374"/>
        <v>11.13</v>
      </c>
      <c r="BN2634" s="9">
        <f t="shared" si="375"/>
        <v>1845.29</v>
      </c>
      <c r="BO2634" s="9">
        <f t="shared" si="376"/>
        <v>63.73</v>
      </c>
      <c r="BP2634" s="9">
        <f t="shared" si="377"/>
        <v>194.84</v>
      </c>
    </row>
    <row r="2635" spans="1:68">
      <c r="A2635" s="6">
        <v>45009</v>
      </c>
      <c r="B2635" s="7">
        <v>3405</v>
      </c>
      <c r="C2635" s="8">
        <v>1158.8</v>
      </c>
      <c r="D2635" s="8">
        <v>288.61</v>
      </c>
      <c r="E2635" s="8"/>
      <c r="F2635" s="8"/>
      <c r="G2635" s="8"/>
      <c r="H2635" s="8"/>
      <c r="I2635" s="8"/>
      <c r="J2635" s="8"/>
      <c r="K2635" s="8"/>
      <c r="L2635" s="8"/>
      <c r="M2635" s="8">
        <v>3.04</v>
      </c>
      <c r="N2635" s="8"/>
      <c r="O2635" s="8"/>
      <c r="P2635" s="8"/>
      <c r="Q2635" s="11"/>
      <c r="R2635" s="11"/>
      <c r="S2635" s="8">
        <v>3.33</v>
      </c>
      <c r="T2635" s="8"/>
      <c r="U2635" s="8"/>
      <c r="V2635" s="8"/>
      <c r="W2635" s="8"/>
      <c r="X2635" s="8">
        <v>17.45</v>
      </c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11"/>
      <c r="AQ2635" s="8"/>
      <c r="AR2635" s="8"/>
      <c r="AS2635" s="8"/>
      <c r="AT2635" s="8">
        <v>709.74</v>
      </c>
      <c r="AU2635" s="8"/>
      <c r="AV2635" s="8"/>
      <c r="AW2635" s="8"/>
      <c r="AX2635" s="8"/>
      <c r="AY2635" s="8"/>
      <c r="AZ2635" s="8"/>
      <c r="BA2635" s="8">
        <v>6.52</v>
      </c>
      <c r="BB2635" s="8"/>
      <c r="BC2635" s="8"/>
      <c r="BD2635" s="8"/>
      <c r="BE2635" s="8"/>
      <c r="BF2635" s="8"/>
      <c r="BG2635" s="8">
        <v>47.87</v>
      </c>
      <c r="BH2635" s="9">
        <f t="shared" si="369"/>
        <v>1447.4099999999999</v>
      </c>
      <c r="BI2635" s="9">
        <f t="shared" si="370"/>
        <v>3.04</v>
      </c>
      <c r="BJ2635" s="9">
        <f t="shared" si="371"/>
        <v>3.33</v>
      </c>
      <c r="BK2635" s="9">
        <f t="shared" si="372"/>
        <v>17.45</v>
      </c>
      <c r="BL2635" s="9">
        <f t="shared" si="373"/>
        <v>0</v>
      </c>
      <c r="BM2635" s="9">
        <f t="shared" si="374"/>
        <v>0</v>
      </c>
      <c r="BN2635" s="9">
        <f t="shared" si="375"/>
        <v>709.74</v>
      </c>
      <c r="BO2635" s="9">
        <f t="shared" si="376"/>
        <v>6.52</v>
      </c>
      <c r="BP2635" s="9">
        <f t="shared" si="377"/>
        <v>0</v>
      </c>
    </row>
    <row r="2636" spans="1:68">
      <c r="A2636" s="6">
        <v>45009</v>
      </c>
      <c r="B2636" s="7">
        <v>3433</v>
      </c>
      <c r="C2636" s="8">
        <v>1217.58</v>
      </c>
      <c r="D2636" s="8"/>
      <c r="E2636" s="8"/>
      <c r="F2636" s="8"/>
      <c r="G2636" s="8"/>
      <c r="H2636" s="8"/>
      <c r="I2636" s="8"/>
      <c r="J2636" s="8"/>
      <c r="K2636" s="8"/>
      <c r="L2636" s="8"/>
      <c r="M2636" s="8">
        <v>3.06</v>
      </c>
      <c r="N2636" s="8"/>
      <c r="O2636" s="8"/>
      <c r="P2636" s="8"/>
      <c r="Q2636" s="11"/>
      <c r="R2636" s="11"/>
      <c r="S2636" s="8">
        <v>4.87</v>
      </c>
      <c r="T2636" s="8"/>
      <c r="U2636" s="8"/>
      <c r="V2636" s="8"/>
      <c r="W2636" s="8"/>
      <c r="X2636" s="8">
        <v>12.35</v>
      </c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11"/>
      <c r="AQ2636" s="8"/>
      <c r="AR2636" s="8"/>
      <c r="AS2636" s="8"/>
      <c r="AT2636" s="8">
        <v>566.76</v>
      </c>
      <c r="AU2636" s="8"/>
      <c r="AV2636" s="8"/>
      <c r="AW2636" s="8"/>
      <c r="AX2636" s="8"/>
      <c r="AY2636" s="8"/>
      <c r="AZ2636" s="8"/>
      <c r="BA2636" s="8">
        <v>5.49</v>
      </c>
      <c r="BB2636" s="8"/>
      <c r="BC2636" s="8"/>
      <c r="BD2636" s="8"/>
      <c r="BE2636" s="8"/>
      <c r="BF2636" s="8">
        <v>60.95</v>
      </c>
      <c r="BG2636" s="8">
        <v>40.85</v>
      </c>
      <c r="BH2636" s="9">
        <f t="shared" si="369"/>
        <v>1217.58</v>
      </c>
      <c r="BI2636" s="9">
        <f t="shared" si="370"/>
        <v>3.06</v>
      </c>
      <c r="BJ2636" s="9">
        <f t="shared" si="371"/>
        <v>4.87</v>
      </c>
      <c r="BK2636" s="9">
        <f t="shared" si="372"/>
        <v>12.35</v>
      </c>
      <c r="BL2636" s="9">
        <f t="shared" si="373"/>
        <v>0</v>
      </c>
      <c r="BM2636" s="9">
        <f t="shared" si="374"/>
        <v>0</v>
      </c>
      <c r="BN2636" s="9">
        <f t="shared" si="375"/>
        <v>566.76</v>
      </c>
      <c r="BO2636" s="9">
        <f t="shared" si="376"/>
        <v>5.49</v>
      </c>
      <c r="BP2636" s="9">
        <f t="shared" si="377"/>
        <v>60.95</v>
      </c>
    </row>
    <row r="2637" spans="1:68">
      <c r="A2637" s="6">
        <v>45009</v>
      </c>
      <c r="B2637" s="7">
        <v>3402</v>
      </c>
      <c r="C2637" s="8">
        <v>450.01</v>
      </c>
      <c r="D2637" s="8">
        <v>298.64999999999998</v>
      </c>
      <c r="E2637" s="8"/>
      <c r="F2637" s="8"/>
      <c r="G2637" s="8"/>
      <c r="H2637" s="8"/>
      <c r="I2637" s="8"/>
      <c r="J2637" s="8"/>
      <c r="K2637" s="8"/>
      <c r="L2637" s="8"/>
      <c r="M2637" s="8">
        <v>1.9</v>
      </c>
      <c r="N2637" s="8"/>
      <c r="O2637" s="8"/>
      <c r="P2637" s="8"/>
      <c r="Q2637" s="11"/>
      <c r="R2637" s="11"/>
      <c r="S2637" s="8">
        <v>1.72</v>
      </c>
      <c r="T2637" s="8"/>
      <c r="U2637" s="8"/>
      <c r="V2637" s="8"/>
      <c r="W2637" s="8"/>
      <c r="X2637" s="8">
        <v>7.65</v>
      </c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11"/>
      <c r="AQ2637" s="8"/>
      <c r="AR2637" s="8"/>
      <c r="AS2637" s="8"/>
      <c r="AT2637" s="8">
        <v>351.08</v>
      </c>
      <c r="AU2637" s="8"/>
      <c r="AV2637" s="8"/>
      <c r="AW2637" s="8"/>
      <c r="AX2637" s="8"/>
      <c r="AY2637" s="8"/>
      <c r="AZ2637" s="8"/>
      <c r="BA2637" s="8">
        <v>3.44</v>
      </c>
      <c r="BB2637" s="8"/>
      <c r="BC2637" s="8"/>
      <c r="BD2637" s="8"/>
      <c r="BE2637" s="8"/>
      <c r="BF2637" s="8"/>
      <c r="BG2637" s="8">
        <v>24.73</v>
      </c>
      <c r="BH2637" s="9">
        <f t="shared" si="369"/>
        <v>748.66</v>
      </c>
      <c r="BI2637" s="9">
        <f t="shared" si="370"/>
        <v>1.9</v>
      </c>
      <c r="BJ2637" s="9">
        <f t="shared" si="371"/>
        <v>1.72</v>
      </c>
      <c r="BK2637" s="9">
        <f t="shared" si="372"/>
        <v>7.65</v>
      </c>
      <c r="BL2637" s="9">
        <f t="shared" si="373"/>
        <v>0</v>
      </c>
      <c r="BM2637" s="9">
        <f t="shared" si="374"/>
        <v>0</v>
      </c>
      <c r="BN2637" s="9">
        <f t="shared" si="375"/>
        <v>351.08</v>
      </c>
      <c r="BO2637" s="9">
        <f t="shared" si="376"/>
        <v>3.44</v>
      </c>
      <c r="BP2637" s="9">
        <f t="shared" si="377"/>
        <v>0</v>
      </c>
    </row>
    <row r="2638" spans="1:68">
      <c r="A2638" s="6">
        <v>45009</v>
      </c>
      <c r="B2638" s="7">
        <v>3408</v>
      </c>
      <c r="C2638" s="8">
        <f>1241.68+412.11</f>
        <v>1653.79</v>
      </c>
      <c r="D2638" s="8"/>
      <c r="E2638" s="8"/>
      <c r="F2638" s="8"/>
      <c r="G2638" s="8"/>
      <c r="H2638" s="8"/>
      <c r="I2638" s="8"/>
      <c r="J2638" s="8"/>
      <c r="K2638" s="8"/>
      <c r="L2638" s="8"/>
      <c r="M2638" s="8">
        <f>3.51+0.97</f>
        <v>4.4799999999999995</v>
      </c>
      <c r="N2638" s="8"/>
      <c r="O2638" s="8"/>
      <c r="P2638" s="8"/>
      <c r="Q2638" s="8"/>
      <c r="R2638" s="8"/>
      <c r="S2638" s="8">
        <f>3.47+1.14</f>
        <v>4.6100000000000003</v>
      </c>
      <c r="T2638" s="8"/>
      <c r="U2638" s="8"/>
      <c r="V2638" s="8"/>
      <c r="W2638" s="8"/>
      <c r="X2638" s="8">
        <f>13.44+4.22</f>
        <v>17.66</v>
      </c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>
        <f>619.4+205.81</f>
        <v>825.21</v>
      </c>
      <c r="AU2638" s="8"/>
      <c r="AV2638" s="8"/>
      <c r="AW2638" s="8"/>
      <c r="AX2638" s="8"/>
      <c r="AY2638" s="8"/>
      <c r="AZ2638" s="8"/>
      <c r="BA2638" s="8">
        <f>3.53+1.87</f>
        <v>5.4</v>
      </c>
      <c r="BB2638" s="8"/>
      <c r="BC2638" s="8"/>
      <c r="BD2638" s="8"/>
      <c r="BE2638" s="8"/>
      <c r="BF2638" s="8"/>
      <c r="BG2638" s="8">
        <f>42.47+14.04</f>
        <v>56.51</v>
      </c>
      <c r="BH2638" s="9">
        <f t="shared" si="369"/>
        <v>1653.79</v>
      </c>
      <c r="BI2638" s="9">
        <f t="shared" si="370"/>
        <v>4.4799999999999995</v>
      </c>
      <c r="BJ2638" s="9">
        <f t="shared" si="371"/>
        <v>4.6100000000000003</v>
      </c>
      <c r="BK2638" s="9">
        <f t="shared" si="372"/>
        <v>17.66</v>
      </c>
      <c r="BL2638" s="9">
        <f t="shared" si="373"/>
        <v>0</v>
      </c>
      <c r="BM2638" s="9">
        <f t="shared" si="374"/>
        <v>0</v>
      </c>
      <c r="BN2638" s="9">
        <f t="shared" si="375"/>
        <v>825.21</v>
      </c>
      <c r="BO2638" s="9">
        <f t="shared" si="376"/>
        <v>5.4</v>
      </c>
      <c r="BP2638" s="9">
        <f t="shared" si="377"/>
        <v>0</v>
      </c>
    </row>
    <row r="2639" spans="1:68">
      <c r="A2639" s="6">
        <v>45009</v>
      </c>
      <c r="B2639" s="7">
        <v>3203</v>
      </c>
      <c r="C2639" s="8">
        <v>1670.83</v>
      </c>
      <c r="D2639" s="8"/>
      <c r="E2639" s="8">
        <v>717.73</v>
      </c>
      <c r="F2639" s="8"/>
      <c r="G2639" s="8"/>
      <c r="H2639" s="8"/>
      <c r="I2639" s="8"/>
      <c r="J2639" s="8"/>
      <c r="K2639" s="8"/>
      <c r="L2639" s="8"/>
      <c r="M2639" s="8"/>
      <c r="N2639" s="8"/>
      <c r="O2639" s="8">
        <v>7.16</v>
      </c>
      <c r="P2639" s="8"/>
      <c r="Q2639" s="11"/>
      <c r="R2639" s="11"/>
      <c r="S2639" s="8">
        <v>9.33</v>
      </c>
      <c r="T2639" s="8"/>
      <c r="U2639" s="8">
        <v>29.65</v>
      </c>
      <c r="V2639" s="8"/>
      <c r="W2639" s="8"/>
      <c r="X2639" s="8"/>
      <c r="Y2639" s="8"/>
      <c r="Z2639" s="8">
        <v>458.72</v>
      </c>
      <c r="AA2639" s="8">
        <v>376.72</v>
      </c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11"/>
      <c r="AQ2639" s="8"/>
      <c r="AR2639" s="8"/>
      <c r="AS2639" s="8"/>
      <c r="AT2639" s="8">
        <v>892.1</v>
      </c>
      <c r="AU2639" s="8">
        <v>447.35</v>
      </c>
      <c r="AV2639" s="8"/>
      <c r="AW2639" s="8"/>
      <c r="AX2639" s="8"/>
      <c r="AY2639" s="8"/>
      <c r="AZ2639" s="8"/>
      <c r="BA2639" s="8"/>
      <c r="BB2639" s="8"/>
      <c r="BC2639" s="8">
        <v>6.22</v>
      </c>
      <c r="BD2639" s="8"/>
      <c r="BE2639" s="8"/>
      <c r="BF2639" s="8"/>
      <c r="BG2639" s="8">
        <v>87.75</v>
      </c>
      <c r="BH2639" s="9">
        <f t="shared" si="369"/>
        <v>2388.56</v>
      </c>
      <c r="BI2639" s="9">
        <f t="shared" si="370"/>
        <v>7.16</v>
      </c>
      <c r="BJ2639" s="9">
        <f t="shared" si="371"/>
        <v>9.33</v>
      </c>
      <c r="BK2639" s="9">
        <f t="shared" si="372"/>
        <v>29.65</v>
      </c>
      <c r="BL2639" s="9">
        <f t="shared" si="373"/>
        <v>835.44</v>
      </c>
      <c r="BM2639" s="9">
        <f t="shared" si="374"/>
        <v>0</v>
      </c>
      <c r="BN2639" s="9">
        <f t="shared" si="375"/>
        <v>1339.45</v>
      </c>
      <c r="BO2639" s="9">
        <f t="shared" si="376"/>
        <v>6.22</v>
      </c>
      <c r="BP2639" s="9">
        <f t="shared" si="377"/>
        <v>0</v>
      </c>
    </row>
    <row r="2640" spans="1:68">
      <c r="A2640" s="6">
        <v>45009</v>
      </c>
      <c r="B2640" s="7">
        <v>3022</v>
      </c>
      <c r="C2640" s="8"/>
      <c r="D2640" s="8">
        <v>336.28</v>
      </c>
      <c r="E2640" s="8"/>
      <c r="F2640" s="8"/>
      <c r="G2640" s="8"/>
      <c r="H2640" s="8"/>
      <c r="I2640" s="8">
        <v>274</v>
      </c>
      <c r="J2640" s="8"/>
      <c r="K2640" s="8"/>
      <c r="L2640" s="8"/>
      <c r="M2640" s="8"/>
      <c r="N2640" s="8">
        <v>3.05</v>
      </c>
      <c r="O2640" s="8"/>
      <c r="P2640" s="8"/>
      <c r="Q2640" s="11"/>
      <c r="R2640" s="11"/>
      <c r="S2640" s="8">
        <v>1.1000000000000001</v>
      </c>
      <c r="T2640" s="8"/>
      <c r="U2640" s="8"/>
      <c r="V2640" s="8"/>
      <c r="W2640" s="8">
        <v>6.1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>
        <v>7.9</v>
      </c>
      <c r="AN2640" s="8"/>
      <c r="AO2640" s="8"/>
      <c r="AP2640" s="11"/>
      <c r="AQ2640" s="8"/>
      <c r="AR2640" s="8"/>
      <c r="AS2640" s="8">
        <v>21.5</v>
      </c>
      <c r="AT2640" s="8">
        <v>284.35000000000002</v>
      </c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>
        <v>21.93</v>
      </c>
      <c r="BH2640" s="9">
        <f t="shared" si="369"/>
        <v>610.28</v>
      </c>
      <c r="BI2640" s="9">
        <f t="shared" si="370"/>
        <v>3.05</v>
      </c>
      <c r="BJ2640" s="9">
        <f t="shared" si="371"/>
        <v>1.1000000000000001</v>
      </c>
      <c r="BK2640" s="9">
        <f t="shared" si="372"/>
        <v>6.1</v>
      </c>
      <c r="BL2640" s="9">
        <f t="shared" si="373"/>
        <v>0</v>
      </c>
      <c r="BM2640" s="9">
        <f t="shared" si="374"/>
        <v>29.4</v>
      </c>
      <c r="BN2640" s="9">
        <f t="shared" si="375"/>
        <v>284.35000000000002</v>
      </c>
      <c r="BO2640" s="9">
        <f t="shared" si="376"/>
        <v>0</v>
      </c>
      <c r="BP2640" s="9">
        <f t="shared" si="377"/>
        <v>0</v>
      </c>
    </row>
    <row r="2641" spans="1:68">
      <c r="A2641" s="6">
        <v>45009</v>
      </c>
      <c r="B2641" s="7">
        <v>3029</v>
      </c>
      <c r="C2641" s="8"/>
      <c r="D2641" s="8">
        <v>456.41</v>
      </c>
      <c r="E2641" s="8"/>
      <c r="F2641" s="8">
        <v>321.54000000000002</v>
      </c>
      <c r="G2641" s="8"/>
      <c r="H2641" s="8"/>
      <c r="I2641" s="8">
        <v>1902.74</v>
      </c>
      <c r="J2641" s="8"/>
      <c r="K2641" s="8"/>
      <c r="L2641" s="8"/>
      <c r="M2641" s="8"/>
      <c r="N2641" s="8">
        <v>20.9</v>
      </c>
      <c r="O2641" s="8"/>
      <c r="P2641" s="8"/>
      <c r="Q2641" s="11"/>
      <c r="R2641" s="11"/>
      <c r="S2641" s="8">
        <v>1.6</v>
      </c>
      <c r="T2641" s="8"/>
      <c r="U2641" s="8"/>
      <c r="V2641" s="8"/>
      <c r="W2641" s="8">
        <v>26.79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>
        <v>9.3800000000000008</v>
      </c>
      <c r="AN2641" s="8">
        <v>54.12</v>
      </c>
      <c r="AO2641" s="8"/>
      <c r="AP2641" s="11"/>
      <c r="AQ2641" s="8"/>
      <c r="AR2641" s="8">
        <v>80.87</v>
      </c>
      <c r="AS2641" s="8"/>
      <c r="AT2641" s="8">
        <v>1017.81</v>
      </c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>
        <v>70.84</v>
      </c>
      <c r="BH2641" s="9">
        <f t="shared" si="369"/>
        <v>2680.69</v>
      </c>
      <c r="BI2641" s="9">
        <f t="shared" si="370"/>
        <v>20.9</v>
      </c>
      <c r="BJ2641" s="9">
        <f t="shared" si="371"/>
        <v>1.6</v>
      </c>
      <c r="BK2641" s="9">
        <f t="shared" si="372"/>
        <v>26.79</v>
      </c>
      <c r="BL2641" s="9">
        <f t="shared" si="373"/>
        <v>0</v>
      </c>
      <c r="BM2641" s="9">
        <f t="shared" si="374"/>
        <v>144.37</v>
      </c>
      <c r="BN2641" s="9">
        <f t="shared" si="375"/>
        <v>1017.81</v>
      </c>
      <c r="BO2641" s="9">
        <f t="shared" si="376"/>
        <v>0</v>
      </c>
      <c r="BP2641" s="9">
        <f t="shared" si="377"/>
        <v>0</v>
      </c>
    </row>
    <row r="2642" spans="1:68">
      <c r="A2642" s="6">
        <v>45009</v>
      </c>
      <c r="B2642" s="7">
        <v>3079</v>
      </c>
      <c r="C2642" s="8"/>
      <c r="D2642" s="8"/>
      <c r="E2642" s="8"/>
      <c r="F2642" s="8">
        <v>334.97</v>
      </c>
      <c r="G2642" s="8"/>
      <c r="H2642" s="8"/>
      <c r="I2642" s="8">
        <v>2709.81</v>
      </c>
      <c r="J2642" s="8"/>
      <c r="K2642" s="8"/>
      <c r="L2642" s="8"/>
      <c r="M2642" s="8"/>
      <c r="N2642" s="8">
        <v>21.93</v>
      </c>
      <c r="O2642" s="8"/>
      <c r="P2642" s="8"/>
      <c r="Q2642" s="11"/>
      <c r="R2642" s="11"/>
      <c r="S2642" s="8">
        <v>1.21</v>
      </c>
      <c r="T2642" s="8"/>
      <c r="U2642" s="8"/>
      <c r="V2642" s="8"/>
      <c r="W2642" s="8">
        <v>30.48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>
        <v>12.19</v>
      </c>
      <c r="AN2642" s="8">
        <v>30.77</v>
      </c>
      <c r="AO2642" s="8"/>
      <c r="AP2642" s="11"/>
      <c r="AQ2642" s="8"/>
      <c r="AR2642" s="8">
        <v>76.59</v>
      </c>
      <c r="AS2642" s="8"/>
      <c r="AT2642" s="8">
        <v>1172.98</v>
      </c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>
        <v>85.29</v>
      </c>
      <c r="BH2642" s="9">
        <f t="shared" si="369"/>
        <v>3044.7799999999997</v>
      </c>
      <c r="BI2642" s="9">
        <f t="shared" si="370"/>
        <v>21.93</v>
      </c>
      <c r="BJ2642" s="9">
        <f t="shared" si="371"/>
        <v>1.21</v>
      </c>
      <c r="BK2642" s="9">
        <f t="shared" si="372"/>
        <v>30.48</v>
      </c>
      <c r="BL2642" s="9">
        <f t="shared" si="373"/>
        <v>0</v>
      </c>
      <c r="BM2642" s="9">
        <f t="shared" si="374"/>
        <v>119.55000000000001</v>
      </c>
      <c r="BN2642" s="9">
        <f t="shared" si="375"/>
        <v>1172.98</v>
      </c>
      <c r="BO2642" s="9">
        <f t="shared" si="376"/>
        <v>0</v>
      </c>
      <c r="BP2642" s="9">
        <f t="shared" si="377"/>
        <v>0</v>
      </c>
    </row>
    <row r="2643" spans="1:68">
      <c r="A2643" s="6">
        <v>45012</v>
      </c>
      <c r="B2643" s="7">
        <v>3145</v>
      </c>
      <c r="C2643" s="8">
        <v>1229.3399999999999</v>
      </c>
      <c r="D2643" s="8">
        <v>216.94</v>
      </c>
      <c r="E2643" s="8"/>
      <c r="F2643" s="8"/>
      <c r="G2643" s="8"/>
      <c r="H2643" s="8"/>
      <c r="I2643" s="8"/>
      <c r="J2643" s="8"/>
      <c r="K2643" s="8"/>
      <c r="L2643" s="8"/>
      <c r="M2643" s="8">
        <v>4.32</v>
      </c>
      <c r="N2643" s="8"/>
      <c r="O2643" s="8"/>
      <c r="P2643" s="8"/>
      <c r="Q2643" s="11"/>
      <c r="R2643" s="11"/>
      <c r="S2643" s="8">
        <v>6.81</v>
      </c>
      <c r="T2643" s="8"/>
      <c r="U2643" s="8">
        <v>21.71</v>
      </c>
      <c r="V2643" s="8"/>
      <c r="W2643" s="8"/>
      <c r="X2643" s="8"/>
      <c r="Y2643" s="8"/>
      <c r="Z2643" s="8"/>
      <c r="AA2643" s="8"/>
      <c r="AB2643" s="8"/>
      <c r="AC2643" s="8">
        <v>5.79</v>
      </c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11"/>
      <c r="AQ2643" s="8"/>
      <c r="AR2643" s="8"/>
      <c r="AS2643" s="8"/>
      <c r="AT2643" s="8">
        <v>960.01</v>
      </c>
      <c r="AU2643" s="8"/>
      <c r="AV2643" s="8"/>
      <c r="AW2643" s="8"/>
      <c r="AX2643" s="8"/>
      <c r="AY2643" s="8"/>
      <c r="AZ2643" s="8"/>
      <c r="BA2643" s="8"/>
      <c r="BB2643" s="8"/>
      <c r="BC2643" s="8"/>
      <c r="BD2643" s="8">
        <v>3.62</v>
      </c>
      <c r="BE2643" s="8">
        <f>1362*9.63/1000</f>
        <v>13.116060000000001</v>
      </c>
      <c r="BF2643" s="8">
        <v>101.4</v>
      </c>
      <c r="BG2643" s="8">
        <v>75.06</v>
      </c>
      <c r="BH2643" s="9">
        <f t="shared" si="369"/>
        <v>1446.28</v>
      </c>
      <c r="BI2643" s="9">
        <f t="shared" si="370"/>
        <v>4.32</v>
      </c>
      <c r="BJ2643" s="9">
        <f t="shared" si="371"/>
        <v>6.81</v>
      </c>
      <c r="BK2643" s="9">
        <f t="shared" si="372"/>
        <v>21.71</v>
      </c>
      <c r="BL2643" s="9">
        <f t="shared" si="373"/>
        <v>0</v>
      </c>
      <c r="BM2643" s="9">
        <f t="shared" si="374"/>
        <v>5.79</v>
      </c>
      <c r="BN2643" s="9">
        <f t="shared" si="375"/>
        <v>960.01</v>
      </c>
      <c r="BO2643" s="9">
        <f t="shared" si="376"/>
        <v>16.736060000000002</v>
      </c>
      <c r="BP2643" s="9">
        <f t="shared" si="377"/>
        <v>101.4</v>
      </c>
    </row>
    <row r="2644" spans="1:68">
      <c r="A2644" s="6">
        <v>45012</v>
      </c>
      <c r="B2644" s="7">
        <v>3141</v>
      </c>
      <c r="C2644" s="8">
        <v>2155.58</v>
      </c>
      <c r="D2644" s="8">
        <v>380.39</v>
      </c>
      <c r="E2644" s="8"/>
      <c r="F2644" s="8"/>
      <c r="G2644" s="8"/>
      <c r="H2644" s="8"/>
      <c r="I2644" s="8"/>
      <c r="J2644" s="8"/>
      <c r="K2644" s="8"/>
      <c r="L2644" s="8"/>
      <c r="M2644" s="8">
        <v>7.6</v>
      </c>
      <c r="N2644" s="8"/>
      <c r="O2644" s="8"/>
      <c r="P2644" s="8"/>
      <c r="Q2644" s="11"/>
      <c r="R2644" s="11"/>
      <c r="S2644" s="8">
        <v>11.93</v>
      </c>
      <c r="T2644" s="8"/>
      <c r="U2644" s="8">
        <v>38.06</v>
      </c>
      <c r="V2644" s="8"/>
      <c r="W2644" s="8"/>
      <c r="X2644" s="8"/>
      <c r="Y2644" s="8"/>
      <c r="Z2644" s="8"/>
      <c r="AA2644" s="8"/>
      <c r="AB2644" s="8"/>
      <c r="AC2644" s="8">
        <v>10.15</v>
      </c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11"/>
      <c r="AQ2644" s="8"/>
      <c r="AR2644" s="8"/>
      <c r="AS2644" s="8"/>
      <c r="AT2644" s="8">
        <v>1677.63</v>
      </c>
      <c r="AU2644" s="8"/>
      <c r="AV2644" s="8"/>
      <c r="AW2644" s="8"/>
      <c r="AX2644" s="8"/>
      <c r="AY2644" s="8"/>
      <c r="AZ2644" s="8"/>
      <c r="BA2644" s="8">
        <v>58.1</v>
      </c>
      <c r="BB2644" s="8"/>
      <c r="BC2644" s="8"/>
      <c r="BD2644" s="8"/>
      <c r="BE2644" s="8"/>
      <c r="BF2644" s="8">
        <v>177.49</v>
      </c>
      <c r="BG2644" s="8">
        <v>131.86000000000001</v>
      </c>
      <c r="BH2644" s="9">
        <f t="shared" si="369"/>
        <v>2535.9699999999998</v>
      </c>
      <c r="BI2644" s="9">
        <f t="shared" si="370"/>
        <v>7.6</v>
      </c>
      <c r="BJ2644" s="9">
        <f t="shared" si="371"/>
        <v>11.93</v>
      </c>
      <c r="BK2644" s="9">
        <f t="shared" si="372"/>
        <v>38.06</v>
      </c>
      <c r="BL2644" s="9">
        <f t="shared" si="373"/>
        <v>0</v>
      </c>
      <c r="BM2644" s="9">
        <f t="shared" si="374"/>
        <v>10.15</v>
      </c>
      <c r="BN2644" s="9">
        <f t="shared" si="375"/>
        <v>1677.63</v>
      </c>
      <c r="BO2644" s="9">
        <f t="shared" si="376"/>
        <v>58.1</v>
      </c>
      <c r="BP2644" s="9">
        <f t="shared" si="377"/>
        <v>177.49</v>
      </c>
    </row>
    <row r="2645" spans="1:68">
      <c r="A2645" s="6">
        <v>45012</v>
      </c>
      <c r="B2645" s="7">
        <v>3106</v>
      </c>
      <c r="C2645" s="8">
        <v>4125.7299999999996</v>
      </c>
      <c r="D2645" s="8"/>
      <c r="E2645" s="8"/>
      <c r="F2645" s="8"/>
      <c r="G2645" s="8"/>
      <c r="H2645" s="8"/>
      <c r="I2645" s="8"/>
      <c r="J2645" s="8"/>
      <c r="K2645" s="8"/>
      <c r="L2645" s="8"/>
      <c r="M2645" s="8">
        <v>11.14</v>
      </c>
      <c r="N2645" s="8"/>
      <c r="O2645" s="8"/>
      <c r="P2645" s="8"/>
      <c r="Q2645" s="11"/>
      <c r="R2645" s="11"/>
      <c r="S2645" s="8">
        <v>12.39</v>
      </c>
      <c r="T2645" s="8"/>
      <c r="U2645" s="8">
        <v>52.45</v>
      </c>
      <c r="V2645" s="8"/>
      <c r="W2645" s="8"/>
      <c r="X2645" s="8"/>
      <c r="Y2645" s="8"/>
      <c r="Z2645" s="8"/>
      <c r="AA2645" s="8"/>
      <c r="AB2645" s="8"/>
      <c r="AC2645" s="8">
        <v>10.31</v>
      </c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11"/>
      <c r="AQ2645" s="8"/>
      <c r="AR2645" s="8"/>
      <c r="AS2645" s="8"/>
      <c r="AT2645" s="8">
        <v>2347.7399999999998</v>
      </c>
      <c r="AU2645" s="8"/>
      <c r="AV2645" s="8"/>
      <c r="AW2645" s="8"/>
      <c r="AX2645" s="8">
        <v>5.16</v>
      </c>
      <c r="AY2645" s="8"/>
      <c r="AZ2645" s="8"/>
      <c r="BA2645" s="8"/>
      <c r="BB2645" s="8"/>
      <c r="BC2645" s="8"/>
      <c r="BD2645" s="8"/>
      <c r="BE2645" s="8"/>
      <c r="BF2645" s="8"/>
      <c r="BG2645" s="8">
        <v>177.09</v>
      </c>
      <c r="BH2645" s="9">
        <f t="shared" si="369"/>
        <v>4125.7299999999996</v>
      </c>
      <c r="BI2645" s="9">
        <f t="shared" si="370"/>
        <v>11.14</v>
      </c>
      <c r="BJ2645" s="9">
        <f t="shared" si="371"/>
        <v>12.39</v>
      </c>
      <c r="BK2645" s="9">
        <f t="shared" si="372"/>
        <v>52.45</v>
      </c>
      <c r="BL2645" s="9">
        <f t="shared" si="373"/>
        <v>0</v>
      </c>
      <c r="BM2645" s="9">
        <f t="shared" si="374"/>
        <v>10.31</v>
      </c>
      <c r="BN2645" s="9">
        <f t="shared" si="375"/>
        <v>2347.7399999999998</v>
      </c>
      <c r="BO2645" s="9">
        <f t="shared" si="376"/>
        <v>5.16</v>
      </c>
      <c r="BP2645" s="9">
        <f t="shared" si="377"/>
        <v>0</v>
      </c>
    </row>
    <row r="2646" spans="1:68">
      <c r="A2646" s="6">
        <v>45012</v>
      </c>
      <c r="B2646" s="7">
        <v>3402</v>
      </c>
      <c r="C2646" s="8">
        <v>502.45</v>
      </c>
      <c r="D2646" s="8">
        <v>335.84</v>
      </c>
      <c r="E2646" s="8"/>
      <c r="F2646" s="8"/>
      <c r="G2646" s="8"/>
      <c r="H2646" s="8"/>
      <c r="I2646" s="8"/>
      <c r="J2646" s="8"/>
      <c r="K2646" s="8"/>
      <c r="L2646" s="8"/>
      <c r="M2646" s="8">
        <v>2.27</v>
      </c>
      <c r="N2646" s="8"/>
      <c r="O2646" s="8"/>
      <c r="P2646" s="8"/>
      <c r="Q2646" s="11"/>
      <c r="R2646" s="11"/>
      <c r="S2646" s="8">
        <v>1.93</v>
      </c>
      <c r="T2646" s="8"/>
      <c r="U2646" s="8"/>
      <c r="V2646" s="8"/>
      <c r="W2646" s="8"/>
      <c r="X2646" s="8">
        <f>1017*8.4/1000</f>
        <v>8.5428000000000015</v>
      </c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11"/>
      <c r="AQ2646" s="8"/>
      <c r="AR2646" s="8"/>
      <c r="AS2646" s="8"/>
      <c r="AT2646" s="8">
        <v>394.63</v>
      </c>
      <c r="AU2646" s="8"/>
      <c r="AV2646" s="8"/>
      <c r="AW2646" s="8"/>
      <c r="AX2646" s="8"/>
      <c r="AY2646" s="8"/>
      <c r="AZ2646" s="8"/>
      <c r="BA2646" s="8">
        <v>3.76</v>
      </c>
      <c r="BB2646" s="8"/>
      <c r="BC2646" s="8"/>
      <c r="BD2646" s="8"/>
      <c r="BE2646" s="8"/>
      <c r="BF2646" s="8"/>
      <c r="BG2646" s="8">
        <v>27.79</v>
      </c>
      <c r="BH2646" s="9">
        <f t="shared" si="369"/>
        <v>838.29</v>
      </c>
      <c r="BI2646" s="9">
        <f t="shared" si="370"/>
        <v>2.27</v>
      </c>
      <c r="BJ2646" s="9">
        <f t="shared" si="371"/>
        <v>1.93</v>
      </c>
      <c r="BK2646" s="9">
        <f t="shared" si="372"/>
        <v>8.5428000000000015</v>
      </c>
      <c r="BL2646" s="9">
        <f t="shared" si="373"/>
        <v>0</v>
      </c>
      <c r="BM2646" s="9">
        <f t="shared" si="374"/>
        <v>0</v>
      </c>
      <c r="BN2646" s="9">
        <f t="shared" si="375"/>
        <v>394.63</v>
      </c>
      <c r="BO2646" s="9">
        <f t="shared" si="376"/>
        <v>3.76</v>
      </c>
      <c r="BP2646" s="9">
        <f t="shared" si="377"/>
        <v>0</v>
      </c>
    </row>
    <row r="2647" spans="1:68">
      <c r="A2647" s="6">
        <v>45012</v>
      </c>
      <c r="B2647" s="7">
        <v>3200</v>
      </c>
      <c r="C2647" s="8">
        <v>2305.62</v>
      </c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>
        <v>5.76</v>
      </c>
      <c r="P2647" s="8"/>
      <c r="Q2647" s="11"/>
      <c r="R2647" s="11"/>
      <c r="S2647" s="8">
        <v>9</v>
      </c>
      <c r="T2647" s="8"/>
      <c r="U2647" s="8">
        <v>34.61</v>
      </c>
      <c r="V2647" s="8"/>
      <c r="W2647" s="8"/>
      <c r="X2647" s="8"/>
      <c r="Y2647" s="8"/>
      <c r="Z2647" s="8">
        <v>484.71</v>
      </c>
      <c r="AA2647" s="8"/>
      <c r="AB2647" s="8"/>
      <c r="AC2647" s="8"/>
      <c r="AD2647" s="8"/>
      <c r="AE2647" s="8"/>
      <c r="AF2647" s="8">
        <v>115.11</v>
      </c>
      <c r="AG2647" s="8"/>
      <c r="AH2647" s="8"/>
      <c r="AI2647" s="8"/>
      <c r="AJ2647" s="8"/>
      <c r="AK2647" s="8"/>
      <c r="AL2647" s="8"/>
      <c r="AM2647" s="8"/>
      <c r="AN2647" s="8"/>
      <c r="AO2647" s="8"/>
      <c r="AP2647" s="11"/>
      <c r="AQ2647" s="8">
        <f>1515*23.07/1000</f>
        <v>34.951050000000002</v>
      </c>
      <c r="AR2647" s="8"/>
      <c r="AS2647" s="8"/>
      <c r="AT2647" s="8">
        <v>1579.58</v>
      </c>
      <c r="AU2647" s="8"/>
      <c r="AV2647" s="8"/>
      <c r="AW2647" s="8">
        <v>6.69</v>
      </c>
      <c r="AX2647" s="8"/>
      <c r="AY2647" s="8"/>
      <c r="AZ2647" s="8"/>
      <c r="BA2647" s="8"/>
      <c r="BB2647" s="8"/>
      <c r="BC2647" s="8"/>
      <c r="BD2647" s="8"/>
      <c r="BE2647" s="8"/>
      <c r="BF2647" s="8">
        <v>110.73</v>
      </c>
      <c r="BG2647" s="8">
        <v>114.32</v>
      </c>
      <c r="BH2647" s="9">
        <f t="shared" si="369"/>
        <v>2305.62</v>
      </c>
      <c r="BI2647" s="9">
        <f t="shared" si="370"/>
        <v>5.76</v>
      </c>
      <c r="BJ2647" s="9">
        <f t="shared" si="371"/>
        <v>9</v>
      </c>
      <c r="BK2647" s="9">
        <f t="shared" si="372"/>
        <v>34.61</v>
      </c>
      <c r="BL2647" s="9">
        <f t="shared" si="373"/>
        <v>484.71</v>
      </c>
      <c r="BM2647" s="9">
        <f t="shared" si="374"/>
        <v>150.06104999999999</v>
      </c>
      <c r="BN2647" s="9">
        <f t="shared" si="375"/>
        <v>1579.58</v>
      </c>
      <c r="BO2647" s="9">
        <f t="shared" si="376"/>
        <v>6.69</v>
      </c>
      <c r="BP2647" s="9">
        <f t="shared" si="377"/>
        <v>110.73</v>
      </c>
    </row>
    <row r="2648" spans="1:68">
      <c r="A2648" s="6">
        <v>45012</v>
      </c>
      <c r="B2648" s="7">
        <v>3020</v>
      </c>
      <c r="C2648" s="8"/>
      <c r="D2648" s="8">
        <v>173.27</v>
      </c>
      <c r="E2648" s="8"/>
      <c r="F2648" s="8"/>
      <c r="G2648" s="8"/>
      <c r="H2648" s="8"/>
      <c r="I2648" s="8">
        <v>979.48</v>
      </c>
      <c r="J2648" s="8"/>
      <c r="K2648" s="8"/>
      <c r="L2648" s="8"/>
      <c r="M2648" s="8"/>
      <c r="N2648" s="8">
        <v>7.01</v>
      </c>
      <c r="O2648" s="8"/>
      <c r="P2648" s="8"/>
      <c r="Q2648" s="11"/>
      <c r="R2648" s="11"/>
      <c r="S2648" s="8">
        <v>2.08</v>
      </c>
      <c r="T2648" s="8"/>
      <c r="U2648" s="8"/>
      <c r="V2648" s="8"/>
      <c r="W2648" s="8">
        <v>11.54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>
        <v>11.53</v>
      </c>
      <c r="AN2648" s="8"/>
      <c r="AO2648" s="8"/>
      <c r="AP2648" s="11"/>
      <c r="AQ2648" s="8"/>
      <c r="AR2648" s="8"/>
      <c r="AS2648" s="8">
        <f>2996*9.6/1000</f>
        <v>28.761599999999998</v>
      </c>
      <c r="AT2648" s="8">
        <v>567.20000000000005</v>
      </c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>
        <v>41.45</v>
      </c>
      <c r="BH2648" s="9">
        <f t="shared" si="369"/>
        <v>1152.75</v>
      </c>
      <c r="BI2648" s="9">
        <f t="shared" si="370"/>
        <v>7.01</v>
      </c>
      <c r="BJ2648" s="9">
        <f t="shared" si="371"/>
        <v>2.08</v>
      </c>
      <c r="BK2648" s="9">
        <f t="shared" si="372"/>
        <v>11.54</v>
      </c>
      <c r="BL2648" s="9">
        <f t="shared" si="373"/>
        <v>0</v>
      </c>
      <c r="BM2648" s="9">
        <f t="shared" si="374"/>
        <v>40.291599999999995</v>
      </c>
      <c r="BN2648" s="9">
        <f t="shared" si="375"/>
        <v>567.20000000000005</v>
      </c>
      <c r="BO2648" s="9">
        <f t="shared" si="376"/>
        <v>0</v>
      </c>
      <c r="BP2648" s="9">
        <f t="shared" si="377"/>
        <v>0</v>
      </c>
    </row>
    <row r="2649" spans="1:68">
      <c r="A2649" s="6">
        <v>45012</v>
      </c>
      <c r="B2649" s="7">
        <v>3023</v>
      </c>
      <c r="C2649" s="8"/>
      <c r="D2649" s="8">
        <v>1653.18</v>
      </c>
      <c r="E2649" s="8"/>
      <c r="F2649" s="8"/>
      <c r="G2649" s="8"/>
      <c r="H2649" s="8"/>
      <c r="I2649" s="8">
        <v>892.38</v>
      </c>
      <c r="J2649" s="8"/>
      <c r="K2649" s="8"/>
      <c r="L2649" s="8"/>
      <c r="M2649" s="8"/>
      <c r="N2649" s="8">
        <v>14.24</v>
      </c>
      <c r="O2649" s="8"/>
      <c r="P2649" s="8"/>
      <c r="Q2649" s="11"/>
      <c r="R2649" s="11"/>
      <c r="S2649" s="8">
        <v>4.07</v>
      </c>
      <c r="T2649" s="8"/>
      <c r="U2649" s="8"/>
      <c r="V2649" s="8"/>
      <c r="W2649" s="8">
        <v>22.9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>
        <v>25.41</v>
      </c>
      <c r="AN2649" s="8">
        <f>1026*17.55/1000</f>
        <v>18.0063</v>
      </c>
      <c r="AO2649" s="8"/>
      <c r="AP2649" s="11"/>
      <c r="AQ2649" s="8"/>
      <c r="AR2649" s="8"/>
      <c r="AS2649" s="8">
        <f>4788*17.55/1000</f>
        <v>84.02940000000001</v>
      </c>
      <c r="AT2649" s="8">
        <v>1042.96</v>
      </c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>
        <v>78.819999999999993</v>
      </c>
      <c r="BH2649" s="9">
        <f t="shared" si="369"/>
        <v>2545.56</v>
      </c>
      <c r="BI2649" s="9">
        <f t="shared" si="370"/>
        <v>14.24</v>
      </c>
      <c r="BJ2649" s="9">
        <f t="shared" si="371"/>
        <v>4.07</v>
      </c>
      <c r="BK2649" s="9">
        <f t="shared" si="372"/>
        <v>22.9</v>
      </c>
      <c r="BL2649" s="9">
        <f t="shared" si="373"/>
        <v>0</v>
      </c>
      <c r="BM2649" s="9">
        <f t="shared" si="374"/>
        <v>127.44570000000002</v>
      </c>
      <c r="BN2649" s="9">
        <f t="shared" si="375"/>
        <v>1042.96</v>
      </c>
      <c r="BO2649" s="9">
        <f t="shared" si="376"/>
        <v>0</v>
      </c>
      <c r="BP2649" s="9">
        <f t="shared" si="377"/>
        <v>0</v>
      </c>
    </row>
    <row r="2650" spans="1:68">
      <c r="A2650" s="6">
        <v>45012</v>
      </c>
      <c r="B2650" s="7">
        <v>3206</v>
      </c>
      <c r="C2650" s="8">
        <v>285.04000000000002</v>
      </c>
      <c r="D2650" s="8">
        <v>514.53</v>
      </c>
      <c r="E2650" s="8">
        <v>342.98</v>
      </c>
      <c r="F2650" s="8"/>
      <c r="G2650" s="8"/>
      <c r="H2650" s="8"/>
      <c r="I2650" s="8"/>
      <c r="J2650" s="8"/>
      <c r="K2650" s="8"/>
      <c r="L2650" s="8"/>
      <c r="M2650" s="8"/>
      <c r="N2650" s="8"/>
      <c r="O2650" s="8">
        <v>2.29</v>
      </c>
      <c r="P2650" s="8"/>
      <c r="Q2650" s="11"/>
      <c r="R2650" s="11"/>
      <c r="S2650" s="8">
        <v>5.72</v>
      </c>
      <c r="T2650" s="8"/>
      <c r="U2650" s="8">
        <v>4.01</v>
      </c>
      <c r="V2650" s="8"/>
      <c r="W2650" s="8"/>
      <c r="X2650" s="8"/>
      <c r="Y2650" s="8"/>
      <c r="Z2650" s="8">
        <v>68.63</v>
      </c>
      <c r="AA2650" s="8"/>
      <c r="AB2650" s="8">
        <f>817*7.13/1000</f>
        <v>5.8252100000000002</v>
      </c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11"/>
      <c r="AQ2650" s="8"/>
      <c r="AR2650" s="8"/>
      <c r="AS2650" s="8"/>
      <c r="AT2650" s="8">
        <v>200.15</v>
      </c>
      <c r="AU2650" s="8">
        <v>100.12</v>
      </c>
      <c r="AV2650" s="8"/>
      <c r="AW2650" s="8">
        <v>4.3499999999999996</v>
      </c>
      <c r="AX2650" s="8"/>
      <c r="AY2650" s="8"/>
      <c r="AZ2650" s="8"/>
      <c r="BA2650" s="8"/>
      <c r="BB2650" s="8"/>
      <c r="BC2650" s="8"/>
      <c r="BD2650" s="8"/>
      <c r="BE2650" s="8"/>
      <c r="BF2650" s="8"/>
      <c r="BG2650" s="8">
        <v>19.95</v>
      </c>
      <c r="BH2650" s="9">
        <f t="shared" si="369"/>
        <v>1142.55</v>
      </c>
      <c r="BI2650" s="9">
        <f t="shared" si="370"/>
        <v>2.29</v>
      </c>
      <c r="BJ2650" s="9">
        <f t="shared" si="371"/>
        <v>5.72</v>
      </c>
      <c r="BK2650" s="9">
        <f t="shared" si="372"/>
        <v>4.01</v>
      </c>
      <c r="BL2650" s="9">
        <f t="shared" si="373"/>
        <v>68.63</v>
      </c>
      <c r="BM2650" s="9">
        <f t="shared" si="374"/>
        <v>5.8252100000000002</v>
      </c>
      <c r="BN2650" s="9">
        <f t="shared" si="375"/>
        <v>300.27</v>
      </c>
      <c r="BO2650" s="9">
        <f t="shared" si="376"/>
        <v>4.3499999999999996</v>
      </c>
      <c r="BP2650" s="9">
        <f t="shared" si="377"/>
        <v>0</v>
      </c>
    </row>
    <row r="2651" spans="1:68">
      <c r="A2651" s="6">
        <v>45012</v>
      </c>
      <c r="B2651" s="7">
        <v>3702</v>
      </c>
      <c r="C2651" s="8">
        <v>296.83</v>
      </c>
      <c r="D2651" s="8">
        <v>198.68</v>
      </c>
      <c r="E2651" s="8"/>
      <c r="F2651" s="8"/>
      <c r="G2651" s="8"/>
      <c r="H2651" s="8"/>
      <c r="I2651" s="8"/>
      <c r="J2651" s="8"/>
      <c r="K2651" s="8"/>
      <c r="L2651" s="8"/>
      <c r="M2651" s="8">
        <v>1</v>
      </c>
      <c r="N2651" s="8"/>
      <c r="O2651" s="8"/>
      <c r="P2651" s="8"/>
      <c r="Q2651" s="11"/>
      <c r="R2651" s="11"/>
      <c r="S2651" s="8">
        <v>2.3199999999999998</v>
      </c>
      <c r="T2651" s="8"/>
      <c r="U2651" s="8">
        <v>3.73</v>
      </c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11"/>
      <c r="AQ2651" s="8"/>
      <c r="AR2651" s="8"/>
      <c r="AS2651" s="8"/>
      <c r="AT2651" s="8">
        <v>120.47</v>
      </c>
      <c r="AU2651" s="8">
        <v>60.4</v>
      </c>
      <c r="AV2651" s="8"/>
      <c r="AW2651" s="8">
        <v>1.1100000000000001</v>
      </c>
      <c r="AX2651" s="8"/>
      <c r="AY2651" s="8"/>
      <c r="AZ2651" s="8"/>
      <c r="BA2651" s="8"/>
      <c r="BB2651" s="8"/>
      <c r="BC2651" s="8"/>
      <c r="BD2651" s="8"/>
      <c r="BE2651" s="8"/>
      <c r="BF2651" s="8"/>
      <c r="BG2651" s="8">
        <v>12.67</v>
      </c>
      <c r="BH2651" s="9">
        <f t="shared" si="369"/>
        <v>495.51</v>
      </c>
      <c r="BI2651" s="9">
        <f t="shared" si="370"/>
        <v>1</v>
      </c>
      <c r="BJ2651" s="9">
        <f t="shared" si="371"/>
        <v>2.3199999999999998</v>
      </c>
      <c r="BK2651" s="9">
        <f t="shared" si="372"/>
        <v>3.73</v>
      </c>
      <c r="BL2651" s="9">
        <f t="shared" si="373"/>
        <v>0</v>
      </c>
      <c r="BM2651" s="9">
        <f t="shared" si="374"/>
        <v>0</v>
      </c>
      <c r="BN2651" s="9">
        <f t="shared" si="375"/>
        <v>180.87</v>
      </c>
      <c r="BO2651" s="9">
        <f t="shared" si="376"/>
        <v>1.1100000000000001</v>
      </c>
      <c r="BP2651" s="9">
        <f t="shared" si="377"/>
        <v>0</v>
      </c>
    </row>
    <row r="2652" spans="1:68">
      <c r="A2652" s="6">
        <v>45012</v>
      </c>
      <c r="B2652" s="7">
        <v>3704</v>
      </c>
      <c r="C2652" s="8">
        <v>248.89</v>
      </c>
      <c r="D2652" s="8">
        <v>374.4</v>
      </c>
      <c r="E2652" s="8"/>
      <c r="F2652" s="8"/>
      <c r="G2652" s="8"/>
      <c r="H2652" s="8"/>
      <c r="I2652" s="8"/>
      <c r="J2652" s="8"/>
      <c r="K2652" s="8"/>
      <c r="L2652" s="8"/>
      <c r="M2652" s="8">
        <v>1.87</v>
      </c>
      <c r="N2652" s="8"/>
      <c r="O2652" s="8"/>
      <c r="P2652" s="8"/>
      <c r="Q2652" s="11"/>
      <c r="R2652" s="11"/>
      <c r="S2652" s="8">
        <v>2.1800000000000002</v>
      </c>
      <c r="T2652" s="8"/>
      <c r="U2652" s="8">
        <v>4.68</v>
      </c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>
        <v>7.48</v>
      </c>
      <c r="AN2652" s="8"/>
      <c r="AO2652" s="8"/>
      <c r="AP2652" s="11"/>
      <c r="AQ2652" s="8"/>
      <c r="AR2652" s="8"/>
      <c r="AS2652" s="8"/>
      <c r="AT2652" s="8">
        <v>108.64</v>
      </c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>
        <v>10</v>
      </c>
      <c r="BH2652" s="9">
        <f t="shared" si="369"/>
        <v>623.29</v>
      </c>
      <c r="BI2652" s="9">
        <f t="shared" si="370"/>
        <v>1.87</v>
      </c>
      <c r="BJ2652" s="9">
        <f t="shared" si="371"/>
        <v>2.1800000000000002</v>
      </c>
      <c r="BK2652" s="9">
        <f t="shared" si="372"/>
        <v>4.68</v>
      </c>
      <c r="BL2652" s="9">
        <f t="shared" si="373"/>
        <v>0</v>
      </c>
      <c r="BM2652" s="9">
        <f t="shared" si="374"/>
        <v>7.48</v>
      </c>
      <c r="BN2652" s="9">
        <f t="shared" si="375"/>
        <v>108.64</v>
      </c>
      <c r="BO2652" s="9">
        <f t="shared" si="376"/>
        <v>0</v>
      </c>
      <c r="BP2652" s="9">
        <f t="shared" si="377"/>
        <v>0</v>
      </c>
    </row>
    <row r="2653" spans="1:68">
      <c r="A2653" s="6">
        <v>45013</v>
      </c>
      <c r="B2653" s="7">
        <v>3601</v>
      </c>
      <c r="C2653" s="8">
        <v>558.29</v>
      </c>
      <c r="D2653" s="8"/>
      <c r="E2653" s="8"/>
      <c r="F2653" s="8"/>
      <c r="G2653" s="8">
        <v>837.1</v>
      </c>
      <c r="H2653" s="8"/>
      <c r="I2653" s="8"/>
      <c r="J2653" s="8"/>
      <c r="K2653" s="8"/>
      <c r="L2653" s="8"/>
      <c r="M2653" s="8">
        <v>1.69</v>
      </c>
      <c r="N2653" s="8"/>
      <c r="O2653" s="8"/>
      <c r="P2653" s="8"/>
      <c r="Q2653" s="11"/>
      <c r="R2653" s="11"/>
      <c r="S2653" s="8">
        <v>6.7</v>
      </c>
      <c r="T2653" s="8"/>
      <c r="U2653" s="8">
        <v>8.39</v>
      </c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11"/>
      <c r="AQ2653" s="8"/>
      <c r="AR2653" s="8"/>
      <c r="AS2653" s="8"/>
      <c r="AT2653" s="8">
        <v>683.62</v>
      </c>
      <c r="AU2653" s="8"/>
      <c r="AV2653" s="8"/>
      <c r="AW2653" s="8">
        <v>42.46</v>
      </c>
      <c r="AX2653" s="8"/>
      <c r="AY2653" s="8"/>
      <c r="AZ2653" s="8"/>
      <c r="BA2653" s="8"/>
      <c r="BB2653" s="8"/>
      <c r="BC2653" s="8"/>
      <c r="BD2653" s="8"/>
      <c r="BE2653" s="8"/>
      <c r="BF2653" s="8">
        <v>78.19</v>
      </c>
      <c r="BG2653" s="8">
        <v>49.77</v>
      </c>
      <c r="BH2653" s="9">
        <f t="shared" si="369"/>
        <v>1395.3899999999999</v>
      </c>
      <c r="BI2653" s="9">
        <f t="shared" si="370"/>
        <v>1.69</v>
      </c>
      <c r="BJ2653" s="9">
        <f t="shared" si="371"/>
        <v>6.7</v>
      </c>
      <c r="BK2653" s="9">
        <f t="shared" si="372"/>
        <v>8.39</v>
      </c>
      <c r="BL2653" s="9">
        <f t="shared" si="373"/>
        <v>0</v>
      </c>
      <c r="BM2653" s="9">
        <f t="shared" si="374"/>
        <v>0</v>
      </c>
      <c r="BN2653" s="9">
        <f t="shared" si="375"/>
        <v>683.62</v>
      </c>
      <c r="BO2653" s="9">
        <f t="shared" si="376"/>
        <v>42.46</v>
      </c>
      <c r="BP2653" s="9">
        <f t="shared" si="377"/>
        <v>78.19</v>
      </c>
    </row>
    <row r="2654" spans="1:68">
      <c r="A2654" s="6">
        <v>45013</v>
      </c>
      <c r="B2654" s="7">
        <v>3602</v>
      </c>
      <c r="C2654" s="8">
        <v>555.83000000000004</v>
      </c>
      <c r="D2654" s="8"/>
      <c r="E2654" s="8"/>
      <c r="F2654" s="8"/>
      <c r="G2654" s="8">
        <v>833.72</v>
      </c>
      <c r="H2654" s="8"/>
      <c r="I2654" s="8"/>
      <c r="J2654" s="8"/>
      <c r="K2654" s="8"/>
      <c r="L2654" s="8"/>
      <c r="M2654" s="8">
        <v>1.43</v>
      </c>
      <c r="N2654" s="8"/>
      <c r="O2654" s="8"/>
      <c r="P2654" s="8"/>
      <c r="Q2654" s="11"/>
      <c r="R2654" s="11"/>
      <c r="S2654" s="8">
        <v>6.67</v>
      </c>
      <c r="T2654" s="8"/>
      <c r="U2654" s="8">
        <v>11.13</v>
      </c>
      <c r="V2654" s="8">
        <f>864*15.88/1000</f>
        <v>13.720320000000001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11"/>
      <c r="AQ2654" s="8"/>
      <c r="AR2654" s="8"/>
      <c r="AS2654" s="8"/>
      <c r="AT2654" s="8">
        <v>560.23</v>
      </c>
      <c r="AU2654" s="8"/>
      <c r="AV2654" s="8"/>
      <c r="AW2654" s="8">
        <v>35.92</v>
      </c>
      <c r="AX2654" s="8"/>
      <c r="AY2654" s="8"/>
      <c r="AZ2654" s="8"/>
      <c r="BA2654" s="8"/>
      <c r="BB2654" s="8"/>
      <c r="BC2654" s="8"/>
      <c r="BD2654" s="8"/>
      <c r="BE2654" s="8"/>
      <c r="BF2654" s="8">
        <v>44.56</v>
      </c>
      <c r="BG2654" s="8">
        <v>41.76</v>
      </c>
      <c r="BH2654" s="9">
        <f t="shared" si="369"/>
        <v>1389.5500000000002</v>
      </c>
      <c r="BI2654" s="9">
        <f t="shared" si="370"/>
        <v>1.43</v>
      </c>
      <c r="BJ2654" s="9">
        <f t="shared" si="371"/>
        <v>6.67</v>
      </c>
      <c r="BK2654" s="9">
        <f t="shared" si="372"/>
        <v>24.850320000000004</v>
      </c>
      <c r="BL2654" s="9">
        <f t="shared" si="373"/>
        <v>0</v>
      </c>
      <c r="BM2654" s="9">
        <f t="shared" si="374"/>
        <v>0</v>
      </c>
      <c r="BN2654" s="9">
        <f t="shared" si="375"/>
        <v>560.23</v>
      </c>
      <c r="BO2654" s="9">
        <f t="shared" si="376"/>
        <v>35.92</v>
      </c>
      <c r="BP2654" s="9">
        <f t="shared" si="377"/>
        <v>44.56</v>
      </c>
    </row>
    <row r="2655" spans="1:68">
      <c r="A2655" s="6">
        <v>45013</v>
      </c>
      <c r="B2655" s="7">
        <v>3139</v>
      </c>
      <c r="C2655" s="8">
        <v>981.53</v>
      </c>
      <c r="D2655" s="8"/>
      <c r="E2655" s="8"/>
      <c r="F2655" s="8"/>
      <c r="G2655" s="8"/>
      <c r="H2655" s="8">
        <v>407.42</v>
      </c>
      <c r="I2655" s="8"/>
      <c r="J2655" s="8"/>
      <c r="K2655" s="8"/>
      <c r="L2655" s="8"/>
      <c r="M2655" s="8">
        <v>2.31</v>
      </c>
      <c r="N2655" s="8"/>
      <c r="O2655" s="8"/>
      <c r="P2655" s="8"/>
      <c r="Q2655" s="11"/>
      <c r="R2655" s="11"/>
      <c r="S2655" s="8">
        <v>4.3499999999999996</v>
      </c>
      <c r="T2655" s="8"/>
      <c r="U2655" s="8">
        <v>14.5</v>
      </c>
      <c r="V2655" s="8"/>
      <c r="W2655" s="8"/>
      <c r="X2655" s="8"/>
      <c r="Y2655" s="8"/>
      <c r="Z2655" s="8"/>
      <c r="AA2655" s="8"/>
      <c r="AB2655" s="8"/>
      <c r="AC2655" s="8">
        <v>4.83</v>
      </c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11"/>
      <c r="AQ2655" s="8"/>
      <c r="AR2655" s="8"/>
      <c r="AS2655" s="8"/>
      <c r="AT2655" s="8">
        <v>716.3</v>
      </c>
      <c r="AU2655" s="8"/>
      <c r="AV2655" s="8">
        <v>24.17</v>
      </c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>
        <v>51.97</v>
      </c>
      <c r="BH2655" s="9">
        <f t="shared" si="369"/>
        <v>1388.95</v>
      </c>
      <c r="BI2655" s="9">
        <f t="shared" si="370"/>
        <v>2.31</v>
      </c>
      <c r="BJ2655" s="9">
        <f t="shared" si="371"/>
        <v>4.3499999999999996</v>
      </c>
      <c r="BK2655" s="9">
        <f t="shared" si="372"/>
        <v>14.5</v>
      </c>
      <c r="BL2655" s="9">
        <f t="shared" si="373"/>
        <v>0</v>
      </c>
      <c r="BM2655" s="9">
        <f t="shared" si="374"/>
        <v>4.83</v>
      </c>
      <c r="BN2655" s="9">
        <f t="shared" si="375"/>
        <v>716.3</v>
      </c>
      <c r="BO2655" s="9">
        <f t="shared" si="376"/>
        <v>24.17</v>
      </c>
      <c r="BP2655" s="9">
        <f t="shared" si="377"/>
        <v>0</v>
      </c>
    </row>
    <row r="2656" spans="1:68">
      <c r="A2656" s="6">
        <v>45013</v>
      </c>
      <c r="B2656" s="7">
        <v>3200</v>
      </c>
      <c r="C2656" s="8">
        <v>2280.6</v>
      </c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>
        <v>5.69</v>
      </c>
      <c r="P2656" s="8"/>
      <c r="Q2656" s="11"/>
      <c r="R2656" s="11"/>
      <c r="S2656" s="8">
        <v>8.89</v>
      </c>
      <c r="T2656" s="8"/>
      <c r="U2656" s="8">
        <v>34.21</v>
      </c>
      <c r="V2656" s="8"/>
      <c r="W2656" s="8"/>
      <c r="X2656" s="8"/>
      <c r="Y2656" s="8"/>
      <c r="Z2656" s="8">
        <v>479.47</v>
      </c>
      <c r="AA2656" s="8"/>
      <c r="AB2656" s="8"/>
      <c r="AC2656" s="8"/>
      <c r="AD2656" s="8"/>
      <c r="AE2656" s="8"/>
      <c r="AF2656" s="8">
        <v>113.96</v>
      </c>
      <c r="AG2656" s="8"/>
      <c r="AH2656" s="8"/>
      <c r="AI2656" s="8"/>
      <c r="AJ2656" s="8"/>
      <c r="AK2656" s="8"/>
      <c r="AL2656" s="8"/>
      <c r="AM2656" s="8"/>
      <c r="AN2656" s="8"/>
      <c r="AO2656" s="8"/>
      <c r="AP2656" s="11"/>
      <c r="AQ2656" s="8">
        <f>1503*22.8/1000</f>
        <v>34.2684</v>
      </c>
      <c r="AR2656" s="8"/>
      <c r="AS2656" s="8"/>
      <c r="AT2656" s="8">
        <v>1564.73</v>
      </c>
      <c r="AU2656" s="8"/>
      <c r="AV2656" s="8"/>
      <c r="AW2656" s="8">
        <v>6.67</v>
      </c>
      <c r="AX2656" s="8"/>
      <c r="AY2656" s="8"/>
      <c r="AZ2656" s="8"/>
      <c r="BA2656" s="8"/>
      <c r="BB2656" s="8"/>
      <c r="BC2656" s="8"/>
      <c r="BD2656" s="8"/>
      <c r="BE2656" s="8"/>
      <c r="BF2656" s="8">
        <v>109.49</v>
      </c>
      <c r="BG2656" s="8">
        <v>113.01</v>
      </c>
      <c r="BH2656" s="9">
        <f t="shared" si="369"/>
        <v>2280.6</v>
      </c>
      <c r="BI2656" s="9">
        <f t="shared" si="370"/>
        <v>5.69</v>
      </c>
      <c r="BJ2656" s="9">
        <f t="shared" si="371"/>
        <v>8.89</v>
      </c>
      <c r="BK2656" s="9">
        <f t="shared" si="372"/>
        <v>34.21</v>
      </c>
      <c r="BL2656" s="9">
        <f t="shared" si="373"/>
        <v>479.47</v>
      </c>
      <c r="BM2656" s="9">
        <f t="shared" si="374"/>
        <v>148.22839999999999</v>
      </c>
      <c r="BN2656" s="9">
        <f t="shared" si="375"/>
        <v>1564.73</v>
      </c>
      <c r="BO2656" s="9">
        <f t="shared" si="376"/>
        <v>6.67</v>
      </c>
      <c r="BP2656" s="9">
        <f t="shared" si="377"/>
        <v>109.49</v>
      </c>
    </row>
    <row r="2657" spans="1:68">
      <c r="A2657" s="6">
        <v>45013</v>
      </c>
      <c r="B2657" s="7">
        <v>3141</v>
      </c>
      <c r="C2657" s="8">
        <v>2404.75</v>
      </c>
      <c r="D2657" s="8">
        <v>425.01</v>
      </c>
      <c r="E2657" s="8"/>
      <c r="F2657" s="8"/>
      <c r="G2657" s="8"/>
      <c r="H2657" s="8"/>
      <c r="I2657" s="8"/>
      <c r="J2657" s="8"/>
      <c r="K2657" s="8"/>
      <c r="L2657" s="8"/>
      <c r="M2657" s="8">
        <v>8.06</v>
      </c>
      <c r="N2657" s="8"/>
      <c r="O2657" s="8"/>
      <c r="P2657" s="8"/>
      <c r="Q2657" s="11"/>
      <c r="R2657" s="11"/>
      <c r="S2657" s="8">
        <v>13.33</v>
      </c>
      <c r="T2657" s="8"/>
      <c r="U2657" s="8">
        <v>42.52</v>
      </c>
      <c r="V2657" s="8"/>
      <c r="W2657" s="8"/>
      <c r="X2657" s="8"/>
      <c r="Y2657" s="8"/>
      <c r="Z2657" s="8"/>
      <c r="AA2657" s="8"/>
      <c r="AB2657" s="8"/>
      <c r="AC2657" s="8">
        <v>11.35</v>
      </c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11"/>
      <c r="AQ2657" s="8"/>
      <c r="AR2657" s="8"/>
      <c r="AS2657" s="8"/>
      <c r="AT2657" s="8">
        <v>1872.59</v>
      </c>
      <c r="AU2657" s="8"/>
      <c r="AV2657" s="8"/>
      <c r="AW2657" s="8"/>
      <c r="AX2657" s="8"/>
      <c r="AY2657" s="8"/>
      <c r="AZ2657" s="8"/>
      <c r="BA2657" s="8">
        <v>65.010000000000005</v>
      </c>
      <c r="BB2657" s="8"/>
      <c r="BC2657" s="8"/>
      <c r="BD2657" s="8"/>
      <c r="BE2657" s="8"/>
      <c r="BF2657" s="8">
        <v>198.36</v>
      </c>
      <c r="BG2657" s="8">
        <v>147.28</v>
      </c>
      <c r="BH2657" s="9">
        <f t="shared" si="369"/>
        <v>2829.76</v>
      </c>
      <c r="BI2657" s="9">
        <f t="shared" si="370"/>
        <v>8.06</v>
      </c>
      <c r="BJ2657" s="9">
        <f t="shared" si="371"/>
        <v>13.33</v>
      </c>
      <c r="BK2657" s="9">
        <f t="shared" si="372"/>
        <v>42.52</v>
      </c>
      <c r="BL2657" s="9">
        <f t="shared" si="373"/>
        <v>0</v>
      </c>
      <c r="BM2657" s="9">
        <f t="shared" si="374"/>
        <v>11.35</v>
      </c>
      <c r="BN2657" s="9">
        <f t="shared" si="375"/>
        <v>1872.59</v>
      </c>
      <c r="BO2657" s="9">
        <f t="shared" si="376"/>
        <v>65.010000000000005</v>
      </c>
      <c r="BP2657" s="9">
        <f t="shared" si="377"/>
        <v>198.36</v>
      </c>
    </row>
    <row r="2658" spans="1:68">
      <c r="A2658" s="6">
        <v>45013</v>
      </c>
      <c r="B2658" s="7">
        <v>3029</v>
      </c>
      <c r="C2658" s="8"/>
      <c r="D2658" s="8">
        <f>8.2+456.55</f>
        <v>464.75</v>
      </c>
      <c r="E2658" s="8"/>
      <c r="F2658" s="8">
        <f>320.35+5.77</f>
        <v>326.12</v>
      </c>
      <c r="G2658" s="8"/>
      <c r="H2658" s="8"/>
      <c r="I2658" s="8">
        <f>34.21+1895.72</f>
        <v>1929.93</v>
      </c>
      <c r="J2658" s="8"/>
      <c r="K2658" s="8"/>
      <c r="L2658" s="8"/>
      <c r="M2658" s="8"/>
      <c r="N2658" s="8">
        <f>0.38+20.85</f>
        <v>21.23</v>
      </c>
      <c r="O2658" s="8"/>
      <c r="P2658" s="8"/>
      <c r="Q2658" s="11"/>
      <c r="R2658" s="11"/>
      <c r="S2658" s="8">
        <f>0.03+1.6</f>
        <v>1.6300000000000001</v>
      </c>
      <c r="T2658" s="8"/>
      <c r="U2658" s="8"/>
      <c r="V2658" s="8"/>
      <c r="W2658" s="8">
        <f>0.48+26.72</f>
        <v>27.2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>
        <f>0.17+9.33</f>
        <v>9.5</v>
      </c>
      <c r="AN2658" s="8">
        <f>769*18.1/1000</f>
        <v>13.918900000000001</v>
      </c>
      <c r="AO2658" s="8"/>
      <c r="AP2658" s="11"/>
      <c r="AQ2658" s="8"/>
      <c r="AR2658" s="8">
        <f>4610*18.1/1000</f>
        <v>83.441000000000003</v>
      </c>
      <c r="AS2658" s="8"/>
      <c r="AT2658" s="8">
        <f>1014.69+18.26</f>
        <v>1032.95</v>
      </c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>
        <f>1.9+70.79</f>
        <v>72.690000000000012</v>
      </c>
      <c r="BH2658" s="9">
        <f t="shared" si="369"/>
        <v>2720.8</v>
      </c>
      <c r="BI2658" s="9">
        <f t="shared" si="370"/>
        <v>21.23</v>
      </c>
      <c r="BJ2658" s="9">
        <f t="shared" si="371"/>
        <v>1.6300000000000001</v>
      </c>
      <c r="BK2658" s="9">
        <f t="shared" si="372"/>
        <v>27.2</v>
      </c>
      <c r="BL2658" s="9">
        <f t="shared" si="373"/>
        <v>0</v>
      </c>
      <c r="BM2658" s="9">
        <f t="shared" si="374"/>
        <v>106.85990000000001</v>
      </c>
      <c r="BN2658" s="9">
        <f t="shared" si="375"/>
        <v>1032.95</v>
      </c>
      <c r="BO2658" s="9">
        <f t="shared" si="376"/>
        <v>0</v>
      </c>
      <c r="BP2658" s="9">
        <f t="shared" si="377"/>
        <v>0</v>
      </c>
    </row>
    <row r="2659" spans="1:68">
      <c r="A2659" s="6">
        <v>45013</v>
      </c>
      <c r="B2659" s="7">
        <v>3020</v>
      </c>
      <c r="C2659" s="8"/>
      <c r="D2659" s="8">
        <v>100.13</v>
      </c>
      <c r="E2659" s="8"/>
      <c r="F2659" s="8"/>
      <c r="G2659" s="8"/>
      <c r="H2659" s="8"/>
      <c r="I2659" s="8">
        <v>566.07000000000005</v>
      </c>
      <c r="J2659" s="8"/>
      <c r="K2659" s="8"/>
      <c r="L2659" s="8"/>
      <c r="M2659" s="8"/>
      <c r="N2659" s="8">
        <v>4.07</v>
      </c>
      <c r="O2659" s="8"/>
      <c r="P2659" s="8"/>
      <c r="Q2659" s="11"/>
      <c r="R2659" s="11"/>
      <c r="S2659" s="8">
        <v>1.2</v>
      </c>
      <c r="T2659" s="8"/>
      <c r="U2659" s="8"/>
      <c r="V2659" s="8"/>
      <c r="W2659" s="8">
        <v>6.67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>
        <v>6.66</v>
      </c>
      <c r="AN2659" s="8"/>
      <c r="AO2659" s="8"/>
      <c r="AP2659" s="11"/>
      <c r="AQ2659" s="8"/>
      <c r="AR2659" s="8"/>
      <c r="AS2659" s="8">
        <f>3063*5.55/1000</f>
        <v>16.999649999999999</v>
      </c>
      <c r="AT2659" s="8">
        <v>327.12</v>
      </c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>
        <v>23.95</v>
      </c>
      <c r="BH2659" s="9">
        <f t="shared" si="369"/>
        <v>666.2</v>
      </c>
      <c r="BI2659" s="9">
        <f t="shared" si="370"/>
        <v>4.07</v>
      </c>
      <c r="BJ2659" s="9">
        <f t="shared" si="371"/>
        <v>1.2</v>
      </c>
      <c r="BK2659" s="9">
        <f t="shared" si="372"/>
        <v>6.67</v>
      </c>
      <c r="BL2659" s="9">
        <f t="shared" si="373"/>
        <v>0</v>
      </c>
      <c r="BM2659" s="9">
        <f t="shared" si="374"/>
        <v>23.659649999999999</v>
      </c>
      <c r="BN2659" s="9">
        <f t="shared" si="375"/>
        <v>327.12</v>
      </c>
      <c r="BO2659" s="9">
        <f t="shared" si="376"/>
        <v>0</v>
      </c>
      <c r="BP2659" s="9">
        <f t="shared" si="377"/>
        <v>0</v>
      </c>
    </row>
    <row r="2660" spans="1:68">
      <c r="A2660" s="6">
        <v>45013</v>
      </c>
      <c r="B2660" s="7">
        <v>3021</v>
      </c>
      <c r="C2660" s="8"/>
      <c r="D2660" s="8">
        <v>197.24</v>
      </c>
      <c r="E2660" s="8"/>
      <c r="F2660" s="8"/>
      <c r="G2660" s="8"/>
      <c r="H2660" s="8"/>
      <c r="I2660" s="8">
        <v>368.78</v>
      </c>
      <c r="J2660" s="8"/>
      <c r="K2660" s="8"/>
      <c r="L2660" s="8"/>
      <c r="M2660" s="8"/>
      <c r="N2660" s="8">
        <v>3</v>
      </c>
      <c r="O2660" s="8"/>
      <c r="P2660" s="8"/>
      <c r="Q2660" s="11"/>
      <c r="R2660" s="11"/>
      <c r="S2660" s="8">
        <v>1.02</v>
      </c>
      <c r="T2660" s="8"/>
      <c r="U2660" s="8"/>
      <c r="V2660" s="8"/>
      <c r="W2660" s="8">
        <v>5.66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>
        <v>5.67</v>
      </c>
      <c r="AN2660" s="8"/>
      <c r="AO2660" s="8"/>
      <c r="AP2660" s="11"/>
      <c r="AQ2660" s="8"/>
      <c r="AR2660" s="8"/>
      <c r="AS2660" s="8">
        <f>2631*5.4/1000</f>
        <v>14.207400000000002</v>
      </c>
      <c r="AT2660" s="8">
        <v>267.02</v>
      </c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>
        <v>20.09</v>
      </c>
      <c r="BH2660" s="9">
        <f t="shared" si="369"/>
        <v>566.02</v>
      </c>
      <c r="BI2660" s="9">
        <f t="shared" si="370"/>
        <v>3</v>
      </c>
      <c r="BJ2660" s="9">
        <f t="shared" si="371"/>
        <v>1.02</v>
      </c>
      <c r="BK2660" s="9">
        <f t="shared" si="372"/>
        <v>5.66</v>
      </c>
      <c r="BL2660" s="9">
        <f t="shared" si="373"/>
        <v>0</v>
      </c>
      <c r="BM2660" s="9">
        <f t="shared" si="374"/>
        <v>19.877400000000002</v>
      </c>
      <c r="BN2660" s="9">
        <f t="shared" si="375"/>
        <v>267.02</v>
      </c>
      <c r="BO2660" s="9">
        <f t="shared" si="376"/>
        <v>0</v>
      </c>
      <c r="BP2660" s="9">
        <f t="shared" si="377"/>
        <v>0</v>
      </c>
    </row>
    <row r="2661" spans="1:68">
      <c r="A2661" s="6">
        <v>45013</v>
      </c>
      <c r="B2661" s="7">
        <v>3028</v>
      </c>
      <c r="C2661" s="8"/>
      <c r="D2661" s="8">
        <f>316.29+137.37</f>
        <v>453.66</v>
      </c>
      <c r="E2661" s="8"/>
      <c r="F2661" s="8">
        <f>292.51+126.36</f>
        <v>418.87</v>
      </c>
      <c r="G2661" s="8"/>
      <c r="H2661" s="8"/>
      <c r="I2661" s="8">
        <f>661.92+285.95</f>
        <v>947.86999999999989</v>
      </c>
      <c r="J2661" s="8"/>
      <c r="K2661" s="8"/>
      <c r="L2661" s="8"/>
      <c r="M2661" s="8"/>
      <c r="N2661" s="8">
        <f>9.75+4.23</f>
        <v>13.98</v>
      </c>
      <c r="O2661" s="8"/>
      <c r="P2661" s="8"/>
      <c r="Q2661" s="11"/>
      <c r="R2661" s="11"/>
      <c r="S2661" s="8">
        <f>1.78+0.77</f>
        <v>2.5499999999999998</v>
      </c>
      <c r="T2661" s="8"/>
      <c r="U2661" s="8"/>
      <c r="V2661" s="8"/>
      <c r="W2661" s="8">
        <f>4.13+9.54</f>
        <v>13.669999999999998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>
        <f>5.49+12.71</f>
        <v>18.200000000000003</v>
      </c>
      <c r="AN2661" s="8">
        <f>1049*12.12/1000</f>
        <v>12.71388</v>
      </c>
      <c r="AO2661" s="8"/>
      <c r="AP2661" s="11"/>
      <c r="AQ2661" s="8"/>
      <c r="AR2661" s="8"/>
      <c r="AS2661" s="8">
        <f>4962*12.12/1000</f>
        <v>60.139439999999993</v>
      </c>
      <c r="AT2661" s="8">
        <f>183.71+423.62</f>
        <v>607.33000000000004</v>
      </c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>
        <f>12.54+28.95</f>
        <v>41.489999999999995</v>
      </c>
      <c r="BH2661" s="9">
        <f t="shared" si="369"/>
        <v>1820.3999999999999</v>
      </c>
      <c r="BI2661" s="9">
        <f t="shared" si="370"/>
        <v>13.98</v>
      </c>
      <c r="BJ2661" s="9">
        <f t="shared" si="371"/>
        <v>2.5499999999999998</v>
      </c>
      <c r="BK2661" s="9">
        <f t="shared" si="372"/>
        <v>13.669999999999998</v>
      </c>
      <c r="BL2661" s="9">
        <f t="shared" si="373"/>
        <v>0</v>
      </c>
      <c r="BM2661" s="9">
        <f t="shared" si="374"/>
        <v>91.053319999999999</v>
      </c>
      <c r="BN2661" s="9">
        <f t="shared" si="375"/>
        <v>607.33000000000004</v>
      </c>
      <c r="BO2661" s="9">
        <f t="shared" si="376"/>
        <v>0</v>
      </c>
      <c r="BP2661" s="9">
        <f t="shared" si="377"/>
        <v>0</v>
      </c>
    </row>
    <row r="2662" spans="1:68">
      <c r="A2662" s="6">
        <v>45014</v>
      </c>
      <c r="B2662" s="7">
        <v>8297</v>
      </c>
      <c r="C2662" s="8">
        <v>1253.0899999999999</v>
      </c>
      <c r="D2662" s="8"/>
      <c r="E2662" s="8"/>
      <c r="F2662" s="8"/>
      <c r="G2662" s="8"/>
      <c r="H2662" s="8"/>
      <c r="I2662" s="8"/>
      <c r="J2662" s="8"/>
      <c r="K2662" s="8"/>
      <c r="L2662" s="8"/>
      <c r="M2662" s="8">
        <v>2.4500000000000002</v>
      </c>
      <c r="N2662" s="8"/>
      <c r="O2662" s="8"/>
      <c r="P2662" s="8"/>
      <c r="Q2662" s="11"/>
      <c r="R2662" s="11"/>
      <c r="S2662" s="8">
        <v>4.5199999999999996</v>
      </c>
      <c r="T2662" s="8"/>
      <c r="U2662" s="8">
        <v>14.59</v>
      </c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11"/>
      <c r="AQ2662" s="8"/>
      <c r="AR2662" s="8"/>
      <c r="AS2662" s="8"/>
      <c r="AT2662" s="8">
        <v>702.92</v>
      </c>
      <c r="AU2662" s="8"/>
      <c r="AV2662" s="8"/>
      <c r="AW2662" s="8"/>
      <c r="AX2662" s="8"/>
      <c r="AY2662" s="8"/>
      <c r="AZ2662" s="8"/>
      <c r="BA2662" s="8"/>
      <c r="BB2662" s="8"/>
      <c r="BC2662" s="8">
        <v>1.76</v>
      </c>
      <c r="BD2662" s="8"/>
      <c r="BE2662" s="8"/>
      <c r="BF2662" s="8">
        <v>31.38</v>
      </c>
      <c r="BG2662" s="8">
        <v>50.48</v>
      </c>
      <c r="BH2662" s="9">
        <f t="shared" si="369"/>
        <v>1253.0899999999999</v>
      </c>
      <c r="BI2662" s="9">
        <f t="shared" si="370"/>
        <v>2.4500000000000002</v>
      </c>
      <c r="BJ2662" s="9">
        <f t="shared" si="371"/>
        <v>4.5199999999999996</v>
      </c>
      <c r="BK2662" s="9">
        <f t="shared" si="372"/>
        <v>14.59</v>
      </c>
      <c r="BL2662" s="9">
        <f t="shared" si="373"/>
        <v>0</v>
      </c>
      <c r="BM2662" s="9">
        <f t="shared" si="374"/>
        <v>0</v>
      </c>
      <c r="BN2662" s="9">
        <f t="shared" si="375"/>
        <v>702.92</v>
      </c>
      <c r="BO2662" s="9">
        <f t="shared" si="376"/>
        <v>1.76</v>
      </c>
      <c r="BP2662" s="9">
        <f t="shared" si="377"/>
        <v>31.38</v>
      </c>
    </row>
    <row r="2663" spans="1:68">
      <c r="A2663" s="6">
        <v>45014</v>
      </c>
      <c r="B2663" s="7">
        <v>3145</v>
      </c>
      <c r="C2663" s="8">
        <v>1242.96</v>
      </c>
      <c r="D2663" s="8">
        <v>219.27</v>
      </c>
      <c r="E2663" s="8"/>
      <c r="F2663" s="8"/>
      <c r="G2663" s="8"/>
      <c r="H2663" s="8"/>
      <c r="I2663" s="8"/>
      <c r="J2663" s="8"/>
      <c r="K2663" s="8"/>
      <c r="L2663" s="8"/>
      <c r="M2663" s="8">
        <v>4.25</v>
      </c>
      <c r="N2663" s="8"/>
      <c r="O2663" s="8"/>
      <c r="P2663" s="8"/>
      <c r="Q2663" s="11"/>
      <c r="R2663" s="11"/>
      <c r="S2663" s="8">
        <v>6.88</v>
      </c>
      <c r="T2663" s="8"/>
      <c r="U2663" s="8">
        <v>21.95</v>
      </c>
      <c r="V2663" s="8"/>
      <c r="W2663" s="8"/>
      <c r="X2663" s="8"/>
      <c r="Y2663" s="8"/>
      <c r="Z2663" s="8"/>
      <c r="AA2663" s="8"/>
      <c r="AB2663" s="8"/>
      <c r="AC2663" s="8">
        <v>5.85</v>
      </c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11"/>
      <c r="AQ2663" s="8"/>
      <c r="AR2663" s="8"/>
      <c r="AS2663" s="8"/>
      <c r="AT2663" s="8">
        <v>967.9</v>
      </c>
      <c r="AU2663" s="8"/>
      <c r="AV2663" s="8"/>
      <c r="AW2663" s="8"/>
      <c r="AX2663" s="8"/>
      <c r="AY2663" s="8"/>
      <c r="AZ2663" s="8"/>
      <c r="BA2663" s="8"/>
      <c r="BB2663" s="8"/>
      <c r="BC2663" s="8"/>
      <c r="BD2663" s="8">
        <v>3.66</v>
      </c>
      <c r="BE2663" s="8">
        <f>1388*9.75/1000</f>
        <v>13.532999999999999</v>
      </c>
      <c r="BF2663" s="8">
        <v>102.39</v>
      </c>
      <c r="BG2663" s="8">
        <v>76.22</v>
      </c>
      <c r="BH2663" s="9">
        <f t="shared" si="369"/>
        <v>1462.23</v>
      </c>
      <c r="BI2663" s="9">
        <f t="shared" si="370"/>
        <v>4.25</v>
      </c>
      <c r="BJ2663" s="9">
        <f t="shared" si="371"/>
        <v>6.88</v>
      </c>
      <c r="BK2663" s="9">
        <f t="shared" si="372"/>
        <v>21.95</v>
      </c>
      <c r="BL2663" s="9">
        <f t="shared" si="373"/>
        <v>0</v>
      </c>
      <c r="BM2663" s="9">
        <f t="shared" si="374"/>
        <v>5.85</v>
      </c>
      <c r="BN2663" s="9">
        <f t="shared" si="375"/>
        <v>967.9</v>
      </c>
      <c r="BO2663" s="9">
        <f t="shared" si="376"/>
        <v>17.192999999999998</v>
      </c>
      <c r="BP2663" s="9">
        <f t="shared" si="377"/>
        <v>102.39</v>
      </c>
    </row>
    <row r="2664" spans="1:68">
      <c r="A2664" s="6">
        <v>45014</v>
      </c>
      <c r="B2664" s="7">
        <v>3106</v>
      </c>
      <c r="C2664" s="8">
        <v>4112.67</v>
      </c>
      <c r="D2664" s="8"/>
      <c r="E2664" s="8"/>
      <c r="F2664" s="8"/>
      <c r="G2664" s="8"/>
      <c r="H2664" s="8"/>
      <c r="I2664" s="8"/>
      <c r="J2664" s="8"/>
      <c r="K2664" s="8"/>
      <c r="L2664" s="8"/>
      <c r="M2664" s="8">
        <v>11.04</v>
      </c>
      <c r="N2664" s="8"/>
      <c r="O2664" s="8"/>
      <c r="P2664" s="8"/>
      <c r="Q2664" s="11"/>
      <c r="R2664" s="11"/>
      <c r="S2664" s="8">
        <v>12.39</v>
      </c>
      <c r="T2664" s="8"/>
      <c r="U2664" s="8">
        <v>52.56</v>
      </c>
      <c r="V2664" s="8"/>
      <c r="W2664" s="8"/>
      <c r="X2664" s="8"/>
      <c r="Y2664" s="8"/>
      <c r="Z2664" s="8"/>
      <c r="AA2664" s="8"/>
      <c r="AB2664" s="8"/>
      <c r="AC2664" s="8">
        <v>10.3</v>
      </c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11"/>
      <c r="AQ2664" s="8"/>
      <c r="AR2664" s="8"/>
      <c r="AS2664" s="8"/>
      <c r="AT2664" s="8">
        <v>2347</v>
      </c>
      <c r="AU2664" s="8"/>
      <c r="AV2664" s="8"/>
      <c r="AW2664" s="8"/>
      <c r="AX2664" s="8">
        <v>5.15</v>
      </c>
      <c r="AY2664" s="8"/>
      <c r="AZ2664" s="8"/>
      <c r="BA2664" s="8"/>
      <c r="BB2664" s="8"/>
      <c r="BC2664" s="8"/>
      <c r="BD2664" s="8"/>
      <c r="BE2664" s="8"/>
      <c r="BF2664" s="8"/>
      <c r="BG2664" s="8">
        <v>177.9</v>
      </c>
      <c r="BH2664" s="9">
        <f t="shared" si="369"/>
        <v>4112.67</v>
      </c>
      <c r="BI2664" s="9">
        <f t="shared" si="370"/>
        <v>11.04</v>
      </c>
      <c r="BJ2664" s="9">
        <f t="shared" si="371"/>
        <v>12.39</v>
      </c>
      <c r="BK2664" s="9">
        <f t="shared" si="372"/>
        <v>52.56</v>
      </c>
      <c r="BL2664" s="9">
        <f t="shared" si="373"/>
        <v>0</v>
      </c>
      <c r="BM2664" s="9">
        <f t="shared" si="374"/>
        <v>10.3</v>
      </c>
      <c r="BN2664" s="9">
        <f t="shared" si="375"/>
        <v>2347</v>
      </c>
      <c r="BO2664" s="9">
        <f t="shared" si="376"/>
        <v>5.15</v>
      </c>
      <c r="BP2664" s="9">
        <f t="shared" si="377"/>
        <v>0</v>
      </c>
    </row>
    <row r="2665" spans="1:68">
      <c r="A2665" s="6">
        <v>45014</v>
      </c>
      <c r="B2665" s="7">
        <v>8003</v>
      </c>
      <c r="C2665" s="8"/>
      <c r="D2665" s="8"/>
      <c r="E2665" s="8"/>
      <c r="F2665" s="8">
        <v>394.47</v>
      </c>
      <c r="G2665" s="8"/>
      <c r="H2665" s="8"/>
      <c r="I2665" s="8"/>
      <c r="J2665" s="8"/>
      <c r="K2665" s="8">
        <f>84000*11.22/1000</f>
        <v>942.48</v>
      </c>
      <c r="L2665" s="8"/>
      <c r="M2665" s="8"/>
      <c r="N2665" s="8">
        <v>3.11</v>
      </c>
      <c r="O2665" s="8"/>
      <c r="P2665" s="8"/>
      <c r="Q2665" s="11"/>
      <c r="R2665" s="11"/>
      <c r="S2665" s="8">
        <v>2.95</v>
      </c>
      <c r="T2665" s="8"/>
      <c r="U2665" s="8">
        <v>9.4499999999999993</v>
      </c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>
        <f>852*11.22/1000</f>
        <v>9.5594400000000004</v>
      </c>
      <c r="AK2665" s="8"/>
      <c r="AL2665" s="8"/>
      <c r="AM2665" s="8"/>
      <c r="AN2665" s="8"/>
      <c r="AO2665" s="8"/>
      <c r="AP2665" s="11"/>
      <c r="AQ2665" s="8"/>
      <c r="AR2665" s="8"/>
      <c r="AS2665" s="8"/>
      <c r="AT2665" s="8">
        <v>223.74</v>
      </c>
      <c r="AU2665" s="8">
        <v>452.71</v>
      </c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>
        <v>39.72</v>
      </c>
      <c r="BH2665" s="9">
        <f t="shared" si="369"/>
        <v>1336.95</v>
      </c>
      <c r="BI2665" s="9">
        <f t="shared" si="370"/>
        <v>3.11</v>
      </c>
      <c r="BJ2665" s="9">
        <f t="shared" si="371"/>
        <v>2.95</v>
      </c>
      <c r="BK2665" s="9">
        <f t="shared" si="372"/>
        <v>9.4499999999999993</v>
      </c>
      <c r="BL2665" s="9">
        <f t="shared" si="373"/>
        <v>0</v>
      </c>
      <c r="BM2665" s="9">
        <f t="shared" si="374"/>
        <v>9.5594400000000004</v>
      </c>
      <c r="BN2665" s="9">
        <f t="shared" si="375"/>
        <v>676.45</v>
      </c>
      <c r="BO2665" s="9">
        <f t="shared" si="376"/>
        <v>0</v>
      </c>
      <c r="BP2665" s="9">
        <f t="shared" si="377"/>
        <v>0</v>
      </c>
    </row>
    <row r="2666" spans="1:68">
      <c r="A2666" s="6">
        <v>45014</v>
      </c>
      <c r="B2666" s="7">
        <v>3405</v>
      </c>
      <c r="C2666" s="8">
        <v>1692.22</v>
      </c>
      <c r="D2666" s="8">
        <v>421.24</v>
      </c>
      <c r="E2666" s="8"/>
      <c r="F2666" s="8"/>
      <c r="G2666" s="8"/>
      <c r="H2666" s="8"/>
      <c r="I2666" s="8"/>
      <c r="J2666" s="8"/>
      <c r="K2666" s="8"/>
      <c r="L2666" s="8"/>
      <c r="M2666" s="8">
        <v>4.8</v>
      </c>
      <c r="N2666" s="8"/>
      <c r="O2666" s="8"/>
      <c r="P2666" s="8"/>
      <c r="Q2666" s="11"/>
      <c r="R2666" s="11"/>
      <c r="S2666" s="8">
        <v>4.87</v>
      </c>
      <c r="T2666" s="8"/>
      <c r="U2666" s="8"/>
      <c r="V2666" s="8"/>
      <c r="W2666" s="8"/>
      <c r="X2666" s="8">
        <f>1221*21.17/1000</f>
        <v>25.848570000000002</v>
      </c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11"/>
      <c r="AQ2666" s="8"/>
      <c r="AR2666" s="8"/>
      <c r="AS2666" s="8"/>
      <c r="AT2666" s="8">
        <v>1034.93</v>
      </c>
      <c r="AU2666" s="8"/>
      <c r="AV2666" s="8"/>
      <c r="AW2666" s="8"/>
      <c r="AX2666" s="8"/>
      <c r="AY2666" s="8"/>
      <c r="AZ2666" s="8"/>
      <c r="BA2666" s="8">
        <v>9.52</v>
      </c>
      <c r="BB2666" s="8"/>
      <c r="BC2666" s="8"/>
      <c r="BD2666" s="8"/>
      <c r="BE2666" s="8"/>
      <c r="BF2666" s="8"/>
      <c r="BG2666" s="8">
        <v>69.91</v>
      </c>
      <c r="BH2666" s="9">
        <f t="shared" si="369"/>
        <v>2113.46</v>
      </c>
      <c r="BI2666" s="9">
        <f t="shared" si="370"/>
        <v>4.8</v>
      </c>
      <c r="BJ2666" s="9">
        <f t="shared" si="371"/>
        <v>4.87</v>
      </c>
      <c r="BK2666" s="9">
        <f t="shared" si="372"/>
        <v>25.848570000000002</v>
      </c>
      <c r="BL2666" s="9">
        <f t="shared" si="373"/>
        <v>0</v>
      </c>
      <c r="BM2666" s="9">
        <f t="shared" si="374"/>
        <v>0</v>
      </c>
      <c r="BN2666" s="9">
        <f t="shared" si="375"/>
        <v>1034.93</v>
      </c>
      <c r="BO2666" s="9">
        <f t="shared" si="376"/>
        <v>9.52</v>
      </c>
      <c r="BP2666" s="9">
        <f t="shared" si="377"/>
        <v>0</v>
      </c>
    </row>
    <row r="2667" spans="1:68">
      <c r="A2667" s="6">
        <v>45014</v>
      </c>
      <c r="B2667" s="7">
        <v>3403</v>
      </c>
      <c r="C2667" s="8">
        <v>538.38</v>
      </c>
      <c r="D2667" s="8">
        <v>534.64</v>
      </c>
      <c r="E2667" s="8"/>
      <c r="F2667" s="8"/>
      <c r="G2667" s="8"/>
      <c r="H2667" s="8"/>
      <c r="I2667" s="8"/>
      <c r="J2667" s="8"/>
      <c r="K2667" s="8"/>
      <c r="L2667" s="8"/>
      <c r="M2667" s="8">
        <v>2.5</v>
      </c>
      <c r="N2667" s="8"/>
      <c r="O2667" s="8"/>
      <c r="P2667" s="8"/>
      <c r="Q2667" s="11"/>
      <c r="R2667" s="11"/>
      <c r="S2667" s="8">
        <v>2.61</v>
      </c>
      <c r="T2667" s="8"/>
      <c r="U2667" s="8"/>
      <c r="V2667" s="8"/>
      <c r="W2667" s="8"/>
      <c r="X2667" s="8">
        <f>1002*10.72/1000</f>
        <v>10.741440000000001</v>
      </c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11"/>
      <c r="AQ2667" s="8"/>
      <c r="AR2667" s="8"/>
      <c r="AS2667" s="8"/>
      <c r="AT2667" s="8">
        <v>497.48</v>
      </c>
      <c r="AU2667" s="8"/>
      <c r="AV2667" s="8">
        <v>32.119999999999997</v>
      </c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>
        <v>35.39</v>
      </c>
      <c r="BH2667" s="9">
        <f t="shared" si="369"/>
        <v>1073.02</v>
      </c>
      <c r="BI2667" s="9">
        <f t="shared" si="370"/>
        <v>2.5</v>
      </c>
      <c r="BJ2667" s="9">
        <f t="shared" si="371"/>
        <v>2.61</v>
      </c>
      <c r="BK2667" s="9">
        <f t="shared" si="372"/>
        <v>10.741440000000001</v>
      </c>
      <c r="BL2667" s="9">
        <f t="shared" si="373"/>
        <v>0</v>
      </c>
      <c r="BM2667" s="9">
        <f t="shared" si="374"/>
        <v>0</v>
      </c>
      <c r="BN2667" s="9">
        <f t="shared" si="375"/>
        <v>497.48</v>
      </c>
      <c r="BO2667" s="9">
        <f t="shared" si="376"/>
        <v>32.119999999999997</v>
      </c>
      <c r="BP2667" s="9">
        <f t="shared" si="377"/>
        <v>0</v>
      </c>
    </row>
    <row r="2668" spans="1:68">
      <c r="A2668" s="6">
        <v>45014</v>
      </c>
      <c r="B2668" s="7">
        <v>3083</v>
      </c>
      <c r="C2668" s="8"/>
      <c r="D2668" s="8">
        <v>1059.02</v>
      </c>
      <c r="E2668" s="8"/>
      <c r="F2668" s="8"/>
      <c r="G2668" s="8"/>
      <c r="H2668" s="8"/>
      <c r="I2668" s="8">
        <v>2470.7199999999998</v>
      </c>
      <c r="J2668" s="8"/>
      <c r="K2668" s="8"/>
      <c r="L2668" s="8"/>
      <c r="M2668" s="8"/>
      <c r="N2668" s="8">
        <v>22.93</v>
      </c>
      <c r="O2668" s="8"/>
      <c r="P2668" s="8"/>
      <c r="Q2668" s="11"/>
      <c r="R2668" s="11"/>
      <c r="S2668" s="8">
        <v>2.46</v>
      </c>
      <c r="T2668" s="8"/>
      <c r="U2668" s="8"/>
      <c r="V2668" s="8"/>
      <c r="W2668" s="8">
        <v>28.25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>
        <v>14.08</v>
      </c>
      <c r="AN2668" s="8">
        <f>1899*26.12/1000</f>
        <v>49.601880000000001</v>
      </c>
      <c r="AO2668" s="8"/>
      <c r="AP2668" s="11"/>
      <c r="AQ2668" s="8"/>
      <c r="AR2668" s="8">
        <f>3462*26.12/1000</f>
        <v>90.427440000000004</v>
      </c>
      <c r="AS2668" s="8"/>
      <c r="AT2668" s="8">
        <v>1658.53</v>
      </c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>
        <v>131.51</v>
      </c>
      <c r="BH2668" s="9">
        <f t="shared" si="369"/>
        <v>3529.74</v>
      </c>
      <c r="BI2668" s="9">
        <f t="shared" si="370"/>
        <v>22.93</v>
      </c>
      <c r="BJ2668" s="9">
        <f t="shared" si="371"/>
        <v>2.46</v>
      </c>
      <c r="BK2668" s="9">
        <f t="shared" si="372"/>
        <v>28.25</v>
      </c>
      <c r="BL2668" s="9">
        <f t="shared" si="373"/>
        <v>0</v>
      </c>
      <c r="BM2668" s="9">
        <f t="shared" si="374"/>
        <v>154.10932</v>
      </c>
      <c r="BN2668" s="9">
        <f t="shared" si="375"/>
        <v>1658.53</v>
      </c>
      <c r="BO2668" s="9">
        <f t="shared" si="376"/>
        <v>0</v>
      </c>
      <c r="BP2668" s="9">
        <f t="shared" si="377"/>
        <v>0</v>
      </c>
    </row>
    <row r="2669" spans="1:68">
      <c r="A2669" s="6">
        <v>45014</v>
      </c>
      <c r="B2669" s="7">
        <v>3009</v>
      </c>
      <c r="C2669" s="8"/>
      <c r="D2669" s="8">
        <v>386.93</v>
      </c>
      <c r="E2669" s="8"/>
      <c r="F2669" s="8">
        <v>216.89</v>
      </c>
      <c r="G2669" s="8"/>
      <c r="H2669" s="8"/>
      <c r="I2669" s="8">
        <v>203.57</v>
      </c>
      <c r="J2669" s="8"/>
      <c r="K2669" s="8"/>
      <c r="L2669" s="8"/>
      <c r="M2669" s="8"/>
      <c r="N2669" s="8">
        <v>5.8</v>
      </c>
      <c r="O2669" s="8"/>
      <c r="P2669" s="8"/>
      <c r="Q2669" s="11"/>
      <c r="R2669" s="11"/>
      <c r="S2669" s="8">
        <v>0.48</v>
      </c>
      <c r="T2669" s="8"/>
      <c r="U2669" s="8"/>
      <c r="V2669" s="8"/>
      <c r="W2669" s="8">
        <v>6.54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>
        <v>2.82</v>
      </c>
      <c r="AN2669" s="8">
        <f>1488*5.38/1000</f>
        <v>8.0054400000000001</v>
      </c>
      <c r="AO2669" s="8"/>
      <c r="AP2669" s="11"/>
      <c r="AQ2669" s="8"/>
      <c r="AR2669" s="8">
        <f>5310*5.38/1000</f>
        <v>28.567799999999998</v>
      </c>
      <c r="AS2669" s="8"/>
      <c r="AT2669" s="8">
        <v>303.61</v>
      </c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>
        <v>22.26</v>
      </c>
      <c r="BH2669" s="9">
        <f t="shared" si="369"/>
        <v>807.38999999999987</v>
      </c>
      <c r="BI2669" s="9">
        <f t="shared" si="370"/>
        <v>5.8</v>
      </c>
      <c r="BJ2669" s="9">
        <f t="shared" si="371"/>
        <v>0.48</v>
      </c>
      <c r="BK2669" s="9">
        <f t="shared" si="372"/>
        <v>6.54</v>
      </c>
      <c r="BL2669" s="9">
        <f t="shared" si="373"/>
        <v>0</v>
      </c>
      <c r="BM2669" s="9">
        <f t="shared" si="374"/>
        <v>39.393239999999999</v>
      </c>
      <c r="BN2669" s="9">
        <f t="shared" si="375"/>
        <v>303.61</v>
      </c>
      <c r="BO2669" s="9">
        <f t="shared" si="376"/>
        <v>0</v>
      </c>
      <c r="BP2669" s="9">
        <f t="shared" si="377"/>
        <v>0</v>
      </c>
    </row>
    <row r="2670" spans="1:68">
      <c r="A2670" s="6">
        <v>45015</v>
      </c>
      <c r="B2670" s="7">
        <v>3102</v>
      </c>
      <c r="C2670" s="8">
        <v>375.13</v>
      </c>
      <c r="D2670" s="8"/>
      <c r="E2670" s="8"/>
      <c r="F2670" s="8"/>
      <c r="G2670" s="8"/>
      <c r="H2670" s="8"/>
      <c r="I2670" s="8"/>
      <c r="J2670" s="8"/>
      <c r="K2670" s="8"/>
      <c r="L2670" s="8"/>
      <c r="M2670" s="8">
        <v>1.1299999999999999</v>
      </c>
      <c r="N2670" s="8"/>
      <c r="O2670" s="8"/>
      <c r="P2670" s="8"/>
      <c r="Q2670" s="11"/>
      <c r="R2670" s="11"/>
      <c r="S2670" s="8">
        <v>1.69</v>
      </c>
      <c r="T2670" s="8"/>
      <c r="U2670" s="8">
        <v>4.5</v>
      </c>
      <c r="V2670" s="8"/>
      <c r="W2670" s="8"/>
      <c r="X2670" s="8"/>
      <c r="Y2670" s="8"/>
      <c r="Z2670" s="8"/>
      <c r="AA2670" s="8"/>
      <c r="AB2670" s="8"/>
      <c r="AC2670" s="8">
        <v>1.5</v>
      </c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11"/>
      <c r="AQ2670" s="8"/>
      <c r="AR2670" s="8"/>
      <c r="AS2670" s="8"/>
      <c r="AT2670" s="8">
        <v>250.62</v>
      </c>
      <c r="AU2670" s="8"/>
      <c r="AV2670" s="8"/>
      <c r="AW2670" s="8"/>
      <c r="AX2670" s="8"/>
      <c r="AY2670" s="8"/>
      <c r="AZ2670" s="8"/>
      <c r="BA2670" s="8">
        <v>8.57</v>
      </c>
      <c r="BB2670" s="8"/>
      <c r="BC2670" s="8"/>
      <c r="BD2670" s="8"/>
      <c r="BE2670" s="8"/>
      <c r="BF2670" s="8">
        <v>26.3</v>
      </c>
      <c r="BG2670" s="8">
        <v>18.54</v>
      </c>
      <c r="BH2670" s="9">
        <f t="shared" si="369"/>
        <v>375.13</v>
      </c>
      <c r="BI2670" s="9">
        <f t="shared" si="370"/>
        <v>1.1299999999999999</v>
      </c>
      <c r="BJ2670" s="9">
        <f t="shared" si="371"/>
        <v>1.69</v>
      </c>
      <c r="BK2670" s="9">
        <f t="shared" si="372"/>
        <v>4.5</v>
      </c>
      <c r="BL2670" s="9">
        <f t="shared" si="373"/>
        <v>0</v>
      </c>
      <c r="BM2670" s="9">
        <f t="shared" si="374"/>
        <v>1.5</v>
      </c>
      <c r="BN2670" s="9">
        <f t="shared" si="375"/>
        <v>250.62</v>
      </c>
      <c r="BO2670" s="9">
        <f t="shared" si="376"/>
        <v>8.57</v>
      </c>
      <c r="BP2670" s="9">
        <f t="shared" si="377"/>
        <v>26.3</v>
      </c>
    </row>
    <row r="2671" spans="1:68">
      <c r="A2671" s="6">
        <v>45015</v>
      </c>
      <c r="B2671" s="7">
        <v>3010</v>
      </c>
      <c r="C2671" s="8">
        <v>661.25</v>
      </c>
      <c r="D2671" s="8">
        <v>440.65</v>
      </c>
      <c r="E2671" s="8"/>
      <c r="F2671" s="8"/>
      <c r="G2671" s="8"/>
      <c r="H2671" s="8"/>
      <c r="I2671" s="8"/>
      <c r="J2671" s="8"/>
      <c r="K2671" s="8"/>
      <c r="L2671" s="8"/>
      <c r="M2671" s="8"/>
      <c r="N2671" s="8">
        <v>2.2000000000000002</v>
      </c>
      <c r="O2671" s="8"/>
      <c r="P2671" s="8"/>
      <c r="Q2671" s="11"/>
      <c r="R2671" s="11"/>
      <c r="S2671" s="8">
        <v>2.98</v>
      </c>
      <c r="T2671" s="8"/>
      <c r="U2671" s="8"/>
      <c r="V2671" s="8"/>
      <c r="W2671" s="8">
        <v>11.03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11"/>
      <c r="AQ2671" s="8"/>
      <c r="AR2671" s="8"/>
      <c r="AS2671" s="8"/>
      <c r="AT2671" s="8">
        <v>370.01</v>
      </c>
      <c r="AU2671" s="8"/>
      <c r="AV2671" s="8"/>
      <c r="AW2671" s="8">
        <v>12.21</v>
      </c>
      <c r="AX2671" s="8"/>
      <c r="AY2671" s="8"/>
      <c r="AZ2671" s="8"/>
      <c r="BA2671" s="8"/>
      <c r="BB2671" s="8"/>
      <c r="BC2671" s="8"/>
      <c r="BD2671" s="8"/>
      <c r="BE2671" s="8"/>
      <c r="BF2671" s="8"/>
      <c r="BG2671" s="8">
        <v>24.3</v>
      </c>
      <c r="BH2671" s="9">
        <f t="shared" si="369"/>
        <v>1101.9000000000001</v>
      </c>
      <c r="BI2671" s="9">
        <f t="shared" si="370"/>
        <v>2.2000000000000002</v>
      </c>
      <c r="BJ2671" s="9">
        <f t="shared" si="371"/>
        <v>2.98</v>
      </c>
      <c r="BK2671" s="9">
        <f t="shared" si="372"/>
        <v>11.03</v>
      </c>
      <c r="BL2671" s="9">
        <f t="shared" si="373"/>
        <v>0</v>
      </c>
      <c r="BM2671" s="9">
        <f t="shared" si="374"/>
        <v>0</v>
      </c>
      <c r="BN2671" s="9">
        <f t="shared" si="375"/>
        <v>370.01</v>
      </c>
      <c r="BO2671" s="9">
        <f t="shared" si="376"/>
        <v>12.21</v>
      </c>
      <c r="BP2671" s="9">
        <f t="shared" si="377"/>
        <v>0</v>
      </c>
    </row>
    <row r="2672" spans="1:68">
      <c r="A2672" s="6">
        <v>45015</v>
      </c>
      <c r="B2672" s="7">
        <v>8297</v>
      </c>
      <c r="C2672" s="8">
        <v>1469.65</v>
      </c>
      <c r="D2672" s="8"/>
      <c r="E2672" s="8"/>
      <c r="F2672" s="8"/>
      <c r="G2672" s="8"/>
      <c r="H2672" s="8"/>
      <c r="I2672" s="8"/>
      <c r="J2672" s="8"/>
      <c r="K2672" s="8"/>
      <c r="L2672" s="8"/>
      <c r="M2672" s="8">
        <v>2.7</v>
      </c>
      <c r="N2672" s="8"/>
      <c r="O2672" s="8"/>
      <c r="P2672" s="8"/>
      <c r="Q2672" s="11"/>
      <c r="R2672" s="11"/>
      <c r="S2672" s="8">
        <v>5.29</v>
      </c>
      <c r="T2672" s="8"/>
      <c r="U2672" s="8">
        <v>17.22</v>
      </c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11"/>
      <c r="AQ2672" s="8"/>
      <c r="AR2672" s="8"/>
      <c r="AS2672" s="8"/>
      <c r="AT2672" s="8">
        <v>821.64</v>
      </c>
      <c r="AU2672" s="8"/>
      <c r="AV2672" s="8"/>
      <c r="AW2672" s="8"/>
      <c r="AX2672" s="8"/>
      <c r="AY2672" s="8"/>
      <c r="AZ2672" s="8"/>
      <c r="BA2672" s="8"/>
      <c r="BB2672" s="8"/>
      <c r="BC2672" s="8">
        <v>2.06</v>
      </c>
      <c r="BD2672" s="8"/>
      <c r="BE2672" s="8"/>
      <c r="BF2672" s="8">
        <v>36.729999999999997</v>
      </c>
      <c r="BG2672" s="8">
        <v>58.89</v>
      </c>
      <c r="BH2672" s="9">
        <f t="shared" si="369"/>
        <v>1469.65</v>
      </c>
      <c r="BI2672" s="9">
        <f t="shared" si="370"/>
        <v>2.7</v>
      </c>
      <c r="BJ2672" s="9">
        <f t="shared" si="371"/>
        <v>5.29</v>
      </c>
      <c r="BK2672" s="9">
        <f t="shared" si="372"/>
        <v>17.22</v>
      </c>
      <c r="BL2672" s="9">
        <f t="shared" si="373"/>
        <v>0</v>
      </c>
      <c r="BM2672" s="9">
        <f t="shared" si="374"/>
        <v>0</v>
      </c>
      <c r="BN2672" s="9">
        <f t="shared" si="375"/>
        <v>821.64</v>
      </c>
      <c r="BO2672" s="9">
        <f t="shared" si="376"/>
        <v>2.06</v>
      </c>
      <c r="BP2672" s="9">
        <f t="shared" si="377"/>
        <v>36.729999999999997</v>
      </c>
    </row>
    <row r="2673" spans="1:68">
      <c r="A2673" s="6">
        <v>45015</v>
      </c>
      <c r="B2673" s="7">
        <v>3122</v>
      </c>
      <c r="C2673" s="8">
        <v>1376.85</v>
      </c>
      <c r="D2673" s="8"/>
      <c r="E2673" s="8"/>
      <c r="F2673" s="8"/>
      <c r="G2673" s="8"/>
      <c r="H2673" s="8"/>
      <c r="I2673" s="8"/>
      <c r="J2673" s="8"/>
      <c r="K2673" s="8"/>
      <c r="L2673" s="8"/>
      <c r="M2673" s="8">
        <v>2.48</v>
      </c>
      <c r="N2673" s="8">
        <v>2.4700000000000002</v>
      </c>
      <c r="O2673" s="8"/>
      <c r="P2673" s="8"/>
      <c r="Q2673" s="11"/>
      <c r="R2673" s="11"/>
      <c r="S2673" s="8">
        <v>5.65</v>
      </c>
      <c r="T2673" s="8"/>
      <c r="U2673" s="8">
        <v>13.77</v>
      </c>
      <c r="V2673" s="8"/>
      <c r="W2673" s="8"/>
      <c r="X2673" s="8"/>
      <c r="Y2673" s="8"/>
      <c r="Z2673" s="8"/>
      <c r="AA2673" s="8"/>
      <c r="AB2673" s="8"/>
      <c r="AC2673" s="8">
        <v>5.5</v>
      </c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11"/>
      <c r="AQ2673" s="8"/>
      <c r="AR2673" s="8"/>
      <c r="AS2673" s="8"/>
      <c r="AT2673" s="8">
        <v>609.11</v>
      </c>
      <c r="AU2673" s="8"/>
      <c r="AV2673" s="8">
        <v>46.74</v>
      </c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>
        <v>44.76</v>
      </c>
      <c r="BH2673" s="9">
        <f t="shared" si="369"/>
        <v>1376.85</v>
      </c>
      <c r="BI2673" s="9">
        <f t="shared" si="370"/>
        <v>4.95</v>
      </c>
      <c r="BJ2673" s="9">
        <f t="shared" si="371"/>
        <v>5.65</v>
      </c>
      <c r="BK2673" s="9">
        <f t="shared" si="372"/>
        <v>13.77</v>
      </c>
      <c r="BL2673" s="9">
        <f t="shared" si="373"/>
        <v>0</v>
      </c>
      <c r="BM2673" s="9">
        <f t="shared" si="374"/>
        <v>5.5</v>
      </c>
      <c r="BN2673" s="9">
        <f t="shared" si="375"/>
        <v>609.11</v>
      </c>
      <c r="BO2673" s="9">
        <f t="shared" si="376"/>
        <v>46.74</v>
      </c>
      <c r="BP2673" s="9">
        <f t="shared" si="377"/>
        <v>0</v>
      </c>
    </row>
    <row r="2674" spans="1:68">
      <c r="A2674" s="6">
        <v>45015</v>
      </c>
      <c r="B2674" s="7">
        <v>3139</v>
      </c>
      <c r="C2674" s="8">
        <v>1791.66</v>
      </c>
      <c r="D2674" s="8"/>
      <c r="E2674" s="8"/>
      <c r="F2674" s="8"/>
      <c r="G2674" s="8"/>
      <c r="H2674" s="8">
        <v>741.28</v>
      </c>
      <c r="I2674" s="8"/>
      <c r="J2674" s="8"/>
      <c r="K2674" s="8"/>
      <c r="L2674" s="8"/>
      <c r="M2674" s="8">
        <v>4.16</v>
      </c>
      <c r="N2674" s="8"/>
      <c r="O2674" s="8"/>
      <c r="P2674" s="8"/>
      <c r="Q2674" s="11"/>
      <c r="R2674" s="11"/>
      <c r="S2674" s="8">
        <v>7.93</v>
      </c>
      <c r="T2674" s="8"/>
      <c r="U2674" s="8">
        <v>26.44</v>
      </c>
      <c r="V2674" s="8"/>
      <c r="W2674" s="8"/>
      <c r="X2674" s="8"/>
      <c r="Y2674" s="8"/>
      <c r="Z2674" s="8"/>
      <c r="AA2674" s="8"/>
      <c r="AB2674" s="8"/>
      <c r="AC2674" s="8">
        <v>8.82</v>
      </c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11"/>
      <c r="AQ2674" s="8"/>
      <c r="AR2674" s="8"/>
      <c r="AS2674" s="8"/>
      <c r="AT2674" s="8">
        <v>1306.44</v>
      </c>
      <c r="AU2674" s="8"/>
      <c r="AV2674" s="8">
        <v>44.07</v>
      </c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>
        <v>94.79</v>
      </c>
      <c r="BH2674" s="9">
        <f t="shared" si="369"/>
        <v>2532.94</v>
      </c>
      <c r="BI2674" s="9">
        <f t="shared" si="370"/>
        <v>4.16</v>
      </c>
      <c r="BJ2674" s="9">
        <f t="shared" si="371"/>
        <v>7.93</v>
      </c>
      <c r="BK2674" s="9">
        <f t="shared" si="372"/>
        <v>26.44</v>
      </c>
      <c r="BL2674" s="9">
        <f t="shared" si="373"/>
        <v>0</v>
      </c>
      <c r="BM2674" s="9">
        <f t="shared" si="374"/>
        <v>8.82</v>
      </c>
      <c r="BN2674" s="9">
        <f t="shared" si="375"/>
        <v>1306.44</v>
      </c>
      <c r="BO2674" s="9">
        <f t="shared" si="376"/>
        <v>44.07</v>
      </c>
      <c r="BP2674" s="9">
        <f t="shared" si="377"/>
        <v>0</v>
      </c>
    </row>
    <row r="2675" spans="1:68">
      <c r="A2675" s="6">
        <v>45016</v>
      </c>
      <c r="B2675" s="7">
        <v>3601</v>
      </c>
      <c r="C2675" s="8">
        <v>291.36</v>
      </c>
      <c r="D2675" s="8"/>
      <c r="E2675" s="8"/>
      <c r="F2675" s="8"/>
      <c r="G2675" s="8">
        <v>437.29</v>
      </c>
      <c r="H2675" s="8"/>
      <c r="I2675" s="8"/>
      <c r="J2675" s="8"/>
      <c r="K2675" s="8"/>
      <c r="L2675" s="8"/>
      <c r="M2675" s="8">
        <v>0.88</v>
      </c>
      <c r="N2675" s="8"/>
      <c r="O2675" s="8"/>
      <c r="P2675" s="8"/>
      <c r="Q2675" s="11"/>
      <c r="R2675" s="11"/>
      <c r="S2675" s="8">
        <v>3.51</v>
      </c>
      <c r="T2675" s="8"/>
      <c r="U2675" s="8">
        <v>4.3899999999999997</v>
      </c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11"/>
      <c r="AQ2675" s="8"/>
      <c r="AR2675" s="8"/>
      <c r="AS2675" s="8"/>
      <c r="AT2675" s="8">
        <v>357.47</v>
      </c>
      <c r="AU2675" s="8"/>
      <c r="AV2675" s="8"/>
      <c r="AW2675" s="8">
        <v>22.23</v>
      </c>
      <c r="AX2675" s="8"/>
      <c r="AY2675" s="8"/>
      <c r="AZ2675" s="8"/>
      <c r="BA2675" s="8"/>
      <c r="BB2675" s="8"/>
      <c r="BC2675" s="8"/>
      <c r="BD2675" s="8"/>
      <c r="BE2675" s="8"/>
      <c r="BF2675" s="8">
        <v>40.93</v>
      </c>
      <c r="BG2675" s="8">
        <v>26.09</v>
      </c>
      <c r="BH2675" s="9">
        <f t="shared" si="369"/>
        <v>728.65000000000009</v>
      </c>
      <c r="BI2675" s="9">
        <f t="shared" si="370"/>
        <v>0.88</v>
      </c>
      <c r="BJ2675" s="9">
        <f t="shared" si="371"/>
        <v>3.51</v>
      </c>
      <c r="BK2675" s="9">
        <f t="shared" si="372"/>
        <v>4.3899999999999997</v>
      </c>
      <c r="BL2675" s="9">
        <f t="shared" si="373"/>
        <v>0</v>
      </c>
      <c r="BM2675" s="9">
        <f t="shared" si="374"/>
        <v>0</v>
      </c>
      <c r="BN2675" s="9">
        <f t="shared" si="375"/>
        <v>357.47</v>
      </c>
      <c r="BO2675" s="9">
        <f t="shared" si="376"/>
        <v>22.23</v>
      </c>
      <c r="BP2675" s="9">
        <f t="shared" si="377"/>
        <v>40.93</v>
      </c>
    </row>
    <row r="2676" spans="1:68">
      <c r="A2676" s="6">
        <v>45016</v>
      </c>
      <c r="B2676" s="7">
        <v>3602</v>
      </c>
      <c r="C2676" s="8">
        <v>564.08000000000004</v>
      </c>
      <c r="D2676" s="8"/>
      <c r="E2676" s="8"/>
      <c r="F2676" s="8"/>
      <c r="G2676" s="8">
        <v>845.23</v>
      </c>
      <c r="H2676" s="8"/>
      <c r="I2676" s="8"/>
      <c r="J2676" s="8"/>
      <c r="K2676" s="8"/>
      <c r="L2676" s="8"/>
      <c r="M2676" s="8">
        <v>1.47</v>
      </c>
      <c r="N2676" s="8"/>
      <c r="O2676" s="8"/>
      <c r="P2676" s="8"/>
      <c r="Q2676" s="11"/>
      <c r="R2676" s="11"/>
      <c r="S2676" s="8">
        <v>6.76</v>
      </c>
      <c r="T2676" s="8"/>
      <c r="U2676" s="8">
        <v>11.29</v>
      </c>
      <c r="V2676" s="8">
        <f>856*16.12/1000</f>
        <v>13.798720000000001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11"/>
      <c r="AQ2676" s="8"/>
      <c r="AR2676" s="8"/>
      <c r="AS2676" s="8"/>
      <c r="AT2676" s="8">
        <v>569.1</v>
      </c>
      <c r="AU2676" s="8"/>
      <c r="AV2676" s="8"/>
      <c r="AW2676" s="8">
        <v>36.450000000000003</v>
      </c>
      <c r="AX2676" s="8"/>
      <c r="AY2676" s="8"/>
      <c r="AZ2676" s="8"/>
      <c r="BA2676" s="8"/>
      <c r="BB2676" s="8"/>
      <c r="BC2676" s="8"/>
      <c r="BD2676" s="8"/>
      <c r="BE2676" s="8"/>
      <c r="BF2676" s="8">
        <v>45.19</v>
      </c>
      <c r="BG2676" s="8">
        <v>42.2</v>
      </c>
      <c r="BH2676" s="9">
        <f t="shared" si="369"/>
        <v>1409.31</v>
      </c>
      <c r="BI2676" s="9">
        <f t="shared" si="370"/>
        <v>1.47</v>
      </c>
      <c r="BJ2676" s="9">
        <f t="shared" si="371"/>
        <v>6.76</v>
      </c>
      <c r="BK2676" s="9">
        <f t="shared" si="372"/>
        <v>25.088720000000002</v>
      </c>
      <c r="BL2676" s="9">
        <f t="shared" si="373"/>
        <v>0</v>
      </c>
      <c r="BM2676" s="9">
        <f t="shared" si="374"/>
        <v>0</v>
      </c>
      <c r="BN2676" s="9">
        <f t="shared" si="375"/>
        <v>569.1</v>
      </c>
      <c r="BO2676" s="9">
        <f t="shared" si="376"/>
        <v>36.450000000000003</v>
      </c>
      <c r="BP2676" s="9">
        <f t="shared" si="377"/>
        <v>45.19</v>
      </c>
    </row>
    <row r="2677" spans="1:68">
      <c r="A2677" s="6">
        <v>45016</v>
      </c>
      <c r="B2677" s="7">
        <v>3701</v>
      </c>
      <c r="C2677" s="8">
        <v>203.71</v>
      </c>
      <c r="D2677" s="8"/>
      <c r="E2677" s="8"/>
      <c r="F2677" s="8"/>
      <c r="G2677" s="8"/>
      <c r="H2677" s="8"/>
      <c r="I2677" s="8"/>
      <c r="J2677" s="8">
        <f>48631*6.87/1000</f>
        <v>334.09497000000005</v>
      </c>
      <c r="K2677" s="8"/>
      <c r="L2677" s="8"/>
      <c r="M2677" s="8"/>
      <c r="N2677" s="8">
        <v>1.27</v>
      </c>
      <c r="O2677" s="8"/>
      <c r="P2677" s="8"/>
      <c r="Q2677" s="11"/>
      <c r="R2677" s="11"/>
      <c r="S2677" s="8">
        <v>1.49</v>
      </c>
      <c r="T2677" s="8"/>
      <c r="U2677" s="8">
        <v>3.31</v>
      </c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>
        <v>11.04</v>
      </c>
      <c r="AH2677" s="8"/>
      <c r="AI2677" s="8"/>
      <c r="AJ2677" s="8">
        <f>2413*6.87/1000</f>
        <v>16.577310000000001</v>
      </c>
      <c r="AK2677" s="8"/>
      <c r="AL2677" s="8"/>
      <c r="AM2677" s="8"/>
      <c r="AN2677" s="8"/>
      <c r="AO2677" s="8"/>
      <c r="AP2677" s="11"/>
      <c r="AQ2677" s="8"/>
      <c r="AR2677" s="8"/>
      <c r="AS2677" s="8"/>
      <c r="AT2677" s="8"/>
      <c r="AU2677" s="8">
        <v>194.5</v>
      </c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>
        <v>13.3</v>
      </c>
      <c r="BH2677" s="9">
        <f t="shared" si="369"/>
        <v>537.80497000000003</v>
      </c>
      <c r="BI2677" s="9">
        <f t="shared" si="370"/>
        <v>1.27</v>
      </c>
      <c r="BJ2677" s="9">
        <f t="shared" si="371"/>
        <v>1.49</v>
      </c>
      <c r="BK2677" s="9">
        <f t="shared" si="372"/>
        <v>3.31</v>
      </c>
      <c r="BL2677" s="9">
        <f t="shared" si="373"/>
        <v>0</v>
      </c>
      <c r="BM2677" s="9">
        <f t="shared" si="374"/>
        <v>27.61731</v>
      </c>
      <c r="BN2677" s="9">
        <f t="shared" si="375"/>
        <v>194.5</v>
      </c>
      <c r="BO2677" s="9">
        <f t="shared" si="376"/>
        <v>0</v>
      </c>
      <c r="BP2677" s="9">
        <f t="shared" si="377"/>
        <v>0</v>
      </c>
    </row>
    <row r="2678" spans="1:68">
      <c r="A2678" s="6">
        <v>45016</v>
      </c>
      <c r="B2678" s="7">
        <v>3141</v>
      </c>
      <c r="C2678" s="8">
        <v>2424.8000000000002</v>
      </c>
      <c r="D2678" s="8">
        <v>428.22</v>
      </c>
      <c r="E2678" s="8"/>
      <c r="F2678" s="8"/>
      <c r="G2678" s="8"/>
      <c r="H2678" s="8"/>
      <c r="I2678" s="8"/>
      <c r="J2678" s="8"/>
      <c r="K2678" s="8"/>
      <c r="L2678" s="8"/>
      <c r="M2678" s="8">
        <v>7.96</v>
      </c>
      <c r="N2678" s="8"/>
      <c r="O2678" s="8"/>
      <c r="P2678" s="8"/>
      <c r="Q2678" s="11"/>
      <c r="R2678" s="11"/>
      <c r="S2678" s="8">
        <v>13.43</v>
      </c>
      <c r="T2678" s="8"/>
      <c r="U2678" s="8">
        <v>42.85</v>
      </c>
      <c r="V2678" s="8"/>
      <c r="W2678" s="8"/>
      <c r="X2678" s="8"/>
      <c r="Y2678" s="8"/>
      <c r="Z2678" s="8"/>
      <c r="AA2678" s="8"/>
      <c r="AB2678" s="8"/>
      <c r="AC2678" s="8">
        <v>11.44</v>
      </c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11"/>
      <c r="AQ2678" s="8"/>
      <c r="AR2678" s="8"/>
      <c r="AS2678" s="8"/>
      <c r="AT2678" s="8">
        <v>1875.09</v>
      </c>
      <c r="AU2678" s="8"/>
      <c r="AV2678" s="8"/>
      <c r="AW2678" s="8"/>
      <c r="AX2678" s="8"/>
      <c r="AY2678" s="8"/>
      <c r="AZ2678" s="8"/>
      <c r="BA2678" s="8">
        <v>65.52</v>
      </c>
      <c r="BB2678" s="8"/>
      <c r="BC2678" s="8"/>
      <c r="BD2678" s="8"/>
      <c r="BE2678" s="8"/>
      <c r="BF2678" s="8">
        <v>200.01</v>
      </c>
      <c r="BG2678" s="8">
        <v>147.99</v>
      </c>
      <c r="BH2678" s="9">
        <f t="shared" si="369"/>
        <v>2853.0200000000004</v>
      </c>
      <c r="BI2678" s="9">
        <f t="shared" si="370"/>
        <v>7.96</v>
      </c>
      <c r="BJ2678" s="9">
        <f t="shared" si="371"/>
        <v>13.43</v>
      </c>
      <c r="BK2678" s="9">
        <f t="shared" si="372"/>
        <v>42.85</v>
      </c>
      <c r="BL2678" s="9">
        <f t="shared" si="373"/>
        <v>0</v>
      </c>
      <c r="BM2678" s="9">
        <f t="shared" si="374"/>
        <v>11.44</v>
      </c>
      <c r="BN2678" s="9">
        <f t="shared" si="375"/>
        <v>1875.09</v>
      </c>
      <c r="BO2678" s="9">
        <f t="shared" si="376"/>
        <v>65.52</v>
      </c>
      <c r="BP2678" s="9">
        <f t="shared" si="377"/>
        <v>200.01</v>
      </c>
    </row>
    <row r="2679" spans="1:68">
      <c r="A2679" s="6">
        <v>45016</v>
      </c>
      <c r="B2679" s="7">
        <v>3106</v>
      </c>
      <c r="C2679" s="8">
        <v>6144.85</v>
      </c>
      <c r="D2679" s="8"/>
      <c r="E2679" s="8"/>
      <c r="F2679" s="8"/>
      <c r="G2679" s="8"/>
      <c r="H2679" s="8"/>
      <c r="I2679" s="8"/>
      <c r="J2679" s="8"/>
      <c r="K2679" s="8"/>
      <c r="L2679" s="8"/>
      <c r="M2679" s="8">
        <v>15.82</v>
      </c>
      <c r="N2679" s="8"/>
      <c r="O2679" s="8"/>
      <c r="P2679" s="8"/>
      <c r="Q2679" s="11"/>
      <c r="R2679" s="11"/>
      <c r="S2679" s="8">
        <v>18.47</v>
      </c>
      <c r="T2679" s="8"/>
      <c r="U2679" s="8">
        <v>78.209999999999994</v>
      </c>
      <c r="V2679" s="8"/>
      <c r="W2679" s="8"/>
      <c r="X2679" s="8"/>
      <c r="Y2679" s="8"/>
      <c r="Z2679" s="8"/>
      <c r="AA2679" s="8"/>
      <c r="AB2679" s="8"/>
      <c r="AC2679" s="8">
        <v>15.37</v>
      </c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11"/>
      <c r="AQ2679" s="8"/>
      <c r="AR2679" s="8"/>
      <c r="AS2679" s="8"/>
      <c r="AT2679" s="8">
        <v>3506.21</v>
      </c>
      <c r="AU2679" s="8"/>
      <c r="AV2679" s="8"/>
      <c r="AW2679" s="8"/>
      <c r="AX2679" s="8">
        <v>7.7</v>
      </c>
      <c r="AY2679" s="8"/>
      <c r="AZ2679" s="8"/>
      <c r="BA2679" s="8"/>
      <c r="BB2679" s="8"/>
      <c r="BC2679" s="8"/>
      <c r="BD2679" s="8"/>
      <c r="BE2679" s="8"/>
      <c r="BF2679" s="8"/>
      <c r="BG2679" s="8">
        <v>264.67</v>
      </c>
      <c r="BH2679" s="9">
        <f t="shared" si="369"/>
        <v>6144.85</v>
      </c>
      <c r="BI2679" s="9">
        <f t="shared" si="370"/>
        <v>15.82</v>
      </c>
      <c r="BJ2679" s="9">
        <f t="shared" si="371"/>
        <v>18.47</v>
      </c>
      <c r="BK2679" s="9">
        <f t="shared" si="372"/>
        <v>78.209999999999994</v>
      </c>
      <c r="BL2679" s="9">
        <f t="shared" si="373"/>
        <v>0</v>
      </c>
      <c r="BM2679" s="9">
        <f t="shared" si="374"/>
        <v>15.37</v>
      </c>
      <c r="BN2679" s="9">
        <f t="shared" si="375"/>
        <v>3506.21</v>
      </c>
      <c r="BO2679" s="9">
        <f t="shared" si="376"/>
        <v>7.7</v>
      </c>
      <c r="BP2679" s="9">
        <f t="shared" si="377"/>
        <v>0</v>
      </c>
    </row>
    <row r="2680" spans="1:68">
      <c r="A2680" s="6">
        <v>45016</v>
      </c>
      <c r="B2680" s="7">
        <v>3083</v>
      </c>
      <c r="C2680" s="8"/>
      <c r="D2680" s="8">
        <v>1064.1500000000001</v>
      </c>
      <c r="E2680" s="8"/>
      <c r="F2680" s="8"/>
      <c r="G2680" s="8"/>
      <c r="H2680" s="8"/>
      <c r="I2680" s="8">
        <v>2474.35</v>
      </c>
      <c r="J2680" s="8"/>
      <c r="K2680" s="8"/>
      <c r="L2680" s="8"/>
      <c r="M2680" s="8"/>
      <c r="N2680" s="8">
        <v>23.03</v>
      </c>
      <c r="O2680" s="8"/>
      <c r="P2680" s="8"/>
      <c r="Q2680" s="11"/>
      <c r="R2680" s="11"/>
      <c r="S2680" s="8">
        <v>2.46</v>
      </c>
      <c r="T2680" s="8"/>
      <c r="U2680" s="8"/>
      <c r="V2680" s="8"/>
      <c r="W2680" s="8">
        <v>28.31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>
        <v>14.11</v>
      </c>
      <c r="AN2680" s="8">
        <f>1902*26.23/1000</f>
        <v>49.88946</v>
      </c>
      <c r="AO2680" s="8"/>
      <c r="AP2680" s="11"/>
      <c r="AQ2680" s="8"/>
      <c r="AR2680" s="8">
        <f>3400*26.23/1000</f>
        <v>89.182000000000002</v>
      </c>
      <c r="AS2680" s="8"/>
      <c r="AT2680" s="8">
        <v>1665.29</v>
      </c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>
        <v>131.93</v>
      </c>
      <c r="BH2680" s="9">
        <f t="shared" si="369"/>
        <v>3538.5</v>
      </c>
      <c r="BI2680" s="9">
        <f t="shared" si="370"/>
        <v>23.03</v>
      </c>
      <c r="BJ2680" s="9">
        <f t="shared" si="371"/>
        <v>2.46</v>
      </c>
      <c r="BK2680" s="9">
        <f t="shared" si="372"/>
        <v>28.31</v>
      </c>
      <c r="BL2680" s="9">
        <f t="shared" si="373"/>
        <v>0</v>
      </c>
      <c r="BM2680" s="9">
        <f t="shared" si="374"/>
        <v>153.18146000000002</v>
      </c>
      <c r="BN2680" s="9">
        <f t="shared" si="375"/>
        <v>1665.29</v>
      </c>
      <c r="BO2680" s="9">
        <f t="shared" si="376"/>
        <v>0</v>
      </c>
      <c r="BP2680" s="9">
        <f t="shared" si="377"/>
        <v>0</v>
      </c>
    </row>
    <row r="2681" spans="1:68">
      <c r="A2681" s="6">
        <v>45016</v>
      </c>
      <c r="B2681" s="7">
        <v>3080</v>
      </c>
      <c r="C2681" s="8"/>
      <c r="D2681" s="8"/>
      <c r="E2681" s="8"/>
      <c r="F2681" s="8">
        <v>439.1</v>
      </c>
      <c r="G2681" s="8"/>
      <c r="H2681" s="8"/>
      <c r="I2681" s="8">
        <v>659.39</v>
      </c>
      <c r="J2681" s="8"/>
      <c r="K2681" s="8"/>
      <c r="L2681" s="8"/>
      <c r="M2681" s="8"/>
      <c r="N2681" s="8">
        <v>7.49</v>
      </c>
      <c r="O2681" s="8"/>
      <c r="P2681" s="8">
        <f>622*7.1/1000</f>
        <v>4.4161999999999999</v>
      </c>
      <c r="Q2681" s="11"/>
      <c r="R2681" s="11"/>
      <c r="S2681" s="8">
        <v>0.66</v>
      </c>
      <c r="T2681" s="8"/>
      <c r="U2681" s="8"/>
      <c r="V2681" s="8"/>
      <c r="W2681" s="8">
        <v>11.02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>
        <f>2321*7.1/1000</f>
        <v>16.479099999999999</v>
      </c>
      <c r="AJ2681" s="8"/>
      <c r="AK2681" s="8"/>
      <c r="AL2681" s="8"/>
      <c r="AM2681" s="8"/>
      <c r="AN2681" s="8"/>
      <c r="AO2681" s="8"/>
      <c r="AP2681" s="11"/>
      <c r="AQ2681" s="8">
        <f>1554*7.1/1000</f>
        <v>11.0334</v>
      </c>
      <c r="AR2681" s="8">
        <f>5430*7.1/1000</f>
        <v>38.552999999999997</v>
      </c>
      <c r="AS2681" s="8"/>
      <c r="AT2681" s="8">
        <v>387.1</v>
      </c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>
        <v>20.88</v>
      </c>
      <c r="BH2681" s="9">
        <f t="shared" si="369"/>
        <v>1098.49</v>
      </c>
      <c r="BI2681" s="9">
        <f t="shared" si="370"/>
        <v>11.9062</v>
      </c>
      <c r="BJ2681" s="9">
        <f t="shared" si="371"/>
        <v>0.66</v>
      </c>
      <c r="BK2681" s="9">
        <f t="shared" si="372"/>
        <v>11.02</v>
      </c>
      <c r="BL2681" s="9">
        <f t="shared" si="373"/>
        <v>0</v>
      </c>
      <c r="BM2681" s="9">
        <f t="shared" si="374"/>
        <v>66.0655</v>
      </c>
      <c r="BN2681" s="9">
        <f t="shared" si="375"/>
        <v>387.1</v>
      </c>
      <c r="BO2681" s="9">
        <f t="shared" si="376"/>
        <v>0</v>
      </c>
      <c r="BP2681" s="9">
        <f t="shared" si="377"/>
        <v>0</v>
      </c>
    </row>
    <row r="2682" spans="1:68">
      <c r="A2682" s="6">
        <v>45016</v>
      </c>
      <c r="B2682" s="7">
        <v>3020</v>
      </c>
      <c r="C2682" s="8"/>
      <c r="D2682" s="8">
        <v>325.69</v>
      </c>
      <c r="E2682" s="8"/>
      <c r="F2682" s="8"/>
      <c r="G2682" s="8"/>
      <c r="H2682" s="8"/>
      <c r="I2682" s="8">
        <v>1840.46</v>
      </c>
      <c r="J2682" s="8"/>
      <c r="K2682" s="8"/>
      <c r="L2682" s="8"/>
      <c r="M2682" s="8"/>
      <c r="N2682" s="8">
        <v>13.2</v>
      </c>
      <c r="O2682" s="8"/>
      <c r="P2682" s="8"/>
      <c r="Q2682" s="11"/>
      <c r="R2682" s="11"/>
      <c r="S2682" s="8">
        <v>3.89</v>
      </c>
      <c r="T2682" s="8"/>
      <c r="U2682" s="8"/>
      <c r="V2682" s="8"/>
      <c r="W2682" s="8">
        <v>21.68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>
        <v>21.64</v>
      </c>
      <c r="AN2682" s="8"/>
      <c r="AO2682" s="8"/>
      <c r="AP2682" s="11"/>
      <c r="AQ2682" s="8"/>
      <c r="AR2682" s="8"/>
      <c r="AS2682" s="8">
        <f>3042*18.05/1000</f>
        <v>54.908099999999997</v>
      </c>
      <c r="AT2682" s="8">
        <v>1062.4100000000001</v>
      </c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>
        <v>77.89</v>
      </c>
      <c r="BH2682" s="9">
        <f t="shared" si="369"/>
        <v>2166.15</v>
      </c>
      <c r="BI2682" s="9">
        <f t="shared" si="370"/>
        <v>13.2</v>
      </c>
      <c r="BJ2682" s="9">
        <f t="shared" si="371"/>
        <v>3.89</v>
      </c>
      <c r="BK2682" s="9">
        <f t="shared" si="372"/>
        <v>21.68</v>
      </c>
      <c r="BL2682" s="9">
        <f t="shared" si="373"/>
        <v>0</v>
      </c>
      <c r="BM2682" s="9">
        <f t="shared" si="374"/>
        <v>76.548100000000005</v>
      </c>
      <c r="BN2682" s="9">
        <f t="shared" si="375"/>
        <v>1062.4100000000001</v>
      </c>
      <c r="BO2682" s="9">
        <f t="shared" si="376"/>
        <v>0</v>
      </c>
      <c r="BP2682" s="9">
        <f t="shared" si="377"/>
        <v>0</v>
      </c>
    </row>
    <row r="2683" spans="1:68">
      <c r="A2683" s="6">
        <v>45016</v>
      </c>
      <c r="B2683" s="7">
        <v>3022</v>
      </c>
      <c r="C2683" s="8"/>
      <c r="D2683" s="8">
        <v>312.29000000000002</v>
      </c>
      <c r="E2683" s="8"/>
      <c r="F2683" s="8"/>
      <c r="G2683" s="8"/>
      <c r="H2683" s="8"/>
      <c r="I2683" s="8"/>
      <c r="J2683" s="8"/>
      <c r="K2683" s="8"/>
      <c r="L2683" s="8"/>
      <c r="M2683" s="8"/>
      <c r="N2683" s="8">
        <v>2.85</v>
      </c>
      <c r="O2683" s="8"/>
      <c r="P2683" s="8"/>
      <c r="Q2683" s="11"/>
      <c r="R2683" s="11"/>
      <c r="S2683" s="8">
        <v>1.02</v>
      </c>
      <c r="T2683" s="8"/>
      <c r="U2683" s="8"/>
      <c r="V2683" s="8"/>
      <c r="W2683" s="8">
        <v>5.68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>
        <v>7.37</v>
      </c>
      <c r="AN2683" s="8"/>
      <c r="AO2683" s="8"/>
      <c r="AP2683" s="11"/>
      <c r="AQ2683" s="8"/>
      <c r="AR2683" s="8"/>
      <c r="AS2683" s="8">
        <f>3846*5.17/1000</f>
        <v>19.88382</v>
      </c>
      <c r="AT2683" s="8">
        <v>265.86</v>
      </c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>
        <v>20.45</v>
      </c>
      <c r="BH2683" s="9">
        <f t="shared" si="369"/>
        <v>312.29000000000002</v>
      </c>
      <c r="BI2683" s="9">
        <f t="shared" si="370"/>
        <v>2.85</v>
      </c>
      <c r="BJ2683" s="9">
        <f t="shared" si="371"/>
        <v>1.02</v>
      </c>
      <c r="BK2683" s="9">
        <f t="shared" si="372"/>
        <v>5.68</v>
      </c>
      <c r="BL2683" s="9">
        <f t="shared" si="373"/>
        <v>0</v>
      </c>
      <c r="BM2683" s="9">
        <f t="shared" si="374"/>
        <v>27.253820000000001</v>
      </c>
      <c r="BN2683" s="9">
        <f t="shared" si="375"/>
        <v>265.86</v>
      </c>
      <c r="BO2683" s="9">
        <f t="shared" si="376"/>
        <v>0</v>
      </c>
      <c r="BP2683" s="9">
        <f t="shared" si="377"/>
        <v>0</v>
      </c>
    </row>
    <row r="2684" spans="1:68">
      <c r="A2684" s="6">
        <v>45019</v>
      </c>
      <c r="B2684" s="7">
        <v>3200</v>
      </c>
      <c r="C2684" s="8">
        <v>2294.33</v>
      </c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>
        <v>5.73</v>
      </c>
      <c r="P2684" s="8"/>
      <c r="Q2684" s="11"/>
      <c r="R2684" s="11"/>
      <c r="S2684" s="8">
        <v>8.9499999999999993</v>
      </c>
      <c r="T2684" s="8"/>
      <c r="U2684" s="8">
        <v>34.450000000000003</v>
      </c>
      <c r="V2684" s="8"/>
      <c r="W2684" s="8"/>
      <c r="X2684" s="8"/>
      <c r="Y2684" s="8"/>
      <c r="Z2684" s="8">
        <v>482.6</v>
      </c>
      <c r="AA2684" s="8"/>
      <c r="AB2684" s="8"/>
      <c r="AC2684" s="8"/>
      <c r="AD2684" s="8"/>
      <c r="AE2684" s="8"/>
      <c r="AF2684" s="8">
        <v>114.4</v>
      </c>
      <c r="AG2684" s="8"/>
      <c r="AH2684" s="8"/>
      <c r="AI2684" s="8"/>
      <c r="AJ2684" s="8"/>
      <c r="AK2684" s="8"/>
      <c r="AL2684" s="8"/>
      <c r="AM2684" s="8"/>
      <c r="AN2684" s="8"/>
      <c r="AO2684" s="8"/>
      <c r="AP2684" s="11"/>
      <c r="AQ2684" s="8">
        <f>1530*22.95/1000</f>
        <v>35.113500000000002</v>
      </c>
      <c r="AR2684" s="8"/>
      <c r="AS2684" s="8"/>
      <c r="AT2684" s="8">
        <v>1572.01</v>
      </c>
      <c r="AU2684" s="8"/>
      <c r="AV2684" s="8"/>
      <c r="AW2684" s="8">
        <v>6.61</v>
      </c>
      <c r="AX2684" s="8"/>
      <c r="AY2684" s="8"/>
      <c r="AZ2684" s="8"/>
      <c r="BA2684" s="8"/>
      <c r="BB2684" s="8"/>
      <c r="BC2684" s="8"/>
      <c r="BD2684" s="8"/>
      <c r="BE2684" s="8"/>
      <c r="BF2684" s="8">
        <v>110.31</v>
      </c>
      <c r="BG2684" s="8">
        <v>113.79</v>
      </c>
      <c r="BH2684" s="9">
        <f t="shared" si="369"/>
        <v>2294.33</v>
      </c>
      <c r="BI2684" s="9">
        <f t="shared" si="370"/>
        <v>5.73</v>
      </c>
      <c r="BJ2684" s="9">
        <f t="shared" si="371"/>
        <v>8.9499999999999993</v>
      </c>
      <c r="BK2684" s="9">
        <f t="shared" si="372"/>
        <v>34.450000000000003</v>
      </c>
      <c r="BL2684" s="9">
        <f t="shared" si="373"/>
        <v>482.6</v>
      </c>
      <c r="BM2684" s="9">
        <f t="shared" si="374"/>
        <v>149.51350000000002</v>
      </c>
      <c r="BN2684" s="9">
        <f t="shared" si="375"/>
        <v>1572.01</v>
      </c>
      <c r="BO2684" s="9">
        <f t="shared" si="376"/>
        <v>6.61</v>
      </c>
      <c r="BP2684" s="9">
        <f t="shared" si="377"/>
        <v>110.31</v>
      </c>
    </row>
    <row r="2685" spans="1:68">
      <c r="A2685" s="6">
        <v>45019</v>
      </c>
      <c r="B2685" s="7">
        <v>3136</v>
      </c>
      <c r="C2685" s="8">
        <v>1265.5999999999999</v>
      </c>
      <c r="D2685" s="8"/>
      <c r="E2685" s="8"/>
      <c r="F2685" s="8"/>
      <c r="G2685" s="8"/>
      <c r="H2685" s="8">
        <v>525.83000000000004</v>
      </c>
      <c r="I2685" s="8"/>
      <c r="J2685" s="8"/>
      <c r="K2685" s="8"/>
      <c r="L2685" s="8"/>
      <c r="M2685" s="8">
        <v>2.06</v>
      </c>
      <c r="N2685" s="8"/>
      <c r="O2685" s="8"/>
      <c r="P2685" s="8"/>
      <c r="Q2685" s="11"/>
      <c r="R2685" s="11"/>
      <c r="S2685" s="8">
        <v>7.8</v>
      </c>
      <c r="T2685" s="8"/>
      <c r="U2685" s="8">
        <v>20.29</v>
      </c>
      <c r="V2685" s="8"/>
      <c r="W2685" s="8"/>
      <c r="X2685" s="8"/>
      <c r="Y2685" s="8"/>
      <c r="Z2685" s="8"/>
      <c r="AA2685" s="8"/>
      <c r="AB2685" s="8"/>
      <c r="AC2685" s="8">
        <v>6.23</v>
      </c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11"/>
      <c r="AQ2685" s="8"/>
      <c r="AR2685" s="8"/>
      <c r="AS2685" s="8"/>
      <c r="AT2685" s="8">
        <v>1013.92</v>
      </c>
      <c r="AU2685" s="8"/>
      <c r="AV2685" s="8"/>
      <c r="AW2685" s="8"/>
      <c r="AX2685" s="8"/>
      <c r="AY2685" s="8"/>
      <c r="AZ2685" s="8"/>
      <c r="BA2685" s="8">
        <v>15.44</v>
      </c>
      <c r="BB2685" s="8"/>
      <c r="BC2685" s="8"/>
      <c r="BD2685" s="8"/>
      <c r="BE2685" s="8"/>
      <c r="BF2685" s="8">
        <v>62.38</v>
      </c>
      <c r="BG2685" s="8">
        <v>76.53</v>
      </c>
      <c r="BH2685" s="9">
        <f t="shared" si="369"/>
        <v>1791.4299999999998</v>
      </c>
      <c r="BI2685" s="9">
        <f t="shared" si="370"/>
        <v>2.06</v>
      </c>
      <c r="BJ2685" s="9">
        <f t="shared" si="371"/>
        <v>7.8</v>
      </c>
      <c r="BK2685" s="9">
        <f t="shared" si="372"/>
        <v>20.29</v>
      </c>
      <c r="BL2685" s="9">
        <f t="shared" si="373"/>
        <v>0</v>
      </c>
      <c r="BM2685" s="9">
        <f t="shared" si="374"/>
        <v>6.23</v>
      </c>
      <c r="BN2685" s="9">
        <f t="shared" si="375"/>
        <v>1013.92</v>
      </c>
      <c r="BO2685" s="9">
        <f t="shared" si="376"/>
        <v>15.44</v>
      </c>
      <c r="BP2685" s="9">
        <f t="shared" si="377"/>
        <v>62.38</v>
      </c>
    </row>
    <row r="2686" spans="1:68">
      <c r="A2686" s="6">
        <v>45019</v>
      </c>
      <c r="B2686" s="7">
        <v>3104</v>
      </c>
      <c r="C2686" s="8">
        <v>1490.71</v>
      </c>
      <c r="D2686" s="8"/>
      <c r="E2686" s="8"/>
      <c r="F2686" s="8"/>
      <c r="G2686" s="8"/>
      <c r="H2686" s="8">
        <v>383.85</v>
      </c>
      <c r="I2686" s="8"/>
      <c r="J2686" s="8"/>
      <c r="K2686" s="8"/>
      <c r="L2686" s="8"/>
      <c r="M2686" s="8">
        <v>3.91</v>
      </c>
      <c r="N2686" s="8"/>
      <c r="O2686" s="8"/>
      <c r="P2686" s="8"/>
      <c r="Q2686" s="11"/>
      <c r="R2686" s="11"/>
      <c r="S2686" s="8">
        <v>8.01</v>
      </c>
      <c r="T2686" s="8"/>
      <c r="U2686" s="8">
        <v>19.600000000000001</v>
      </c>
      <c r="V2686" s="8"/>
      <c r="W2686" s="8"/>
      <c r="X2686" s="8"/>
      <c r="Y2686" s="8"/>
      <c r="Z2686" s="8"/>
      <c r="AA2686" s="8"/>
      <c r="AB2686" s="8"/>
      <c r="AC2686" s="8">
        <v>6.82</v>
      </c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11"/>
      <c r="AQ2686" s="8"/>
      <c r="AR2686" s="8"/>
      <c r="AS2686" s="8"/>
      <c r="AT2686" s="8">
        <v>1089.99</v>
      </c>
      <c r="AU2686" s="8"/>
      <c r="AV2686" s="8"/>
      <c r="AW2686" s="8"/>
      <c r="AX2686" s="8"/>
      <c r="AY2686" s="8"/>
      <c r="AZ2686" s="8"/>
      <c r="BA2686" s="8">
        <v>38.840000000000003</v>
      </c>
      <c r="BB2686" s="8"/>
      <c r="BC2686" s="8"/>
      <c r="BD2686" s="8"/>
      <c r="BE2686" s="8"/>
      <c r="BF2686" s="8">
        <v>34.090000000000003</v>
      </c>
      <c r="BG2686" s="8">
        <v>84.59</v>
      </c>
      <c r="BH2686" s="9">
        <f t="shared" si="369"/>
        <v>1874.56</v>
      </c>
      <c r="BI2686" s="9">
        <f t="shared" si="370"/>
        <v>3.91</v>
      </c>
      <c r="BJ2686" s="9">
        <f t="shared" si="371"/>
        <v>8.01</v>
      </c>
      <c r="BK2686" s="9">
        <f t="shared" si="372"/>
        <v>19.600000000000001</v>
      </c>
      <c r="BL2686" s="9">
        <f t="shared" si="373"/>
        <v>0</v>
      </c>
      <c r="BM2686" s="9">
        <f t="shared" si="374"/>
        <v>6.82</v>
      </c>
      <c r="BN2686" s="9">
        <f t="shared" si="375"/>
        <v>1089.99</v>
      </c>
      <c r="BO2686" s="9">
        <f t="shared" si="376"/>
        <v>38.840000000000003</v>
      </c>
      <c r="BP2686" s="9">
        <f t="shared" si="377"/>
        <v>34.090000000000003</v>
      </c>
    </row>
    <row r="2687" spans="1:68">
      <c r="A2687" s="6">
        <v>45019</v>
      </c>
      <c r="B2687" s="7">
        <v>3106</v>
      </c>
      <c r="C2687" s="8">
        <v>4177.71</v>
      </c>
      <c r="D2687" s="8"/>
      <c r="E2687" s="8"/>
      <c r="F2687" s="8"/>
      <c r="G2687" s="8"/>
      <c r="H2687" s="8"/>
      <c r="I2687" s="8"/>
      <c r="J2687" s="8"/>
      <c r="K2687" s="8"/>
      <c r="L2687" s="8"/>
      <c r="M2687" s="8">
        <v>10.88</v>
      </c>
      <c r="N2687" s="8"/>
      <c r="O2687" s="8"/>
      <c r="P2687" s="8"/>
      <c r="Q2687" s="11"/>
      <c r="R2687" s="11"/>
      <c r="S2687" s="8">
        <v>12.56</v>
      </c>
      <c r="T2687" s="8"/>
      <c r="U2687" s="8">
        <v>53.05</v>
      </c>
      <c r="V2687" s="8"/>
      <c r="W2687" s="8"/>
      <c r="X2687" s="8"/>
      <c r="Y2687" s="8"/>
      <c r="Z2687" s="8"/>
      <c r="AA2687" s="8"/>
      <c r="AB2687" s="8"/>
      <c r="AC2687" s="8">
        <v>10.44</v>
      </c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11"/>
      <c r="AQ2687" s="8"/>
      <c r="AR2687" s="8"/>
      <c r="AS2687" s="8"/>
      <c r="AT2687" s="8">
        <v>2381.1999999999998</v>
      </c>
      <c r="AU2687" s="8"/>
      <c r="AV2687" s="8"/>
      <c r="AW2687" s="8"/>
      <c r="AX2687" s="8">
        <v>5.23</v>
      </c>
      <c r="AY2687" s="8"/>
      <c r="AZ2687" s="8"/>
      <c r="BA2687" s="8"/>
      <c r="BB2687" s="8"/>
      <c r="BC2687" s="8"/>
      <c r="BD2687" s="8"/>
      <c r="BE2687" s="8"/>
      <c r="BF2687" s="8"/>
      <c r="BG2687" s="8">
        <v>179.6</v>
      </c>
      <c r="BH2687" s="9">
        <f t="shared" si="369"/>
        <v>4177.71</v>
      </c>
      <c r="BI2687" s="9">
        <f t="shared" si="370"/>
        <v>10.88</v>
      </c>
      <c r="BJ2687" s="9">
        <f t="shared" si="371"/>
        <v>12.56</v>
      </c>
      <c r="BK2687" s="9">
        <f t="shared" si="372"/>
        <v>53.05</v>
      </c>
      <c r="BL2687" s="9">
        <f t="shared" si="373"/>
        <v>0</v>
      </c>
      <c r="BM2687" s="9">
        <f t="shared" si="374"/>
        <v>10.44</v>
      </c>
      <c r="BN2687" s="9">
        <f t="shared" si="375"/>
        <v>2381.1999999999998</v>
      </c>
      <c r="BO2687" s="9">
        <f t="shared" si="376"/>
        <v>5.23</v>
      </c>
      <c r="BP2687" s="9">
        <f t="shared" si="377"/>
        <v>0</v>
      </c>
    </row>
    <row r="2688" spans="1:68">
      <c r="A2688" s="6">
        <v>45019</v>
      </c>
      <c r="B2688" s="7">
        <v>3016</v>
      </c>
      <c r="C2688" s="8"/>
      <c r="D2688" s="8">
        <v>1626.1</v>
      </c>
      <c r="E2688" s="8"/>
      <c r="F2688" s="8"/>
      <c r="G2688" s="8"/>
      <c r="H2688" s="8"/>
      <c r="I2688" s="8">
        <v>1798.42</v>
      </c>
      <c r="J2688" s="8"/>
      <c r="K2688" s="8"/>
      <c r="L2688" s="8"/>
      <c r="M2688" s="8"/>
      <c r="N2688" s="8">
        <v>19.36</v>
      </c>
      <c r="O2688" s="8"/>
      <c r="P2688" s="8"/>
      <c r="Q2688" s="11"/>
      <c r="R2688" s="11"/>
      <c r="S2688" s="8">
        <v>2.1800000000000002</v>
      </c>
      <c r="T2688" s="8"/>
      <c r="U2688" s="8"/>
      <c r="V2688" s="8"/>
      <c r="W2688" s="8">
        <v>31.26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>
        <v>12.49</v>
      </c>
      <c r="AN2688" s="8">
        <f>2056*18.38/1000</f>
        <v>37.789279999999998</v>
      </c>
      <c r="AO2688" s="8"/>
      <c r="AP2688" s="11"/>
      <c r="AQ2688" s="8"/>
      <c r="AR2688" s="8">
        <f>4336*18.38/1000</f>
        <v>79.695679999999996</v>
      </c>
      <c r="AS2688" s="8"/>
      <c r="AT2688" s="8">
        <v>1161.51</v>
      </c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>
        <v>84.85</v>
      </c>
      <c r="BH2688" s="9">
        <f t="shared" si="369"/>
        <v>3424.52</v>
      </c>
      <c r="BI2688" s="9">
        <f t="shared" si="370"/>
        <v>19.36</v>
      </c>
      <c r="BJ2688" s="9">
        <f t="shared" si="371"/>
        <v>2.1800000000000002</v>
      </c>
      <c r="BK2688" s="9">
        <f t="shared" si="372"/>
        <v>31.26</v>
      </c>
      <c r="BL2688" s="9">
        <f t="shared" si="373"/>
        <v>0</v>
      </c>
      <c r="BM2688" s="9">
        <f t="shared" si="374"/>
        <v>129.97496000000001</v>
      </c>
      <c r="BN2688" s="9">
        <f t="shared" si="375"/>
        <v>1161.51</v>
      </c>
      <c r="BO2688" s="9">
        <f t="shared" si="376"/>
        <v>0</v>
      </c>
      <c r="BP2688" s="9">
        <f t="shared" si="377"/>
        <v>0</v>
      </c>
    </row>
    <row r="2689" spans="1:68">
      <c r="A2689" s="6">
        <v>45019</v>
      </c>
      <c r="B2689" s="7">
        <v>3029</v>
      </c>
      <c r="C2689" s="8"/>
      <c r="D2689" s="8">
        <v>453.32</v>
      </c>
      <c r="E2689" s="8"/>
      <c r="F2689" s="8">
        <v>319.25</v>
      </c>
      <c r="G2689" s="8"/>
      <c r="H2689" s="8"/>
      <c r="I2689" s="8">
        <v>1891.18</v>
      </c>
      <c r="J2689" s="8"/>
      <c r="K2689" s="8"/>
      <c r="L2689" s="8"/>
      <c r="M2689" s="8"/>
      <c r="N2689" s="8">
        <v>20.76</v>
      </c>
      <c r="O2689" s="8"/>
      <c r="P2689" s="8"/>
      <c r="Q2689" s="11"/>
      <c r="R2689" s="11"/>
      <c r="S2689" s="8">
        <v>1.59</v>
      </c>
      <c r="T2689" s="8"/>
      <c r="U2689" s="8"/>
      <c r="V2689" s="8"/>
      <c r="W2689" s="8">
        <v>26.62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>
        <v>9.32</v>
      </c>
      <c r="AN2689" s="8">
        <f>767*17.75/1000</f>
        <v>13.61425</v>
      </c>
      <c r="AO2689" s="8"/>
      <c r="AP2689" s="11"/>
      <c r="AQ2689" s="8"/>
      <c r="AR2689" s="8">
        <f>4607*17.75/1000</f>
        <v>81.774249999999995</v>
      </c>
      <c r="AS2689" s="8"/>
      <c r="AT2689" s="8">
        <v>1011.28</v>
      </c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>
        <v>70.38</v>
      </c>
      <c r="BH2689" s="9">
        <f t="shared" si="369"/>
        <v>2663.75</v>
      </c>
      <c r="BI2689" s="9">
        <f t="shared" si="370"/>
        <v>20.76</v>
      </c>
      <c r="BJ2689" s="9">
        <f t="shared" si="371"/>
        <v>1.59</v>
      </c>
      <c r="BK2689" s="9">
        <f t="shared" si="372"/>
        <v>26.62</v>
      </c>
      <c r="BL2689" s="9">
        <f t="shared" si="373"/>
        <v>0</v>
      </c>
      <c r="BM2689" s="9">
        <f t="shared" si="374"/>
        <v>104.70849999999999</v>
      </c>
      <c r="BN2689" s="9">
        <f t="shared" si="375"/>
        <v>1011.28</v>
      </c>
      <c r="BO2689" s="9">
        <f t="shared" si="376"/>
        <v>0</v>
      </c>
      <c r="BP2689" s="9">
        <f t="shared" si="377"/>
        <v>0</v>
      </c>
    </row>
    <row r="2690" spans="1:68">
      <c r="A2690" s="6">
        <v>45019</v>
      </c>
      <c r="B2690" s="7">
        <v>3017</v>
      </c>
      <c r="C2690" s="8"/>
      <c r="D2690" s="8">
        <v>487.72</v>
      </c>
      <c r="E2690" s="8"/>
      <c r="F2690" s="8"/>
      <c r="G2690" s="8"/>
      <c r="H2690" s="8"/>
      <c r="I2690" s="8">
        <v>673.83</v>
      </c>
      <c r="J2690" s="8"/>
      <c r="K2690" s="8"/>
      <c r="L2690" s="8"/>
      <c r="M2690" s="8"/>
      <c r="N2690" s="8">
        <v>8.35</v>
      </c>
      <c r="O2690" s="8"/>
      <c r="P2690" s="8"/>
      <c r="Q2690" s="11"/>
      <c r="R2690" s="11"/>
      <c r="S2690" s="8">
        <v>0.8</v>
      </c>
      <c r="T2690" s="8"/>
      <c r="U2690" s="8"/>
      <c r="V2690" s="8"/>
      <c r="W2690" s="8">
        <v>8.7100000000000009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>
        <v>4.6399999999999997</v>
      </c>
      <c r="AN2690" s="8">
        <f>1216*9.67/1000</f>
        <v>11.758719999999999</v>
      </c>
      <c r="AO2690" s="8"/>
      <c r="AP2690" s="11"/>
      <c r="AQ2690" s="8"/>
      <c r="AR2690" s="8">
        <f>4833*9.67/1000</f>
        <v>46.735109999999999</v>
      </c>
      <c r="AS2690" s="8"/>
      <c r="AT2690" s="8">
        <v>498.15</v>
      </c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>
        <v>35.979999999999997</v>
      </c>
      <c r="BH2690" s="9">
        <f t="shared" si="369"/>
        <v>1161.5500000000002</v>
      </c>
      <c r="BI2690" s="9">
        <f t="shared" si="370"/>
        <v>8.35</v>
      </c>
      <c r="BJ2690" s="9">
        <f t="shared" si="371"/>
        <v>0.8</v>
      </c>
      <c r="BK2690" s="9">
        <f t="shared" si="372"/>
        <v>8.7100000000000009</v>
      </c>
      <c r="BL2690" s="9">
        <f t="shared" si="373"/>
        <v>0</v>
      </c>
      <c r="BM2690" s="9">
        <f t="shared" si="374"/>
        <v>63.133829999999996</v>
      </c>
      <c r="BN2690" s="9">
        <f t="shared" si="375"/>
        <v>498.15</v>
      </c>
      <c r="BO2690" s="9">
        <f t="shared" si="376"/>
        <v>0</v>
      </c>
      <c r="BP2690" s="9">
        <f t="shared" si="377"/>
        <v>0</v>
      </c>
    </row>
    <row r="2691" spans="1:68">
      <c r="A2691" s="6">
        <v>45019</v>
      </c>
      <c r="B2691" s="7">
        <v>3023</v>
      </c>
      <c r="C2691" s="8"/>
      <c r="D2691" s="8">
        <v>888.72</v>
      </c>
      <c r="E2691" s="8"/>
      <c r="F2691" s="8"/>
      <c r="G2691" s="8"/>
      <c r="H2691" s="8"/>
      <c r="I2691" s="8">
        <v>478.07</v>
      </c>
      <c r="J2691" s="8"/>
      <c r="K2691" s="8"/>
      <c r="L2691" s="8"/>
      <c r="M2691" s="8"/>
      <c r="N2691" s="8">
        <v>7.65</v>
      </c>
      <c r="O2691" s="8"/>
      <c r="P2691" s="8"/>
      <c r="Q2691" s="11"/>
      <c r="R2691" s="11"/>
      <c r="S2691" s="8">
        <v>2.1800000000000002</v>
      </c>
      <c r="T2691" s="8"/>
      <c r="U2691" s="8"/>
      <c r="V2691" s="8"/>
      <c r="W2691" s="8">
        <v>12.31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>
        <v>13.63</v>
      </c>
      <c r="AN2691" s="8">
        <f>1023*9.42/1000</f>
        <v>9.6366599999999991</v>
      </c>
      <c r="AO2691" s="8"/>
      <c r="AP2691" s="11"/>
      <c r="AQ2691" s="8"/>
      <c r="AR2691" s="8"/>
      <c r="AS2691" s="8">
        <f>4837*9.42/1000</f>
        <v>45.564540000000001</v>
      </c>
      <c r="AT2691" s="8">
        <v>560.16</v>
      </c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>
        <v>42.35</v>
      </c>
      <c r="BH2691" s="9">
        <f t="shared" si="369"/>
        <v>1366.79</v>
      </c>
      <c r="BI2691" s="9">
        <f t="shared" si="370"/>
        <v>7.65</v>
      </c>
      <c r="BJ2691" s="9">
        <f t="shared" si="371"/>
        <v>2.1800000000000002</v>
      </c>
      <c r="BK2691" s="9">
        <f t="shared" si="372"/>
        <v>12.31</v>
      </c>
      <c r="BL2691" s="9">
        <f t="shared" si="373"/>
        <v>0</v>
      </c>
      <c r="BM2691" s="9">
        <f t="shared" si="374"/>
        <v>68.831199999999995</v>
      </c>
      <c r="BN2691" s="9">
        <f t="shared" si="375"/>
        <v>560.16</v>
      </c>
      <c r="BO2691" s="9">
        <f t="shared" si="376"/>
        <v>0</v>
      </c>
      <c r="BP2691" s="9">
        <f t="shared" si="377"/>
        <v>0</v>
      </c>
    </row>
    <row r="2692" spans="1:68">
      <c r="A2692" s="6">
        <v>45019</v>
      </c>
      <c r="B2692" s="7">
        <v>3028</v>
      </c>
      <c r="C2692" s="8"/>
      <c r="D2692" s="8">
        <v>400.23</v>
      </c>
      <c r="E2692" s="8"/>
      <c r="F2692" s="8">
        <v>367.78</v>
      </c>
      <c r="G2692" s="8"/>
      <c r="H2692" s="8"/>
      <c r="I2692" s="8">
        <v>831.56</v>
      </c>
      <c r="J2692" s="8"/>
      <c r="K2692" s="8"/>
      <c r="L2692" s="8"/>
      <c r="M2692" s="8"/>
      <c r="N2692" s="8">
        <v>12.3</v>
      </c>
      <c r="O2692" s="8"/>
      <c r="P2692" s="8"/>
      <c r="Q2692" s="11"/>
      <c r="R2692" s="11"/>
      <c r="S2692" s="8">
        <v>2.2400000000000002</v>
      </c>
      <c r="T2692" s="8"/>
      <c r="U2692" s="8"/>
      <c r="V2692" s="8"/>
      <c r="W2692" s="8">
        <v>12.01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>
        <v>15.99</v>
      </c>
      <c r="AN2692" s="8">
        <f>1053*10.68/1000</f>
        <v>11.246039999999999</v>
      </c>
      <c r="AO2692" s="8"/>
      <c r="AP2692" s="11"/>
      <c r="AQ2692" s="8"/>
      <c r="AR2692" s="8"/>
      <c r="AS2692" s="8">
        <f>4967*10.68/1000</f>
        <v>53.047559999999997</v>
      </c>
      <c r="AT2692" s="8">
        <v>534.62</v>
      </c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>
        <v>36.020000000000003</v>
      </c>
      <c r="BH2692" s="9">
        <f t="shared" ref="BH2692:BH2755" si="378">SUM(C2692:L2692)</f>
        <v>1599.57</v>
      </c>
      <c r="BI2692" s="9">
        <f t="shared" ref="BI2692:BI2755" si="379">SUM(M2692:R2692)</f>
        <v>12.3</v>
      </c>
      <c r="BJ2692" s="9">
        <f t="shared" ref="BJ2692:BJ2755" si="380">SUM(S2692)</f>
        <v>2.2400000000000002</v>
      </c>
      <c r="BK2692" s="9">
        <f t="shared" ref="BK2692:BK2755" si="381">SUM(T2692:Y2692)</f>
        <v>12.01</v>
      </c>
      <c r="BL2692" s="9">
        <f t="shared" ref="BL2692:BL2755" si="382">SUM(Z2692:AA2692)</f>
        <v>0</v>
      </c>
      <c r="BM2692" s="9">
        <f t="shared" ref="BM2692:BM2755" si="383">SUM(AB2692:AS2692)</f>
        <v>80.283599999999993</v>
      </c>
      <c r="BN2692" s="9">
        <f t="shared" ref="BN2692:BN2755" si="384">SUM(AT2692:AU2692)</f>
        <v>534.62</v>
      </c>
      <c r="BO2692" s="9">
        <f t="shared" ref="BO2692:BO2755" si="385">SUM(AV2692:BE2692)</f>
        <v>0</v>
      </c>
      <c r="BP2692" s="9">
        <f t="shared" ref="BP2692:BP2755" si="386">SUM(BF2692)</f>
        <v>0</v>
      </c>
    </row>
    <row r="2693" spans="1:68">
      <c r="A2693" s="6">
        <v>45019</v>
      </c>
      <c r="B2693" s="7">
        <v>3100</v>
      </c>
      <c r="C2693" s="8">
        <v>671.32</v>
      </c>
      <c r="D2693" s="8"/>
      <c r="E2693" s="8"/>
      <c r="F2693" s="8"/>
      <c r="G2693" s="8"/>
      <c r="H2693" s="8"/>
      <c r="I2693" s="8"/>
      <c r="J2693" s="8"/>
      <c r="K2693" s="8"/>
      <c r="L2693" s="8"/>
      <c r="M2693" s="8">
        <v>1.69</v>
      </c>
      <c r="N2693" s="8"/>
      <c r="O2693" s="8"/>
      <c r="P2693" s="8"/>
      <c r="Q2693" s="11"/>
      <c r="R2693" s="11"/>
      <c r="S2693" s="8">
        <v>3.84</v>
      </c>
      <c r="T2693" s="8"/>
      <c r="U2693" s="8">
        <v>10.77</v>
      </c>
      <c r="V2693" s="8"/>
      <c r="W2693" s="8"/>
      <c r="X2693" s="8"/>
      <c r="Y2693" s="8"/>
      <c r="Z2693" s="8"/>
      <c r="AA2693" s="8"/>
      <c r="AB2693" s="8"/>
      <c r="AC2693" s="8">
        <v>2.69</v>
      </c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11"/>
      <c r="AQ2693" s="8"/>
      <c r="AR2693" s="8"/>
      <c r="AS2693" s="8"/>
      <c r="AT2693" s="8">
        <v>452.23</v>
      </c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>
        <v>87.56</v>
      </c>
      <c r="BG2693" s="8">
        <v>34.619999999999997</v>
      </c>
      <c r="BH2693" s="9">
        <f t="shared" si="378"/>
        <v>671.32</v>
      </c>
      <c r="BI2693" s="9">
        <f t="shared" si="379"/>
        <v>1.69</v>
      </c>
      <c r="BJ2693" s="9">
        <f t="shared" si="380"/>
        <v>3.84</v>
      </c>
      <c r="BK2693" s="9">
        <f t="shared" si="381"/>
        <v>10.77</v>
      </c>
      <c r="BL2693" s="9">
        <f t="shared" si="382"/>
        <v>0</v>
      </c>
      <c r="BM2693" s="9">
        <f t="shared" si="383"/>
        <v>2.69</v>
      </c>
      <c r="BN2693" s="9">
        <f t="shared" si="384"/>
        <v>452.23</v>
      </c>
      <c r="BO2693" s="9">
        <f t="shared" si="385"/>
        <v>0</v>
      </c>
      <c r="BP2693" s="9">
        <f t="shared" si="386"/>
        <v>87.56</v>
      </c>
    </row>
    <row r="2694" spans="1:68">
      <c r="A2694" s="6">
        <v>45020</v>
      </c>
      <c r="B2694" s="7">
        <v>3602</v>
      </c>
      <c r="C2694" s="8">
        <v>566.21</v>
      </c>
      <c r="D2694" s="8"/>
      <c r="E2694" s="8"/>
      <c r="F2694" s="8"/>
      <c r="G2694" s="8">
        <v>847.85</v>
      </c>
      <c r="H2694" s="8"/>
      <c r="I2694" s="8"/>
      <c r="J2694" s="8"/>
      <c r="K2694" s="8"/>
      <c r="L2694" s="8"/>
      <c r="M2694" s="8">
        <v>1.49</v>
      </c>
      <c r="N2694" s="8"/>
      <c r="O2694" s="8"/>
      <c r="P2694" s="8"/>
      <c r="Q2694" s="11"/>
      <c r="R2694" s="11"/>
      <c r="S2694" s="8">
        <v>6.79</v>
      </c>
      <c r="T2694" s="8"/>
      <c r="U2694" s="8">
        <v>11.32</v>
      </c>
      <c r="V2694" s="8">
        <f>855*16.17/1000</f>
        <v>13.825350000000002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11"/>
      <c r="AQ2694" s="8"/>
      <c r="AR2694" s="8"/>
      <c r="AS2694" s="8"/>
      <c r="AT2694" s="8">
        <v>570.61</v>
      </c>
      <c r="AU2694" s="8"/>
      <c r="AV2694" s="8"/>
      <c r="AW2694" s="8">
        <v>36.56</v>
      </c>
      <c r="AX2694" s="8"/>
      <c r="AY2694" s="8"/>
      <c r="AZ2694" s="8"/>
      <c r="BA2694" s="8"/>
      <c r="BB2694" s="8"/>
      <c r="BC2694" s="8"/>
      <c r="BD2694" s="8"/>
      <c r="BE2694" s="8"/>
      <c r="BF2694" s="8">
        <v>45.33</v>
      </c>
      <c r="BG2694" s="8">
        <v>42.45</v>
      </c>
      <c r="BH2694" s="9">
        <f t="shared" si="378"/>
        <v>1414.06</v>
      </c>
      <c r="BI2694" s="9">
        <f t="shared" si="379"/>
        <v>1.49</v>
      </c>
      <c r="BJ2694" s="9">
        <f t="shared" si="380"/>
        <v>6.79</v>
      </c>
      <c r="BK2694" s="9">
        <f t="shared" si="381"/>
        <v>25.145350000000001</v>
      </c>
      <c r="BL2694" s="9">
        <f t="shared" si="382"/>
        <v>0</v>
      </c>
      <c r="BM2694" s="9">
        <f t="shared" si="383"/>
        <v>0</v>
      </c>
      <c r="BN2694" s="9">
        <f t="shared" si="384"/>
        <v>570.61</v>
      </c>
      <c r="BO2694" s="9">
        <f t="shared" si="385"/>
        <v>36.56</v>
      </c>
      <c r="BP2694" s="9">
        <f t="shared" si="386"/>
        <v>45.33</v>
      </c>
    </row>
    <row r="2695" spans="1:68">
      <c r="A2695" s="6">
        <v>45020</v>
      </c>
      <c r="B2695" s="7">
        <v>3304</v>
      </c>
      <c r="C2695" s="8"/>
      <c r="D2695" s="8">
        <v>1119.8699999999999</v>
      </c>
      <c r="E2695" s="8"/>
      <c r="F2695" s="8"/>
      <c r="G2695" s="8"/>
      <c r="H2695" s="8"/>
      <c r="I2695" s="8"/>
      <c r="J2695" s="8"/>
      <c r="K2695" s="8"/>
      <c r="L2695" s="8"/>
      <c r="M2695" s="8">
        <v>2.25</v>
      </c>
      <c r="N2695" s="8"/>
      <c r="O2695" s="8"/>
      <c r="P2695" s="8"/>
      <c r="Q2695" s="11"/>
      <c r="R2695" s="11"/>
      <c r="S2695" s="8">
        <v>1.67</v>
      </c>
      <c r="T2695" s="8"/>
      <c r="U2695" s="8">
        <v>10.08</v>
      </c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>
        <v>11.22</v>
      </c>
      <c r="AH2695" s="8"/>
      <c r="AI2695" s="8"/>
      <c r="AJ2695" s="8"/>
      <c r="AK2695" s="8"/>
      <c r="AL2695" s="8"/>
      <c r="AM2695" s="8"/>
      <c r="AN2695" s="8"/>
      <c r="AO2695" s="8"/>
      <c r="AP2695" s="11"/>
      <c r="AQ2695" s="8"/>
      <c r="AR2695" s="8"/>
      <c r="AS2695" s="8"/>
      <c r="AT2695" s="8">
        <v>298.92</v>
      </c>
      <c r="AU2695" s="8">
        <v>149.57</v>
      </c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>
        <v>30.84</v>
      </c>
      <c r="BH2695" s="9">
        <f t="shared" si="378"/>
        <v>1119.8699999999999</v>
      </c>
      <c r="BI2695" s="9">
        <f t="shared" si="379"/>
        <v>2.25</v>
      </c>
      <c r="BJ2695" s="9">
        <f t="shared" si="380"/>
        <v>1.67</v>
      </c>
      <c r="BK2695" s="9">
        <f t="shared" si="381"/>
        <v>10.08</v>
      </c>
      <c r="BL2695" s="9">
        <f t="shared" si="382"/>
        <v>0</v>
      </c>
      <c r="BM2695" s="9">
        <f t="shared" si="383"/>
        <v>11.22</v>
      </c>
      <c r="BN2695" s="9">
        <f t="shared" si="384"/>
        <v>448.49</v>
      </c>
      <c r="BO2695" s="9">
        <f t="shared" si="385"/>
        <v>0</v>
      </c>
      <c r="BP2695" s="9">
        <f t="shared" si="386"/>
        <v>0</v>
      </c>
    </row>
    <row r="2696" spans="1:68">
      <c r="A2696" s="6">
        <v>45020</v>
      </c>
      <c r="B2696" s="7">
        <v>8299</v>
      </c>
      <c r="C2696" s="8">
        <v>1417.04</v>
      </c>
      <c r="D2696" s="8"/>
      <c r="E2696" s="8"/>
      <c r="F2696" s="8"/>
      <c r="G2696" s="8"/>
      <c r="H2696" s="8"/>
      <c r="I2696" s="8"/>
      <c r="J2696" s="8"/>
      <c r="K2696" s="8"/>
      <c r="L2696" s="8"/>
      <c r="M2696" s="8">
        <v>2.56</v>
      </c>
      <c r="N2696" s="8">
        <v>2.54</v>
      </c>
      <c r="O2696" s="8"/>
      <c r="P2696" s="8"/>
      <c r="Q2696" s="11"/>
      <c r="R2696" s="11"/>
      <c r="S2696" s="8">
        <v>5.81</v>
      </c>
      <c r="T2696" s="8"/>
      <c r="U2696" s="8">
        <v>14.16</v>
      </c>
      <c r="V2696" s="8"/>
      <c r="W2696" s="8"/>
      <c r="X2696" s="8"/>
      <c r="Y2696" s="8"/>
      <c r="Z2696" s="8"/>
      <c r="AA2696" s="8"/>
      <c r="AB2696" s="8"/>
      <c r="AC2696" s="8">
        <v>5.67</v>
      </c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11"/>
      <c r="AQ2696" s="8"/>
      <c r="AR2696" s="8"/>
      <c r="AS2696" s="8"/>
      <c r="AT2696" s="8">
        <v>626.64</v>
      </c>
      <c r="AU2696" s="8"/>
      <c r="AV2696" s="8"/>
      <c r="AW2696" s="8"/>
      <c r="AX2696" s="8"/>
      <c r="AY2696" s="8"/>
      <c r="AZ2696" s="8"/>
      <c r="BA2696" s="8"/>
      <c r="BB2696" s="8"/>
      <c r="BC2696" s="8">
        <v>1.42</v>
      </c>
      <c r="BD2696" s="8"/>
      <c r="BE2696" s="8"/>
      <c r="BF2696" s="8"/>
      <c r="BG2696" s="8">
        <v>46.04</v>
      </c>
      <c r="BH2696" s="9">
        <f t="shared" si="378"/>
        <v>1417.04</v>
      </c>
      <c r="BI2696" s="9">
        <f t="shared" si="379"/>
        <v>5.0999999999999996</v>
      </c>
      <c r="BJ2696" s="9">
        <f t="shared" si="380"/>
        <v>5.81</v>
      </c>
      <c r="BK2696" s="9">
        <f t="shared" si="381"/>
        <v>14.16</v>
      </c>
      <c r="BL2696" s="9">
        <f t="shared" si="382"/>
        <v>0</v>
      </c>
      <c r="BM2696" s="9">
        <f t="shared" si="383"/>
        <v>5.67</v>
      </c>
      <c r="BN2696" s="9">
        <f t="shared" si="384"/>
        <v>626.64</v>
      </c>
      <c r="BO2696" s="9">
        <f t="shared" si="385"/>
        <v>1.42</v>
      </c>
      <c r="BP2696" s="9">
        <f t="shared" si="386"/>
        <v>0</v>
      </c>
    </row>
    <row r="2697" spans="1:68">
      <c r="A2697" s="6">
        <v>45020</v>
      </c>
      <c r="B2697" s="7">
        <v>3141</v>
      </c>
      <c r="C2697" s="8">
        <v>2407.39</v>
      </c>
      <c r="D2697" s="8">
        <v>424.71</v>
      </c>
      <c r="E2697" s="8"/>
      <c r="F2697" s="8"/>
      <c r="G2697" s="8"/>
      <c r="H2697" s="8"/>
      <c r="I2697" s="8"/>
      <c r="J2697" s="8"/>
      <c r="K2697" s="8"/>
      <c r="L2697" s="8"/>
      <c r="M2697" s="8">
        <v>7.18</v>
      </c>
      <c r="N2697" s="8"/>
      <c r="O2697" s="8"/>
      <c r="P2697" s="8"/>
      <c r="Q2697" s="11"/>
      <c r="R2697" s="11"/>
      <c r="S2697" s="8">
        <v>13.32</v>
      </c>
      <c r="T2697" s="8"/>
      <c r="U2697" s="8">
        <v>42.5</v>
      </c>
      <c r="V2697" s="8"/>
      <c r="W2697" s="8"/>
      <c r="X2697" s="8"/>
      <c r="Y2697" s="8"/>
      <c r="Z2697" s="8"/>
      <c r="AA2697" s="8"/>
      <c r="AB2697" s="8"/>
      <c r="AC2697" s="8">
        <v>11.33</v>
      </c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11"/>
      <c r="AQ2697" s="8"/>
      <c r="AR2697" s="8"/>
      <c r="AS2697" s="8"/>
      <c r="AT2697" s="8">
        <v>1881.8</v>
      </c>
      <c r="AU2697" s="8"/>
      <c r="AV2697" s="8"/>
      <c r="AW2697" s="8"/>
      <c r="AX2697" s="8"/>
      <c r="AY2697" s="8"/>
      <c r="AZ2697" s="8"/>
      <c r="BA2697" s="8">
        <v>64.900000000000006</v>
      </c>
      <c r="BB2697" s="8"/>
      <c r="BC2697" s="8"/>
      <c r="BD2697" s="8"/>
      <c r="BE2697" s="8"/>
      <c r="BF2697" s="8">
        <v>198.43</v>
      </c>
      <c r="BG2697" s="8">
        <v>147.33000000000001</v>
      </c>
      <c r="BH2697" s="9">
        <f t="shared" si="378"/>
        <v>2832.1</v>
      </c>
      <c r="BI2697" s="9">
        <f t="shared" si="379"/>
        <v>7.18</v>
      </c>
      <c r="BJ2697" s="9">
        <f t="shared" si="380"/>
        <v>13.32</v>
      </c>
      <c r="BK2697" s="9">
        <f t="shared" si="381"/>
        <v>42.5</v>
      </c>
      <c r="BL2697" s="9">
        <f t="shared" si="382"/>
        <v>0</v>
      </c>
      <c r="BM2697" s="9">
        <f t="shared" si="383"/>
        <v>11.33</v>
      </c>
      <c r="BN2697" s="9">
        <f t="shared" si="384"/>
        <v>1881.8</v>
      </c>
      <c r="BO2697" s="9">
        <f t="shared" si="385"/>
        <v>64.900000000000006</v>
      </c>
      <c r="BP2697" s="9">
        <f t="shared" si="386"/>
        <v>198.43</v>
      </c>
    </row>
    <row r="2698" spans="1:68">
      <c r="A2698" s="6">
        <v>45020</v>
      </c>
      <c r="B2698" s="7">
        <v>3145</v>
      </c>
      <c r="C2698" s="8">
        <v>1239.32</v>
      </c>
      <c r="D2698" s="8">
        <v>217.81</v>
      </c>
      <c r="E2698" s="8"/>
      <c r="F2698" s="8"/>
      <c r="G2698" s="8"/>
      <c r="H2698" s="8"/>
      <c r="I2698" s="8"/>
      <c r="J2698" s="8"/>
      <c r="K2698" s="8"/>
      <c r="L2698" s="8"/>
      <c r="M2698" s="8">
        <v>4.08</v>
      </c>
      <c r="N2698" s="8"/>
      <c r="O2698" s="8"/>
      <c r="P2698" s="8"/>
      <c r="Q2698" s="11"/>
      <c r="R2698" s="11"/>
      <c r="S2698" s="8">
        <v>6.86</v>
      </c>
      <c r="T2698" s="8"/>
      <c r="U2698" s="8">
        <v>21.89</v>
      </c>
      <c r="V2698" s="8"/>
      <c r="W2698" s="8"/>
      <c r="X2698" s="8"/>
      <c r="Y2698" s="8"/>
      <c r="Z2698" s="8"/>
      <c r="AA2698" s="8"/>
      <c r="AB2698" s="8"/>
      <c r="AC2698" s="8">
        <v>5.84</v>
      </c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11"/>
      <c r="AQ2698" s="8"/>
      <c r="AR2698" s="8"/>
      <c r="AS2698" s="8"/>
      <c r="AT2698" s="8">
        <v>965.28</v>
      </c>
      <c r="AU2698" s="8"/>
      <c r="AV2698" s="8"/>
      <c r="AW2698" s="8"/>
      <c r="AX2698" s="8"/>
      <c r="AY2698" s="8"/>
      <c r="AZ2698" s="8"/>
      <c r="BA2698" s="8"/>
      <c r="BB2698" s="8"/>
      <c r="BC2698" s="8"/>
      <c r="BD2698" s="8">
        <v>3.65</v>
      </c>
      <c r="BE2698" s="8">
        <f>1347*9.73/1000</f>
        <v>13.106310000000001</v>
      </c>
      <c r="BF2698" s="8">
        <v>102.19</v>
      </c>
      <c r="BG2698" s="8">
        <v>75.88</v>
      </c>
      <c r="BH2698" s="9">
        <f t="shared" si="378"/>
        <v>1457.1299999999999</v>
      </c>
      <c r="BI2698" s="9">
        <f t="shared" si="379"/>
        <v>4.08</v>
      </c>
      <c r="BJ2698" s="9">
        <f t="shared" si="380"/>
        <v>6.86</v>
      </c>
      <c r="BK2698" s="9">
        <f t="shared" si="381"/>
        <v>21.89</v>
      </c>
      <c r="BL2698" s="9">
        <f t="shared" si="382"/>
        <v>0</v>
      </c>
      <c r="BM2698" s="9">
        <f t="shared" si="383"/>
        <v>5.84</v>
      </c>
      <c r="BN2698" s="9">
        <f t="shared" si="384"/>
        <v>965.28</v>
      </c>
      <c r="BO2698" s="9">
        <f t="shared" si="385"/>
        <v>16.756309999999999</v>
      </c>
      <c r="BP2698" s="9">
        <f t="shared" si="386"/>
        <v>102.19</v>
      </c>
    </row>
    <row r="2699" spans="1:68">
      <c r="A2699" s="6">
        <v>45020</v>
      </c>
      <c r="B2699" s="7">
        <v>3106</v>
      </c>
      <c r="C2699" s="8">
        <v>4135.91</v>
      </c>
      <c r="D2699" s="8"/>
      <c r="E2699" s="8"/>
      <c r="F2699" s="8"/>
      <c r="G2699" s="8"/>
      <c r="H2699" s="8"/>
      <c r="I2699" s="8"/>
      <c r="J2699" s="8"/>
      <c r="K2699" s="8"/>
      <c r="L2699" s="8"/>
      <c r="M2699" s="8">
        <v>10.34</v>
      </c>
      <c r="N2699" s="8"/>
      <c r="O2699" s="8"/>
      <c r="P2699" s="8"/>
      <c r="Q2699" s="11"/>
      <c r="R2699" s="11"/>
      <c r="S2699" s="8">
        <v>12.44</v>
      </c>
      <c r="T2699" s="8"/>
      <c r="U2699" s="8">
        <v>52.64</v>
      </c>
      <c r="V2699" s="8"/>
      <c r="W2699" s="8"/>
      <c r="X2699" s="8"/>
      <c r="Y2699" s="8"/>
      <c r="Z2699" s="8"/>
      <c r="AA2699" s="8"/>
      <c r="AB2699" s="8"/>
      <c r="AC2699" s="8">
        <v>10.35</v>
      </c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11"/>
      <c r="AQ2699" s="8"/>
      <c r="AR2699" s="8"/>
      <c r="AS2699" s="8"/>
      <c r="AT2699" s="8">
        <v>2358.1</v>
      </c>
      <c r="AU2699" s="8"/>
      <c r="AV2699" s="8"/>
      <c r="AW2699" s="8"/>
      <c r="AX2699" s="8">
        <v>5.18</v>
      </c>
      <c r="AY2699" s="8"/>
      <c r="AZ2699" s="8"/>
      <c r="BA2699" s="8"/>
      <c r="BB2699" s="8"/>
      <c r="BC2699" s="8"/>
      <c r="BD2699" s="8"/>
      <c r="BE2699" s="8"/>
      <c r="BF2699" s="8"/>
      <c r="BG2699" s="8">
        <v>178.14</v>
      </c>
      <c r="BH2699" s="9">
        <f t="shared" si="378"/>
        <v>4135.91</v>
      </c>
      <c r="BI2699" s="9">
        <f t="shared" si="379"/>
        <v>10.34</v>
      </c>
      <c r="BJ2699" s="9">
        <f t="shared" si="380"/>
        <v>12.44</v>
      </c>
      <c r="BK2699" s="9">
        <f t="shared" si="381"/>
        <v>52.64</v>
      </c>
      <c r="BL2699" s="9">
        <f t="shared" si="382"/>
        <v>0</v>
      </c>
      <c r="BM2699" s="9">
        <f t="shared" si="383"/>
        <v>10.35</v>
      </c>
      <c r="BN2699" s="9">
        <f t="shared" si="384"/>
        <v>2358.1</v>
      </c>
      <c r="BO2699" s="9">
        <f t="shared" si="385"/>
        <v>5.18</v>
      </c>
      <c r="BP2699" s="9">
        <f t="shared" si="386"/>
        <v>0</v>
      </c>
    </row>
    <row r="2700" spans="1:68">
      <c r="A2700" s="6">
        <v>45020</v>
      </c>
      <c r="B2700" s="7">
        <v>3079</v>
      </c>
      <c r="C2700" s="8"/>
      <c r="D2700" s="8"/>
      <c r="E2700" s="8"/>
      <c r="F2700" s="8">
        <v>340.49</v>
      </c>
      <c r="G2700" s="8"/>
      <c r="H2700" s="8"/>
      <c r="I2700" s="8">
        <v>2755.59</v>
      </c>
      <c r="J2700" s="8"/>
      <c r="K2700" s="8"/>
      <c r="L2700" s="8"/>
      <c r="M2700" s="8"/>
      <c r="N2700" s="8">
        <v>22.16</v>
      </c>
      <c r="O2700" s="8"/>
      <c r="P2700" s="8"/>
      <c r="Q2700" s="11"/>
      <c r="R2700" s="11"/>
      <c r="S2700" s="8">
        <v>1.22</v>
      </c>
      <c r="T2700" s="8"/>
      <c r="U2700" s="8"/>
      <c r="V2700" s="8"/>
      <c r="W2700" s="8">
        <v>31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>
        <v>12.31</v>
      </c>
      <c r="AN2700" s="8">
        <f>1727*18.23/1000</f>
        <v>31.48321</v>
      </c>
      <c r="AO2700" s="8"/>
      <c r="AP2700" s="11"/>
      <c r="AQ2700" s="8"/>
      <c r="AR2700" s="8">
        <f>4292*18.23/1000</f>
        <v>78.243160000000003</v>
      </c>
      <c r="AS2700" s="8"/>
      <c r="AT2700" s="8">
        <v>1196.07</v>
      </c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>
        <v>86.33</v>
      </c>
      <c r="BH2700" s="9">
        <f t="shared" si="378"/>
        <v>3096.08</v>
      </c>
      <c r="BI2700" s="9">
        <f t="shared" si="379"/>
        <v>22.16</v>
      </c>
      <c r="BJ2700" s="9">
        <f t="shared" si="380"/>
        <v>1.22</v>
      </c>
      <c r="BK2700" s="9">
        <f t="shared" si="381"/>
        <v>31</v>
      </c>
      <c r="BL2700" s="9">
        <f t="shared" si="382"/>
        <v>0</v>
      </c>
      <c r="BM2700" s="9">
        <f t="shared" si="383"/>
        <v>122.03637000000001</v>
      </c>
      <c r="BN2700" s="9">
        <f t="shared" si="384"/>
        <v>1196.07</v>
      </c>
      <c r="BO2700" s="9">
        <f t="shared" si="385"/>
        <v>0</v>
      </c>
      <c r="BP2700" s="9">
        <f t="shared" si="386"/>
        <v>0</v>
      </c>
    </row>
    <row r="2701" spans="1:68">
      <c r="A2701" s="6">
        <v>45020</v>
      </c>
      <c r="B2701" s="7">
        <v>3221</v>
      </c>
      <c r="C2701" s="8">
        <v>588.14</v>
      </c>
      <c r="D2701" s="8">
        <v>98.51</v>
      </c>
      <c r="E2701" s="8">
        <v>294.45</v>
      </c>
      <c r="F2701" s="8"/>
      <c r="G2701" s="8"/>
      <c r="H2701" s="8"/>
      <c r="I2701" s="8"/>
      <c r="J2701" s="8"/>
      <c r="K2701" s="8"/>
      <c r="L2701" s="8"/>
      <c r="M2701" s="8"/>
      <c r="N2701" s="8"/>
      <c r="O2701" s="8">
        <v>1.96</v>
      </c>
      <c r="P2701" s="8"/>
      <c r="Q2701" s="11"/>
      <c r="R2701" s="11"/>
      <c r="S2701" s="8">
        <v>4.42</v>
      </c>
      <c r="T2701" s="8"/>
      <c r="U2701" s="8">
        <v>14.75</v>
      </c>
      <c r="V2701" s="8"/>
      <c r="W2701" s="8"/>
      <c r="X2701" s="8"/>
      <c r="Y2701" s="8"/>
      <c r="Z2701" s="8"/>
      <c r="AA2701" s="8"/>
      <c r="AB2701" s="8">
        <f>406*12.27/1000</f>
        <v>4.9816199999999995</v>
      </c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11"/>
      <c r="AQ2701" s="8">
        <f>1208*12.27/1000</f>
        <v>14.82216</v>
      </c>
      <c r="AR2701" s="8"/>
      <c r="AS2701" s="8"/>
      <c r="AT2701" s="8">
        <v>556.22</v>
      </c>
      <c r="AU2701" s="8"/>
      <c r="AV2701" s="8"/>
      <c r="AW2701" s="8">
        <v>33.380000000000003</v>
      </c>
      <c r="AX2701" s="8"/>
      <c r="AY2701" s="8"/>
      <c r="AZ2701" s="8"/>
      <c r="BA2701" s="8"/>
      <c r="BB2701" s="8"/>
      <c r="BC2701" s="8"/>
      <c r="BD2701" s="8"/>
      <c r="BE2701" s="8"/>
      <c r="BF2701" s="8">
        <v>44.18</v>
      </c>
      <c r="BG2701" s="8">
        <v>41.26</v>
      </c>
      <c r="BH2701" s="9">
        <f t="shared" si="378"/>
        <v>981.09999999999991</v>
      </c>
      <c r="BI2701" s="9">
        <f t="shared" si="379"/>
        <v>1.96</v>
      </c>
      <c r="BJ2701" s="9">
        <f t="shared" si="380"/>
        <v>4.42</v>
      </c>
      <c r="BK2701" s="9">
        <f t="shared" si="381"/>
        <v>14.75</v>
      </c>
      <c r="BL2701" s="9">
        <f t="shared" si="382"/>
        <v>0</v>
      </c>
      <c r="BM2701" s="9">
        <f t="shared" si="383"/>
        <v>19.80378</v>
      </c>
      <c r="BN2701" s="9">
        <f t="shared" si="384"/>
        <v>556.22</v>
      </c>
      <c r="BO2701" s="9">
        <f t="shared" si="385"/>
        <v>33.380000000000003</v>
      </c>
      <c r="BP2701" s="9">
        <f t="shared" si="386"/>
        <v>44.18</v>
      </c>
    </row>
    <row r="2702" spans="1:68">
      <c r="A2702" s="6">
        <v>45021</v>
      </c>
      <c r="B2702" s="7">
        <v>3141</v>
      </c>
      <c r="C2702" s="8">
        <v>2448.7800000000002</v>
      </c>
      <c r="D2702" s="8">
        <v>431.63</v>
      </c>
      <c r="E2702" s="8"/>
      <c r="F2702" s="8"/>
      <c r="G2702" s="8"/>
      <c r="H2702" s="8"/>
      <c r="I2702" s="8"/>
      <c r="J2702" s="8"/>
      <c r="K2702" s="8"/>
      <c r="L2702" s="8"/>
      <c r="M2702" s="8">
        <v>7.49</v>
      </c>
      <c r="N2702" s="8"/>
      <c r="O2702" s="8"/>
      <c r="P2702" s="8"/>
      <c r="Q2702" s="11"/>
      <c r="R2702" s="11"/>
      <c r="S2702" s="8">
        <v>13.54</v>
      </c>
      <c r="T2702" s="8"/>
      <c r="U2702" s="8">
        <v>43.18</v>
      </c>
      <c r="V2702" s="8"/>
      <c r="W2702" s="8"/>
      <c r="X2702" s="8"/>
      <c r="Y2702" s="8"/>
      <c r="Z2702" s="8"/>
      <c r="AA2702" s="8"/>
      <c r="AB2702" s="8"/>
      <c r="AC2702" s="8">
        <v>11.52</v>
      </c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11"/>
      <c r="AQ2702" s="8"/>
      <c r="AR2702" s="8"/>
      <c r="AS2702" s="8"/>
      <c r="AT2702" s="8">
        <v>1891.5</v>
      </c>
      <c r="AU2702" s="8"/>
      <c r="AV2702" s="8"/>
      <c r="AW2702" s="8"/>
      <c r="AX2702" s="8"/>
      <c r="AY2702" s="8"/>
      <c r="AZ2702" s="8"/>
      <c r="BA2702" s="8">
        <v>65.98</v>
      </c>
      <c r="BB2702" s="8"/>
      <c r="BC2702" s="8"/>
      <c r="BD2702" s="8"/>
      <c r="BE2702" s="8"/>
      <c r="BF2702" s="8">
        <v>201.75</v>
      </c>
      <c r="BG2702" s="8">
        <v>149.79</v>
      </c>
      <c r="BH2702" s="9">
        <f t="shared" si="378"/>
        <v>2880.4100000000003</v>
      </c>
      <c r="BI2702" s="9">
        <f t="shared" si="379"/>
        <v>7.49</v>
      </c>
      <c r="BJ2702" s="9">
        <f t="shared" si="380"/>
        <v>13.54</v>
      </c>
      <c r="BK2702" s="9">
        <f t="shared" si="381"/>
        <v>43.18</v>
      </c>
      <c r="BL2702" s="9">
        <f t="shared" si="382"/>
        <v>0</v>
      </c>
      <c r="BM2702" s="9">
        <f t="shared" si="383"/>
        <v>11.52</v>
      </c>
      <c r="BN2702" s="9">
        <f t="shared" si="384"/>
        <v>1891.5</v>
      </c>
      <c r="BO2702" s="9">
        <f t="shared" si="385"/>
        <v>65.98</v>
      </c>
      <c r="BP2702" s="9">
        <f t="shared" si="386"/>
        <v>201.75</v>
      </c>
    </row>
    <row r="2703" spans="1:68">
      <c r="A2703" s="6">
        <v>45021</v>
      </c>
      <c r="B2703" s="7">
        <v>3106</v>
      </c>
      <c r="C2703" s="8">
        <v>4141.8900000000003</v>
      </c>
      <c r="D2703" s="8"/>
      <c r="E2703" s="8"/>
      <c r="F2703" s="8"/>
      <c r="G2703" s="8"/>
      <c r="H2703" s="8"/>
      <c r="I2703" s="8"/>
      <c r="J2703" s="8"/>
      <c r="K2703" s="8"/>
      <c r="L2703" s="8"/>
      <c r="M2703" s="8">
        <v>10.33</v>
      </c>
      <c r="N2703" s="8"/>
      <c r="O2703" s="8"/>
      <c r="P2703" s="8"/>
      <c r="Q2703" s="11"/>
      <c r="R2703" s="11"/>
      <c r="S2703" s="8">
        <v>12.47</v>
      </c>
      <c r="T2703" s="8"/>
      <c r="U2703" s="8">
        <v>52.84</v>
      </c>
      <c r="V2703" s="8"/>
      <c r="W2703" s="8"/>
      <c r="X2703" s="8"/>
      <c r="Y2703" s="8"/>
      <c r="Z2703" s="8"/>
      <c r="AA2703" s="8"/>
      <c r="AB2703" s="8"/>
      <c r="AC2703" s="8">
        <v>10.37</v>
      </c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11"/>
      <c r="AQ2703" s="8"/>
      <c r="AR2703" s="8"/>
      <c r="AS2703" s="8"/>
      <c r="AT2703" s="8">
        <v>2362.48</v>
      </c>
      <c r="AU2703" s="8"/>
      <c r="AV2703" s="8"/>
      <c r="AW2703" s="8"/>
      <c r="AX2703" s="8">
        <v>5.19</v>
      </c>
      <c r="AY2703" s="8"/>
      <c r="AZ2703" s="8"/>
      <c r="BA2703" s="8"/>
      <c r="BB2703" s="8"/>
      <c r="BC2703" s="8"/>
      <c r="BD2703" s="8"/>
      <c r="BE2703" s="8"/>
      <c r="BF2703" s="8"/>
      <c r="BG2703" s="8">
        <v>178.01</v>
      </c>
      <c r="BH2703" s="9">
        <f t="shared" si="378"/>
        <v>4141.8900000000003</v>
      </c>
      <c r="BI2703" s="9">
        <f t="shared" si="379"/>
        <v>10.33</v>
      </c>
      <c r="BJ2703" s="9">
        <f t="shared" si="380"/>
        <v>12.47</v>
      </c>
      <c r="BK2703" s="9">
        <f t="shared" si="381"/>
        <v>52.84</v>
      </c>
      <c r="BL2703" s="9">
        <f t="shared" si="382"/>
        <v>0</v>
      </c>
      <c r="BM2703" s="9">
        <f t="shared" si="383"/>
        <v>10.37</v>
      </c>
      <c r="BN2703" s="9">
        <f t="shared" si="384"/>
        <v>2362.48</v>
      </c>
      <c r="BO2703" s="9">
        <f t="shared" si="385"/>
        <v>5.19</v>
      </c>
      <c r="BP2703" s="9">
        <f t="shared" si="386"/>
        <v>0</v>
      </c>
    </row>
    <row r="2704" spans="1:68">
      <c r="A2704" s="6">
        <v>45021</v>
      </c>
      <c r="B2704" s="7">
        <v>3127</v>
      </c>
      <c r="C2704" s="8">
        <v>1132.44</v>
      </c>
      <c r="D2704" s="8"/>
      <c r="E2704" s="8"/>
      <c r="F2704" s="8"/>
      <c r="G2704" s="8"/>
      <c r="H2704" s="8"/>
      <c r="I2704" s="8"/>
      <c r="J2704" s="8"/>
      <c r="K2704" s="8"/>
      <c r="L2704" s="8"/>
      <c r="M2704" s="8">
        <v>3.24</v>
      </c>
      <c r="N2704" s="8"/>
      <c r="O2704" s="8"/>
      <c r="P2704" s="8"/>
      <c r="Q2704" s="11"/>
      <c r="R2704" s="11"/>
      <c r="S2704" s="8">
        <v>5.43</v>
      </c>
      <c r="T2704" s="8"/>
      <c r="U2704" s="8">
        <v>11.3</v>
      </c>
      <c r="V2704" s="8"/>
      <c r="W2704" s="8"/>
      <c r="X2704" s="8"/>
      <c r="Y2704" s="8"/>
      <c r="Z2704" s="8">
        <v>168.54</v>
      </c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11"/>
      <c r="AQ2704" s="8"/>
      <c r="AR2704" s="8"/>
      <c r="AS2704" s="8"/>
      <c r="AT2704" s="8">
        <v>555.65</v>
      </c>
      <c r="AU2704" s="8"/>
      <c r="AV2704" s="8">
        <v>22.65</v>
      </c>
      <c r="AW2704" s="8"/>
      <c r="AX2704" s="8"/>
      <c r="AY2704" s="8"/>
      <c r="AZ2704" s="8"/>
      <c r="BA2704" s="8"/>
      <c r="BB2704" s="8"/>
      <c r="BC2704" s="8"/>
      <c r="BD2704" s="8"/>
      <c r="BE2704" s="8"/>
      <c r="BF2704" s="8">
        <v>56.68</v>
      </c>
      <c r="BG2704" s="8">
        <v>39.71</v>
      </c>
      <c r="BH2704" s="9">
        <f t="shared" si="378"/>
        <v>1132.44</v>
      </c>
      <c r="BI2704" s="9">
        <f t="shared" si="379"/>
        <v>3.24</v>
      </c>
      <c r="BJ2704" s="9">
        <f t="shared" si="380"/>
        <v>5.43</v>
      </c>
      <c r="BK2704" s="9">
        <f t="shared" si="381"/>
        <v>11.3</v>
      </c>
      <c r="BL2704" s="9">
        <f t="shared" si="382"/>
        <v>168.54</v>
      </c>
      <c r="BM2704" s="9">
        <f t="shared" si="383"/>
        <v>0</v>
      </c>
      <c r="BN2704" s="9">
        <f t="shared" si="384"/>
        <v>555.65</v>
      </c>
      <c r="BO2704" s="9">
        <f t="shared" si="385"/>
        <v>22.65</v>
      </c>
      <c r="BP2704" s="9">
        <f t="shared" si="386"/>
        <v>56.68</v>
      </c>
    </row>
    <row r="2705" spans="1:68">
      <c r="A2705" s="6">
        <v>45021</v>
      </c>
      <c r="B2705" s="7">
        <v>3113</v>
      </c>
      <c r="C2705" s="8">
        <v>1580.24</v>
      </c>
      <c r="D2705" s="8"/>
      <c r="E2705" s="8"/>
      <c r="F2705" s="8"/>
      <c r="G2705" s="8"/>
      <c r="H2705" s="8"/>
      <c r="I2705" s="8"/>
      <c r="J2705" s="8"/>
      <c r="K2705" s="8"/>
      <c r="L2705" s="8"/>
      <c r="M2705" s="8">
        <v>1.29</v>
      </c>
      <c r="N2705" s="8">
        <v>1.3</v>
      </c>
      <c r="O2705" s="8"/>
      <c r="P2705" s="8"/>
      <c r="Q2705" s="11"/>
      <c r="R2705" s="11"/>
      <c r="S2705" s="8">
        <v>4.7699999999999996</v>
      </c>
      <c r="T2705" s="8"/>
      <c r="U2705" s="8">
        <v>15.79</v>
      </c>
      <c r="V2705" s="8"/>
      <c r="W2705" s="8"/>
      <c r="X2705" s="8"/>
      <c r="Y2705" s="8"/>
      <c r="Z2705" s="8"/>
      <c r="AA2705" s="8"/>
      <c r="AB2705" s="8"/>
      <c r="AC2705" s="8">
        <v>6.32</v>
      </c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11"/>
      <c r="AQ2705" s="8"/>
      <c r="AR2705" s="8"/>
      <c r="AS2705" s="8"/>
      <c r="AT2705" s="8">
        <v>661.84</v>
      </c>
      <c r="AU2705" s="8"/>
      <c r="AV2705" s="8">
        <v>53.74</v>
      </c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>
        <v>47.64</v>
      </c>
      <c r="BH2705" s="9">
        <f t="shared" si="378"/>
        <v>1580.24</v>
      </c>
      <c r="BI2705" s="9">
        <f t="shared" si="379"/>
        <v>2.59</v>
      </c>
      <c r="BJ2705" s="9">
        <f t="shared" si="380"/>
        <v>4.7699999999999996</v>
      </c>
      <c r="BK2705" s="9">
        <f t="shared" si="381"/>
        <v>15.79</v>
      </c>
      <c r="BL2705" s="9">
        <f t="shared" si="382"/>
        <v>0</v>
      </c>
      <c r="BM2705" s="9">
        <f t="shared" si="383"/>
        <v>6.32</v>
      </c>
      <c r="BN2705" s="9">
        <f t="shared" si="384"/>
        <v>661.84</v>
      </c>
      <c r="BO2705" s="9">
        <f t="shared" si="385"/>
        <v>53.74</v>
      </c>
      <c r="BP2705" s="9">
        <f t="shared" si="386"/>
        <v>0</v>
      </c>
    </row>
    <row r="2706" spans="1:68">
      <c r="A2706" s="6">
        <v>45021</v>
      </c>
      <c r="B2706" s="7">
        <v>3200</v>
      </c>
      <c r="C2706" s="8">
        <v>2252.59</v>
      </c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>
        <v>5.64</v>
      </c>
      <c r="P2706" s="8"/>
      <c r="Q2706" s="11"/>
      <c r="R2706" s="11"/>
      <c r="S2706" s="8">
        <v>8.81</v>
      </c>
      <c r="T2706" s="8"/>
      <c r="U2706" s="8">
        <v>33.83</v>
      </c>
      <c r="V2706" s="8"/>
      <c r="W2706" s="8"/>
      <c r="X2706" s="8"/>
      <c r="Y2706" s="8"/>
      <c r="Z2706" s="8">
        <v>474.25</v>
      </c>
      <c r="AA2706" s="8"/>
      <c r="AB2706" s="8"/>
      <c r="AC2706" s="8"/>
      <c r="AD2706" s="8"/>
      <c r="AE2706" s="8"/>
      <c r="AF2706" s="8">
        <v>112.26</v>
      </c>
      <c r="AG2706" s="8"/>
      <c r="AH2706" s="8"/>
      <c r="AI2706" s="8"/>
      <c r="AJ2706" s="8"/>
      <c r="AK2706" s="8"/>
      <c r="AL2706" s="8"/>
      <c r="AM2706" s="8"/>
      <c r="AN2706" s="8"/>
      <c r="AO2706" s="8"/>
      <c r="AP2706" s="11"/>
      <c r="AQ2706" s="8">
        <f>1523*22.55/1000</f>
        <v>34.343650000000004</v>
      </c>
      <c r="AR2706" s="8"/>
      <c r="AS2706" s="8"/>
      <c r="AT2706" s="8">
        <v>1547.73</v>
      </c>
      <c r="AU2706" s="8"/>
      <c r="AV2706" s="8"/>
      <c r="AW2706" s="8">
        <v>6.44</v>
      </c>
      <c r="AX2706" s="8"/>
      <c r="AY2706" s="8"/>
      <c r="AZ2706" s="8"/>
      <c r="BA2706" s="8"/>
      <c r="BB2706" s="8"/>
      <c r="BC2706" s="8"/>
      <c r="BD2706" s="8"/>
      <c r="BE2706" s="8"/>
      <c r="BF2706" s="8">
        <v>108.38</v>
      </c>
      <c r="BG2706" s="8">
        <v>111.74</v>
      </c>
      <c r="BH2706" s="9">
        <f t="shared" si="378"/>
        <v>2252.59</v>
      </c>
      <c r="BI2706" s="9">
        <f t="shared" si="379"/>
        <v>5.64</v>
      </c>
      <c r="BJ2706" s="9">
        <f t="shared" si="380"/>
        <v>8.81</v>
      </c>
      <c r="BK2706" s="9">
        <f t="shared" si="381"/>
        <v>33.83</v>
      </c>
      <c r="BL2706" s="9">
        <f t="shared" si="382"/>
        <v>474.25</v>
      </c>
      <c r="BM2706" s="9">
        <f t="shared" si="383"/>
        <v>146.60365000000002</v>
      </c>
      <c r="BN2706" s="9">
        <f t="shared" si="384"/>
        <v>1547.73</v>
      </c>
      <c r="BO2706" s="9">
        <f t="shared" si="385"/>
        <v>6.44</v>
      </c>
      <c r="BP2706" s="9">
        <f t="shared" si="386"/>
        <v>108.38</v>
      </c>
    </row>
    <row r="2707" spans="1:68">
      <c r="A2707" s="6">
        <v>45021</v>
      </c>
      <c r="B2707" s="7">
        <v>3139</v>
      </c>
      <c r="C2707" s="8">
        <v>1812.33</v>
      </c>
      <c r="D2707" s="8"/>
      <c r="E2707" s="8"/>
      <c r="F2707" s="8"/>
      <c r="G2707" s="8"/>
      <c r="H2707" s="8">
        <v>751.34</v>
      </c>
      <c r="I2707" s="8"/>
      <c r="J2707" s="8"/>
      <c r="K2707" s="8"/>
      <c r="L2707" s="8"/>
      <c r="M2707" s="8">
        <v>4.2699999999999996</v>
      </c>
      <c r="N2707" s="8"/>
      <c r="O2707" s="8"/>
      <c r="P2707" s="8"/>
      <c r="Q2707" s="11"/>
      <c r="R2707" s="11"/>
      <c r="S2707" s="8">
        <v>8.0399999999999991</v>
      </c>
      <c r="T2707" s="8"/>
      <c r="U2707" s="8">
        <v>26.8</v>
      </c>
      <c r="V2707" s="8"/>
      <c r="W2707" s="8"/>
      <c r="X2707" s="8"/>
      <c r="Y2707" s="8"/>
      <c r="Z2707" s="8"/>
      <c r="AA2707" s="8"/>
      <c r="AB2707" s="8"/>
      <c r="AC2707" s="8">
        <v>8.94</v>
      </c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11"/>
      <c r="AQ2707" s="8"/>
      <c r="AR2707" s="8"/>
      <c r="AS2707" s="8"/>
      <c r="AT2707" s="8">
        <v>1319.59</v>
      </c>
      <c r="AU2707" s="8"/>
      <c r="AV2707" s="8">
        <v>44.54</v>
      </c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>
        <v>96.08</v>
      </c>
      <c r="BH2707" s="9">
        <f t="shared" si="378"/>
        <v>2563.67</v>
      </c>
      <c r="BI2707" s="9">
        <f t="shared" si="379"/>
        <v>4.2699999999999996</v>
      </c>
      <c r="BJ2707" s="9">
        <f t="shared" si="380"/>
        <v>8.0399999999999991</v>
      </c>
      <c r="BK2707" s="9">
        <f t="shared" si="381"/>
        <v>26.8</v>
      </c>
      <c r="BL2707" s="9">
        <f t="shared" si="382"/>
        <v>0</v>
      </c>
      <c r="BM2707" s="9">
        <f t="shared" si="383"/>
        <v>8.94</v>
      </c>
      <c r="BN2707" s="9">
        <f t="shared" si="384"/>
        <v>1319.59</v>
      </c>
      <c r="BO2707" s="9">
        <f t="shared" si="385"/>
        <v>44.54</v>
      </c>
      <c r="BP2707" s="9">
        <f t="shared" si="386"/>
        <v>0</v>
      </c>
    </row>
    <row r="2708" spans="1:68">
      <c r="A2708" s="6">
        <v>45022</v>
      </c>
      <c r="B2708" s="7">
        <v>3703</v>
      </c>
      <c r="C2708" s="8">
        <v>490.12</v>
      </c>
      <c r="D2708" s="8">
        <v>326.82</v>
      </c>
      <c r="E2708" s="8"/>
      <c r="F2708" s="8"/>
      <c r="G2708" s="8"/>
      <c r="H2708" s="8"/>
      <c r="I2708" s="8"/>
      <c r="J2708" s="8"/>
      <c r="K2708" s="8"/>
      <c r="L2708" s="8"/>
      <c r="M2708" s="8">
        <v>1.64</v>
      </c>
      <c r="N2708" s="8"/>
      <c r="O2708" s="8"/>
      <c r="P2708" s="8"/>
      <c r="Q2708" s="11"/>
      <c r="R2708" s="11"/>
      <c r="S2708" s="8">
        <v>4.01</v>
      </c>
      <c r="T2708" s="8"/>
      <c r="U2708" s="8">
        <v>6.55</v>
      </c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>
        <v>8.17</v>
      </c>
      <c r="AN2708" s="8"/>
      <c r="AO2708" s="8"/>
      <c r="AP2708" s="11"/>
      <c r="AQ2708" s="8"/>
      <c r="AR2708" s="8"/>
      <c r="AS2708" s="8"/>
      <c r="AT2708" s="8">
        <v>197.88</v>
      </c>
      <c r="AU2708" s="8">
        <v>99.17</v>
      </c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>
        <v>20.92</v>
      </c>
      <c r="BH2708" s="9">
        <f t="shared" si="378"/>
        <v>816.94</v>
      </c>
      <c r="BI2708" s="9">
        <f t="shared" si="379"/>
        <v>1.64</v>
      </c>
      <c r="BJ2708" s="9">
        <f t="shared" si="380"/>
        <v>4.01</v>
      </c>
      <c r="BK2708" s="9">
        <f t="shared" si="381"/>
        <v>6.55</v>
      </c>
      <c r="BL2708" s="9">
        <f t="shared" si="382"/>
        <v>0</v>
      </c>
      <c r="BM2708" s="9">
        <f t="shared" si="383"/>
        <v>8.17</v>
      </c>
      <c r="BN2708" s="9">
        <f t="shared" si="384"/>
        <v>297.05</v>
      </c>
      <c r="BO2708" s="9">
        <f t="shared" si="385"/>
        <v>0</v>
      </c>
      <c r="BP2708" s="9">
        <f t="shared" si="386"/>
        <v>0</v>
      </c>
    </row>
    <row r="2709" spans="1:68">
      <c r="A2709" s="6">
        <v>45022</v>
      </c>
      <c r="B2709" s="7">
        <v>3116</v>
      </c>
      <c r="C2709" s="8">
        <v>1514.24</v>
      </c>
      <c r="D2709" s="8"/>
      <c r="E2709" s="8"/>
      <c r="F2709" s="8"/>
      <c r="G2709" s="8"/>
      <c r="H2709" s="8"/>
      <c r="I2709" s="8"/>
      <c r="J2709" s="8"/>
      <c r="K2709" s="8"/>
      <c r="L2709" s="8"/>
      <c r="M2709" s="8">
        <v>3.04</v>
      </c>
      <c r="N2709" s="8"/>
      <c r="O2709" s="8"/>
      <c r="P2709" s="8"/>
      <c r="Q2709" s="11"/>
      <c r="R2709" s="11"/>
      <c r="S2709" s="8">
        <v>6.52</v>
      </c>
      <c r="T2709" s="8"/>
      <c r="U2709" s="8">
        <v>22.3</v>
      </c>
      <c r="V2709" s="8"/>
      <c r="W2709" s="8"/>
      <c r="X2709" s="8"/>
      <c r="Y2709" s="8"/>
      <c r="Z2709" s="8"/>
      <c r="AA2709" s="8"/>
      <c r="AB2709" s="8"/>
      <c r="AC2709" s="8">
        <v>6.07</v>
      </c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11"/>
      <c r="AQ2709" s="8">
        <f>1423*10.83/1000</f>
        <v>15.41109</v>
      </c>
      <c r="AR2709" s="8"/>
      <c r="AS2709" s="8"/>
      <c r="AT2709" s="8">
        <v>925.76</v>
      </c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>
        <v>60.68</v>
      </c>
      <c r="BG2709" s="8">
        <v>69.22</v>
      </c>
      <c r="BH2709" s="9">
        <f t="shared" si="378"/>
        <v>1514.24</v>
      </c>
      <c r="BI2709" s="9">
        <f t="shared" si="379"/>
        <v>3.04</v>
      </c>
      <c r="BJ2709" s="9">
        <f t="shared" si="380"/>
        <v>6.52</v>
      </c>
      <c r="BK2709" s="9">
        <f t="shared" si="381"/>
        <v>22.3</v>
      </c>
      <c r="BL2709" s="9">
        <f t="shared" si="382"/>
        <v>0</v>
      </c>
      <c r="BM2709" s="9">
        <f t="shared" si="383"/>
        <v>21.481090000000002</v>
      </c>
      <c r="BN2709" s="9">
        <f t="shared" si="384"/>
        <v>925.76</v>
      </c>
      <c r="BO2709" s="9">
        <f t="shared" si="385"/>
        <v>0</v>
      </c>
      <c r="BP2709" s="9">
        <f t="shared" si="386"/>
        <v>60.68</v>
      </c>
    </row>
    <row r="2710" spans="1:68">
      <c r="A2710" s="6">
        <v>45022</v>
      </c>
      <c r="B2710" s="7">
        <v>3083</v>
      </c>
      <c r="C2710" s="8"/>
      <c r="D2710" s="8">
        <v>1071.8800000000001</v>
      </c>
      <c r="E2710" s="8"/>
      <c r="F2710" s="8"/>
      <c r="G2710" s="8"/>
      <c r="H2710" s="8"/>
      <c r="I2710" s="8">
        <v>2499.35</v>
      </c>
      <c r="J2710" s="8"/>
      <c r="K2710" s="8"/>
      <c r="L2710" s="8"/>
      <c r="M2710" s="8"/>
      <c r="N2710" s="8">
        <v>23.2</v>
      </c>
      <c r="O2710" s="8"/>
      <c r="P2710" s="8"/>
      <c r="Q2710" s="11"/>
      <c r="R2710" s="11"/>
      <c r="S2710" s="8">
        <v>2.4900000000000002</v>
      </c>
      <c r="T2710" s="8"/>
      <c r="U2710" s="8"/>
      <c r="V2710" s="8"/>
      <c r="W2710" s="8">
        <v>28.59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>
        <v>14.29</v>
      </c>
      <c r="AN2710" s="8">
        <f>1902*26.43/1000</f>
        <v>50.269860000000001</v>
      </c>
      <c r="AO2710" s="8"/>
      <c r="AP2710" s="11"/>
      <c r="AQ2710" s="8"/>
      <c r="AR2710" s="8">
        <f>3454*26.43/1000</f>
        <v>91.28922</v>
      </c>
      <c r="AS2710" s="8"/>
      <c r="AT2710" s="8">
        <v>1678.62</v>
      </c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>
        <v>133.19</v>
      </c>
      <c r="BH2710" s="9">
        <f t="shared" si="378"/>
        <v>3571.23</v>
      </c>
      <c r="BI2710" s="9">
        <f t="shared" si="379"/>
        <v>23.2</v>
      </c>
      <c r="BJ2710" s="9">
        <f t="shared" si="380"/>
        <v>2.4900000000000002</v>
      </c>
      <c r="BK2710" s="9">
        <f t="shared" si="381"/>
        <v>28.59</v>
      </c>
      <c r="BL2710" s="9">
        <f t="shared" si="382"/>
        <v>0</v>
      </c>
      <c r="BM2710" s="9">
        <f t="shared" si="383"/>
        <v>155.84908000000001</v>
      </c>
      <c r="BN2710" s="9">
        <f t="shared" si="384"/>
        <v>1678.62</v>
      </c>
      <c r="BO2710" s="9">
        <f t="shared" si="385"/>
        <v>0</v>
      </c>
      <c r="BP2710" s="9">
        <f t="shared" si="386"/>
        <v>0</v>
      </c>
    </row>
    <row r="2711" spans="1:68">
      <c r="A2711" s="6">
        <v>45022</v>
      </c>
      <c r="B2711" s="7">
        <v>3029</v>
      </c>
      <c r="C2711" s="8"/>
      <c r="D2711" s="8">
        <v>464.14</v>
      </c>
      <c r="E2711" s="8"/>
      <c r="F2711" s="8">
        <v>328.15</v>
      </c>
      <c r="G2711" s="8"/>
      <c r="H2711" s="8"/>
      <c r="I2711" s="8">
        <v>1940.81</v>
      </c>
      <c r="J2711" s="8"/>
      <c r="K2711" s="8"/>
      <c r="L2711" s="8"/>
      <c r="M2711" s="8"/>
      <c r="N2711" s="8">
        <v>21.33</v>
      </c>
      <c r="O2711" s="8"/>
      <c r="P2711" s="8"/>
      <c r="Q2711" s="11"/>
      <c r="R2711" s="11"/>
      <c r="S2711" s="8">
        <v>1.64</v>
      </c>
      <c r="T2711" s="8"/>
      <c r="U2711" s="8"/>
      <c r="V2711" s="8"/>
      <c r="W2711" s="8">
        <v>27.38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>
        <v>9.56</v>
      </c>
      <c r="AN2711" s="8">
        <f>761*18.22/1000</f>
        <v>13.865419999999999</v>
      </c>
      <c r="AO2711" s="8"/>
      <c r="AP2711" s="11"/>
      <c r="AQ2711" s="8"/>
      <c r="AR2711" s="8">
        <f>4529*18.22/1000</f>
        <v>82.518379999999993</v>
      </c>
      <c r="AS2711" s="8"/>
      <c r="AT2711" s="8">
        <v>1036.9100000000001</v>
      </c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>
        <v>72.38</v>
      </c>
      <c r="BH2711" s="9">
        <f t="shared" si="378"/>
        <v>2733.1</v>
      </c>
      <c r="BI2711" s="9">
        <f t="shared" si="379"/>
        <v>21.33</v>
      </c>
      <c r="BJ2711" s="9">
        <f t="shared" si="380"/>
        <v>1.64</v>
      </c>
      <c r="BK2711" s="9">
        <f t="shared" si="381"/>
        <v>27.38</v>
      </c>
      <c r="BL2711" s="9">
        <f t="shared" si="382"/>
        <v>0</v>
      </c>
      <c r="BM2711" s="9">
        <f t="shared" si="383"/>
        <v>105.9438</v>
      </c>
      <c r="BN2711" s="9">
        <f t="shared" si="384"/>
        <v>1036.9100000000001</v>
      </c>
      <c r="BO2711" s="9">
        <f t="shared" si="385"/>
        <v>0</v>
      </c>
      <c r="BP2711" s="9">
        <f t="shared" si="386"/>
        <v>0</v>
      </c>
    </row>
    <row r="2712" spans="1:68">
      <c r="A2712" s="6">
        <v>45022</v>
      </c>
      <c r="B2712" s="7">
        <v>3080</v>
      </c>
      <c r="C2712" s="8"/>
      <c r="D2712" s="8"/>
      <c r="E2712" s="8"/>
      <c r="F2712" s="8">
        <v>766.94</v>
      </c>
      <c r="G2712" s="8"/>
      <c r="H2712" s="8"/>
      <c r="I2712" s="8">
        <v>1151.8599999999999</v>
      </c>
      <c r="J2712" s="8"/>
      <c r="K2712" s="8"/>
      <c r="L2712" s="8"/>
      <c r="M2712" s="8"/>
      <c r="N2712" s="8">
        <v>13.07</v>
      </c>
      <c r="O2712" s="8"/>
      <c r="P2712" s="8">
        <f>636*12.4/1000</f>
        <v>7.886400000000001</v>
      </c>
      <c r="Q2712" s="11"/>
      <c r="R2712" s="11"/>
      <c r="S2712" s="8">
        <v>1.1499999999999999</v>
      </c>
      <c r="T2712" s="8"/>
      <c r="U2712" s="8"/>
      <c r="V2712" s="8"/>
      <c r="W2712" s="8">
        <v>19.260000000000002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>
        <f>2366*12.4/1000</f>
        <v>29.3384</v>
      </c>
      <c r="AJ2712" s="8"/>
      <c r="AK2712" s="8"/>
      <c r="AL2712" s="8"/>
      <c r="AM2712" s="8"/>
      <c r="AN2712" s="8"/>
      <c r="AO2712" s="8"/>
      <c r="AP2712" s="11"/>
      <c r="AQ2712" s="8">
        <f>1549*12.4/1000</f>
        <v>19.207600000000003</v>
      </c>
      <c r="AR2712" s="8">
        <f>5431*12.4/1000</f>
        <v>67.344400000000007</v>
      </c>
      <c r="AS2712" s="8"/>
      <c r="AT2712" s="8">
        <v>674.19</v>
      </c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>
        <v>36.46</v>
      </c>
      <c r="BH2712" s="9">
        <f t="shared" si="378"/>
        <v>1918.8</v>
      </c>
      <c r="BI2712" s="9">
        <f t="shared" si="379"/>
        <v>20.956400000000002</v>
      </c>
      <c r="BJ2712" s="9">
        <f t="shared" si="380"/>
        <v>1.1499999999999999</v>
      </c>
      <c r="BK2712" s="9">
        <f t="shared" si="381"/>
        <v>19.260000000000002</v>
      </c>
      <c r="BL2712" s="9">
        <f t="shared" si="382"/>
        <v>0</v>
      </c>
      <c r="BM2712" s="9">
        <f t="shared" si="383"/>
        <v>115.89040000000001</v>
      </c>
      <c r="BN2712" s="9">
        <f t="shared" si="384"/>
        <v>674.19</v>
      </c>
      <c r="BO2712" s="9">
        <f t="shared" si="385"/>
        <v>0</v>
      </c>
      <c r="BP2712" s="9">
        <f t="shared" si="386"/>
        <v>0</v>
      </c>
    </row>
    <row r="2713" spans="1:68">
      <c r="A2713" s="6">
        <v>45022</v>
      </c>
      <c r="B2713" s="7">
        <v>3081</v>
      </c>
      <c r="C2713" s="8"/>
      <c r="D2713" s="8">
        <v>291.5</v>
      </c>
      <c r="E2713" s="8"/>
      <c r="F2713" s="8">
        <v>327.79</v>
      </c>
      <c r="G2713" s="8"/>
      <c r="H2713" s="8"/>
      <c r="I2713" s="8">
        <v>1195.47</v>
      </c>
      <c r="J2713" s="8"/>
      <c r="K2713" s="8"/>
      <c r="L2713" s="8"/>
      <c r="M2713" s="8"/>
      <c r="N2713" s="8">
        <v>13.29</v>
      </c>
      <c r="O2713" s="8"/>
      <c r="P2713" s="8">
        <f>622*11.73/1000</f>
        <v>7.2960600000000007</v>
      </c>
      <c r="Q2713" s="11"/>
      <c r="R2713" s="11"/>
      <c r="S2713" s="8">
        <v>1.27</v>
      </c>
      <c r="T2713" s="8"/>
      <c r="U2713" s="8"/>
      <c r="V2713" s="8"/>
      <c r="W2713" s="8">
        <v>18.239999999999998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11"/>
      <c r="AQ2713" s="8">
        <f>1537*11.73/1000</f>
        <v>18.029010000000003</v>
      </c>
      <c r="AR2713" s="8">
        <f>5430*11.73/1000</f>
        <v>63.693899999999999</v>
      </c>
      <c r="AS2713" s="8"/>
      <c r="AT2713" s="8">
        <v>569.73</v>
      </c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>
        <v>38.03</v>
      </c>
      <c r="BH2713" s="9">
        <f t="shared" si="378"/>
        <v>1814.76</v>
      </c>
      <c r="BI2713" s="9">
        <f t="shared" si="379"/>
        <v>20.58606</v>
      </c>
      <c r="BJ2713" s="9">
        <f t="shared" si="380"/>
        <v>1.27</v>
      </c>
      <c r="BK2713" s="9">
        <f t="shared" si="381"/>
        <v>18.239999999999998</v>
      </c>
      <c r="BL2713" s="9">
        <f t="shared" si="382"/>
        <v>0</v>
      </c>
      <c r="BM2713" s="9">
        <f t="shared" si="383"/>
        <v>81.722909999999999</v>
      </c>
      <c r="BN2713" s="9">
        <f t="shared" si="384"/>
        <v>569.73</v>
      </c>
      <c r="BO2713" s="9">
        <f t="shared" si="385"/>
        <v>0</v>
      </c>
      <c r="BP2713" s="9">
        <f t="shared" si="386"/>
        <v>0</v>
      </c>
    </row>
    <row r="2714" spans="1:68">
      <c r="A2714" s="6">
        <v>45022</v>
      </c>
      <c r="B2714" s="7">
        <v>3023</v>
      </c>
      <c r="C2714" s="8"/>
      <c r="D2714" s="8">
        <v>907.12</v>
      </c>
      <c r="E2714" s="8"/>
      <c r="F2714" s="8"/>
      <c r="G2714" s="8"/>
      <c r="H2714" s="8"/>
      <c r="I2714" s="8">
        <v>489.95</v>
      </c>
      <c r="J2714" s="8"/>
      <c r="K2714" s="8"/>
      <c r="L2714" s="8"/>
      <c r="M2714" s="8"/>
      <c r="N2714" s="8">
        <v>7.81</v>
      </c>
      <c r="O2714" s="8"/>
      <c r="P2714" s="8"/>
      <c r="Q2714" s="11"/>
      <c r="R2714" s="11"/>
      <c r="S2714" s="8">
        <v>2.23</v>
      </c>
      <c r="T2714" s="8"/>
      <c r="U2714" s="8"/>
      <c r="V2714" s="8"/>
      <c r="W2714" s="8">
        <v>12.56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>
        <v>13.93</v>
      </c>
      <c r="AN2714" s="8">
        <f>1027*9.6/1000</f>
        <v>9.8591999999999995</v>
      </c>
      <c r="AO2714" s="8"/>
      <c r="AP2714" s="11"/>
      <c r="AQ2714" s="8"/>
      <c r="AR2714" s="8"/>
      <c r="AS2714" s="8">
        <f>4788*9.6/1000</f>
        <v>45.964799999999997</v>
      </c>
      <c r="AT2714" s="8">
        <v>571.96</v>
      </c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>
        <v>43.23</v>
      </c>
      <c r="BH2714" s="9">
        <f t="shared" si="378"/>
        <v>1397.07</v>
      </c>
      <c r="BI2714" s="9">
        <f t="shared" si="379"/>
        <v>7.81</v>
      </c>
      <c r="BJ2714" s="9">
        <f t="shared" si="380"/>
        <v>2.23</v>
      </c>
      <c r="BK2714" s="9">
        <f t="shared" si="381"/>
        <v>12.56</v>
      </c>
      <c r="BL2714" s="9">
        <f t="shared" si="382"/>
        <v>0</v>
      </c>
      <c r="BM2714" s="9">
        <f t="shared" si="383"/>
        <v>69.753999999999991</v>
      </c>
      <c r="BN2714" s="9">
        <f t="shared" si="384"/>
        <v>571.96</v>
      </c>
      <c r="BO2714" s="9">
        <f t="shared" si="385"/>
        <v>0</v>
      </c>
      <c r="BP2714" s="9">
        <f t="shared" si="386"/>
        <v>0</v>
      </c>
    </row>
    <row r="2715" spans="1:68">
      <c r="A2715" s="6">
        <v>45022</v>
      </c>
      <c r="B2715" s="7">
        <v>3028</v>
      </c>
      <c r="C2715" s="8"/>
      <c r="D2715" s="8">
        <v>765.77</v>
      </c>
      <c r="E2715" s="8"/>
      <c r="F2715" s="8">
        <v>703.97</v>
      </c>
      <c r="G2715" s="8"/>
      <c r="H2715" s="8"/>
      <c r="I2715" s="8">
        <v>1590.59</v>
      </c>
      <c r="J2715" s="8"/>
      <c r="K2715" s="8"/>
      <c r="L2715" s="8"/>
      <c r="M2715" s="8"/>
      <c r="N2715" s="8">
        <v>23.56</v>
      </c>
      <c r="O2715" s="8"/>
      <c r="P2715" s="8"/>
      <c r="Q2715" s="11"/>
      <c r="R2715" s="11"/>
      <c r="S2715" s="8">
        <v>4.29</v>
      </c>
      <c r="T2715" s="8"/>
      <c r="U2715" s="8"/>
      <c r="V2715" s="8"/>
      <c r="W2715" s="8">
        <v>22.95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>
        <v>30.6</v>
      </c>
      <c r="AN2715" s="8">
        <f>1044*20.42/1000</f>
        <v>21.318480000000005</v>
      </c>
      <c r="AO2715" s="8"/>
      <c r="AP2715" s="11"/>
      <c r="AQ2715" s="8"/>
      <c r="AR2715" s="8"/>
      <c r="AS2715" s="8">
        <f>4962*20.42/1000</f>
        <v>101.32404000000001</v>
      </c>
      <c r="AT2715" s="8">
        <v>1022.84</v>
      </c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>
        <v>69.430000000000007</v>
      </c>
      <c r="BH2715" s="9">
        <f t="shared" si="378"/>
        <v>3060.33</v>
      </c>
      <c r="BI2715" s="9">
        <f t="shared" si="379"/>
        <v>23.56</v>
      </c>
      <c r="BJ2715" s="9">
        <f t="shared" si="380"/>
        <v>4.29</v>
      </c>
      <c r="BK2715" s="9">
        <f t="shared" si="381"/>
        <v>22.95</v>
      </c>
      <c r="BL2715" s="9">
        <f t="shared" si="382"/>
        <v>0</v>
      </c>
      <c r="BM2715" s="9">
        <f t="shared" si="383"/>
        <v>153.24252000000001</v>
      </c>
      <c r="BN2715" s="9">
        <f t="shared" si="384"/>
        <v>1022.84</v>
      </c>
      <c r="BO2715" s="9">
        <f t="shared" si="385"/>
        <v>0</v>
      </c>
      <c r="BP2715" s="9">
        <f t="shared" si="386"/>
        <v>0</v>
      </c>
    </row>
    <row r="2716" spans="1:68">
      <c r="A2716" s="6">
        <v>45024</v>
      </c>
      <c r="B2716" s="7">
        <v>3200</v>
      </c>
      <c r="C2716" s="8">
        <v>2351.34</v>
      </c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>
        <v>5.88</v>
      </c>
      <c r="P2716" s="8"/>
      <c r="Q2716" s="11"/>
      <c r="R2716" s="11"/>
      <c r="S2716" s="8">
        <v>9.18</v>
      </c>
      <c r="T2716" s="8"/>
      <c r="U2716" s="8">
        <v>35.29</v>
      </c>
      <c r="V2716" s="8"/>
      <c r="W2716" s="8"/>
      <c r="X2716" s="8"/>
      <c r="Y2716" s="8"/>
      <c r="Z2716" s="8">
        <v>494.44</v>
      </c>
      <c r="AA2716" s="8"/>
      <c r="AB2716" s="8"/>
      <c r="AC2716" s="8"/>
      <c r="AD2716" s="8"/>
      <c r="AE2716" s="8"/>
      <c r="AF2716" s="8">
        <v>117.19</v>
      </c>
      <c r="AG2716" s="8"/>
      <c r="AH2716" s="8"/>
      <c r="AI2716" s="8"/>
      <c r="AJ2716" s="8"/>
      <c r="AK2716" s="8"/>
      <c r="AL2716" s="8"/>
      <c r="AM2716" s="8"/>
      <c r="AN2716" s="8"/>
      <c r="AO2716" s="8"/>
      <c r="AP2716" s="11"/>
      <c r="AQ2716" s="8">
        <f>1531*23.53/1000</f>
        <v>36.024430000000002</v>
      </c>
      <c r="AR2716" s="8"/>
      <c r="AS2716" s="8"/>
      <c r="AT2716" s="8">
        <v>1610.8</v>
      </c>
      <c r="AU2716" s="8"/>
      <c r="AV2716" s="8"/>
      <c r="AW2716" s="8">
        <v>6.9</v>
      </c>
      <c r="AX2716" s="8"/>
      <c r="AY2716" s="8"/>
      <c r="AZ2716" s="8"/>
      <c r="BA2716" s="8"/>
      <c r="BB2716" s="8"/>
      <c r="BC2716" s="8"/>
      <c r="BD2716" s="8"/>
      <c r="BE2716" s="8"/>
      <c r="BF2716" s="8">
        <v>112.99</v>
      </c>
      <c r="BG2716" s="8">
        <v>116.42</v>
      </c>
      <c r="BH2716" s="9">
        <f t="shared" si="378"/>
        <v>2351.34</v>
      </c>
      <c r="BI2716" s="9">
        <f t="shared" si="379"/>
        <v>5.88</v>
      </c>
      <c r="BJ2716" s="9">
        <f t="shared" si="380"/>
        <v>9.18</v>
      </c>
      <c r="BK2716" s="9">
        <f t="shared" si="381"/>
        <v>35.29</v>
      </c>
      <c r="BL2716" s="9">
        <f t="shared" si="382"/>
        <v>494.44</v>
      </c>
      <c r="BM2716" s="9">
        <f t="shared" si="383"/>
        <v>153.21442999999999</v>
      </c>
      <c r="BN2716" s="9">
        <f t="shared" si="384"/>
        <v>1610.8</v>
      </c>
      <c r="BO2716" s="9">
        <f t="shared" si="385"/>
        <v>6.9</v>
      </c>
      <c r="BP2716" s="9">
        <f t="shared" si="386"/>
        <v>112.99</v>
      </c>
    </row>
    <row r="2717" spans="1:68">
      <c r="A2717" s="6">
        <v>45026</v>
      </c>
      <c r="B2717" s="7">
        <v>3145</v>
      </c>
      <c r="C2717" s="8">
        <v>1225.26</v>
      </c>
      <c r="D2717" s="8">
        <v>216.9</v>
      </c>
      <c r="E2717" s="8"/>
      <c r="F2717" s="8"/>
      <c r="G2717" s="8"/>
      <c r="H2717" s="8"/>
      <c r="I2717" s="8"/>
      <c r="J2717" s="8"/>
      <c r="K2717" s="8"/>
      <c r="L2717" s="8"/>
      <c r="M2717" s="8">
        <v>4.08</v>
      </c>
      <c r="N2717" s="8"/>
      <c r="O2717" s="8"/>
      <c r="P2717" s="8"/>
      <c r="Q2717" s="11"/>
      <c r="R2717" s="11"/>
      <c r="S2717" s="8">
        <v>6.8</v>
      </c>
      <c r="T2717" s="8"/>
      <c r="U2717" s="8">
        <v>21.73</v>
      </c>
      <c r="V2717" s="8"/>
      <c r="W2717" s="8"/>
      <c r="X2717" s="8"/>
      <c r="Y2717" s="8"/>
      <c r="Z2717" s="8"/>
      <c r="AA2717" s="8"/>
      <c r="AB2717" s="8"/>
      <c r="AC2717" s="8">
        <v>5.79</v>
      </c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11"/>
      <c r="AQ2717" s="8"/>
      <c r="AR2717" s="8"/>
      <c r="AS2717" s="8"/>
      <c r="AT2717" s="8">
        <v>960.27</v>
      </c>
      <c r="AU2717" s="8"/>
      <c r="AV2717" s="8"/>
      <c r="AW2717" s="8"/>
      <c r="AX2717" s="8"/>
      <c r="AY2717" s="8"/>
      <c r="AZ2717" s="8"/>
      <c r="BA2717" s="8"/>
      <c r="BB2717" s="8"/>
      <c r="BC2717" s="8"/>
      <c r="BD2717" s="8">
        <v>3.62</v>
      </c>
      <c r="BE2717" s="8">
        <f>1343*9.63/1000</f>
        <v>12.93309</v>
      </c>
      <c r="BF2717" s="8">
        <v>101.4</v>
      </c>
      <c r="BG2717" s="8">
        <v>74.95</v>
      </c>
      <c r="BH2717" s="9">
        <f t="shared" si="378"/>
        <v>1442.16</v>
      </c>
      <c r="BI2717" s="9">
        <f t="shared" si="379"/>
        <v>4.08</v>
      </c>
      <c r="BJ2717" s="9">
        <f t="shared" si="380"/>
        <v>6.8</v>
      </c>
      <c r="BK2717" s="9">
        <f t="shared" si="381"/>
        <v>21.73</v>
      </c>
      <c r="BL2717" s="9">
        <f t="shared" si="382"/>
        <v>0</v>
      </c>
      <c r="BM2717" s="9">
        <f t="shared" si="383"/>
        <v>5.79</v>
      </c>
      <c r="BN2717" s="9">
        <f t="shared" si="384"/>
        <v>960.27</v>
      </c>
      <c r="BO2717" s="9">
        <f t="shared" si="385"/>
        <v>16.553090000000001</v>
      </c>
      <c r="BP2717" s="9">
        <f t="shared" si="386"/>
        <v>101.4</v>
      </c>
    </row>
    <row r="2718" spans="1:68">
      <c r="A2718" s="6">
        <v>45026</v>
      </c>
      <c r="B2718" s="7">
        <v>3106</v>
      </c>
      <c r="C2718" s="8">
        <v>6210.49</v>
      </c>
      <c r="D2718" s="8"/>
      <c r="E2718" s="8"/>
      <c r="F2718" s="8"/>
      <c r="G2718" s="8"/>
      <c r="H2718" s="8"/>
      <c r="I2718" s="8"/>
      <c r="J2718" s="8"/>
      <c r="K2718" s="8"/>
      <c r="L2718" s="8"/>
      <c r="M2718" s="8">
        <v>16.760000000000002</v>
      </c>
      <c r="N2718" s="8"/>
      <c r="O2718" s="8"/>
      <c r="P2718" s="8"/>
      <c r="Q2718" s="11"/>
      <c r="R2718" s="11"/>
      <c r="S2718" s="8">
        <v>18.63</v>
      </c>
      <c r="T2718" s="8"/>
      <c r="U2718" s="8">
        <v>79.02</v>
      </c>
      <c r="V2718" s="8"/>
      <c r="W2718" s="8"/>
      <c r="X2718" s="8"/>
      <c r="Y2718" s="8"/>
      <c r="Z2718" s="8"/>
      <c r="AA2718" s="8"/>
      <c r="AB2718" s="8"/>
      <c r="AC2718" s="8">
        <v>15.53</v>
      </c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11"/>
      <c r="AQ2718" s="8"/>
      <c r="AR2718" s="8"/>
      <c r="AS2718" s="8"/>
      <c r="AT2718" s="8">
        <v>3542.48</v>
      </c>
      <c r="AU2718" s="8"/>
      <c r="AV2718" s="8"/>
      <c r="AW2718" s="8"/>
      <c r="AX2718" s="8">
        <v>7.77</v>
      </c>
      <c r="AY2718" s="8"/>
      <c r="AZ2718" s="8"/>
      <c r="BA2718" s="8"/>
      <c r="BB2718" s="8"/>
      <c r="BC2718" s="8"/>
      <c r="BD2718" s="8"/>
      <c r="BE2718" s="8"/>
      <c r="BF2718" s="8"/>
      <c r="BG2718" s="8">
        <v>267.12</v>
      </c>
      <c r="BH2718" s="9">
        <f t="shared" si="378"/>
        <v>6210.49</v>
      </c>
      <c r="BI2718" s="9">
        <f t="shared" si="379"/>
        <v>16.760000000000002</v>
      </c>
      <c r="BJ2718" s="9">
        <f t="shared" si="380"/>
        <v>18.63</v>
      </c>
      <c r="BK2718" s="9">
        <f t="shared" si="381"/>
        <v>79.02</v>
      </c>
      <c r="BL2718" s="9">
        <f t="shared" si="382"/>
        <v>0</v>
      </c>
      <c r="BM2718" s="9">
        <f t="shared" si="383"/>
        <v>15.53</v>
      </c>
      <c r="BN2718" s="9">
        <f t="shared" si="384"/>
        <v>3542.48</v>
      </c>
      <c r="BO2718" s="9">
        <f t="shared" si="385"/>
        <v>7.77</v>
      </c>
      <c r="BP2718" s="9">
        <f t="shared" si="386"/>
        <v>0</v>
      </c>
    </row>
    <row r="2719" spans="1:68">
      <c r="A2719" s="6">
        <v>45026</v>
      </c>
      <c r="B2719" s="7">
        <v>3201</v>
      </c>
      <c r="C2719" s="8">
        <v>1152.73</v>
      </c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>
        <v>2.89</v>
      </c>
      <c r="P2719" s="8"/>
      <c r="Q2719" s="11"/>
      <c r="R2719" s="11"/>
      <c r="S2719" s="8">
        <v>4.3899999999999997</v>
      </c>
      <c r="T2719" s="8"/>
      <c r="U2719" s="8">
        <v>17.329999999999998</v>
      </c>
      <c r="V2719" s="8"/>
      <c r="W2719" s="8"/>
      <c r="X2719" s="8"/>
      <c r="Y2719" s="8"/>
      <c r="Z2719" s="8">
        <v>242.84</v>
      </c>
      <c r="AA2719" s="8"/>
      <c r="AB2719" s="8"/>
      <c r="AC2719" s="8"/>
      <c r="AD2719" s="8"/>
      <c r="AE2719" s="8"/>
      <c r="AF2719" s="8">
        <v>57.62</v>
      </c>
      <c r="AG2719" s="8"/>
      <c r="AH2719" s="8"/>
      <c r="AI2719" s="8"/>
      <c r="AJ2719" s="8"/>
      <c r="AK2719" s="8"/>
      <c r="AL2719" s="8"/>
      <c r="AM2719" s="8"/>
      <c r="AN2719" s="8"/>
      <c r="AO2719" s="8"/>
      <c r="AP2719" s="11"/>
      <c r="AQ2719" s="8">
        <f>1495*11.55/1000</f>
        <v>17.267250000000001</v>
      </c>
      <c r="AR2719" s="8"/>
      <c r="AS2719" s="8"/>
      <c r="AT2719" s="8">
        <v>792.19</v>
      </c>
      <c r="AU2719" s="8"/>
      <c r="AV2719" s="8"/>
      <c r="AW2719" s="8"/>
      <c r="AX2719" s="8"/>
      <c r="AY2719" s="8"/>
      <c r="AZ2719" s="8"/>
      <c r="BA2719" s="8"/>
      <c r="BB2719" s="8"/>
      <c r="BC2719" s="8">
        <v>3.01</v>
      </c>
      <c r="BD2719" s="8"/>
      <c r="BE2719" s="8"/>
      <c r="BF2719" s="8">
        <v>55.49</v>
      </c>
      <c r="BG2719" s="8">
        <v>57.37</v>
      </c>
      <c r="BH2719" s="9">
        <f t="shared" si="378"/>
        <v>1152.73</v>
      </c>
      <c r="BI2719" s="9">
        <f t="shared" si="379"/>
        <v>2.89</v>
      </c>
      <c r="BJ2719" s="9">
        <f t="shared" si="380"/>
        <v>4.3899999999999997</v>
      </c>
      <c r="BK2719" s="9">
        <f t="shared" si="381"/>
        <v>17.329999999999998</v>
      </c>
      <c r="BL2719" s="9">
        <f t="shared" si="382"/>
        <v>242.84</v>
      </c>
      <c r="BM2719" s="9">
        <f t="shared" si="383"/>
        <v>74.887249999999995</v>
      </c>
      <c r="BN2719" s="9">
        <f t="shared" si="384"/>
        <v>792.19</v>
      </c>
      <c r="BO2719" s="9">
        <f t="shared" si="385"/>
        <v>3.01</v>
      </c>
      <c r="BP2719" s="9">
        <f t="shared" si="386"/>
        <v>55.49</v>
      </c>
    </row>
    <row r="2720" spans="1:68">
      <c r="A2720" s="6">
        <v>45026</v>
      </c>
      <c r="B2720" s="7">
        <v>3200</v>
      </c>
      <c r="C2720" s="8">
        <v>2244.2399999999998</v>
      </c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>
        <v>5.61</v>
      </c>
      <c r="P2720" s="8"/>
      <c r="Q2720" s="11"/>
      <c r="R2720" s="11"/>
      <c r="S2720" s="8">
        <v>8.76</v>
      </c>
      <c r="T2720" s="8"/>
      <c r="U2720" s="8">
        <v>33.659999999999997</v>
      </c>
      <c r="V2720" s="8"/>
      <c r="W2720" s="8"/>
      <c r="X2720" s="8"/>
      <c r="Y2720" s="8"/>
      <c r="Z2720" s="8">
        <v>471.59</v>
      </c>
      <c r="AA2720" s="8"/>
      <c r="AB2720" s="8"/>
      <c r="AC2720" s="8"/>
      <c r="AD2720" s="8"/>
      <c r="AE2720" s="8"/>
      <c r="AF2720" s="8">
        <v>112.06</v>
      </c>
      <c r="AG2720" s="8"/>
      <c r="AH2720" s="8"/>
      <c r="AI2720" s="8"/>
      <c r="AJ2720" s="8"/>
      <c r="AK2720" s="8"/>
      <c r="AL2720" s="8"/>
      <c r="AM2720" s="8"/>
      <c r="AN2720" s="8"/>
      <c r="AO2720" s="8"/>
      <c r="AP2720" s="11"/>
      <c r="AQ2720" s="8">
        <f>1495*22.43/1000</f>
        <v>33.532849999999996</v>
      </c>
      <c r="AR2720" s="8"/>
      <c r="AS2720" s="8"/>
      <c r="AT2720" s="8">
        <v>1537.67</v>
      </c>
      <c r="AU2720" s="8"/>
      <c r="AV2720" s="8"/>
      <c r="AW2720" s="8">
        <v>6.48</v>
      </c>
      <c r="AX2720" s="8"/>
      <c r="AY2720" s="8"/>
      <c r="AZ2720" s="8"/>
      <c r="BA2720" s="8"/>
      <c r="BB2720" s="8"/>
      <c r="BC2720" s="8"/>
      <c r="BD2720" s="8"/>
      <c r="BE2720" s="8"/>
      <c r="BF2720" s="8"/>
      <c r="BG2720" s="8">
        <v>111.14</v>
      </c>
      <c r="BH2720" s="9">
        <f t="shared" si="378"/>
        <v>2244.2399999999998</v>
      </c>
      <c r="BI2720" s="9">
        <f t="shared" si="379"/>
        <v>5.61</v>
      </c>
      <c r="BJ2720" s="9">
        <f t="shared" si="380"/>
        <v>8.76</v>
      </c>
      <c r="BK2720" s="9">
        <f t="shared" si="381"/>
        <v>33.659999999999997</v>
      </c>
      <c r="BL2720" s="9">
        <f t="shared" si="382"/>
        <v>471.59</v>
      </c>
      <c r="BM2720" s="9">
        <f t="shared" si="383"/>
        <v>145.59285</v>
      </c>
      <c r="BN2720" s="9">
        <f t="shared" si="384"/>
        <v>1537.67</v>
      </c>
      <c r="BO2720" s="9">
        <f t="shared" si="385"/>
        <v>6.48</v>
      </c>
      <c r="BP2720" s="9">
        <f t="shared" si="386"/>
        <v>0</v>
      </c>
    </row>
    <row r="2721" spans="1:68">
      <c r="A2721" s="6">
        <v>45026</v>
      </c>
      <c r="B2721" s="7">
        <v>3022</v>
      </c>
      <c r="C2721" s="8"/>
      <c r="D2721" s="8">
        <v>326.45</v>
      </c>
      <c r="E2721" s="8"/>
      <c r="F2721" s="8"/>
      <c r="G2721" s="8"/>
      <c r="H2721" s="8"/>
      <c r="I2721" s="8">
        <v>264.98</v>
      </c>
      <c r="J2721" s="8"/>
      <c r="K2721" s="8"/>
      <c r="L2721" s="8"/>
      <c r="M2721" s="8"/>
      <c r="N2721" s="8">
        <v>2.96</v>
      </c>
      <c r="O2721" s="8"/>
      <c r="P2721" s="8"/>
      <c r="Q2721" s="11"/>
      <c r="R2721" s="11"/>
      <c r="S2721" s="8">
        <v>1.06</v>
      </c>
      <c r="T2721" s="8"/>
      <c r="U2721" s="8"/>
      <c r="V2721" s="8"/>
      <c r="W2721" s="8">
        <v>5.92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>
        <v>7.67</v>
      </c>
      <c r="AN2721" s="8"/>
      <c r="AO2721" s="8"/>
      <c r="AP2721" s="11"/>
      <c r="AQ2721" s="8"/>
      <c r="AR2721" s="8"/>
      <c r="AS2721" s="8">
        <f>3857*5.37/1000</f>
        <v>20.71209</v>
      </c>
      <c r="AT2721" s="8">
        <v>275.82</v>
      </c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>
        <v>21.33</v>
      </c>
      <c r="BH2721" s="9">
        <f t="shared" si="378"/>
        <v>591.43000000000006</v>
      </c>
      <c r="BI2721" s="9">
        <f t="shared" si="379"/>
        <v>2.96</v>
      </c>
      <c r="BJ2721" s="9">
        <f t="shared" si="380"/>
        <v>1.06</v>
      </c>
      <c r="BK2721" s="9">
        <f t="shared" si="381"/>
        <v>5.92</v>
      </c>
      <c r="BL2721" s="9">
        <f t="shared" si="382"/>
        <v>0</v>
      </c>
      <c r="BM2721" s="9">
        <f t="shared" si="383"/>
        <v>28.382089999999998</v>
      </c>
      <c r="BN2721" s="9">
        <f t="shared" si="384"/>
        <v>275.82</v>
      </c>
      <c r="BO2721" s="9">
        <f t="shared" si="385"/>
        <v>0</v>
      </c>
      <c r="BP2721" s="9">
        <f t="shared" si="386"/>
        <v>0</v>
      </c>
    </row>
    <row r="2722" spans="1:68">
      <c r="A2722" s="6">
        <v>45026</v>
      </c>
      <c r="B2722" s="7">
        <v>3021</v>
      </c>
      <c r="C2722" s="8"/>
      <c r="D2722" s="8">
        <v>205.21</v>
      </c>
      <c r="E2722" s="8"/>
      <c r="F2722" s="8"/>
      <c r="G2722" s="8"/>
      <c r="H2722" s="8"/>
      <c r="I2722" s="8">
        <v>378.21</v>
      </c>
      <c r="J2722" s="8"/>
      <c r="K2722" s="8"/>
      <c r="L2722" s="8"/>
      <c r="M2722" s="8"/>
      <c r="N2722" s="8">
        <v>3.09</v>
      </c>
      <c r="O2722" s="8"/>
      <c r="P2722" s="8"/>
      <c r="Q2722" s="11"/>
      <c r="R2722" s="11"/>
      <c r="S2722" s="8">
        <v>1.05</v>
      </c>
      <c r="T2722" s="8"/>
      <c r="U2722" s="8"/>
      <c r="V2722" s="8"/>
      <c r="W2722" s="8">
        <v>5.83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>
        <v>5.84</v>
      </c>
      <c r="AN2722" s="8"/>
      <c r="AO2722" s="8"/>
      <c r="AP2722" s="11"/>
      <c r="AQ2722" s="8"/>
      <c r="AR2722" s="8"/>
      <c r="AS2722" s="8">
        <f>2637*5.55/1000</f>
        <v>14.635350000000001</v>
      </c>
      <c r="AT2722" s="8">
        <v>274.48</v>
      </c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>
        <v>20.69</v>
      </c>
      <c r="BH2722" s="9">
        <f t="shared" si="378"/>
        <v>583.41999999999996</v>
      </c>
      <c r="BI2722" s="9">
        <f t="shared" si="379"/>
        <v>3.09</v>
      </c>
      <c r="BJ2722" s="9">
        <f t="shared" si="380"/>
        <v>1.05</v>
      </c>
      <c r="BK2722" s="9">
        <f t="shared" si="381"/>
        <v>5.83</v>
      </c>
      <c r="BL2722" s="9">
        <f t="shared" si="382"/>
        <v>0</v>
      </c>
      <c r="BM2722" s="9">
        <f t="shared" si="383"/>
        <v>20.475349999999999</v>
      </c>
      <c r="BN2722" s="9">
        <f t="shared" si="384"/>
        <v>274.48</v>
      </c>
      <c r="BO2722" s="9">
        <f t="shared" si="385"/>
        <v>0</v>
      </c>
      <c r="BP2722" s="9">
        <f t="shared" si="386"/>
        <v>0</v>
      </c>
    </row>
    <row r="2723" spans="1:68">
      <c r="A2723" s="6">
        <v>45026</v>
      </c>
      <c r="B2723" s="7">
        <v>3025</v>
      </c>
      <c r="C2723" s="8"/>
      <c r="D2723" s="8">
        <v>221.37</v>
      </c>
      <c r="E2723" s="8"/>
      <c r="F2723" s="8"/>
      <c r="G2723" s="8"/>
      <c r="H2723" s="8"/>
      <c r="I2723" s="8">
        <v>1250.95</v>
      </c>
      <c r="J2723" s="8"/>
      <c r="K2723" s="8"/>
      <c r="L2723" s="8"/>
      <c r="M2723" s="8"/>
      <c r="N2723" s="8">
        <v>8.08</v>
      </c>
      <c r="O2723" s="8"/>
      <c r="P2723" s="8"/>
      <c r="Q2723" s="11"/>
      <c r="R2723" s="11"/>
      <c r="S2723" s="8">
        <v>2.35</v>
      </c>
      <c r="T2723" s="8"/>
      <c r="U2723" s="8"/>
      <c r="V2723" s="8"/>
      <c r="W2723" s="8">
        <v>13.22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>
        <v>14.71</v>
      </c>
      <c r="AN2723" s="8">
        <f>717*14.7/1000</f>
        <v>10.539899999999999</v>
      </c>
      <c r="AO2723" s="8"/>
      <c r="AP2723" s="11"/>
      <c r="AQ2723" s="8"/>
      <c r="AR2723" s="8"/>
      <c r="AS2723" s="8">
        <f>3324*14.7/1000</f>
        <v>48.862799999999993</v>
      </c>
      <c r="AT2723" s="8">
        <v>507.57</v>
      </c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>
        <v>33.76</v>
      </c>
      <c r="BH2723" s="9">
        <f t="shared" si="378"/>
        <v>1472.3200000000002</v>
      </c>
      <c r="BI2723" s="9">
        <f t="shared" si="379"/>
        <v>8.08</v>
      </c>
      <c r="BJ2723" s="9">
        <f t="shared" si="380"/>
        <v>2.35</v>
      </c>
      <c r="BK2723" s="9">
        <f t="shared" si="381"/>
        <v>13.22</v>
      </c>
      <c r="BL2723" s="9">
        <f t="shared" si="382"/>
        <v>0</v>
      </c>
      <c r="BM2723" s="9">
        <f t="shared" si="383"/>
        <v>74.11269999999999</v>
      </c>
      <c r="BN2723" s="9">
        <f t="shared" si="384"/>
        <v>507.57</v>
      </c>
      <c r="BO2723" s="9">
        <f t="shared" si="385"/>
        <v>0</v>
      </c>
      <c r="BP2723" s="9">
        <f t="shared" si="386"/>
        <v>0</v>
      </c>
    </row>
    <row r="2724" spans="1:68">
      <c r="A2724" s="6">
        <v>45026</v>
      </c>
      <c r="B2724" s="7">
        <v>3020</v>
      </c>
      <c r="C2724" s="8"/>
      <c r="D2724" s="8">
        <v>170.01</v>
      </c>
      <c r="E2724" s="8"/>
      <c r="F2724" s="8"/>
      <c r="G2724" s="8"/>
      <c r="H2724" s="8"/>
      <c r="I2724" s="8">
        <v>958.13</v>
      </c>
      <c r="J2724" s="8"/>
      <c r="K2724" s="8"/>
      <c r="L2724" s="8"/>
      <c r="M2724" s="8"/>
      <c r="N2724" s="8">
        <v>6.88</v>
      </c>
      <c r="O2724" s="8"/>
      <c r="P2724" s="8"/>
      <c r="Q2724" s="11"/>
      <c r="R2724" s="11"/>
      <c r="S2724" s="8">
        <v>2.04</v>
      </c>
      <c r="T2724" s="8"/>
      <c r="U2724" s="8"/>
      <c r="V2724" s="8"/>
      <c r="W2724" s="8">
        <v>11.3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>
        <v>11.29</v>
      </c>
      <c r="AN2724" s="8"/>
      <c r="AO2724" s="8"/>
      <c r="AP2724" s="11"/>
      <c r="AQ2724" s="8"/>
      <c r="AR2724" s="8"/>
      <c r="AS2724" s="8">
        <f>3023*9.4/1000</f>
        <v>28.4162</v>
      </c>
      <c r="AT2724" s="8">
        <v>555.03</v>
      </c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>
        <v>40.57</v>
      </c>
      <c r="BH2724" s="9">
        <f t="shared" si="378"/>
        <v>1128.1399999999999</v>
      </c>
      <c r="BI2724" s="9">
        <f t="shared" si="379"/>
        <v>6.88</v>
      </c>
      <c r="BJ2724" s="9">
        <f t="shared" si="380"/>
        <v>2.04</v>
      </c>
      <c r="BK2724" s="9">
        <f t="shared" si="381"/>
        <v>11.3</v>
      </c>
      <c r="BL2724" s="9">
        <f t="shared" si="382"/>
        <v>0</v>
      </c>
      <c r="BM2724" s="9">
        <f t="shared" si="383"/>
        <v>39.706199999999995</v>
      </c>
      <c r="BN2724" s="9">
        <f t="shared" si="384"/>
        <v>555.03</v>
      </c>
      <c r="BO2724" s="9">
        <f t="shared" si="385"/>
        <v>0</v>
      </c>
      <c r="BP2724" s="9">
        <f t="shared" si="386"/>
        <v>0</v>
      </c>
    </row>
    <row r="2725" spans="1:68">
      <c r="A2725" s="6">
        <v>45026</v>
      </c>
      <c r="B2725" s="7">
        <v>3016</v>
      </c>
      <c r="C2725" s="8"/>
      <c r="D2725" s="8">
        <v>1633</v>
      </c>
      <c r="E2725" s="8"/>
      <c r="F2725" s="8"/>
      <c r="G2725" s="8"/>
      <c r="H2725" s="8"/>
      <c r="I2725" s="8">
        <v>1506.37</v>
      </c>
      <c r="J2725" s="8"/>
      <c r="K2725" s="8"/>
      <c r="L2725" s="8"/>
      <c r="M2725" s="8"/>
      <c r="N2725" s="8">
        <v>19.46</v>
      </c>
      <c r="O2725" s="8"/>
      <c r="P2725" s="8"/>
      <c r="Q2725" s="11"/>
      <c r="R2725" s="11"/>
      <c r="S2725" s="8">
        <v>2.2000000000000002</v>
      </c>
      <c r="T2725" s="8"/>
      <c r="U2725" s="8"/>
      <c r="V2725" s="8"/>
      <c r="W2725" s="8">
        <v>31.41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>
        <v>12.54</v>
      </c>
      <c r="AN2725" s="8">
        <f>2059*18.47/1000</f>
        <v>38.029729999999994</v>
      </c>
      <c r="AO2725" s="8"/>
      <c r="AP2725" s="11"/>
      <c r="AQ2725" s="8"/>
      <c r="AR2725" s="8">
        <f>4360*18.47/1000</f>
        <v>80.529200000000003</v>
      </c>
      <c r="AS2725" s="8"/>
      <c r="AT2725" s="8">
        <v>1166.76</v>
      </c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>
        <v>85.33</v>
      </c>
      <c r="BH2725" s="9">
        <f t="shared" si="378"/>
        <v>3139.37</v>
      </c>
      <c r="BI2725" s="9">
        <f t="shared" si="379"/>
        <v>19.46</v>
      </c>
      <c r="BJ2725" s="9">
        <f t="shared" si="380"/>
        <v>2.2000000000000002</v>
      </c>
      <c r="BK2725" s="9">
        <f t="shared" si="381"/>
        <v>31.41</v>
      </c>
      <c r="BL2725" s="9">
        <f t="shared" si="382"/>
        <v>0</v>
      </c>
      <c r="BM2725" s="9">
        <f t="shared" si="383"/>
        <v>131.09893</v>
      </c>
      <c r="BN2725" s="9">
        <f t="shared" si="384"/>
        <v>1166.76</v>
      </c>
      <c r="BO2725" s="9">
        <f t="shared" si="385"/>
        <v>0</v>
      </c>
      <c r="BP2725" s="9">
        <f t="shared" si="386"/>
        <v>0</v>
      </c>
    </row>
    <row r="2726" spans="1:68">
      <c r="A2726" s="6">
        <v>45026</v>
      </c>
      <c r="B2726" s="7">
        <v>8297</v>
      </c>
      <c r="C2726" s="8">
        <v>1256.05</v>
      </c>
      <c r="D2726" s="8"/>
      <c r="E2726" s="8"/>
      <c r="F2726" s="8"/>
      <c r="G2726" s="8"/>
      <c r="H2726" s="8"/>
      <c r="I2726" s="8"/>
      <c r="J2726" s="8"/>
      <c r="K2726" s="8"/>
      <c r="L2726" s="8"/>
      <c r="M2726" s="8">
        <v>2.5099999999999998</v>
      </c>
      <c r="N2726" s="8"/>
      <c r="O2726" s="8"/>
      <c r="P2726" s="8"/>
      <c r="Q2726" s="11"/>
      <c r="R2726" s="11"/>
      <c r="S2726" s="8">
        <v>4.5199999999999996</v>
      </c>
      <c r="T2726" s="8"/>
      <c r="U2726" s="8">
        <v>14.71</v>
      </c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11"/>
      <c r="AQ2726" s="8"/>
      <c r="AR2726" s="8"/>
      <c r="AS2726" s="8"/>
      <c r="AT2726" s="8">
        <v>704.87</v>
      </c>
      <c r="AU2726" s="8"/>
      <c r="AV2726" s="8"/>
      <c r="AW2726" s="8"/>
      <c r="AX2726" s="8"/>
      <c r="AY2726" s="8"/>
      <c r="AZ2726" s="8"/>
      <c r="BA2726" s="8"/>
      <c r="BB2726" s="8"/>
      <c r="BC2726" s="8">
        <v>1.76</v>
      </c>
      <c r="BD2726" s="8"/>
      <c r="BE2726" s="8"/>
      <c r="BF2726" s="8">
        <v>31.45</v>
      </c>
      <c r="BG2726" s="8">
        <v>50.26</v>
      </c>
      <c r="BH2726" s="9">
        <f t="shared" si="378"/>
        <v>1256.05</v>
      </c>
      <c r="BI2726" s="9">
        <f t="shared" si="379"/>
        <v>2.5099999999999998</v>
      </c>
      <c r="BJ2726" s="9">
        <f t="shared" si="380"/>
        <v>4.5199999999999996</v>
      </c>
      <c r="BK2726" s="9">
        <f t="shared" si="381"/>
        <v>14.71</v>
      </c>
      <c r="BL2726" s="9">
        <f t="shared" si="382"/>
        <v>0</v>
      </c>
      <c r="BM2726" s="9">
        <f t="shared" si="383"/>
        <v>0</v>
      </c>
      <c r="BN2726" s="9">
        <f t="shared" si="384"/>
        <v>704.87</v>
      </c>
      <c r="BO2726" s="9">
        <f t="shared" si="385"/>
        <v>1.76</v>
      </c>
      <c r="BP2726" s="9">
        <f t="shared" si="386"/>
        <v>31.45</v>
      </c>
    </row>
    <row r="2727" spans="1:68">
      <c r="A2727" s="6">
        <v>45026</v>
      </c>
      <c r="B2727" s="7">
        <v>3602</v>
      </c>
      <c r="C2727" s="8">
        <v>561.98</v>
      </c>
      <c r="D2727" s="8"/>
      <c r="E2727" s="8"/>
      <c r="F2727" s="8"/>
      <c r="G2727" s="8">
        <v>843.4</v>
      </c>
      <c r="H2727" s="8"/>
      <c r="I2727" s="8"/>
      <c r="J2727" s="8"/>
      <c r="K2727" s="8"/>
      <c r="L2727" s="8"/>
      <c r="M2727" s="8">
        <v>1.48</v>
      </c>
      <c r="N2727" s="8"/>
      <c r="O2727" s="8"/>
      <c r="P2727" s="8"/>
      <c r="Q2727" s="11"/>
      <c r="R2727" s="11"/>
      <c r="S2727" s="8">
        <v>6.76</v>
      </c>
      <c r="T2727" s="8"/>
      <c r="U2727" s="8">
        <v>11.27</v>
      </c>
      <c r="V2727" s="8">
        <f>855*16.08/1000</f>
        <v>13.748399999999998</v>
      </c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11"/>
      <c r="AQ2727" s="8"/>
      <c r="AR2727" s="8"/>
      <c r="AS2727" s="8"/>
      <c r="AT2727" s="8">
        <v>566.79999999999995</v>
      </c>
      <c r="AU2727" s="8"/>
      <c r="AV2727" s="8"/>
      <c r="AW2727" s="8">
        <v>36.4</v>
      </c>
      <c r="AX2727" s="8"/>
      <c r="AY2727" s="8"/>
      <c r="AZ2727" s="8"/>
      <c r="BA2727" s="8"/>
      <c r="BB2727" s="8"/>
      <c r="BC2727" s="8"/>
      <c r="BD2727" s="8"/>
      <c r="BE2727" s="8"/>
      <c r="BF2727" s="8">
        <v>45.08</v>
      </c>
      <c r="BG2727" s="8">
        <v>42.11</v>
      </c>
      <c r="BH2727" s="9">
        <f t="shared" si="378"/>
        <v>1405.38</v>
      </c>
      <c r="BI2727" s="9">
        <f t="shared" si="379"/>
        <v>1.48</v>
      </c>
      <c r="BJ2727" s="9">
        <f t="shared" si="380"/>
        <v>6.76</v>
      </c>
      <c r="BK2727" s="9">
        <f t="shared" si="381"/>
        <v>25.0184</v>
      </c>
      <c r="BL2727" s="9">
        <f t="shared" si="382"/>
        <v>0</v>
      </c>
      <c r="BM2727" s="9">
        <f t="shared" si="383"/>
        <v>0</v>
      </c>
      <c r="BN2727" s="9">
        <f t="shared" si="384"/>
        <v>566.79999999999995</v>
      </c>
      <c r="BO2727" s="9">
        <f t="shared" si="385"/>
        <v>36.4</v>
      </c>
      <c r="BP2727" s="9">
        <f t="shared" si="386"/>
        <v>45.08</v>
      </c>
    </row>
    <row r="2728" spans="1:68">
      <c r="A2728" s="6">
        <v>45027</v>
      </c>
      <c r="B2728" s="7">
        <v>3704</v>
      </c>
      <c r="C2728" s="8">
        <v>693.52</v>
      </c>
      <c r="D2728" s="8">
        <v>1037.18</v>
      </c>
      <c r="E2728" s="8"/>
      <c r="F2728" s="8"/>
      <c r="G2728" s="8"/>
      <c r="H2728" s="8"/>
      <c r="I2728" s="8"/>
      <c r="J2728" s="8"/>
      <c r="K2728" s="8"/>
      <c r="L2728" s="8"/>
      <c r="M2728" s="8">
        <v>5.18</v>
      </c>
      <c r="N2728" s="8"/>
      <c r="O2728" s="8"/>
      <c r="P2728" s="8"/>
      <c r="Q2728" s="11"/>
      <c r="R2728" s="11"/>
      <c r="S2728" s="8">
        <v>6.03</v>
      </c>
      <c r="T2728" s="8"/>
      <c r="U2728" s="8">
        <v>12.92</v>
      </c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>
        <v>20.66</v>
      </c>
      <c r="AN2728" s="8"/>
      <c r="AO2728" s="8"/>
      <c r="AP2728" s="11"/>
      <c r="AQ2728" s="8"/>
      <c r="AR2728" s="8"/>
      <c r="AS2728" s="8"/>
      <c r="AT2728" s="8">
        <v>297.58</v>
      </c>
      <c r="AU2728" s="8">
        <v>149.72</v>
      </c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>
        <v>27.55</v>
      </c>
      <c r="BH2728" s="9">
        <f t="shared" si="378"/>
        <v>1730.7</v>
      </c>
      <c r="BI2728" s="9">
        <f t="shared" si="379"/>
        <v>5.18</v>
      </c>
      <c r="BJ2728" s="9">
        <f t="shared" si="380"/>
        <v>6.03</v>
      </c>
      <c r="BK2728" s="9">
        <f t="shared" si="381"/>
        <v>12.92</v>
      </c>
      <c r="BL2728" s="9">
        <f t="shared" si="382"/>
        <v>0</v>
      </c>
      <c r="BM2728" s="9">
        <f t="shared" si="383"/>
        <v>20.66</v>
      </c>
      <c r="BN2728" s="9">
        <f t="shared" si="384"/>
        <v>447.29999999999995</v>
      </c>
      <c r="BO2728" s="9">
        <f t="shared" si="385"/>
        <v>0</v>
      </c>
      <c r="BP2728" s="9">
        <f t="shared" si="386"/>
        <v>0</v>
      </c>
    </row>
    <row r="2729" spans="1:68">
      <c r="A2729" s="6">
        <v>45027</v>
      </c>
      <c r="B2729" s="7">
        <v>3702</v>
      </c>
      <c r="C2729" s="8">
        <v>964.86</v>
      </c>
      <c r="D2729" s="8">
        <v>644.36</v>
      </c>
      <c r="E2729" s="8"/>
      <c r="F2729" s="8"/>
      <c r="G2729" s="8"/>
      <c r="H2729" s="8"/>
      <c r="I2729" s="8"/>
      <c r="J2729" s="8"/>
      <c r="K2729" s="8"/>
      <c r="L2729" s="8"/>
      <c r="M2729" s="8">
        <v>3.23</v>
      </c>
      <c r="N2729" s="8"/>
      <c r="O2729" s="8"/>
      <c r="P2729" s="8"/>
      <c r="Q2729" s="11"/>
      <c r="R2729" s="11"/>
      <c r="S2729" s="8">
        <v>7.55</v>
      </c>
      <c r="T2729" s="8"/>
      <c r="U2729" s="8">
        <v>12.09</v>
      </c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11"/>
      <c r="AQ2729" s="8"/>
      <c r="AR2729" s="8"/>
      <c r="AS2729" s="8"/>
      <c r="AT2729" s="8">
        <v>392.11</v>
      </c>
      <c r="AU2729" s="8">
        <v>196.11</v>
      </c>
      <c r="AV2729" s="8"/>
      <c r="AW2729" s="8">
        <v>3.56</v>
      </c>
      <c r="AX2729" s="8"/>
      <c r="AY2729" s="8"/>
      <c r="AZ2729" s="8"/>
      <c r="BA2729" s="8"/>
      <c r="BB2729" s="8"/>
      <c r="BC2729" s="8"/>
      <c r="BD2729" s="8"/>
      <c r="BE2729" s="8"/>
      <c r="BF2729" s="8"/>
      <c r="BG2729" s="8">
        <v>41.18</v>
      </c>
      <c r="BH2729" s="9">
        <f t="shared" si="378"/>
        <v>1609.22</v>
      </c>
      <c r="BI2729" s="9">
        <f t="shared" si="379"/>
        <v>3.23</v>
      </c>
      <c r="BJ2729" s="9">
        <f t="shared" si="380"/>
        <v>7.55</v>
      </c>
      <c r="BK2729" s="9">
        <f t="shared" si="381"/>
        <v>12.09</v>
      </c>
      <c r="BL2729" s="9">
        <f t="shared" si="382"/>
        <v>0</v>
      </c>
      <c r="BM2729" s="9">
        <f t="shared" si="383"/>
        <v>0</v>
      </c>
      <c r="BN2729" s="9">
        <f t="shared" si="384"/>
        <v>588.22</v>
      </c>
      <c r="BO2729" s="9">
        <f t="shared" si="385"/>
        <v>3.56</v>
      </c>
      <c r="BP2729" s="9">
        <f t="shared" si="386"/>
        <v>0</v>
      </c>
    </row>
    <row r="2730" spans="1:68">
      <c r="A2730" s="6">
        <v>45027</v>
      </c>
      <c r="B2730" s="7">
        <v>3117</v>
      </c>
      <c r="C2730" s="8">
        <v>812.73</v>
      </c>
      <c r="D2730" s="8"/>
      <c r="E2730" s="8"/>
      <c r="F2730" s="8"/>
      <c r="G2730" s="8"/>
      <c r="H2730" s="8"/>
      <c r="I2730" s="8"/>
      <c r="J2730" s="8"/>
      <c r="K2730" s="8"/>
      <c r="L2730" s="8"/>
      <c r="M2730" s="8">
        <v>2.37</v>
      </c>
      <c r="N2730" s="8"/>
      <c r="O2730" s="8"/>
      <c r="P2730" s="8"/>
      <c r="Q2730" s="11"/>
      <c r="R2730" s="11"/>
      <c r="S2730" s="8">
        <v>3.26</v>
      </c>
      <c r="T2730" s="8"/>
      <c r="U2730" s="8">
        <v>8.15</v>
      </c>
      <c r="V2730" s="8"/>
      <c r="W2730" s="8"/>
      <c r="X2730" s="8"/>
      <c r="Y2730" s="8"/>
      <c r="Z2730" s="8"/>
      <c r="AA2730" s="8"/>
      <c r="AB2730" s="8"/>
      <c r="AC2730" s="8">
        <v>3.26</v>
      </c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11"/>
      <c r="AQ2730" s="8"/>
      <c r="AR2730" s="8"/>
      <c r="AS2730" s="8"/>
      <c r="AT2730" s="8">
        <v>514.21</v>
      </c>
      <c r="AU2730" s="8"/>
      <c r="AV2730" s="8">
        <v>20.350000000000001</v>
      </c>
      <c r="AW2730" s="8"/>
      <c r="AX2730" s="8"/>
      <c r="AY2730" s="8"/>
      <c r="AZ2730" s="8"/>
      <c r="BA2730" s="8"/>
      <c r="BB2730" s="8"/>
      <c r="BC2730" s="8"/>
      <c r="BD2730" s="8"/>
      <c r="BE2730" s="8"/>
      <c r="BF2730" s="8">
        <v>40.69</v>
      </c>
      <c r="BG2730" s="8">
        <v>39.07</v>
      </c>
      <c r="BH2730" s="9">
        <f t="shared" si="378"/>
        <v>812.73</v>
      </c>
      <c r="BI2730" s="9">
        <f t="shared" si="379"/>
        <v>2.37</v>
      </c>
      <c r="BJ2730" s="9">
        <f t="shared" si="380"/>
        <v>3.26</v>
      </c>
      <c r="BK2730" s="9">
        <f t="shared" si="381"/>
        <v>8.15</v>
      </c>
      <c r="BL2730" s="9">
        <f t="shared" si="382"/>
        <v>0</v>
      </c>
      <c r="BM2730" s="9">
        <f t="shared" si="383"/>
        <v>3.26</v>
      </c>
      <c r="BN2730" s="9">
        <f t="shared" si="384"/>
        <v>514.21</v>
      </c>
      <c r="BO2730" s="9">
        <f t="shared" si="385"/>
        <v>20.350000000000001</v>
      </c>
      <c r="BP2730" s="9">
        <f t="shared" si="386"/>
        <v>40.69</v>
      </c>
    </row>
    <row r="2731" spans="1:68">
      <c r="A2731" s="6">
        <v>45027</v>
      </c>
      <c r="B2731" s="7">
        <v>3309</v>
      </c>
      <c r="C2731" s="8"/>
      <c r="D2731" s="8">
        <v>2185.39</v>
      </c>
      <c r="E2731" s="8"/>
      <c r="F2731" s="8"/>
      <c r="G2731" s="8"/>
      <c r="H2731" s="8"/>
      <c r="I2731" s="8"/>
      <c r="J2731" s="8"/>
      <c r="K2731" s="8"/>
      <c r="L2731" s="8"/>
      <c r="M2731" s="8">
        <v>4.38</v>
      </c>
      <c r="N2731" s="8"/>
      <c r="O2731" s="8"/>
      <c r="P2731" s="8"/>
      <c r="Q2731" s="11"/>
      <c r="R2731" s="11"/>
      <c r="S2731" s="8">
        <v>3.28</v>
      </c>
      <c r="T2731" s="8"/>
      <c r="U2731" s="8">
        <v>19.670000000000002</v>
      </c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>
        <v>21.88</v>
      </c>
      <c r="AH2731" s="8"/>
      <c r="AI2731" s="8"/>
      <c r="AJ2731" s="8"/>
      <c r="AK2731" s="8"/>
      <c r="AL2731" s="8"/>
      <c r="AM2731" s="8"/>
      <c r="AN2731" s="8"/>
      <c r="AO2731" s="8"/>
      <c r="AP2731" s="11"/>
      <c r="AQ2731" s="8"/>
      <c r="AR2731" s="8"/>
      <c r="AS2731" s="8"/>
      <c r="AT2731" s="8">
        <v>583.62</v>
      </c>
      <c r="AU2731" s="8">
        <v>291.89</v>
      </c>
      <c r="AV2731" s="8"/>
      <c r="AW2731" s="8"/>
      <c r="AX2731" s="8"/>
      <c r="AY2731" s="8"/>
      <c r="AZ2731" s="8"/>
      <c r="BA2731" s="8"/>
      <c r="BB2731" s="8"/>
      <c r="BC2731" s="8">
        <v>2.0299999999999998</v>
      </c>
      <c r="BD2731" s="8"/>
      <c r="BE2731" s="8"/>
      <c r="BF2731" s="8"/>
      <c r="BG2731" s="8">
        <v>60.48</v>
      </c>
      <c r="BH2731" s="9">
        <f t="shared" si="378"/>
        <v>2185.39</v>
      </c>
      <c r="BI2731" s="9">
        <f t="shared" si="379"/>
        <v>4.38</v>
      </c>
      <c r="BJ2731" s="9">
        <f t="shared" si="380"/>
        <v>3.28</v>
      </c>
      <c r="BK2731" s="9">
        <f t="shared" si="381"/>
        <v>19.670000000000002</v>
      </c>
      <c r="BL2731" s="9">
        <f t="shared" si="382"/>
        <v>0</v>
      </c>
      <c r="BM2731" s="9">
        <f t="shared" si="383"/>
        <v>21.88</v>
      </c>
      <c r="BN2731" s="9">
        <f t="shared" si="384"/>
        <v>875.51</v>
      </c>
      <c r="BO2731" s="9">
        <f t="shared" si="385"/>
        <v>2.0299999999999998</v>
      </c>
      <c r="BP2731" s="9">
        <f t="shared" si="386"/>
        <v>0</v>
      </c>
    </row>
    <row r="2732" spans="1:68">
      <c r="A2732" s="6">
        <v>45027</v>
      </c>
      <c r="B2732" s="7">
        <v>3141</v>
      </c>
      <c r="C2732" s="8">
        <v>3609.38</v>
      </c>
      <c r="D2732" s="8">
        <v>637.46</v>
      </c>
      <c r="E2732" s="8"/>
      <c r="F2732" s="8"/>
      <c r="G2732" s="8"/>
      <c r="H2732" s="8"/>
      <c r="I2732" s="8"/>
      <c r="J2732" s="8"/>
      <c r="K2732" s="8"/>
      <c r="L2732" s="8"/>
      <c r="M2732" s="8">
        <v>11.61</v>
      </c>
      <c r="N2732" s="8"/>
      <c r="O2732" s="8"/>
      <c r="P2732" s="8"/>
      <c r="Q2732" s="11"/>
      <c r="R2732" s="11"/>
      <c r="S2732" s="8">
        <v>19.989999999999998</v>
      </c>
      <c r="T2732" s="8"/>
      <c r="U2732" s="8">
        <v>63.77</v>
      </c>
      <c r="V2732" s="8"/>
      <c r="W2732" s="8"/>
      <c r="X2732" s="8"/>
      <c r="Y2732" s="8"/>
      <c r="Z2732" s="8"/>
      <c r="AA2732" s="8"/>
      <c r="AB2732" s="8"/>
      <c r="AC2732" s="8">
        <v>17.02</v>
      </c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11"/>
      <c r="AQ2732" s="8"/>
      <c r="AR2732" s="8"/>
      <c r="AS2732" s="8"/>
      <c r="AT2732" s="8">
        <v>2781.28</v>
      </c>
      <c r="AU2732" s="8"/>
      <c r="AV2732" s="8"/>
      <c r="AW2732" s="8"/>
      <c r="AX2732" s="8"/>
      <c r="AY2732" s="8"/>
      <c r="AZ2732" s="8"/>
      <c r="BA2732" s="8">
        <v>97.43</v>
      </c>
      <c r="BB2732" s="8"/>
      <c r="BC2732" s="8"/>
      <c r="BD2732" s="8"/>
      <c r="BE2732" s="8"/>
      <c r="BF2732" s="8">
        <v>297.56</v>
      </c>
      <c r="BG2732" s="8">
        <v>221.15</v>
      </c>
      <c r="BH2732" s="9">
        <f t="shared" si="378"/>
        <v>4246.84</v>
      </c>
      <c r="BI2732" s="9">
        <f t="shared" si="379"/>
        <v>11.61</v>
      </c>
      <c r="BJ2732" s="9">
        <f t="shared" si="380"/>
        <v>19.989999999999998</v>
      </c>
      <c r="BK2732" s="9">
        <f t="shared" si="381"/>
        <v>63.77</v>
      </c>
      <c r="BL2732" s="9">
        <f t="shared" si="382"/>
        <v>0</v>
      </c>
      <c r="BM2732" s="9">
        <f t="shared" si="383"/>
        <v>17.02</v>
      </c>
      <c r="BN2732" s="9">
        <f t="shared" si="384"/>
        <v>2781.28</v>
      </c>
      <c r="BO2732" s="9">
        <f t="shared" si="385"/>
        <v>97.43</v>
      </c>
      <c r="BP2732" s="9">
        <f t="shared" si="386"/>
        <v>297.56</v>
      </c>
    </row>
    <row r="2733" spans="1:68">
      <c r="A2733" s="6">
        <v>45027</v>
      </c>
      <c r="B2733" s="7">
        <v>3106</v>
      </c>
      <c r="C2733" s="8">
        <v>6089.78</v>
      </c>
      <c r="D2733" s="8"/>
      <c r="E2733" s="8"/>
      <c r="F2733" s="8"/>
      <c r="G2733" s="8"/>
      <c r="H2733" s="8"/>
      <c r="I2733" s="8"/>
      <c r="J2733" s="8"/>
      <c r="K2733" s="8"/>
      <c r="L2733" s="8"/>
      <c r="M2733" s="8">
        <v>16.45</v>
      </c>
      <c r="N2733" s="8"/>
      <c r="O2733" s="8"/>
      <c r="P2733" s="8"/>
      <c r="Q2733" s="11"/>
      <c r="R2733" s="11"/>
      <c r="S2733" s="8">
        <v>18.309999999999999</v>
      </c>
      <c r="T2733" s="8"/>
      <c r="U2733" s="8">
        <v>77.489999999999995</v>
      </c>
      <c r="V2733" s="8"/>
      <c r="W2733" s="8"/>
      <c r="X2733" s="8"/>
      <c r="Y2733" s="8"/>
      <c r="Z2733" s="8"/>
      <c r="AA2733" s="8"/>
      <c r="AB2733" s="8"/>
      <c r="AC2733" s="8">
        <v>15.23</v>
      </c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11"/>
      <c r="AQ2733" s="8"/>
      <c r="AR2733" s="8"/>
      <c r="AS2733" s="8"/>
      <c r="AT2733" s="8">
        <v>3476.71</v>
      </c>
      <c r="AU2733" s="8"/>
      <c r="AV2733" s="8"/>
      <c r="AW2733" s="8"/>
      <c r="AX2733" s="8">
        <v>7.62</v>
      </c>
      <c r="AY2733" s="8"/>
      <c r="AZ2733" s="8"/>
      <c r="BA2733" s="8"/>
      <c r="BB2733" s="8"/>
      <c r="BC2733" s="8"/>
      <c r="BD2733" s="8"/>
      <c r="BE2733" s="8"/>
      <c r="BF2733" s="8"/>
      <c r="BG2733" s="8">
        <v>262.17</v>
      </c>
      <c r="BH2733" s="9">
        <f t="shared" si="378"/>
        <v>6089.78</v>
      </c>
      <c r="BI2733" s="9">
        <f t="shared" si="379"/>
        <v>16.45</v>
      </c>
      <c r="BJ2733" s="9">
        <f t="shared" si="380"/>
        <v>18.309999999999999</v>
      </c>
      <c r="BK2733" s="9">
        <f t="shared" si="381"/>
        <v>77.489999999999995</v>
      </c>
      <c r="BL2733" s="9">
        <f t="shared" si="382"/>
        <v>0</v>
      </c>
      <c r="BM2733" s="9">
        <f t="shared" si="383"/>
        <v>15.23</v>
      </c>
      <c r="BN2733" s="9">
        <f t="shared" si="384"/>
        <v>3476.71</v>
      </c>
      <c r="BO2733" s="9">
        <f t="shared" si="385"/>
        <v>7.62</v>
      </c>
      <c r="BP2733" s="9">
        <f t="shared" si="386"/>
        <v>0</v>
      </c>
    </row>
    <row r="2734" spans="1:68">
      <c r="A2734" s="6">
        <v>45027</v>
      </c>
      <c r="B2734" s="7">
        <v>3203</v>
      </c>
      <c r="C2734" s="8">
        <v>1772.62</v>
      </c>
      <c r="D2734" s="8"/>
      <c r="E2734" s="8">
        <v>759.28</v>
      </c>
      <c r="F2734" s="8"/>
      <c r="G2734" s="8"/>
      <c r="H2734" s="8"/>
      <c r="I2734" s="8"/>
      <c r="J2734" s="8"/>
      <c r="K2734" s="8"/>
      <c r="L2734" s="8"/>
      <c r="M2734" s="8"/>
      <c r="N2734" s="8"/>
      <c r="O2734" s="8">
        <v>7.6</v>
      </c>
      <c r="P2734" s="8"/>
      <c r="Q2734" s="11"/>
      <c r="R2734" s="11"/>
      <c r="S2734" s="8">
        <v>9.9</v>
      </c>
      <c r="T2734" s="8"/>
      <c r="U2734" s="8">
        <v>31.44</v>
      </c>
      <c r="V2734" s="8"/>
      <c r="W2734" s="8"/>
      <c r="X2734" s="8"/>
      <c r="Y2734" s="8"/>
      <c r="Z2734" s="8">
        <v>399.63</v>
      </c>
      <c r="AA2734" s="8">
        <f>10285*29.85/1000</f>
        <v>307.00725</v>
      </c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11"/>
      <c r="AQ2734" s="8"/>
      <c r="AR2734" s="8"/>
      <c r="AS2734" s="8"/>
      <c r="AT2734" s="8">
        <v>947.16</v>
      </c>
      <c r="AU2734" s="8">
        <v>474.29</v>
      </c>
      <c r="AV2734" s="8"/>
      <c r="AW2734" s="8"/>
      <c r="AX2734" s="8"/>
      <c r="AY2734" s="8"/>
      <c r="AZ2734" s="8"/>
      <c r="BA2734" s="8"/>
      <c r="BB2734" s="8"/>
      <c r="BC2734" s="8">
        <v>6.59</v>
      </c>
      <c r="BD2734" s="8"/>
      <c r="BE2734" s="8"/>
      <c r="BF2734" s="8"/>
      <c r="BG2734" s="8">
        <v>92.24</v>
      </c>
      <c r="BH2734" s="9">
        <f t="shared" si="378"/>
        <v>2531.8999999999996</v>
      </c>
      <c r="BI2734" s="9">
        <f t="shared" si="379"/>
        <v>7.6</v>
      </c>
      <c r="BJ2734" s="9">
        <f t="shared" si="380"/>
        <v>9.9</v>
      </c>
      <c r="BK2734" s="9">
        <f t="shared" si="381"/>
        <v>31.44</v>
      </c>
      <c r="BL2734" s="9">
        <f t="shared" si="382"/>
        <v>706.63724999999999</v>
      </c>
      <c r="BM2734" s="9">
        <f t="shared" si="383"/>
        <v>0</v>
      </c>
      <c r="BN2734" s="9">
        <f t="shared" si="384"/>
        <v>1421.45</v>
      </c>
      <c r="BO2734" s="9">
        <f t="shared" si="385"/>
        <v>6.59</v>
      </c>
      <c r="BP2734" s="9">
        <f t="shared" si="386"/>
        <v>0</v>
      </c>
    </row>
    <row r="2735" spans="1:68">
      <c r="A2735" s="6">
        <v>45027</v>
      </c>
      <c r="B2735" s="7">
        <v>3083</v>
      </c>
      <c r="C2735" s="8"/>
      <c r="D2735" s="8">
        <v>733.04</v>
      </c>
      <c r="E2735" s="8"/>
      <c r="F2735" s="8"/>
      <c r="G2735" s="8"/>
      <c r="H2735" s="8"/>
      <c r="I2735" s="8">
        <v>1709.17</v>
      </c>
      <c r="J2735" s="8"/>
      <c r="K2735" s="8"/>
      <c r="L2735" s="8"/>
      <c r="M2735" s="8"/>
      <c r="N2735" s="8">
        <v>15.89</v>
      </c>
      <c r="O2735" s="8"/>
      <c r="P2735" s="8"/>
      <c r="Q2735" s="11"/>
      <c r="R2735" s="11"/>
      <c r="S2735" s="8">
        <v>1.7</v>
      </c>
      <c r="T2735" s="8"/>
      <c r="U2735" s="8"/>
      <c r="V2735" s="8"/>
      <c r="W2735" s="8">
        <v>19.559999999999999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>
        <v>9.77</v>
      </c>
      <c r="AN2735" s="8">
        <f>1923*18.08/1000</f>
        <v>34.76784</v>
      </c>
      <c r="AO2735" s="8"/>
      <c r="AP2735" s="11"/>
      <c r="AQ2735" s="8"/>
      <c r="AR2735" s="8">
        <f>3436*18.08/1000</f>
        <v>62.122879999999995</v>
      </c>
      <c r="AS2735" s="8"/>
      <c r="AT2735" s="8">
        <v>1148.3699999999999</v>
      </c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>
        <v>91.02</v>
      </c>
      <c r="BH2735" s="9">
        <f t="shared" si="378"/>
        <v>2442.21</v>
      </c>
      <c r="BI2735" s="9">
        <f t="shared" si="379"/>
        <v>15.89</v>
      </c>
      <c r="BJ2735" s="9">
        <f t="shared" si="380"/>
        <v>1.7</v>
      </c>
      <c r="BK2735" s="9">
        <f t="shared" si="381"/>
        <v>19.559999999999999</v>
      </c>
      <c r="BL2735" s="9">
        <f t="shared" si="382"/>
        <v>0</v>
      </c>
      <c r="BM2735" s="9">
        <f t="shared" si="383"/>
        <v>106.66072</v>
      </c>
      <c r="BN2735" s="9">
        <f t="shared" si="384"/>
        <v>1148.3699999999999</v>
      </c>
      <c r="BO2735" s="9">
        <f t="shared" si="385"/>
        <v>0</v>
      </c>
      <c r="BP2735" s="9">
        <f t="shared" si="386"/>
        <v>0</v>
      </c>
    </row>
    <row r="2736" spans="1:68">
      <c r="A2736" s="6">
        <v>45028</v>
      </c>
      <c r="B2736" s="7">
        <v>3141</v>
      </c>
      <c r="C2736" s="8">
        <v>2421.02</v>
      </c>
      <c r="D2736" s="8">
        <v>426.93</v>
      </c>
      <c r="E2736" s="8"/>
      <c r="F2736" s="8"/>
      <c r="G2736" s="8"/>
      <c r="H2736" s="8"/>
      <c r="I2736" s="8"/>
      <c r="J2736" s="8"/>
      <c r="K2736" s="8"/>
      <c r="L2736" s="8"/>
      <c r="M2736" s="8">
        <v>7.87</v>
      </c>
      <c r="N2736" s="8"/>
      <c r="O2736" s="8"/>
      <c r="P2736" s="8"/>
      <c r="Q2736" s="11"/>
      <c r="R2736" s="11"/>
      <c r="S2736" s="8">
        <v>13.39</v>
      </c>
      <c r="T2736" s="8"/>
      <c r="U2736" s="8">
        <v>42.72</v>
      </c>
      <c r="V2736" s="8"/>
      <c r="W2736" s="8"/>
      <c r="X2736" s="8"/>
      <c r="Y2736" s="8"/>
      <c r="Z2736" s="8"/>
      <c r="AA2736" s="8"/>
      <c r="AB2736" s="8"/>
      <c r="AC2736" s="8">
        <v>11.39</v>
      </c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11"/>
      <c r="AQ2736" s="8"/>
      <c r="AR2736" s="8"/>
      <c r="AS2736" s="8"/>
      <c r="AT2736" s="8">
        <v>1873.14</v>
      </c>
      <c r="AU2736" s="8"/>
      <c r="AV2736" s="8"/>
      <c r="AW2736" s="8"/>
      <c r="AX2736" s="8"/>
      <c r="AY2736" s="8"/>
      <c r="AZ2736" s="8"/>
      <c r="BA2736" s="8">
        <v>65.27</v>
      </c>
      <c r="BB2736" s="8"/>
      <c r="BC2736" s="8"/>
      <c r="BD2736" s="8"/>
      <c r="BE2736" s="8"/>
      <c r="BF2736" s="8">
        <v>199.26</v>
      </c>
      <c r="BG2736" s="8">
        <v>148.19999999999999</v>
      </c>
      <c r="BH2736" s="9">
        <f t="shared" si="378"/>
        <v>2847.95</v>
      </c>
      <c r="BI2736" s="9">
        <f t="shared" si="379"/>
        <v>7.87</v>
      </c>
      <c r="BJ2736" s="9">
        <f t="shared" si="380"/>
        <v>13.39</v>
      </c>
      <c r="BK2736" s="9">
        <f t="shared" si="381"/>
        <v>42.72</v>
      </c>
      <c r="BL2736" s="9">
        <f t="shared" si="382"/>
        <v>0</v>
      </c>
      <c r="BM2736" s="9">
        <f t="shared" si="383"/>
        <v>11.39</v>
      </c>
      <c r="BN2736" s="9">
        <f t="shared" si="384"/>
        <v>1873.14</v>
      </c>
      <c r="BO2736" s="9">
        <f t="shared" si="385"/>
        <v>65.27</v>
      </c>
      <c r="BP2736" s="9">
        <f t="shared" si="386"/>
        <v>199.26</v>
      </c>
    </row>
    <row r="2737" spans="1:68">
      <c r="A2737" s="6">
        <v>45028</v>
      </c>
      <c r="B2737" s="7">
        <v>3106</v>
      </c>
      <c r="C2737" s="8">
        <v>8198.23</v>
      </c>
      <c r="D2737" s="8"/>
      <c r="E2737" s="8"/>
      <c r="F2737" s="8"/>
      <c r="G2737" s="8"/>
      <c r="H2737" s="8"/>
      <c r="I2737" s="8"/>
      <c r="J2737" s="8"/>
      <c r="K2737" s="8"/>
      <c r="L2737" s="8"/>
      <c r="M2737" s="8">
        <v>20.66</v>
      </c>
      <c r="N2737" s="8"/>
      <c r="O2737" s="8"/>
      <c r="P2737" s="8"/>
      <c r="Q2737" s="11"/>
      <c r="R2737" s="11"/>
      <c r="S2737" s="8">
        <v>24.65</v>
      </c>
      <c r="T2737" s="8"/>
      <c r="U2737" s="8">
        <v>104.2</v>
      </c>
      <c r="V2737" s="8"/>
      <c r="W2737" s="8"/>
      <c r="X2737" s="8"/>
      <c r="Y2737" s="8"/>
      <c r="Z2737" s="8"/>
      <c r="AA2737" s="8"/>
      <c r="AB2737" s="8"/>
      <c r="AC2737" s="8">
        <v>20.5</v>
      </c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11"/>
      <c r="AQ2737" s="8"/>
      <c r="AR2737" s="8"/>
      <c r="AS2737" s="8"/>
      <c r="AT2737" s="8">
        <v>4670.58</v>
      </c>
      <c r="AU2737" s="8"/>
      <c r="AV2737" s="8"/>
      <c r="AW2737" s="8"/>
      <c r="AX2737" s="8">
        <v>10.25</v>
      </c>
      <c r="AY2737" s="8"/>
      <c r="AZ2737" s="8"/>
      <c r="BA2737" s="8"/>
      <c r="BB2737" s="8"/>
      <c r="BC2737" s="8"/>
      <c r="BD2737" s="8"/>
      <c r="BE2737" s="8"/>
      <c r="BF2737" s="8"/>
      <c r="BG2737" s="8">
        <v>353.18</v>
      </c>
      <c r="BH2737" s="9">
        <f t="shared" si="378"/>
        <v>8198.23</v>
      </c>
      <c r="BI2737" s="9">
        <f t="shared" si="379"/>
        <v>20.66</v>
      </c>
      <c r="BJ2737" s="9">
        <f t="shared" si="380"/>
        <v>24.65</v>
      </c>
      <c r="BK2737" s="9">
        <f t="shared" si="381"/>
        <v>104.2</v>
      </c>
      <c r="BL2737" s="9">
        <f t="shared" si="382"/>
        <v>0</v>
      </c>
      <c r="BM2737" s="9">
        <f t="shared" si="383"/>
        <v>20.5</v>
      </c>
      <c r="BN2737" s="9">
        <f t="shared" si="384"/>
        <v>4670.58</v>
      </c>
      <c r="BO2737" s="9">
        <f t="shared" si="385"/>
        <v>10.25</v>
      </c>
      <c r="BP2737" s="9">
        <f t="shared" si="386"/>
        <v>0</v>
      </c>
    </row>
    <row r="2738" spans="1:68">
      <c r="A2738" s="6">
        <v>45028</v>
      </c>
      <c r="B2738" s="7">
        <v>3125</v>
      </c>
      <c r="C2738" s="8">
        <v>1095.25</v>
      </c>
      <c r="D2738" s="8"/>
      <c r="E2738" s="8"/>
      <c r="F2738" s="8"/>
      <c r="G2738" s="8"/>
      <c r="H2738" s="8"/>
      <c r="I2738" s="8"/>
      <c r="J2738" s="8"/>
      <c r="K2738" s="8"/>
      <c r="L2738" s="8"/>
      <c r="M2738" s="8">
        <v>2.61</v>
      </c>
      <c r="N2738" s="8"/>
      <c r="O2738" s="8"/>
      <c r="P2738" s="8"/>
      <c r="Q2738" s="11"/>
      <c r="R2738" s="11"/>
      <c r="S2738" s="8">
        <v>3.3</v>
      </c>
      <c r="T2738" s="8"/>
      <c r="U2738" s="8">
        <v>13.92</v>
      </c>
      <c r="V2738" s="8"/>
      <c r="W2738" s="8"/>
      <c r="X2738" s="8"/>
      <c r="Y2738" s="8"/>
      <c r="Z2738" s="8"/>
      <c r="AA2738" s="8"/>
      <c r="AB2738" s="8"/>
      <c r="AC2738" s="8">
        <v>4.37</v>
      </c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11"/>
      <c r="AQ2738" s="8"/>
      <c r="AR2738" s="8"/>
      <c r="AS2738" s="8"/>
      <c r="AT2738" s="8">
        <v>626.44000000000005</v>
      </c>
      <c r="AU2738" s="8"/>
      <c r="AV2738" s="8">
        <v>16.43</v>
      </c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>
        <v>47.16</v>
      </c>
      <c r="BH2738" s="9">
        <f t="shared" si="378"/>
        <v>1095.25</v>
      </c>
      <c r="BI2738" s="9">
        <f t="shared" si="379"/>
        <v>2.61</v>
      </c>
      <c r="BJ2738" s="9">
        <f t="shared" si="380"/>
        <v>3.3</v>
      </c>
      <c r="BK2738" s="9">
        <f t="shared" si="381"/>
        <v>13.92</v>
      </c>
      <c r="BL2738" s="9">
        <f t="shared" si="382"/>
        <v>0</v>
      </c>
      <c r="BM2738" s="9">
        <f t="shared" si="383"/>
        <v>4.37</v>
      </c>
      <c r="BN2738" s="9">
        <f t="shared" si="384"/>
        <v>626.44000000000005</v>
      </c>
      <c r="BO2738" s="9">
        <f t="shared" si="385"/>
        <v>16.43</v>
      </c>
      <c r="BP2738" s="9">
        <f t="shared" si="386"/>
        <v>0</v>
      </c>
    </row>
    <row r="2739" spans="1:68">
      <c r="A2739" s="6">
        <v>45028</v>
      </c>
      <c r="B2739" s="7">
        <v>3113</v>
      </c>
      <c r="C2739" s="8">
        <v>1519.76</v>
      </c>
      <c r="D2739" s="8"/>
      <c r="E2739" s="8"/>
      <c r="F2739" s="8"/>
      <c r="G2739" s="8"/>
      <c r="H2739" s="8"/>
      <c r="I2739" s="8"/>
      <c r="J2739" s="8"/>
      <c r="K2739" s="8"/>
      <c r="L2739" s="8"/>
      <c r="M2739" s="8">
        <v>1.23</v>
      </c>
      <c r="N2739" s="8">
        <v>1.22</v>
      </c>
      <c r="O2739" s="8"/>
      <c r="P2739" s="8"/>
      <c r="Q2739" s="11"/>
      <c r="R2739" s="11"/>
      <c r="S2739" s="8">
        <v>4.58</v>
      </c>
      <c r="T2739" s="8"/>
      <c r="U2739" s="8">
        <v>15.28</v>
      </c>
      <c r="V2739" s="8"/>
      <c r="W2739" s="8"/>
      <c r="X2739" s="8"/>
      <c r="Y2739" s="8"/>
      <c r="Z2739" s="8"/>
      <c r="AA2739" s="8"/>
      <c r="AB2739" s="8"/>
      <c r="AC2739" s="8">
        <v>6.08</v>
      </c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11"/>
      <c r="AQ2739" s="8"/>
      <c r="AR2739" s="8"/>
      <c r="AS2739" s="8"/>
      <c r="AT2739" s="8">
        <v>637.98</v>
      </c>
      <c r="AU2739" s="8"/>
      <c r="AV2739" s="8">
        <v>51.64</v>
      </c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>
        <v>45.7</v>
      </c>
      <c r="BH2739" s="9">
        <f t="shared" si="378"/>
        <v>1519.76</v>
      </c>
      <c r="BI2739" s="9">
        <f t="shared" si="379"/>
        <v>2.4500000000000002</v>
      </c>
      <c r="BJ2739" s="9">
        <f t="shared" si="380"/>
        <v>4.58</v>
      </c>
      <c r="BK2739" s="9">
        <f t="shared" si="381"/>
        <v>15.28</v>
      </c>
      <c r="BL2739" s="9">
        <f t="shared" si="382"/>
        <v>0</v>
      </c>
      <c r="BM2739" s="9">
        <f t="shared" si="383"/>
        <v>6.08</v>
      </c>
      <c r="BN2739" s="9">
        <f t="shared" si="384"/>
        <v>637.98</v>
      </c>
      <c r="BO2739" s="9">
        <f t="shared" si="385"/>
        <v>51.64</v>
      </c>
      <c r="BP2739" s="9">
        <f t="shared" si="386"/>
        <v>0</v>
      </c>
    </row>
    <row r="2740" spans="1:68">
      <c r="A2740" s="6">
        <v>45028</v>
      </c>
      <c r="B2740" s="7">
        <v>3016</v>
      </c>
      <c r="C2740" s="8"/>
      <c r="D2740" s="8">
        <v>1632.84</v>
      </c>
      <c r="E2740" s="8"/>
      <c r="F2740" s="8"/>
      <c r="G2740" s="8"/>
      <c r="H2740" s="8"/>
      <c r="I2740" s="8">
        <v>1505.17</v>
      </c>
      <c r="J2740" s="8"/>
      <c r="K2740" s="8"/>
      <c r="L2740" s="8"/>
      <c r="M2740" s="8"/>
      <c r="N2740" s="8">
        <v>19.43</v>
      </c>
      <c r="O2740" s="8"/>
      <c r="P2740" s="8"/>
      <c r="Q2740" s="11"/>
      <c r="R2740" s="11"/>
      <c r="S2740" s="8">
        <v>2.19</v>
      </c>
      <c r="T2740" s="8"/>
      <c r="U2740" s="8"/>
      <c r="V2740" s="8"/>
      <c r="W2740" s="8">
        <v>31.4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>
        <v>12.49</v>
      </c>
      <c r="AN2740" s="8">
        <f>2039*18.45/1000</f>
        <v>37.619549999999997</v>
      </c>
      <c r="AO2740" s="8"/>
      <c r="AP2740" s="11"/>
      <c r="AQ2740" s="8"/>
      <c r="AR2740" s="8">
        <f>4318*18.45/1000</f>
        <v>79.667099999999991</v>
      </c>
      <c r="AS2740" s="8"/>
      <c r="AT2740" s="8">
        <v>1165.99</v>
      </c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>
        <v>85.55</v>
      </c>
      <c r="BH2740" s="9">
        <f t="shared" si="378"/>
        <v>3138.01</v>
      </c>
      <c r="BI2740" s="9">
        <f t="shared" si="379"/>
        <v>19.43</v>
      </c>
      <c r="BJ2740" s="9">
        <f t="shared" si="380"/>
        <v>2.19</v>
      </c>
      <c r="BK2740" s="9">
        <f t="shared" si="381"/>
        <v>31.4</v>
      </c>
      <c r="BL2740" s="9">
        <f t="shared" si="382"/>
        <v>0</v>
      </c>
      <c r="BM2740" s="9">
        <f t="shared" si="383"/>
        <v>129.77664999999999</v>
      </c>
      <c r="BN2740" s="9">
        <f t="shared" si="384"/>
        <v>1165.99</v>
      </c>
      <c r="BO2740" s="9">
        <f t="shared" si="385"/>
        <v>0</v>
      </c>
      <c r="BP2740" s="9">
        <f t="shared" si="386"/>
        <v>0</v>
      </c>
    </row>
    <row r="2741" spans="1:68">
      <c r="A2741" s="6">
        <v>45028</v>
      </c>
      <c r="B2741" s="7">
        <v>3024</v>
      </c>
      <c r="C2741" s="8"/>
      <c r="D2741" s="8">
        <v>617.54999999999995</v>
      </c>
      <c r="E2741" s="8"/>
      <c r="F2741" s="8"/>
      <c r="G2741" s="8"/>
      <c r="H2741" s="8"/>
      <c r="I2741" s="8">
        <v>617.42999999999995</v>
      </c>
      <c r="J2741" s="8"/>
      <c r="K2741" s="8"/>
      <c r="L2741" s="8"/>
      <c r="M2741" s="8"/>
      <c r="N2741" s="8">
        <v>7.41</v>
      </c>
      <c r="O2741" s="8"/>
      <c r="P2741" s="8"/>
      <c r="Q2741" s="11"/>
      <c r="R2741" s="11"/>
      <c r="S2741" s="8">
        <v>1.97</v>
      </c>
      <c r="T2741" s="8"/>
      <c r="U2741" s="8"/>
      <c r="V2741" s="8"/>
      <c r="W2741" s="8">
        <v>9.8800000000000008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>
        <v>12.27</v>
      </c>
      <c r="AN2741" s="8">
        <f>838*10.28/1000</f>
        <v>8.6146399999999996</v>
      </c>
      <c r="AO2741" s="8"/>
      <c r="AP2741" s="11"/>
      <c r="AQ2741" s="8"/>
      <c r="AR2741" s="8"/>
      <c r="AS2741" s="8">
        <f>3924*10.28/1000</f>
        <v>40.338719999999995</v>
      </c>
      <c r="AT2741" s="8">
        <v>471.69</v>
      </c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>
        <v>34.630000000000003</v>
      </c>
      <c r="BH2741" s="9">
        <f t="shared" si="378"/>
        <v>1234.98</v>
      </c>
      <c r="BI2741" s="9">
        <f t="shared" si="379"/>
        <v>7.41</v>
      </c>
      <c r="BJ2741" s="9">
        <f t="shared" si="380"/>
        <v>1.97</v>
      </c>
      <c r="BK2741" s="9">
        <f t="shared" si="381"/>
        <v>9.8800000000000008</v>
      </c>
      <c r="BL2741" s="9">
        <f t="shared" si="382"/>
        <v>0</v>
      </c>
      <c r="BM2741" s="9">
        <f t="shared" si="383"/>
        <v>61.223359999999992</v>
      </c>
      <c r="BN2741" s="9">
        <f t="shared" si="384"/>
        <v>471.69</v>
      </c>
      <c r="BO2741" s="9">
        <f t="shared" si="385"/>
        <v>0</v>
      </c>
      <c r="BP2741" s="9">
        <f t="shared" si="386"/>
        <v>0</v>
      </c>
    </row>
    <row r="2742" spans="1:68">
      <c r="A2742" s="6">
        <v>45028</v>
      </c>
      <c r="B2742" s="7">
        <v>3023</v>
      </c>
      <c r="C2742" s="8"/>
      <c r="D2742" s="8">
        <v>882.42</v>
      </c>
      <c r="E2742" s="8"/>
      <c r="F2742" s="8"/>
      <c r="G2742" s="8"/>
      <c r="H2742" s="8"/>
      <c r="I2742" s="8">
        <v>476.36</v>
      </c>
      <c r="J2742" s="8"/>
      <c r="K2742" s="8"/>
      <c r="L2742" s="8"/>
      <c r="M2742" s="8"/>
      <c r="N2742" s="8">
        <v>7.61</v>
      </c>
      <c r="O2742" s="8"/>
      <c r="P2742" s="8"/>
      <c r="Q2742" s="11"/>
      <c r="R2742" s="11"/>
      <c r="S2742" s="8">
        <v>2.17</v>
      </c>
      <c r="T2742" s="8"/>
      <c r="U2742" s="8"/>
      <c r="V2742" s="8"/>
      <c r="W2742" s="8">
        <v>12.24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>
        <v>13.58</v>
      </c>
      <c r="AN2742" s="8">
        <f>1042*9.38/1000</f>
        <v>9.7739600000000006</v>
      </c>
      <c r="AO2742" s="8"/>
      <c r="AP2742" s="11"/>
      <c r="AQ2742" s="8"/>
      <c r="AR2742" s="8"/>
      <c r="AS2742" s="8">
        <f>4749*9.38/1000</f>
        <v>44.54562</v>
      </c>
      <c r="AT2742" s="8">
        <v>557.47</v>
      </c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>
        <v>42.13</v>
      </c>
      <c r="BH2742" s="9">
        <f t="shared" si="378"/>
        <v>1358.78</v>
      </c>
      <c r="BI2742" s="9">
        <f t="shared" si="379"/>
        <v>7.61</v>
      </c>
      <c r="BJ2742" s="9">
        <f t="shared" si="380"/>
        <v>2.17</v>
      </c>
      <c r="BK2742" s="9">
        <f t="shared" si="381"/>
        <v>12.24</v>
      </c>
      <c r="BL2742" s="9">
        <f t="shared" si="382"/>
        <v>0</v>
      </c>
      <c r="BM2742" s="9">
        <f t="shared" si="383"/>
        <v>67.89958</v>
      </c>
      <c r="BN2742" s="9">
        <f t="shared" si="384"/>
        <v>557.47</v>
      </c>
      <c r="BO2742" s="9">
        <f t="shared" si="385"/>
        <v>0</v>
      </c>
      <c r="BP2742" s="9">
        <f t="shared" si="386"/>
        <v>0</v>
      </c>
    </row>
    <row r="2743" spans="1:68">
      <c r="A2743" s="6">
        <v>45028</v>
      </c>
      <c r="B2743" s="7">
        <v>3028</v>
      </c>
      <c r="C2743" s="8"/>
      <c r="D2743" s="8">
        <v>403.74</v>
      </c>
      <c r="E2743" s="8"/>
      <c r="F2743" s="8">
        <v>370.55</v>
      </c>
      <c r="G2743" s="8"/>
      <c r="H2743" s="8"/>
      <c r="I2743" s="8">
        <v>836.33</v>
      </c>
      <c r="J2743" s="8"/>
      <c r="K2743" s="8"/>
      <c r="L2743" s="8"/>
      <c r="M2743" s="8"/>
      <c r="N2743" s="8">
        <v>12.39</v>
      </c>
      <c r="O2743" s="8"/>
      <c r="P2743" s="8"/>
      <c r="Q2743" s="11"/>
      <c r="R2743" s="11"/>
      <c r="S2743" s="8">
        <v>2.25</v>
      </c>
      <c r="T2743" s="8"/>
      <c r="U2743" s="8"/>
      <c r="V2743" s="8"/>
      <c r="W2743" s="8">
        <v>12.08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>
        <v>16.09</v>
      </c>
      <c r="AN2743" s="8">
        <f>1054*10.73/1000</f>
        <v>11.309419999999999</v>
      </c>
      <c r="AO2743" s="8"/>
      <c r="AP2743" s="11"/>
      <c r="AQ2743" s="8"/>
      <c r="AR2743" s="8"/>
      <c r="AS2743" s="8">
        <f>4937*10.73/1000</f>
        <v>52.97401</v>
      </c>
      <c r="AT2743" s="8">
        <v>537.33000000000004</v>
      </c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>
        <v>36.69</v>
      </c>
      <c r="BH2743" s="9">
        <f t="shared" si="378"/>
        <v>1610.62</v>
      </c>
      <c r="BI2743" s="9">
        <f t="shared" si="379"/>
        <v>12.39</v>
      </c>
      <c r="BJ2743" s="9">
        <f t="shared" si="380"/>
        <v>2.25</v>
      </c>
      <c r="BK2743" s="9">
        <f t="shared" si="381"/>
        <v>12.08</v>
      </c>
      <c r="BL2743" s="9">
        <f t="shared" si="382"/>
        <v>0</v>
      </c>
      <c r="BM2743" s="9">
        <f t="shared" si="383"/>
        <v>80.373429999999999</v>
      </c>
      <c r="BN2743" s="9">
        <f t="shared" si="384"/>
        <v>537.33000000000004</v>
      </c>
      <c r="BO2743" s="9">
        <f t="shared" si="385"/>
        <v>0</v>
      </c>
      <c r="BP2743" s="9">
        <f t="shared" si="386"/>
        <v>0</v>
      </c>
    </row>
    <row r="2744" spans="1:68">
      <c r="A2744" s="6">
        <v>45028</v>
      </c>
      <c r="B2744" s="7">
        <v>3204</v>
      </c>
      <c r="C2744" s="8"/>
      <c r="D2744" s="8">
        <v>1003.17</v>
      </c>
      <c r="E2744" s="8">
        <v>429.09</v>
      </c>
      <c r="F2744" s="8"/>
      <c r="G2744" s="8"/>
      <c r="H2744" s="8"/>
      <c r="I2744" s="8"/>
      <c r="J2744" s="8"/>
      <c r="K2744" s="8"/>
      <c r="L2744" s="8"/>
      <c r="M2744" s="8"/>
      <c r="N2744" s="8"/>
      <c r="O2744" s="8">
        <v>7.17</v>
      </c>
      <c r="P2744" s="8"/>
      <c r="Q2744" s="11"/>
      <c r="R2744" s="11"/>
      <c r="S2744" s="8">
        <v>4.88</v>
      </c>
      <c r="T2744" s="8"/>
      <c r="U2744" s="8">
        <v>15.8</v>
      </c>
      <c r="V2744" s="8"/>
      <c r="W2744" s="8"/>
      <c r="X2744" s="8"/>
      <c r="Y2744" s="8"/>
      <c r="Z2744" s="8">
        <v>215.5</v>
      </c>
      <c r="AA2744" s="8"/>
      <c r="AB2744" s="8">
        <f>706*10.25/1000</f>
        <v>7.2365000000000004</v>
      </c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11"/>
      <c r="AQ2744" s="8"/>
      <c r="AR2744" s="8"/>
      <c r="AS2744" s="8"/>
      <c r="AT2744" s="8">
        <v>631.74</v>
      </c>
      <c r="AU2744" s="8"/>
      <c r="AV2744" s="8"/>
      <c r="AW2744" s="8">
        <v>4.62</v>
      </c>
      <c r="AX2744" s="8"/>
      <c r="AY2744" s="8"/>
      <c r="AZ2744" s="8"/>
      <c r="BA2744" s="8"/>
      <c r="BB2744" s="8"/>
      <c r="BC2744" s="8"/>
      <c r="BD2744" s="8"/>
      <c r="BE2744" s="8"/>
      <c r="BF2744" s="8"/>
      <c r="BG2744" s="8">
        <v>46.68</v>
      </c>
      <c r="BH2744" s="9">
        <f t="shared" si="378"/>
        <v>1432.26</v>
      </c>
      <c r="BI2744" s="9">
        <f t="shared" si="379"/>
        <v>7.17</v>
      </c>
      <c r="BJ2744" s="9">
        <f t="shared" si="380"/>
        <v>4.88</v>
      </c>
      <c r="BK2744" s="9">
        <f t="shared" si="381"/>
        <v>15.8</v>
      </c>
      <c r="BL2744" s="9">
        <f t="shared" si="382"/>
        <v>215.5</v>
      </c>
      <c r="BM2744" s="9">
        <f t="shared" si="383"/>
        <v>7.2365000000000004</v>
      </c>
      <c r="BN2744" s="9">
        <f t="shared" si="384"/>
        <v>631.74</v>
      </c>
      <c r="BO2744" s="9">
        <f t="shared" si="385"/>
        <v>4.62</v>
      </c>
      <c r="BP2744" s="9">
        <f t="shared" si="386"/>
        <v>0</v>
      </c>
    </row>
    <row r="2745" spans="1:68">
      <c r="A2745" s="6">
        <v>45028</v>
      </c>
      <c r="B2745" s="7">
        <v>3118</v>
      </c>
      <c r="C2745" s="8">
        <v>401.83</v>
      </c>
      <c r="D2745" s="8"/>
      <c r="E2745" s="8"/>
      <c r="F2745" s="8"/>
      <c r="G2745" s="8"/>
      <c r="H2745" s="8"/>
      <c r="I2745" s="8"/>
      <c r="J2745" s="8"/>
      <c r="K2745" s="8"/>
      <c r="L2745" s="8"/>
      <c r="M2745" s="8">
        <v>1.33</v>
      </c>
      <c r="N2745" s="8"/>
      <c r="O2745" s="8"/>
      <c r="P2745" s="8"/>
      <c r="Q2745" s="11"/>
      <c r="R2745" s="11"/>
      <c r="S2745" s="8">
        <v>2.21</v>
      </c>
      <c r="T2745" s="8"/>
      <c r="U2745" s="8">
        <v>4.82</v>
      </c>
      <c r="V2745" s="8"/>
      <c r="W2745" s="8"/>
      <c r="X2745" s="8"/>
      <c r="Y2745" s="8"/>
      <c r="Z2745" s="8"/>
      <c r="AA2745" s="8"/>
      <c r="AB2745" s="8"/>
      <c r="AC2745" s="8">
        <v>1.61</v>
      </c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11"/>
      <c r="AQ2745" s="8">
        <f>704*5.73/1000</f>
        <v>4.0339200000000002</v>
      </c>
      <c r="AR2745" s="8"/>
      <c r="AS2745" s="8"/>
      <c r="AT2745" s="8">
        <v>259.97000000000003</v>
      </c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>
        <v>26.15</v>
      </c>
      <c r="BG2745" s="8">
        <v>19.91</v>
      </c>
      <c r="BH2745" s="9">
        <f t="shared" si="378"/>
        <v>401.83</v>
      </c>
      <c r="BI2745" s="9">
        <f t="shared" si="379"/>
        <v>1.33</v>
      </c>
      <c r="BJ2745" s="9">
        <f t="shared" si="380"/>
        <v>2.21</v>
      </c>
      <c r="BK2745" s="9">
        <f t="shared" si="381"/>
        <v>4.82</v>
      </c>
      <c r="BL2745" s="9">
        <f t="shared" si="382"/>
        <v>0</v>
      </c>
      <c r="BM2745" s="9">
        <f t="shared" si="383"/>
        <v>5.6439200000000005</v>
      </c>
      <c r="BN2745" s="9">
        <f t="shared" si="384"/>
        <v>259.97000000000003</v>
      </c>
      <c r="BO2745" s="9">
        <f t="shared" si="385"/>
        <v>0</v>
      </c>
      <c r="BP2745" s="9">
        <f t="shared" si="386"/>
        <v>26.15</v>
      </c>
    </row>
    <row r="2746" spans="1:68">
      <c r="A2746" s="6">
        <v>45028</v>
      </c>
      <c r="B2746" s="7">
        <v>3117</v>
      </c>
      <c r="C2746" s="8">
        <v>193.28</v>
      </c>
      <c r="D2746" s="8"/>
      <c r="E2746" s="8"/>
      <c r="F2746" s="8"/>
      <c r="G2746" s="8"/>
      <c r="H2746" s="8"/>
      <c r="I2746" s="8"/>
      <c r="J2746" s="8"/>
      <c r="K2746" s="8"/>
      <c r="L2746" s="8"/>
      <c r="M2746" s="8">
        <v>0.54</v>
      </c>
      <c r="N2746" s="8"/>
      <c r="O2746" s="8"/>
      <c r="P2746" s="8"/>
      <c r="Q2746" s="11"/>
      <c r="R2746" s="11"/>
      <c r="S2746" s="8">
        <v>0.77</v>
      </c>
      <c r="T2746" s="8"/>
      <c r="U2746" s="8">
        <v>1.94</v>
      </c>
      <c r="V2746" s="8"/>
      <c r="W2746" s="8"/>
      <c r="X2746" s="8"/>
      <c r="Y2746" s="8"/>
      <c r="Z2746" s="8"/>
      <c r="AA2746" s="8"/>
      <c r="AB2746" s="8"/>
      <c r="AC2746" s="8">
        <v>0.77</v>
      </c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11"/>
      <c r="AQ2746" s="8"/>
      <c r="AR2746" s="8"/>
      <c r="AS2746" s="8"/>
      <c r="AT2746" s="8">
        <v>121.75</v>
      </c>
      <c r="AU2746" s="8"/>
      <c r="AV2746" s="8">
        <v>4.84</v>
      </c>
      <c r="AW2746" s="8"/>
      <c r="AX2746" s="8"/>
      <c r="AY2746" s="8"/>
      <c r="AZ2746" s="8"/>
      <c r="BA2746" s="8"/>
      <c r="BB2746" s="8"/>
      <c r="BC2746" s="8"/>
      <c r="BD2746" s="8"/>
      <c r="BE2746" s="8"/>
      <c r="BF2746" s="8">
        <v>9.6999999999999993</v>
      </c>
      <c r="BG2746" s="8">
        <v>9.2799999999999994</v>
      </c>
      <c r="BH2746" s="9">
        <f t="shared" si="378"/>
        <v>193.28</v>
      </c>
      <c r="BI2746" s="9">
        <f t="shared" si="379"/>
        <v>0.54</v>
      </c>
      <c r="BJ2746" s="9">
        <f t="shared" si="380"/>
        <v>0.77</v>
      </c>
      <c r="BK2746" s="9">
        <f t="shared" si="381"/>
        <v>1.94</v>
      </c>
      <c r="BL2746" s="9">
        <f t="shared" si="382"/>
        <v>0</v>
      </c>
      <c r="BM2746" s="9">
        <f t="shared" si="383"/>
        <v>0.77</v>
      </c>
      <c r="BN2746" s="9">
        <f t="shared" si="384"/>
        <v>121.75</v>
      </c>
      <c r="BO2746" s="9">
        <f t="shared" si="385"/>
        <v>4.84</v>
      </c>
      <c r="BP2746" s="9">
        <f t="shared" si="386"/>
        <v>9.6999999999999993</v>
      </c>
    </row>
    <row r="2747" spans="1:68">
      <c r="A2747" s="6">
        <v>45028</v>
      </c>
      <c r="B2747" s="7">
        <v>3601</v>
      </c>
      <c r="C2747" s="8">
        <v>286.3</v>
      </c>
      <c r="D2747" s="8"/>
      <c r="E2747" s="8"/>
      <c r="F2747" s="8"/>
      <c r="G2747" s="8">
        <v>429.04</v>
      </c>
      <c r="H2747" s="8"/>
      <c r="I2747" s="8"/>
      <c r="J2747" s="8"/>
      <c r="K2747" s="8"/>
      <c r="L2747" s="8"/>
      <c r="M2747" s="8">
        <v>0.85</v>
      </c>
      <c r="N2747" s="8"/>
      <c r="O2747" s="8"/>
      <c r="P2747" s="8"/>
      <c r="Q2747" s="11"/>
      <c r="R2747" s="11"/>
      <c r="S2747" s="8">
        <v>3.43</v>
      </c>
      <c r="T2747" s="8"/>
      <c r="U2747" s="8">
        <v>4.29</v>
      </c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11"/>
      <c r="AQ2747" s="8"/>
      <c r="AR2747" s="8"/>
      <c r="AS2747" s="8"/>
      <c r="AT2747" s="8">
        <v>349.9</v>
      </c>
      <c r="AU2747" s="8"/>
      <c r="AV2747" s="8"/>
      <c r="AW2747" s="8">
        <v>21.77</v>
      </c>
      <c r="AX2747" s="8"/>
      <c r="AY2747" s="8"/>
      <c r="AZ2747" s="8"/>
      <c r="BA2747" s="8"/>
      <c r="BB2747" s="8"/>
      <c r="BC2747" s="8"/>
      <c r="BD2747" s="8"/>
      <c r="BE2747" s="8"/>
      <c r="BF2747" s="8">
        <v>40.1</v>
      </c>
      <c r="BG2747" s="8">
        <v>25.55</v>
      </c>
      <c r="BH2747" s="9">
        <f t="shared" si="378"/>
        <v>715.34</v>
      </c>
      <c r="BI2747" s="9">
        <f t="shared" si="379"/>
        <v>0.85</v>
      </c>
      <c r="BJ2747" s="9">
        <f t="shared" si="380"/>
        <v>3.43</v>
      </c>
      <c r="BK2747" s="9">
        <f t="shared" si="381"/>
        <v>4.29</v>
      </c>
      <c r="BL2747" s="9">
        <f t="shared" si="382"/>
        <v>0</v>
      </c>
      <c r="BM2747" s="9">
        <f t="shared" si="383"/>
        <v>0</v>
      </c>
      <c r="BN2747" s="9">
        <f t="shared" si="384"/>
        <v>349.9</v>
      </c>
      <c r="BO2747" s="9">
        <f t="shared" si="385"/>
        <v>21.77</v>
      </c>
      <c r="BP2747" s="9">
        <f t="shared" si="386"/>
        <v>40.1</v>
      </c>
    </row>
    <row r="2748" spans="1:68">
      <c r="A2748" s="6">
        <v>45029</v>
      </c>
      <c r="B2748" s="7">
        <v>8297</v>
      </c>
      <c r="C2748" s="8">
        <v>1258.99</v>
      </c>
      <c r="D2748" s="8"/>
      <c r="E2748" s="8"/>
      <c r="F2748" s="8"/>
      <c r="G2748" s="8"/>
      <c r="H2748" s="8"/>
      <c r="I2748" s="8"/>
      <c r="J2748" s="8"/>
      <c r="K2748" s="8"/>
      <c r="L2748" s="8"/>
      <c r="M2748" s="8">
        <v>2.37</v>
      </c>
      <c r="N2748" s="8"/>
      <c r="O2748" s="8"/>
      <c r="P2748" s="8"/>
      <c r="Q2748" s="11"/>
      <c r="R2748" s="11"/>
      <c r="S2748" s="8">
        <v>4.5199999999999996</v>
      </c>
      <c r="T2748" s="8"/>
      <c r="U2748" s="8">
        <v>14.73</v>
      </c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11"/>
      <c r="AQ2748" s="8"/>
      <c r="AR2748" s="8"/>
      <c r="AS2748" s="8"/>
      <c r="AT2748" s="8">
        <v>702.1</v>
      </c>
      <c r="AU2748" s="8"/>
      <c r="AV2748" s="8"/>
      <c r="AW2748" s="8"/>
      <c r="AX2748" s="8"/>
      <c r="AY2748" s="8"/>
      <c r="AZ2748" s="8"/>
      <c r="BA2748" s="8"/>
      <c r="BB2748" s="8"/>
      <c r="BC2748" s="8">
        <v>1.76</v>
      </c>
      <c r="BD2748" s="8"/>
      <c r="BE2748" s="8"/>
      <c r="BF2748" s="8">
        <v>31.37</v>
      </c>
      <c r="BG2748" s="8">
        <v>50.61</v>
      </c>
      <c r="BH2748" s="9">
        <f t="shared" si="378"/>
        <v>1258.99</v>
      </c>
      <c r="BI2748" s="9">
        <f t="shared" si="379"/>
        <v>2.37</v>
      </c>
      <c r="BJ2748" s="9">
        <f t="shared" si="380"/>
        <v>4.5199999999999996</v>
      </c>
      <c r="BK2748" s="9">
        <f t="shared" si="381"/>
        <v>14.73</v>
      </c>
      <c r="BL2748" s="9">
        <f t="shared" si="382"/>
        <v>0</v>
      </c>
      <c r="BM2748" s="9">
        <f t="shared" si="383"/>
        <v>0</v>
      </c>
      <c r="BN2748" s="9">
        <f t="shared" si="384"/>
        <v>702.1</v>
      </c>
      <c r="BO2748" s="9">
        <f t="shared" si="385"/>
        <v>1.76</v>
      </c>
      <c r="BP2748" s="9">
        <f t="shared" si="386"/>
        <v>31.37</v>
      </c>
    </row>
    <row r="2749" spans="1:68">
      <c r="A2749" s="6">
        <v>45029</v>
      </c>
      <c r="B2749" s="7">
        <v>8301</v>
      </c>
      <c r="C2749" s="8">
        <v>1234.67</v>
      </c>
      <c r="D2749" s="8"/>
      <c r="E2749" s="8"/>
      <c r="F2749" s="8"/>
      <c r="G2749" s="8"/>
      <c r="H2749" s="8"/>
      <c r="I2749" s="8"/>
      <c r="J2749" s="8"/>
      <c r="K2749" s="8"/>
      <c r="L2749" s="8"/>
      <c r="M2749" s="8">
        <v>2.2200000000000002</v>
      </c>
      <c r="N2749" s="8"/>
      <c r="O2749" s="8"/>
      <c r="P2749" s="8"/>
      <c r="Q2749" s="11"/>
      <c r="R2749" s="11"/>
      <c r="S2749" s="8">
        <v>4.4400000000000004</v>
      </c>
      <c r="T2749" s="8"/>
      <c r="U2749" s="8">
        <v>14.45</v>
      </c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11"/>
      <c r="AQ2749" s="8"/>
      <c r="AR2749" s="8"/>
      <c r="AS2749" s="8"/>
      <c r="AT2749" s="8">
        <v>691.01</v>
      </c>
      <c r="AU2749" s="8"/>
      <c r="AV2749" s="8">
        <v>24.68</v>
      </c>
      <c r="AW2749" s="8"/>
      <c r="AX2749" s="8"/>
      <c r="AY2749" s="8"/>
      <c r="AZ2749" s="8"/>
      <c r="BA2749" s="8"/>
      <c r="BB2749" s="8"/>
      <c r="BC2749" s="8"/>
      <c r="BD2749" s="8"/>
      <c r="BE2749" s="8"/>
      <c r="BF2749" s="8">
        <v>30.84</v>
      </c>
      <c r="BG2749" s="8">
        <v>49.37</v>
      </c>
      <c r="BH2749" s="9">
        <f t="shared" si="378"/>
        <v>1234.67</v>
      </c>
      <c r="BI2749" s="9">
        <f t="shared" si="379"/>
        <v>2.2200000000000002</v>
      </c>
      <c r="BJ2749" s="9">
        <f t="shared" si="380"/>
        <v>4.4400000000000004</v>
      </c>
      <c r="BK2749" s="9">
        <f t="shared" si="381"/>
        <v>14.45</v>
      </c>
      <c r="BL2749" s="9">
        <f t="shared" si="382"/>
        <v>0</v>
      </c>
      <c r="BM2749" s="9">
        <f t="shared" si="383"/>
        <v>0</v>
      </c>
      <c r="BN2749" s="9">
        <f t="shared" si="384"/>
        <v>691.01</v>
      </c>
      <c r="BO2749" s="9">
        <f t="shared" si="385"/>
        <v>24.68</v>
      </c>
      <c r="BP2749" s="9">
        <f t="shared" si="386"/>
        <v>30.84</v>
      </c>
    </row>
    <row r="2750" spans="1:68">
      <c r="A2750" s="6">
        <v>45029</v>
      </c>
      <c r="B2750" s="7">
        <v>3100</v>
      </c>
      <c r="C2750" s="8">
        <v>665.26</v>
      </c>
      <c r="D2750" s="8"/>
      <c r="E2750" s="8"/>
      <c r="F2750" s="8"/>
      <c r="G2750" s="8"/>
      <c r="H2750" s="8"/>
      <c r="I2750" s="8"/>
      <c r="J2750" s="8"/>
      <c r="K2750" s="8"/>
      <c r="L2750" s="8"/>
      <c r="M2750" s="8">
        <v>1.67</v>
      </c>
      <c r="N2750" s="8"/>
      <c r="O2750" s="8"/>
      <c r="P2750" s="8"/>
      <c r="Q2750" s="11"/>
      <c r="R2750" s="11"/>
      <c r="S2750" s="8">
        <v>3.8</v>
      </c>
      <c r="T2750" s="8"/>
      <c r="U2750" s="8">
        <v>10.68</v>
      </c>
      <c r="V2750" s="8"/>
      <c r="W2750" s="8"/>
      <c r="X2750" s="8"/>
      <c r="Y2750" s="8"/>
      <c r="Z2750" s="8"/>
      <c r="AA2750" s="8"/>
      <c r="AB2750" s="8"/>
      <c r="AC2750" s="8">
        <v>2.67</v>
      </c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11"/>
      <c r="AQ2750" s="8"/>
      <c r="AR2750" s="8"/>
      <c r="AS2750" s="8"/>
      <c r="AT2750" s="8">
        <v>449.48</v>
      </c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>
        <v>86.75</v>
      </c>
      <c r="BG2750" s="8">
        <v>34.29</v>
      </c>
      <c r="BH2750" s="9">
        <f t="shared" si="378"/>
        <v>665.26</v>
      </c>
      <c r="BI2750" s="9">
        <f t="shared" si="379"/>
        <v>1.67</v>
      </c>
      <c r="BJ2750" s="9">
        <f t="shared" si="380"/>
        <v>3.8</v>
      </c>
      <c r="BK2750" s="9">
        <f t="shared" si="381"/>
        <v>10.68</v>
      </c>
      <c r="BL2750" s="9">
        <f t="shared" si="382"/>
        <v>0</v>
      </c>
      <c r="BM2750" s="9">
        <f t="shared" si="383"/>
        <v>2.67</v>
      </c>
      <c r="BN2750" s="9">
        <f t="shared" si="384"/>
        <v>449.48</v>
      </c>
      <c r="BO2750" s="9">
        <f t="shared" si="385"/>
        <v>0</v>
      </c>
      <c r="BP2750" s="9">
        <f t="shared" si="386"/>
        <v>86.75</v>
      </c>
    </row>
    <row r="2751" spans="1:68">
      <c r="A2751" s="6">
        <v>45029</v>
      </c>
      <c r="B2751" s="7">
        <v>3101</v>
      </c>
      <c r="C2751" s="8">
        <v>774.71</v>
      </c>
      <c r="D2751" s="8"/>
      <c r="E2751" s="8"/>
      <c r="F2751" s="8"/>
      <c r="G2751" s="8"/>
      <c r="H2751" s="8"/>
      <c r="I2751" s="8"/>
      <c r="J2751" s="8"/>
      <c r="K2751" s="8"/>
      <c r="L2751" s="8"/>
      <c r="M2751" s="8">
        <v>1.95</v>
      </c>
      <c r="N2751" s="8"/>
      <c r="O2751" s="8"/>
      <c r="P2751" s="8"/>
      <c r="Q2751" s="11"/>
      <c r="R2751" s="11"/>
      <c r="S2751" s="8">
        <v>4.49</v>
      </c>
      <c r="T2751" s="8"/>
      <c r="U2751" s="8">
        <v>12.41</v>
      </c>
      <c r="V2751" s="8"/>
      <c r="W2751" s="8"/>
      <c r="X2751" s="8"/>
      <c r="Y2751" s="8"/>
      <c r="Z2751" s="8"/>
      <c r="AA2751" s="8"/>
      <c r="AB2751" s="8"/>
      <c r="AC2751" s="8">
        <v>3.1</v>
      </c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11"/>
      <c r="AQ2751" s="8"/>
      <c r="AR2751" s="8"/>
      <c r="AS2751" s="8"/>
      <c r="AT2751" s="8">
        <v>519.83000000000004</v>
      </c>
      <c r="AU2751" s="8"/>
      <c r="AV2751" s="8"/>
      <c r="AW2751" s="8">
        <v>16.52</v>
      </c>
      <c r="AX2751" s="8"/>
      <c r="AY2751" s="8"/>
      <c r="AZ2751" s="8"/>
      <c r="BA2751" s="8"/>
      <c r="BB2751" s="8"/>
      <c r="BC2751" s="8"/>
      <c r="BD2751" s="8"/>
      <c r="BE2751" s="8"/>
      <c r="BF2751" s="8">
        <v>100.83</v>
      </c>
      <c r="BG2751" s="8">
        <v>40</v>
      </c>
      <c r="BH2751" s="9">
        <f t="shared" si="378"/>
        <v>774.71</v>
      </c>
      <c r="BI2751" s="9">
        <f t="shared" si="379"/>
        <v>1.95</v>
      </c>
      <c r="BJ2751" s="9">
        <f t="shared" si="380"/>
        <v>4.49</v>
      </c>
      <c r="BK2751" s="9">
        <f t="shared" si="381"/>
        <v>12.41</v>
      </c>
      <c r="BL2751" s="9">
        <f t="shared" si="382"/>
        <v>0</v>
      </c>
      <c r="BM2751" s="9">
        <f t="shared" si="383"/>
        <v>3.1</v>
      </c>
      <c r="BN2751" s="9">
        <f t="shared" si="384"/>
        <v>519.83000000000004</v>
      </c>
      <c r="BO2751" s="9">
        <f t="shared" si="385"/>
        <v>16.52</v>
      </c>
      <c r="BP2751" s="9">
        <f t="shared" si="386"/>
        <v>100.83</v>
      </c>
    </row>
    <row r="2752" spans="1:68">
      <c r="A2752" s="6">
        <v>45029</v>
      </c>
      <c r="B2752" s="7">
        <v>3141</v>
      </c>
      <c r="C2752" s="8">
        <v>2420.09</v>
      </c>
      <c r="D2752" s="8">
        <v>427.05</v>
      </c>
      <c r="E2752" s="8"/>
      <c r="F2752" s="8"/>
      <c r="G2752" s="8"/>
      <c r="H2752" s="8"/>
      <c r="I2752" s="8"/>
      <c r="J2752" s="8"/>
      <c r="K2752" s="8"/>
      <c r="L2752" s="8"/>
      <c r="M2752" s="8">
        <v>7.21</v>
      </c>
      <c r="N2752" s="8"/>
      <c r="O2752" s="8"/>
      <c r="P2752" s="8"/>
      <c r="Q2752" s="11"/>
      <c r="R2752" s="11"/>
      <c r="S2752" s="8">
        <v>13.39</v>
      </c>
      <c r="T2752" s="8"/>
      <c r="U2752" s="8">
        <v>13.39</v>
      </c>
      <c r="V2752" s="8"/>
      <c r="W2752" s="8"/>
      <c r="X2752" s="8"/>
      <c r="Y2752" s="8"/>
      <c r="Z2752" s="8"/>
      <c r="AA2752" s="8"/>
      <c r="AB2752" s="8"/>
      <c r="AC2752" s="8">
        <v>11.4</v>
      </c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11"/>
      <c r="AQ2752" s="8"/>
      <c r="AR2752" s="8"/>
      <c r="AS2752" s="8"/>
      <c r="AT2752" s="8">
        <v>1883.31</v>
      </c>
      <c r="AU2752" s="8"/>
      <c r="AV2752" s="8"/>
      <c r="AW2752" s="8"/>
      <c r="AX2752" s="8"/>
      <c r="AY2752" s="8"/>
      <c r="AZ2752" s="8"/>
      <c r="BA2752" s="8">
        <v>65.28</v>
      </c>
      <c r="BB2752" s="8"/>
      <c r="BC2752" s="8"/>
      <c r="BD2752" s="8"/>
      <c r="BE2752" s="8"/>
      <c r="BF2752" s="8">
        <v>199.46</v>
      </c>
      <c r="BG2752" s="8">
        <v>147.88999999999999</v>
      </c>
      <c r="BH2752" s="9">
        <f t="shared" si="378"/>
        <v>2847.1400000000003</v>
      </c>
      <c r="BI2752" s="9">
        <f t="shared" si="379"/>
        <v>7.21</v>
      </c>
      <c r="BJ2752" s="9">
        <f t="shared" si="380"/>
        <v>13.39</v>
      </c>
      <c r="BK2752" s="9">
        <f t="shared" si="381"/>
        <v>13.39</v>
      </c>
      <c r="BL2752" s="9">
        <f t="shared" si="382"/>
        <v>0</v>
      </c>
      <c r="BM2752" s="9">
        <f t="shared" si="383"/>
        <v>11.4</v>
      </c>
      <c r="BN2752" s="9">
        <f t="shared" si="384"/>
        <v>1883.31</v>
      </c>
      <c r="BO2752" s="9">
        <f t="shared" si="385"/>
        <v>65.28</v>
      </c>
      <c r="BP2752" s="9">
        <f t="shared" si="386"/>
        <v>199.46</v>
      </c>
    </row>
    <row r="2753" spans="1:68">
      <c r="A2753" s="6">
        <v>45029</v>
      </c>
      <c r="B2753" s="7">
        <v>3106</v>
      </c>
      <c r="C2753" s="8">
        <v>6140.53</v>
      </c>
      <c r="D2753" s="8"/>
      <c r="E2753" s="8"/>
      <c r="F2753" s="8"/>
      <c r="G2753" s="8"/>
      <c r="H2753" s="8"/>
      <c r="I2753" s="8"/>
      <c r="J2753" s="8"/>
      <c r="K2753" s="8"/>
      <c r="L2753" s="8"/>
      <c r="M2753" s="8">
        <v>14.22</v>
      </c>
      <c r="N2753" s="8"/>
      <c r="O2753" s="8"/>
      <c r="P2753" s="8"/>
      <c r="Q2753" s="11"/>
      <c r="R2753" s="11"/>
      <c r="S2753" s="8">
        <v>18.47</v>
      </c>
      <c r="T2753" s="8"/>
      <c r="U2753" s="8">
        <v>78.12</v>
      </c>
      <c r="V2753" s="8"/>
      <c r="W2753" s="8"/>
      <c r="X2753" s="8"/>
      <c r="Y2753" s="8"/>
      <c r="Z2753" s="8"/>
      <c r="AA2753" s="8"/>
      <c r="AB2753" s="8"/>
      <c r="AC2753" s="8">
        <v>15.36</v>
      </c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11"/>
      <c r="AQ2753" s="8"/>
      <c r="AR2753" s="8"/>
      <c r="AS2753" s="8"/>
      <c r="AT2753" s="8">
        <v>3503.82</v>
      </c>
      <c r="AU2753" s="8"/>
      <c r="AV2753" s="8"/>
      <c r="AW2753" s="8"/>
      <c r="AX2753" s="8">
        <v>7.69</v>
      </c>
      <c r="AY2753" s="8"/>
      <c r="AZ2753" s="8"/>
      <c r="BA2753" s="8"/>
      <c r="BB2753" s="8"/>
      <c r="BC2753" s="8"/>
      <c r="BD2753" s="8"/>
      <c r="BE2753" s="8"/>
      <c r="BF2753" s="8"/>
      <c r="BG2753" s="8">
        <v>264.44</v>
      </c>
      <c r="BH2753" s="9">
        <f t="shared" si="378"/>
        <v>6140.53</v>
      </c>
      <c r="BI2753" s="9">
        <f t="shared" si="379"/>
        <v>14.22</v>
      </c>
      <c r="BJ2753" s="9">
        <f t="shared" si="380"/>
        <v>18.47</v>
      </c>
      <c r="BK2753" s="9">
        <f t="shared" si="381"/>
        <v>78.12</v>
      </c>
      <c r="BL2753" s="9">
        <f t="shared" si="382"/>
        <v>0</v>
      </c>
      <c r="BM2753" s="9">
        <f t="shared" si="383"/>
        <v>15.36</v>
      </c>
      <c r="BN2753" s="9">
        <f t="shared" si="384"/>
        <v>3503.82</v>
      </c>
      <c r="BO2753" s="9">
        <f t="shared" si="385"/>
        <v>7.69</v>
      </c>
      <c r="BP2753" s="9">
        <f t="shared" si="386"/>
        <v>0</v>
      </c>
    </row>
    <row r="2754" spans="1:68">
      <c r="A2754" s="6">
        <v>45029</v>
      </c>
      <c r="B2754" s="7">
        <v>3108</v>
      </c>
      <c r="C2754" s="8">
        <v>2298.3200000000002</v>
      </c>
      <c r="D2754" s="8"/>
      <c r="E2754" s="8"/>
      <c r="F2754" s="8"/>
      <c r="G2754" s="8"/>
      <c r="H2754" s="8"/>
      <c r="I2754" s="8"/>
      <c r="J2754" s="8"/>
      <c r="K2754" s="8"/>
      <c r="L2754" s="8"/>
      <c r="M2754" s="8">
        <v>4.7300000000000004</v>
      </c>
      <c r="N2754" s="8"/>
      <c r="O2754" s="8"/>
      <c r="P2754" s="8"/>
      <c r="Q2754" s="11"/>
      <c r="R2754" s="11"/>
      <c r="S2754" s="8">
        <v>7.38</v>
      </c>
      <c r="T2754" s="8"/>
      <c r="U2754" s="8">
        <v>29.21</v>
      </c>
      <c r="V2754" s="8"/>
      <c r="W2754" s="8"/>
      <c r="X2754" s="8"/>
      <c r="Y2754" s="8"/>
      <c r="Z2754" s="8"/>
      <c r="AA2754" s="8"/>
      <c r="AB2754" s="8"/>
      <c r="AC2754" s="8">
        <v>9.18</v>
      </c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11"/>
      <c r="AQ2754" s="8"/>
      <c r="AR2754" s="8"/>
      <c r="AS2754" s="8"/>
      <c r="AT2754" s="8">
        <v>1250.46</v>
      </c>
      <c r="AU2754" s="8"/>
      <c r="AV2754" s="8"/>
      <c r="AW2754" s="8"/>
      <c r="AX2754" s="8"/>
      <c r="AY2754" s="8"/>
      <c r="AZ2754" s="8"/>
      <c r="BA2754" s="8">
        <v>85.48</v>
      </c>
      <c r="BB2754" s="8"/>
      <c r="BC2754" s="8"/>
      <c r="BD2754" s="8"/>
      <c r="BE2754" s="8"/>
      <c r="BF2754" s="8"/>
      <c r="BG2754" s="8">
        <v>93.13</v>
      </c>
      <c r="BH2754" s="9">
        <f t="shared" si="378"/>
        <v>2298.3200000000002</v>
      </c>
      <c r="BI2754" s="9">
        <f t="shared" si="379"/>
        <v>4.7300000000000004</v>
      </c>
      <c r="BJ2754" s="9">
        <f t="shared" si="380"/>
        <v>7.38</v>
      </c>
      <c r="BK2754" s="9">
        <f t="shared" si="381"/>
        <v>29.21</v>
      </c>
      <c r="BL2754" s="9">
        <f t="shared" si="382"/>
        <v>0</v>
      </c>
      <c r="BM2754" s="9">
        <f t="shared" si="383"/>
        <v>9.18</v>
      </c>
      <c r="BN2754" s="9">
        <f t="shared" si="384"/>
        <v>1250.46</v>
      </c>
      <c r="BO2754" s="9">
        <f t="shared" si="385"/>
        <v>85.48</v>
      </c>
      <c r="BP2754" s="9">
        <f t="shared" si="386"/>
        <v>0</v>
      </c>
    </row>
    <row r="2755" spans="1:68">
      <c r="A2755" s="6">
        <v>45029</v>
      </c>
      <c r="B2755" s="7">
        <v>3029</v>
      </c>
      <c r="C2755" s="8"/>
      <c r="D2755" s="8">
        <v>476.29</v>
      </c>
      <c r="E2755" s="8"/>
      <c r="F2755" s="8">
        <v>335.79</v>
      </c>
      <c r="G2755" s="8"/>
      <c r="H2755" s="8"/>
      <c r="I2755" s="8">
        <v>1987.02</v>
      </c>
      <c r="J2755" s="8"/>
      <c r="K2755" s="8"/>
      <c r="L2755" s="8"/>
      <c r="M2755" s="8"/>
      <c r="N2755" s="8">
        <v>21.86</v>
      </c>
      <c r="O2755" s="8"/>
      <c r="P2755" s="8"/>
      <c r="Q2755" s="11"/>
      <c r="R2755" s="11"/>
      <c r="S2755" s="8">
        <v>1.67</v>
      </c>
      <c r="T2755" s="8"/>
      <c r="U2755" s="8"/>
      <c r="V2755" s="8"/>
      <c r="W2755" s="8">
        <v>28.01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>
        <v>9.7899999999999991</v>
      </c>
      <c r="AN2755" s="8">
        <f>759*18.67/1000</f>
        <v>14.170530000000001</v>
      </c>
      <c r="AO2755" s="8"/>
      <c r="AP2755" s="11"/>
      <c r="AQ2755" s="8"/>
      <c r="AR2755" s="8">
        <f>4507*18.67/1000</f>
        <v>84.145690000000002</v>
      </c>
      <c r="AS2755" s="8"/>
      <c r="AT2755" s="8">
        <v>1062.18</v>
      </c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>
        <v>74.66</v>
      </c>
      <c r="BH2755" s="9">
        <f t="shared" si="378"/>
        <v>2799.1</v>
      </c>
      <c r="BI2755" s="9">
        <f t="shared" si="379"/>
        <v>21.86</v>
      </c>
      <c r="BJ2755" s="9">
        <f t="shared" si="380"/>
        <v>1.67</v>
      </c>
      <c r="BK2755" s="9">
        <f t="shared" si="381"/>
        <v>28.01</v>
      </c>
      <c r="BL2755" s="9">
        <f t="shared" si="382"/>
        <v>0</v>
      </c>
      <c r="BM2755" s="9">
        <f t="shared" si="383"/>
        <v>108.10622000000001</v>
      </c>
      <c r="BN2755" s="9">
        <f t="shared" si="384"/>
        <v>1062.18</v>
      </c>
      <c r="BO2755" s="9">
        <f t="shared" si="385"/>
        <v>0</v>
      </c>
      <c r="BP2755" s="9">
        <f t="shared" si="386"/>
        <v>0</v>
      </c>
    </row>
    <row r="2756" spans="1:68">
      <c r="A2756" s="6">
        <v>45029</v>
      </c>
      <c r="B2756" s="7">
        <v>3005</v>
      </c>
      <c r="C2756" s="8">
        <v>429.9</v>
      </c>
      <c r="D2756" s="8">
        <v>287.38</v>
      </c>
      <c r="E2756" s="8"/>
      <c r="F2756" s="8"/>
      <c r="G2756" s="8"/>
      <c r="H2756" s="8"/>
      <c r="I2756" s="8"/>
      <c r="J2756" s="8"/>
      <c r="K2756" s="8"/>
      <c r="L2756" s="8"/>
      <c r="M2756" s="8"/>
      <c r="N2756" s="8">
        <v>0.72</v>
      </c>
      <c r="O2756" s="8"/>
      <c r="P2756" s="8"/>
      <c r="Q2756" s="11"/>
      <c r="R2756" s="11"/>
      <c r="S2756" s="8">
        <v>2.5099999999999998</v>
      </c>
      <c r="T2756" s="8"/>
      <c r="U2756" s="8"/>
      <c r="V2756" s="8"/>
      <c r="W2756" s="8">
        <v>7.9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11"/>
      <c r="AQ2756" s="8"/>
      <c r="AR2756" s="8"/>
      <c r="AS2756" s="8"/>
      <c r="AT2756" s="8">
        <v>351.4</v>
      </c>
      <c r="AU2756" s="8"/>
      <c r="AV2756" s="8"/>
      <c r="AW2756" s="8">
        <v>7.96</v>
      </c>
      <c r="AX2756" s="8"/>
      <c r="AY2756" s="8"/>
      <c r="AZ2756" s="8"/>
      <c r="BA2756" s="8"/>
      <c r="BB2756" s="8"/>
      <c r="BC2756" s="8"/>
      <c r="BD2756" s="8"/>
      <c r="BE2756" s="8"/>
      <c r="BF2756" s="8"/>
      <c r="BG2756" s="8">
        <v>26.15</v>
      </c>
      <c r="BH2756" s="9">
        <f t="shared" ref="BH2756:BH2819" si="387">SUM(C2756:L2756)</f>
        <v>717.28</v>
      </c>
      <c r="BI2756" s="9">
        <f t="shared" ref="BI2756:BI2819" si="388">SUM(M2756:R2756)</f>
        <v>0.72</v>
      </c>
      <c r="BJ2756" s="9">
        <f t="shared" ref="BJ2756:BJ2819" si="389">SUM(S2756)</f>
        <v>2.5099999999999998</v>
      </c>
      <c r="BK2756" s="9">
        <f t="shared" ref="BK2756:BK2819" si="390">SUM(T2756:Y2756)</f>
        <v>7.9</v>
      </c>
      <c r="BL2756" s="9">
        <f t="shared" ref="BL2756:BL2819" si="391">SUM(Z2756:AA2756)</f>
        <v>0</v>
      </c>
      <c r="BM2756" s="9">
        <f t="shared" ref="BM2756:BM2819" si="392">SUM(AB2756:AS2756)</f>
        <v>0</v>
      </c>
      <c r="BN2756" s="9">
        <f t="shared" ref="BN2756:BN2819" si="393">SUM(AT2756:AU2756)</f>
        <v>351.4</v>
      </c>
      <c r="BO2756" s="9">
        <f t="shared" ref="BO2756:BO2819" si="394">SUM(AV2756:BE2756)</f>
        <v>7.96</v>
      </c>
      <c r="BP2756" s="9">
        <f t="shared" ref="BP2756:BP2819" si="395">SUM(BF2756)</f>
        <v>0</v>
      </c>
    </row>
    <row r="2757" spans="1:68">
      <c r="A2757" s="6">
        <v>45029</v>
      </c>
      <c r="B2757" s="7">
        <v>3200</v>
      </c>
      <c r="C2757" s="8">
        <v>2234.25</v>
      </c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>
        <v>5.58</v>
      </c>
      <c r="P2757" s="8"/>
      <c r="Q2757" s="11"/>
      <c r="R2757" s="11"/>
      <c r="S2757" s="8">
        <v>8.7200000000000006</v>
      </c>
      <c r="T2757" s="8"/>
      <c r="U2757" s="8">
        <v>33.520000000000003</v>
      </c>
      <c r="V2757" s="8"/>
      <c r="W2757" s="8"/>
      <c r="X2757" s="8"/>
      <c r="Y2757" s="8"/>
      <c r="Z2757" s="8">
        <v>469.87</v>
      </c>
      <c r="AA2757" s="8"/>
      <c r="AB2757" s="8"/>
      <c r="AC2757" s="8"/>
      <c r="AD2757" s="8"/>
      <c r="AE2757" s="8"/>
      <c r="AF2757" s="8">
        <v>111.02</v>
      </c>
      <c r="AG2757" s="8"/>
      <c r="AH2757" s="8"/>
      <c r="AI2757" s="8"/>
      <c r="AJ2757" s="8"/>
      <c r="AK2757" s="8"/>
      <c r="AL2757" s="8"/>
      <c r="AM2757" s="8"/>
      <c r="AN2757" s="8"/>
      <c r="AO2757" s="8"/>
      <c r="AP2757" s="11"/>
      <c r="AQ2757" s="8">
        <f>1526*22.33/1000</f>
        <v>34.075579999999995</v>
      </c>
      <c r="AR2757" s="8"/>
      <c r="AS2757" s="8"/>
      <c r="AT2757" s="8">
        <v>1531.58</v>
      </c>
      <c r="AU2757" s="8"/>
      <c r="AV2757" s="8"/>
      <c r="AW2757" s="8">
        <v>6.58</v>
      </c>
      <c r="AX2757" s="8"/>
      <c r="AY2757" s="8"/>
      <c r="AZ2757" s="8"/>
      <c r="BA2757" s="8"/>
      <c r="BB2757" s="8"/>
      <c r="BC2757" s="8"/>
      <c r="BD2757" s="8"/>
      <c r="BE2757" s="8"/>
      <c r="BF2757" s="8">
        <v>107.3</v>
      </c>
      <c r="BG2757" s="8">
        <v>110.33</v>
      </c>
      <c r="BH2757" s="9">
        <f t="shared" si="387"/>
        <v>2234.25</v>
      </c>
      <c r="BI2757" s="9">
        <f t="shared" si="388"/>
        <v>5.58</v>
      </c>
      <c r="BJ2757" s="9">
        <f t="shared" si="389"/>
        <v>8.7200000000000006</v>
      </c>
      <c r="BK2757" s="9">
        <f t="shared" si="390"/>
        <v>33.520000000000003</v>
      </c>
      <c r="BL2757" s="9">
        <f t="shared" si="391"/>
        <v>469.87</v>
      </c>
      <c r="BM2757" s="9">
        <f t="shared" si="392"/>
        <v>145.09557999999998</v>
      </c>
      <c r="BN2757" s="9">
        <f t="shared" si="393"/>
        <v>1531.58</v>
      </c>
      <c r="BO2757" s="9">
        <f t="shared" si="394"/>
        <v>6.58</v>
      </c>
      <c r="BP2757" s="9">
        <f t="shared" si="395"/>
        <v>107.3</v>
      </c>
    </row>
    <row r="2758" spans="1:68">
      <c r="A2758" s="6">
        <v>45030</v>
      </c>
      <c r="B2758" s="7">
        <v>3141</v>
      </c>
      <c r="C2758" s="8">
        <v>1242.43</v>
      </c>
      <c r="D2758" s="8">
        <v>219.28</v>
      </c>
      <c r="E2758" s="8"/>
      <c r="F2758" s="8"/>
      <c r="G2758" s="8"/>
      <c r="H2758" s="8"/>
      <c r="I2758" s="8"/>
      <c r="J2758" s="8"/>
      <c r="K2758" s="8"/>
      <c r="L2758" s="8"/>
      <c r="M2758" s="8">
        <v>4.2</v>
      </c>
      <c r="N2758" s="8"/>
      <c r="O2758" s="8"/>
      <c r="P2758" s="8"/>
      <c r="Q2758" s="11"/>
      <c r="R2758" s="11"/>
      <c r="S2758" s="8">
        <v>6.88</v>
      </c>
      <c r="T2758" s="8"/>
      <c r="U2758" s="8">
        <v>21.94</v>
      </c>
      <c r="V2758" s="8"/>
      <c r="W2758" s="8"/>
      <c r="X2758" s="8"/>
      <c r="Y2758" s="8"/>
      <c r="Z2758" s="8"/>
      <c r="AA2758" s="8"/>
      <c r="AB2758" s="8"/>
      <c r="AC2758" s="8">
        <v>5.85</v>
      </c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11"/>
      <c r="AQ2758" s="8"/>
      <c r="AR2758" s="8"/>
      <c r="AS2758" s="8"/>
      <c r="AT2758" s="8">
        <v>974.02</v>
      </c>
      <c r="AU2758" s="8"/>
      <c r="AV2758" s="8"/>
      <c r="AW2758" s="8"/>
      <c r="AX2758" s="8"/>
      <c r="AY2758" s="8"/>
      <c r="AZ2758" s="8"/>
      <c r="BA2758" s="8">
        <v>33.49</v>
      </c>
      <c r="BB2758" s="8"/>
      <c r="BC2758" s="8"/>
      <c r="BD2758" s="8"/>
      <c r="BE2758" s="8"/>
      <c r="BF2758" s="8">
        <v>102.39</v>
      </c>
      <c r="BG2758" s="8">
        <v>76.099999999999994</v>
      </c>
      <c r="BH2758" s="9">
        <f t="shared" si="387"/>
        <v>1461.71</v>
      </c>
      <c r="BI2758" s="9">
        <f t="shared" si="388"/>
        <v>4.2</v>
      </c>
      <c r="BJ2758" s="9">
        <f t="shared" si="389"/>
        <v>6.88</v>
      </c>
      <c r="BK2758" s="9">
        <f t="shared" si="390"/>
        <v>21.94</v>
      </c>
      <c r="BL2758" s="9">
        <f t="shared" si="391"/>
        <v>0</v>
      </c>
      <c r="BM2758" s="9">
        <f t="shared" si="392"/>
        <v>5.85</v>
      </c>
      <c r="BN2758" s="9">
        <f t="shared" si="393"/>
        <v>974.02</v>
      </c>
      <c r="BO2758" s="9">
        <f t="shared" si="394"/>
        <v>33.49</v>
      </c>
      <c r="BP2758" s="9">
        <f t="shared" si="395"/>
        <v>102.39</v>
      </c>
    </row>
    <row r="2759" spans="1:68">
      <c r="A2759" s="6">
        <v>45030</v>
      </c>
      <c r="B2759" s="7">
        <v>3134</v>
      </c>
      <c r="C2759" s="8">
        <v>2065.15</v>
      </c>
      <c r="D2759" s="8">
        <v>289</v>
      </c>
      <c r="E2759" s="8"/>
      <c r="F2759" s="8"/>
      <c r="G2759" s="8"/>
      <c r="H2759" s="8">
        <v>977.77</v>
      </c>
      <c r="I2759" s="8"/>
      <c r="J2759" s="8"/>
      <c r="K2759" s="8"/>
      <c r="L2759" s="8"/>
      <c r="M2759" s="8">
        <v>5.83</v>
      </c>
      <c r="N2759" s="8"/>
      <c r="O2759" s="8"/>
      <c r="P2759" s="8"/>
      <c r="Q2759" s="11"/>
      <c r="R2759" s="11"/>
      <c r="S2759" s="8">
        <v>13.35</v>
      </c>
      <c r="T2759" s="8"/>
      <c r="U2759" s="8">
        <v>37.659999999999997</v>
      </c>
      <c r="V2759" s="8"/>
      <c r="W2759" s="8"/>
      <c r="X2759" s="8"/>
      <c r="Y2759" s="8"/>
      <c r="Z2759" s="8"/>
      <c r="AA2759" s="8"/>
      <c r="AB2759" s="8"/>
      <c r="AC2759" s="8">
        <v>11.6</v>
      </c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11"/>
      <c r="AQ2759" s="8"/>
      <c r="AR2759" s="8"/>
      <c r="AS2759" s="8"/>
      <c r="AT2759" s="8">
        <v>2052.54</v>
      </c>
      <c r="AU2759" s="8"/>
      <c r="AV2759" s="8"/>
      <c r="AW2759" s="8"/>
      <c r="AX2759" s="8"/>
      <c r="AY2759" s="8">
        <f>1434*20.72/1000</f>
        <v>29.712479999999999</v>
      </c>
      <c r="AZ2759" s="8"/>
      <c r="BA2759" s="8"/>
      <c r="BB2759" s="8"/>
      <c r="BC2759" s="8"/>
      <c r="BD2759" s="8"/>
      <c r="BE2759" s="8"/>
      <c r="BF2759" s="8">
        <v>130.69999999999999</v>
      </c>
      <c r="BG2759" s="8">
        <v>153.83000000000001</v>
      </c>
      <c r="BH2759" s="9">
        <f t="shared" si="387"/>
        <v>3331.92</v>
      </c>
      <c r="BI2759" s="9">
        <f t="shared" si="388"/>
        <v>5.83</v>
      </c>
      <c r="BJ2759" s="9">
        <f t="shared" si="389"/>
        <v>13.35</v>
      </c>
      <c r="BK2759" s="9">
        <f t="shared" si="390"/>
        <v>37.659999999999997</v>
      </c>
      <c r="BL2759" s="9">
        <f t="shared" si="391"/>
        <v>0</v>
      </c>
      <c r="BM2759" s="9">
        <f t="shared" si="392"/>
        <v>11.6</v>
      </c>
      <c r="BN2759" s="9">
        <f t="shared" si="393"/>
        <v>2052.54</v>
      </c>
      <c r="BO2759" s="9">
        <f t="shared" si="394"/>
        <v>29.712479999999999</v>
      </c>
      <c r="BP2759" s="9">
        <f t="shared" si="395"/>
        <v>130.69999999999999</v>
      </c>
    </row>
    <row r="2760" spans="1:68">
      <c r="A2760" s="6">
        <v>45030</v>
      </c>
      <c r="B2760" s="7">
        <v>3106</v>
      </c>
      <c r="C2760" s="8">
        <v>2095.65</v>
      </c>
      <c r="D2760" s="8"/>
      <c r="E2760" s="8"/>
      <c r="F2760" s="8"/>
      <c r="G2760" s="8"/>
      <c r="H2760" s="8"/>
      <c r="I2760" s="8"/>
      <c r="J2760" s="8"/>
      <c r="K2760" s="8"/>
      <c r="L2760" s="8"/>
      <c r="M2760" s="8">
        <v>5.66</v>
      </c>
      <c r="N2760" s="8"/>
      <c r="O2760" s="8"/>
      <c r="P2760" s="8"/>
      <c r="Q2760" s="11"/>
      <c r="R2760" s="11"/>
      <c r="S2760" s="8">
        <v>6.32</v>
      </c>
      <c r="T2760" s="8"/>
      <c r="U2760" s="8">
        <v>26.68</v>
      </c>
      <c r="V2760" s="8"/>
      <c r="W2760" s="8"/>
      <c r="X2760" s="8"/>
      <c r="Y2760" s="8"/>
      <c r="Z2760" s="8"/>
      <c r="AA2760" s="8"/>
      <c r="AB2760" s="8"/>
      <c r="AC2760" s="8">
        <v>5.25</v>
      </c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11"/>
      <c r="AQ2760" s="8"/>
      <c r="AR2760" s="8"/>
      <c r="AS2760" s="8"/>
      <c r="AT2760" s="8">
        <v>1195.98</v>
      </c>
      <c r="AU2760" s="8"/>
      <c r="AV2760" s="8"/>
      <c r="AW2760" s="8"/>
      <c r="AX2760" s="8">
        <v>2.63</v>
      </c>
      <c r="AY2760" s="8"/>
      <c r="AZ2760" s="8"/>
      <c r="BA2760" s="8"/>
      <c r="BB2760" s="8"/>
      <c r="BC2760" s="8"/>
      <c r="BD2760" s="8"/>
      <c r="BE2760" s="8"/>
      <c r="BF2760" s="8"/>
      <c r="BG2760" s="8">
        <v>90.26</v>
      </c>
      <c r="BH2760" s="9">
        <f t="shared" si="387"/>
        <v>2095.65</v>
      </c>
      <c r="BI2760" s="9">
        <f t="shared" si="388"/>
        <v>5.66</v>
      </c>
      <c r="BJ2760" s="9">
        <f t="shared" si="389"/>
        <v>6.32</v>
      </c>
      <c r="BK2760" s="9">
        <f t="shared" si="390"/>
        <v>26.68</v>
      </c>
      <c r="BL2760" s="9">
        <f t="shared" si="391"/>
        <v>0</v>
      </c>
      <c r="BM2760" s="9">
        <f t="shared" si="392"/>
        <v>5.25</v>
      </c>
      <c r="BN2760" s="9">
        <f t="shared" si="393"/>
        <v>1195.98</v>
      </c>
      <c r="BO2760" s="9">
        <f t="shared" si="394"/>
        <v>2.63</v>
      </c>
      <c r="BP2760" s="9">
        <f t="shared" si="395"/>
        <v>0</v>
      </c>
    </row>
    <row r="2761" spans="1:68">
      <c r="A2761" s="6">
        <v>45030</v>
      </c>
      <c r="B2761" s="7">
        <v>3016</v>
      </c>
      <c r="C2761" s="8"/>
      <c r="D2761" s="8">
        <v>2398.08</v>
      </c>
      <c r="E2761" s="8"/>
      <c r="F2761" s="8"/>
      <c r="G2761" s="8"/>
      <c r="H2761" s="8"/>
      <c r="I2761" s="8">
        <v>2211.2800000000002</v>
      </c>
      <c r="J2761" s="8"/>
      <c r="K2761" s="8"/>
      <c r="L2761" s="8"/>
      <c r="M2761" s="8"/>
      <c r="N2761" s="8">
        <v>28.58</v>
      </c>
      <c r="O2761" s="8"/>
      <c r="P2761" s="8"/>
      <c r="Q2761" s="11"/>
      <c r="R2761" s="11"/>
      <c r="S2761" s="8">
        <v>3.22</v>
      </c>
      <c r="T2761" s="8"/>
      <c r="U2761" s="8"/>
      <c r="V2761" s="8"/>
      <c r="W2761" s="8">
        <v>46.12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>
        <v>18.34</v>
      </c>
      <c r="AN2761" s="8">
        <f>2049*27.1/1000</f>
        <v>55.527900000000002</v>
      </c>
      <c r="AO2761" s="8"/>
      <c r="AP2761" s="11"/>
      <c r="AQ2761" s="8"/>
      <c r="AR2761" s="8">
        <f>4258*27.1/1000</f>
        <v>115.3918</v>
      </c>
      <c r="AS2761" s="8"/>
      <c r="AT2761" s="8">
        <v>1711.66</v>
      </c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>
        <v>125.33</v>
      </c>
      <c r="BH2761" s="9">
        <f t="shared" si="387"/>
        <v>4609.3600000000006</v>
      </c>
      <c r="BI2761" s="9">
        <f t="shared" si="388"/>
        <v>28.58</v>
      </c>
      <c r="BJ2761" s="9">
        <f t="shared" si="389"/>
        <v>3.22</v>
      </c>
      <c r="BK2761" s="9">
        <f t="shared" si="390"/>
        <v>46.12</v>
      </c>
      <c r="BL2761" s="9">
        <f t="shared" si="391"/>
        <v>0</v>
      </c>
      <c r="BM2761" s="9">
        <f t="shared" si="392"/>
        <v>189.25970000000001</v>
      </c>
      <c r="BN2761" s="9">
        <f t="shared" si="393"/>
        <v>1711.66</v>
      </c>
      <c r="BO2761" s="9">
        <f t="shared" si="394"/>
        <v>0</v>
      </c>
      <c r="BP2761" s="9">
        <f t="shared" si="395"/>
        <v>0</v>
      </c>
    </row>
    <row r="2762" spans="1:68">
      <c r="A2762" s="6">
        <v>45030</v>
      </c>
      <c r="B2762" s="7">
        <v>3079</v>
      </c>
      <c r="C2762" s="8"/>
      <c r="D2762" s="8"/>
      <c r="E2762" s="8"/>
      <c r="F2762" s="8">
        <v>179.53</v>
      </c>
      <c r="G2762" s="8"/>
      <c r="H2762" s="8"/>
      <c r="I2762" s="8">
        <v>1449.25</v>
      </c>
      <c r="J2762" s="8"/>
      <c r="K2762" s="8"/>
      <c r="L2762" s="8"/>
      <c r="M2762" s="8"/>
      <c r="N2762" s="8">
        <v>11.58</v>
      </c>
      <c r="O2762" s="8"/>
      <c r="P2762" s="8"/>
      <c r="Q2762" s="11"/>
      <c r="R2762" s="11"/>
      <c r="S2762" s="8">
        <v>0.65</v>
      </c>
      <c r="T2762" s="8"/>
      <c r="U2762" s="8"/>
      <c r="V2762" s="8"/>
      <c r="W2762" s="8">
        <v>16.34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>
        <v>6.53</v>
      </c>
      <c r="AN2762" s="8">
        <f>1714*9.6/1000</f>
        <v>16.454399999999996</v>
      </c>
      <c r="AO2762" s="8"/>
      <c r="AP2762" s="11"/>
      <c r="AQ2762" s="8"/>
      <c r="AR2762" s="8">
        <f>4258*9.6/1000</f>
        <v>40.876799999999996</v>
      </c>
      <c r="AS2762" s="8"/>
      <c r="AT2762" s="8">
        <v>627.51</v>
      </c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>
        <v>45.83</v>
      </c>
      <c r="BH2762" s="9">
        <f t="shared" si="387"/>
        <v>1628.78</v>
      </c>
      <c r="BI2762" s="9">
        <f t="shared" si="388"/>
        <v>11.58</v>
      </c>
      <c r="BJ2762" s="9">
        <f t="shared" si="389"/>
        <v>0.65</v>
      </c>
      <c r="BK2762" s="9">
        <f t="shared" si="390"/>
        <v>16.34</v>
      </c>
      <c r="BL2762" s="9">
        <f t="shared" si="391"/>
        <v>0</v>
      </c>
      <c r="BM2762" s="9">
        <f t="shared" si="392"/>
        <v>63.861199999999997</v>
      </c>
      <c r="BN2762" s="9">
        <f t="shared" si="393"/>
        <v>627.51</v>
      </c>
      <c r="BO2762" s="9">
        <f t="shared" si="394"/>
        <v>0</v>
      </c>
      <c r="BP2762" s="9">
        <f t="shared" si="395"/>
        <v>0</v>
      </c>
    </row>
    <row r="2763" spans="1:68">
      <c r="A2763" s="6">
        <v>45030</v>
      </c>
      <c r="B2763" s="7">
        <v>3028</v>
      </c>
      <c r="C2763" s="8"/>
      <c r="D2763" s="8">
        <v>771.54</v>
      </c>
      <c r="E2763" s="8"/>
      <c r="F2763" s="8">
        <v>709.46</v>
      </c>
      <c r="G2763" s="8"/>
      <c r="H2763" s="8"/>
      <c r="I2763" s="8">
        <v>1604.09</v>
      </c>
      <c r="J2763" s="8"/>
      <c r="K2763" s="8"/>
      <c r="L2763" s="8"/>
      <c r="M2763" s="8"/>
      <c r="N2763" s="8">
        <v>23.78</v>
      </c>
      <c r="O2763" s="8"/>
      <c r="P2763" s="8"/>
      <c r="Q2763" s="11"/>
      <c r="R2763" s="11"/>
      <c r="S2763" s="8">
        <v>4.3099999999999996</v>
      </c>
      <c r="T2763" s="8"/>
      <c r="U2763" s="8"/>
      <c r="V2763" s="8"/>
      <c r="W2763" s="8">
        <v>23.19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>
        <v>30.85</v>
      </c>
      <c r="AN2763" s="8">
        <f>1057*20.58/1000</f>
        <v>21.753059999999998</v>
      </c>
      <c r="AO2763" s="8"/>
      <c r="AP2763" s="11"/>
      <c r="AQ2763" s="8"/>
      <c r="AR2763" s="8"/>
      <c r="AS2763" s="8">
        <f>4982*20.58/1000</f>
        <v>102.52956</v>
      </c>
      <c r="AT2763" s="8">
        <v>1032.71</v>
      </c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>
        <v>70.290000000000006</v>
      </c>
      <c r="BH2763" s="9">
        <f t="shared" si="387"/>
        <v>3085.09</v>
      </c>
      <c r="BI2763" s="9">
        <f t="shared" si="388"/>
        <v>23.78</v>
      </c>
      <c r="BJ2763" s="9">
        <f t="shared" si="389"/>
        <v>4.3099999999999996</v>
      </c>
      <c r="BK2763" s="9">
        <f t="shared" si="390"/>
        <v>23.19</v>
      </c>
      <c r="BL2763" s="9">
        <f t="shared" si="391"/>
        <v>0</v>
      </c>
      <c r="BM2763" s="9">
        <f t="shared" si="392"/>
        <v>155.13262</v>
      </c>
      <c r="BN2763" s="9">
        <f t="shared" si="393"/>
        <v>1032.71</v>
      </c>
      <c r="BO2763" s="9">
        <f t="shared" si="394"/>
        <v>0</v>
      </c>
      <c r="BP2763" s="9">
        <f t="shared" si="395"/>
        <v>0</v>
      </c>
    </row>
    <row r="2764" spans="1:68">
      <c r="A2764" s="6">
        <v>45030</v>
      </c>
      <c r="B2764" s="7">
        <v>3200</v>
      </c>
      <c r="C2764" s="8">
        <v>2223.89</v>
      </c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>
        <v>5.56</v>
      </c>
      <c r="P2764" s="8"/>
      <c r="Q2764" s="11"/>
      <c r="R2764" s="11"/>
      <c r="S2764" s="8">
        <v>8.69</v>
      </c>
      <c r="T2764" s="8"/>
      <c r="U2764" s="8">
        <v>33.42</v>
      </c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>
        <v>110.35</v>
      </c>
      <c r="AG2764" s="8"/>
      <c r="AH2764" s="8"/>
      <c r="AI2764" s="8"/>
      <c r="AJ2764" s="8"/>
      <c r="AK2764" s="8"/>
      <c r="AL2764" s="8"/>
      <c r="AM2764" s="8"/>
      <c r="AN2764" s="8"/>
      <c r="AO2764" s="8"/>
      <c r="AP2764" s="11"/>
      <c r="AQ2764" s="8">
        <f>1530*22.27/1000</f>
        <v>34.073099999999997</v>
      </c>
      <c r="AR2764" s="8"/>
      <c r="AS2764" s="8"/>
      <c r="AT2764" s="8">
        <v>1521.21</v>
      </c>
      <c r="AU2764" s="8"/>
      <c r="AV2764" s="8"/>
      <c r="AW2764" s="8">
        <v>6.38</v>
      </c>
      <c r="AX2764" s="8"/>
      <c r="AY2764" s="8"/>
      <c r="AZ2764" s="8"/>
      <c r="BA2764" s="8"/>
      <c r="BB2764" s="8"/>
      <c r="BC2764" s="8"/>
      <c r="BD2764" s="8"/>
      <c r="BE2764" s="8"/>
      <c r="BF2764" s="8">
        <v>106.92</v>
      </c>
      <c r="BG2764" s="8">
        <v>110.56</v>
      </c>
      <c r="BH2764" s="9">
        <f t="shared" si="387"/>
        <v>2223.89</v>
      </c>
      <c r="BI2764" s="9">
        <f t="shared" si="388"/>
        <v>5.56</v>
      </c>
      <c r="BJ2764" s="9">
        <f t="shared" si="389"/>
        <v>8.69</v>
      </c>
      <c r="BK2764" s="9">
        <f t="shared" si="390"/>
        <v>33.42</v>
      </c>
      <c r="BL2764" s="9">
        <f t="shared" si="391"/>
        <v>0</v>
      </c>
      <c r="BM2764" s="9">
        <f t="shared" si="392"/>
        <v>144.42309999999998</v>
      </c>
      <c r="BN2764" s="9">
        <f t="shared" si="393"/>
        <v>1521.21</v>
      </c>
      <c r="BO2764" s="9">
        <f t="shared" si="394"/>
        <v>6.38</v>
      </c>
      <c r="BP2764" s="9">
        <f t="shared" si="395"/>
        <v>106.92</v>
      </c>
    </row>
    <row r="2765" spans="1:68">
      <c r="A2765" s="6">
        <v>45030</v>
      </c>
      <c r="B2765" s="7">
        <v>3602</v>
      </c>
      <c r="C2765" s="8">
        <v>562.12</v>
      </c>
      <c r="D2765" s="8"/>
      <c r="E2765" s="8"/>
      <c r="F2765" s="8"/>
      <c r="G2765" s="8">
        <v>841.93</v>
      </c>
      <c r="H2765" s="8"/>
      <c r="I2765" s="8"/>
      <c r="J2765" s="8"/>
      <c r="K2765" s="8"/>
      <c r="L2765" s="8"/>
      <c r="M2765" s="8">
        <v>1.45</v>
      </c>
      <c r="N2765" s="8"/>
      <c r="O2765" s="8"/>
      <c r="P2765" s="8"/>
      <c r="Q2765" s="11"/>
      <c r="R2765" s="11"/>
      <c r="S2765" s="8">
        <v>6.74</v>
      </c>
      <c r="T2765" s="8"/>
      <c r="U2765" s="8">
        <v>11.24</v>
      </c>
      <c r="V2765" s="8">
        <f>854*16.03/1000</f>
        <v>13.689620000000001</v>
      </c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11"/>
      <c r="AQ2765" s="8"/>
      <c r="AR2765" s="8"/>
      <c r="AS2765" s="8"/>
      <c r="AT2765" s="8">
        <v>565.27</v>
      </c>
      <c r="AU2765" s="8"/>
      <c r="AV2765" s="8"/>
      <c r="AW2765" s="8">
        <v>36.29</v>
      </c>
      <c r="AX2765" s="8"/>
      <c r="AY2765" s="8"/>
      <c r="AZ2765" s="8"/>
      <c r="BA2765" s="8"/>
      <c r="BB2765" s="8"/>
      <c r="BC2765" s="8"/>
      <c r="BD2765" s="8"/>
      <c r="BE2765" s="8"/>
      <c r="BF2765" s="8">
        <v>44.96</v>
      </c>
      <c r="BG2765" s="8">
        <v>42.21</v>
      </c>
      <c r="BH2765" s="9">
        <f t="shared" si="387"/>
        <v>1404.05</v>
      </c>
      <c r="BI2765" s="9">
        <f t="shared" si="388"/>
        <v>1.45</v>
      </c>
      <c r="BJ2765" s="9">
        <f t="shared" si="389"/>
        <v>6.74</v>
      </c>
      <c r="BK2765" s="9">
        <f t="shared" si="390"/>
        <v>24.92962</v>
      </c>
      <c r="BL2765" s="9">
        <f t="shared" si="391"/>
        <v>0</v>
      </c>
      <c r="BM2765" s="9">
        <f t="shared" si="392"/>
        <v>0</v>
      </c>
      <c r="BN2765" s="9">
        <f t="shared" si="393"/>
        <v>565.27</v>
      </c>
      <c r="BO2765" s="9">
        <f t="shared" si="394"/>
        <v>36.29</v>
      </c>
      <c r="BP2765" s="9">
        <f t="shared" si="395"/>
        <v>44.96</v>
      </c>
    </row>
    <row r="2766" spans="1:68">
      <c r="A2766" s="6">
        <v>45030</v>
      </c>
      <c r="B2766" s="7">
        <v>3701</v>
      </c>
      <c r="C2766" s="8">
        <v>379.56</v>
      </c>
      <c r="D2766" s="8"/>
      <c r="E2766" s="8"/>
      <c r="F2766" s="8"/>
      <c r="G2766" s="8"/>
      <c r="H2766" s="8"/>
      <c r="I2766" s="8"/>
      <c r="J2766" s="8">
        <f>48260*12.8/1000</f>
        <v>617.72799999999995</v>
      </c>
      <c r="K2766" s="8"/>
      <c r="L2766" s="8"/>
      <c r="M2766" s="8"/>
      <c r="N2766" s="8">
        <v>2.34</v>
      </c>
      <c r="O2766" s="8"/>
      <c r="P2766" s="8"/>
      <c r="Q2766" s="11"/>
      <c r="R2766" s="11"/>
      <c r="S2766" s="8">
        <v>2.76</v>
      </c>
      <c r="T2766" s="8"/>
      <c r="U2766" s="8">
        <v>6.15</v>
      </c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>
        <v>20.5</v>
      </c>
      <c r="AH2766" s="8"/>
      <c r="AI2766" s="8"/>
      <c r="AJ2766" s="8">
        <f>2440*12.8/1000</f>
        <v>31.231999999999999</v>
      </c>
      <c r="AK2766" s="8"/>
      <c r="AL2766" s="8"/>
      <c r="AM2766" s="8"/>
      <c r="AN2766" s="8"/>
      <c r="AO2766" s="8"/>
      <c r="AP2766" s="11"/>
      <c r="AQ2766" s="8"/>
      <c r="AR2766" s="8"/>
      <c r="AS2766" s="8"/>
      <c r="AT2766" s="8"/>
      <c r="AU2766" s="8">
        <v>361.77</v>
      </c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>
        <v>24.63</v>
      </c>
      <c r="BH2766" s="9">
        <f t="shared" si="387"/>
        <v>997.28800000000001</v>
      </c>
      <c r="BI2766" s="9">
        <f t="shared" si="388"/>
        <v>2.34</v>
      </c>
      <c r="BJ2766" s="9">
        <f t="shared" si="389"/>
        <v>2.76</v>
      </c>
      <c r="BK2766" s="9">
        <f t="shared" si="390"/>
        <v>6.15</v>
      </c>
      <c r="BL2766" s="9">
        <f t="shared" si="391"/>
        <v>0</v>
      </c>
      <c r="BM2766" s="9">
        <f t="shared" si="392"/>
        <v>51.731999999999999</v>
      </c>
      <c r="BN2766" s="9">
        <f t="shared" si="393"/>
        <v>361.77</v>
      </c>
      <c r="BO2766" s="9">
        <f t="shared" si="394"/>
        <v>0</v>
      </c>
      <c r="BP2766" s="9">
        <f t="shared" si="395"/>
        <v>0</v>
      </c>
    </row>
    <row r="2767" spans="1:68">
      <c r="A2767" s="6">
        <v>45031</v>
      </c>
      <c r="B2767" s="7">
        <v>3106</v>
      </c>
      <c r="C2767" s="8">
        <v>4140.7299999999996</v>
      </c>
      <c r="D2767" s="8"/>
      <c r="E2767" s="8"/>
      <c r="F2767" s="8"/>
      <c r="G2767" s="8"/>
      <c r="H2767" s="8"/>
      <c r="I2767" s="8"/>
      <c r="J2767" s="8"/>
      <c r="K2767" s="8"/>
      <c r="L2767" s="8"/>
      <c r="M2767" s="8">
        <v>9.2799999999999994</v>
      </c>
      <c r="N2767" s="8"/>
      <c r="O2767" s="8"/>
      <c r="P2767" s="8"/>
      <c r="Q2767" s="11"/>
      <c r="R2767" s="11"/>
      <c r="S2767" s="8">
        <v>12.51</v>
      </c>
      <c r="T2767" s="8"/>
      <c r="U2767" s="8">
        <v>52.68</v>
      </c>
      <c r="V2767" s="8"/>
      <c r="W2767" s="8"/>
      <c r="X2767" s="8"/>
      <c r="Y2767" s="8"/>
      <c r="Z2767" s="8"/>
      <c r="AA2767" s="8"/>
      <c r="AB2767" s="8"/>
      <c r="AC2767" s="8">
        <v>10.37</v>
      </c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11"/>
      <c r="AQ2767" s="8"/>
      <c r="AR2767" s="8"/>
      <c r="AS2767" s="8"/>
      <c r="AT2767" s="8">
        <v>2359.92</v>
      </c>
      <c r="AU2767" s="8"/>
      <c r="AV2767" s="8"/>
      <c r="AW2767" s="8"/>
      <c r="AX2767" s="8">
        <v>5.18</v>
      </c>
      <c r="AY2767" s="8"/>
      <c r="AZ2767" s="8"/>
      <c r="BA2767" s="8"/>
      <c r="BB2767" s="8"/>
      <c r="BC2767" s="8"/>
      <c r="BD2767" s="8"/>
      <c r="BE2767" s="8"/>
      <c r="BF2767" s="8"/>
      <c r="BG2767" s="8">
        <v>177.8</v>
      </c>
      <c r="BH2767" s="9">
        <f t="shared" si="387"/>
        <v>4140.7299999999996</v>
      </c>
      <c r="BI2767" s="9">
        <f t="shared" si="388"/>
        <v>9.2799999999999994</v>
      </c>
      <c r="BJ2767" s="9">
        <f t="shared" si="389"/>
        <v>12.51</v>
      </c>
      <c r="BK2767" s="9">
        <f t="shared" si="390"/>
        <v>52.68</v>
      </c>
      <c r="BL2767" s="9">
        <f t="shared" si="391"/>
        <v>0</v>
      </c>
      <c r="BM2767" s="9">
        <f t="shared" si="392"/>
        <v>10.37</v>
      </c>
      <c r="BN2767" s="9">
        <f t="shared" si="393"/>
        <v>2359.92</v>
      </c>
      <c r="BO2767" s="9">
        <f t="shared" si="394"/>
        <v>5.18</v>
      </c>
      <c r="BP2767" s="9">
        <f t="shared" si="395"/>
        <v>0</v>
      </c>
    </row>
    <row r="2768" spans="1:68">
      <c r="A2768" s="6">
        <v>45031</v>
      </c>
      <c r="B2768" s="7">
        <v>3016</v>
      </c>
      <c r="C2768" s="8"/>
      <c r="D2768" s="8">
        <v>1631.85</v>
      </c>
      <c r="E2768" s="8"/>
      <c r="F2768" s="8"/>
      <c r="G2768" s="8"/>
      <c r="H2768" s="8"/>
      <c r="I2768" s="8">
        <v>1502.99</v>
      </c>
      <c r="J2768" s="8"/>
      <c r="K2768" s="8"/>
      <c r="L2768" s="8"/>
      <c r="M2768" s="8"/>
      <c r="N2768" s="8">
        <v>19.45</v>
      </c>
      <c r="O2768" s="8"/>
      <c r="P2768" s="8"/>
      <c r="Q2768" s="11"/>
      <c r="R2768" s="11"/>
      <c r="S2768" s="8">
        <v>2.2000000000000002</v>
      </c>
      <c r="T2768" s="8"/>
      <c r="U2768" s="8"/>
      <c r="V2768" s="8"/>
      <c r="W2768" s="8">
        <v>31.38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>
        <v>12.5</v>
      </c>
      <c r="AN2768" s="8">
        <f>2041*18.43/1000</f>
        <v>37.615629999999996</v>
      </c>
      <c r="AO2768" s="8"/>
      <c r="AP2768" s="11"/>
      <c r="AQ2768" s="8"/>
      <c r="AR2768" s="8">
        <f>4301*18.43/1000</f>
        <v>79.26742999999999</v>
      </c>
      <c r="AS2768" s="8"/>
      <c r="AT2768" s="8">
        <v>1165.8</v>
      </c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>
        <v>85.32</v>
      </c>
      <c r="BH2768" s="9">
        <f t="shared" si="387"/>
        <v>3134.84</v>
      </c>
      <c r="BI2768" s="9">
        <f t="shared" si="388"/>
        <v>19.45</v>
      </c>
      <c r="BJ2768" s="9">
        <f t="shared" si="389"/>
        <v>2.2000000000000002</v>
      </c>
      <c r="BK2768" s="9">
        <f t="shared" si="390"/>
        <v>31.38</v>
      </c>
      <c r="BL2768" s="9">
        <f t="shared" si="391"/>
        <v>0</v>
      </c>
      <c r="BM2768" s="9">
        <f t="shared" si="392"/>
        <v>129.38306</v>
      </c>
      <c r="BN2768" s="9">
        <f t="shared" si="393"/>
        <v>1165.8</v>
      </c>
      <c r="BO2768" s="9">
        <f t="shared" si="394"/>
        <v>0</v>
      </c>
      <c r="BP2768" s="9">
        <f t="shared" si="395"/>
        <v>0</v>
      </c>
    </row>
    <row r="2769" spans="1:68">
      <c r="A2769" s="6">
        <v>45031</v>
      </c>
      <c r="B2769" s="7">
        <v>3021</v>
      </c>
      <c r="C2769" s="8"/>
      <c r="D2769" s="8">
        <v>357.33</v>
      </c>
      <c r="E2769" s="8"/>
      <c r="F2769" s="8"/>
      <c r="G2769" s="8"/>
      <c r="H2769" s="8"/>
      <c r="I2769" s="8">
        <v>661.74</v>
      </c>
      <c r="J2769" s="8"/>
      <c r="K2769" s="8"/>
      <c r="L2769" s="8"/>
      <c r="M2769" s="8"/>
      <c r="N2769" s="8">
        <v>5.41</v>
      </c>
      <c r="O2769" s="8"/>
      <c r="P2769" s="8"/>
      <c r="Q2769" s="11"/>
      <c r="R2769" s="11"/>
      <c r="S2769" s="8">
        <v>1.84</v>
      </c>
      <c r="T2769" s="8"/>
      <c r="U2769" s="8"/>
      <c r="V2769" s="8"/>
      <c r="W2769" s="8">
        <v>10.19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>
        <v>10.15</v>
      </c>
      <c r="AN2769" s="8"/>
      <c r="AO2769" s="8"/>
      <c r="AP2769" s="11"/>
      <c r="AQ2769" s="8"/>
      <c r="AR2769" s="8"/>
      <c r="AS2769" s="8">
        <f>2639*9.7/1000</f>
        <v>25.598299999999998</v>
      </c>
      <c r="AT2769" s="8">
        <v>479.52</v>
      </c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>
        <v>36.11</v>
      </c>
      <c r="BH2769" s="9">
        <f t="shared" si="387"/>
        <v>1019.0699999999999</v>
      </c>
      <c r="BI2769" s="9">
        <f t="shared" si="388"/>
        <v>5.41</v>
      </c>
      <c r="BJ2769" s="9">
        <f t="shared" si="389"/>
        <v>1.84</v>
      </c>
      <c r="BK2769" s="9">
        <f t="shared" si="390"/>
        <v>10.19</v>
      </c>
      <c r="BL2769" s="9">
        <f t="shared" si="391"/>
        <v>0</v>
      </c>
      <c r="BM2769" s="9">
        <f t="shared" si="392"/>
        <v>35.7483</v>
      </c>
      <c r="BN2769" s="9">
        <f t="shared" si="393"/>
        <v>479.52</v>
      </c>
      <c r="BO2769" s="9">
        <f t="shared" si="394"/>
        <v>0</v>
      </c>
      <c r="BP2769" s="9">
        <f t="shared" si="395"/>
        <v>0</v>
      </c>
    </row>
    <row r="2770" spans="1:68">
      <c r="A2770" s="6">
        <v>45031</v>
      </c>
      <c r="B2770" s="7">
        <v>3022</v>
      </c>
      <c r="C2770" s="8"/>
      <c r="D2770" s="8">
        <v>571.01</v>
      </c>
      <c r="E2770" s="8"/>
      <c r="F2770" s="8"/>
      <c r="G2770" s="8"/>
      <c r="H2770" s="8"/>
      <c r="I2770" s="8">
        <v>467.34</v>
      </c>
      <c r="J2770" s="8"/>
      <c r="K2770" s="8"/>
      <c r="L2770" s="8"/>
      <c r="M2770" s="8"/>
      <c r="N2770" s="8">
        <v>5.19</v>
      </c>
      <c r="O2770" s="8"/>
      <c r="P2770" s="8"/>
      <c r="Q2770" s="11"/>
      <c r="R2770" s="11"/>
      <c r="S2770" s="8">
        <v>1.87</v>
      </c>
      <c r="T2770" s="8"/>
      <c r="U2770" s="8"/>
      <c r="V2770" s="8"/>
      <c r="W2770" s="8">
        <v>10.39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>
        <v>13.53</v>
      </c>
      <c r="AN2770" s="8"/>
      <c r="AO2770" s="8"/>
      <c r="AP2770" s="11"/>
      <c r="AQ2770" s="8"/>
      <c r="AR2770" s="8"/>
      <c r="AS2770" s="8">
        <f>3854*9.45/1000</f>
        <v>36.420299999999997</v>
      </c>
      <c r="AT2770" s="8">
        <v>486.24</v>
      </c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>
        <v>37.36</v>
      </c>
      <c r="BH2770" s="9">
        <f t="shared" si="387"/>
        <v>1038.3499999999999</v>
      </c>
      <c r="BI2770" s="9">
        <f t="shared" si="388"/>
        <v>5.19</v>
      </c>
      <c r="BJ2770" s="9">
        <f t="shared" si="389"/>
        <v>1.87</v>
      </c>
      <c r="BK2770" s="9">
        <f t="shared" si="390"/>
        <v>10.39</v>
      </c>
      <c r="BL2770" s="9">
        <f t="shared" si="391"/>
        <v>0</v>
      </c>
      <c r="BM2770" s="9">
        <f t="shared" si="392"/>
        <v>49.950299999999999</v>
      </c>
      <c r="BN2770" s="9">
        <f t="shared" si="393"/>
        <v>486.24</v>
      </c>
      <c r="BO2770" s="9">
        <f t="shared" si="394"/>
        <v>0</v>
      </c>
      <c r="BP2770" s="9">
        <f t="shared" si="395"/>
        <v>0</v>
      </c>
    </row>
    <row r="2771" spans="1:68">
      <c r="A2771" s="6">
        <v>45031</v>
      </c>
      <c r="B2771" s="7">
        <v>3027</v>
      </c>
      <c r="C2771" s="8"/>
      <c r="D2771" s="8">
        <v>991.47</v>
      </c>
      <c r="E2771" s="8"/>
      <c r="F2771" s="8"/>
      <c r="G2771" s="8"/>
      <c r="H2771" s="8"/>
      <c r="I2771" s="8">
        <v>812.47</v>
      </c>
      <c r="J2771" s="8"/>
      <c r="K2771" s="8"/>
      <c r="L2771" s="8"/>
      <c r="M2771" s="8"/>
      <c r="N2771" s="8">
        <v>10.11</v>
      </c>
      <c r="O2771" s="8"/>
      <c r="P2771" s="8"/>
      <c r="Q2771" s="11"/>
      <c r="R2771" s="11"/>
      <c r="S2771" s="8">
        <v>2.89</v>
      </c>
      <c r="T2771" s="8"/>
      <c r="U2771" s="8"/>
      <c r="V2771" s="8"/>
      <c r="W2771" s="8">
        <v>13.56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>
        <v>18.059999999999999</v>
      </c>
      <c r="AN2771" s="8">
        <f>1235*10.32/1000</f>
        <v>12.745200000000001</v>
      </c>
      <c r="AO2771" s="8"/>
      <c r="AP2771" s="11"/>
      <c r="AQ2771" s="8"/>
      <c r="AR2771" s="8"/>
      <c r="AS2771" s="8">
        <f>5692*10.32/1000</f>
        <v>58.741440000000004</v>
      </c>
      <c r="AT2771" s="8">
        <v>601.11</v>
      </c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>
        <v>42.22</v>
      </c>
      <c r="BH2771" s="9">
        <f t="shared" si="387"/>
        <v>1803.94</v>
      </c>
      <c r="BI2771" s="9">
        <f t="shared" si="388"/>
        <v>10.11</v>
      </c>
      <c r="BJ2771" s="9">
        <f t="shared" si="389"/>
        <v>2.89</v>
      </c>
      <c r="BK2771" s="9">
        <f t="shared" si="390"/>
        <v>13.56</v>
      </c>
      <c r="BL2771" s="9">
        <f t="shared" si="391"/>
        <v>0</v>
      </c>
      <c r="BM2771" s="9">
        <f t="shared" si="392"/>
        <v>89.546639999999996</v>
      </c>
      <c r="BN2771" s="9">
        <f t="shared" si="393"/>
        <v>601.11</v>
      </c>
      <c r="BO2771" s="9">
        <f t="shared" si="394"/>
        <v>0</v>
      </c>
      <c r="BP2771" s="9">
        <f t="shared" si="395"/>
        <v>0</v>
      </c>
    </row>
    <row r="2772" spans="1:68">
      <c r="A2772" s="6">
        <v>45031</v>
      </c>
      <c r="B2772" s="7">
        <v>3203</v>
      </c>
      <c r="C2772" s="8">
        <v>940.91</v>
      </c>
      <c r="D2772" s="8"/>
      <c r="E2772" s="8">
        <v>405.22</v>
      </c>
      <c r="F2772" s="8"/>
      <c r="G2772" s="8"/>
      <c r="H2772" s="8"/>
      <c r="I2772" s="8"/>
      <c r="J2772" s="8"/>
      <c r="K2772" s="8"/>
      <c r="L2772" s="8"/>
      <c r="M2772" s="8"/>
      <c r="N2772" s="8"/>
      <c r="O2772" s="8">
        <v>4.05</v>
      </c>
      <c r="P2772" s="8"/>
      <c r="Q2772" s="11"/>
      <c r="R2772" s="11"/>
      <c r="S2772" s="8">
        <v>5.26</v>
      </c>
      <c r="T2772" s="8"/>
      <c r="U2772" s="8">
        <v>16.72</v>
      </c>
      <c r="V2772" s="8"/>
      <c r="W2772" s="8"/>
      <c r="X2772" s="8"/>
      <c r="Y2772" s="8"/>
      <c r="Z2772" s="8">
        <v>212.49</v>
      </c>
      <c r="AA2772" s="8">
        <f>10427*15.85/1000</f>
        <v>165.26794999999998</v>
      </c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11"/>
      <c r="AQ2772" s="8"/>
      <c r="AR2772" s="8"/>
      <c r="AS2772" s="8"/>
      <c r="AT2772" s="8">
        <v>503.8</v>
      </c>
      <c r="AU2772" s="8">
        <v>253.24</v>
      </c>
      <c r="AV2772" s="8"/>
      <c r="AW2772" s="8"/>
      <c r="AX2772" s="8"/>
      <c r="AY2772" s="8"/>
      <c r="AZ2772" s="8"/>
      <c r="BA2772" s="8"/>
      <c r="BB2772" s="8"/>
      <c r="BC2772" s="8">
        <v>3.51</v>
      </c>
      <c r="BD2772" s="8"/>
      <c r="BE2772" s="8"/>
      <c r="BF2772" s="8"/>
      <c r="BG2772" s="8">
        <v>49.51</v>
      </c>
      <c r="BH2772" s="9">
        <f t="shared" si="387"/>
        <v>1346.13</v>
      </c>
      <c r="BI2772" s="9">
        <f t="shared" si="388"/>
        <v>4.05</v>
      </c>
      <c r="BJ2772" s="9">
        <f t="shared" si="389"/>
        <v>5.26</v>
      </c>
      <c r="BK2772" s="9">
        <f t="shared" si="390"/>
        <v>16.72</v>
      </c>
      <c r="BL2772" s="9">
        <f t="shared" si="391"/>
        <v>377.75794999999999</v>
      </c>
      <c r="BM2772" s="9">
        <f t="shared" si="392"/>
        <v>0</v>
      </c>
      <c r="BN2772" s="9">
        <f t="shared" si="393"/>
        <v>757.04</v>
      </c>
      <c r="BO2772" s="9">
        <f t="shared" si="394"/>
        <v>3.51</v>
      </c>
      <c r="BP2772" s="9">
        <f t="shared" si="395"/>
        <v>0</v>
      </c>
    </row>
    <row r="2773" spans="1:68">
      <c r="A2773" s="6">
        <v>45031</v>
      </c>
      <c r="B2773" s="7">
        <v>3200</v>
      </c>
      <c r="C2773" s="8">
        <v>1218.67</v>
      </c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>
        <v>3.04</v>
      </c>
      <c r="P2773" s="8"/>
      <c r="Q2773" s="11"/>
      <c r="R2773" s="11"/>
      <c r="S2773" s="8">
        <v>4.76</v>
      </c>
      <c r="T2773" s="8"/>
      <c r="U2773" s="8">
        <v>18.28</v>
      </c>
      <c r="V2773" s="8"/>
      <c r="W2773" s="8"/>
      <c r="X2773" s="8"/>
      <c r="Y2773" s="8"/>
      <c r="Z2773" s="8">
        <v>256.14</v>
      </c>
      <c r="AA2773" s="8"/>
      <c r="AB2773" s="8"/>
      <c r="AC2773" s="8"/>
      <c r="AD2773" s="8"/>
      <c r="AE2773" s="8"/>
      <c r="AF2773" s="8">
        <v>60.69</v>
      </c>
      <c r="AG2773" s="8"/>
      <c r="AH2773" s="8"/>
      <c r="AI2773" s="8"/>
      <c r="AJ2773" s="8"/>
      <c r="AK2773" s="8"/>
      <c r="AL2773" s="8"/>
      <c r="AM2773" s="8"/>
      <c r="AN2773" s="8"/>
      <c r="AO2773" s="8"/>
      <c r="AP2773" s="11"/>
      <c r="AQ2773" s="8">
        <f>1516*12.18/1000</f>
        <v>18.464880000000001</v>
      </c>
      <c r="AR2773" s="8"/>
      <c r="AS2773" s="8"/>
      <c r="AT2773" s="8">
        <v>833.64</v>
      </c>
      <c r="AU2773" s="8"/>
      <c r="AV2773" s="8"/>
      <c r="AW2773" s="8">
        <v>3.55</v>
      </c>
      <c r="AX2773" s="8"/>
      <c r="AY2773" s="8"/>
      <c r="AZ2773" s="8"/>
      <c r="BA2773" s="8"/>
      <c r="BB2773" s="8"/>
      <c r="BC2773" s="8"/>
      <c r="BD2773" s="8"/>
      <c r="BE2773" s="8"/>
      <c r="BF2773" s="8">
        <v>58.58</v>
      </c>
      <c r="BG2773" s="8">
        <v>60.4</v>
      </c>
      <c r="BH2773" s="9">
        <f t="shared" si="387"/>
        <v>1218.67</v>
      </c>
      <c r="BI2773" s="9">
        <f t="shared" si="388"/>
        <v>3.04</v>
      </c>
      <c r="BJ2773" s="9">
        <f t="shared" si="389"/>
        <v>4.76</v>
      </c>
      <c r="BK2773" s="9">
        <f t="shared" si="390"/>
        <v>18.28</v>
      </c>
      <c r="BL2773" s="9">
        <f t="shared" si="391"/>
        <v>256.14</v>
      </c>
      <c r="BM2773" s="9">
        <f t="shared" si="392"/>
        <v>79.154879999999991</v>
      </c>
      <c r="BN2773" s="9">
        <f t="shared" si="393"/>
        <v>833.64</v>
      </c>
      <c r="BO2773" s="9">
        <f t="shared" si="394"/>
        <v>3.55</v>
      </c>
      <c r="BP2773" s="9">
        <f t="shared" si="395"/>
        <v>58.58</v>
      </c>
    </row>
    <row r="2774" spans="1:68">
      <c r="A2774" s="6">
        <v>45033</v>
      </c>
      <c r="B2774" s="7">
        <v>3141</v>
      </c>
      <c r="C2774" s="8">
        <v>3587.25</v>
      </c>
      <c r="D2774" s="8">
        <v>633.48</v>
      </c>
      <c r="E2774" s="8"/>
      <c r="F2774" s="8"/>
      <c r="G2774" s="8"/>
      <c r="H2774" s="8"/>
      <c r="I2774" s="8"/>
      <c r="J2774" s="8"/>
      <c r="K2774" s="8"/>
      <c r="L2774" s="8"/>
      <c r="M2774" s="8">
        <v>11.81</v>
      </c>
      <c r="N2774" s="8"/>
      <c r="O2774" s="8"/>
      <c r="P2774" s="8"/>
      <c r="Q2774" s="11"/>
      <c r="R2774" s="11"/>
      <c r="S2774" s="8">
        <v>19.87</v>
      </c>
      <c r="T2774" s="8"/>
      <c r="U2774" s="8">
        <v>63.38</v>
      </c>
      <c r="V2774" s="8"/>
      <c r="W2774" s="8"/>
      <c r="X2774" s="8"/>
      <c r="Y2774" s="8"/>
      <c r="Z2774" s="8"/>
      <c r="AA2774" s="8"/>
      <c r="AB2774" s="8"/>
      <c r="AC2774" s="8">
        <v>16.89</v>
      </c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11"/>
      <c r="AQ2774" s="8"/>
      <c r="AR2774" s="8"/>
      <c r="AS2774" s="8"/>
      <c r="AT2774" s="8">
        <v>2790.53</v>
      </c>
      <c r="AU2774" s="8"/>
      <c r="AV2774" s="8"/>
      <c r="AW2774" s="8"/>
      <c r="AX2774" s="8"/>
      <c r="AY2774" s="8"/>
      <c r="AZ2774" s="8"/>
      <c r="BA2774" s="8">
        <v>96.76</v>
      </c>
      <c r="BB2774" s="8"/>
      <c r="BC2774" s="8"/>
      <c r="BD2774" s="8"/>
      <c r="BE2774" s="8"/>
      <c r="BF2774" s="8">
        <v>295.87</v>
      </c>
      <c r="BG2774" s="8">
        <v>219.92</v>
      </c>
      <c r="BH2774" s="9">
        <f t="shared" si="387"/>
        <v>4220.7299999999996</v>
      </c>
      <c r="BI2774" s="9">
        <f t="shared" si="388"/>
        <v>11.81</v>
      </c>
      <c r="BJ2774" s="9">
        <f t="shared" si="389"/>
        <v>19.87</v>
      </c>
      <c r="BK2774" s="9">
        <f t="shared" si="390"/>
        <v>63.38</v>
      </c>
      <c r="BL2774" s="9">
        <f t="shared" si="391"/>
        <v>0</v>
      </c>
      <c r="BM2774" s="9">
        <f t="shared" si="392"/>
        <v>16.89</v>
      </c>
      <c r="BN2774" s="9">
        <f t="shared" si="393"/>
        <v>2790.53</v>
      </c>
      <c r="BO2774" s="9">
        <f t="shared" si="394"/>
        <v>96.76</v>
      </c>
      <c r="BP2774" s="9">
        <f t="shared" si="395"/>
        <v>295.87</v>
      </c>
    </row>
    <row r="2775" spans="1:68">
      <c r="A2775" s="6">
        <v>45033</v>
      </c>
      <c r="B2775" s="7">
        <v>3106</v>
      </c>
      <c r="C2775" s="8">
        <f>527.5+4097.98</f>
        <v>4625.4799999999996</v>
      </c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11"/>
      <c r="R2775" s="11"/>
      <c r="S2775" s="8">
        <f>0.3+12.32</f>
        <v>12.620000000000001</v>
      </c>
      <c r="T2775" s="8"/>
      <c r="U2775" s="8">
        <f>52.14+6.73</f>
        <v>58.870000000000005</v>
      </c>
      <c r="V2775" s="8"/>
      <c r="W2775" s="8"/>
      <c r="X2775" s="8"/>
      <c r="Y2775" s="8"/>
      <c r="Z2775" s="8"/>
      <c r="AA2775" s="8"/>
      <c r="AB2775" s="8"/>
      <c r="AC2775" s="8">
        <f>10.25+1.33</f>
        <v>11.58</v>
      </c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11"/>
      <c r="AQ2775" s="8"/>
      <c r="AR2775" s="8"/>
      <c r="AS2775" s="8"/>
      <c r="AT2775" s="8">
        <f>2337.64+301.66</f>
        <v>2639.2999999999997</v>
      </c>
      <c r="AU2775" s="8"/>
      <c r="AV2775" s="8"/>
      <c r="AW2775" s="8"/>
      <c r="AX2775" s="8">
        <f>5.13+0.66</f>
        <v>5.79</v>
      </c>
      <c r="AY2775" s="8"/>
      <c r="AZ2775" s="8"/>
      <c r="BA2775" s="8"/>
      <c r="BB2775" s="8"/>
      <c r="BC2775" s="8"/>
      <c r="BD2775" s="8"/>
      <c r="BE2775" s="8"/>
      <c r="BF2775" s="8"/>
      <c r="BG2775" s="8">
        <f>176.37+22.77</f>
        <v>199.14000000000001</v>
      </c>
      <c r="BH2775" s="9">
        <f t="shared" si="387"/>
        <v>4625.4799999999996</v>
      </c>
      <c r="BI2775" s="9">
        <f t="shared" si="388"/>
        <v>0</v>
      </c>
      <c r="BJ2775" s="9">
        <f t="shared" si="389"/>
        <v>12.620000000000001</v>
      </c>
      <c r="BK2775" s="9">
        <f t="shared" si="390"/>
        <v>58.870000000000005</v>
      </c>
      <c r="BL2775" s="9">
        <f t="shared" si="391"/>
        <v>0</v>
      </c>
      <c r="BM2775" s="9">
        <f t="shared" si="392"/>
        <v>11.58</v>
      </c>
      <c r="BN2775" s="9">
        <f t="shared" si="393"/>
        <v>2639.2999999999997</v>
      </c>
      <c r="BO2775" s="9">
        <f t="shared" si="394"/>
        <v>5.79</v>
      </c>
      <c r="BP2775" s="9">
        <f t="shared" si="395"/>
        <v>0</v>
      </c>
    </row>
    <row r="2776" spans="1:68">
      <c r="A2776" s="6">
        <v>45033</v>
      </c>
      <c r="B2776" s="7">
        <v>3029</v>
      </c>
      <c r="C2776" s="8"/>
      <c r="D2776" s="8">
        <v>480.42</v>
      </c>
      <c r="E2776" s="8"/>
      <c r="F2776" s="8">
        <v>339.08</v>
      </c>
      <c r="G2776" s="8"/>
      <c r="H2776" s="8"/>
      <c r="I2776" s="8">
        <v>2008.84</v>
      </c>
      <c r="J2776" s="8"/>
      <c r="K2776" s="8"/>
      <c r="L2776" s="8"/>
      <c r="M2776" s="8"/>
      <c r="N2776" s="8">
        <v>22.05</v>
      </c>
      <c r="O2776" s="8"/>
      <c r="P2776" s="8"/>
      <c r="Q2776" s="11"/>
      <c r="R2776" s="11"/>
      <c r="S2776" s="8">
        <v>1.69</v>
      </c>
      <c r="T2776" s="8"/>
      <c r="U2776" s="8"/>
      <c r="V2776" s="8"/>
      <c r="W2776" s="8">
        <v>28.3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>
        <v>9.8800000000000008</v>
      </c>
      <c r="AN2776" s="8">
        <f>758*18.85/1000</f>
        <v>14.288300000000001</v>
      </c>
      <c r="AO2776" s="8"/>
      <c r="AP2776" s="11"/>
      <c r="AQ2776" s="8"/>
      <c r="AR2776" s="8">
        <f>4522*18.85/1000</f>
        <v>85.239700000000013</v>
      </c>
      <c r="AS2776" s="8"/>
      <c r="AT2776" s="8">
        <v>1073.32</v>
      </c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>
        <v>74.75</v>
      </c>
      <c r="BH2776" s="9">
        <f t="shared" si="387"/>
        <v>2828.34</v>
      </c>
      <c r="BI2776" s="9">
        <f t="shared" si="388"/>
        <v>22.05</v>
      </c>
      <c r="BJ2776" s="9">
        <f t="shared" si="389"/>
        <v>1.69</v>
      </c>
      <c r="BK2776" s="9">
        <f t="shared" si="390"/>
        <v>28.3</v>
      </c>
      <c r="BL2776" s="9">
        <f t="shared" si="391"/>
        <v>0</v>
      </c>
      <c r="BM2776" s="9">
        <f t="shared" si="392"/>
        <v>109.40800000000002</v>
      </c>
      <c r="BN2776" s="9">
        <f t="shared" si="393"/>
        <v>1073.32</v>
      </c>
      <c r="BO2776" s="9">
        <f t="shared" si="394"/>
        <v>0</v>
      </c>
      <c r="BP2776" s="9">
        <f t="shared" si="395"/>
        <v>0</v>
      </c>
    </row>
    <row r="2777" spans="1:68">
      <c r="A2777" s="6">
        <v>45033</v>
      </c>
      <c r="B2777" s="7">
        <v>3083</v>
      </c>
      <c r="C2777" s="8"/>
      <c r="D2777" s="8">
        <v>727.57</v>
      </c>
      <c r="E2777" s="8"/>
      <c r="F2777" s="8"/>
      <c r="G2777" s="8"/>
      <c r="H2777" s="8"/>
      <c r="I2777" s="8">
        <v>1700.59</v>
      </c>
      <c r="J2777" s="8"/>
      <c r="K2777" s="8"/>
      <c r="L2777" s="8"/>
      <c r="M2777" s="8"/>
      <c r="N2777" s="8">
        <v>15.79</v>
      </c>
      <c r="O2777" s="8"/>
      <c r="P2777" s="8"/>
      <c r="Q2777" s="11"/>
      <c r="R2777" s="11"/>
      <c r="S2777" s="8">
        <v>1.7</v>
      </c>
      <c r="T2777" s="8"/>
      <c r="U2777" s="8"/>
      <c r="V2777" s="8"/>
      <c r="W2777" s="8">
        <v>19.420000000000002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>
        <v>9.68</v>
      </c>
      <c r="AN2777" s="8">
        <f>1905*17.98/1000</f>
        <v>34.251899999999999</v>
      </c>
      <c r="AO2777" s="8"/>
      <c r="AP2777" s="11"/>
      <c r="AQ2777" s="8"/>
      <c r="AR2777" s="8">
        <f>3468*17.98/1000</f>
        <v>62.354639999999996</v>
      </c>
      <c r="AS2777" s="8"/>
      <c r="AT2777" s="8">
        <v>1142.57</v>
      </c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>
        <v>90.44</v>
      </c>
      <c r="BH2777" s="9">
        <f t="shared" si="387"/>
        <v>2428.16</v>
      </c>
      <c r="BI2777" s="9">
        <f t="shared" si="388"/>
        <v>15.79</v>
      </c>
      <c r="BJ2777" s="9">
        <f t="shared" si="389"/>
        <v>1.7</v>
      </c>
      <c r="BK2777" s="9">
        <f t="shared" si="390"/>
        <v>19.420000000000002</v>
      </c>
      <c r="BL2777" s="9">
        <f t="shared" si="391"/>
        <v>0</v>
      </c>
      <c r="BM2777" s="9">
        <f t="shared" si="392"/>
        <v>106.28654</v>
      </c>
      <c r="BN2777" s="9">
        <f t="shared" si="393"/>
        <v>1142.57</v>
      </c>
      <c r="BO2777" s="9">
        <f t="shared" si="394"/>
        <v>0</v>
      </c>
      <c r="BP2777" s="9">
        <f t="shared" si="395"/>
        <v>0</v>
      </c>
    </row>
    <row r="2778" spans="1:68">
      <c r="A2778" s="6">
        <v>45033</v>
      </c>
      <c r="B2778" s="7">
        <v>3020</v>
      </c>
      <c r="C2778" s="8"/>
      <c r="D2778" s="8">
        <v>174.71</v>
      </c>
      <c r="E2778" s="8"/>
      <c r="F2778" s="8"/>
      <c r="G2778" s="8"/>
      <c r="H2778" s="8"/>
      <c r="I2778" s="8">
        <v>988.36</v>
      </c>
      <c r="J2778" s="8"/>
      <c r="K2778" s="8"/>
      <c r="L2778" s="8"/>
      <c r="M2778" s="8"/>
      <c r="N2778" s="8">
        <v>7.09</v>
      </c>
      <c r="O2778" s="8"/>
      <c r="P2778" s="8"/>
      <c r="Q2778" s="11"/>
      <c r="R2778" s="11"/>
      <c r="S2778" s="8">
        <v>2.09</v>
      </c>
      <c r="T2778" s="8"/>
      <c r="U2778" s="8"/>
      <c r="V2778" s="8"/>
      <c r="W2778" s="8">
        <v>11.63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>
        <v>11.61</v>
      </c>
      <c r="AN2778" s="8"/>
      <c r="AO2778" s="8"/>
      <c r="AP2778" s="11"/>
      <c r="AQ2778" s="8"/>
      <c r="AR2778" s="8"/>
      <c r="AS2778" s="8"/>
      <c r="AT2778" s="8">
        <v>570.66</v>
      </c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>
        <v>41.78</v>
      </c>
      <c r="BH2778" s="9">
        <f t="shared" si="387"/>
        <v>1163.07</v>
      </c>
      <c r="BI2778" s="9">
        <f t="shared" si="388"/>
        <v>7.09</v>
      </c>
      <c r="BJ2778" s="9">
        <f t="shared" si="389"/>
        <v>2.09</v>
      </c>
      <c r="BK2778" s="9">
        <f t="shared" si="390"/>
        <v>11.63</v>
      </c>
      <c r="BL2778" s="9">
        <f t="shared" si="391"/>
        <v>0</v>
      </c>
      <c r="BM2778" s="9">
        <f t="shared" si="392"/>
        <v>11.61</v>
      </c>
      <c r="BN2778" s="9">
        <f t="shared" si="393"/>
        <v>570.66</v>
      </c>
      <c r="BO2778" s="9">
        <f t="shared" si="394"/>
        <v>0</v>
      </c>
      <c r="BP2778" s="9">
        <f t="shared" si="395"/>
        <v>0</v>
      </c>
    </row>
    <row r="2779" spans="1:68">
      <c r="A2779" s="6">
        <v>45033</v>
      </c>
      <c r="B2779" s="7">
        <v>3023</v>
      </c>
      <c r="C2779" s="8"/>
      <c r="D2779" s="8">
        <v>877.47</v>
      </c>
      <c r="E2779" s="8"/>
      <c r="F2779" s="8"/>
      <c r="G2779" s="8"/>
      <c r="H2779" s="8"/>
      <c r="I2779" s="8">
        <v>475.75</v>
      </c>
      <c r="J2779" s="8"/>
      <c r="K2779" s="8"/>
      <c r="L2779" s="8"/>
      <c r="M2779" s="8"/>
      <c r="N2779" s="8">
        <v>7.57</v>
      </c>
      <c r="O2779" s="8"/>
      <c r="P2779" s="8"/>
      <c r="Q2779" s="11"/>
      <c r="R2779" s="11"/>
      <c r="S2779" s="8">
        <v>2.17</v>
      </c>
      <c r="T2779" s="8"/>
      <c r="U2779" s="8"/>
      <c r="V2779" s="8"/>
      <c r="W2779" s="8">
        <v>12.19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>
        <v>13.56</v>
      </c>
      <c r="AN2779" s="8">
        <f>1022*9.33/1000</f>
        <v>9.535260000000001</v>
      </c>
      <c r="AO2779" s="8"/>
      <c r="AP2779" s="11"/>
      <c r="AQ2779" s="8"/>
      <c r="AR2779" s="8"/>
      <c r="AS2779" s="8">
        <f>4786*9.33/1000</f>
        <v>44.653379999999999</v>
      </c>
      <c r="AT2779" s="8">
        <v>554.98</v>
      </c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>
        <v>41.94</v>
      </c>
      <c r="BH2779" s="9">
        <f t="shared" si="387"/>
        <v>1353.22</v>
      </c>
      <c r="BI2779" s="9">
        <f t="shared" si="388"/>
        <v>7.57</v>
      </c>
      <c r="BJ2779" s="9">
        <f t="shared" si="389"/>
        <v>2.17</v>
      </c>
      <c r="BK2779" s="9">
        <f t="shared" si="390"/>
        <v>12.19</v>
      </c>
      <c r="BL2779" s="9">
        <f t="shared" si="391"/>
        <v>0</v>
      </c>
      <c r="BM2779" s="9">
        <f t="shared" si="392"/>
        <v>67.748639999999995</v>
      </c>
      <c r="BN2779" s="9">
        <f t="shared" si="393"/>
        <v>554.98</v>
      </c>
      <c r="BO2779" s="9">
        <f t="shared" si="394"/>
        <v>0</v>
      </c>
      <c r="BP2779" s="9">
        <f t="shared" si="395"/>
        <v>0</v>
      </c>
    </row>
    <row r="2780" spans="1:68">
      <c r="A2780" s="6">
        <v>45033</v>
      </c>
      <c r="B2780" s="7">
        <v>3205</v>
      </c>
      <c r="C2780" s="8">
        <v>690.03</v>
      </c>
      <c r="D2780" s="8">
        <v>384.16</v>
      </c>
      <c r="E2780" s="8">
        <v>462.17</v>
      </c>
      <c r="F2780" s="8"/>
      <c r="G2780" s="8"/>
      <c r="H2780" s="8"/>
      <c r="I2780" s="8"/>
      <c r="J2780" s="8"/>
      <c r="K2780" s="8"/>
      <c r="L2780" s="8"/>
      <c r="M2780" s="8"/>
      <c r="N2780" s="8"/>
      <c r="O2780" s="8">
        <v>6.14</v>
      </c>
      <c r="P2780" s="8"/>
      <c r="Q2780" s="11"/>
      <c r="R2780" s="11"/>
      <c r="S2780" s="8">
        <v>5.7</v>
      </c>
      <c r="T2780" s="8"/>
      <c r="U2780" s="8">
        <v>18.46</v>
      </c>
      <c r="V2780" s="8"/>
      <c r="W2780" s="8"/>
      <c r="X2780" s="8"/>
      <c r="Y2780" s="8"/>
      <c r="Z2780" s="8">
        <v>153.9</v>
      </c>
      <c r="AA2780" s="8"/>
      <c r="AB2780" s="8">
        <f>1024*15.37/1000</f>
        <v>15.73888</v>
      </c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11"/>
      <c r="AQ2780" s="8">
        <f>510*15.37/1000</f>
        <v>7.8387000000000002</v>
      </c>
      <c r="AR2780" s="8"/>
      <c r="AS2780" s="8"/>
      <c r="AT2780" s="8">
        <v>399.01</v>
      </c>
      <c r="AU2780" s="8">
        <v>200.35</v>
      </c>
      <c r="AV2780" s="8"/>
      <c r="AW2780" s="8">
        <v>6.6</v>
      </c>
      <c r="AX2780" s="8"/>
      <c r="AY2780" s="8"/>
      <c r="AZ2780" s="8"/>
      <c r="BA2780" s="8"/>
      <c r="BB2780" s="8"/>
      <c r="BC2780" s="8"/>
      <c r="BD2780" s="8"/>
      <c r="BE2780" s="8"/>
      <c r="BF2780" s="8"/>
      <c r="BG2780" s="8">
        <v>36.1</v>
      </c>
      <c r="BH2780" s="9">
        <f t="shared" si="387"/>
        <v>1536.3600000000001</v>
      </c>
      <c r="BI2780" s="9">
        <f t="shared" si="388"/>
        <v>6.14</v>
      </c>
      <c r="BJ2780" s="9">
        <f t="shared" si="389"/>
        <v>5.7</v>
      </c>
      <c r="BK2780" s="9">
        <f t="shared" si="390"/>
        <v>18.46</v>
      </c>
      <c r="BL2780" s="9">
        <f t="shared" si="391"/>
        <v>153.9</v>
      </c>
      <c r="BM2780" s="9">
        <f t="shared" si="392"/>
        <v>23.577580000000001</v>
      </c>
      <c r="BN2780" s="9">
        <f t="shared" si="393"/>
        <v>599.36</v>
      </c>
      <c r="BO2780" s="9">
        <f t="shared" si="394"/>
        <v>6.6</v>
      </c>
      <c r="BP2780" s="9">
        <f t="shared" si="395"/>
        <v>0</v>
      </c>
    </row>
    <row r="2781" spans="1:68">
      <c r="A2781" s="6">
        <v>45048</v>
      </c>
      <c r="B2781" s="7">
        <v>3200</v>
      </c>
      <c r="C2781" s="8">
        <v>2328.5300000000002</v>
      </c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>
        <v>5.85</v>
      </c>
      <c r="P2781" s="8"/>
      <c r="Q2781" s="11"/>
      <c r="R2781" s="11"/>
      <c r="S2781" s="8">
        <v>9.11</v>
      </c>
      <c r="T2781" s="8"/>
      <c r="U2781" s="8">
        <v>35.04</v>
      </c>
      <c r="V2781" s="8"/>
      <c r="W2781" s="8"/>
      <c r="X2781" s="8"/>
      <c r="Y2781" s="8"/>
      <c r="Z2781" s="8">
        <v>490.62</v>
      </c>
      <c r="AA2781" s="8"/>
      <c r="AB2781" s="8"/>
      <c r="AC2781" s="8"/>
      <c r="AD2781" s="8"/>
      <c r="AE2781" s="8"/>
      <c r="AF2781" s="8">
        <v>115.72</v>
      </c>
      <c r="AG2781" s="8"/>
      <c r="AH2781" s="8"/>
      <c r="AI2781" s="8"/>
      <c r="AJ2781" s="8"/>
      <c r="AK2781" s="8"/>
      <c r="AL2781" s="8"/>
      <c r="AM2781" s="8"/>
      <c r="AN2781" s="8"/>
      <c r="AO2781" s="8"/>
      <c r="AP2781" s="11"/>
      <c r="AQ2781" s="8">
        <f>1516*23.35/1000</f>
        <v>35.398600000000002</v>
      </c>
      <c r="AR2781" s="8"/>
      <c r="AS2781" s="8"/>
      <c r="AT2781" s="8">
        <v>1599.33</v>
      </c>
      <c r="AU2781" s="8"/>
      <c r="AV2781" s="8"/>
      <c r="AW2781" s="8">
        <v>6.66</v>
      </c>
      <c r="AX2781" s="8"/>
      <c r="AY2781" s="8"/>
      <c r="AZ2781" s="8"/>
      <c r="BA2781" s="8"/>
      <c r="BB2781" s="8"/>
      <c r="BC2781" s="8"/>
      <c r="BD2781" s="8"/>
      <c r="BE2781" s="8"/>
      <c r="BF2781" s="8">
        <v>112.06</v>
      </c>
      <c r="BG2781" s="8">
        <v>115.25</v>
      </c>
      <c r="BH2781" s="9">
        <f t="shared" si="387"/>
        <v>2328.5300000000002</v>
      </c>
      <c r="BI2781" s="9">
        <f t="shared" si="388"/>
        <v>5.85</v>
      </c>
      <c r="BJ2781" s="9">
        <f t="shared" si="389"/>
        <v>9.11</v>
      </c>
      <c r="BK2781" s="9">
        <f t="shared" si="390"/>
        <v>35.04</v>
      </c>
      <c r="BL2781" s="9">
        <f t="shared" si="391"/>
        <v>490.62</v>
      </c>
      <c r="BM2781" s="9">
        <f t="shared" si="392"/>
        <v>151.11860000000001</v>
      </c>
      <c r="BN2781" s="9">
        <f t="shared" si="393"/>
        <v>1599.33</v>
      </c>
      <c r="BO2781" s="9">
        <f t="shared" si="394"/>
        <v>6.66</v>
      </c>
      <c r="BP2781" s="9">
        <f t="shared" si="395"/>
        <v>112.06</v>
      </c>
    </row>
    <row r="2782" spans="1:68">
      <c r="A2782" s="6">
        <v>45048</v>
      </c>
      <c r="B2782" s="7">
        <v>3106</v>
      </c>
      <c r="C2782" s="8">
        <v>6175.32</v>
      </c>
      <c r="D2782" s="8"/>
      <c r="E2782" s="8"/>
      <c r="F2782" s="8"/>
      <c r="G2782" s="8"/>
      <c r="H2782" s="8"/>
      <c r="I2782" s="8"/>
      <c r="J2782" s="8"/>
      <c r="K2782" s="8"/>
      <c r="L2782" s="8"/>
      <c r="M2782" s="8">
        <v>15.53</v>
      </c>
      <c r="N2782" s="8"/>
      <c r="O2782" s="8"/>
      <c r="P2782" s="8"/>
      <c r="Q2782" s="11"/>
      <c r="R2782" s="11"/>
      <c r="S2782" s="8">
        <v>18.54</v>
      </c>
      <c r="T2782" s="8"/>
      <c r="U2782" s="8">
        <v>78.42</v>
      </c>
      <c r="V2782" s="8"/>
      <c r="W2782" s="8"/>
      <c r="X2782" s="8"/>
      <c r="Y2782" s="8"/>
      <c r="Z2782" s="8"/>
      <c r="AA2782" s="8"/>
      <c r="AB2782" s="8"/>
      <c r="AC2782" s="8">
        <v>15.43</v>
      </c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11"/>
      <c r="AQ2782" s="8"/>
      <c r="AR2782" s="8"/>
      <c r="AS2782" s="8"/>
      <c r="AT2782" s="8">
        <v>3517.55</v>
      </c>
      <c r="AU2782" s="8"/>
      <c r="AV2782" s="8"/>
      <c r="AW2782" s="8"/>
      <c r="AX2782" s="8">
        <v>7.72</v>
      </c>
      <c r="AY2782" s="8"/>
      <c r="AZ2782" s="8"/>
      <c r="BA2782" s="8"/>
      <c r="BB2782" s="8"/>
      <c r="BC2782" s="8"/>
      <c r="BD2782" s="8"/>
      <c r="BE2782" s="8"/>
      <c r="BF2782" s="8"/>
      <c r="BG2782" s="8">
        <v>265.58</v>
      </c>
      <c r="BH2782" s="9">
        <f t="shared" si="387"/>
        <v>6175.32</v>
      </c>
      <c r="BI2782" s="9">
        <f t="shared" si="388"/>
        <v>15.53</v>
      </c>
      <c r="BJ2782" s="9">
        <f t="shared" si="389"/>
        <v>18.54</v>
      </c>
      <c r="BK2782" s="9">
        <f t="shared" si="390"/>
        <v>78.42</v>
      </c>
      <c r="BL2782" s="9">
        <f t="shared" si="391"/>
        <v>0</v>
      </c>
      <c r="BM2782" s="9">
        <f t="shared" si="392"/>
        <v>15.43</v>
      </c>
      <c r="BN2782" s="9">
        <f t="shared" si="393"/>
        <v>3517.55</v>
      </c>
      <c r="BO2782" s="9">
        <f t="shared" si="394"/>
        <v>7.72</v>
      </c>
      <c r="BP2782" s="9">
        <f t="shared" si="395"/>
        <v>0</v>
      </c>
    </row>
    <row r="2783" spans="1:68">
      <c r="A2783" s="6">
        <v>45048</v>
      </c>
      <c r="B2783" s="7">
        <v>3113</v>
      </c>
      <c r="C2783" s="8">
        <v>1570.3</v>
      </c>
      <c r="D2783" s="8"/>
      <c r="E2783" s="8"/>
      <c r="F2783" s="8"/>
      <c r="G2783" s="8"/>
      <c r="H2783" s="8"/>
      <c r="I2783" s="8"/>
      <c r="J2783" s="8"/>
      <c r="K2783" s="8"/>
      <c r="L2783" s="8"/>
      <c r="M2783" s="8">
        <v>1.27</v>
      </c>
      <c r="N2783" s="8">
        <v>1.27</v>
      </c>
      <c r="O2783" s="8"/>
      <c r="P2783" s="8"/>
      <c r="Q2783" s="11"/>
      <c r="R2783" s="11"/>
      <c r="S2783" s="8">
        <v>4.72</v>
      </c>
      <c r="T2783" s="8"/>
      <c r="U2783" s="8">
        <v>15.63</v>
      </c>
      <c r="V2783" s="8"/>
      <c r="W2783" s="8"/>
      <c r="X2783" s="8"/>
      <c r="Y2783" s="8"/>
      <c r="Z2783" s="8"/>
      <c r="AA2783" s="8"/>
      <c r="AB2783" s="8"/>
      <c r="AC2783" s="8">
        <v>6.27</v>
      </c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11"/>
      <c r="AQ2783" s="8"/>
      <c r="AR2783" s="8"/>
      <c r="AS2783" s="8"/>
      <c r="AT2783" s="8">
        <v>659.74</v>
      </c>
      <c r="AU2783" s="8"/>
      <c r="AV2783" s="8">
        <v>53.42</v>
      </c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>
        <v>47.42</v>
      </c>
      <c r="BH2783" s="9">
        <f t="shared" si="387"/>
        <v>1570.3</v>
      </c>
      <c r="BI2783" s="9">
        <f t="shared" si="388"/>
        <v>2.54</v>
      </c>
      <c r="BJ2783" s="9">
        <f t="shared" si="389"/>
        <v>4.72</v>
      </c>
      <c r="BK2783" s="9">
        <f t="shared" si="390"/>
        <v>15.63</v>
      </c>
      <c r="BL2783" s="9">
        <f t="shared" si="391"/>
        <v>0</v>
      </c>
      <c r="BM2783" s="9">
        <f t="shared" si="392"/>
        <v>6.27</v>
      </c>
      <c r="BN2783" s="9">
        <f t="shared" si="393"/>
        <v>659.74</v>
      </c>
      <c r="BO2783" s="9">
        <f t="shared" si="394"/>
        <v>53.42</v>
      </c>
      <c r="BP2783" s="9">
        <f t="shared" si="395"/>
        <v>0</v>
      </c>
    </row>
    <row r="2784" spans="1:68">
      <c r="A2784" s="6">
        <v>45048</v>
      </c>
      <c r="B2784" s="7">
        <v>3079</v>
      </c>
      <c r="C2784" s="8"/>
      <c r="D2784" s="8"/>
      <c r="E2784" s="8"/>
      <c r="F2784" s="8">
        <v>346.91</v>
      </c>
      <c r="G2784" s="8"/>
      <c r="H2784" s="8"/>
      <c r="I2784" s="8">
        <v>2806.59</v>
      </c>
      <c r="J2784" s="8"/>
      <c r="K2784" s="8"/>
      <c r="L2784" s="8"/>
      <c r="M2784" s="8"/>
      <c r="N2784" s="8">
        <v>22.4</v>
      </c>
      <c r="O2784" s="8"/>
      <c r="P2784" s="8"/>
      <c r="Q2784" s="11"/>
      <c r="R2784" s="11"/>
      <c r="S2784" s="8">
        <v>1.25</v>
      </c>
      <c r="T2784" s="8"/>
      <c r="U2784" s="8"/>
      <c r="V2784" s="8"/>
      <c r="W2784" s="8">
        <v>31.56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>
        <v>12.59</v>
      </c>
      <c r="AN2784" s="8">
        <f>1714*18.53/1000</f>
        <v>31.760420000000003</v>
      </c>
      <c r="AO2784" s="8"/>
      <c r="AP2784" s="11"/>
      <c r="AQ2784" s="8"/>
      <c r="AR2784" s="8">
        <f>4296*18.53/1000</f>
        <v>79.604880000000009</v>
      </c>
      <c r="AS2784" s="8"/>
      <c r="AT2784" s="8">
        <v>1216.26</v>
      </c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>
        <v>88.22</v>
      </c>
      <c r="BH2784" s="9">
        <f t="shared" si="387"/>
        <v>3153.5</v>
      </c>
      <c r="BI2784" s="9">
        <f t="shared" si="388"/>
        <v>22.4</v>
      </c>
      <c r="BJ2784" s="9">
        <f t="shared" si="389"/>
        <v>1.25</v>
      </c>
      <c r="BK2784" s="9">
        <f t="shared" si="390"/>
        <v>31.56</v>
      </c>
      <c r="BL2784" s="9">
        <f t="shared" si="391"/>
        <v>0</v>
      </c>
      <c r="BM2784" s="9">
        <f t="shared" si="392"/>
        <v>123.95530000000001</v>
      </c>
      <c r="BN2784" s="9">
        <f t="shared" si="393"/>
        <v>1216.26</v>
      </c>
      <c r="BO2784" s="9">
        <f t="shared" si="394"/>
        <v>0</v>
      </c>
      <c r="BP2784" s="9">
        <f t="shared" si="395"/>
        <v>0</v>
      </c>
    </row>
    <row r="2785" spans="1:68">
      <c r="A2785" s="6">
        <v>45048</v>
      </c>
      <c r="B2785" s="7">
        <v>3016</v>
      </c>
      <c r="C2785" s="8"/>
      <c r="D2785" s="8">
        <v>1621.38</v>
      </c>
      <c r="E2785" s="8"/>
      <c r="F2785" s="8"/>
      <c r="G2785" s="8"/>
      <c r="H2785" s="8"/>
      <c r="I2785" s="8">
        <v>1495.36</v>
      </c>
      <c r="J2785" s="8"/>
      <c r="K2785" s="8"/>
      <c r="L2785" s="8"/>
      <c r="M2785" s="8"/>
      <c r="N2785" s="8">
        <v>19.34</v>
      </c>
      <c r="O2785" s="8"/>
      <c r="P2785" s="8"/>
      <c r="Q2785" s="11"/>
      <c r="R2785" s="11"/>
      <c r="S2785" s="8">
        <v>2.19</v>
      </c>
      <c r="T2785" s="8"/>
      <c r="U2785" s="8"/>
      <c r="V2785" s="8"/>
      <c r="W2785" s="8">
        <v>31.2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>
        <v>12.43</v>
      </c>
      <c r="AN2785" s="8">
        <f>2052*18.33/1000</f>
        <v>37.613159999999993</v>
      </c>
      <c r="AO2785" s="8"/>
      <c r="AP2785" s="11"/>
      <c r="AQ2785" s="8"/>
      <c r="AR2785" s="8">
        <f>4296*18.33/1000</f>
        <v>78.745679999999993</v>
      </c>
      <c r="AS2785" s="8"/>
      <c r="AT2785" s="8">
        <v>1157.83</v>
      </c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>
        <v>84.75</v>
      </c>
      <c r="BH2785" s="9">
        <f t="shared" si="387"/>
        <v>3116.74</v>
      </c>
      <c r="BI2785" s="9">
        <f t="shared" si="388"/>
        <v>19.34</v>
      </c>
      <c r="BJ2785" s="9">
        <f t="shared" si="389"/>
        <v>2.19</v>
      </c>
      <c r="BK2785" s="9">
        <f t="shared" si="390"/>
        <v>31.2</v>
      </c>
      <c r="BL2785" s="9">
        <f t="shared" si="391"/>
        <v>0</v>
      </c>
      <c r="BM2785" s="9">
        <f t="shared" si="392"/>
        <v>128.78883999999999</v>
      </c>
      <c r="BN2785" s="9">
        <f t="shared" si="393"/>
        <v>1157.83</v>
      </c>
      <c r="BO2785" s="9">
        <f t="shared" si="394"/>
        <v>0</v>
      </c>
      <c r="BP2785" s="9">
        <f t="shared" si="395"/>
        <v>0</v>
      </c>
    </row>
    <row r="2786" spans="1:68">
      <c r="A2786" s="6">
        <v>45048</v>
      </c>
      <c r="B2786" s="7">
        <v>3204</v>
      </c>
      <c r="C2786" s="8"/>
      <c r="D2786" s="8">
        <v>1916.73</v>
      </c>
      <c r="E2786" s="8">
        <v>820.39</v>
      </c>
      <c r="F2786" s="8"/>
      <c r="G2786" s="8"/>
      <c r="H2786" s="8"/>
      <c r="I2786" s="8"/>
      <c r="J2786" s="8"/>
      <c r="K2786" s="8"/>
      <c r="L2786" s="8"/>
      <c r="M2786" s="8"/>
      <c r="N2786" s="8"/>
      <c r="O2786" s="8">
        <v>13.71</v>
      </c>
      <c r="P2786" s="8"/>
      <c r="Q2786" s="11"/>
      <c r="R2786" s="11"/>
      <c r="S2786" s="8">
        <v>9.32</v>
      </c>
      <c r="T2786" s="8"/>
      <c r="U2786" s="8">
        <v>30.21</v>
      </c>
      <c r="V2786" s="8"/>
      <c r="W2786" s="8"/>
      <c r="X2786" s="8"/>
      <c r="Y2786" s="8"/>
      <c r="Z2786" s="8">
        <v>411.83</v>
      </c>
      <c r="AA2786" s="8"/>
      <c r="AB2786" s="8">
        <f>710*19.58/1000</f>
        <v>13.9018</v>
      </c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11"/>
      <c r="AQ2786" s="8"/>
      <c r="AR2786" s="8"/>
      <c r="AS2786" s="8"/>
      <c r="AT2786" s="8">
        <v>1208.2</v>
      </c>
      <c r="AU2786" s="8"/>
      <c r="AV2786" s="8"/>
      <c r="AW2786" s="8">
        <v>8.75</v>
      </c>
      <c r="AX2786" s="8"/>
      <c r="AY2786" s="8"/>
      <c r="AZ2786" s="8"/>
      <c r="BA2786" s="8"/>
      <c r="BB2786" s="8"/>
      <c r="BC2786" s="8"/>
      <c r="BD2786" s="8"/>
      <c r="BE2786" s="8"/>
      <c r="BF2786" s="8"/>
      <c r="BG2786" s="8">
        <v>89.22</v>
      </c>
      <c r="BH2786" s="9">
        <f t="shared" si="387"/>
        <v>2737.12</v>
      </c>
      <c r="BI2786" s="9">
        <f t="shared" si="388"/>
        <v>13.71</v>
      </c>
      <c r="BJ2786" s="9">
        <f t="shared" si="389"/>
        <v>9.32</v>
      </c>
      <c r="BK2786" s="9">
        <f t="shared" si="390"/>
        <v>30.21</v>
      </c>
      <c r="BL2786" s="9">
        <f t="shared" si="391"/>
        <v>411.83</v>
      </c>
      <c r="BM2786" s="9">
        <f t="shared" si="392"/>
        <v>13.9018</v>
      </c>
      <c r="BN2786" s="9">
        <f t="shared" si="393"/>
        <v>1208.2</v>
      </c>
      <c r="BO2786" s="9">
        <f t="shared" si="394"/>
        <v>8.75</v>
      </c>
      <c r="BP2786" s="9">
        <f t="shared" si="395"/>
        <v>0</v>
      </c>
    </row>
    <row r="2787" spans="1:68">
      <c r="A2787" s="6">
        <v>45048</v>
      </c>
      <c r="B2787" s="7">
        <v>3601</v>
      </c>
      <c r="C2787" s="8">
        <v>293.68</v>
      </c>
      <c r="D2787" s="8"/>
      <c r="E2787" s="8"/>
      <c r="F2787" s="8"/>
      <c r="G2787" s="8">
        <v>440.41</v>
      </c>
      <c r="H2787" s="8"/>
      <c r="I2787" s="8"/>
      <c r="J2787" s="8"/>
      <c r="K2787" s="8"/>
      <c r="L2787" s="8"/>
      <c r="M2787" s="8">
        <v>0.88</v>
      </c>
      <c r="N2787" s="8"/>
      <c r="O2787" s="8"/>
      <c r="P2787" s="8"/>
      <c r="Q2787" s="11"/>
      <c r="R2787" s="11"/>
      <c r="S2787" s="8">
        <v>3.53</v>
      </c>
      <c r="T2787" s="8"/>
      <c r="U2787" s="8">
        <v>4.41</v>
      </c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11"/>
      <c r="AQ2787" s="8"/>
      <c r="AR2787" s="8"/>
      <c r="AS2787" s="8"/>
      <c r="AT2787" s="8">
        <v>359.85</v>
      </c>
      <c r="AU2787" s="8"/>
      <c r="AV2787" s="8"/>
      <c r="AW2787" s="8">
        <v>22.35</v>
      </c>
      <c r="AX2787" s="8"/>
      <c r="AY2787" s="8"/>
      <c r="AZ2787" s="8"/>
      <c r="BA2787" s="8"/>
      <c r="BB2787" s="8"/>
      <c r="BC2787" s="8"/>
      <c r="BD2787" s="8"/>
      <c r="BE2787" s="8"/>
      <c r="BF2787" s="8">
        <v>41.14</v>
      </c>
      <c r="BG2787" s="8">
        <v>26.19</v>
      </c>
      <c r="BH2787" s="9">
        <f t="shared" si="387"/>
        <v>734.09</v>
      </c>
      <c r="BI2787" s="9">
        <f t="shared" si="388"/>
        <v>0.88</v>
      </c>
      <c r="BJ2787" s="9">
        <f t="shared" si="389"/>
        <v>3.53</v>
      </c>
      <c r="BK2787" s="9">
        <f t="shared" si="390"/>
        <v>4.41</v>
      </c>
      <c r="BL2787" s="9">
        <f t="shared" si="391"/>
        <v>0</v>
      </c>
      <c r="BM2787" s="9">
        <f t="shared" si="392"/>
        <v>0</v>
      </c>
      <c r="BN2787" s="9">
        <f t="shared" si="393"/>
        <v>359.85</v>
      </c>
      <c r="BO2787" s="9">
        <f t="shared" si="394"/>
        <v>22.35</v>
      </c>
      <c r="BP2787" s="9">
        <f t="shared" si="395"/>
        <v>41.14</v>
      </c>
    </row>
    <row r="2788" spans="1:68">
      <c r="A2788" s="6">
        <v>45048</v>
      </c>
      <c r="B2788" s="7">
        <v>3602</v>
      </c>
      <c r="C2788" s="8">
        <v>547.84</v>
      </c>
      <c r="D2788" s="8"/>
      <c r="E2788" s="8"/>
      <c r="F2788" s="8"/>
      <c r="G2788" s="8">
        <v>821.27</v>
      </c>
      <c r="H2788" s="8"/>
      <c r="I2788" s="8"/>
      <c r="J2788" s="8"/>
      <c r="K2788" s="8"/>
      <c r="L2788" s="8"/>
      <c r="M2788" s="8">
        <v>1.43</v>
      </c>
      <c r="N2788" s="8"/>
      <c r="O2788" s="8"/>
      <c r="P2788" s="8"/>
      <c r="Q2788" s="11"/>
      <c r="R2788" s="11"/>
      <c r="S2788" s="8">
        <v>6.57</v>
      </c>
      <c r="T2788" s="8"/>
      <c r="U2788" s="8">
        <v>10.95</v>
      </c>
      <c r="V2788" s="8">
        <f>844*15.65/1000</f>
        <v>13.208600000000001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11"/>
      <c r="AQ2788" s="8"/>
      <c r="AR2788" s="8"/>
      <c r="AS2788" s="8"/>
      <c r="AT2788" s="8">
        <v>552.91</v>
      </c>
      <c r="AU2788" s="8"/>
      <c r="AV2788" s="8"/>
      <c r="AW2788" s="8">
        <v>35.4</v>
      </c>
      <c r="AX2788" s="8"/>
      <c r="AY2788" s="8"/>
      <c r="AZ2788" s="8"/>
      <c r="BA2788" s="8"/>
      <c r="BB2788" s="8"/>
      <c r="BC2788" s="8"/>
      <c r="BD2788" s="8"/>
      <c r="BE2788" s="8"/>
      <c r="BF2788" s="8">
        <v>43.91</v>
      </c>
      <c r="BG2788" s="8">
        <v>41.11</v>
      </c>
      <c r="BH2788" s="9">
        <f t="shared" si="387"/>
        <v>1369.1100000000001</v>
      </c>
      <c r="BI2788" s="9">
        <f t="shared" si="388"/>
        <v>1.43</v>
      </c>
      <c r="BJ2788" s="9">
        <f t="shared" si="389"/>
        <v>6.57</v>
      </c>
      <c r="BK2788" s="9">
        <f t="shared" si="390"/>
        <v>24.1586</v>
      </c>
      <c r="BL2788" s="9">
        <f t="shared" si="391"/>
        <v>0</v>
      </c>
      <c r="BM2788" s="9">
        <f t="shared" si="392"/>
        <v>0</v>
      </c>
      <c r="BN2788" s="9">
        <f t="shared" si="393"/>
        <v>552.91</v>
      </c>
      <c r="BO2788" s="9">
        <f t="shared" si="394"/>
        <v>35.4</v>
      </c>
      <c r="BP2788" s="9">
        <f t="shared" si="395"/>
        <v>43.91</v>
      </c>
    </row>
    <row r="2789" spans="1:68">
      <c r="A2789" s="6">
        <v>45049</v>
      </c>
      <c r="B2789" s="7">
        <v>3801</v>
      </c>
      <c r="C2789" s="8">
        <f>363.3+56.66</f>
        <v>419.96000000000004</v>
      </c>
      <c r="D2789" s="8"/>
      <c r="E2789" s="8"/>
      <c r="F2789" s="8"/>
      <c r="G2789" s="8"/>
      <c r="H2789" s="8"/>
      <c r="I2789" s="8"/>
      <c r="J2789" s="8"/>
      <c r="K2789" s="8"/>
      <c r="L2789" s="8">
        <f>41912*8.13/1000</f>
        <v>340.74456000000004</v>
      </c>
      <c r="M2789" s="8"/>
      <c r="N2789" s="8">
        <f>0.73+0.12</f>
        <v>0.85</v>
      </c>
      <c r="O2789" s="8"/>
      <c r="P2789" s="8"/>
      <c r="Q2789" s="11"/>
      <c r="R2789" s="11"/>
      <c r="S2789" s="8">
        <f>2.9+0.46</f>
        <v>3.36</v>
      </c>
      <c r="T2789" s="8"/>
      <c r="U2789" s="8">
        <f>3.17+0.5</f>
        <v>3.67</v>
      </c>
      <c r="V2789" s="8"/>
      <c r="W2789" s="8"/>
      <c r="X2789" s="8"/>
      <c r="Y2789" s="8"/>
      <c r="Z2789" s="8">
        <f>52.83+8.26</f>
        <v>61.089999999999996</v>
      </c>
      <c r="AA2789" s="8">
        <f>3016*8.13/1000</f>
        <v>24.52008</v>
      </c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11"/>
      <c r="AQ2789" s="8">
        <f>270*8.13/1000</f>
        <v>2.1951000000000005</v>
      </c>
      <c r="AR2789" s="8"/>
      <c r="AS2789" s="8"/>
      <c r="AT2789" s="8">
        <f>257.82+40.12</f>
        <v>297.94</v>
      </c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>
        <f>19.5+3.06</f>
        <v>22.56</v>
      </c>
      <c r="BH2789" s="9">
        <f t="shared" si="387"/>
        <v>760.70456000000013</v>
      </c>
      <c r="BI2789" s="9">
        <f t="shared" si="388"/>
        <v>0.85</v>
      </c>
      <c r="BJ2789" s="9">
        <f t="shared" si="389"/>
        <v>3.36</v>
      </c>
      <c r="BK2789" s="9">
        <f t="shared" si="390"/>
        <v>3.67</v>
      </c>
      <c r="BL2789" s="9">
        <f t="shared" si="391"/>
        <v>85.610079999999996</v>
      </c>
      <c r="BM2789" s="9">
        <f t="shared" si="392"/>
        <v>2.1951000000000005</v>
      </c>
      <c r="BN2789" s="9">
        <f t="shared" si="393"/>
        <v>297.94</v>
      </c>
      <c r="BO2789" s="9">
        <f t="shared" si="394"/>
        <v>0</v>
      </c>
      <c r="BP2789" s="9">
        <f t="shared" si="395"/>
        <v>0</v>
      </c>
    </row>
    <row r="2790" spans="1:68">
      <c r="A2790" s="6">
        <v>45049</v>
      </c>
      <c r="B2790" s="7">
        <v>3145</v>
      </c>
      <c r="C2790" s="8">
        <v>1242</v>
      </c>
      <c r="D2790" s="8">
        <v>219.15</v>
      </c>
      <c r="E2790" s="8"/>
      <c r="F2790" s="8"/>
      <c r="G2790" s="8"/>
      <c r="H2790" s="8"/>
      <c r="I2790" s="8"/>
      <c r="J2790" s="8"/>
      <c r="K2790" s="8"/>
      <c r="L2790" s="8"/>
      <c r="M2790" s="8">
        <v>4.25</v>
      </c>
      <c r="N2790" s="8"/>
      <c r="O2790" s="8"/>
      <c r="P2790" s="8"/>
      <c r="Q2790" s="11"/>
      <c r="R2790" s="11"/>
      <c r="S2790" s="8">
        <v>6.87</v>
      </c>
      <c r="T2790" s="8"/>
      <c r="U2790" s="8">
        <v>21.93</v>
      </c>
      <c r="V2790" s="8"/>
      <c r="W2790" s="8"/>
      <c r="X2790" s="8"/>
      <c r="Y2790" s="8"/>
      <c r="Z2790" s="8"/>
      <c r="AA2790" s="8"/>
      <c r="AB2790" s="8"/>
      <c r="AC2790" s="8">
        <v>5.85</v>
      </c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11"/>
      <c r="AQ2790" s="8"/>
      <c r="AR2790" s="8"/>
      <c r="AS2790" s="8"/>
      <c r="AT2790" s="8">
        <v>965.82</v>
      </c>
      <c r="AU2790" s="8"/>
      <c r="AV2790" s="8"/>
      <c r="AW2790" s="8"/>
      <c r="AX2790" s="8"/>
      <c r="AY2790" s="8"/>
      <c r="AZ2790" s="8"/>
      <c r="BA2790" s="8"/>
      <c r="BB2790" s="8"/>
      <c r="BC2790" s="8"/>
      <c r="BD2790" s="8">
        <v>3.65</v>
      </c>
      <c r="BE2790" s="8">
        <f>1366*9.75/1000</f>
        <v>13.3185</v>
      </c>
      <c r="BF2790" s="8">
        <v>102.32</v>
      </c>
      <c r="BG2790" s="8">
        <v>75.790000000000006</v>
      </c>
      <c r="BH2790" s="9">
        <f t="shared" si="387"/>
        <v>1461.15</v>
      </c>
      <c r="BI2790" s="9">
        <f t="shared" si="388"/>
        <v>4.25</v>
      </c>
      <c r="BJ2790" s="9">
        <f t="shared" si="389"/>
        <v>6.87</v>
      </c>
      <c r="BK2790" s="9">
        <f t="shared" si="390"/>
        <v>21.93</v>
      </c>
      <c r="BL2790" s="9">
        <f t="shared" si="391"/>
        <v>0</v>
      </c>
      <c r="BM2790" s="9">
        <f t="shared" si="392"/>
        <v>5.85</v>
      </c>
      <c r="BN2790" s="9">
        <f t="shared" si="393"/>
        <v>965.82</v>
      </c>
      <c r="BO2790" s="9">
        <f t="shared" si="394"/>
        <v>16.968499999999999</v>
      </c>
      <c r="BP2790" s="9">
        <f t="shared" si="395"/>
        <v>102.32</v>
      </c>
    </row>
    <row r="2791" spans="1:68">
      <c r="A2791" s="6">
        <v>45049</v>
      </c>
      <c r="B2791" s="7">
        <v>3141</v>
      </c>
      <c r="C2791" s="8">
        <v>1220.74</v>
      </c>
      <c r="D2791" s="8">
        <v>215.48</v>
      </c>
      <c r="E2791" s="8"/>
      <c r="F2791" s="8"/>
      <c r="G2791" s="8"/>
      <c r="H2791" s="8"/>
      <c r="I2791" s="8"/>
      <c r="J2791" s="8"/>
      <c r="K2791" s="8"/>
      <c r="L2791" s="8"/>
      <c r="M2791" s="8">
        <v>3.97</v>
      </c>
      <c r="N2791" s="8"/>
      <c r="O2791" s="8"/>
      <c r="P2791" s="8"/>
      <c r="Q2791" s="11"/>
      <c r="R2791" s="11"/>
      <c r="S2791" s="8">
        <v>6.76</v>
      </c>
      <c r="T2791" s="8"/>
      <c r="U2791" s="8">
        <v>21.56</v>
      </c>
      <c r="V2791" s="8"/>
      <c r="W2791" s="8"/>
      <c r="X2791" s="8"/>
      <c r="Y2791" s="8"/>
      <c r="Z2791" s="8"/>
      <c r="AA2791" s="8"/>
      <c r="AB2791" s="8"/>
      <c r="AC2791" s="8">
        <v>5.75</v>
      </c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11"/>
      <c r="AQ2791" s="8"/>
      <c r="AR2791" s="8"/>
      <c r="AS2791" s="8"/>
      <c r="AT2791" s="8">
        <v>943.54</v>
      </c>
      <c r="AU2791" s="8"/>
      <c r="AV2791" s="8"/>
      <c r="AW2791" s="8"/>
      <c r="AX2791" s="8"/>
      <c r="AY2791" s="8"/>
      <c r="AZ2791" s="8"/>
      <c r="BA2791" s="8">
        <v>32.94</v>
      </c>
      <c r="BB2791" s="8"/>
      <c r="BC2791" s="8"/>
      <c r="BD2791" s="8"/>
      <c r="BE2791" s="8"/>
      <c r="BF2791" s="8">
        <v>100.59</v>
      </c>
      <c r="BG2791" s="8">
        <v>74.55</v>
      </c>
      <c r="BH2791" s="9">
        <f t="shared" si="387"/>
        <v>1436.22</v>
      </c>
      <c r="BI2791" s="9">
        <f t="shared" si="388"/>
        <v>3.97</v>
      </c>
      <c r="BJ2791" s="9">
        <f t="shared" si="389"/>
        <v>6.76</v>
      </c>
      <c r="BK2791" s="9">
        <f t="shared" si="390"/>
        <v>21.56</v>
      </c>
      <c r="BL2791" s="9">
        <f t="shared" si="391"/>
        <v>0</v>
      </c>
      <c r="BM2791" s="9">
        <f t="shared" si="392"/>
        <v>5.75</v>
      </c>
      <c r="BN2791" s="9">
        <f t="shared" si="393"/>
        <v>943.54</v>
      </c>
      <c r="BO2791" s="9">
        <f t="shared" si="394"/>
        <v>32.94</v>
      </c>
      <c r="BP2791" s="9">
        <f t="shared" si="395"/>
        <v>100.59</v>
      </c>
    </row>
    <row r="2792" spans="1:68">
      <c r="A2792" s="6">
        <v>45049</v>
      </c>
      <c r="B2792" s="7">
        <v>3136</v>
      </c>
      <c r="C2792" s="8">
        <v>1235.48</v>
      </c>
      <c r="D2792" s="8"/>
      <c r="E2792" s="8"/>
      <c r="F2792" s="8"/>
      <c r="G2792" s="8"/>
      <c r="H2792" s="8">
        <v>512.32000000000005</v>
      </c>
      <c r="I2792" s="8"/>
      <c r="J2792" s="8"/>
      <c r="K2792" s="8"/>
      <c r="L2792" s="8"/>
      <c r="M2792" s="8">
        <v>1.97</v>
      </c>
      <c r="N2792" s="8"/>
      <c r="O2792" s="8"/>
      <c r="P2792" s="8"/>
      <c r="Q2792" s="11"/>
      <c r="R2792" s="11"/>
      <c r="S2792" s="8">
        <v>7.62</v>
      </c>
      <c r="T2792" s="8"/>
      <c r="U2792" s="8">
        <v>19.760000000000002</v>
      </c>
      <c r="V2792" s="8"/>
      <c r="W2792" s="8"/>
      <c r="X2792" s="8"/>
      <c r="Y2792" s="8"/>
      <c r="Z2792" s="8"/>
      <c r="AA2792" s="8"/>
      <c r="AB2792" s="8"/>
      <c r="AC2792" s="8">
        <v>6.08</v>
      </c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11"/>
      <c r="AQ2792" s="8"/>
      <c r="AR2792" s="8"/>
      <c r="AS2792" s="8"/>
      <c r="AT2792" s="8">
        <v>989.63</v>
      </c>
      <c r="AU2792" s="8"/>
      <c r="AV2792" s="8"/>
      <c r="AW2792" s="8"/>
      <c r="AX2792" s="8"/>
      <c r="AY2792" s="8"/>
      <c r="AZ2792" s="8"/>
      <c r="BA2792" s="8">
        <v>15.09</v>
      </c>
      <c r="BB2792" s="8"/>
      <c r="BC2792" s="8"/>
      <c r="BD2792" s="8"/>
      <c r="BE2792" s="8"/>
      <c r="BF2792" s="8">
        <v>60.91</v>
      </c>
      <c r="BG2792" s="8">
        <v>74.45</v>
      </c>
      <c r="BH2792" s="9">
        <f t="shared" si="387"/>
        <v>1747.8000000000002</v>
      </c>
      <c r="BI2792" s="9">
        <f t="shared" si="388"/>
        <v>1.97</v>
      </c>
      <c r="BJ2792" s="9">
        <f t="shared" si="389"/>
        <v>7.62</v>
      </c>
      <c r="BK2792" s="9">
        <f t="shared" si="390"/>
        <v>19.760000000000002</v>
      </c>
      <c r="BL2792" s="9">
        <f t="shared" si="391"/>
        <v>0</v>
      </c>
      <c r="BM2792" s="9">
        <f t="shared" si="392"/>
        <v>6.08</v>
      </c>
      <c r="BN2792" s="9">
        <f t="shared" si="393"/>
        <v>989.63</v>
      </c>
      <c r="BO2792" s="9">
        <f t="shared" si="394"/>
        <v>15.09</v>
      </c>
      <c r="BP2792" s="9">
        <f t="shared" si="395"/>
        <v>60.91</v>
      </c>
    </row>
    <row r="2793" spans="1:68">
      <c r="A2793" s="6">
        <v>45049</v>
      </c>
      <c r="B2793" s="7">
        <v>3106</v>
      </c>
      <c r="C2793" s="8">
        <v>8245.75</v>
      </c>
      <c r="D2793" s="8"/>
      <c r="E2793" s="8"/>
      <c r="F2793" s="8"/>
      <c r="G2793" s="8"/>
      <c r="H2793" s="8"/>
      <c r="I2793" s="8"/>
      <c r="J2793" s="8"/>
      <c r="K2793" s="8"/>
      <c r="L2793" s="8"/>
      <c r="M2793" s="8">
        <v>19.850000000000001</v>
      </c>
      <c r="N2793" s="8"/>
      <c r="O2793" s="8"/>
      <c r="P2793" s="8"/>
      <c r="Q2793" s="11"/>
      <c r="R2793" s="11"/>
      <c r="S2793" s="8">
        <v>24.79</v>
      </c>
      <c r="T2793" s="8"/>
      <c r="U2793" s="8">
        <v>104.91</v>
      </c>
      <c r="V2793" s="8"/>
      <c r="W2793" s="8"/>
      <c r="X2793" s="8"/>
      <c r="Y2793" s="8"/>
      <c r="Z2793" s="8"/>
      <c r="AA2793" s="8"/>
      <c r="AB2793" s="8"/>
      <c r="AC2793" s="8">
        <v>20.62</v>
      </c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11"/>
      <c r="AQ2793" s="8"/>
      <c r="AR2793" s="8"/>
      <c r="AS2793" s="8"/>
      <c r="AT2793" s="8">
        <v>4696.55</v>
      </c>
      <c r="AU2793" s="8"/>
      <c r="AV2793" s="8"/>
      <c r="AW2793" s="8"/>
      <c r="AX2793" s="8">
        <v>10.32</v>
      </c>
      <c r="AY2793" s="8"/>
      <c r="AZ2793" s="8"/>
      <c r="BA2793" s="8"/>
      <c r="BB2793" s="8"/>
      <c r="BC2793" s="8"/>
      <c r="BD2793" s="8"/>
      <c r="BE2793" s="8"/>
      <c r="BF2793" s="8"/>
      <c r="BG2793" s="8">
        <v>354.22</v>
      </c>
      <c r="BH2793" s="9">
        <f t="shared" si="387"/>
        <v>8245.75</v>
      </c>
      <c r="BI2793" s="9">
        <f t="shared" si="388"/>
        <v>19.850000000000001</v>
      </c>
      <c r="BJ2793" s="9">
        <f t="shared" si="389"/>
        <v>24.79</v>
      </c>
      <c r="BK2793" s="9">
        <f t="shared" si="390"/>
        <v>104.91</v>
      </c>
      <c r="BL2793" s="9">
        <f t="shared" si="391"/>
        <v>0</v>
      </c>
      <c r="BM2793" s="9">
        <f t="shared" si="392"/>
        <v>20.62</v>
      </c>
      <c r="BN2793" s="9">
        <f t="shared" si="393"/>
        <v>4696.55</v>
      </c>
      <c r="BO2793" s="9">
        <f t="shared" si="394"/>
        <v>10.32</v>
      </c>
      <c r="BP2793" s="9">
        <f t="shared" si="395"/>
        <v>0</v>
      </c>
    </row>
    <row r="2794" spans="1:68">
      <c r="A2794" s="6">
        <v>45049</v>
      </c>
      <c r="B2794" s="7">
        <v>3081</v>
      </c>
      <c r="C2794" s="8"/>
      <c r="D2794" s="8">
        <v>286.93</v>
      </c>
      <c r="E2794" s="8"/>
      <c r="F2794" s="8">
        <v>319.82</v>
      </c>
      <c r="G2794" s="8"/>
      <c r="H2794" s="8"/>
      <c r="I2794" s="8">
        <v>1173.8800000000001</v>
      </c>
      <c r="J2794" s="8"/>
      <c r="K2794" s="8"/>
      <c r="L2794" s="8"/>
      <c r="M2794" s="8"/>
      <c r="N2794" s="8">
        <v>13.12</v>
      </c>
      <c r="O2794" s="8"/>
      <c r="P2794" s="8">
        <f>629*11.6/1000</f>
        <v>7.2963999999999993</v>
      </c>
      <c r="Q2794" s="11"/>
      <c r="R2794" s="11"/>
      <c r="S2794" s="8">
        <v>1.25</v>
      </c>
      <c r="T2794" s="8"/>
      <c r="U2794" s="8"/>
      <c r="V2794" s="8"/>
      <c r="W2794" s="8">
        <v>18.010000000000002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11"/>
      <c r="AQ2794" s="8">
        <f>1547*11.6/1000</f>
        <v>17.9452</v>
      </c>
      <c r="AR2794" s="8">
        <f>5492*11.6/1000</f>
        <v>63.7072</v>
      </c>
      <c r="AS2794" s="8"/>
      <c r="AT2794" s="8">
        <v>562.76</v>
      </c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>
        <v>37.479999999999997</v>
      </c>
      <c r="BH2794" s="9">
        <f t="shared" si="387"/>
        <v>1780.63</v>
      </c>
      <c r="BI2794" s="9">
        <f t="shared" si="388"/>
        <v>20.416399999999999</v>
      </c>
      <c r="BJ2794" s="9">
        <f t="shared" si="389"/>
        <v>1.25</v>
      </c>
      <c r="BK2794" s="9">
        <f t="shared" si="390"/>
        <v>18.010000000000002</v>
      </c>
      <c r="BL2794" s="9">
        <f t="shared" si="391"/>
        <v>0</v>
      </c>
      <c r="BM2794" s="9">
        <f t="shared" si="392"/>
        <v>81.6524</v>
      </c>
      <c r="BN2794" s="9">
        <f t="shared" si="393"/>
        <v>562.76</v>
      </c>
      <c r="BO2794" s="9">
        <f t="shared" si="394"/>
        <v>0</v>
      </c>
      <c r="BP2794" s="9">
        <f t="shared" si="395"/>
        <v>0</v>
      </c>
    </row>
    <row r="2795" spans="1:68">
      <c r="A2795" s="6">
        <v>45049</v>
      </c>
      <c r="B2795" s="7">
        <v>3029</v>
      </c>
      <c r="C2795" s="8"/>
      <c r="D2795" s="8">
        <v>475.37</v>
      </c>
      <c r="E2795" s="8"/>
      <c r="F2795" s="8">
        <v>333.99</v>
      </c>
      <c r="G2795" s="8"/>
      <c r="H2795" s="8"/>
      <c r="I2795" s="8">
        <v>1975.29</v>
      </c>
      <c r="J2795" s="8"/>
      <c r="K2795" s="8"/>
      <c r="L2795" s="8"/>
      <c r="M2795" s="8"/>
      <c r="N2795" s="8">
        <v>21.71</v>
      </c>
      <c r="O2795" s="8"/>
      <c r="P2795" s="8"/>
      <c r="Q2795" s="11"/>
      <c r="R2795" s="11"/>
      <c r="S2795" s="8">
        <v>1.66</v>
      </c>
      <c r="T2795" s="8"/>
      <c r="U2795" s="8"/>
      <c r="V2795" s="8"/>
      <c r="W2795" s="8">
        <v>27.86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>
        <v>9.73</v>
      </c>
      <c r="AN2795" s="8">
        <f>753*18.55/1000</f>
        <v>13.96815</v>
      </c>
      <c r="AO2795" s="8"/>
      <c r="AP2795" s="11"/>
      <c r="AQ2795" s="8"/>
      <c r="AR2795" s="8">
        <f>4512*18.55/1000</f>
        <v>83.697600000000008</v>
      </c>
      <c r="AS2795" s="8"/>
      <c r="AT2795" s="8">
        <v>1056.76</v>
      </c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>
        <v>73.77</v>
      </c>
      <c r="BH2795" s="9">
        <f t="shared" si="387"/>
        <v>2784.65</v>
      </c>
      <c r="BI2795" s="9">
        <f t="shared" si="388"/>
        <v>21.71</v>
      </c>
      <c r="BJ2795" s="9">
        <f t="shared" si="389"/>
        <v>1.66</v>
      </c>
      <c r="BK2795" s="9">
        <f t="shared" si="390"/>
        <v>27.86</v>
      </c>
      <c r="BL2795" s="9">
        <f t="shared" si="391"/>
        <v>0</v>
      </c>
      <c r="BM2795" s="9">
        <f t="shared" si="392"/>
        <v>107.39575000000001</v>
      </c>
      <c r="BN2795" s="9">
        <f t="shared" si="393"/>
        <v>1056.76</v>
      </c>
      <c r="BO2795" s="9">
        <f t="shared" si="394"/>
        <v>0</v>
      </c>
      <c r="BP2795" s="9">
        <f t="shared" si="395"/>
        <v>0</v>
      </c>
    </row>
    <row r="2796" spans="1:68">
      <c r="A2796" s="6">
        <v>45049</v>
      </c>
      <c r="B2796" s="7">
        <v>3016</v>
      </c>
      <c r="C2796" s="8"/>
      <c r="D2796" s="8">
        <v>2370.85</v>
      </c>
      <c r="E2796" s="8"/>
      <c r="F2796" s="8"/>
      <c r="G2796" s="8"/>
      <c r="H2796" s="8"/>
      <c r="I2796" s="8">
        <v>2194.92</v>
      </c>
      <c r="J2796" s="8"/>
      <c r="K2796" s="8"/>
      <c r="L2796" s="8"/>
      <c r="M2796" s="8"/>
      <c r="N2796" s="8">
        <v>28.34</v>
      </c>
      <c r="O2796" s="8"/>
      <c r="P2796" s="8"/>
      <c r="Q2796" s="11"/>
      <c r="R2796" s="11"/>
      <c r="S2796" s="8">
        <v>3.19</v>
      </c>
      <c r="T2796" s="8"/>
      <c r="U2796" s="8"/>
      <c r="V2796" s="8"/>
      <c r="W2796" s="8">
        <v>45.75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>
        <v>18.149999999999999</v>
      </c>
      <c r="AN2796" s="8">
        <f>2049*26.9/1000</f>
        <v>55.118099999999998</v>
      </c>
      <c r="AO2796" s="8"/>
      <c r="AP2796" s="11"/>
      <c r="AQ2796" s="8"/>
      <c r="AR2796" s="8">
        <f>4291*26.9/1000</f>
        <v>115.42789999999999</v>
      </c>
      <c r="AS2796" s="8"/>
      <c r="AT2796" s="8">
        <v>1700.79</v>
      </c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>
        <v>124.06</v>
      </c>
      <c r="BH2796" s="9">
        <f t="shared" si="387"/>
        <v>4565.7700000000004</v>
      </c>
      <c r="BI2796" s="9">
        <f t="shared" si="388"/>
        <v>28.34</v>
      </c>
      <c r="BJ2796" s="9">
        <f t="shared" si="389"/>
        <v>3.19</v>
      </c>
      <c r="BK2796" s="9">
        <f t="shared" si="390"/>
        <v>45.75</v>
      </c>
      <c r="BL2796" s="9">
        <f t="shared" si="391"/>
        <v>0</v>
      </c>
      <c r="BM2796" s="9">
        <f t="shared" si="392"/>
        <v>188.696</v>
      </c>
      <c r="BN2796" s="9">
        <f t="shared" si="393"/>
        <v>1700.79</v>
      </c>
      <c r="BO2796" s="9">
        <f t="shared" si="394"/>
        <v>0</v>
      </c>
      <c r="BP2796" s="9">
        <f t="shared" si="395"/>
        <v>0</v>
      </c>
    </row>
    <row r="2797" spans="1:68">
      <c r="A2797" s="6">
        <v>45049</v>
      </c>
      <c r="B2797" s="7">
        <v>3024</v>
      </c>
      <c r="C2797" s="8"/>
      <c r="D2797" s="8">
        <v>368.17</v>
      </c>
      <c r="E2797" s="8"/>
      <c r="F2797" s="8"/>
      <c r="G2797" s="8"/>
      <c r="H2797" s="8"/>
      <c r="I2797" s="8">
        <v>368.55</v>
      </c>
      <c r="J2797" s="8"/>
      <c r="K2797" s="8"/>
      <c r="L2797" s="8"/>
      <c r="M2797" s="8"/>
      <c r="N2797" s="8">
        <v>4.42</v>
      </c>
      <c r="O2797" s="8"/>
      <c r="P2797" s="8"/>
      <c r="Q2797" s="11"/>
      <c r="R2797" s="11"/>
      <c r="S2797" s="8">
        <v>1.18</v>
      </c>
      <c r="T2797" s="8"/>
      <c r="U2797" s="8"/>
      <c r="V2797" s="8"/>
      <c r="W2797" s="8">
        <v>5.9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>
        <v>7.36</v>
      </c>
      <c r="AN2797" s="8">
        <f>847*6.13/1000</f>
        <v>5.1921099999999996</v>
      </c>
      <c r="AO2797" s="8"/>
      <c r="AP2797" s="11"/>
      <c r="AQ2797" s="8"/>
      <c r="AR2797" s="8"/>
      <c r="AS2797" s="8">
        <f>3976*6.13/1000</f>
        <v>24.372880000000002</v>
      </c>
      <c r="AT2797" s="8">
        <v>282.88</v>
      </c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>
        <v>20.66</v>
      </c>
      <c r="BH2797" s="9">
        <f t="shared" si="387"/>
        <v>736.72</v>
      </c>
      <c r="BI2797" s="9">
        <f t="shared" si="388"/>
        <v>4.42</v>
      </c>
      <c r="BJ2797" s="9">
        <f t="shared" si="389"/>
        <v>1.18</v>
      </c>
      <c r="BK2797" s="9">
        <f t="shared" si="390"/>
        <v>5.9</v>
      </c>
      <c r="BL2797" s="9">
        <f t="shared" si="391"/>
        <v>0</v>
      </c>
      <c r="BM2797" s="9">
        <f t="shared" si="392"/>
        <v>36.924990000000001</v>
      </c>
      <c r="BN2797" s="9">
        <f t="shared" si="393"/>
        <v>282.88</v>
      </c>
      <c r="BO2797" s="9">
        <f t="shared" si="394"/>
        <v>0</v>
      </c>
      <c r="BP2797" s="9">
        <f t="shared" si="395"/>
        <v>0</v>
      </c>
    </row>
    <row r="2798" spans="1:68">
      <c r="A2798" s="6">
        <v>45049</v>
      </c>
      <c r="B2798" s="7">
        <v>3025</v>
      </c>
      <c r="C2798" s="8"/>
      <c r="D2798" s="8">
        <v>121.52</v>
      </c>
      <c r="E2798" s="8"/>
      <c r="F2798" s="8"/>
      <c r="G2798" s="8"/>
      <c r="H2798" s="8"/>
      <c r="I2798" s="8">
        <v>679.4</v>
      </c>
      <c r="J2798" s="8"/>
      <c r="K2798" s="8"/>
      <c r="L2798" s="8"/>
      <c r="M2798" s="8"/>
      <c r="N2798" s="8">
        <v>4.4000000000000004</v>
      </c>
      <c r="O2798" s="8"/>
      <c r="P2798" s="8"/>
      <c r="Q2798" s="11"/>
      <c r="R2798" s="11"/>
      <c r="S2798" s="8">
        <v>1.28</v>
      </c>
      <c r="T2798" s="8"/>
      <c r="U2798" s="8"/>
      <c r="V2798" s="8"/>
      <c r="W2798" s="8">
        <v>7.2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>
        <v>7.99</v>
      </c>
      <c r="AN2798" s="8">
        <f>714*0.008</f>
        <v>5.7119999999999997</v>
      </c>
      <c r="AO2798" s="8"/>
      <c r="AP2798" s="11"/>
      <c r="AQ2798" s="8"/>
      <c r="AR2798" s="8"/>
      <c r="AS2798" s="8">
        <f>3312*0.008</f>
        <v>26.496000000000002</v>
      </c>
      <c r="AT2798" s="8">
        <v>276.42</v>
      </c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>
        <v>18.399999999999999</v>
      </c>
      <c r="BH2798" s="9">
        <f t="shared" si="387"/>
        <v>800.92</v>
      </c>
      <c r="BI2798" s="9">
        <f t="shared" si="388"/>
        <v>4.4000000000000004</v>
      </c>
      <c r="BJ2798" s="9">
        <f t="shared" si="389"/>
        <v>1.28</v>
      </c>
      <c r="BK2798" s="9">
        <f t="shared" si="390"/>
        <v>7.2</v>
      </c>
      <c r="BL2798" s="9">
        <f t="shared" si="391"/>
        <v>0</v>
      </c>
      <c r="BM2798" s="9">
        <f t="shared" si="392"/>
        <v>40.198</v>
      </c>
      <c r="BN2798" s="9">
        <f t="shared" si="393"/>
        <v>276.42</v>
      </c>
      <c r="BO2798" s="9">
        <f t="shared" si="394"/>
        <v>0</v>
      </c>
      <c r="BP2798" s="9">
        <f t="shared" si="395"/>
        <v>0</v>
      </c>
    </row>
    <row r="2799" spans="1:68">
      <c r="A2799" s="6">
        <v>45050</v>
      </c>
      <c r="B2799" s="7">
        <v>3200</v>
      </c>
      <c r="C2799" s="8">
        <v>2268.4299999999998</v>
      </c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>
        <v>5.71</v>
      </c>
      <c r="P2799" s="8"/>
      <c r="Q2799" s="11"/>
      <c r="R2799" s="11"/>
      <c r="S2799" s="8">
        <v>9.0399999999999991</v>
      </c>
      <c r="T2799" s="8"/>
      <c r="U2799" s="8">
        <v>34.14</v>
      </c>
      <c r="V2799" s="8"/>
      <c r="W2799" s="8"/>
      <c r="X2799" s="8"/>
      <c r="Y2799" s="8"/>
      <c r="Z2799" s="8">
        <v>477.69</v>
      </c>
      <c r="AA2799" s="8"/>
      <c r="AB2799" s="8"/>
      <c r="AC2799" s="8"/>
      <c r="AD2799" s="8"/>
      <c r="AE2799" s="8"/>
      <c r="AF2799" s="8">
        <v>112.94</v>
      </c>
      <c r="AG2799" s="8"/>
      <c r="AH2799" s="8"/>
      <c r="AI2799" s="8"/>
      <c r="AJ2799" s="8"/>
      <c r="AK2799" s="8"/>
      <c r="AL2799" s="8"/>
      <c r="AM2799" s="8"/>
      <c r="AN2799" s="8"/>
      <c r="AO2799" s="8"/>
      <c r="AP2799" s="11"/>
      <c r="AQ2799" s="8">
        <f>1507*22.73/1000</f>
        <v>34.254109999999997</v>
      </c>
      <c r="AR2799" s="8"/>
      <c r="AS2799" s="8"/>
      <c r="AT2799" s="8">
        <v>1553.54</v>
      </c>
      <c r="AU2799" s="8"/>
      <c r="AV2799" s="8"/>
      <c r="AW2799" s="8">
        <v>6.56</v>
      </c>
      <c r="AX2799" s="8"/>
      <c r="AY2799" s="8"/>
      <c r="AZ2799" s="8"/>
      <c r="BA2799" s="8"/>
      <c r="BB2799" s="8"/>
      <c r="BC2799" s="8"/>
      <c r="BD2799" s="8"/>
      <c r="BE2799" s="8"/>
      <c r="BF2799" s="8">
        <v>109.15</v>
      </c>
      <c r="BG2799" s="8">
        <v>112.94</v>
      </c>
      <c r="BH2799" s="9">
        <f t="shared" si="387"/>
        <v>2268.4299999999998</v>
      </c>
      <c r="BI2799" s="9">
        <f t="shared" si="388"/>
        <v>5.71</v>
      </c>
      <c r="BJ2799" s="9">
        <f t="shared" si="389"/>
        <v>9.0399999999999991</v>
      </c>
      <c r="BK2799" s="9">
        <f t="shared" si="390"/>
        <v>34.14</v>
      </c>
      <c r="BL2799" s="9">
        <f t="shared" si="391"/>
        <v>477.69</v>
      </c>
      <c r="BM2799" s="9">
        <f t="shared" si="392"/>
        <v>147.19410999999999</v>
      </c>
      <c r="BN2799" s="9">
        <f t="shared" si="393"/>
        <v>1553.54</v>
      </c>
      <c r="BO2799" s="9">
        <f t="shared" si="394"/>
        <v>6.56</v>
      </c>
      <c r="BP2799" s="9">
        <f t="shared" si="395"/>
        <v>109.15</v>
      </c>
    </row>
    <row r="2800" spans="1:68">
      <c r="A2800" s="6">
        <v>45050</v>
      </c>
      <c r="B2800" s="7">
        <v>3141</v>
      </c>
      <c r="C2800" s="8">
        <v>2415.42</v>
      </c>
      <c r="D2800" s="8">
        <v>426.54</v>
      </c>
      <c r="E2800" s="8"/>
      <c r="F2800" s="8"/>
      <c r="G2800" s="8"/>
      <c r="H2800" s="8"/>
      <c r="I2800" s="8"/>
      <c r="J2800" s="8"/>
      <c r="K2800" s="8"/>
      <c r="L2800" s="8"/>
      <c r="M2800" s="8">
        <v>8.25</v>
      </c>
      <c r="N2800" s="8"/>
      <c r="O2800" s="8"/>
      <c r="P2800" s="8"/>
      <c r="Q2800" s="11"/>
      <c r="R2800" s="11"/>
      <c r="S2800" s="8">
        <v>13.38</v>
      </c>
      <c r="T2800" s="8"/>
      <c r="U2800" s="8">
        <v>42.68</v>
      </c>
      <c r="V2800" s="8"/>
      <c r="W2800" s="8"/>
      <c r="X2800" s="8"/>
      <c r="Y2800" s="8"/>
      <c r="Z2800" s="8"/>
      <c r="AA2800" s="8"/>
      <c r="AB2800" s="8"/>
      <c r="AC2800" s="8">
        <v>11.38</v>
      </c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11"/>
      <c r="AQ2800" s="8"/>
      <c r="AR2800" s="8"/>
      <c r="AS2800" s="8"/>
      <c r="AT2800" s="8">
        <v>1863.32</v>
      </c>
      <c r="AU2800" s="8"/>
      <c r="AV2800" s="8"/>
      <c r="AW2800" s="8"/>
      <c r="AX2800" s="8"/>
      <c r="AY2800" s="8"/>
      <c r="AZ2800" s="8"/>
      <c r="BA2800" s="8">
        <v>65.16</v>
      </c>
      <c r="BB2800" s="8"/>
      <c r="BC2800" s="8"/>
      <c r="BD2800" s="8"/>
      <c r="BE2800" s="8"/>
      <c r="BF2800" s="8">
        <v>199.12</v>
      </c>
      <c r="BG2800" s="8">
        <v>147.61000000000001</v>
      </c>
      <c r="BH2800" s="9">
        <f t="shared" si="387"/>
        <v>2841.96</v>
      </c>
      <c r="BI2800" s="9">
        <f t="shared" si="388"/>
        <v>8.25</v>
      </c>
      <c r="BJ2800" s="9">
        <f t="shared" si="389"/>
        <v>13.38</v>
      </c>
      <c r="BK2800" s="9">
        <f t="shared" si="390"/>
        <v>42.68</v>
      </c>
      <c r="BL2800" s="9">
        <f t="shared" si="391"/>
        <v>0</v>
      </c>
      <c r="BM2800" s="9">
        <f t="shared" si="392"/>
        <v>11.38</v>
      </c>
      <c r="BN2800" s="9">
        <f t="shared" si="393"/>
        <v>1863.32</v>
      </c>
      <c r="BO2800" s="9">
        <f t="shared" si="394"/>
        <v>65.16</v>
      </c>
      <c r="BP2800" s="9">
        <f t="shared" si="395"/>
        <v>199.12</v>
      </c>
    </row>
    <row r="2801" spans="1:68">
      <c r="A2801" s="6">
        <v>45050</v>
      </c>
      <c r="B2801" s="7">
        <v>3106</v>
      </c>
      <c r="C2801" s="8">
        <v>4141.78</v>
      </c>
      <c r="D2801" s="8"/>
      <c r="E2801" s="8"/>
      <c r="F2801" s="8"/>
      <c r="G2801" s="8"/>
      <c r="H2801" s="8"/>
      <c r="I2801" s="8"/>
      <c r="J2801" s="8"/>
      <c r="K2801" s="8"/>
      <c r="L2801" s="8"/>
      <c r="M2801" s="8">
        <v>11.16</v>
      </c>
      <c r="N2801" s="8"/>
      <c r="O2801" s="8"/>
      <c r="P2801" s="8"/>
      <c r="Q2801" s="11"/>
      <c r="R2801" s="11"/>
      <c r="S2801" s="8">
        <v>12.48</v>
      </c>
      <c r="T2801" s="8"/>
      <c r="U2801" s="8">
        <v>52.84</v>
      </c>
      <c r="V2801" s="8"/>
      <c r="W2801" s="8"/>
      <c r="X2801" s="8"/>
      <c r="Y2801" s="8"/>
      <c r="Z2801" s="8"/>
      <c r="AA2801" s="8"/>
      <c r="AB2801" s="8"/>
      <c r="AC2801" s="8">
        <v>10.39</v>
      </c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11"/>
      <c r="AQ2801" s="8"/>
      <c r="AR2801" s="8"/>
      <c r="AS2801" s="8"/>
      <c r="AT2801" s="8">
        <v>2369.23</v>
      </c>
      <c r="AU2801" s="8"/>
      <c r="AV2801" s="8"/>
      <c r="AW2801" s="8"/>
      <c r="AX2801" s="8">
        <v>5.2</v>
      </c>
      <c r="AY2801" s="8"/>
      <c r="AZ2801" s="8"/>
      <c r="BA2801" s="8"/>
      <c r="BB2801" s="8"/>
      <c r="BC2801" s="8"/>
      <c r="BD2801" s="8"/>
      <c r="BE2801" s="8"/>
      <c r="BF2801" s="8"/>
      <c r="BG2801" s="8">
        <v>178.33</v>
      </c>
      <c r="BH2801" s="9">
        <f t="shared" si="387"/>
        <v>4141.78</v>
      </c>
      <c r="BI2801" s="9">
        <f t="shared" si="388"/>
        <v>11.16</v>
      </c>
      <c r="BJ2801" s="9">
        <f t="shared" si="389"/>
        <v>12.48</v>
      </c>
      <c r="BK2801" s="9">
        <f t="shared" si="390"/>
        <v>52.84</v>
      </c>
      <c r="BL2801" s="9">
        <f t="shared" si="391"/>
        <v>0</v>
      </c>
      <c r="BM2801" s="9">
        <f t="shared" si="392"/>
        <v>10.39</v>
      </c>
      <c r="BN2801" s="9">
        <f t="shared" si="393"/>
        <v>2369.23</v>
      </c>
      <c r="BO2801" s="9">
        <f t="shared" si="394"/>
        <v>5.2</v>
      </c>
      <c r="BP2801" s="9">
        <f t="shared" si="395"/>
        <v>0</v>
      </c>
    </row>
    <row r="2802" spans="1:68">
      <c r="A2802" s="6">
        <v>45050</v>
      </c>
      <c r="B2802" s="7">
        <v>3121</v>
      </c>
      <c r="C2802" s="8">
        <v>2142.81</v>
      </c>
      <c r="D2802" s="8"/>
      <c r="E2802" s="8"/>
      <c r="F2802" s="8"/>
      <c r="G2802" s="8"/>
      <c r="H2802" s="8"/>
      <c r="I2802" s="8"/>
      <c r="J2802" s="8"/>
      <c r="K2802" s="8"/>
      <c r="L2802" s="8"/>
      <c r="M2802" s="8">
        <v>5.37</v>
      </c>
      <c r="N2802" s="8"/>
      <c r="O2802" s="8"/>
      <c r="P2802" s="8"/>
      <c r="Q2802" s="11"/>
      <c r="R2802" s="11"/>
      <c r="S2802" s="8">
        <v>6.72</v>
      </c>
      <c r="T2802" s="8"/>
      <c r="U2802" s="8">
        <v>21.44</v>
      </c>
      <c r="V2802" s="8"/>
      <c r="W2802" s="8"/>
      <c r="X2802" s="8"/>
      <c r="Y2802" s="8"/>
      <c r="Z2802" s="8"/>
      <c r="AA2802" s="8"/>
      <c r="AB2802" s="8"/>
      <c r="AC2802" s="8">
        <v>8.57</v>
      </c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11">
        <f>2245*9.75/1000</f>
        <v>21.888750000000002</v>
      </c>
      <c r="AQ2802" s="8"/>
      <c r="AR2802" s="8"/>
      <c r="AS2802" s="8"/>
      <c r="AT2802" s="8">
        <v>1132.6300000000001</v>
      </c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>
        <v>83.78</v>
      </c>
      <c r="BH2802" s="9">
        <f t="shared" si="387"/>
        <v>2142.81</v>
      </c>
      <c r="BI2802" s="9">
        <f t="shared" si="388"/>
        <v>5.37</v>
      </c>
      <c r="BJ2802" s="9">
        <f t="shared" si="389"/>
        <v>6.72</v>
      </c>
      <c r="BK2802" s="9">
        <f t="shared" si="390"/>
        <v>21.44</v>
      </c>
      <c r="BL2802" s="9">
        <f t="shared" si="391"/>
        <v>0</v>
      </c>
      <c r="BM2802" s="9">
        <f t="shared" si="392"/>
        <v>30.458750000000002</v>
      </c>
      <c r="BN2802" s="9">
        <f t="shared" si="393"/>
        <v>1132.6300000000001</v>
      </c>
      <c r="BO2802" s="9">
        <f t="shared" si="394"/>
        <v>0</v>
      </c>
      <c r="BP2802" s="9">
        <f t="shared" si="395"/>
        <v>0</v>
      </c>
    </row>
    <row r="2803" spans="1:68">
      <c r="A2803" s="6">
        <v>45050</v>
      </c>
      <c r="B2803" s="7">
        <v>3079</v>
      </c>
      <c r="C2803" s="8"/>
      <c r="D2803" s="8"/>
      <c r="E2803" s="8"/>
      <c r="F2803" s="8">
        <v>345.37</v>
      </c>
      <c r="G2803" s="8"/>
      <c r="H2803" s="8"/>
      <c r="I2803" s="8">
        <v>2799.5</v>
      </c>
      <c r="J2803" s="8"/>
      <c r="K2803" s="8"/>
      <c r="L2803" s="8"/>
      <c r="M2803" s="8"/>
      <c r="N2803" s="8">
        <v>22.35</v>
      </c>
      <c r="O2803" s="8"/>
      <c r="P2803" s="8"/>
      <c r="Q2803" s="11"/>
      <c r="R2803" s="11"/>
      <c r="S2803" s="8">
        <v>1.24</v>
      </c>
      <c r="T2803" s="8"/>
      <c r="U2803" s="8"/>
      <c r="V2803" s="8"/>
      <c r="W2803" s="8">
        <v>31.5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>
        <v>12.54</v>
      </c>
      <c r="AN2803" s="8">
        <f>1704*18.5/1000</f>
        <v>31.524000000000001</v>
      </c>
      <c r="AO2803" s="8"/>
      <c r="AP2803" s="11"/>
      <c r="AQ2803" s="8"/>
      <c r="AR2803" s="8">
        <f>4351*18.5/1000</f>
        <v>80.493499999999997</v>
      </c>
      <c r="AS2803" s="8"/>
      <c r="AT2803" s="8">
        <v>1215.71</v>
      </c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>
        <v>88.26</v>
      </c>
      <c r="BH2803" s="9">
        <f t="shared" si="387"/>
        <v>3144.87</v>
      </c>
      <c r="BI2803" s="9">
        <f t="shared" si="388"/>
        <v>22.35</v>
      </c>
      <c r="BJ2803" s="9">
        <f t="shared" si="389"/>
        <v>1.24</v>
      </c>
      <c r="BK2803" s="9">
        <f t="shared" si="390"/>
        <v>31.5</v>
      </c>
      <c r="BL2803" s="9">
        <f t="shared" si="391"/>
        <v>0</v>
      </c>
      <c r="BM2803" s="9">
        <f t="shared" si="392"/>
        <v>124.5575</v>
      </c>
      <c r="BN2803" s="9">
        <f t="shared" si="393"/>
        <v>1215.71</v>
      </c>
      <c r="BO2803" s="9">
        <f t="shared" si="394"/>
        <v>0</v>
      </c>
      <c r="BP2803" s="9">
        <f t="shared" si="395"/>
        <v>0</v>
      </c>
    </row>
    <row r="2804" spans="1:68">
      <c r="A2804" s="6">
        <v>45050</v>
      </c>
      <c r="B2804" s="7">
        <v>3704</v>
      </c>
      <c r="C2804" s="8">
        <v>483.43</v>
      </c>
      <c r="D2804" s="8">
        <v>719.44</v>
      </c>
      <c r="E2804" s="8"/>
      <c r="F2804" s="8"/>
      <c r="G2804" s="8"/>
      <c r="H2804" s="8"/>
      <c r="I2804" s="8"/>
      <c r="J2804" s="8"/>
      <c r="K2804" s="8"/>
      <c r="L2804" s="8"/>
      <c r="M2804" s="8">
        <v>3.59</v>
      </c>
      <c r="N2804" s="8"/>
      <c r="O2804" s="8"/>
      <c r="P2804" s="8"/>
      <c r="Q2804" s="11"/>
      <c r="R2804" s="11"/>
      <c r="S2804" s="8">
        <v>4.18</v>
      </c>
      <c r="T2804" s="8"/>
      <c r="U2804" s="8">
        <v>8.99</v>
      </c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>
        <v>14.32</v>
      </c>
      <c r="AN2804" s="8"/>
      <c r="AO2804" s="8"/>
      <c r="AP2804" s="11"/>
      <c r="AQ2804" s="8"/>
      <c r="AR2804" s="8"/>
      <c r="AS2804" s="8"/>
      <c r="AT2804" s="8">
        <v>205.75</v>
      </c>
      <c r="AU2804" s="8">
        <v>103.19</v>
      </c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>
        <v>18.96</v>
      </c>
      <c r="BH2804" s="9">
        <f t="shared" si="387"/>
        <v>1202.8700000000001</v>
      </c>
      <c r="BI2804" s="9">
        <f t="shared" si="388"/>
        <v>3.59</v>
      </c>
      <c r="BJ2804" s="9">
        <f t="shared" si="389"/>
        <v>4.18</v>
      </c>
      <c r="BK2804" s="9">
        <f t="shared" si="390"/>
        <v>8.99</v>
      </c>
      <c r="BL2804" s="9">
        <f t="shared" si="391"/>
        <v>0</v>
      </c>
      <c r="BM2804" s="9">
        <f t="shared" si="392"/>
        <v>14.32</v>
      </c>
      <c r="BN2804" s="9">
        <f t="shared" si="393"/>
        <v>308.94</v>
      </c>
      <c r="BO2804" s="9">
        <f t="shared" si="394"/>
        <v>0</v>
      </c>
      <c r="BP2804" s="9">
        <f t="shared" si="395"/>
        <v>0</v>
      </c>
    </row>
    <row r="2805" spans="1:68">
      <c r="A2805" s="6">
        <v>45050</v>
      </c>
      <c r="B2805" s="7">
        <v>3702</v>
      </c>
      <c r="C2805" s="8">
        <v>644.64</v>
      </c>
      <c r="D2805" s="8">
        <v>433.47</v>
      </c>
      <c r="E2805" s="8"/>
      <c r="F2805" s="8"/>
      <c r="G2805" s="8"/>
      <c r="H2805" s="8"/>
      <c r="I2805" s="8"/>
      <c r="J2805" s="8"/>
      <c r="K2805" s="8"/>
      <c r="L2805" s="8"/>
      <c r="M2805" s="8">
        <v>2.17</v>
      </c>
      <c r="N2805" s="8"/>
      <c r="O2805" s="8"/>
      <c r="P2805" s="8"/>
      <c r="Q2805" s="11"/>
      <c r="R2805" s="11"/>
      <c r="S2805" s="8">
        <v>5.07</v>
      </c>
      <c r="T2805" s="8"/>
      <c r="U2805" s="8">
        <v>8.18</v>
      </c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11"/>
      <c r="AQ2805" s="8"/>
      <c r="AR2805" s="8"/>
      <c r="AS2805" s="8"/>
      <c r="AT2805" s="8">
        <v>261.57</v>
      </c>
      <c r="AU2805" s="8">
        <v>132.27000000000001</v>
      </c>
      <c r="AV2805" s="8"/>
      <c r="AW2805" s="8">
        <v>2.35</v>
      </c>
      <c r="AX2805" s="8"/>
      <c r="AY2805" s="8"/>
      <c r="AZ2805" s="8"/>
      <c r="BA2805" s="8"/>
      <c r="BB2805" s="8"/>
      <c r="BC2805" s="8"/>
      <c r="BD2805" s="8"/>
      <c r="BE2805" s="8"/>
      <c r="BF2805" s="8"/>
      <c r="BG2805" s="8">
        <v>27.69</v>
      </c>
      <c r="BH2805" s="9">
        <f t="shared" si="387"/>
        <v>1078.1100000000001</v>
      </c>
      <c r="BI2805" s="9">
        <f t="shared" si="388"/>
        <v>2.17</v>
      </c>
      <c r="BJ2805" s="9">
        <f t="shared" si="389"/>
        <v>5.07</v>
      </c>
      <c r="BK2805" s="9">
        <f t="shared" si="390"/>
        <v>8.18</v>
      </c>
      <c r="BL2805" s="9">
        <f t="shared" si="391"/>
        <v>0</v>
      </c>
      <c r="BM2805" s="9">
        <f t="shared" si="392"/>
        <v>0</v>
      </c>
      <c r="BN2805" s="9">
        <f t="shared" si="393"/>
        <v>393.84000000000003</v>
      </c>
      <c r="BO2805" s="9">
        <f t="shared" si="394"/>
        <v>2.35</v>
      </c>
      <c r="BP2805" s="9">
        <f t="shared" si="395"/>
        <v>0</v>
      </c>
    </row>
    <row r="2806" spans="1:68">
      <c r="A2806" s="6">
        <v>45050</v>
      </c>
      <c r="B2806" s="7">
        <v>3310</v>
      </c>
      <c r="C2806" s="8"/>
      <c r="D2806" s="8">
        <v>1110.18</v>
      </c>
      <c r="E2806" s="8"/>
      <c r="F2806" s="8"/>
      <c r="G2806" s="8"/>
      <c r="H2806" s="8"/>
      <c r="I2806" s="8"/>
      <c r="J2806" s="8"/>
      <c r="K2806" s="8"/>
      <c r="L2806" s="8"/>
      <c r="M2806" s="8">
        <v>2.2200000000000002</v>
      </c>
      <c r="N2806" s="8"/>
      <c r="O2806" s="8"/>
      <c r="P2806" s="8"/>
      <c r="Q2806" s="11"/>
      <c r="R2806" s="11"/>
      <c r="S2806" s="8">
        <v>1.67</v>
      </c>
      <c r="T2806" s="8"/>
      <c r="U2806" s="8">
        <v>9.99</v>
      </c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>
        <v>11.12</v>
      </c>
      <c r="AH2806" s="8"/>
      <c r="AI2806" s="8"/>
      <c r="AJ2806" s="8"/>
      <c r="AK2806" s="8"/>
      <c r="AL2806" s="8"/>
      <c r="AM2806" s="8"/>
      <c r="AN2806" s="8"/>
      <c r="AO2806" s="8"/>
      <c r="AP2806" s="11"/>
      <c r="AQ2806" s="8"/>
      <c r="AR2806" s="8"/>
      <c r="AS2806" s="8"/>
      <c r="AT2806" s="8">
        <v>296.76</v>
      </c>
      <c r="AU2806" s="8">
        <v>148.5</v>
      </c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>
        <v>30.87</v>
      </c>
      <c r="BH2806" s="9">
        <f t="shared" si="387"/>
        <v>1110.18</v>
      </c>
      <c r="BI2806" s="9">
        <f t="shared" si="388"/>
        <v>2.2200000000000002</v>
      </c>
      <c r="BJ2806" s="9">
        <f t="shared" si="389"/>
        <v>1.67</v>
      </c>
      <c r="BK2806" s="9">
        <f t="shared" si="390"/>
        <v>9.99</v>
      </c>
      <c r="BL2806" s="9">
        <f t="shared" si="391"/>
        <v>0</v>
      </c>
      <c r="BM2806" s="9">
        <f t="shared" si="392"/>
        <v>11.12</v>
      </c>
      <c r="BN2806" s="9">
        <f t="shared" si="393"/>
        <v>445.26</v>
      </c>
      <c r="BO2806" s="9">
        <f t="shared" si="394"/>
        <v>0</v>
      </c>
      <c r="BP2806" s="9">
        <f t="shared" si="395"/>
        <v>0</v>
      </c>
    </row>
    <row r="2807" spans="1:68">
      <c r="A2807" s="6">
        <v>45050</v>
      </c>
      <c r="B2807" s="7">
        <v>3304</v>
      </c>
      <c r="C2807" s="8"/>
      <c r="D2807" s="8">
        <v>1056.0999999999999</v>
      </c>
      <c r="E2807" s="8"/>
      <c r="F2807" s="8"/>
      <c r="G2807" s="8"/>
      <c r="H2807" s="8"/>
      <c r="I2807" s="8"/>
      <c r="J2807" s="8"/>
      <c r="K2807" s="8"/>
      <c r="L2807" s="8"/>
      <c r="M2807" s="8">
        <v>2.11</v>
      </c>
      <c r="N2807" s="8"/>
      <c r="O2807" s="8"/>
      <c r="P2807" s="8"/>
      <c r="Q2807" s="11"/>
      <c r="R2807" s="11"/>
      <c r="S2807" s="8">
        <v>1.59</v>
      </c>
      <c r="T2807" s="8"/>
      <c r="U2807" s="8">
        <v>9.52</v>
      </c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>
        <v>10.57</v>
      </c>
      <c r="AH2807" s="8"/>
      <c r="AI2807" s="8"/>
      <c r="AJ2807" s="8"/>
      <c r="AK2807" s="8"/>
      <c r="AL2807" s="8"/>
      <c r="AM2807" s="8"/>
      <c r="AN2807" s="8"/>
      <c r="AO2807" s="8"/>
      <c r="AP2807" s="11"/>
      <c r="AQ2807" s="8"/>
      <c r="AR2807" s="8"/>
      <c r="AS2807" s="8"/>
      <c r="AT2807" s="8">
        <v>281.66000000000003</v>
      </c>
      <c r="AU2807" s="8">
        <v>141.13999999999999</v>
      </c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>
        <v>29.37</v>
      </c>
      <c r="BH2807" s="9">
        <f t="shared" si="387"/>
        <v>1056.0999999999999</v>
      </c>
      <c r="BI2807" s="9">
        <f t="shared" si="388"/>
        <v>2.11</v>
      </c>
      <c r="BJ2807" s="9">
        <f t="shared" si="389"/>
        <v>1.59</v>
      </c>
      <c r="BK2807" s="9">
        <f t="shared" si="390"/>
        <v>9.52</v>
      </c>
      <c r="BL2807" s="9">
        <f t="shared" si="391"/>
        <v>0</v>
      </c>
      <c r="BM2807" s="9">
        <f t="shared" si="392"/>
        <v>10.57</v>
      </c>
      <c r="BN2807" s="9">
        <f t="shared" si="393"/>
        <v>422.8</v>
      </c>
      <c r="BO2807" s="9">
        <f t="shared" si="394"/>
        <v>0</v>
      </c>
      <c r="BP2807" s="9">
        <f t="shared" si="395"/>
        <v>0</v>
      </c>
    </row>
    <row r="2808" spans="1:68">
      <c r="A2808" s="6">
        <v>45050</v>
      </c>
      <c r="B2808" s="7">
        <v>3302</v>
      </c>
      <c r="C2808" s="8"/>
      <c r="D2808" s="8">
        <f>98.26+811.61</f>
        <v>909.87</v>
      </c>
      <c r="E2808" s="8"/>
      <c r="F2808" s="8"/>
      <c r="G2808" s="8"/>
      <c r="H2808" s="8"/>
      <c r="I2808" s="8"/>
      <c r="J2808" s="8"/>
      <c r="K2808" s="8"/>
      <c r="L2808" s="8"/>
      <c r="M2808" s="8">
        <f>0.15+1.1</f>
        <v>1.25</v>
      </c>
      <c r="N2808" s="8"/>
      <c r="O2808" s="8"/>
      <c r="P2808" s="8"/>
      <c r="Q2808" s="11"/>
      <c r="R2808" s="11"/>
      <c r="S2808" s="8">
        <f>0.72+6.09</f>
        <v>6.81</v>
      </c>
      <c r="T2808" s="8"/>
      <c r="U2808" s="8">
        <f>0.98+8.11</f>
        <v>9.09</v>
      </c>
      <c r="V2808" s="8"/>
      <c r="W2808" s="8"/>
      <c r="X2808" s="8"/>
      <c r="Y2808" s="8"/>
      <c r="Z2808" s="8"/>
      <c r="AA2808" s="8"/>
      <c r="AB2808" s="8"/>
      <c r="AC2808" s="8">
        <f>0.59+4.87</f>
        <v>5.46</v>
      </c>
      <c r="AD2808" s="8"/>
      <c r="AE2808" s="8"/>
      <c r="AF2808" s="8"/>
      <c r="AG2808" s="8">
        <f>0.98+8.12</f>
        <v>9.1</v>
      </c>
      <c r="AH2808" s="8"/>
      <c r="AI2808" s="8"/>
      <c r="AJ2808" s="8"/>
      <c r="AK2808" s="8"/>
      <c r="AL2808" s="8"/>
      <c r="AM2808" s="8"/>
      <c r="AN2808" s="8"/>
      <c r="AO2808" s="8"/>
      <c r="AP2808" s="11"/>
      <c r="AQ2808" s="8"/>
      <c r="AR2808" s="8"/>
      <c r="AS2808" s="8"/>
      <c r="AT2808" s="8"/>
      <c r="AU2808" s="8">
        <f>47.21+406.62</f>
        <v>453.83</v>
      </c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>
        <f>29.22+3.51</f>
        <v>32.729999999999997</v>
      </c>
      <c r="BH2808" s="9">
        <f t="shared" si="387"/>
        <v>909.87</v>
      </c>
      <c r="BI2808" s="9">
        <f t="shared" si="388"/>
        <v>1.25</v>
      </c>
      <c r="BJ2808" s="9">
        <f t="shared" si="389"/>
        <v>6.81</v>
      </c>
      <c r="BK2808" s="9">
        <f t="shared" si="390"/>
        <v>9.09</v>
      </c>
      <c r="BL2808" s="9">
        <f t="shared" si="391"/>
        <v>0</v>
      </c>
      <c r="BM2808" s="9">
        <f t="shared" si="392"/>
        <v>14.559999999999999</v>
      </c>
      <c r="BN2808" s="9">
        <f t="shared" si="393"/>
        <v>453.83</v>
      </c>
      <c r="BO2808" s="9">
        <f t="shared" si="394"/>
        <v>0</v>
      </c>
      <c r="BP2808" s="9">
        <f t="shared" si="395"/>
        <v>0</v>
      </c>
    </row>
    <row r="2809" spans="1:68">
      <c r="A2809" s="6">
        <v>45051</v>
      </c>
      <c r="B2809" s="7">
        <v>3601</v>
      </c>
      <c r="C2809" s="8">
        <v>294.29000000000002</v>
      </c>
      <c r="D2809" s="8"/>
      <c r="E2809" s="8"/>
      <c r="F2809" s="8"/>
      <c r="G2809" s="8">
        <v>441</v>
      </c>
      <c r="H2809" s="8"/>
      <c r="I2809" s="8"/>
      <c r="J2809" s="8"/>
      <c r="K2809" s="8"/>
      <c r="L2809" s="8"/>
      <c r="M2809" s="8">
        <v>0.87</v>
      </c>
      <c r="N2809" s="8"/>
      <c r="O2809" s="8"/>
      <c r="P2809" s="8"/>
      <c r="Q2809" s="11"/>
      <c r="R2809" s="11"/>
      <c r="S2809" s="8">
        <v>3.53</v>
      </c>
      <c r="T2809" s="8"/>
      <c r="U2809" s="8">
        <v>4.41</v>
      </c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11"/>
      <c r="AQ2809" s="8"/>
      <c r="AR2809" s="8"/>
      <c r="AS2809" s="8"/>
      <c r="AT2809" s="8">
        <v>359.13</v>
      </c>
      <c r="AU2809" s="8"/>
      <c r="AV2809" s="8"/>
      <c r="AW2809" s="8">
        <v>22.37</v>
      </c>
      <c r="AX2809" s="8"/>
      <c r="AY2809" s="8"/>
      <c r="AZ2809" s="8"/>
      <c r="BA2809" s="8"/>
      <c r="BB2809" s="8"/>
      <c r="BC2809" s="8"/>
      <c r="BD2809" s="8"/>
      <c r="BE2809" s="8"/>
      <c r="BF2809" s="8">
        <v>41.25</v>
      </c>
      <c r="BG2809" s="8">
        <v>26.26</v>
      </c>
      <c r="BH2809" s="9">
        <f t="shared" si="387"/>
        <v>735.29</v>
      </c>
      <c r="BI2809" s="9">
        <f t="shared" si="388"/>
        <v>0.87</v>
      </c>
      <c r="BJ2809" s="9">
        <f t="shared" si="389"/>
        <v>3.53</v>
      </c>
      <c r="BK2809" s="9">
        <f t="shared" si="390"/>
        <v>4.41</v>
      </c>
      <c r="BL2809" s="9">
        <f t="shared" si="391"/>
        <v>0</v>
      </c>
      <c r="BM2809" s="9">
        <f t="shared" si="392"/>
        <v>0</v>
      </c>
      <c r="BN2809" s="9">
        <f t="shared" si="393"/>
        <v>359.13</v>
      </c>
      <c r="BO2809" s="9">
        <f t="shared" si="394"/>
        <v>22.37</v>
      </c>
      <c r="BP2809" s="9">
        <f t="shared" si="395"/>
        <v>41.25</v>
      </c>
    </row>
    <row r="2810" spans="1:68">
      <c r="A2810" s="6">
        <v>45051</v>
      </c>
      <c r="B2810" s="7">
        <v>3602</v>
      </c>
      <c r="C2810" s="8">
        <v>559.45000000000005</v>
      </c>
      <c r="D2810" s="8"/>
      <c r="E2810" s="8"/>
      <c r="F2810" s="8"/>
      <c r="G2810" s="8">
        <v>838.91</v>
      </c>
      <c r="H2810" s="8"/>
      <c r="I2810" s="8"/>
      <c r="J2810" s="8"/>
      <c r="K2810" s="8"/>
      <c r="L2810" s="8"/>
      <c r="M2810" s="8">
        <v>1.45</v>
      </c>
      <c r="N2810" s="8"/>
      <c r="O2810" s="8"/>
      <c r="P2810" s="8"/>
      <c r="Q2810" s="11"/>
      <c r="R2810" s="11"/>
      <c r="S2810" s="8">
        <v>6.71</v>
      </c>
      <c r="T2810" s="8"/>
      <c r="U2810" s="8">
        <v>11.2</v>
      </c>
      <c r="V2810" s="8">
        <f>858*0.016</f>
        <v>13.728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11"/>
      <c r="AQ2810" s="8"/>
      <c r="AR2810" s="8"/>
      <c r="AS2810" s="8"/>
      <c r="AT2810" s="8">
        <v>563.5</v>
      </c>
      <c r="AU2810" s="8"/>
      <c r="AV2810" s="8"/>
      <c r="AW2810" s="8">
        <v>36.18</v>
      </c>
      <c r="AX2810" s="8"/>
      <c r="AY2810" s="8"/>
      <c r="AZ2810" s="8"/>
      <c r="BA2810" s="8"/>
      <c r="BB2810" s="8"/>
      <c r="BC2810" s="8"/>
      <c r="BD2810" s="8"/>
      <c r="BE2810" s="8"/>
      <c r="BF2810" s="8">
        <v>44.8</v>
      </c>
      <c r="BG2810" s="8">
        <v>41.95</v>
      </c>
      <c r="BH2810" s="9">
        <f t="shared" si="387"/>
        <v>1398.3600000000001</v>
      </c>
      <c r="BI2810" s="9">
        <f t="shared" si="388"/>
        <v>1.45</v>
      </c>
      <c r="BJ2810" s="9">
        <f t="shared" si="389"/>
        <v>6.71</v>
      </c>
      <c r="BK2810" s="9">
        <f t="shared" si="390"/>
        <v>24.927999999999997</v>
      </c>
      <c r="BL2810" s="9">
        <f t="shared" si="391"/>
        <v>0</v>
      </c>
      <c r="BM2810" s="9">
        <f t="shared" si="392"/>
        <v>0</v>
      </c>
      <c r="BN2810" s="9">
        <f t="shared" si="393"/>
        <v>563.5</v>
      </c>
      <c r="BO2810" s="9">
        <f t="shared" si="394"/>
        <v>36.18</v>
      </c>
      <c r="BP2810" s="9">
        <f t="shared" si="395"/>
        <v>44.8</v>
      </c>
    </row>
    <row r="2811" spans="1:68">
      <c r="A2811" s="6">
        <v>45051</v>
      </c>
      <c r="B2811" s="7">
        <v>3801</v>
      </c>
      <c r="C2811" s="8">
        <v>286.41000000000003</v>
      </c>
      <c r="D2811" s="8"/>
      <c r="E2811" s="8"/>
      <c r="F2811" s="8"/>
      <c r="G2811" s="8"/>
      <c r="H2811" s="8"/>
      <c r="I2811" s="8"/>
      <c r="J2811" s="8"/>
      <c r="K2811" s="8"/>
      <c r="L2811" s="8">
        <f>41299*5.55/1000</f>
        <v>229.20944999999998</v>
      </c>
      <c r="M2811" s="8"/>
      <c r="N2811" s="8">
        <v>0.57999999999999996</v>
      </c>
      <c r="O2811" s="8"/>
      <c r="P2811" s="8"/>
      <c r="Q2811" s="11"/>
      <c r="R2811" s="11"/>
      <c r="S2811" s="8">
        <v>2.29</v>
      </c>
      <c r="T2811" s="8"/>
      <c r="U2811" s="8">
        <v>2.5</v>
      </c>
      <c r="V2811" s="8"/>
      <c r="W2811" s="8"/>
      <c r="X2811" s="8"/>
      <c r="Y2811" s="8"/>
      <c r="Z2811" s="8">
        <v>41.69</v>
      </c>
      <c r="AA2811" s="8">
        <f>3018*5.55/1000</f>
        <v>16.749899999999997</v>
      </c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11"/>
      <c r="AQ2811" s="8">
        <f>266*5.55/1000</f>
        <v>1.4762999999999999</v>
      </c>
      <c r="AR2811" s="8"/>
      <c r="AS2811" s="8"/>
      <c r="AT2811" s="8">
        <v>203.11</v>
      </c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>
        <v>15.38</v>
      </c>
      <c r="BH2811" s="9">
        <f t="shared" si="387"/>
        <v>515.61945000000003</v>
      </c>
      <c r="BI2811" s="9">
        <f t="shared" si="388"/>
        <v>0.57999999999999996</v>
      </c>
      <c r="BJ2811" s="9">
        <f t="shared" si="389"/>
        <v>2.29</v>
      </c>
      <c r="BK2811" s="9">
        <f t="shared" si="390"/>
        <v>2.5</v>
      </c>
      <c r="BL2811" s="9">
        <f t="shared" si="391"/>
        <v>58.439899999999994</v>
      </c>
      <c r="BM2811" s="9">
        <f t="shared" si="392"/>
        <v>1.4762999999999999</v>
      </c>
      <c r="BN2811" s="9">
        <f t="shared" si="393"/>
        <v>203.11</v>
      </c>
      <c r="BO2811" s="9">
        <f t="shared" si="394"/>
        <v>0</v>
      </c>
      <c r="BP2811" s="9">
        <f t="shared" si="395"/>
        <v>0</v>
      </c>
    </row>
    <row r="2812" spans="1:68">
      <c r="A2812" s="6">
        <v>45051</v>
      </c>
      <c r="B2812" s="7">
        <v>3106</v>
      </c>
      <c r="C2812" s="8">
        <v>8190.1</v>
      </c>
      <c r="D2812" s="8"/>
      <c r="E2812" s="8"/>
      <c r="F2812" s="8"/>
      <c r="G2812" s="8"/>
      <c r="H2812" s="8"/>
      <c r="I2812" s="8"/>
      <c r="J2812" s="8"/>
      <c r="K2812" s="8"/>
      <c r="L2812" s="8"/>
      <c r="M2812" s="8">
        <v>21.39</v>
      </c>
      <c r="N2812" s="8"/>
      <c r="O2812" s="8"/>
      <c r="P2812" s="8"/>
      <c r="Q2812" s="11"/>
      <c r="R2812" s="11"/>
      <c r="S2812" s="8">
        <v>24.59</v>
      </c>
      <c r="T2812" s="8"/>
      <c r="U2812" s="8">
        <v>104.11</v>
      </c>
      <c r="V2812" s="8"/>
      <c r="W2812" s="8"/>
      <c r="X2812" s="8"/>
      <c r="Y2812" s="8"/>
      <c r="Z2812" s="8"/>
      <c r="AA2812" s="8"/>
      <c r="AB2812" s="8"/>
      <c r="AC2812" s="8">
        <v>20.46</v>
      </c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11"/>
      <c r="AQ2812" s="8"/>
      <c r="AR2812" s="8"/>
      <c r="AS2812" s="8"/>
      <c r="AT2812" s="8">
        <v>4665.47</v>
      </c>
      <c r="AU2812" s="8"/>
      <c r="AV2812" s="8"/>
      <c r="AW2812" s="8"/>
      <c r="AX2812" s="8">
        <v>10.23</v>
      </c>
      <c r="AY2812" s="8"/>
      <c r="AZ2812" s="8"/>
      <c r="BA2812" s="8"/>
      <c r="BB2812" s="8"/>
      <c r="BC2812" s="8"/>
      <c r="BD2812" s="8"/>
      <c r="BE2812" s="8"/>
      <c r="BF2812" s="8"/>
      <c r="BG2812" s="8">
        <v>352.16</v>
      </c>
      <c r="BH2812" s="9">
        <f t="shared" si="387"/>
        <v>8190.1</v>
      </c>
      <c r="BI2812" s="9">
        <f t="shared" si="388"/>
        <v>21.39</v>
      </c>
      <c r="BJ2812" s="9">
        <f t="shared" si="389"/>
        <v>24.59</v>
      </c>
      <c r="BK2812" s="9">
        <f t="shared" si="390"/>
        <v>104.11</v>
      </c>
      <c r="BL2812" s="9">
        <f t="shared" si="391"/>
        <v>0</v>
      </c>
      <c r="BM2812" s="9">
        <f t="shared" si="392"/>
        <v>20.46</v>
      </c>
      <c r="BN2812" s="9">
        <f t="shared" si="393"/>
        <v>4665.47</v>
      </c>
      <c r="BO2812" s="9">
        <f t="shared" si="394"/>
        <v>10.23</v>
      </c>
      <c r="BP2812" s="9">
        <f t="shared" si="395"/>
        <v>0</v>
      </c>
    </row>
    <row r="2813" spans="1:68">
      <c r="A2813" s="6">
        <v>45051</v>
      </c>
      <c r="B2813" s="7">
        <v>3016</v>
      </c>
      <c r="C2813" s="8"/>
      <c r="D2813" s="8">
        <v>2403.9499999999998</v>
      </c>
      <c r="E2813" s="8"/>
      <c r="F2813" s="8"/>
      <c r="G2813" s="8"/>
      <c r="H2813" s="8"/>
      <c r="I2813" s="8">
        <v>2218.52</v>
      </c>
      <c r="J2813" s="8"/>
      <c r="K2813" s="8"/>
      <c r="L2813" s="8"/>
      <c r="M2813" s="8"/>
      <c r="N2813" s="8">
        <v>28.67</v>
      </c>
      <c r="O2813" s="8"/>
      <c r="P2813" s="8"/>
      <c r="Q2813" s="11"/>
      <c r="R2813" s="11"/>
      <c r="S2813" s="8">
        <v>3.23</v>
      </c>
      <c r="T2813" s="8"/>
      <c r="U2813" s="8"/>
      <c r="V2813" s="8"/>
      <c r="W2813" s="8">
        <v>46.28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>
        <v>18.489999999999998</v>
      </c>
      <c r="AN2813" s="8">
        <f>2050*27.2/1000</f>
        <v>55.76</v>
      </c>
      <c r="AO2813" s="8"/>
      <c r="AP2813" s="11"/>
      <c r="AQ2813" s="8"/>
      <c r="AR2813" s="8"/>
      <c r="AS2813" s="8"/>
      <c r="AT2813" s="8">
        <v>1719.02</v>
      </c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>
        <v>125.8</v>
      </c>
      <c r="BH2813" s="9">
        <f t="shared" si="387"/>
        <v>4622.4699999999993</v>
      </c>
      <c r="BI2813" s="9">
        <f t="shared" si="388"/>
        <v>28.67</v>
      </c>
      <c r="BJ2813" s="9">
        <f t="shared" si="389"/>
        <v>3.23</v>
      </c>
      <c r="BK2813" s="9">
        <f t="shared" si="390"/>
        <v>46.28</v>
      </c>
      <c r="BL2813" s="9">
        <f t="shared" si="391"/>
        <v>0</v>
      </c>
      <c r="BM2813" s="9">
        <f t="shared" si="392"/>
        <v>74.25</v>
      </c>
      <c r="BN2813" s="9">
        <f t="shared" si="393"/>
        <v>1719.02</v>
      </c>
      <c r="BO2813" s="9">
        <f t="shared" si="394"/>
        <v>0</v>
      </c>
      <c r="BP2813" s="9">
        <f t="shared" si="395"/>
        <v>0</v>
      </c>
    </row>
    <row r="2814" spans="1:68">
      <c r="A2814" s="6">
        <v>45051</v>
      </c>
      <c r="B2814" s="7">
        <v>3020</v>
      </c>
      <c r="C2814" s="8"/>
      <c r="D2814" s="8">
        <v>177.49</v>
      </c>
      <c r="E2814" s="8"/>
      <c r="F2814" s="8"/>
      <c r="G2814" s="8"/>
      <c r="H2814" s="8"/>
      <c r="I2814" s="8">
        <v>1003.76</v>
      </c>
      <c r="J2814" s="8"/>
      <c r="K2814" s="8"/>
      <c r="L2814" s="8"/>
      <c r="M2814" s="8"/>
      <c r="N2814" s="8">
        <v>7.2</v>
      </c>
      <c r="O2814" s="8"/>
      <c r="P2814" s="8"/>
      <c r="Q2814" s="11"/>
      <c r="R2814" s="11"/>
      <c r="S2814" s="8">
        <v>2.12</v>
      </c>
      <c r="T2814" s="8"/>
      <c r="U2814" s="8"/>
      <c r="V2814" s="8"/>
      <c r="W2814" s="8">
        <v>11.82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>
        <v>11.8</v>
      </c>
      <c r="AN2814" s="8"/>
      <c r="AO2814" s="8"/>
      <c r="AP2814" s="11"/>
      <c r="AQ2814" s="8"/>
      <c r="AR2814" s="8"/>
      <c r="AS2814" s="8">
        <f>3010*9.83/1000</f>
        <v>29.5883</v>
      </c>
      <c r="AT2814" s="8">
        <v>580.55999999999995</v>
      </c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>
        <v>42.69</v>
      </c>
      <c r="BH2814" s="9">
        <f t="shared" si="387"/>
        <v>1181.25</v>
      </c>
      <c r="BI2814" s="9">
        <f t="shared" si="388"/>
        <v>7.2</v>
      </c>
      <c r="BJ2814" s="9">
        <f t="shared" si="389"/>
        <v>2.12</v>
      </c>
      <c r="BK2814" s="9">
        <f t="shared" si="390"/>
        <v>11.82</v>
      </c>
      <c r="BL2814" s="9">
        <f t="shared" si="391"/>
        <v>0</v>
      </c>
      <c r="BM2814" s="9">
        <f t="shared" si="392"/>
        <v>41.388300000000001</v>
      </c>
      <c r="BN2814" s="9">
        <f t="shared" si="393"/>
        <v>580.55999999999995</v>
      </c>
      <c r="BO2814" s="9">
        <f t="shared" si="394"/>
        <v>0</v>
      </c>
      <c r="BP2814" s="9">
        <f t="shared" si="395"/>
        <v>0</v>
      </c>
    </row>
    <row r="2815" spans="1:68">
      <c r="A2815" s="6">
        <v>45051</v>
      </c>
      <c r="B2815" s="7">
        <v>3028</v>
      </c>
      <c r="C2815" s="8"/>
      <c r="D2815" s="8">
        <v>764.72</v>
      </c>
      <c r="E2815" s="8"/>
      <c r="F2815" s="8">
        <v>706.31</v>
      </c>
      <c r="G2815" s="8"/>
      <c r="H2815" s="8"/>
      <c r="I2815" s="8">
        <v>1599</v>
      </c>
      <c r="J2815" s="8"/>
      <c r="K2815" s="8"/>
      <c r="L2815" s="8"/>
      <c r="M2815" s="8"/>
      <c r="N2815" s="8">
        <v>23.6</v>
      </c>
      <c r="O2815" s="8"/>
      <c r="P2815" s="8"/>
      <c r="Q2815" s="11"/>
      <c r="R2815" s="11"/>
      <c r="S2815" s="8">
        <v>4.3</v>
      </c>
      <c r="T2815" s="8"/>
      <c r="U2815" s="8"/>
      <c r="V2815" s="8"/>
      <c r="W2815" s="8">
        <v>23.02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>
        <v>30.73</v>
      </c>
      <c r="AN2815" s="8">
        <f>1035*20.47/1000</f>
        <v>21.186449999999997</v>
      </c>
      <c r="AO2815" s="8"/>
      <c r="AP2815" s="11"/>
      <c r="AQ2815" s="8"/>
      <c r="AR2815" s="8"/>
      <c r="AS2815" s="8">
        <f>4971*20.47/1000</f>
        <v>101.75636999999999</v>
      </c>
      <c r="AT2815" s="8">
        <v>1023.52</v>
      </c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>
        <v>69.959999999999994</v>
      </c>
      <c r="BH2815" s="9">
        <f t="shared" si="387"/>
        <v>3070.0299999999997</v>
      </c>
      <c r="BI2815" s="9">
        <f t="shared" si="388"/>
        <v>23.6</v>
      </c>
      <c r="BJ2815" s="9">
        <f t="shared" si="389"/>
        <v>4.3</v>
      </c>
      <c r="BK2815" s="9">
        <f t="shared" si="390"/>
        <v>23.02</v>
      </c>
      <c r="BL2815" s="9">
        <f t="shared" si="391"/>
        <v>0</v>
      </c>
      <c r="BM2815" s="9">
        <f t="shared" si="392"/>
        <v>153.67282</v>
      </c>
      <c r="BN2815" s="9">
        <f t="shared" si="393"/>
        <v>1023.52</v>
      </c>
      <c r="BO2815" s="9">
        <f t="shared" si="394"/>
        <v>0</v>
      </c>
      <c r="BP2815" s="9">
        <f t="shared" si="395"/>
        <v>0</v>
      </c>
    </row>
    <row r="2816" spans="1:68">
      <c r="A2816" s="6">
        <v>45052</v>
      </c>
      <c r="B2816" s="7">
        <v>3145</v>
      </c>
      <c r="C2816" s="8">
        <v>2433.37</v>
      </c>
      <c r="D2816" s="8">
        <v>429.56</v>
      </c>
      <c r="E2816" s="8"/>
      <c r="F2816" s="8"/>
      <c r="G2816" s="8"/>
      <c r="H2816" s="8"/>
      <c r="I2816" s="8"/>
      <c r="J2816" s="8"/>
      <c r="K2816" s="8"/>
      <c r="L2816" s="8"/>
      <c r="M2816" s="8">
        <v>8.2100000000000009</v>
      </c>
      <c r="N2816" s="8"/>
      <c r="O2816" s="8"/>
      <c r="P2816" s="8"/>
      <c r="Q2816" s="11"/>
      <c r="R2816" s="11"/>
      <c r="S2816" s="8">
        <v>13.48</v>
      </c>
      <c r="T2816" s="8"/>
      <c r="U2816" s="8">
        <v>42.98</v>
      </c>
      <c r="V2816" s="8"/>
      <c r="W2816" s="8"/>
      <c r="X2816" s="8"/>
      <c r="Y2816" s="8"/>
      <c r="Z2816" s="8"/>
      <c r="AA2816" s="8"/>
      <c r="AB2816" s="8"/>
      <c r="AC2816" s="8">
        <v>11.46</v>
      </c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11"/>
      <c r="AQ2816" s="8"/>
      <c r="AR2816" s="8"/>
      <c r="AS2816" s="8"/>
      <c r="AT2816" s="8">
        <v>1877.71</v>
      </c>
      <c r="AU2816" s="8"/>
      <c r="AV2816" s="8"/>
      <c r="AW2816" s="8"/>
      <c r="AX2816" s="8"/>
      <c r="AY2816" s="8"/>
      <c r="AZ2816" s="8"/>
      <c r="BA2816" s="8"/>
      <c r="BB2816" s="8"/>
      <c r="BC2816" s="8"/>
      <c r="BD2816" s="8">
        <v>7.16</v>
      </c>
      <c r="BE2816" s="8">
        <f>1373*19.1/1000</f>
        <v>26.224300000000003</v>
      </c>
      <c r="BF2816" s="8">
        <v>200.68</v>
      </c>
      <c r="BG2816" s="8">
        <v>149.13</v>
      </c>
      <c r="BH2816" s="9">
        <f t="shared" si="387"/>
        <v>2862.93</v>
      </c>
      <c r="BI2816" s="9">
        <f t="shared" si="388"/>
        <v>8.2100000000000009</v>
      </c>
      <c r="BJ2816" s="9">
        <f t="shared" si="389"/>
        <v>13.48</v>
      </c>
      <c r="BK2816" s="9">
        <f t="shared" si="390"/>
        <v>42.98</v>
      </c>
      <c r="BL2816" s="9">
        <f t="shared" si="391"/>
        <v>0</v>
      </c>
      <c r="BM2816" s="9">
        <f t="shared" si="392"/>
        <v>11.46</v>
      </c>
      <c r="BN2816" s="9">
        <f t="shared" si="393"/>
        <v>1877.71</v>
      </c>
      <c r="BO2816" s="9">
        <f t="shared" si="394"/>
        <v>33.384300000000003</v>
      </c>
      <c r="BP2816" s="9">
        <f t="shared" si="395"/>
        <v>200.68</v>
      </c>
    </row>
    <row r="2817" spans="1:68">
      <c r="A2817" s="6">
        <v>45052</v>
      </c>
      <c r="B2817" s="7">
        <v>3141</v>
      </c>
      <c r="C2817" s="8">
        <v>1225.0999999999999</v>
      </c>
      <c r="D2817" s="8">
        <v>216.2</v>
      </c>
      <c r="E2817" s="8"/>
      <c r="F2817" s="8"/>
      <c r="G2817" s="8"/>
      <c r="H2817" s="8"/>
      <c r="I2817" s="8"/>
      <c r="J2817" s="8"/>
      <c r="K2817" s="8"/>
      <c r="L2817" s="8"/>
      <c r="M2817" s="8">
        <v>4.05</v>
      </c>
      <c r="N2817" s="8"/>
      <c r="O2817" s="8"/>
      <c r="P2817" s="8"/>
      <c r="Q2817" s="11"/>
      <c r="R2817" s="11"/>
      <c r="S2817" s="8">
        <v>6.78</v>
      </c>
      <c r="T2817" s="8"/>
      <c r="U2817" s="8">
        <v>21.63</v>
      </c>
      <c r="V2817" s="8"/>
      <c r="W2817" s="8"/>
      <c r="X2817" s="8"/>
      <c r="Y2817" s="8"/>
      <c r="Z2817" s="8"/>
      <c r="AA2817" s="8"/>
      <c r="AB2817" s="8"/>
      <c r="AC2817" s="8">
        <v>5.77</v>
      </c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11"/>
      <c r="AQ2817" s="8"/>
      <c r="AR2817" s="8"/>
      <c r="AS2817" s="8"/>
      <c r="AT2817" s="8">
        <v>946.25</v>
      </c>
      <c r="AU2817" s="8"/>
      <c r="AV2817" s="8"/>
      <c r="AW2817" s="8"/>
      <c r="AX2817" s="8"/>
      <c r="AY2817" s="8"/>
      <c r="AZ2817" s="8"/>
      <c r="BA2817" s="8">
        <v>33.049999999999997</v>
      </c>
      <c r="BB2817" s="8"/>
      <c r="BC2817" s="8"/>
      <c r="BD2817" s="8"/>
      <c r="BE2817" s="8"/>
      <c r="BF2817" s="8">
        <v>100.87</v>
      </c>
      <c r="BG2817" s="8">
        <v>75.2</v>
      </c>
      <c r="BH2817" s="9">
        <f t="shared" si="387"/>
        <v>1441.3</v>
      </c>
      <c r="BI2817" s="9">
        <f t="shared" si="388"/>
        <v>4.05</v>
      </c>
      <c r="BJ2817" s="9">
        <f t="shared" si="389"/>
        <v>6.78</v>
      </c>
      <c r="BK2817" s="9">
        <f t="shared" si="390"/>
        <v>21.63</v>
      </c>
      <c r="BL2817" s="9">
        <f t="shared" si="391"/>
        <v>0</v>
      </c>
      <c r="BM2817" s="9">
        <f t="shared" si="392"/>
        <v>5.77</v>
      </c>
      <c r="BN2817" s="9">
        <f t="shared" si="393"/>
        <v>946.25</v>
      </c>
      <c r="BO2817" s="9">
        <f t="shared" si="394"/>
        <v>33.049999999999997</v>
      </c>
      <c r="BP2817" s="9">
        <f t="shared" si="395"/>
        <v>100.87</v>
      </c>
    </row>
    <row r="2818" spans="1:68">
      <c r="A2818" s="6">
        <v>45052</v>
      </c>
      <c r="B2818" s="7">
        <v>3104</v>
      </c>
      <c r="C2818" s="8">
        <v>1496.59</v>
      </c>
      <c r="D2818" s="8"/>
      <c r="E2818" s="8"/>
      <c r="F2818" s="8"/>
      <c r="G2818" s="8"/>
      <c r="H2818" s="8">
        <v>384.36</v>
      </c>
      <c r="I2818" s="8"/>
      <c r="J2818" s="8"/>
      <c r="K2818" s="8"/>
      <c r="L2818" s="8"/>
      <c r="M2818" s="8">
        <v>3.94</v>
      </c>
      <c r="N2818" s="8"/>
      <c r="O2818" s="8"/>
      <c r="P2818" s="8"/>
      <c r="Q2818" s="11"/>
      <c r="R2818" s="11"/>
      <c r="S2818" s="8">
        <v>8.0399999999999991</v>
      </c>
      <c r="T2818" s="8"/>
      <c r="U2818" s="8">
        <v>19.690000000000001</v>
      </c>
      <c r="V2818" s="8"/>
      <c r="W2818" s="8"/>
      <c r="X2818" s="8"/>
      <c r="Y2818" s="8"/>
      <c r="Z2818" s="8"/>
      <c r="AA2818" s="8"/>
      <c r="AB2818" s="8"/>
      <c r="AC2818" s="8">
        <v>6.85</v>
      </c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11"/>
      <c r="AQ2818" s="8"/>
      <c r="AR2818" s="8"/>
      <c r="AS2818" s="8"/>
      <c r="AT2818" s="8">
        <v>1094.44</v>
      </c>
      <c r="AU2818" s="8"/>
      <c r="AV2818" s="8"/>
      <c r="AW2818" s="8"/>
      <c r="AX2818" s="8"/>
      <c r="AY2818" s="8"/>
      <c r="AZ2818" s="8"/>
      <c r="BA2818" s="8">
        <v>38.99</v>
      </c>
      <c r="BB2818" s="8"/>
      <c r="BC2818" s="8"/>
      <c r="BD2818" s="8"/>
      <c r="BE2818" s="8"/>
      <c r="BF2818" s="8">
        <v>34.44</v>
      </c>
      <c r="BG2818" s="8">
        <v>84.63</v>
      </c>
      <c r="BH2818" s="9">
        <f t="shared" si="387"/>
        <v>1880.9499999999998</v>
      </c>
      <c r="BI2818" s="9">
        <f t="shared" si="388"/>
        <v>3.94</v>
      </c>
      <c r="BJ2818" s="9">
        <f t="shared" si="389"/>
        <v>8.0399999999999991</v>
      </c>
      <c r="BK2818" s="9">
        <f t="shared" si="390"/>
        <v>19.690000000000001</v>
      </c>
      <c r="BL2818" s="9">
        <f t="shared" si="391"/>
        <v>0</v>
      </c>
      <c r="BM2818" s="9">
        <f t="shared" si="392"/>
        <v>6.85</v>
      </c>
      <c r="BN2818" s="9">
        <f t="shared" si="393"/>
        <v>1094.44</v>
      </c>
      <c r="BO2818" s="9">
        <f t="shared" si="394"/>
        <v>38.99</v>
      </c>
      <c r="BP2818" s="9">
        <f t="shared" si="395"/>
        <v>34.44</v>
      </c>
    </row>
    <row r="2819" spans="1:68">
      <c r="A2819" s="6">
        <v>45052</v>
      </c>
      <c r="B2819" s="7">
        <v>3106</v>
      </c>
      <c r="C2819" s="8">
        <v>6187.66</v>
      </c>
      <c r="D2819" s="8"/>
      <c r="E2819" s="8"/>
      <c r="F2819" s="8"/>
      <c r="G2819" s="8"/>
      <c r="H2819" s="8"/>
      <c r="I2819" s="8"/>
      <c r="J2819" s="8"/>
      <c r="K2819" s="8"/>
      <c r="L2819" s="8"/>
      <c r="M2819" s="8">
        <v>16.100000000000001</v>
      </c>
      <c r="N2819" s="8"/>
      <c r="O2819" s="8"/>
      <c r="P2819" s="8"/>
      <c r="Q2819" s="11"/>
      <c r="R2819" s="11"/>
      <c r="S2819" s="8">
        <v>18.59</v>
      </c>
      <c r="T2819" s="8"/>
      <c r="U2819" s="8">
        <v>78.66</v>
      </c>
      <c r="V2819" s="8"/>
      <c r="W2819" s="8"/>
      <c r="X2819" s="8"/>
      <c r="Y2819" s="8"/>
      <c r="Z2819" s="8"/>
      <c r="AA2819" s="8"/>
      <c r="AB2819" s="8"/>
      <c r="AC2819" s="8">
        <v>15.47</v>
      </c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11"/>
      <c r="AQ2819" s="8"/>
      <c r="AR2819" s="8"/>
      <c r="AS2819" s="8"/>
      <c r="AT2819" s="8">
        <v>3526.89</v>
      </c>
      <c r="AU2819" s="8"/>
      <c r="AV2819" s="8"/>
      <c r="AW2819" s="8"/>
      <c r="AX2819" s="8">
        <v>7.74</v>
      </c>
      <c r="AY2819" s="8"/>
      <c r="AZ2819" s="8"/>
      <c r="BA2819" s="8"/>
      <c r="BB2819" s="8"/>
      <c r="BC2819" s="8"/>
      <c r="BD2819" s="8"/>
      <c r="BE2819" s="8"/>
      <c r="BF2819" s="8"/>
      <c r="BG2819" s="8">
        <v>266.8</v>
      </c>
      <c r="BH2819" s="9">
        <f t="shared" si="387"/>
        <v>6187.66</v>
      </c>
      <c r="BI2819" s="9">
        <f t="shared" si="388"/>
        <v>16.100000000000001</v>
      </c>
      <c r="BJ2819" s="9">
        <f t="shared" si="389"/>
        <v>18.59</v>
      </c>
      <c r="BK2819" s="9">
        <f t="shared" si="390"/>
        <v>78.66</v>
      </c>
      <c r="BL2819" s="9">
        <f t="shared" si="391"/>
        <v>0</v>
      </c>
      <c r="BM2819" s="9">
        <f t="shared" si="392"/>
        <v>15.47</v>
      </c>
      <c r="BN2819" s="9">
        <f t="shared" si="393"/>
        <v>3526.89</v>
      </c>
      <c r="BO2819" s="9">
        <f t="shared" si="394"/>
        <v>7.74</v>
      </c>
      <c r="BP2819" s="9">
        <f t="shared" si="395"/>
        <v>0</v>
      </c>
    </row>
    <row r="2820" spans="1:68">
      <c r="A2820" s="6">
        <v>45052</v>
      </c>
      <c r="B2820" s="7">
        <v>3081</v>
      </c>
      <c r="C2820" s="8"/>
      <c r="D2820" s="8">
        <v>292.43</v>
      </c>
      <c r="E2820" s="8"/>
      <c r="F2820" s="8">
        <v>326.13</v>
      </c>
      <c r="G2820" s="8"/>
      <c r="H2820" s="8"/>
      <c r="I2820" s="8">
        <v>1196.75</v>
      </c>
      <c r="J2820" s="8"/>
      <c r="K2820" s="8"/>
      <c r="L2820" s="8"/>
      <c r="M2820" s="8"/>
      <c r="N2820" s="8">
        <v>13.36</v>
      </c>
      <c r="O2820" s="8"/>
      <c r="P2820" s="8">
        <f>621*11.8/1000</f>
        <v>7.3277999999999999</v>
      </c>
      <c r="Q2820" s="11"/>
      <c r="R2820" s="11"/>
      <c r="S2820" s="8">
        <v>1.28</v>
      </c>
      <c r="T2820" s="8"/>
      <c r="U2820" s="8"/>
      <c r="V2820" s="8"/>
      <c r="W2820" s="8">
        <v>18.329999999999998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11"/>
      <c r="AQ2820" s="8">
        <f>1567*11.8/1000</f>
        <v>18.490600000000001</v>
      </c>
      <c r="AR2820" s="8">
        <f>4521*11.8/1000</f>
        <v>53.347799999999999</v>
      </c>
      <c r="AS2820" s="8"/>
      <c r="AT2820" s="8">
        <v>571.70000000000005</v>
      </c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>
        <v>37.659999999999997</v>
      </c>
      <c r="BH2820" s="9">
        <f t="shared" ref="BH2820:BH2883" si="396">SUM(C2820:L2820)</f>
        <v>1815.31</v>
      </c>
      <c r="BI2820" s="9">
        <f t="shared" ref="BI2820:BI2883" si="397">SUM(M2820:R2820)</f>
        <v>20.687799999999999</v>
      </c>
      <c r="BJ2820" s="9">
        <f t="shared" ref="BJ2820:BJ2883" si="398">SUM(S2820)</f>
        <v>1.28</v>
      </c>
      <c r="BK2820" s="9">
        <f t="shared" ref="BK2820:BK2883" si="399">SUM(T2820:Y2820)</f>
        <v>18.329999999999998</v>
      </c>
      <c r="BL2820" s="9">
        <f t="shared" ref="BL2820:BL2883" si="400">SUM(Z2820:AA2820)</f>
        <v>0</v>
      </c>
      <c r="BM2820" s="9">
        <f t="shared" ref="BM2820:BM2883" si="401">SUM(AB2820:AS2820)</f>
        <v>71.838400000000007</v>
      </c>
      <c r="BN2820" s="9">
        <f t="shared" ref="BN2820:BN2883" si="402">SUM(AT2820:AU2820)</f>
        <v>571.70000000000005</v>
      </c>
      <c r="BO2820" s="9">
        <f t="shared" ref="BO2820:BO2883" si="403">SUM(AV2820:BE2820)</f>
        <v>0</v>
      </c>
      <c r="BP2820" s="9">
        <f t="shared" ref="BP2820:BP2883" si="404">SUM(BF2820)</f>
        <v>0</v>
      </c>
    </row>
    <row r="2821" spans="1:68">
      <c r="A2821" s="6">
        <v>45052</v>
      </c>
      <c r="B2821" s="7">
        <v>3017</v>
      </c>
      <c r="C2821" s="8"/>
      <c r="D2821" s="8">
        <v>490.97</v>
      </c>
      <c r="E2821" s="8"/>
      <c r="F2821" s="8"/>
      <c r="G2821" s="8"/>
      <c r="H2821" s="8"/>
      <c r="I2821" s="8">
        <v>677.11</v>
      </c>
      <c r="J2821" s="8"/>
      <c r="K2821" s="8"/>
      <c r="L2821" s="8"/>
      <c r="M2821" s="8"/>
      <c r="N2821" s="8">
        <v>8.41</v>
      </c>
      <c r="O2821" s="8"/>
      <c r="P2821" s="8"/>
      <c r="Q2821" s="11"/>
      <c r="R2821" s="11"/>
      <c r="S2821" s="8">
        <v>0.82</v>
      </c>
      <c r="T2821" s="8"/>
      <c r="U2821" s="8"/>
      <c r="V2821" s="8"/>
      <c r="W2821" s="8">
        <v>8.76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>
        <v>4.67</v>
      </c>
      <c r="AN2821" s="8">
        <f>1197*9.72/1000</f>
        <v>11.634840000000001</v>
      </c>
      <c r="AO2821" s="8"/>
      <c r="AP2821" s="11"/>
      <c r="AQ2821" s="8"/>
      <c r="AR2821" s="8">
        <f>4821*9.72/1000</f>
        <v>46.860120000000002</v>
      </c>
      <c r="AS2821" s="8"/>
      <c r="AT2821" s="8">
        <v>500.21</v>
      </c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>
        <v>36.409999999999997</v>
      </c>
      <c r="BH2821" s="9">
        <f t="shared" si="396"/>
        <v>1168.08</v>
      </c>
      <c r="BI2821" s="9">
        <f t="shared" si="397"/>
        <v>8.41</v>
      </c>
      <c r="BJ2821" s="9">
        <f t="shared" si="398"/>
        <v>0.82</v>
      </c>
      <c r="BK2821" s="9">
        <f t="shared" si="399"/>
        <v>8.76</v>
      </c>
      <c r="BL2821" s="9">
        <f t="shared" si="400"/>
        <v>0</v>
      </c>
      <c r="BM2821" s="9">
        <f t="shared" si="401"/>
        <v>63.164960000000001</v>
      </c>
      <c r="BN2821" s="9">
        <f t="shared" si="402"/>
        <v>500.21</v>
      </c>
      <c r="BO2821" s="9">
        <f t="shared" si="403"/>
        <v>0</v>
      </c>
      <c r="BP2821" s="9">
        <f t="shared" si="404"/>
        <v>0</v>
      </c>
    </row>
    <row r="2822" spans="1:68">
      <c r="A2822" s="6">
        <v>45052</v>
      </c>
      <c r="B2822" s="7">
        <v>3139</v>
      </c>
      <c r="C2822" s="8">
        <v>1106.44</v>
      </c>
      <c r="D2822" s="8"/>
      <c r="E2822" s="8"/>
      <c r="F2822" s="8"/>
      <c r="G2822" s="8"/>
      <c r="H2822" s="8">
        <v>459.7</v>
      </c>
      <c r="I2822" s="8"/>
      <c r="J2822" s="8"/>
      <c r="K2822" s="8"/>
      <c r="L2822" s="8"/>
      <c r="M2822" s="8">
        <v>2.59</v>
      </c>
      <c r="N2822" s="8"/>
      <c r="O2822" s="8"/>
      <c r="P2822" s="8"/>
      <c r="Q2822" s="11"/>
      <c r="R2822" s="11"/>
      <c r="S2822" s="8">
        <v>4.91</v>
      </c>
      <c r="T2822" s="8"/>
      <c r="U2822" s="8">
        <v>16.36</v>
      </c>
      <c r="V2822" s="8"/>
      <c r="W2822" s="8"/>
      <c r="X2822" s="8"/>
      <c r="Y2822" s="8"/>
      <c r="Z2822" s="8"/>
      <c r="AA2822" s="8"/>
      <c r="AB2822" s="8"/>
      <c r="AC2822" s="8">
        <v>5.46</v>
      </c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11"/>
      <c r="AQ2822" s="8"/>
      <c r="AR2822" s="8"/>
      <c r="AS2822" s="8"/>
      <c r="AT2822" s="8">
        <v>807.94</v>
      </c>
      <c r="AU2822" s="8"/>
      <c r="AV2822" s="8">
        <v>27.24</v>
      </c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>
        <v>58.67</v>
      </c>
      <c r="BH2822" s="9">
        <f t="shared" si="396"/>
        <v>1566.14</v>
      </c>
      <c r="BI2822" s="9">
        <f t="shared" si="397"/>
        <v>2.59</v>
      </c>
      <c r="BJ2822" s="9">
        <f t="shared" si="398"/>
        <v>4.91</v>
      </c>
      <c r="BK2822" s="9">
        <f t="shared" si="399"/>
        <v>16.36</v>
      </c>
      <c r="BL2822" s="9">
        <f t="shared" si="400"/>
        <v>0</v>
      </c>
      <c r="BM2822" s="9">
        <f t="shared" si="401"/>
        <v>5.46</v>
      </c>
      <c r="BN2822" s="9">
        <f t="shared" si="402"/>
        <v>807.94</v>
      </c>
      <c r="BO2822" s="9">
        <f t="shared" si="403"/>
        <v>27.24</v>
      </c>
      <c r="BP2822" s="9">
        <f t="shared" si="404"/>
        <v>0</v>
      </c>
    </row>
    <row r="2823" spans="1:68">
      <c r="A2823" s="6">
        <v>45052</v>
      </c>
      <c r="B2823" s="7">
        <v>3139</v>
      </c>
      <c r="C2823" s="8">
        <v>1832.96</v>
      </c>
      <c r="D2823" s="8"/>
      <c r="E2823" s="8"/>
      <c r="F2823" s="8"/>
      <c r="G2823" s="8"/>
      <c r="H2823" s="8">
        <v>761.5</v>
      </c>
      <c r="I2823" s="8"/>
      <c r="J2823" s="8"/>
      <c r="K2823" s="8"/>
      <c r="L2823" s="8"/>
      <c r="M2823" s="8">
        <v>4.3</v>
      </c>
      <c r="N2823" s="8"/>
      <c r="O2823" s="8"/>
      <c r="P2823" s="8"/>
      <c r="Q2823" s="11"/>
      <c r="R2823" s="11"/>
      <c r="S2823" s="8">
        <v>8.1300000000000008</v>
      </c>
      <c r="T2823" s="8"/>
      <c r="U2823" s="8">
        <v>27.13</v>
      </c>
      <c r="V2823" s="8"/>
      <c r="W2823" s="8"/>
      <c r="X2823" s="8"/>
      <c r="Y2823" s="8"/>
      <c r="Z2823" s="8"/>
      <c r="AA2823" s="8"/>
      <c r="AB2823" s="8"/>
      <c r="AC2823" s="8">
        <v>9.0399999999999991</v>
      </c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11"/>
      <c r="AQ2823" s="8"/>
      <c r="AR2823" s="8"/>
      <c r="AS2823" s="8"/>
      <c r="AT2823" s="8">
        <v>1338.98</v>
      </c>
      <c r="AU2823" s="8"/>
      <c r="AV2823" s="8">
        <v>45.24</v>
      </c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>
        <v>97.2</v>
      </c>
      <c r="BH2823" s="9">
        <f t="shared" si="396"/>
        <v>2594.46</v>
      </c>
      <c r="BI2823" s="9">
        <f t="shared" si="397"/>
        <v>4.3</v>
      </c>
      <c r="BJ2823" s="9">
        <f t="shared" si="398"/>
        <v>8.1300000000000008</v>
      </c>
      <c r="BK2823" s="9">
        <f t="shared" si="399"/>
        <v>27.13</v>
      </c>
      <c r="BL2823" s="9">
        <f t="shared" si="400"/>
        <v>0</v>
      </c>
      <c r="BM2823" s="9">
        <f t="shared" si="401"/>
        <v>9.0399999999999991</v>
      </c>
      <c r="BN2823" s="9">
        <f t="shared" si="402"/>
        <v>1338.98</v>
      </c>
      <c r="BO2823" s="9">
        <f t="shared" si="403"/>
        <v>45.24</v>
      </c>
      <c r="BP2823" s="9">
        <f t="shared" si="404"/>
        <v>0</v>
      </c>
    </row>
    <row r="2824" spans="1:68">
      <c r="A2824" s="6">
        <v>45054</v>
      </c>
      <c r="B2824" s="7">
        <v>3307</v>
      </c>
      <c r="C2824" s="8"/>
      <c r="D2824" s="8">
        <v>985.27</v>
      </c>
      <c r="E2824" s="8"/>
      <c r="F2824" s="8"/>
      <c r="G2824" s="8"/>
      <c r="H2824" s="8"/>
      <c r="I2824" s="8"/>
      <c r="J2824" s="8"/>
      <c r="K2824" s="8"/>
      <c r="L2824" s="8"/>
      <c r="M2824" s="8">
        <v>0.89</v>
      </c>
      <c r="N2824" s="8"/>
      <c r="O2824" s="8"/>
      <c r="P2824" s="8"/>
      <c r="Q2824" s="11"/>
      <c r="R2824" s="11"/>
      <c r="S2824" s="8">
        <v>6.71</v>
      </c>
      <c r="T2824" s="8"/>
      <c r="U2824" s="8">
        <v>9.8800000000000008</v>
      </c>
      <c r="V2824" s="8"/>
      <c r="W2824" s="8"/>
      <c r="X2824" s="8"/>
      <c r="Y2824" s="8"/>
      <c r="Z2824" s="8"/>
      <c r="AA2824" s="8"/>
      <c r="AB2824" s="8"/>
      <c r="AC2824" s="8">
        <v>5.92</v>
      </c>
      <c r="AD2824" s="8"/>
      <c r="AE2824" s="8"/>
      <c r="AF2824" s="8"/>
      <c r="AG2824" s="8">
        <v>9.8800000000000008</v>
      </c>
      <c r="AH2824" s="8"/>
      <c r="AI2824" s="8"/>
      <c r="AJ2824" s="8"/>
      <c r="AK2824" s="8"/>
      <c r="AL2824" s="8"/>
      <c r="AM2824" s="8"/>
      <c r="AN2824" s="8"/>
      <c r="AO2824" s="8"/>
      <c r="AP2824" s="11"/>
      <c r="AQ2824" s="8"/>
      <c r="AR2824" s="8"/>
      <c r="AS2824" s="8"/>
      <c r="AT2824" s="8"/>
      <c r="AU2824" s="8">
        <v>494.83</v>
      </c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>
        <v>35.68</v>
      </c>
      <c r="BH2824" s="9">
        <f t="shared" si="396"/>
        <v>985.27</v>
      </c>
      <c r="BI2824" s="9">
        <f t="shared" si="397"/>
        <v>0.89</v>
      </c>
      <c r="BJ2824" s="9">
        <f t="shared" si="398"/>
        <v>6.71</v>
      </c>
      <c r="BK2824" s="9">
        <f t="shared" si="399"/>
        <v>9.8800000000000008</v>
      </c>
      <c r="BL2824" s="9">
        <f t="shared" si="400"/>
        <v>0</v>
      </c>
      <c r="BM2824" s="9">
        <f t="shared" si="401"/>
        <v>15.8</v>
      </c>
      <c r="BN2824" s="9">
        <f t="shared" si="402"/>
        <v>494.83</v>
      </c>
      <c r="BO2824" s="9">
        <f t="shared" si="403"/>
        <v>0</v>
      </c>
      <c r="BP2824" s="9">
        <f t="shared" si="404"/>
        <v>0</v>
      </c>
    </row>
    <row r="2825" spans="1:68">
      <c r="A2825" s="6">
        <v>45054</v>
      </c>
      <c r="B2825" s="7">
        <v>3203</v>
      </c>
      <c r="C2825" s="8">
        <v>933.4</v>
      </c>
      <c r="D2825" s="8"/>
      <c r="E2825" s="8">
        <v>399.86</v>
      </c>
      <c r="F2825" s="8"/>
      <c r="G2825" s="8"/>
      <c r="H2825" s="8"/>
      <c r="I2825" s="8"/>
      <c r="J2825" s="8"/>
      <c r="K2825" s="8"/>
      <c r="L2825" s="8"/>
      <c r="M2825" s="8"/>
      <c r="N2825" s="8"/>
      <c r="O2825" s="8">
        <v>4.01</v>
      </c>
      <c r="P2825" s="8"/>
      <c r="Q2825" s="11"/>
      <c r="R2825" s="11"/>
      <c r="S2825" s="8">
        <v>5.21</v>
      </c>
      <c r="T2825" s="8"/>
      <c r="U2825" s="8">
        <v>16.559999999999999</v>
      </c>
      <c r="V2825" s="8"/>
      <c r="W2825" s="8"/>
      <c r="X2825" s="8"/>
      <c r="Y2825" s="8"/>
      <c r="Z2825" s="8">
        <v>210.4</v>
      </c>
      <c r="AA2825" s="8">
        <f>10396*15.72/1000</f>
        <v>163.42511999999999</v>
      </c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11"/>
      <c r="AQ2825" s="8"/>
      <c r="AR2825" s="8"/>
      <c r="AS2825" s="8"/>
      <c r="AT2825" s="8">
        <v>497.92</v>
      </c>
      <c r="AU2825" s="8">
        <v>249.41</v>
      </c>
      <c r="AV2825" s="8"/>
      <c r="AW2825" s="8"/>
      <c r="AX2825" s="8"/>
      <c r="AY2825" s="8"/>
      <c r="AZ2825" s="8"/>
      <c r="BA2825" s="8"/>
      <c r="BB2825" s="8"/>
      <c r="BC2825" s="8">
        <v>3.47</v>
      </c>
      <c r="BD2825" s="8"/>
      <c r="BE2825" s="8"/>
      <c r="BF2825" s="8"/>
      <c r="BG2825" s="8">
        <v>48.72</v>
      </c>
      <c r="BH2825" s="9">
        <f t="shared" si="396"/>
        <v>1333.26</v>
      </c>
      <c r="BI2825" s="9">
        <f t="shared" si="397"/>
        <v>4.01</v>
      </c>
      <c r="BJ2825" s="9">
        <f t="shared" si="398"/>
        <v>5.21</v>
      </c>
      <c r="BK2825" s="9">
        <f t="shared" si="399"/>
        <v>16.559999999999999</v>
      </c>
      <c r="BL2825" s="9">
        <f t="shared" si="400"/>
        <v>373.82511999999997</v>
      </c>
      <c r="BM2825" s="9">
        <f t="shared" si="401"/>
        <v>0</v>
      </c>
      <c r="BN2825" s="9">
        <f t="shared" si="402"/>
        <v>747.33</v>
      </c>
      <c r="BO2825" s="9">
        <f t="shared" si="403"/>
        <v>3.47</v>
      </c>
      <c r="BP2825" s="9">
        <f t="shared" si="404"/>
        <v>0</v>
      </c>
    </row>
    <row r="2826" spans="1:68">
      <c r="A2826" s="6">
        <v>45054</v>
      </c>
      <c r="B2826" s="7">
        <v>3204</v>
      </c>
      <c r="C2826" s="8"/>
      <c r="D2826" s="8">
        <v>1015.46</v>
      </c>
      <c r="E2826" s="8">
        <v>434.59</v>
      </c>
      <c r="F2826" s="8"/>
      <c r="G2826" s="8"/>
      <c r="H2826" s="8"/>
      <c r="I2826" s="8"/>
      <c r="J2826" s="8"/>
      <c r="K2826" s="8"/>
      <c r="L2826" s="8"/>
      <c r="M2826" s="8"/>
      <c r="N2826" s="8"/>
      <c r="O2826" s="8">
        <v>7.28</v>
      </c>
      <c r="P2826" s="8"/>
      <c r="Q2826" s="11"/>
      <c r="R2826" s="11"/>
      <c r="S2826" s="8">
        <v>4.9400000000000004</v>
      </c>
      <c r="T2826" s="8"/>
      <c r="U2826" s="8">
        <v>15.99</v>
      </c>
      <c r="V2826" s="8"/>
      <c r="W2826" s="8"/>
      <c r="X2826" s="8"/>
      <c r="Y2826" s="8"/>
      <c r="Z2826" s="8">
        <v>218.09</v>
      </c>
      <c r="AA2826" s="8"/>
      <c r="AB2826" s="8">
        <f>711*10.38/1000</f>
        <v>7.3801800000000002</v>
      </c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11"/>
      <c r="AQ2826" s="8"/>
      <c r="AR2826" s="8"/>
      <c r="AS2826" s="8"/>
      <c r="AT2826" s="8">
        <v>640.21</v>
      </c>
      <c r="AU2826" s="8"/>
      <c r="AV2826" s="8"/>
      <c r="AW2826" s="8">
        <v>4.67</v>
      </c>
      <c r="AX2826" s="8"/>
      <c r="AY2826" s="8"/>
      <c r="AZ2826" s="8"/>
      <c r="BA2826" s="8"/>
      <c r="BB2826" s="8"/>
      <c r="BC2826" s="8"/>
      <c r="BD2826" s="8"/>
      <c r="BE2826" s="8"/>
      <c r="BF2826" s="8"/>
      <c r="BG2826" s="8">
        <v>47.26</v>
      </c>
      <c r="BH2826" s="9">
        <f t="shared" si="396"/>
        <v>1450.05</v>
      </c>
      <c r="BI2826" s="9">
        <f t="shared" si="397"/>
        <v>7.28</v>
      </c>
      <c r="BJ2826" s="9">
        <f t="shared" si="398"/>
        <v>4.9400000000000004</v>
      </c>
      <c r="BK2826" s="9">
        <f t="shared" si="399"/>
        <v>15.99</v>
      </c>
      <c r="BL2826" s="9">
        <f t="shared" si="400"/>
        <v>218.09</v>
      </c>
      <c r="BM2826" s="9">
        <f t="shared" si="401"/>
        <v>7.3801800000000002</v>
      </c>
      <c r="BN2826" s="9">
        <f t="shared" si="402"/>
        <v>640.21</v>
      </c>
      <c r="BO2826" s="9">
        <f t="shared" si="403"/>
        <v>4.67</v>
      </c>
      <c r="BP2826" s="9">
        <f t="shared" si="404"/>
        <v>0</v>
      </c>
    </row>
    <row r="2827" spans="1:68">
      <c r="A2827" s="6">
        <v>45054</v>
      </c>
      <c r="B2827" s="7">
        <v>3081</v>
      </c>
      <c r="C2827" s="8"/>
      <c r="D2827" s="8">
        <v>286.55</v>
      </c>
      <c r="E2827" s="8"/>
      <c r="F2827" s="8">
        <v>321.73</v>
      </c>
      <c r="G2827" s="8"/>
      <c r="H2827" s="8"/>
      <c r="I2827" s="8">
        <v>1176.8399999999999</v>
      </c>
      <c r="J2827" s="8"/>
      <c r="K2827" s="8"/>
      <c r="L2827" s="8"/>
      <c r="M2827" s="8"/>
      <c r="N2827" s="8">
        <v>13.1</v>
      </c>
      <c r="O2827" s="8"/>
      <c r="P2827" s="8">
        <f>628*11.57/1000</f>
        <v>7.2659599999999998</v>
      </c>
      <c r="Q2827" s="11"/>
      <c r="R2827" s="11"/>
      <c r="S2827" s="8">
        <v>1.26</v>
      </c>
      <c r="T2827" s="8"/>
      <c r="U2827" s="8"/>
      <c r="V2827" s="8"/>
      <c r="W2827" s="8">
        <v>17.96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11"/>
      <c r="AQ2827" s="8">
        <f>1566*11.57/1000</f>
        <v>18.11862</v>
      </c>
      <c r="AR2827" s="8">
        <f>5433*11.57/1000</f>
        <v>62.859810000000003</v>
      </c>
      <c r="AS2827" s="8"/>
      <c r="AT2827" s="8">
        <v>562.83000000000004</v>
      </c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>
        <v>37.51</v>
      </c>
      <c r="BH2827" s="9">
        <f t="shared" si="396"/>
        <v>1785.12</v>
      </c>
      <c r="BI2827" s="9">
        <f t="shared" si="397"/>
        <v>20.365960000000001</v>
      </c>
      <c r="BJ2827" s="9">
        <f t="shared" si="398"/>
        <v>1.26</v>
      </c>
      <c r="BK2827" s="9">
        <f t="shared" si="399"/>
        <v>17.96</v>
      </c>
      <c r="BL2827" s="9">
        <f t="shared" si="400"/>
        <v>0</v>
      </c>
      <c r="BM2827" s="9">
        <f t="shared" si="401"/>
        <v>80.978430000000003</v>
      </c>
      <c r="BN2827" s="9">
        <f t="shared" si="402"/>
        <v>562.83000000000004</v>
      </c>
      <c r="BO2827" s="9">
        <f t="shared" si="403"/>
        <v>0</v>
      </c>
      <c r="BP2827" s="9">
        <f t="shared" si="404"/>
        <v>0</v>
      </c>
    </row>
    <row r="2828" spans="1:68">
      <c r="A2828" s="6">
        <v>45054</v>
      </c>
      <c r="B2828" s="7">
        <v>3079</v>
      </c>
      <c r="C2828" s="8"/>
      <c r="D2828" s="8"/>
      <c r="E2828" s="8"/>
      <c r="F2828" s="8">
        <v>226.37</v>
      </c>
      <c r="G2828" s="8"/>
      <c r="H2828" s="8"/>
      <c r="I2828" s="8">
        <v>1829.73</v>
      </c>
      <c r="J2828" s="8"/>
      <c r="K2828" s="8"/>
      <c r="L2828" s="8"/>
      <c r="M2828" s="8"/>
      <c r="N2828" s="8">
        <v>15.03</v>
      </c>
      <c r="O2828" s="8"/>
      <c r="P2828" s="8"/>
      <c r="Q2828" s="11"/>
      <c r="R2828" s="11"/>
      <c r="S2828" s="8">
        <v>0.81</v>
      </c>
      <c r="T2828" s="8"/>
      <c r="U2828" s="8"/>
      <c r="V2828" s="8"/>
      <c r="W2828" s="8">
        <v>20.59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>
        <v>8.1999999999999993</v>
      </c>
      <c r="AN2828" s="8">
        <f>1721*12.1/1000</f>
        <v>20.824099999999998</v>
      </c>
      <c r="AO2828" s="8"/>
      <c r="AP2828" s="11"/>
      <c r="AQ2828" s="8"/>
      <c r="AR2828" s="8">
        <f>4363*12.1/1000</f>
        <v>52.792299999999997</v>
      </c>
      <c r="AS2828" s="8"/>
      <c r="AT2828" s="8">
        <v>789.56</v>
      </c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>
        <v>57.56</v>
      </c>
      <c r="BH2828" s="9">
        <f t="shared" si="396"/>
        <v>2056.1</v>
      </c>
      <c r="BI2828" s="9">
        <f t="shared" si="397"/>
        <v>15.03</v>
      </c>
      <c r="BJ2828" s="9">
        <f t="shared" si="398"/>
        <v>0.81</v>
      </c>
      <c r="BK2828" s="9">
        <f t="shared" si="399"/>
        <v>20.59</v>
      </c>
      <c r="BL2828" s="9">
        <f t="shared" si="400"/>
        <v>0</v>
      </c>
      <c r="BM2828" s="9">
        <f t="shared" si="401"/>
        <v>81.816399999999987</v>
      </c>
      <c r="BN2828" s="9">
        <f t="shared" si="402"/>
        <v>789.56</v>
      </c>
      <c r="BO2828" s="9">
        <f t="shared" si="403"/>
        <v>0</v>
      </c>
      <c r="BP2828" s="9">
        <f t="shared" si="404"/>
        <v>0</v>
      </c>
    </row>
    <row r="2829" spans="1:68">
      <c r="A2829" s="6">
        <v>45054</v>
      </c>
      <c r="B2829" s="7">
        <v>3119</v>
      </c>
      <c r="C2829" s="8">
        <v>2575.64</v>
      </c>
      <c r="D2829" s="8"/>
      <c r="E2829" s="8"/>
      <c r="F2829" s="8"/>
      <c r="G2829" s="8"/>
      <c r="H2829" s="8"/>
      <c r="I2829" s="8"/>
      <c r="J2829" s="8"/>
      <c r="K2829" s="8"/>
      <c r="L2829" s="8"/>
      <c r="M2829" s="8">
        <v>7.7</v>
      </c>
      <c r="N2829" s="8"/>
      <c r="O2829" s="8"/>
      <c r="P2829" s="8"/>
      <c r="Q2829" s="11"/>
      <c r="R2829" s="11"/>
      <c r="S2829" s="8">
        <v>11.81</v>
      </c>
      <c r="T2829" s="8"/>
      <c r="U2829" s="8">
        <v>25.71</v>
      </c>
      <c r="V2829" s="8"/>
      <c r="W2829" s="8"/>
      <c r="X2829" s="8"/>
      <c r="Y2829" s="8"/>
      <c r="Z2829" s="8"/>
      <c r="AA2829" s="8"/>
      <c r="AB2829" s="8"/>
      <c r="AC2829" s="8">
        <v>6.44</v>
      </c>
      <c r="AD2829" s="8"/>
      <c r="AE2829" s="8"/>
      <c r="AF2829" s="8"/>
      <c r="AG2829" s="8">
        <v>7.75</v>
      </c>
      <c r="AH2829" s="8"/>
      <c r="AI2829" s="8"/>
      <c r="AJ2829" s="8"/>
      <c r="AK2829" s="8"/>
      <c r="AL2829" s="8"/>
      <c r="AM2829" s="8"/>
      <c r="AN2829" s="8"/>
      <c r="AO2829" s="8"/>
      <c r="AP2829" s="11"/>
      <c r="AQ2829" s="8"/>
      <c r="AR2829" s="8"/>
      <c r="AS2829" s="8"/>
      <c r="AT2829" s="8">
        <v>961.9</v>
      </c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>
        <v>180.08</v>
      </c>
      <c r="BG2829" s="8">
        <v>68.47</v>
      </c>
      <c r="BH2829" s="9">
        <f t="shared" si="396"/>
        <v>2575.64</v>
      </c>
      <c r="BI2829" s="9">
        <f t="shared" si="397"/>
        <v>7.7</v>
      </c>
      <c r="BJ2829" s="9">
        <f t="shared" si="398"/>
        <v>11.81</v>
      </c>
      <c r="BK2829" s="9">
        <f t="shared" si="399"/>
        <v>25.71</v>
      </c>
      <c r="BL2829" s="9">
        <f t="shared" si="400"/>
        <v>0</v>
      </c>
      <c r="BM2829" s="9">
        <f t="shared" si="401"/>
        <v>14.190000000000001</v>
      </c>
      <c r="BN2829" s="9">
        <f t="shared" si="402"/>
        <v>961.9</v>
      </c>
      <c r="BO2829" s="9">
        <f t="shared" si="403"/>
        <v>0</v>
      </c>
      <c r="BP2829" s="9">
        <f t="shared" si="404"/>
        <v>180.08</v>
      </c>
    </row>
    <row r="2830" spans="1:68">
      <c r="A2830" s="6">
        <v>45054</v>
      </c>
      <c r="B2830" s="7">
        <v>3106</v>
      </c>
      <c r="C2830" s="8">
        <v>4182.46</v>
      </c>
      <c r="D2830" s="8"/>
      <c r="E2830" s="8"/>
      <c r="F2830" s="8"/>
      <c r="G2830" s="8"/>
      <c r="H2830" s="8"/>
      <c r="I2830" s="8"/>
      <c r="J2830" s="8"/>
      <c r="K2830" s="8"/>
      <c r="L2830" s="8"/>
      <c r="M2830" s="8">
        <v>9.27</v>
      </c>
      <c r="N2830" s="8"/>
      <c r="O2830" s="8"/>
      <c r="P2830" s="8"/>
      <c r="Q2830" s="11"/>
      <c r="R2830" s="11"/>
      <c r="S2830" s="8">
        <v>12.58</v>
      </c>
      <c r="T2830" s="8"/>
      <c r="U2830" s="8">
        <v>53.21</v>
      </c>
      <c r="V2830" s="8"/>
      <c r="W2830" s="8"/>
      <c r="X2830" s="8"/>
      <c r="Y2830" s="8"/>
      <c r="Z2830" s="8"/>
      <c r="AA2830" s="8"/>
      <c r="AB2830" s="8"/>
      <c r="AC2830" s="8">
        <v>10.46</v>
      </c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11"/>
      <c r="AQ2830" s="8"/>
      <c r="AR2830" s="8"/>
      <c r="AS2830" s="8"/>
      <c r="AT2830" s="8">
        <v>2380.2800000000002</v>
      </c>
      <c r="AU2830" s="8"/>
      <c r="AV2830" s="8"/>
      <c r="AW2830" s="8"/>
      <c r="AX2830" s="8">
        <v>5.23</v>
      </c>
      <c r="AY2830" s="8"/>
      <c r="AZ2830" s="8"/>
      <c r="BA2830" s="8"/>
      <c r="BB2830" s="8"/>
      <c r="BC2830" s="8"/>
      <c r="BD2830" s="8"/>
      <c r="BE2830" s="8"/>
      <c r="BF2830" s="8"/>
      <c r="BG2830" s="8">
        <v>179.88</v>
      </c>
      <c r="BH2830" s="9">
        <f t="shared" si="396"/>
        <v>4182.46</v>
      </c>
      <c r="BI2830" s="9">
        <f t="shared" si="397"/>
        <v>9.27</v>
      </c>
      <c r="BJ2830" s="9">
        <f t="shared" si="398"/>
        <v>12.58</v>
      </c>
      <c r="BK2830" s="9">
        <f t="shared" si="399"/>
        <v>53.21</v>
      </c>
      <c r="BL2830" s="9">
        <f t="shared" si="400"/>
        <v>0</v>
      </c>
      <c r="BM2830" s="9">
        <f t="shared" si="401"/>
        <v>10.46</v>
      </c>
      <c r="BN2830" s="9">
        <f t="shared" si="402"/>
        <v>2380.2800000000002</v>
      </c>
      <c r="BO2830" s="9">
        <f t="shared" si="403"/>
        <v>5.23</v>
      </c>
      <c r="BP2830" s="9">
        <f t="shared" si="404"/>
        <v>0</v>
      </c>
    </row>
    <row r="2831" spans="1:68">
      <c r="A2831" s="6">
        <v>45054</v>
      </c>
      <c r="B2831" s="7">
        <v>3134</v>
      </c>
      <c r="C2831" s="8">
        <v>1055.3599999999999</v>
      </c>
      <c r="D2831" s="8">
        <v>147.91999999999999</v>
      </c>
      <c r="E2831" s="8"/>
      <c r="F2831" s="8"/>
      <c r="G2831" s="8"/>
      <c r="H2831" s="8">
        <v>499.63</v>
      </c>
      <c r="I2831" s="8"/>
      <c r="J2831" s="8"/>
      <c r="K2831" s="8"/>
      <c r="L2831" s="8"/>
      <c r="M2831" s="8">
        <v>2.56</v>
      </c>
      <c r="N2831" s="8"/>
      <c r="O2831" s="8"/>
      <c r="P2831" s="8"/>
      <c r="Q2831" s="11"/>
      <c r="R2831" s="11"/>
      <c r="S2831" s="8">
        <v>6.81</v>
      </c>
      <c r="T2831" s="8"/>
      <c r="U2831" s="8">
        <v>19.260000000000002</v>
      </c>
      <c r="V2831" s="8"/>
      <c r="W2831" s="8"/>
      <c r="X2831" s="8"/>
      <c r="Y2831" s="8"/>
      <c r="Z2831" s="8"/>
      <c r="AA2831" s="8"/>
      <c r="AB2831" s="8"/>
      <c r="AC2831" s="8">
        <v>5.92</v>
      </c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11"/>
      <c r="AQ2831" s="8"/>
      <c r="AR2831" s="8"/>
      <c r="AS2831" s="8"/>
      <c r="AT2831" s="8">
        <v>1043.1400000000001</v>
      </c>
      <c r="AU2831" s="8"/>
      <c r="AV2831" s="8"/>
      <c r="AW2831" s="8"/>
      <c r="AX2831" s="8"/>
      <c r="AY2831" s="8">
        <f>1407*10.57/1000</f>
        <v>14.87199</v>
      </c>
      <c r="AZ2831" s="8"/>
      <c r="BA2831" s="8"/>
      <c r="BB2831" s="8"/>
      <c r="BC2831" s="8"/>
      <c r="BD2831" s="8"/>
      <c r="BE2831" s="8"/>
      <c r="BF2831" s="8">
        <v>66.72</v>
      </c>
      <c r="BG2831" s="8">
        <v>78.459999999999994</v>
      </c>
      <c r="BH2831" s="9">
        <f t="shared" si="396"/>
        <v>1702.9099999999999</v>
      </c>
      <c r="BI2831" s="9">
        <f t="shared" si="397"/>
        <v>2.56</v>
      </c>
      <c r="BJ2831" s="9">
        <f t="shared" si="398"/>
        <v>6.81</v>
      </c>
      <c r="BK2831" s="9">
        <f t="shared" si="399"/>
        <v>19.260000000000002</v>
      </c>
      <c r="BL2831" s="9">
        <f t="shared" si="400"/>
        <v>0</v>
      </c>
      <c r="BM2831" s="9">
        <f t="shared" si="401"/>
        <v>5.92</v>
      </c>
      <c r="BN2831" s="9">
        <f t="shared" si="402"/>
        <v>1043.1400000000001</v>
      </c>
      <c r="BO2831" s="9">
        <f t="shared" si="403"/>
        <v>14.87199</v>
      </c>
      <c r="BP2831" s="9">
        <f t="shared" si="404"/>
        <v>66.72</v>
      </c>
    </row>
    <row r="2832" spans="1:68">
      <c r="A2832" s="6">
        <v>45054</v>
      </c>
      <c r="B2832" s="7">
        <v>3141</v>
      </c>
      <c r="C2832" s="8">
        <v>3620.62</v>
      </c>
      <c r="D2832" s="8">
        <v>638.9</v>
      </c>
      <c r="E2832" s="8"/>
      <c r="F2832" s="8"/>
      <c r="G2832" s="8"/>
      <c r="H2832" s="8"/>
      <c r="I2832" s="8"/>
      <c r="J2832" s="8"/>
      <c r="K2832" s="8"/>
      <c r="L2832" s="8"/>
      <c r="M2832" s="8">
        <v>11.31</v>
      </c>
      <c r="N2832" s="8"/>
      <c r="O2832" s="8"/>
      <c r="P2832" s="8"/>
      <c r="Q2832" s="11"/>
      <c r="R2832" s="11"/>
      <c r="S2832" s="8">
        <v>20.04</v>
      </c>
      <c r="T2832" s="8"/>
      <c r="U2832" s="8">
        <v>63.93</v>
      </c>
      <c r="V2832" s="8"/>
      <c r="W2832" s="8"/>
      <c r="X2832" s="8"/>
      <c r="Y2832" s="8"/>
      <c r="Z2832" s="8"/>
      <c r="AA2832" s="8"/>
      <c r="AB2832" s="8"/>
      <c r="AC2832" s="8">
        <v>17.05</v>
      </c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11"/>
      <c r="AQ2832" s="8"/>
      <c r="AR2832" s="8"/>
      <c r="AS2832" s="8"/>
      <c r="AT2832" s="8">
        <v>2805.29</v>
      </c>
      <c r="AU2832" s="8"/>
      <c r="AV2832" s="8"/>
      <c r="AW2832" s="8"/>
      <c r="AX2832" s="8"/>
      <c r="AY2832" s="8"/>
      <c r="AZ2832" s="8"/>
      <c r="BA2832" s="8">
        <v>97.62</v>
      </c>
      <c r="BB2832" s="8"/>
      <c r="BC2832" s="8"/>
      <c r="BD2832" s="8"/>
      <c r="BE2832" s="8"/>
      <c r="BF2832" s="8">
        <v>298.25</v>
      </c>
      <c r="BG2832" s="8">
        <v>221.46</v>
      </c>
      <c r="BH2832" s="9">
        <f t="shared" si="396"/>
        <v>4259.5199999999995</v>
      </c>
      <c r="BI2832" s="9">
        <f t="shared" si="397"/>
        <v>11.31</v>
      </c>
      <c r="BJ2832" s="9">
        <f t="shared" si="398"/>
        <v>20.04</v>
      </c>
      <c r="BK2832" s="9">
        <f t="shared" si="399"/>
        <v>63.93</v>
      </c>
      <c r="BL2832" s="9">
        <f t="shared" si="400"/>
        <v>0</v>
      </c>
      <c r="BM2832" s="9">
        <f t="shared" si="401"/>
        <v>17.05</v>
      </c>
      <c r="BN2832" s="9">
        <f t="shared" si="402"/>
        <v>2805.29</v>
      </c>
      <c r="BO2832" s="9">
        <f t="shared" si="403"/>
        <v>97.62</v>
      </c>
      <c r="BP2832" s="9">
        <f t="shared" si="404"/>
        <v>298.25</v>
      </c>
    </row>
    <row r="2833" spans="1:68">
      <c r="A2833" s="6">
        <v>45054</v>
      </c>
      <c r="B2833" s="7">
        <v>3801</v>
      </c>
      <c r="C2833" s="8">
        <v>260.24</v>
      </c>
      <c r="D2833" s="8"/>
      <c r="E2833" s="8"/>
      <c r="F2833" s="8"/>
      <c r="G2833" s="8"/>
      <c r="H2833" s="8"/>
      <c r="I2833" s="8"/>
      <c r="J2833" s="8"/>
      <c r="K2833" s="8"/>
      <c r="L2833" s="8">
        <f>40372*5.05/1000</f>
        <v>203.87860000000001</v>
      </c>
      <c r="M2833" s="8"/>
      <c r="N2833" s="8">
        <v>0.53</v>
      </c>
      <c r="O2833" s="8"/>
      <c r="P2833" s="8"/>
      <c r="Q2833" s="11"/>
      <c r="R2833" s="11"/>
      <c r="S2833" s="8">
        <v>2.08</v>
      </c>
      <c r="T2833" s="8"/>
      <c r="U2833" s="8">
        <v>2.2799999999999998</v>
      </c>
      <c r="V2833" s="8"/>
      <c r="W2833" s="8"/>
      <c r="X2833" s="8"/>
      <c r="Y2833" s="8"/>
      <c r="Z2833" s="8">
        <v>37.94</v>
      </c>
      <c r="AA2833" s="8">
        <f>3544*5.05/1000</f>
        <v>17.897200000000002</v>
      </c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11"/>
      <c r="AQ2833" s="8"/>
      <c r="AR2833" s="8"/>
      <c r="AS2833" s="8">
        <f>1393*5.05/1000</f>
        <v>7.0346500000000001</v>
      </c>
      <c r="AT2833" s="8">
        <v>184.35</v>
      </c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>
        <v>13.98</v>
      </c>
      <c r="BH2833" s="9">
        <f t="shared" si="396"/>
        <v>464.11860000000001</v>
      </c>
      <c r="BI2833" s="9">
        <f t="shared" si="397"/>
        <v>0.53</v>
      </c>
      <c r="BJ2833" s="9">
        <f t="shared" si="398"/>
        <v>2.08</v>
      </c>
      <c r="BK2833" s="9">
        <f t="shared" si="399"/>
        <v>2.2799999999999998</v>
      </c>
      <c r="BL2833" s="9">
        <f t="shared" si="400"/>
        <v>55.837199999999996</v>
      </c>
      <c r="BM2833" s="9">
        <f t="shared" si="401"/>
        <v>7.0346500000000001</v>
      </c>
      <c r="BN2833" s="9">
        <f t="shared" si="402"/>
        <v>184.35</v>
      </c>
      <c r="BO2833" s="9">
        <f t="shared" si="403"/>
        <v>0</v>
      </c>
      <c r="BP2833" s="9">
        <f t="shared" si="404"/>
        <v>0</v>
      </c>
    </row>
    <row r="2834" spans="1:68">
      <c r="A2834" s="6">
        <v>45054</v>
      </c>
      <c r="B2834" s="7">
        <v>3802</v>
      </c>
      <c r="C2834" s="8">
        <v>248.57</v>
      </c>
      <c r="D2834" s="8"/>
      <c r="E2834" s="8"/>
      <c r="F2834" s="8"/>
      <c r="G2834" s="8"/>
      <c r="H2834" s="8"/>
      <c r="I2834" s="8"/>
      <c r="J2834" s="8"/>
      <c r="K2834" s="8"/>
      <c r="L2834" s="8">
        <f>42240*5.17/1000</f>
        <v>218.38079999999999</v>
      </c>
      <c r="M2834" s="8"/>
      <c r="N2834" s="8">
        <v>0.65</v>
      </c>
      <c r="O2834" s="8"/>
      <c r="P2834" s="8"/>
      <c r="Q2834" s="11"/>
      <c r="R2834" s="11"/>
      <c r="S2834" s="8">
        <v>1.81</v>
      </c>
      <c r="T2834" s="8"/>
      <c r="U2834" s="8">
        <v>3.62</v>
      </c>
      <c r="V2834" s="8"/>
      <c r="W2834" s="8"/>
      <c r="X2834" s="8"/>
      <c r="Y2834" s="8"/>
      <c r="Z2834" s="8">
        <v>54.4</v>
      </c>
      <c r="AA2834" s="8">
        <f>3020*5.17/1000</f>
        <v>15.6134</v>
      </c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11"/>
      <c r="AQ2834" s="8">
        <f>267*5.17/1000</f>
        <v>1.3803899999999998</v>
      </c>
      <c r="AR2834" s="8"/>
      <c r="AS2834" s="8"/>
      <c r="AT2834" s="8">
        <v>220.57</v>
      </c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>
        <v>17.079999999999998</v>
      </c>
      <c r="BH2834" s="9">
        <f t="shared" si="396"/>
        <v>466.95079999999996</v>
      </c>
      <c r="BI2834" s="9">
        <f t="shared" si="397"/>
        <v>0.65</v>
      </c>
      <c r="BJ2834" s="9">
        <f t="shared" si="398"/>
        <v>1.81</v>
      </c>
      <c r="BK2834" s="9">
        <f t="shared" si="399"/>
        <v>3.62</v>
      </c>
      <c r="BL2834" s="9">
        <f t="shared" si="400"/>
        <v>70.013400000000004</v>
      </c>
      <c r="BM2834" s="9">
        <f t="shared" si="401"/>
        <v>1.3803899999999998</v>
      </c>
      <c r="BN2834" s="9">
        <f t="shared" si="402"/>
        <v>220.57</v>
      </c>
      <c r="BO2834" s="9">
        <f t="shared" si="403"/>
        <v>0</v>
      </c>
      <c r="BP2834" s="9">
        <f t="shared" si="404"/>
        <v>0</v>
      </c>
    </row>
    <row r="2835" spans="1:68">
      <c r="A2835" s="6">
        <v>45054</v>
      </c>
      <c r="B2835" s="7">
        <v>3703</v>
      </c>
      <c r="C2835" s="8">
        <v>511.62</v>
      </c>
      <c r="D2835" s="8">
        <v>340.72</v>
      </c>
      <c r="E2835" s="8"/>
      <c r="F2835" s="8"/>
      <c r="G2835" s="8"/>
      <c r="H2835" s="8"/>
      <c r="I2835" s="8"/>
      <c r="J2835" s="8"/>
      <c r="K2835" s="8"/>
      <c r="L2835" s="8"/>
      <c r="M2835" s="8">
        <v>1.71</v>
      </c>
      <c r="N2835" s="8"/>
      <c r="O2835" s="8"/>
      <c r="P2835" s="8"/>
      <c r="Q2835" s="11"/>
      <c r="R2835" s="11"/>
      <c r="S2835" s="8">
        <v>4.18</v>
      </c>
      <c r="T2835" s="8"/>
      <c r="U2835" s="8">
        <v>6.83</v>
      </c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>
        <v>8.5</v>
      </c>
      <c r="AN2835" s="8"/>
      <c r="AO2835" s="8"/>
      <c r="AP2835" s="11"/>
      <c r="AQ2835" s="8"/>
      <c r="AR2835" s="8"/>
      <c r="AS2835" s="8"/>
      <c r="AT2835" s="8">
        <v>206.34</v>
      </c>
      <c r="AU2835" s="8">
        <v>103.07</v>
      </c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>
        <v>21.48</v>
      </c>
      <c r="BH2835" s="9">
        <f t="shared" si="396"/>
        <v>852.34</v>
      </c>
      <c r="BI2835" s="9">
        <f t="shared" si="397"/>
        <v>1.71</v>
      </c>
      <c r="BJ2835" s="9">
        <f t="shared" si="398"/>
        <v>4.18</v>
      </c>
      <c r="BK2835" s="9">
        <f t="shared" si="399"/>
        <v>6.83</v>
      </c>
      <c r="BL2835" s="9">
        <f t="shared" si="400"/>
        <v>0</v>
      </c>
      <c r="BM2835" s="9">
        <f t="shared" si="401"/>
        <v>8.5</v>
      </c>
      <c r="BN2835" s="9">
        <f t="shared" si="402"/>
        <v>309.40999999999997</v>
      </c>
      <c r="BO2835" s="9">
        <f t="shared" si="403"/>
        <v>0</v>
      </c>
      <c r="BP2835" s="9">
        <f t="shared" si="404"/>
        <v>0</v>
      </c>
    </row>
    <row r="2836" spans="1:68">
      <c r="A2836" s="6">
        <v>45055</v>
      </c>
      <c r="B2836" s="7">
        <v>3100</v>
      </c>
      <c r="C2836" s="8">
        <v>663.49</v>
      </c>
      <c r="D2836" s="8"/>
      <c r="E2836" s="8"/>
      <c r="F2836" s="8"/>
      <c r="G2836" s="8"/>
      <c r="H2836" s="8"/>
      <c r="I2836" s="8"/>
      <c r="J2836" s="8"/>
      <c r="K2836" s="8"/>
      <c r="L2836" s="8"/>
      <c r="M2836" s="8">
        <v>1.67</v>
      </c>
      <c r="N2836" s="8"/>
      <c r="O2836" s="8"/>
      <c r="P2836" s="8"/>
      <c r="Q2836" s="11"/>
      <c r="R2836" s="11"/>
      <c r="S2836" s="8">
        <v>3.79</v>
      </c>
      <c r="T2836" s="8"/>
      <c r="U2836" s="8">
        <v>10.66</v>
      </c>
      <c r="V2836" s="8"/>
      <c r="W2836" s="8"/>
      <c r="X2836" s="8"/>
      <c r="Y2836" s="8"/>
      <c r="Z2836" s="8"/>
      <c r="AA2836" s="8"/>
      <c r="AB2836" s="8"/>
      <c r="AC2836" s="8">
        <v>2.66</v>
      </c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11"/>
      <c r="AQ2836" s="8"/>
      <c r="AR2836" s="8"/>
      <c r="AS2836" s="8"/>
      <c r="AT2836" s="8">
        <v>447.16</v>
      </c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>
        <v>86.55</v>
      </c>
      <c r="BG2836" s="8">
        <v>34.22</v>
      </c>
      <c r="BH2836" s="9">
        <f t="shared" si="396"/>
        <v>663.49</v>
      </c>
      <c r="BI2836" s="9">
        <f t="shared" si="397"/>
        <v>1.67</v>
      </c>
      <c r="BJ2836" s="9">
        <f t="shared" si="398"/>
        <v>3.79</v>
      </c>
      <c r="BK2836" s="9">
        <f t="shared" si="399"/>
        <v>10.66</v>
      </c>
      <c r="BL2836" s="9">
        <f t="shared" si="400"/>
        <v>0</v>
      </c>
      <c r="BM2836" s="9">
        <f t="shared" si="401"/>
        <v>2.66</v>
      </c>
      <c r="BN2836" s="9">
        <f t="shared" si="402"/>
        <v>447.16</v>
      </c>
      <c r="BO2836" s="9">
        <f t="shared" si="403"/>
        <v>0</v>
      </c>
      <c r="BP2836" s="9">
        <f t="shared" si="404"/>
        <v>86.55</v>
      </c>
    </row>
    <row r="2837" spans="1:68">
      <c r="A2837" s="6">
        <v>45055</v>
      </c>
      <c r="B2837" s="7">
        <v>3031</v>
      </c>
      <c r="C2837" s="8"/>
      <c r="D2837" s="8"/>
      <c r="E2837" s="8"/>
      <c r="F2837" s="8"/>
      <c r="G2837" s="8"/>
      <c r="H2837" s="8"/>
      <c r="I2837" s="8">
        <v>1207.71</v>
      </c>
      <c r="J2837" s="8"/>
      <c r="K2837" s="8"/>
      <c r="L2837" s="8"/>
      <c r="M2837" s="8"/>
      <c r="N2837" s="8">
        <v>8.59</v>
      </c>
      <c r="O2837" s="8"/>
      <c r="P2837" s="8"/>
      <c r="Q2837" s="11"/>
      <c r="R2837" s="11"/>
      <c r="S2837" s="8">
        <v>0.84</v>
      </c>
      <c r="T2837" s="8"/>
      <c r="U2837" s="8"/>
      <c r="V2837" s="8"/>
      <c r="W2837" s="8">
        <v>12.11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>
        <f>1822*10.07/1000</f>
        <v>18.347540000000002</v>
      </c>
      <c r="AJ2837" s="8"/>
      <c r="AK2837" s="8"/>
      <c r="AL2837" s="8"/>
      <c r="AM2837" s="8"/>
      <c r="AN2837" s="8">
        <f>1216*10.07/1000</f>
        <v>12.24512</v>
      </c>
      <c r="AO2837" s="8"/>
      <c r="AP2837" s="11"/>
      <c r="AQ2837" s="8"/>
      <c r="AR2837" s="8">
        <f>3636*10.07/1000</f>
        <v>36.614520000000006</v>
      </c>
      <c r="AS2837" s="8"/>
      <c r="AT2837" s="8">
        <v>575.4</v>
      </c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>
        <v>39.049999999999997</v>
      </c>
      <c r="BH2837" s="9">
        <f t="shared" si="396"/>
        <v>1207.71</v>
      </c>
      <c r="BI2837" s="9">
        <f t="shared" si="397"/>
        <v>8.59</v>
      </c>
      <c r="BJ2837" s="9">
        <f t="shared" si="398"/>
        <v>0.84</v>
      </c>
      <c r="BK2837" s="9">
        <f t="shared" si="399"/>
        <v>12.11</v>
      </c>
      <c r="BL2837" s="9">
        <f t="shared" si="400"/>
        <v>0</v>
      </c>
      <c r="BM2837" s="9">
        <f t="shared" si="401"/>
        <v>67.207180000000008</v>
      </c>
      <c r="BN2837" s="9">
        <f t="shared" si="402"/>
        <v>575.4</v>
      </c>
      <c r="BO2837" s="9">
        <f t="shared" si="403"/>
        <v>0</v>
      </c>
      <c r="BP2837" s="9">
        <f t="shared" si="404"/>
        <v>0</v>
      </c>
    </row>
    <row r="2838" spans="1:68">
      <c r="A2838" s="6">
        <v>45055</v>
      </c>
      <c r="B2838" s="7">
        <v>3022</v>
      </c>
      <c r="C2838" s="8"/>
      <c r="D2838" s="8">
        <v>334.09</v>
      </c>
      <c r="E2838" s="8"/>
      <c r="F2838" s="8"/>
      <c r="G2838" s="8"/>
      <c r="H2838" s="8"/>
      <c r="I2838" s="8">
        <v>272.45</v>
      </c>
      <c r="J2838" s="8"/>
      <c r="K2838" s="8"/>
      <c r="L2838" s="8"/>
      <c r="M2838" s="8"/>
      <c r="N2838" s="8">
        <v>3.03</v>
      </c>
      <c r="O2838" s="8"/>
      <c r="P2838" s="8"/>
      <c r="Q2838" s="11"/>
      <c r="R2838" s="11"/>
      <c r="S2838" s="8">
        <v>1.0900000000000001</v>
      </c>
      <c r="T2838" s="8"/>
      <c r="U2838" s="8"/>
      <c r="V2838" s="8"/>
      <c r="W2838" s="8">
        <v>6.06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>
        <v>7.86</v>
      </c>
      <c r="AN2838" s="8"/>
      <c r="AO2838" s="8"/>
      <c r="AP2838" s="11"/>
      <c r="AQ2838" s="8"/>
      <c r="AR2838" s="8"/>
      <c r="AS2838" s="8">
        <f>3880*5.5/1000</f>
        <v>21.34</v>
      </c>
      <c r="AT2838" s="8">
        <v>283.60000000000002</v>
      </c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>
        <v>21.8</v>
      </c>
      <c r="BH2838" s="9">
        <f t="shared" si="396"/>
        <v>606.54</v>
      </c>
      <c r="BI2838" s="9">
        <f t="shared" si="397"/>
        <v>3.03</v>
      </c>
      <c r="BJ2838" s="9">
        <f t="shared" si="398"/>
        <v>1.0900000000000001</v>
      </c>
      <c r="BK2838" s="9">
        <f t="shared" si="399"/>
        <v>6.06</v>
      </c>
      <c r="BL2838" s="9">
        <f t="shared" si="400"/>
        <v>0</v>
      </c>
      <c r="BM2838" s="9">
        <f t="shared" si="401"/>
        <v>29.2</v>
      </c>
      <c r="BN2838" s="9">
        <f t="shared" si="402"/>
        <v>283.60000000000002</v>
      </c>
      <c r="BO2838" s="9">
        <f t="shared" si="403"/>
        <v>0</v>
      </c>
      <c r="BP2838" s="9">
        <f t="shared" si="404"/>
        <v>0</v>
      </c>
    </row>
    <row r="2839" spans="1:68">
      <c r="A2839" s="6">
        <v>45055</v>
      </c>
      <c r="B2839" s="7">
        <v>3200</v>
      </c>
      <c r="C2839" s="8">
        <v>2289.86</v>
      </c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>
        <v>5.74</v>
      </c>
      <c r="P2839" s="8"/>
      <c r="Q2839" s="11"/>
      <c r="R2839" s="11"/>
      <c r="S2839" s="8">
        <v>8.93</v>
      </c>
      <c r="T2839" s="8"/>
      <c r="U2839" s="8">
        <v>34.35</v>
      </c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>
        <v>113.23</v>
      </c>
      <c r="AG2839" s="8"/>
      <c r="AH2839" s="8"/>
      <c r="AI2839" s="8"/>
      <c r="AJ2839" s="8"/>
      <c r="AK2839" s="8"/>
      <c r="AL2839" s="8"/>
      <c r="AM2839" s="8"/>
      <c r="AN2839" s="8"/>
      <c r="AO2839" s="8"/>
      <c r="AP2839" s="11"/>
      <c r="AQ2839" s="8">
        <f>1545*22.9/1000</f>
        <v>35.380499999999998</v>
      </c>
      <c r="AR2839" s="8"/>
      <c r="AS2839" s="8"/>
      <c r="AT2839" s="8">
        <v>1566.29</v>
      </c>
      <c r="AU2839" s="8"/>
      <c r="AV2839" s="8"/>
      <c r="AW2839" s="8">
        <v>6.54</v>
      </c>
      <c r="AX2839" s="8"/>
      <c r="AY2839" s="8"/>
      <c r="AZ2839" s="8"/>
      <c r="BA2839" s="8"/>
      <c r="BB2839" s="8"/>
      <c r="BC2839" s="8"/>
      <c r="BD2839" s="8"/>
      <c r="BE2839" s="8"/>
      <c r="BF2839" s="8"/>
      <c r="BG2839" s="8">
        <v>113.21</v>
      </c>
      <c r="BH2839" s="9">
        <f t="shared" si="396"/>
        <v>2289.86</v>
      </c>
      <c r="BI2839" s="9">
        <f t="shared" si="397"/>
        <v>5.74</v>
      </c>
      <c r="BJ2839" s="9">
        <f t="shared" si="398"/>
        <v>8.93</v>
      </c>
      <c r="BK2839" s="9">
        <f t="shared" si="399"/>
        <v>34.35</v>
      </c>
      <c r="BL2839" s="9">
        <f t="shared" si="400"/>
        <v>0</v>
      </c>
      <c r="BM2839" s="9">
        <f t="shared" si="401"/>
        <v>148.6105</v>
      </c>
      <c r="BN2839" s="9">
        <f t="shared" si="402"/>
        <v>1566.29</v>
      </c>
      <c r="BO2839" s="9">
        <f t="shared" si="403"/>
        <v>6.54</v>
      </c>
      <c r="BP2839" s="9">
        <f t="shared" si="404"/>
        <v>0</v>
      </c>
    </row>
    <row r="2840" spans="1:68">
      <c r="A2840" s="6">
        <v>45055</v>
      </c>
      <c r="B2840" s="7">
        <v>3200</v>
      </c>
      <c r="C2840" s="8">
        <v>1216.46</v>
      </c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>
        <v>3.05</v>
      </c>
      <c r="P2840" s="8"/>
      <c r="Q2840" s="11"/>
      <c r="R2840" s="11"/>
      <c r="S2840" s="8">
        <v>4.75</v>
      </c>
      <c r="T2840" s="8"/>
      <c r="U2840" s="8">
        <v>18.260000000000002</v>
      </c>
      <c r="V2840" s="8"/>
      <c r="W2840" s="8"/>
      <c r="X2840" s="8"/>
      <c r="Y2840" s="8"/>
      <c r="Z2840" s="8">
        <v>255.73</v>
      </c>
      <c r="AA2840" s="8"/>
      <c r="AB2840" s="8"/>
      <c r="AC2840" s="8"/>
      <c r="AD2840" s="8"/>
      <c r="AE2840" s="8"/>
      <c r="AF2840" s="8">
        <v>60.39</v>
      </c>
      <c r="AG2840" s="8"/>
      <c r="AH2840" s="8"/>
      <c r="AI2840" s="8"/>
      <c r="AJ2840" s="8"/>
      <c r="AK2840" s="8"/>
      <c r="AL2840" s="8"/>
      <c r="AM2840" s="8"/>
      <c r="AN2840" s="8"/>
      <c r="AO2840" s="8"/>
      <c r="AP2840" s="11"/>
      <c r="AQ2840" s="8">
        <f>1545*12.17/1000</f>
        <v>18.80265</v>
      </c>
      <c r="AR2840" s="8"/>
      <c r="AS2840" s="8"/>
      <c r="AT2840" s="8">
        <v>831.83</v>
      </c>
      <c r="AU2840" s="8"/>
      <c r="AV2840" s="8"/>
      <c r="AW2840" s="8">
        <v>3.58</v>
      </c>
      <c r="AX2840" s="8"/>
      <c r="AY2840" s="8"/>
      <c r="AZ2840" s="8"/>
      <c r="BA2840" s="8"/>
      <c r="BB2840" s="8"/>
      <c r="BC2840" s="8"/>
      <c r="BD2840" s="8"/>
      <c r="BE2840" s="8"/>
      <c r="BF2840" s="8"/>
      <c r="BG2840" s="8">
        <v>60.47</v>
      </c>
      <c r="BH2840" s="9">
        <f t="shared" si="396"/>
        <v>1216.46</v>
      </c>
      <c r="BI2840" s="9">
        <f t="shared" si="397"/>
        <v>3.05</v>
      </c>
      <c r="BJ2840" s="9">
        <f t="shared" si="398"/>
        <v>4.75</v>
      </c>
      <c r="BK2840" s="9">
        <f t="shared" si="399"/>
        <v>18.260000000000002</v>
      </c>
      <c r="BL2840" s="9">
        <f t="shared" si="400"/>
        <v>255.73</v>
      </c>
      <c r="BM2840" s="9">
        <f t="shared" si="401"/>
        <v>79.19265</v>
      </c>
      <c r="BN2840" s="9">
        <f t="shared" si="402"/>
        <v>831.83</v>
      </c>
      <c r="BO2840" s="9">
        <f t="shared" si="403"/>
        <v>3.58</v>
      </c>
      <c r="BP2840" s="9">
        <f t="shared" si="404"/>
        <v>0</v>
      </c>
    </row>
    <row r="2841" spans="1:68">
      <c r="A2841" s="6">
        <v>45055</v>
      </c>
      <c r="B2841" s="7">
        <v>3105</v>
      </c>
      <c r="C2841" s="8">
        <v>506.83</v>
      </c>
      <c r="D2841" s="8"/>
      <c r="E2841" s="8"/>
      <c r="F2841" s="8"/>
      <c r="G2841" s="8"/>
      <c r="H2841" s="8"/>
      <c r="I2841" s="8"/>
      <c r="J2841" s="8"/>
      <c r="K2841" s="8"/>
      <c r="L2841" s="8"/>
      <c r="M2841" s="8">
        <v>1.17</v>
      </c>
      <c r="N2841" s="8"/>
      <c r="O2841" s="8"/>
      <c r="P2841" s="8"/>
      <c r="Q2841" s="11"/>
      <c r="R2841" s="11"/>
      <c r="S2841" s="8">
        <v>1.53</v>
      </c>
      <c r="T2841" s="8"/>
      <c r="U2841" s="8">
        <v>6.42</v>
      </c>
      <c r="V2841" s="8"/>
      <c r="W2841" s="8"/>
      <c r="X2841" s="8"/>
      <c r="Y2841" s="8"/>
      <c r="Z2841" s="8"/>
      <c r="AA2841" s="8"/>
      <c r="AB2841" s="8"/>
      <c r="AC2841" s="8">
        <v>2.0299999999999998</v>
      </c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11"/>
      <c r="AQ2841" s="8"/>
      <c r="AR2841" s="8"/>
      <c r="AS2841" s="8"/>
      <c r="AT2841" s="8">
        <v>288.67</v>
      </c>
      <c r="AU2841" s="8"/>
      <c r="AV2841" s="8">
        <v>1.85</v>
      </c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>
        <v>21.64</v>
      </c>
      <c r="BH2841" s="9">
        <f t="shared" si="396"/>
        <v>506.83</v>
      </c>
      <c r="BI2841" s="9">
        <f t="shared" si="397"/>
        <v>1.17</v>
      </c>
      <c r="BJ2841" s="9">
        <f t="shared" si="398"/>
        <v>1.53</v>
      </c>
      <c r="BK2841" s="9">
        <f t="shared" si="399"/>
        <v>6.42</v>
      </c>
      <c r="BL2841" s="9">
        <f t="shared" si="400"/>
        <v>0</v>
      </c>
      <c r="BM2841" s="9">
        <f t="shared" si="401"/>
        <v>2.0299999999999998</v>
      </c>
      <c r="BN2841" s="9">
        <f t="shared" si="402"/>
        <v>288.67</v>
      </c>
      <c r="BO2841" s="9">
        <f t="shared" si="403"/>
        <v>1.85</v>
      </c>
      <c r="BP2841" s="9">
        <f t="shared" si="404"/>
        <v>0</v>
      </c>
    </row>
    <row r="2842" spans="1:68">
      <c r="A2842" s="6">
        <v>45055</v>
      </c>
      <c r="B2842" s="7">
        <v>3113</v>
      </c>
      <c r="C2842" s="8">
        <v>3073.34</v>
      </c>
      <c r="D2842" s="8"/>
      <c r="E2842" s="8"/>
      <c r="F2842" s="8"/>
      <c r="G2842" s="8"/>
      <c r="H2842" s="8"/>
      <c r="I2842" s="8"/>
      <c r="J2842" s="8"/>
      <c r="K2842" s="8"/>
      <c r="L2842" s="8"/>
      <c r="M2842" s="8">
        <v>2.4500000000000002</v>
      </c>
      <c r="N2842" s="8">
        <v>2.4900000000000002</v>
      </c>
      <c r="O2842" s="8"/>
      <c r="P2842" s="8"/>
      <c r="Q2842" s="11"/>
      <c r="R2842" s="11"/>
      <c r="S2842" s="8">
        <v>9.25</v>
      </c>
      <c r="T2842" s="8"/>
      <c r="U2842" s="8">
        <v>30.78</v>
      </c>
      <c r="V2842" s="8"/>
      <c r="W2842" s="8"/>
      <c r="X2842" s="8"/>
      <c r="Y2842" s="8"/>
      <c r="Z2842" s="8"/>
      <c r="AA2842" s="8"/>
      <c r="AB2842" s="8"/>
      <c r="AC2842" s="8">
        <v>12.29</v>
      </c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11"/>
      <c r="AQ2842" s="8"/>
      <c r="AR2842" s="8"/>
      <c r="AS2842" s="8"/>
      <c r="AT2842" s="8">
        <v>1291.52</v>
      </c>
      <c r="AU2842" s="8"/>
      <c r="AV2842" s="8">
        <v>104.62</v>
      </c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>
        <v>92.24</v>
      </c>
      <c r="BH2842" s="9">
        <f t="shared" si="396"/>
        <v>3073.34</v>
      </c>
      <c r="BI2842" s="9">
        <f t="shared" si="397"/>
        <v>4.9400000000000004</v>
      </c>
      <c r="BJ2842" s="9">
        <f t="shared" si="398"/>
        <v>9.25</v>
      </c>
      <c r="BK2842" s="9">
        <f t="shared" si="399"/>
        <v>30.78</v>
      </c>
      <c r="BL2842" s="9">
        <f t="shared" si="400"/>
        <v>0</v>
      </c>
      <c r="BM2842" s="9">
        <f t="shared" si="401"/>
        <v>12.29</v>
      </c>
      <c r="BN2842" s="9">
        <f t="shared" si="402"/>
        <v>1291.52</v>
      </c>
      <c r="BO2842" s="9">
        <f t="shared" si="403"/>
        <v>104.62</v>
      </c>
      <c r="BP2842" s="9">
        <f t="shared" si="404"/>
        <v>0</v>
      </c>
    </row>
    <row r="2843" spans="1:68">
      <c r="A2843" s="6">
        <v>45055</v>
      </c>
      <c r="B2843" s="7">
        <v>3106</v>
      </c>
      <c r="C2843" s="8">
        <v>8178.54</v>
      </c>
      <c r="D2843" s="8"/>
      <c r="E2843" s="8"/>
      <c r="F2843" s="8"/>
      <c r="G2843" s="8"/>
      <c r="H2843" s="8"/>
      <c r="I2843" s="8"/>
      <c r="J2843" s="8"/>
      <c r="K2843" s="8"/>
      <c r="L2843" s="8"/>
      <c r="M2843" s="8">
        <v>18.04</v>
      </c>
      <c r="N2843" s="8"/>
      <c r="O2843" s="8"/>
      <c r="P2843" s="8"/>
      <c r="Q2843" s="11"/>
      <c r="R2843" s="11"/>
      <c r="S2843" s="8">
        <v>24.59</v>
      </c>
      <c r="T2843" s="8"/>
      <c r="U2843" s="8">
        <v>104.06</v>
      </c>
      <c r="V2843" s="8"/>
      <c r="W2843" s="8"/>
      <c r="X2843" s="8"/>
      <c r="Y2843" s="8"/>
      <c r="Z2843" s="8"/>
      <c r="AA2843" s="8"/>
      <c r="AB2843" s="8"/>
      <c r="AC2843" s="8">
        <v>20.45</v>
      </c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11"/>
      <c r="AQ2843" s="8"/>
      <c r="AR2843" s="8"/>
      <c r="AS2843" s="8"/>
      <c r="AT2843" s="8">
        <v>4656.6400000000003</v>
      </c>
      <c r="AU2843" s="8"/>
      <c r="AV2843" s="8"/>
      <c r="AW2843" s="8"/>
      <c r="AX2843" s="8">
        <v>10.24</v>
      </c>
      <c r="AY2843" s="8"/>
      <c r="AZ2843" s="8"/>
      <c r="BA2843" s="8"/>
      <c r="BB2843" s="8"/>
      <c r="BC2843" s="8"/>
      <c r="BD2843" s="8"/>
      <c r="BE2843" s="8"/>
      <c r="BF2843" s="8"/>
      <c r="BG2843" s="8">
        <v>352.26</v>
      </c>
      <c r="BH2843" s="9">
        <f t="shared" si="396"/>
        <v>8178.54</v>
      </c>
      <c r="BI2843" s="9">
        <f t="shared" si="397"/>
        <v>18.04</v>
      </c>
      <c r="BJ2843" s="9">
        <f t="shared" si="398"/>
        <v>24.59</v>
      </c>
      <c r="BK2843" s="9">
        <f t="shared" si="399"/>
        <v>104.06</v>
      </c>
      <c r="BL2843" s="9">
        <f t="shared" si="400"/>
        <v>0</v>
      </c>
      <c r="BM2843" s="9">
        <f t="shared" si="401"/>
        <v>20.45</v>
      </c>
      <c r="BN2843" s="9">
        <f t="shared" si="402"/>
        <v>4656.6400000000003</v>
      </c>
      <c r="BO2843" s="9">
        <f t="shared" si="403"/>
        <v>10.24</v>
      </c>
      <c r="BP2843" s="9">
        <f t="shared" si="404"/>
        <v>0</v>
      </c>
    </row>
    <row r="2844" spans="1:68">
      <c r="A2844" s="6">
        <v>45055</v>
      </c>
      <c r="B2844" s="7">
        <v>3141</v>
      </c>
      <c r="C2844" s="8">
        <v>2421.64</v>
      </c>
      <c r="D2844" s="8">
        <v>427.12</v>
      </c>
      <c r="E2844" s="8"/>
      <c r="F2844" s="8"/>
      <c r="G2844" s="8"/>
      <c r="H2844" s="8"/>
      <c r="I2844" s="8"/>
      <c r="J2844" s="8"/>
      <c r="K2844" s="8"/>
      <c r="L2844" s="8"/>
      <c r="M2844" s="8">
        <v>6.85</v>
      </c>
      <c r="N2844" s="8"/>
      <c r="O2844" s="8"/>
      <c r="P2844" s="8"/>
      <c r="Q2844" s="11"/>
      <c r="R2844" s="11"/>
      <c r="S2844" s="8">
        <v>13.4</v>
      </c>
      <c r="T2844" s="8"/>
      <c r="U2844" s="8">
        <v>42.73</v>
      </c>
      <c r="V2844" s="8"/>
      <c r="W2844" s="8"/>
      <c r="X2844" s="8"/>
      <c r="Y2844" s="8"/>
      <c r="Z2844" s="8"/>
      <c r="AA2844" s="8"/>
      <c r="AB2844" s="8"/>
      <c r="AC2844" s="8">
        <v>11.39</v>
      </c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11"/>
      <c r="AQ2844" s="8"/>
      <c r="AR2844" s="8"/>
      <c r="AS2844" s="8"/>
      <c r="AT2844" s="8">
        <v>1881.03</v>
      </c>
      <c r="AU2844" s="8"/>
      <c r="AV2844" s="8"/>
      <c r="AW2844" s="8"/>
      <c r="AX2844" s="8"/>
      <c r="AY2844" s="8"/>
      <c r="AZ2844" s="8"/>
      <c r="BA2844" s="8">
        <v>65.239999999999995</v>
      </c>
      <c r="BB2844" s="8"/>
      <c r="BC2844" s="8"/>
      <c r="BD2844" s="8"/>
      <c r="BE2844" s="8"/>
      <c r="BF2844" s="8"/>
      <c r="BG2844" s="8">
        <v>147.93</v>
      </c>
      <c r="BH2844" s="9">
        <f t="shared" si="396"/>
        <v>2848.7599999999998</v>
      </c>
      <c r="BI2844" s="9">
        <f t="shared" si="397"/>
        <v>6.85</v>
      </c>
      <c r="BJ2844" s="9">
        <f t="shared" si="398"/>
        <v>13.4</v>
      </c>
      <c r="BK2844" s="9">
        <f t="shared" si="399"/>
        <v>42.73</v>
      </c>
      <c r="BL2844" s="9">
        <f t="shared" si="400"/>
        <v>0</v>
      </c>
      <c r="BM2844" s="9">
        <f t="shared" si="401"/>
        <v>11.39</v>
      </c>
      <c r="BN2844" s="9">
        <f t="shared" si="402"/>
        <v>1881.03</v>
      </c>
      <c r="BO2844" s="9">
        <f t="shared" si="403"/>
        <v>65.239999999999995</v>
      </c>
      <c r="BP2844" s="9">
        <f t="shared" si="404"/>
        <v>0</v>
      </c>
    </row>
    <row r="2845" spans="1:68">
      <c r="A2845" s="6">
        <v>45055</v>
      </c>
      <c r="B2845" s="7">
        <v>3145</v>
      </c>
      <c r="C2845" s="8">
        <v>1237.82</v>
      </c>
      <c r="D2845" s="8">
        <v>218.38</v>
      </c>
      <c r="E2845" s="8"/>
      <c r="F2845" s="8"/>
      <c r="G2845" s="8"/>
      <c r="H2845" s="8"/>
      <c r="I2845" s="8"/>
      <c r="J2845" s="8"/>
      <c r="K2845" s="8"/>
      <c r="L2845" s="8"/>
      <c r="M2845" s="8">
        <v>3.84</v>
      </c>
      <c r="N2845" s="8"/>
      <c r="O2845" s="8"/>
      <c r="P2845" s="8"/>
      <c r="Q2845" s="11"/>
      <c r="R2845" s="11"/>
      <c r="S2845" s="8">
        <v>6.85</v>
      </c>
      <c r="T2845" s="8"/>
      <c r="U2845" s="8">
        <v>21.85</v>
      </c>
      <c r="V2845" s="8"/>
      <c r="W2845" s="8"/>
      <c r="X2845" s="8"/>
      <c r="Y2845" s="8"/>
      <c r="Z2845" s="8"/>
      <c r="AA2845" s="8"/>
      <c r="AB2845" s="8"/>
      <c r="AC2845" s="8">
        <v>5.83</v>
      </c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11"/>
      <c r="AQ2845" s="8"/>
      <c r="AR2845" s="8"/>
      <c r="AS2845" s="8"/>
      <c r="AT2845" s="8">
        <v>968.14</v>
      </c>
      <c r="AU2845" s="8"/>
      <c r="AV2845" s="8"/>
      <c r="AW2845" s="8"/>
      <c r="AX2845" s="8"/>
      <c r="AY2845" s="8"/>
      <c r="AZ2845" s="8"/>
      <c r="BA2845" s="8"/>
      <c r="BB2845" s="8"/>
      <c r="BC2845" s="8"/>
      <c r="BD2845" s="8">
        <v>3.64</v>
      </c>
      <c r="BE2845" s="8">
        <f>1352*9.7/1000</f>
        <v>13.1144</v>
      </c>
      <c r="BF2845" s="8">
        <v>102.04</v>
      </c>
      <c r="BG2845" s="8">
        <v>75.650000000000006</v>
      </c>
      <c r="BH2845" s="9">
        <f t="shared" si="396"/>
        <v>1456.1999999999998</v>
      </c>
      <c r="BI2845" s="9">
        <f t="shared" si="397"/>
        <v>3.84</v>
      </c>
      <c r="BJ2845" s="9">
        <f t="shared" si="398"/>
        <v>6.85</v>
      </c>
      <c r="BK2845" s="9">
        <f t="shared" si="399"/>
        <v>21.85</v>
      </c>
      <c r="BL2845" s="9">
        <f t="shared" si="400"/>
        <v>0</v>
      </c>
      <c r="BM2845" s="9">
        <f t="shared" si="401"/>
        <v>5.83</v>
      </c>
      <c r="BN2845" s="9">
        <f t="shared" si="402"/>
        <v>968.14</v>
      </c>
      <c r="BO2845" s="9">
        <f t="shared" si="403"/>
        <v>16.7544</v>
      </c>
      <c r="BP2845" s="9">
        <f t="shared" si="404"/>
        <v>102.04</v>
      </c>
    </row>
    <row r="2846" spans="1:68">
      <c r="A2846" s="6">
        <v>45056</v>
      </c>
      <c r="B2846" s="7">
        <v>8275</v>
      </c>
      <c r="C2846" s="8">
        <v>635.11</v>
      </c>
      <c r="D2846" s="8">
        <v>113.11</v>
      </c>
      <c r="E2846" s="8"/>
      <c r="F2846" s="8"/>
      <c r="G2846" s="8"/>
      <c r="H2846" s="8"/>
      <c r="I2846" s="8"/>
      <c r="J2846" s="8"/>
      <c r="K2846" s="8"/>
      <c r="L2846" s="8"/>
      <c r="M2846" s="8">
        <v>2.46</v>
      </c>
      <c r="N2846" s="8"/>
      <c r="O2846" s="8"/>
      <c r="P2846" s="8"/>
      <c r="Q2846" s="11"/>
      <c r="R2846" s="11"/>
      <c r="S2846" s="8">
        <v>3.51</v>
      </c>
      <c r="T2846" s="8"/>
      <c r="U2846" s="8">
        <v>11.26</v>
      </c>
      <c r="V2846" s="8"/>
      <c r="W2846" s="8"/>
      <c r="X2846" s="8"/>
      <c r="Y2846" s="8"/>
      <c r="Z2846" s="8"/>
      <c r="AA2846" s="8"/>
      <c r="AB2846" s="8"/>
      <c r="AC2846" s="8">
        <v>3</v>
      </c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11"/>
      <c r="AQ2846" s="8"/>
      <c r="AR2846" s="8"/>
      <c r="AS2846" s="8"/>
      <c r="AT2846" s="8">
        <v>490.18</v>
      </c>
      <c r="AU2846" s="8"/>
      <c r="AV2846" s="8"/>
      <c r="AW2846" s="8">
        <v>24.19</v>
      </c>
      <c r="AX2846" s="8"/>
      <c r="AY2846" s="8"/>
      <c r="AZ2846" s="8"/>
      <c r="BA2846" s="8"/>
      <c r="BB2846" s="8"/>
      <c r="BC2846" s="8"/>
      <c r="BD2846" s="8"/>
      <c r="BE2846" s="8"/>
      <c r="BF2846" s="8">
        <v>52.35</v>
      </c>
      <c r="BG2846" s="8">
        <v>39.200000000000003</v>
      </c>
      <c r="BH2846" s="9">
        <f t="shared" si="396"/>
        <v>748.22</v>
      </c>
      <c r="BI2846" s="9">
        <f t="shared" si="397"/>
        <v>2.46</v>
      </c>
      <c r="BJ2846" s="9">
        <f t="shared" si="398"/>
        <v>3.51</v>
      </c>
      <c r="BK2846" s="9">
        <f t="shared" si="399"/>
        <v>11.26</v>
      </c>
      <c r="BL2846" s="9">
        <f t="shared" si="400"/>
        <v>0</v>
      </c>
      <c r="BM2846" s="9">
        <f t="shared" si="401"/>
        <v>3</v>
      </c>
      <c r="BN2846" s="9">
        <f t="shared" si="402"/>
        <v>490.18</v>
      </c>
      <c r="BO2846" s="9">
        <f t="shared" si="403"/>
        <v>24.19</v>
      </c>
      <c r="BP2846" s="9">
        <f t="shared" si="404"/>
        <v>52.35</v>
      </c>
    </row>
    <row r="2847" spans="1:68">
      <c r="A2847" s="6">
        <v>45056</v>
      </c>
      <c r="B2847" s="7">
        <v>3106</v>
      </c>
      <c r="C2847" s="8">
        <v>6083.67</v>
      </c>
      <c r="D2847" s="8"/>
      <c r="E2847" s="8"/>
      <c r="F2847" s="8"/>
      <c r="G2847" s="8"/>
      <c r="H2847" s="8"/>
      <c r="I2847" s="8"/>
      <c r="J2847" s="8"/>
      <c r="K2847" s="8"/>
      <c r="L2847" s="8"/>
      <c r="M2847" s="8">
        <v>12.99</v>
      </c>
      <c r="N2847" s="8"/>
      <c r="O2847" s="8"/>
      <c r="P2847" s="8"/>
      <c r="Q2847" s="11"/>
      <c r="R2847" s="11"/>
      <c r="S2847" s="8">
        <v>18.29</v>
      </c>
      <c r="T2847" s="8"/>
      <c r="U2847" s="8">
        <v>77.42</v>
      </c>
      <c r="V2847" s="8"/>
      <c r="W2847" s="8"/>
      <c r="X2847" s="8"/>
      <c r="Y2847" s="8"/>
      <c r="Z2847" s="8"/>
      <c r="AA2847" s="8"/>
      <c r="AB2847" s="8"/>
      <c r="AC2847" s="8">
        <v>15.22</v>
      </c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11"/>
      <c r="AQ2847" s="8"/>
      <c r="AR2847" s="8"/>
      <c r="AS2847" s="8"/>
      <c r="AT2847" s="8">
        <v>3468.55</v>
      </c>
      <c r="AU2847" s="8"/>
      <c r="AV2847" s="8"/>
      <c r="AW2847" s="8"/>
      <c r="AX2847" s="8">
        <v>7.61</v>
      </c>
      <c r="AY2847" s="8"/>
      <c r="AZ2847" s="8"/>
      <c r="BA2847" s="8"/>
      <c r="BB2847" s="8"/>
      <c r="BC2847" s="8"/>
      <c r="BD2847" s="8"/>
      <c r="BE2847" s="8"/>
      <c r="BF2847" s="8"/>
      <c r="BG2847" s="8">
        <v>263.44</v>
      </c>
      <c r="BH2847" s="9">
        <f t="shared" si="396"/>
        <v>6083.67</v>
      </c>
      <c r="BI2847" s="9">
        <f t="shared" si="397"/>
        <v>12.99</v>
      </c>
      <c r="BJ2847" s="9">
        <f t="shared" si="398"/>
        <v>18.29</v>
      </c>
      <c r="BK2847" s="9">
        <f t="shared" si="399"/>
        <v>77.42</v>
      </c>
      <c r="BL2847" s="9">
        <f t="shared" si="400"/>
        <v>0</v>
      </c>
      <c r="BM2847" s="9">
        <f t="shared" si="401"/>
        <v>15.22</v>
      </c>
      <c r="BN2847" s="9">
        <f t="shared" si="402"/>
        <v>3468.55</v>
      </c>
      <c r="BO2847" s="9">
        <f t="shared" si="403"/>
        <v>7.61</v>
      </c>
      <c r="BP2847" s="9">
        <f t="shared" si="404"/>
        <v>0</v>
      </c>
    </row>
    <row r="2848" spans="1:68">
      <c r="A2848" s="6">
        <v>45056</v>
      </c>
      <c r="B2848" s="7">
        <v>3141</v>
      </c>
      <c r="C2848" s="8">
        <v>2420.36</v>
      </c>
      <c r="D2848" s="8">
        <v>427.15</v>
      </c>
      <c r="E2848" s="8"/>
      <c r="F2848" s="8"/>
      <c r="G2848" s="8"/>
      <c r="H2848" s="8"/>
      <c r="I2848" s="8"/>
      <c r="J2848" s="8"/>
      <c r="K2848" s="8"/>
      <c r="L2848" s="8"/>
      <c r="M2848" s="8">
        <v>7</v>
      </c>
      <c r="N2848" s="8"/>
      <c r="O2848" s="8"/>
      <c r="P2848" s="8"/>
      <c r="Q2848" s="11"/>
      <c r="R2848" s="11"/>
      <c r="S2848" s="8">
        <v>13.4</v>
      </c>
      <c r="T2848" s="8"/>
      <c r="U2848" s="8">
        <v>42.73</v>
      </c>
      <c r="V2848" s="8"/>
      <c r="W2848" s="8"/>
      <c r="X2848" s="8"/>
      <c r="Y2848" s="8"/>
      <c r="Z2848" s="8"/>
      <c r="AA2848" s="8"/>
      <c r="AB2848" s="8"/>
      <c r="AC2848" s="8">
        <v>11.4</v>
      </c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11"/>
      <c r="AQ2848" s="8"/>
      <c r="AR2848" s="8"/>
      <c r="AS2848" s="8"/>
      <c r="AT2848" s="8">
        <v>1877.13</v>
      </c>
      <c r="AU2848" s="8"/>
      <c r="AV2848" s="8"/>
      <c r="AW2848" s="8"/>
      <c r="AX2848" s="8"/>
      <c r="AY2848" s="8"/>
      <c r="AZ2848" s="8"/>
      <c r="BA2848" s="8">
        <v>65.290000000000006</v>
      </c>
      <c r="BB2848" s="8"/>
      <c r="BC2848" s="8"/>
      <c r="BD2848" s="8"/>
      <c r="BE2848" s="8"/>
      <c r="BF2848" s="8">
        <v>199.34</v>
      </c>
      <c r="BG2848" s="8">
        <v>148.24</v>
      </c>
      <c r="BH2848" s="9">
        <f t="shared" si="396"/>
        <v>2847.51</v>
      </c>
      <c r="BI2848" s="9">
        <f t="shared" si="397"/>
        <v>7</v>
      </c>
      <c r="BJ2848" s="9">
        <f t="shared" si="398"/>
        <v>13.4</v>
      </c>
      <c r="BK2848" s="9">
        <f t="shared" si="399"/>
        <v>42.73</v>
      </c>
      <c r="BL2848" s="9">
        <f t="shared" si="400"/>
        <v>0</v>
      </c>
      <c r="BM2848" s="9">
        <f t="shared" si="401"/>
        <v>11.4</v>
      </c>
      <c r="BN2848" s="9">
        <f t="shared" si="402"/>
        <v>1877.13</v>
      </c>
      <c r="BO2848" s="9">
        <f t="shared" si="403"/>
        <v>65.290000000000006</v>
      </c>
      <c r="BP2848" s="9">
        <f t="shared" si="404"/>
        <v>199.34</v>
      </c>
    </row>
    <row r="2849" spans="1:68">
      <c r="A2849" s="6">
        <v>45056</v>
      </c>
      <c r="B2849" s="7">
        <v>3121</v>
      </c>
      <c r="C2849" s="8">
        <v>2196.2199999999998</v>
      </c>
      <c r="D2849" s="8"/>
      <c r="E2849" s="8"/>
      <c r="F2849" s="8"/>
      <c r="G2849" s="8"/>
      <c r="H2849" s="8"/>
      <c r="I2849" s="8"/>
      <c r="J2849" s="8"/>
      <c r="K2849" s="8"/>
      <c r="L2849" s="8"/>
      <c r="M2849" s="8">
        <v>4.66</v>
      </c>
      <c r="N2849" s="8"/>
      <c r="O2849" s="8"/>
      <c r="P2849" s="8"/>
      <c r="Q2849" s="11"/>
      <c r="R2849" s="11"/>
      <c r="S2849" s="8">
        <v>7.03</v>
      </c>
      <c r="T2849" s="8"/>
      <c r="U2849" s="8">
        <v>21.94</v>
      </c>
      <c r="V2849" s="8"/>
      <c r="W2849" s="8"/>
      <c r="X2849" s="8"/>
      <c r="Y2849" s="8"/>
      <c r="Z2849" s="8"/>
      <c r="AA2849" s="8"/>
      <c r="AB2849" s="8"/>
      <c r="AC2849" s="8">
        <v>8.7799999999999994</v>
      </c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11">
        <f>2190*0.01</f>
        <v>21.900000000000002</v>
      </c>
      <c r="AQ2849" s="8"/>
      <c r="AR2849" s="8"/>
      <c r="AS2849" s="8"/>
      <c r="AT2849" s="8">
        <v>1162.58</v>
      </c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>
        <v>85.96</v>
      </c>
      <c r="BH2849" s="9">
        <f t="shared" si="396"/>
        <v>2196.2199999999998</v>
      </c>
      <c r="BI2849" s="9">
        <f t="shared" si="397"/>
        <v>4.66</v>
      </c>
      <c r="BJ2849" s="9">
        <f t="shared" si="398"/>
        <v>7.03</v>
      </c>
      <c r="BK2849" s="9">
        <f t="shared" si="399"/>
        <v>21.94</v>
      </c>
      <c r="BL2849" s="9">
        <f t="shared" si="400"/>
        <v>0</v>
      </c>
      <c r="BM2849" s="9">
        <f t="shared" si="401"/>
        <v>30.68</v>
      </c>
      <c r="BN2849" s="9">
        <f t="shared" si="402"/>
        <v>1162.58</v>
      </c>
      <c r="BO2849" s="9">
        <f t="shared" si="403"/>
        <v>0</v>
      </c>
      <c r="BP2849" s="9">
        <f t="shared" si="404"/>
        <v>0</v>
      </c>
    </row>
    <row r="2850" spans="1:68">
      <c r="A2850" s="6">
        <v>45056</v>
      </c>
      <c r="B2850" s="7">
        <v>3083</v>
      </c>
      <c r="C2850" s="8"/>
      <c r="D2850" s="8">
        <v>1083.78</v>
      </c>
      <c r="E2850" s="8"/>
      <c r="F2850" s="8"/>
      <c r="G2850" s="8"/>
      <c r="H2850" s="8"/>
      <c r="I2850" s="8">
        <v>2521.85</v>
      </c>
      <c r="J2850" s="8"/>
      <c r="K2850" s="8"/>
      <c r="L2850" s="8"/>
      <c r="M2850" s="8"/>
      <c r="N2850" s="8">
        <v>23.41</v>
      </c>
      <c r="O2850" s="8"/>
      <c r="P2850" s="8"/>
      <c r="Q2850" s="11"/>
      <c r="R2850" s="11"/>
      <c r="S2850" s="8">
        <v>2.5099999999999998</v>
      </c>
      <c r="T2850" s="8"/>
      <c r="U2850" s="8"/>
      <c r="V2850" s="8"/>
      <c r="W2850" s="8">
        <v>28.85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>
        <v>14.37</v>
      </c>
      <c r="AN2850" s="8">
        <f>1915*26.68/1000</f>
        <v>51.092199999999998</v>
      </c>
      <c r="AO2850" s="8"/>
      <c r="AP2850" s="11"/>
      <c r="AQ2850" s="8"/>
      <c r="AR2850" s="8">
        <f>3451*26.68/1000</f>
        <v>92.072679999999991</v>
      </c>
      <c r="AS2850" s="8"/>
      <c r="AT2850" s="8">
        <v>1694.16</v>
      </c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>
        <v>134.37</v>
      </c>
      <c r="BH2850" s="9">
        <f t="shared" si="396"/>
        <v>3605.63</v>
      </c>
      <c r="BI2850" s="9">
        <f t="shared" si="397"/>
        <v>23.41</v>
      </c>
      <c r="BJ2850" s="9">
        <f t="shared" si="398"/>
        <v>2.5099999999999998</v>
      </c>
      <c r="BK2850" s="9">
        <f t="shared" si="399"/>
        <v>28.85</v>
      </c>
      <c r="BL2850" s="9">
        <f t="shared" si="400"/>
        <v>0</v>
      </c>
      <c r="BM2850" s="9">
        <f t="shared" si="401"/>
        <v>157.53487999999999</v>
      </c>
      <c r="BN2850" s="9">
        <f t="shared" si="402"/>
        <v>1694.16</v>
      </c>
      <c r="BO2850" s="9">
        <f t="shared" si="403"/>
        <v>0</v>
      </c>
      <c r="BP2850" s="9">
        <f t="shared" si="404"/>
        <v>0</v>
      </c>
    </row>
    <row r="2851" spans="1:68">
      <c r="A2851" s="6">
        <v>45056</v>
      </c>
      <c r="B2851" s="7">
        <v>3021</v>
      </c>
      <c r="C2851" s="8"/>
      <c r="D2851" s="8">
        <v>205.72</v>
      </c>
      <c r="E2851" s="8"/>
      <c r="F2851" s="8"/>
      <c r="G2851" s="8"/>
      <c r="H2851" s="8"/>
      <c r="I2851" s="8">
        <v>380.96</v>
      </c>
      <c r="J2851" s="8"/>
      <c r="K2851" s="8"/>
      <c r="L2851" s="8"/>
      <c r="M2851" s="8"/>
      <c r="N2851" s="8">
        <v>3.12</v>
      </c>
      <c r="O2851" s="8"/>
      <c r="P2851" s="8"/>
      <c r="Q2851" s="11"/>
      <c r="R2851" s="11"/>
      <c r="S2851" s="8">
        <v>1.06</v>
      </c>
      <c r="T2851" s="8"/>
      <c r="U2851" s="8"/>
      <c r="V2851" s="8"/>
      <c r="W2851" s="8">
        <v>5.87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>
        <v>5.87</v>
      </c>
      <c r="AN2851" s="8"/>
      <c r="AO2851" s="8"/>
      <c r="AP2851" s="11"/>
      <c r="AQ2851" s="8"/>
      <c r="AR2851" s="8"/>
      <c r="AS2851" s="8">
        <f>2633*5.6/1000</f>
        <v>14.7448</v>
      </c>
      <c r="AT2851" s="8">
        <v>276.33</v>
      </c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>
        <v>20.98</v>
      </c>
      <c r="BH2851" s="9">
        <f t="shared" si="396"/>
        <v>586.67999999999995</v>
      </c>
      <c r="BI2851" s="9">
        <f t="shared" si="397"/>
        <v>3.12</v>
      </c>
      <c r="BJ2851" s="9">
        <f t="shared" si="398"/>
        <v>1.06</v>
      </c>
      <c r="BK2851" s="9">
        <f t="shared" si="399"/>
        <v>5.87</v>
      </c>
      <c r="BL2851" s="9">
        <f t="shared" si="400"/>
        <v>0</v>
      </c>
      <c r="BM2851" s="9">
        <f t="shared" si="401"/>
        <v>20.614799999999999</v>
      </c>
      <c r="BN2851" s="9">
        <f t="shared" si="402"/>
        <v>276.33</v>
      </c>
      <c r="BO2851" s="9">
        <f t="shared" si="403"/>
        <v>0</v>
      </c>
      <c r="BP2851" s="9">
        <f t="shared" si="404"/>
        <v>0</v>
      </c>
    </row>
    <row r="2852" spans="1:68">
      <c r="A2852" s="6">
        <v>45056</v>
      </c>
      <c r="B2852" s="7">
        <v>3020</v>
      </c>
      <c r="C2852" s="8"/>
      <c r="D2852" s="8">
        <v>95.26</v>
      </c>
      <c r="E2852" s="8"/>
      <c r="F2852" s="8"/>
      <c r="G2852" s="8"/>
      <c r="H2852" s="8"/>
      <c r="I2852" s="8">
        <v>535.63</v>
      </c>
      <c r="J2852" s="8"/>
      <c r="K2852" s="8"/>
      <c r="L2852" s="8"/>
      <c r="M2852" s="8"/>
      <c r="N2852" s="8">
        <v>3.86</v>
      </c>
      <c r="O2852" s="8"/>
      <c r="P2852" s="8"/>
      <c r="Q2852" s="11"/>
      <c r="R2852" s="11"/>
      <c r="S2852" s="8">
        <v>1.1399999999999999</v>
      </c>
      <c r="T2852" s="8"/>
      <c r="U2852" s="8"/>
      <c r="V2852" s="8"/>
      <c r="W2852" s="8">
        <v>6.32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>
        <v>6.31</v>
      </c>
      <c r="AN2852" s="8"/>
      <c r="AO2852" s="8"/>
      <c r="AP2852" s="11"/>
      <c r="AQ2852" s="8"/>
      <c r="AR2852" s="8"/>
      <c r="AS2852" s="8">
        <f>3054*5.27/1000</f>
        <v>16.094579999999997</v>
      </c>
      <c r="AT2852" s="8">
        <v>310.12</v>
      </c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>
        <v>22.79</v>
      </c>
      <c r="BH2852" s="9">
        <f t="shared" si="396"/>
        <v>630.89</v>
      </c>
      <c r="BI2852" s="9">
        <f t="shared" si="397"/>
        <v>3.86</v>
      </c>
      <c r="BJ2852" s="9">
        <f t="shared" si="398"/>
        <v>1.1399999999999999</v>
      </c>
      <c r="BK2852" s="9">
        <f t="shared" si="399"/>
        <v>6.32</v>
      </c>
      <c r="BL2852" s="9">
        <f t="shared" si="400"/>
        <v>0</v>
      </c>
      <c r="BM2852" s="9">
        <f t="shared" si="401"/>
        <v>22.404579999999996</v>
      </c>
      <c r="BN2852" s="9">
        <f t="shared" si="402"/>
        <v>310.12</v>
      </c>
      <c r="BO2852" s="9">
        <f t="shared" si="403"/>
        <v>0</v>
      </c>
      <c r="BP2852" s="9">
        <f t="shared" si="404"/>
        <v>0</v>
      </c>
    </row>
    <row r="2853" spans="1:68">
      <c r="A2853" s="6">
        <v>45056</v>
      </c>
      <c r="B2853" s="7">
        <v>3307</v>
      </c>
      <c r="C2853" s="8"/>
      <c r="D2853" s="8">
        <v>979.67</v>
      </c>
      <c r="E2853" s="8"/>
      <c r="F2853" s="8"/>
      <c r="G2853" s="8"/>
      <c r="H2853" s="8"/>
      <c r="I2853" s="8"/>
      <c r="J2853" s="8"/>
      <c r="K2853" s="8"/>
      <c r="L2853" s="8"/>
      <c r="M2853" s="8">
        <v>0.88</v>
      </c>
      <c r="N2853" s="8"/>
      <c r="O2853" s="8"/>
      <c r="P2853" s="8"/>
      <c r="Q2853" s="11"/>
      <c r="R2853" s="11"/>
      <c r="S2853" s="8">
        <v>6.66</v>
      </c>
      <c r="T2853" s="8"/>
      <c r="U2853" s="8">
        <v>9.81</v>
      </c>
      <c r="V2853" s="8"/>
      <c r="W2853" s="8"/>
      <c r="X2853" s="8"/>
      <c r="Y2853" s="8"/>
      <c r="Z2853" s="8"/>
      <c r="AA2853" s="8"/>
      <c r="AB2853" s="8"/>
      <c r="AC2853" s="8">
        <v>5.88</v>
      </c>
      <c r="AD2853" s="8"/>
      <c r="AE2853" s="8"/>
      <c r="AF2853" s="8"/>
      <c r="AG2853" s="8">
        <v>9.8000000000000007</v>
      </c>
      <c r="AH2853" s="8"/>
      <c r="AI2853" s="8"/>
      <c r="AJ2853" s="8"/>
      <c r="AK2853" s="8"/>
      <c r="AL2853" s="8"/>
      <c r="AM2853" s="8"/>
      <c r="AN2853" s="8"/>
      <c r="AO2853" s="8"/>
      <c r="AP2853" s="11"/>
      <c r="AQ2853" s="8"/>
      <c r="AR2853" s="8"/>
      <c r="AS2853" s="8"/>
      <c r="AT2853" s="8"/>
      <c r="AU2853" s="8">
        <v>491.48</v>
      </c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>
        <v>35.26</v>
      </c>
      <c r="BH2853" s="9">
        <f t="shared" si="396"/>
        <v>979.67</v>
      </c>
      <c r="BI2853" s="9">
        <f t="shared" si="397"/>
        <v>0.88</v>
      </c>
      <c r="BJ2853" s="9">
        <f t="shared" si="398"/>
        <v>6.66</v>
      </c>
      <c r="BK2853" s="9">
        <f t="shared" si="399"/>
        <v>9.81</v>
      </c>
      <c r="BL2853" s="9">
        <f t="shared" si="400"/>
        <v>0</v>
      </c>
      <c r="BM2853" s="9">
        <f t="shared" si="401"/>
        <v>15.68</v>
      </c>
      <c r="BN2853" s="9">
        <f t="shared" si="402"/>
        <v>491.48</v>
      </c>
      <c r="BO2853" s="9">
        <f t="shared" si="403"/>
        <v>0</v>
      </c>
      <c r="BP2853" s="9">
        <f t="shared" si="404"/>
        <v>0</v>
      </c>
    </row>
    <row r="2854" spans="1:68">
      <c r="A2854" s="6">
        <v>45057</v>
      </c>
      <c r="B2854" s="7">
        <v>3145</v>
      </c>
      <c r="C2854" s="8">
        <v>1248.32</v>
      </c>
      <c r="D2854" s="8">
        <v>220.29</v>
      </c>
      <c r="E2854" s="8"/>
      <c r="F2854" s="8"/>
      <c r="G2854" s="8"/>
      <c r="H2854" s="8"/>
      <c r="I2854" s="8"/>
      <c r="J2854" s="8"/>
      <c r="K2854" s="8"/>
      <c r="L2854" s="8"/>
      <c r="M2854" s="8">
        <v>3.44</v>
      </c>
      <c r="N2854" s="8"/>
      <c r="O2854" s="8"/>
      <c r="P2854" s="8"/>
      <c r="Q2854" s="11"/>
      <c r="R2854" s="11"/>
      <c r="S2854" s="8">
        <v>6.91</v>
      </c>
      <c r="T2854" s="8"/>
      <c r="U2854" s="8">
        <v>22.04</v>
      </c>
      <c r="V2854" s="8"/>
      <c r="W2854" s="8"/>
      <c r="X2854" s="8"/>
      <c r="Y2854" s="8"/>
      <c r="Z2854" s="8"/>
      <c r="AA2854" s="8"/>
      <c r="AB2854" s="8"/>
      <c r="AC2854" s="8">
        <v>5.87</v>
      </c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11"/>
      <c r="AQ2854" s="8"/>
      <c r="AR2854" s="8"/>
      <c r="AS2854" s="8"/>
      <c r="AT2854" s="8">
        <v>968.82</v>
      </c>
      <c r="AU2854" s="8"/>
      <c r="AV2854" s="8"/>
      <c r="AW2854" s="8"/>
      <c r="AX2854" s="8"/>
      <c r="AY2854" s="8"/>
      <c r="AZ2854" s="8"/>
      <c r="BA2854" s="8"/>
      <c r="BB2854" s="8"/>
      <c r="BC2854" s="8"/>
      <c r="BD2854" s="8">
        <v>3.67</v>
      </c>
      <c r="BE2854" s="8">
        <f>1363*9.8/1000</f>
        <v>13.357400000000002</v>
      </c>
      <c r="BF2854" s="8">
        <v>102.84</v>
      </c>
      <c r="BG2854" s="8">
        <v>76.23</v>
      </c>
      <c r="BH2854" s="9">
        <f t="shared" si="396"/>
        <v>1468.61</v>
      </c>
      <c r="BI2854" s="9">
        <f t="shared" si="397"/>
        <v>3.44</v>
      </c>
      <c r="BJ2854" s="9">
        <f t="shared" si="398"/>
        <v>6.91</v>
      </c>
      <c r="BK2854" s="9">
        <f t="shared" si="399"/>
        <v>22.04</v>
      </c>
      <c r="BL2854" s="9">
        <f t="shared" si="400"/>
        <v>0</v>
      </c>
      <c r="BM2854" s="9">
        <f t="shared" si="401"/>
        <v>5.87</v>
      </c>
      <c r="BN2854" s="9">
        <f t="shared" si="402"/>
        <v>968.82</v>
      </c>
      <c r="BO2854" s="9">
        <f t="shared" si="403"/>
        <v>17.0274</v>
      </c>
      <c r="BP2854" s="9">
        <f t="shared" si="404"/>
        <v>102.84</v>
      </c>
    </row>
    <row r="2855" spans="1:68">
      <c r="A2855" s="6">
        <v>45057</v>
      </c>
      <c r="B2855" s="7">
        <v>3141</v>
      </c>
      <c r="C2855" s="8">
        <v>1213.08</v>
      </c>
      <c r="D2855" s="8">
        <v>214.06</v>
      </c>
      <c r="E2855" s="8"/>
      <c r="F2855" s="8"/>
      <c r="G2855" s="8"/>
      <c r="H2855" s="8"/>
      <c r="I2855" s="8"/>
      <c r="J2855" s="8"/>
      <c r="K2855" s="8"/>
      <c r="L2855" s="8"/>
      <c r="M2855" s="8">
        <v>3.32</v>
      </c>
      <c r="N2855" s="8"/>
      <c r="O2855" s="8"/>
      <c r="P2855" s="8"/>
      <c r="Q2855" s="11"/>
      <c r="R2855" s="11"/>
      <c r="S2855" s="8">
        <v>6.71</v>
      </c>
      <c r="T2855" s="8"/>
      <c r="U2855" s="8">
        <v>21.42</v>
      </c>
      <c r="V2855" s="8"/>
      <c r="W2855" s="8"/>
      <c r="X2855" s="8"/>
      <c r="Y2855" s="8"/>
      <c r="Z2855" s="8"/>
      <c r="AA2855" s="8"/>
      <c r="AB2855" s="8"/>
      <c r="AC2855" s="8">
        <v>5.71</v>
      </c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11"/>
      <c r="AQ2855" s="8"/>
      <c r="AR2855" s="8"/>
      <c r="AS2855" s="8"/>
      <c r="AT2855" s="8">
        <v>941.19</v>
      </c>
      <c r="AU2855" s="8"/>
      <c r="AV2855" s="8"/>
      <c r="AW2855" s="8"/>
      <c r="AX2855" s="8"/>
      <c r="AY2855" s="8"/>
      <c r="AZ2855" s="8"/>
      <c r="BA2855" s="8">
        <v>32.72</v>
      </c>
      <c r="BB2855" s="8"/>
      <c r="BC2855" s="8"/>
      <c r="BD2855" s="8"/>
      <c r="BE2855" s="8"/>
      <c r="BF2855" s="8">
        <v>99.93</v>
      </c>
      <c r="BG2855" s="8">
        <v>74.239999999999995</v>
      </c>
      <c r="BH2855" s="9">
        <f t="shared" si="396"/>
        <v>1427.1399999999999</v>
      </c>
      <c r="BI2855" s="9">
        <f t="shared" si="397"/>
        <v>3.32</v>
      </c>
      <c r="BJ2855" s="9">
        <f t="shared" si="398"/>
        <v>6.71</v>
      </c>
      <c r="BK2855" s="9">
        <f t="shared" si="399"/>
        <v>21.42</v>
      </c>
      <c r="BL2855" s="9">
        <f t="shared" si="400"/>
        <v>0</v>
      </c>
      <c r="BM2855" s="9">
        <f t="shared" si="401"/>
        <v>5.71</v>
      </c>
      <c r="BN2855" s="9">
        <f t="shared" si="402"/>
        <v>941.19</v>
      </c>
      <c r="BO2855" s="9">
        <f t="shared" si="403"/>
        <v>32.72</v>
      </c>
      <c r="BP2855" s="9">
        <f t="shared" si="404"/>
        <v>99.93</v>
      </c>
    </row>
    <row r="2856" spans="1:68">
      <c r="A2856" s="6">
        <v>45057</v>
      </c>
      <c r="B2856" s="7">
        <v>3106</v>
      </c>
      <c r="C2856" s="8">
        <v>4082.25</v>
      </c>
      <c r="D2856" s="8"/>
      <c r="E2856" s="8"/>
      <c r="F2856" s="8"/>
      <c r="G2856" s="8"/>
      <c r="H2856" s="8"/>
      <c r="I2856" s="8"/>
      <c r="J2856" s="8"/>
      <c r="K2856" s="8"/>
      <c r="L2856" s="8"/>
      <c r="M2856" s="8">
        <v>8.61</v>
      </c>
      <c r="N2856" s="8"/>
      <c r="O2856" s="8"/>
      <c r="P2856" s="8"/>
      <c r="Q2856" s="11"/>
      <c r="R2856" s="11"/>
      <c r="S2856" s="8">
        <v>12.28</v>
      </c>
      <c r="T2856" s="8"/>
      <c r="U2856" s="8">
        <v>51.96</v>
      </c>
      <c r="V2856" s="8"/>
      <c r="W2856" s="8"/>
      <c r="X2856" s="8"/>
      <c r="Y2856" s="8"/>
      <c r="Z2856" s="8"/>
      <c r="AA2856" s="8"/>
      <c r="AB2856" s="8"/>
      <c r="AC2856" s="8">
        <v>10.210000000000001</v>
      </c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11"/>
      <c r="AQ2856" s="8"/>
      <c r="AR2856" s="8"/>
      <c r="AS2856" s="8"/>
      <c r="AT2856" s="8">
        <v>2329.04</v>
      </c>
      <c r="AU2856" s="8"/>
      <c r="AV2856" s="8"/>
      <c r="AW2856" s="8"/>
      <c r="AX2856" s="8">
        <v>5.1100000000000003</v>
      </c>
      <c r="AY2856" s="8"/>
      <c r="AZ2856" s="8"/>
      <c r="BA2856" s="8"/>
      <c r="BB2856" s="8"/>
      <c r="BC2856" s="8"/>
      <c r="BD2856" s="8"/>
      <c r="BE2856" s="8"/>
      <c r="BF2856" s="8"/>
      <c r="BG2856" s="8">
        <v>175.88</v>
      </c>
      <c r="BH2856" s="9">
        <f t="shared" si="396"/>
        <v>4082.25</v>
      </c>
      <c r="BI2856" s="9">
        <f t="shared" si="397"/>
        <v>8.61</v>
      </c>
      <c r="BJ2856" s="9">
        <f t="shared" si="398"/>
        <v>12.28</v>
      </c>
      <c r="BK2856" s="9">
        <f t="shared" si="399"/>
        <v>51.96</v>
      </c>
      <c r="BL2856" s="9">
        <f t="shared" si="400"/>
        <v>0</v>
      </c>
      <c r="BM2856" s="9">
        <f t="shared" si="401"/>
        <v>10.210000000000001</v>
      </c>
      <c r="BN2856" s="9">
        <f t="shared" si="402"/>
        <v>2329.04</v>
      </c>
      <c r="BO2856" s="9">
        <f t="shared" si="403"/>
        <v>5.1100000000000003</v>
      </c>
      <c r="BP2856" s="9">
        <f t="shared" si="404"/>
        <v>0</v>
      </c>
    </row>
    <row r="2857" spans="1:68">
      <c r="A2857" s="6">
        <v>45057</v>
      </c>
      <c r="B2857" s="7">
        <v>3112</v>
      </c>
      <c r="C2857" s="8">
        <v>3232.98</v>
      </c>
      <c r="D2857" s="8"/>
      <c r="E2857" s="8"/>
      <c r="F2857" s="8"/>
      <c r="G2857" s="8"/>
      <c r="H2857" s="8"/>
      <c r="I2857" s="8"/>
      <c r="J2857" s="8"/>
      <c r="K2857" s="8"/>
      <c r="L2857" s="8"/>
      <c r="M2857" s="8">
        <v>2.8</v>
      </c>
      <c r="N2857" s="8">
        <v>2.82</v>
      </c>
      <c r="O2857" s="8"/>
      <c r="P2857" s="8"/>
      <c r="Q2857" s="11"/>
      <c r="R2857" s="11"/>
      <c r="S2857" s="8">
        <v>9.6999999999999993</v>
      </c>
      <c r="T2857" s="8"/>
      <c r="U2857" s="8">
        <v>32.340000000000003</v>
      </c>
      <c r="V2857" s="8"/>
      <c r="W2857" s="8"/>
      <c r="X2857" s="8"/>
      <c r="Y2857" s="8"/>
      <c r="Z2857" s="8"/>
      <c r="AA2857" s="8"/>
      <c r="AB2857" s="8"/>
      <c r="AC2857" s="8">
        <v>12.92</v>
      </c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11"/>
      <c r="AQ2857" s="8"/>
      <c r="AR2857" s="8"/>
      <c r="AS2857" s="8"/>
      <c r="AT2857" s="8">
        <v>1355.86</v>
      </c>
      <c r="AU2857" s="8"/>
      <c r="AV2857" s="8"/>
      <c r="AW2857" s="8"/>
      <c r="AX2857" s="8"/>
      <c r="AY2857" s="8"/>
      <c r="AZ2857" s="8"/>
      <c r="BA2857" s="8">
        <v>42.72</v>
      </c>
      <c r="BB2857" s="8"/>
      <c r="BC2857" s="8"/>
      <c r="BD2857" s="8"/>
      <c r="BE2857" s="8"/>
      <c r="BF2857" s="8"/>
      <c r="BG2857" s="8">
        <v>97.12</v>
      </c>
      <c r="BH2857" s="9">
        <f t="shared" si="396"/>
        <v>3232.98</v>
      </c>
      <c r="BI2857" s="9">
        <f t="shared" si="397"/>
        <v>5.6199999999999992</v>
      </c>
      <c r="BJ2857" s="9">
        <f t="shared" si="398"/>
        <v>9.6999999999999993</v>
      </c>
      <c r="BK2857" s="9">
        <f t="shared" si="399"/>
        <v>32.340000000000003</v>
      </c>
      <c r="BL2857" s="9">
        <f t="shared" si="400"/>
        <v>0</v>
      </c>
      <c r="BM2857" s="9">
        <f t="shared" si="401"/>
        <v>12.92</v>
      </c>
      <c r="BN2857" s="9">
        <f t="shared" si="402"/>
        <v>1355.86</v>
      </c>
      <c r="BO2857" s="9">
        <f t="shared" si="403"/>
        <v>42.72</v>
      </c>
      <c r="BP2857" s="9">
        <f t="shared" si="404"/>
        <v>0</v>
      </c>
    </row>
    <row r="2858" spans="1:68">
      <c r="A2858" s="6">
        <v>45057</v>
      </c>
      <c r="B2858" s="7">
        <v>3029</v>
      </c>
      <c r="C2858" s="8"/>
      <c r="D2858" s="8">
        <v>478.66</v>
      </c>
      <c r="E2858" s="8"/>
      <c r="F2858" s="8">
        <v>337.83</v>
      </c>
      <c r="G2858" s="8"/>
      <c r="H2858" s="8"/>
      <c r="I2858" s="8">
        <v>1997.73</v>
      </c>
      <c r="J2858" s="8"/>
      <c r="K2858" s="8"/>
      <c r="L2858" s="8"/>
      <c r="M2858" s="8"/>
      <c r="N2858" s="8">
        <v>21.96</v>
      </c>
      <c r="O2858" s="8"/>
      <c r="P2858" s="8"/>
      <c r="Q2858" s="11"/>
      <c r="R2858" s="11"/>
      <c r="S2858" s="8">
        <v>1.69</v>
      </c>
      <c r="T2858" s="8"/>
      <c r="U2858" s="8"/>
      <c r="V2858" s="8"/>
      <c r="W2858" s="8">
        <v>28.16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>
        <v>9.83</v>
      </c>
      <c r="AN2858" s="8">
        <f>762*18.77/1000</f>
        <v>14.30274</v>
      </c>
      <c r="AO2858" s="8"/>
      <c r="AP2858" s="11"/>
      <c r="AQ2858" s="8"/>
      <c r="AR2858" s="8">
        <f>4532*18.77/1000</f>
        <v>85.065640000000002</v>
      </c>
      <c r="AS2858" s="8"/>
      <c r="AT2858" s="8">
        <v>1068.58</v>
      </c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>
        <v>74.63</v>
      </c>
      <c r="BH2858" s="9">
        <f t="shared" si="396"/>
        <v>2814.2200000000003</v>
      </c>
      <c r="BI2858" s="9">
        <f t="shared" si="397"/>
        <v>21.96</v>
      </c>
      <c r="BJ2858" s="9">
        <f t="shared" si="398"/>
        <v>1.69</v>
      </c>
      <c r="BK2858" s="9">
        <f t="shared" si="399"/>
        <v>28.16</v>
      </c>
      <c r="BL2858" s="9">
        <f t="shared" si="400"/>
        <v>0</v>
      </c>
      <c r="BM2858" s="9">
        <f t="shared" si="401"/>
        <v>109.19838</v>
      </c>
      <c r="BN2858" s="9">
        <f t="shared" si="402"/>
        <v>1068.58</v>
      </c>
      <c r="BO2858" s="9">
        <f t="shared" si="403"/>
        <v>0</v>
      </c>
      <c r="BP2858" s="9">
        <f t="shared" si="404"/>
        <v>0</v>
      </c>
    </row>
    <row r="2859" spans="1:68">
      <c r="A2859" s="6">
        <v>45057</v>
      </c>
      <c r="B2859" s="7">
        <v>3010</v>
      </c>
      <c r="C2859" s="8">
        <v>651.61</v>
      </c>
      <c r="D2859" s="8">
        <v>433.97</v>
      </c>
      <c r="E2859" s="8"/>
      <c r="F2859" s="8"/>
      <c r="G2859" s="8"/>
      <c r="H2859" s="8"/>
      <c r="I2859" s="8"/>
      <c r="J2859" s="8"/>
      <c r="K2859" s="8"/>
      <c r="L2859" s="8"/>
      <c r="M2859" s="8"/>
      <c r="N2859" s="8">
        <v>2.16</v>
      </c>
      <c r="O2859" s="8"/>
      <c r="P2859" s="8"/>
      <c r="Q2859" s="11"/>
      <c r="R2859" s="11"/>
      <c r="S2859" s="8">
        <v>2.93</v>
      </c>
      <c r="T2859" s="8"/>
      <c r="U2859" s="8"/>
      <c r="V2859" s="8"/>
      <c r="W2859" s="8">
        <v>10.83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11"/>
      <c r="AQ2859" s="8"/>
      <c r="AR2859" s="8"/>
      <c r="AS2859" s="8"/>
      <c r="AT2859" s="8">
        <v>362.45</v>
      </c>
      <c r="AU2859" s="8"/>
      <c r="AV2859" s="8"/>
      <c r="AW2859" s="8">
        <v>12.02</v>
      </c>
      <c r="AX2859" s="8"/>
      <c r="AY2859" s="8"/>
      <c r="AZ2859" s="8"/>
      <c r="BA2859" s="8"/>
      <c r="BB2859" s="8"/>
      <c r="BC2859" s="8"/>
      <c r="BD2859" s="8"/>
      <c r="BE2859" s="8"/>
      <c r="BF2859" s="8"/>
      <c r="BG2859" s="8">
        <v>23.89</v>
      </c>
      <c r="BH2859" s="9">
        <f t="shared" si="396"/>
        <v>1085.58</v>
      </c>
      <c r="BI2859" s="9">
        <f t="shared" si="397"/>
        <v>2.16</v>
      </c>
      <c r="BJ2859" s="9">
        <f t="shared" si="398"/>
        <v>2.93</v>
      </c>
      <c r="BK2859" s="9">
        <f t="shared" si="399"/>
        <v>10.83</v>
      </c>
      <c r="BL2859" s="9">
        <f t="shared" si="400"/>
        <v>0</v>
      </c>
      <c r="BM2859" s="9">
        <f t="shared" si="401"/>
        <v>0</v>
      </c>
      <c r="BN2859" s="9">
        <f t="shared" si="402"/>
        <v>362.45</v>
      </c>
      <c r="BO2859" s="9">
        <f t="shared" si="403"/>
        <v>12.02</v>
      </c>
      <c r="BP2859" s="9">
        <f t="shared" si="404"/>
        <v>0</v>
      </c>
    </row>
    <row r="2860" spans="1:68">
      <c r="A2860" s="6">
        <v>45057</v>
      </c>
      <c r="B2860" s="7">
        <v>3013</v>
      </c>
      <c r="C2860" s="8">
        <v>1043.9000000000001</v>
      </c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>
        <v>2.09</v>
      </c>
      <c r="O2860" s="8"/>
      <c r="P2860" s="8"/>
      <c r="Q2860" s="11"/>
      <c r="R2860" s="11"/>
      <c r="S2860" s="8">
        <v>2.41</v>
      </c>
      <c r="T2860" s="8"/>
      <c r="U2860" s="8"/>
      <c r="V2860" s="8"/>
      <c r="W2860" s="8">
        <v>10.46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11"/>
      <c r="AQ2860" s="8"/>
      <c r="AR2860" s="8"/>
      <c r="AS2860" s="8"/>
      <c r="AT2860" s="8">
        <v>360.39</v>
      </c>
      <c r="AU2860" s="8"/>
      <c r="AV2860" s="8"/>
      <c r="AW2860" s="8">
        <v>11.61</v>
      </c>
      <c r="AX2860" s="8"/>
      <c r="AY2860" s="8"/>
      <c r="AZ2860" s="8"/>
      <c r="BA2860" s="8"/>
      <c r="BB2860" s="8"/>
      <c r="BC2860" s="8"/>
      <c r="BD2860" s="8"/>
      <c r="BE2860" s="8"/>
      <c r="BF2860" s="8"/>
      <c r="BG2860" s="8">
        <v>24.11</v>
      </c>
      <c r="BH2860" s="9">
        <f t="shared" si="396"/>
        <v>1043.9000000000001</v>
      </c>
      <c r="BI2860" s="9">
        <f t="shared" si="397"/>
        <v>2.09</v>
      </c>
      <c r="BJ2860" s="9">
        <f t="shared" si="398"/>
        <v>2.41</v>
      </c>
      <c r="BK2860" s="9">
        <f t="shared" si="399"/>
        <v>10.46</v>
      </c>
      <c r="BL2860" s="9">
        <f t="shared" si="400"/>
        <v>0</v>
      </c>
      <c r="BM2860" s="9">
        <f t="shared" si="401"/>
        <v>0</v>
      </c>
      <c r="BN2860" s="9">
        <f t="shared" si="402"/>
        <v>360.39</v>
      </c>
      <c r="BO2860" s="9">
        <f t="shared" si="403"/>
        <v>11.61</v>
      </c>
      <c r="BP2860" s="9">
        <f t="shared" si="404"/>
        <v>0</v>
      </c>
    </row>
    <row r="2861" spans="1:68">
      <c r="A2861" s="6">
        <v>45057</v>
      </c>
      <c r="B2861" s="7">
        <v>3122</v>
      </c>
      <c r="C2861" s="8">
        <v>1717.37</v>
      </c>
      <c r="D2861" s="8"/>
      <c r="E2861" s="8"/>
      <c r="F2861" s="8"/>
      <c r="G2861" s="8"/>
      <c r="H2861" s="8"/>
      <c r="I2861" s="8"/>
      <c r="J2861" s="8"/>
      <c r="K2861" s="8"/>
      <c r="L2861" s="8"/>
      <c r="M2861" s="8">
        <v>3.1</v>
      </c>
      <c r="N2861" s="8">
        <v>3.08</v>
      </c>
      <c r="O2861" s="8"/>
      <c r="P2861" s="8"/>
      <c r="Q2861" s="11"/>
      <c r="R2861" s="11"/>
      <c r="S2861" s="8">
        <v>7.05</v>
      </c>
      <c r="T2861" s="8"/>
      <c r="U2861" s="8">
        <v>17.190000000000001</v>
      </c>
      <c r="V2861" s="8"/>
      <c r="W2861" s="8"/>
      <c r="X2861" s="8"/>
      <c r="Y2861" s="8"/>
      <c r="Z2861" s="8"/>
      <c r="AA2861" s="8"/>
      <c r="AB2861" s="8"/>
      <c r="AC2861" s="8">
        <v>6.87</v>
      </c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11"/>
      <c r="AQ2861" s="8"/>
      <c r="AR2861" s="8"/>
      <c r="AS2861" s="8"/>
      <c r="AT2861" s="8">
        <v>762.07</v>
      </c>
      <c r="AU2861" s="8"/>
      <c r="AV2861" s="8">
        <v>58.47</v>
      </c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>
        <v>55.87</v>
      </c>
      <c r="BH2861" s="9">
        <f t="shared" si="396"/>
        <v>1717.37</v>
      </c>
      <c r="BI2861" s="9">
        <f t="shared" si="397"/>
        <v>6.18</v>
      </c>
      <c r="BJ2861" s="9">
        <f t="shared" si="398"/>
        <v>7.05</v>
      </c>
      <c r="BK2861" s="9">
        <f t="shared" si="399"/>
        <v>17.190000000000001</v>
      </c>
      <c r="BL2861" s="9">
        <f t="shared" si="400"/>
        <v>0</v>
      </c>
      <c r="BM2861" s="9">
        <f t="shared" si="401"/>
        <v>6.87</v>
      </c>
      <c r="BN2861" s="9">
        <f t="shared" si="402"/>
        <v>762.07</v>
      </c>
      <c r="BO2861" s="9">
        <f t="shared" si="403"/>
        <v>58.47</v>
      </c>
      <c r="BP2861" s="9">
        <f t="shared" si="404"/>
        <v>0</v>
      </c>
    </row>
    <row r="2862" spans="1:68">
      <c r="A2862" s="6">
        <v>45057</v>
      </c>
      <c r="B2862" s="7">
        <v>3117</v>
      </c>
      <c r="C2862" s="8">
        <v>1565.56</v>
      </c>
      <c r="D2862" s="8"/>
      <c r="E2862" s="8"/>
      <c r="F2862" s="8"/>
      <c r="G2862" s="8"/>
      <c r="H2862" s="8"/>
      <c r="I2862" s="8"/>
      <c r="J2862" s="8"/>
      <c r="K2862" s="8"/>
      <c r="L2862" s="8"/>
      <c r="M2862" s="8">
        <v>4.51</v>
      </c>
      <c r="N2862" s="8"/>
      <c r="O2862" s="8"/>
      <c r="P2862" s="8"/>
      <c r="Q2862" s="11"/>
      <c r="R2862" s="11"/>
      <c r="S2862" s="8">
        <v>6.27</v>
      </c>
      <c r="T2862" s="8"/>
      <c r="U2862" s="8">
        <v>15.66</v>
      </c>
      <c r="V2862" s="8"/>
      <c r="W2862" s="8"/>
      <c r="X2862" s="8"/>
      <c r="Y2862" s="8"/>
      <c r="Z2862" s="8"/>
      <c r="AA2862" s="8"/>
      <c r="AB2862" s="8"/>
      <c r="AC2862" s="8">
        <v>6.26</v>
      </c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11"/>
      <c r="AQ2862" s="8"/>
      <c r="AR2862" s="8"/>
      <c r="AS2862" s="8"/>
      <c r="AT2862" s="8">
        <v>987.63</v>
      </c>
      <c r="AU2862" s="8"/>
      <c r="AV2862" s="8">
        <v>39.090000000000003</v>
      </c>
      <c r="AW2862" s="8"/>
      <c r="AX2862" s="8"/>
      <c r="AY2862" s="8"/>
      <c r="AZ2862" s="8"/>
      <c r="BA2862" s="8"/>
      <c r="BB2862" s="8"/>
      <c r="BC2862" s="8"/>
      <c r="BD2862" s="8"/>
      <c r="BE2862" s="8"/>
      <c r="BF2862" s="8">
        <v>78.23</v>
      </c>
      <c r="BG2862" s="8">
        <v>75.099999999999994</v>
      </c>
      <c r="BH2862" s="9">
        <f t="shared" si="396"/>
        <v>1565.56</v>
      </c>
      <c r="BI2862" s="9">
        <f t="shared" si="397"/>
        <v>4.51</v>
      </c>
      <c r="BJ2862" s="9">
        <f t="shared" si="398"/>
        <v>6.27</v>
      </c>
      <c r="BK2862" s="9">
        <f t="shared" si="399"/>
        <v>15.66</v>
      </c>
      <c r="BL2862" s="9">
        <f t="shared" si="400"/>
        <v>0</v>
      </c>
      <c r="BM2862" s="9">
        <f t="shared" si="401"/>
        <v>6.26</v>
      </c>
      <c r="BN2862" s="9">
        <f t="shared" si="402"/>
        <v>987.63</v>
      </c>
      <c r="BO2862" s="9">
        <f t="shared" si="403"/>
        <v>39.090000000000003</v>
      </c>
      <c r="BP2862" s="9">
        <f t="shared" si="404"/>
        <v>78.23</v>
      </c>
    </row>
    <row r="2863" spans="1:68">
      <c r="A2863" s="6">
        <v>45057</v>
      </c>
      <c r="B2863" s="7">
        <v>3602</v>
      </c>
      <c r="C2863" s="8">
        <v>575.22</v>
      </c>
      <c r="D2863" s="8"/>
      <c r="E2863" s="8"/>
      <c r="F2863" s="8"/>
      <c r="G2863" s="8">
        <v>862.03</v>
      </c>
      <c r="H2863" s="8"/>
      <c r="I2863" s="8"/>
      <c r="J2863" s="8"/>
      <c r="K2863" s="8"/>
      <c r="L2863" s="8"/>
      <c r="M2863" s="8">
        <v>1.49</v>
      </c>
      <c r="N2863" s="8"/>
      <c r="O2863" s="8"/>
      <c r="P2863" s="8"/>
      <c r="Q2863" s="11"/>
      <c r="R2863" s="11"/>
      <c r="S2863" s="8">
        <v>6.9</v>
      </c>
      <c r="T2863" s="8"/>
      <c r="U2863" s="8">
        <v>11.51</v>
      </c>
      <c r="V2863" s="8">
        <f>848*16.42/1000</f>
        <v>13.924160000000002</v>
      </c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11"/>
      <c r="AQ2863" s="8"/>
      <c r="AR2863" s="8"/>
      <c r="AS2863" s="8"/>
      <c r="AT2863" s="8">
        <v>580.04999999999995</v>
      </c>
      <c r="AU2863" s="8"/>
      <c r="AV2863" s="8"/>
      <c r="AW2863" s="8">
        <v>37.15</v>
      </c>
      <c r="AX2863" s="8"/>
      <c r="AY2863" s="8"/>
      <c r="AZ2863" s="8"/>
      <c r="BA2863" s="8"/>
      <c r="BB2863" s="8"/>
      <c r="BC2863" s="8"/>
      <c r="BD2863" s="8"/>
      <c r="BE2863" s="8"/>
      <c r="BF2863" s="8">
        <v>46.01</v>
      </c>
      <c r="BG2863" s="8">
        <v>43.22</v>
      </c>
      <c r="BH2863" s="9">
        <f t="shared" si="396"/>
        <v>1437.25</v>
      </c>
      <c r="BI2863" s="9">
        <f t="shared" si="397"/>
        <v>1.49</v>
      </c>
      <c r="BJ2863" s="9">
        <f t="shared" si="398"/>
        <v>6.9</v>
      </c>
      <c r="BK2863" s="9">
        <f t="shared" si="399"/>
        <v>25.434160000000002</v>
      </c>
      <c r="BL2863" s="9">
        <f t="shared" si="400"/>
        <v>0</v>
      </c>
      <c r="BM2863" s="9">
        <f t="shared" si="401"/>
        <v>0</v>
      </c>
      <c r="BN2863" s="9">
        <f t="shared" si="402"/>
        <v>580.04999999999995</v>
      </c>
      <c r="BO2863" s="9">
        <f t="shared" si="403"/>
        <v>37.15</v>
      </c>
      <c r="BP2863" s="9">
        <f t="shared" si="404"/>
        <v>46.01</v>
      </c>
    </row>
    <row r="2864" spans="1:68">
      <c r="A2864" s="6">
        <v>45058</v>
      </c>
      <c r="B2864" s="7">
        <v>3704</v>
      </c>
      <c r="C2864" s="8">
        <v>274.92</v>
      </c>
      <c r="D2864" s="8">
        <v>414.37</v>
      </c>
      <c r="E2864" s="8"/>
      <c r="F2864" s="8"/>
      <c r="G2864" s="8"/>
      <c r="H2864" s="8"/>
      <c r="I2864" s="8"/>
      <c r="J2864" s="8"/>
      <c r="K2864" s="8"/>
      <c r="L2864" s="8"/>
      <c r="M2864" s="8">
        <v>2.0699999999999998</v>
      </c>
      <c r="N2864" s="8"/>
      <c r="O2864" s="8"/>
      <c r="P2864" s="8"/>
      <c r="Q2864" s="11"/>
      <c r="R2864" s="11"/>
      <c r="S2864" s="8">
        <v>2.41</v>
      </c>
      <c r="T2864" s="8"/>
      <c r="U2864" s="8">
        <v>5.16</v>
      </c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>
        <v>8.26</v>
      </c>
      <c r="AN2864" s="8"/>
      <c r="AO2864" s="8"/>
      <c r="AP2864" s="11"/>
      <c r="AQ2864" s="8"/>
      <c r="AR2864" s="8"/>
      <c r="AS2864" s="8"/>
      <c r="AT2864" s="8">
        <v>119.97</v>
      </c>
      <c r="AU2864" s="8">
        <v>59.82</v>
      </c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>
        <v>10.97</v>
      </c>
      <c r="BH2864" s="9">
        <f t="shared" si="396"/>
        <v>689.29</v>
      </c>
      <c r="BI2864" s="9">
        <f t="shared" si="397"/>
        <v>2.0699999999999998</v>
      </c>
      <c r="BJ2864" s="9">
        <f t="shared" si="398"/>
        <v>2.41</v>
      </c>
      <c r="BK2864" s="9">
        <f t="shared" si="399"/>
        <v>5.16</v>
      </c>
      <c r="BL2864" s="9">
        <f t="shared" si="400"/>
        <v>0</v>
      </c>
      <c r="BM2864" s="9">
        <f t="shared" si="401"/>
        <v>8.26</v>
      </c>
      <c r="BN2864" s="9">
        <f t="shared" si="402"/>
        <v>179.79</v>
      </c>
      <c r="BO2864" s="9">
        <f t="shared" si="403"/>
        <v>0</v>
      </c>
      <c r="BP2864" s="9">
        <f t="shared" si="404"/>
        <v>0</v>
      </c>
    </row>
    <row r="2865" spans="1:68">
      <c r="A2865" s="6">
        <v>45058</v>
      </c>
      <c r="B2865" s="7">
        <v>3702</v>
      </c>
      <c r="C2865" s="8">
        <v>652.48</v>
      </c>
      <c r="D2865" s="8">
        <v>436.04</v>
      </c>
      <c r="E2865" s="8"/>
      <c r="F2865" s="8"/>
      <c r="G2865" s="8"/>
      <c r="H2865" s="8"/>
      <c r="I2865" s="8"/>
      <c r="J2865" s="8"/>
      <c r="K2865" s="8"/>
      <c r="L2865" s="8"/>
      <c r="M2865" s="8">
        <v>2.19</v>
      </c>
      <c r="N2865" s="8"/>
      <c r="O2865" s="8"/>
      <c r="P2865" s="8"/>
      <c r="Q2865" s="11"/>
      <c r="R2865" s="11"/>
      <c r="S2865" s="8">
        <v>5.1100000000000003</v>
      </c>
      <c r="T2865" s="8"/>
      <c r="U2865" s="8">
        <v>8.17</v>
      </c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11"/>
      <c r="AQ2865" s="8"/>
      <c r="AR2865" s="8"/>
      <c r="AS2865" s="8"/>
      <c r="AT2865" s="8">
        <v>265.33999999999997</v>
      </c>
      <c r="AU2865" s="8">
        <v>132.6</v>
      </c>
      <c r="AV2865" s="8"/>
      <c r="AW2865" s="8">
        <v>2.42</v>
      </c>
      <c r="AX2865" s="8"/>
      <c r="AY2865" s="8"/>
      <c r="AZ2865" s="8"/>
      <c r="BA2865" s="8"/>
      <c r="BB2865" s="8"/>
      <c r="BC2865" s="8"/>
      <c r="BD2865" s="8"/>
      <c r="BE2865" s="8"/>
      <c r="BF2865" s="8"/>
      <c r="BG2865" s="8">
        <v>27.7</v>
      </c>
      <c r="BH2865" s="9">
        <f t="shared" si="396"/>
        <v>1088.52</v>
      </c>
      <c r="BI2865" s="9">
        <f t="shared" si="397"/>
        <v>2.19</v>
      </c>
      <c r="BJ2865" s="9">
        <f t="shared" si="398"/>
        <v>5.1100000000000003</v>
      </c>
      <c r="BK2865" s="9">
        <f t="shared" si="399"/>
        <v>8.17</v>
      </c>
      <c r="BL2865" s="9">
        <f t="shared" si="400"/>
        <v>0</v>
      </c>
      <c r="BM2865" s="9">
        <f t="shared" si="401"/>
        <v>0</v>
      </c>
      <c r="BN2865" s="9">
        <f t="shared" si="402"/>
        <v>397.93999999999994</v>
      </c>
      <c r="BO2865" s="9">
        <f t="shared" si="403"/>
        <v>2.42</v>
      </c>
      <c r="BP2865" s="9">
        <f t="shared" si="404"/>
        <v>0</v>
      </c>
    </row>
    <row r="2866" spans="1:68">
      <c r="A2866" s="6">
        <v>45058</v>
      </c>
      <c r="B2866" s="7">
        <v>3204</v>
      </c>
      <c r="C2866" s="8"/>
      <c r="D2866" s="8">
        <f>77.79+988.74</f>
        <v>1066.53</v>
      </c>
      <c r="E2866" s="8">
        <f>423.24+33.11</f>
        <v>456.35</v>
      </c>
      <c r="F2866" s="8"/>
      <c r="G2866" s="8"/>
      <c r="H2866" s="8"/>
      <c r="I2866" s="8"/>
      <c r="J2866" s="8"/>
      <c r="K2866" s="8"/>
      <c r="L2866" s="8"/>
      <c r="M2866" s="8"/>
      <c r="N2866" s="8"/>
      <c r="O2866" s="8">
        <f>7.08+0.56</f>
        <v>7.6400000000000006</v>
      </c>
      <c r="P2866" s="8"/>
      <c r="Q2866" s="11"/>
      <c r="R2866" s="11"/>
      <c r="S2866" s="8">
        <f>4.81+0.38</f>
        <v>5.1899999999999995</v>
      </c>
      <c r="T2866" s="8"/>
      <c r="U2866" s="8">
        <f>15.58+1.22</f>
        <v>16.8</v>
      </c>
      <c r="V2866" s="8"/>
      <c r="W2866" s="8"/>
      <c r="X2866" s="8"/>
      <c r="Y2866" s="8"/>
      <c r="Z2866" s="8">
        <f>212.35+16.66</f>
        <v>229.01</v>
      </c>
      <c r="AA2866" s="8"/>
      <c r="AB2866" s="8">
        <f>716*10.88/1000</f>
        <v>7.7900800000000006</v>
      </c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11"/>
      <c r="AQ2866" s="8"/>
      <c r="AR2866" s="8"/>
      <c r="AS2866" s="8"/>
      <c r="AT2866" s="8">
        <f>622.93+48.36</f>
        <v>671.29</v>
      </c>
      <c r="AU2866" s="8"/>
      <c r="AV2866" s="8"/>
      <c r="AW2866" s="8">
        <f>4.5+0.36</f>
        <v>4.8600000000000003</v>
      </c>
      <c r="AX2866" s="8"/>
      <c r="AY2866" s="8"/>
      <c r="AZ2866" s="8"/>
      <c r="BA2866" s="8"/>
      <c r="BB2866" s="8"/>
      <c r="BC2866" s="8"/>
      <c r="BD2866" s="8"/>
      <c r="BE2866" s="8"/>
      <c r="BF2866" s="8"/>
      <c r="BG2866" s="8">
        <f>46.02+3.61</f>
        <v>49.63</v>
      </c>
      <c r="BH2866" s="9">
        <f t="shared" si="396"/>
        <v>1522.88</v>
      </c>
      <c r="BI2866" s="9">
        <f t="shared" si="397"/>
        <v>7.6400000000000006</v>
      </c>
      <c r="BJ2866" s="9">
        <f t="shared" si="398"/>
        <v>5.1899999999999995</v>
      </c>
      <c r="BK2866" s="9">
        <f t="shared" si="399"/>
        <v>16.8</v>
      </c>
      <c r="BL2866" s="9">
        <f t="shared" si="400"/>
        <v>229.01</v>
      </c>
      <c r="BM2866" s="9">
        <f t="shared" si="401"/>
        <v>7.7900800000000006</v>
      </c>
      <c r="BN2866" s="9">
        <f t="shared" si="402"/>
        <v>671.29</v>
      </c>
      <c r="BO2866" s="9">
        <f t="shared" si="403"/>
        <v>4.8600000000000003</v>
      </c>
      <c r="BP2866" s="9">
        <f t="shared" si="404"/>
        <v>0</v>
      </c>
    </row>
    <row r="2867" spans="1:68">
      <c r="A2867" s="6">
        <v>45058</v>
      </c>
      <c r="B2867" s="7">
        <v>3203</v>
      </c>
      <c r="C2867" s="8">
        <v>933.7</v>
      </c>
      <c r="D2867" s="8"/>
      <c r="E2867" s="8">
        <v>399.93</v>
      </c>
      <c r="F2867" s="8"/>
      <c r="G2867" s="8"/>
      <c r="H2867" s="8"/>
      <c r="I2867" s="8"/>
      <c r="J2867" s="8"/>
      <c r="K2867" s="8"/>
      <c r="L2867" s="8"/>
      <c r="M2867" s="8"/>
      <c r="N2867" s="8"/>
      <c r="O2867" s="8">
        <v>3.99</v>
      </c>
      <c r="P2867" s="8"/>
      <c r="Q2867" s="11"/>
      <c r="R2867" s="11"/>
      <c r="S2867" s="8">
        <v>5.21</v>
      </c>
      <c r="T2867" s="8"/>
      <c r="U2867" s="8">
        <v>16.54</v>
      </c>
      <c r="V2867" s="8"/>
      <c r="W2867" s="8"/>
      <c r="X2867" s="8"/>
      <c r="Y2867" s="8"/>
      <c r="Z2867" s="8">
        <v>210.2</v>
      </c>
      <c r="AA2867" s="8">
        <f>10510*15.68/1000</f>
        <v>164.79679999999999</v>
      </c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11"/>
      <c r="AQ2867" s="8"/>
      <c r="AR2867" s="8"/>
      <c r="AS2867" s="8"/>
      <c r="AT2867" s="8">
        <v>499.91</v>
      </c>
      <c r="AU2867" s="8">
        <v>249.65</v>
      </c>
      <c r="AV2867" s="8"/>
      <c r="AW2867" s="8"/>
      <c r="AX2867" s="8"/>
      <c r="AY2867" s="8"/>
      <c r="AZ2867" s="8"/>
      <c r="BA2867" s="8"/>
      <c r="BB2867" s="8"/>
      <c r="BC2867" s="8">
        <v>3.47</v>
      </c>
      <c r="BD2867" s="8"/>
      <c r="BE2867" s="8"/>
      <c r="BF2867" s="8"/>
      <c r="BG2867" s="8">
        <v>48.67</v>
      </c>
      <c r="BH2867" s="9">
        <f t="shared" si="396"/>
        <v>1333.63</v>
      </c>
      <c r="BI2867" s="9">
        <f t="shared" si="397"/>
        <v>3.99</v>
      </c>
      <c r="BJ2867" s="9">
        <f t="shared" si="398"/>
        <v>5.21</v>
      </c>
      <c r="BK2867" s="9">
        <f t="shared" si="399"/>
        <v>16.54</v>
      </c>
      <c r="BL2867" s="9">
        <f t="shared" si="400"/>
        <v>374.99680000000001</v>
      </c>
      <c r="BM2867" s="9">
        <f t="shared" si="401"/>
        <v>0</v>
      </c>
      <c r="BN2867" s="9">
        <f t="shared" si="402"/>
        <v>749.56000000000006</v>
      </c>
      <c r="BO2867" s="9">
        <f t="shared" si="403"/>
        <v>3.47</v>
      </c>
      <c r="BP2867" s="9">
        <f t="shared" si="404"/>
        <v>0</v>
      </c>
    </row>
    <row r="2868" spans="1:68">
      <c r="A2868" s="6">
        <v>45058</v>
      </c>
      <c r="B2868" s="7">
        <v>3134</v>
      </c>
      <c r="C2868" s="8">
        <v>1044.5999999999999</v>
      </c>
      <c r="D2868" s="8">
        <v>146.97</v>
      </c>
      <c r="E2868" s="8"/>
      <c r="F2868" s="8"/>
      <c r="G2868" s="8"/>
      <c r="H2868" s="8">
        <v>493.02</v>
      </c>
      <c r="I2868" s="8"/>
      <c r="J2868" s="8"/>
      <c r="K2868" s="8"/>
      <c r="L2868" s="8"/>
      <c r="M2868" s="8">
        <v>2.2799999999999998</v>
      </c>
      <c r="N2868" s="8"/>
      <c r="O2868" s="8"/>
      <c r="P2868" s="8"/>
      <c r="Q2868" s="11"/>
      <c r="R2868" s="11"/>
      <c r="S2868" s="8">
        <v>6.79</v>
      </c>
      <c r="T2868" s="8"/>
      <c r="U2868" s="8">
        <v>19.18</v>
      </c>
      <c r="V2868" s="8"/>
      <c r="W2868" s="8"/>
      <c r="X2868" s="8"/>
      <c r="Y2868" s="8"/>
      <c r="Z2868" s="8"/>
      <c r="AA2868" s="8"/>
      <c r="AB2868" s="8"/>
      <c r="AC2868" s="8">
        <v>5.9</v>
      </c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11"/>
      <c r="AQ2868" s="8"/>
      <c r="AR2868" s="8"/>
      <c r="AS2868" s="8"/>
      <c r="AT2868" s="8">
        <v>1034.98</v>
      </c>
      <c r="AU2868" s="8"/>
      <c r="AV2868" s="8"/>
      <c r="AW2868" s="8"/>
      <c r="AX2868" s="8"/>
      <c r="AY2868" s="8">
        <f>1439*10.52/1000</f>
        <v>15.138279999999998</v>
      </c>
      <c r="AZ2868" s="8"/>
      <c r="BA2868" s="8"/>
      <c r="BB2868" s="8"/>
      <c r="BC2868" s="8"/>
      <c r="BD2868" s="8"/>
      <c r="BE2868" s="8"/>
      <c r="BF2868" s="8">
        <v>66.3</v>
      </c>
      <c r="BG2868" s="8">
        <v>78.02</v>
      </c>
      <c r="BH2868" s="9">
        <f t="shared" si="396"/>
        <v>1684.59</v>
      </c>
      <c r="BI2868" s="9">
        <f t="shared" si="397"/>
        <v>2.2799999999999998</v>
      </c>
      <c r="BJ2868" s="9">
        <f t="shared" si="398"/>
        <v>6.79</v>
      </c>
      <c r="BK2868" s="9">
        <f t="shared" si="399"/>
        <v>19.18</v>
      </c>
      <c r="BL2868" s="9">
        <f t="shared" si="400"/>
        <v>0</v>
      </c>
      <c r="BM2868" s="9">
        <f t="shared" si="401"/>
        <v>5.9</v>
      </c>
      <c r="BN2868" s="9">
        <f t="shared" si="402"/>
        <v>1034.98</v>
      </c>
      <c r="BO2868" s="9">
        <f t="shared" si="403"/>
        <v>15.138279999999998</v>
      </c>
      <c r="BP2868" s="9">
        <f t="shared" si="404"/>
        <v>66.3</v>
      </c>
    </row>
    <row r="2869" spans="1:68">
      <c r="A2869" s="6">
        <v>45058</v>
      </c>
      <c r="B2869" s="7">
        <v>3106</v>
      </c>
      <c r="C2869" s="8">
        <v>4107.07</v>
      </c>
      <c r="D2869" s="8"/>
      <c r="E2869" s="8"/>
      <c r="F2869" s="8"/>
      <c r="G2869" s="8"/>
      <c r="H2869" s="8"/>
      <c r="I2869" s="8"/>
      <c r="J2869" s="8"/>
      <c r="K2869" s="8"/>
      <c r="L2869" s="8"/>
      <c r="M2869" s="8">
        <v>9.49</v>
      </c>
      <c r="N2869" s="8"/>
      <c r="O2869" s="8"/>
      <c r="P2869" s="8"/>
      <c r="Q2869" s="11"/>
      <c r="R2869" s="11"/>
      <c r="S2869" s="8">
        <v>12.37</v>
      </c>
      <c r="T2869" s="8"/>
      <c r="U2869" s="8">
        <v>52.46</v>
      </c>
      <c r="V2869" s="8"/>
      <c r="W2869" s="8"/>
      <c r="X2869" s="8"/>
      <c r="Y2869" s="8"/>
      <c r="Z2869" s="8"/>
      <c r="AA2869" s="8"/>
      <c r="AB2869" s="8"/>
      <c r="AC2869" s="8">
        <v>10.29</v>
      </c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11"/>
      <c r="AQ2869" s="8"/>
      <c r="AR2869" s="8"/>
      <c r="AS2869" s="8"/>
      <c r="AT2869" s="8">
        <v>2346.17</v>
      </c>
      <c r="AU2869" s="8"/>
      <c r="AV2869" s="8"/>
      <c r="AW2869" s="8"/>
      <c r="AX2869" s="8">
        <v>5.15</v>
      </c>
      <c r="AY2869" s="8"/>
      <c r="AZ2869" s="8"/>
      <c r="BA2869" s="8"/>
      <c r="BB2869" s="8"/>
      <c r="BC2869" s="8"/>
      <c r="BD2869" s="8"/>
      <c r="BE2869" s="8"/>
      <c r="BF2869" s="8"/>
      <c r="BG2869" s="8">
        <v>176.75</v>
      </c>
      <c r="BH2869" s="9">
        <f t="shared" si="396"/>
        <v>4107.07</v>
      </c>
      <c r="BI2869" s="9">
        <f t="shared" si="397"/>
        <v>9.49</v>
      </c>
      <c r="BJ2869" s="9">
        <f t="shared" si="398"/>
        <v>12.37</v>
      </c>
      <c r="BK2869" s="9">
        <f t="shared" si="399"/>
        <v>52.46</v>
      </c>
      <c r="BL2869" s="9">
        <f t="shared" si="400"/>
        <v>0</v>
      </c>
      <c r="BM2869" s="9">
        <f t="shared" si="401"/>
        <v>10.29</v>
      </c>
      <c r="BN2869" s="9">
        <f t="shared" si="402"/>
        <v>2346.17</v>
      </c>
      <c r="BO2869" s="9">
        <f t="shared" si="403"/>
        <v>5.15</v>
      </c>
      <c r="BP2869" s="9">
        <f t="shared" si="404"/>
        <v>0</v>
      </c>
    </row>
    <row r="2870" spans="1:68">
      <c r="A2870" s="6">
        <v>45058</v>
      </c>
      <c r="B2870" s="7">
        <v>3105</v>
      </c>
      <c r="C2870" s="8">
        <v>442.43</v>
      </c>
      <c r="D2870" s="8"/>
      <c r="E2870" s="8"/>
      <c r="F2870" s="8"/>
      <c r="G2870" s="8"/>
      <c r="H2870" s="8"/>
      <c r="I2870" s="8"/>
      <c r="J2870" s="8"/>
      <c r="K2870" s="8"/>
      <c r="L2870" s="8"/>
      <c r="M2870" s="8">
        <v>0.99</v>
      </c>
      <c r="N2870" s="8"/>
      <c r="O2870" s="8"/>
      <c r="P2870" s="8"/>
      <c r="Q2870" s="11"/>
      <c r="R2870" s="11"/>
      <c r="S2870" s="8">
        <v>1.35</v>
      </c>
      <c r="T2870" s="8"/>
      <c r="U2870" s="8">
        <v>5.62</v>
      </c>
      <c r="V2870" s="8"/>
      <c r="W2870" s="8"/>
      <c r="X2870" s="8"/>
      <c r="Y2870" s="8"/>
      <c r="Z2870" s="8"/>
      <c r="AA2870" s="8"/>
      <c r="AB2870" s="8"/>
      <c r="AC2870" s="8">
        <v>1.76</v>
      </c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11"/>
      <c r="AQ2870" s="8"/>
      <c r="AR2870" s="8"/>
      <c r="AS2870" s="8"/>
      <c r="AT2870" s="8">
        <v>253.46</v>
      </c>
      <c r="AU2870" s="8"/>
      <c r="AV2870" s="8">
        <v>1.52</v>
      </c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>
        <v>18.989999999999998</v>
      </c>
      <c r="BH2870" s="9">
        <f t="shared" si="396"/>
        <v>442.43</v>
      </c>
      <c r="BI2870" s="9">
        <f t="shared" si="397"/>
        <v>0.99</v>
      </c>
      <c r="BJ2870" s="9">
        <f t="shared" si="398"/>
        <v>1.35</v>
      </c>
      <c r="BK2870" s="9">
        <f t="shared" si="399"/>
        <v>5.62</v>
      </c>
      <c r="BL2870" s="9">
        <f t="shared" si="400"/>
        <v>0</v>
      </c>
      <c r="BM2870" s="9">
        <f t="shared" si="401"/>
        <v>1.76</v>
      </c>
      <c r="BN2870" s="9">
        <f t="shared" si="402"/>
        <v>253.46</v>
      </c>
      <c r="BO2870" s="9">
        <f t="shared" si="403"/>
        <v>1.52</v>
      </c>
      <c r="BP2870" s="9">
        <f t="shared" si="404"/>
        <v>0</v>
      </c>
    </row>
    <row r="2871" spans="1:68">
      <c r="A2871" s="6">
        <v>45058</v>
      </c>
      <c r="B2871" s="7">
        <v>3409</v>
      </c>
      <c r="C2871" s="8">
        <v>851.49</v>
      </c>
      <c r="D2871" s="8"/>
      <c r="E2871" s="8"/>
      <c r="F2871" s="8"/>
      <c r="G2871" s="8"/>
      <c r="H2871" s="8"/>
      <c r="I2871" s="8"/>
      <c r="J2871" s="8"/>
      <c r="K2871" s="8"/>
      <c r="L2871" s="8"/>
      <c r="M2871" s="8">
        <v>2.02</v>
      </c>
      <c r="N2871" s="8"/>
      <c r="O2871" s="8"/>
      <c r="P2871" s="8"/>
      <c r="Q2871" s="11"/>
      <c r="R2871" s="11"/>
      <c r="S2871" s="8">
        <v>2.19</v>
      </c>
      <c r="T2871" s="8"/>
      <c r="U2871" s="8"/>
      <c r="V2871" s="8"/>
      <c r="W2871" s="8"/>
      <c r="X2871" s="8">
        <f>1004*8.72/1000</f>
        <v>8.7548800000000018</v>
      </c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11"/>
      <c r="AQ2871" s="8"/>
      <c r="AR2871" s="8"/>
      <c r="AS2871" s="8"/>
      <c r="AT2871" s="8">
        <v>442.94</v>
      </c>
      <c r="AU2871" s="8"/>
      <c r="AV2871" s="8">
        <v>26.17</v>
      </c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>
        <v>30.37</v>
      </c>
      <c r="BH2871" s="9">
        <f t="shared" si="396"/>
        <v>851.49</v>
      </c>
      <c r="BI2871" s="9">
        <f t="shared" si="397"/>
        <v>2.02</v>
      </c>
      <c r="BJ2871" s="9">
        <f t="shared" si="398"/>
        <v>2.19</v>
      </c>
      <c r="BK2871" s="9">
        <f t="shared" si="399"/>
        <v>8.7548800000000018</v>
      </c>
      <c r="BL2871" s="9">
        <f t="shared" si="400"/>
        <v>0</v>
      </c>
      <c r="BM2871" s="9">
        <f t="shared" si="401"/>
        <v>0</v>
      </c>
      <c r="BN2871" s="9">
        <f t="shared" si="402"/>
        <v>442.94</v>
      </c>
      <c r="BO2871" s="9">
        <f t="shared" si="403"/>
        <v>26.17</v>
      </c>
      <c r="BP2871" s="9">
        <f t="shared" si="404"/>
        <v>0</v>
      </c>
    </row>
    <row r="2872" spans="1:68">
      <c r="A2872" s="6">
        <v>45061</v>
      </c>
      <c r="B2872" s="7">
        <v>3200</v>
      </c>
      <c r="C2872" s="8">
        <v>2307.58</v>
      </c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>
        <v>5.77</v>
      </c>
      <c r="P2872" s="8"/>
      <c r="Q2872" s="11"/>
      <c r="R2872" s="11"/>
      <c r="S2872" s="8">
        <v>8.94</v>
      </c>
      <c r="T2872" s="8"/>
      <c r="U2872" s="8">
        <v>34.51</v>
      </c>
      <c r="V2872" s="8"/>
      <c r="W2872" s="8"/>
      <c r="X2872" s="8"/>
      <c r="Y2872" s="8"/>
      <c r="Z2872" s="8">
        <v>482.27</v>
      </c>
      <c r="AA2872" s="8"/>
      <c r="AB2872" s="8"/>
      <c r="AC2872" s="8"/>
      <c r="AD2872" s="8"/>
      <c r="AE2872" s="8"/>
      <c r="AF2872" s="8">
        <v>115.61</v>
      </c>
      <c r="AG2872" s="8"/>
      <c r="AH2872" s="8"/>
      <c r="AI2872" s="8"/>
      <c r="AJ2872" s="8"/>
      <c r="AK2872" s="8"/>
      <c r="AL2872" s="8"/>
      <c r="AM2872" s="8"/>
      <c r="AN2872" s="8"/>
      <c r="AO2872" s="8"/>
      <c r="AP2872" s="11"/>
      <c r="AQ2872" s="8">
        <f>1514*22.95/1000</f>
        <v>34.746299999999998</v>
      </c>
      <c r="AR2872" s="8"/>
      <c r="AS2872" s="8"/>
      <c r="AT2872" s="8">
        <v>1567.6</v>
      </c>
      <c r="AU2872" s="8"/>
      <c r="AV2872" s="8"/>
      <c r="AW2872" s="8">
        <v>6.47</v>
      </c>
      <c r="AX2872" s="8"/>
      <c r="AY2872" s="8"/>
      <c r="AZ2872" s="8"/>
      <c r="BA2872" s="8"/>
      <c r="BB2872" s="8"/>
      <c r="BC2872" s="8"/>
      <c r="BD2872" s="8"/>
      <c r="BE2872" s="8"/>
      <c r="BF2872" s="8">
        <v>110.25</v>
      </c>
      <c r="BG2872" s="8">
        <v>114.06</v>
      </c>
      <c r="BH2872" s="9">
        <f t="shared" si="396"/>
        <v>2307.58</v>
      </c>
      <c r="BI2872" s="9">
        <f t="shared" si="397"/>
        <v>5.77</v>
      </c>
      <c r="BJ2872" s="9">
        <f t="shared" si="398"/>
        <v>8.94</v>
      </c>
      <c r="BK2872" s="9">
        <f t="shared" si="399"/>
        <v>34.51</v>
      </c>
      <c r="BL2872" s="9">
        <f t="shared" si="400"/>
        <v>482.27</v>
      </c>
      <c r="BM2872" s="9">
        <f t="shared" si="401"/>
        <v>150.3563</v>
      </c>
      <c r="BN2872" s="9">
        <f t="shared" si="402"/>
        <v>1567.6</v>
      </c>
      <c r="BO2872" s="9">
        <f t="shared" si="403"/>
        <v>6.47</v>
      </c>
      <c r="BP2872" s="9">
        <f t="shared" si="404"/>
        <v>110.25</v>
      </c>
    </row>
    <row r="2873" spans="1:68">
      <c r="A2873" s="6">
        <v>45061</v>
      </c>
      <c r="B2873" s="7">
        <v>3106</v>
      </c>
      <c r="C2873" s="8">
        <v>4152.51</v>
      </c>
      <c r="D2873" s="8"/>
      <c r="E2873" s="8"/>
      <c r="F2873" s="8"/>
      <c r="G2873" s="8"/>
      <c r="H2873" s="8"/>
      <c r="I2873" s="8"/>
      <c r="J2873" s="8"/>
      <c r="K2873" s="8"/>
      <c r="L2873" s="8"/>
      <c r="M2873" s="8">
        <v>9.98</v>
      </c>
      <c r="N2873" s="8"/>
      <c r="O2873" s="8"/>
      <c r="P2873" s="8"/>
      <c r="Q2873" s="11"/>
      <c r="R2873" s="11"/>
      <c r="S2873" s="8">
        <v>12.5</v>
      </c>
      <c r="T2873" s="8"/>
      <c r="U2873" s="8">
        <v>52.98</v>
      </c>
      <c r="V2873" s="8"/>
      <c r="W2873" s="8"/>
      <c r="X2873" s="8"/>
      <c r="Y2873" s="8"/>
      <c r="Z2873" s="8"/>
      <c r="AA2873" s="8"/>
      <c r="AB2873" s="8"/>
      <c r="AC2873" s="8">
        <v>10.41</v>
      </c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11"/>
      <c r="AQ2873" s="8"/>
      <c r="AR2873" s="8"/>
      <c r="AS2873" s="8"/>
      <c r="AT2873" s="8">
        <v>2364.23</v>
      </c>
      <c r="AU2873" s="8"/>
      <c r="AV2873" s="8"/>
      <c r="AW2873" s="8"/>
      <c r="AX2873" s="8">
        <v>5.21</v>
      </c>
      <c r="AY2873" s="8"/>
      <c r="AZ2873" s="8"/>
      <c r="BA2873" s="8"/>
      <c r="BB2873" s="8"/>
      <c r="BC2873" s="8"/>
      <c r="BD2873" s="8"/>
      <c r="BE2873" s="8"/>
      <c r="BF2873" s="8"/>
      <c r="BG2873" s="8">
        <v>178.74</v>
      </c>
      <c r="BH2873" s="9">
        <f t="shared" si="396"/>
        <v>4152.51</v>
      </c>
      <c r="BI2873" s="9">
        <f t="shared" si="397"/>
        <v>9.98</v>
      </c>
      <c r="BJ2873" s="9">
        <f t="shared" si="398"/>
        <v>12.5</v>
      </c>
      <c r="BK2873" s="9">
        <f t="shared" si="399"/>
        <v>52.98</v>
      </c>
      <c r="BL2873" s="9">
        <f t="shared" si="400"/>
        <v>0</v>
      </c>
      <c r="BM2873" s="9">
        <f t="shared" si="401"/>
        <v>10.41</v>
      </c>
      <c r="BN2873" s="9">
        <f t="shared" si="402"/>
        <v>2364.23</v>
      </c>
      <c r="BO2873" s="9">
        <f t="shared" si="403"/>
        <v>5.21</v>
      </c>
      <c r="BP2873" s="9">
        <f t="shared" si="404"/>
        <v>0</v>
      </c>
    </row>
    <row r="2874" spans="1:68">
      <c r="A2874" s="6">
        <v>45061</v>
      </c>
      <c r="B2874" s="7">
        <v>3136</v>
      </c>
      <c r="C2874" s="8">
        <v>1258.1099999999999</v>
      </c>
      <c r="D2874" s="8"/>
      <c r="E2874" s="8"/>
      <c r="F2874" s="8"/>
      <c r="G2874" s="8"/>
      <c r="H2874" s="8">
        <v>519.29</v>
      </c>
      <c r="I2874" s="8"/>
      <c r="J2874" s="8"/>
      <c r="K2874" s="8"/>
      <c r="L2874" s="8"/>
      <c r="M2874" s="8">
        <v>1.73</v>
      </c>
      <c r="N2874" s="8"/>
      <c r="O2874" s="8"/>
      <c r="P2874" s="8"/>
      <c r="Q2874" s="11"/>
      <c r="R2874" s="11"/>
      <c r="S2874" s="8">
        <v>7.74</v>
      </c>
      <c r="T2874" s="8"/>
      <c r="U2874" s="8">
        <v>20.11</v>
      </c>
      <c r="V2874" s="8"/>
      <c r="W2874" s="8"/>
      <c r="X2874" s="8"/>
      <c r="Y2874" s="8"/>
      <c r="Z2874" s="8"/>
      <c r="AA2874" s="8"/>
      <c r="AB2874" s="8"/>
      <c r="AC2874" s="8">
        <v>6.18</v>
      </c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11"/>
      <c r="AQ2874" s="8"/>
      <c r="AR2874" s="8"/>
      <c r="AS2874" s="8"/>
      <c r="AT2874" s="8">
        <v>1002.41</v>
      </c>
      <c r="AU2874" s="8"/>
      <c r="AV2874" s="8"/>
      <c r="AW2874" s="8"/>
      <c r="AX2874" s="8"/>
      <c r="AY2874" s="8"/>
      <c r="AZ2874" s="8"/>
      <c r="BA2874" s="8">
        <v>15.26</v>
      </c>
      <c r="BB2874" s="8"/>
      <c r="BC2874" s="8"/>
      <c r="BD2874" s="8"/>
      <c r="BE2874" s="8"/>
      <c r="BF2874" s="8">
        <v>61.88</v>
      </c>
      <c r="BG2874" s="8">
        <v>75.94</v>
      </c>
      <c r="BH2874" s="9">
        <f t="shared" si="396"/>
        <v>1777.3999999999999</v>
      </c>
      <c r="BI2874" s="9">
        <f t="shared" si="397"/>
        <v>1.73</v>
      </c>
      <c r="BJ2874" s="9">
        <f t="shared" si="398"/>
        <v>7.74</v>
      </c>
      <c r="BK2874" s="9">
        <f t="shared" si="399"/>
        <v>20.11</v>
      </c>
      <c r="BL2874" s="9">
        <f t="shared" si="400"/>
        <v>0</v>
      </c>
      <c r="BM2874" s="9">
        <f t="shared" si="401"/>
        <v>6.18</v>
      </c>
      <c r="BN2874" s="9">
        <f t="shared" si="402"/>
        <v>1002.41</v>
      </c>
      <c r="BO2874" s="9">
        <f t="shared" si="403"/>
        <v>15.26</v>
      </c>
      <c r="BP2874" s="9">
        <f t="shared" si="404"/>
        <v>61.88</v>
      </c>
    </row>
    <row r="2875" spans="1:68">
      <c r="A2875" s="6">
        <v>45061</v>
      </c>
      <c r="B2875" s="7">
        <v>3141</v>
      </c>
      <c r="C2875" s="8">
        <v>2392.6999999999998</v>
      </c>
      <c r="D2875" s="8">
        <v>421.76</v>
      </c>
      <c r="E2875" s="8"/>
      <c r="F2875" s="8"/>
      <c r="G2875" s="8"/>
      <c r="H2875" s="8"/>
      <c r="I2875" s="8"/>
      <c r="J2875" s="8"/>
      <c r="K2875" s="8"/>
      <c r="L2875" s="8"/>
      <c r="M2875" s="8">
        <v>6.54</v>
      </c>
      <c r="N2875" s="8"/>
      <c r="O2875" s="8"/>
      <c r="P2875" s="8"/>
      <c r="Q2875" s="11"/>
      <c r="R2875" s="11"/>
      <c r="S2875" s="8">
        <v>13.23</v>
      </c>
      <c r="T2875" s="8"/>
      <c r="U2875" s="8">
        <v>42.19</v>
      </c>
      <c r="V2875" s="8"/>
      <c r="W2875" s="8"/>
      <c r="X2875" s="8"/>
      <c r="Y2875" s="8"/>
      <c r="Z2875" s="8"/>
      <c r="AA2875" s="8"/>
      <c r="AB2875" s="8"/>
      <c r="AC2875" s="8">
        <v>11.25</v>
      </c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11"/>
      <c r="AQ2875" s="8"/>
      <c r="AR2875" s="8"/>
      <c r="AS2875" s="8"/>
      <c r="AT2875" s="8">
        <v>1861.3</v>
      </c>
      <c r="AU2875" s="8"/>
      <c r="AV2875" s="8"/>
      <c r="AW2875" s="8"/>
      <c r="AX2875" s="8"/>
      <c r="AY2875" s="8"/>
      <c r="AZ2875" s="8"/>
      <c r="BA2875" s="8">
        <v>64.41</v>
      </c>
      <c r="BB2875" s="8"/>
      <c r="BC2875" s="8"/>
      <c r="BD2875" s="8"/>
      <c r="BE2875" s="8"/>
      <c r="BF2875" s="8">
        <v>196.74</v>
      </c>
      <c r="BG2875" s="8">
        <v>146.11000000000001</v>
      </c>
      <c r="BH2875" s="9">
        <f t="shared" si="396"/>
        <v>2814.46</v>
      </c>
      <c r="BI2875" s="9">
        <f t="shared" si="397"/>
        <v>6.54</v>
      </c>
      <c r="BJ2875" s="9">
        <f t="shared" si="398"/>
        <v>13.23</v>
      </c>
      <c r="BK2875" s="9">
        <f t="shared" si="399"/>
        <v>42.19</v>
      </c>
      <c r="BL2875" s="9">
        <f t="shared" si="400"/>
        <v>0</v>
      </c>
      <c r="BM2875" s="9">
        <f t="shared" si="401"/>
        <v>11.25</v>
      </c>
      <c r="BN2875" s="9">
        <f t="shared" si="402"/>
        <v>1861.3</v>
      </c>
      <c r="BO2875" s="9">
        <f t="shared" si="403"/>
        <v>64.41</v>
      </c>
      <c r="BP2875" s="9">
        <f t="shared" si="404"/>
        <v>196.74</v>
      </c>
    </row>
    <row r="2876" spans="1:68">
      <c r="A2876" s="6">
        <v>45061</v>
      </c>
      <c r="B2876" s="7">
        <v>3144</v>
      </c>
      <c r="C2876" s="8">
        <v>1207.5999999999999</v>
      </c>
      <c r="D2876" s="8">
        <v>212.86</v>
      </c>
      <c r="E2876" s="8"/>
      <c r="F2876" s="8"/>
      <c r="G2876" s="8"/>
      <c r="H2876" s="8"/>
      <c r="I2876" s="8"/>
      <c r="J2876" s="8"/>
      <c r="K2876" s="8"/>
      <c r="L2876" s="8"/>
      <c r="M2876" s="8">
        <v>3.84</v>
      </c>
      <c r="N2876" s="8"/>
      <c r="O2876" s="8"/>
      <c r="P2876" s="8"/>
      <c r="Q2876" s="11"/>
      <c r="R2876" s="11"/>
      <c r="S2876" s="8">
        <v>6.68</v>
      </c>
      <c r="T2876" s="8"/>
      <c r="U2876" s="8">
        <v>21.3</v>
      </c>
      <c r="V2876" s="8"/>
      <c r="W2876" s="8"/>
      <c r="X2876" s="8"/>
      <c r="Y2876" s="8"/>
      <c r="Z2876" s="8"/>
      <c r="AA2876" s="8"/>
      <c r="AB2876" s="8"/>
      <c r="AC2876" s="8">
        <v>5.67</v>
      </c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11">
        <f>1234*9.47/1000</f>
        <v>11.685980000000001</v>
      </c>
      <c r="AQ2876" s="8"/>
      <c r="AR2876" s="8"/>
      <c r="AS2876" s="8"/>
      <c r="AT2876" s="8">
        <v>946.21</v>
      </c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>
        <v>99.37</v>
      </c>
      <c r="BG2876" s="8">
        <v>73.900000000000006</v>
      </c>
      <c r="BH2876" s="9">
        <f t="shared" si="396"/>
        <v>1420.46</v>
      </c>
      <c r="BI2876" s="9">
        <f t="shared" si="397"/>
        <v>3.84</v>
      </c>
      <c r="BJ2876" s="9">
        <f t="shared" si="398"/>
        <v>6.68</v>
      </c>
      <c r="BK2876" s="9">
        <f t="shared" si="399"/>
        <v>21.3</v>
      </c>
      <c r="BL2876" s="9">
        <f t="shared" si="400"/>
        <v>0</v>
      </c>
      <c r="BM2876" s="9">
        <f t="shared" si="401"/>
        <v>17.355980000000002</v>
      </c>
      <c r="BN2876" s="9">
        <f t="shared" si="402"/>
        <v>946.21</v>
      </c>
      <c r="BO2876" s="9">
        <f t="shared" si="403"/>
        <v>0</v>
      </c>
      <c r="BP2876" s="9">
        <f t="shared" si="404"/>
        <v>99.37</v>
      </c>
    </row>
    <row r="2877" spans="1:68">
      <c r="A2877" s="6">
        <v>45061</v>
      </c>
      <c r="B2877" s="7">
        <v>3081</v>
      </c>
      <c r="C2877" s="8"/>
      <c r="D2877" s="8">
        <v>291.51</v>
      </c>
      <c r="E2877" s="8"/>
      <c r="F2877" s="8">
        <v>325.11</v>
      </c>
      <c r="G2877" s="8"/>
      <c r="H2877" s="8"/>
      <c r="I2877" s="8">
        <v>1191.25</v>
      </c>
      <c r="J2877" s="8"/>
      <c r="K2877" s="8"/>
      <c r="L2877" s="8"/>
      <c r="M2877" s="8"/>
      <c r="N2877" s="8">
        <v>13.34</v>
      </c>
      <c r="O2877" s="8"/>
      <c r="P2877" s="8">
        <f>637*11.78/1000</f>
        <v>7.5038599999999995</v>
      </c>
      <c r="Q2877" s="11"/>
      <c r="R2877" s="11"/>
      <c r="S2877" s="8">
        <v>1.28</v>
      </c>
      <c r="T2877" s="8"/>
      <c r="U2877" s="8"/>
      <c r="V2877" s="8"/>
      <c r="W2877" s="8">
        <v>18.350000000000001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11"/>
      <c r="AQ2877" s="8">
        <f>1562*11.78/1000</f>
        <v>18.400359999999999</v>
      </c>
      <c r="AR2877" s="8">
        <f>5526*11.78/1000</f>
        <v>65.096279999999993</v>
      </c>
      <c r="AS2877" s="8"/>
      <c r="AT2877" s="8">
        <v>570.35</v>
      </c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>
        <v>38.24</v>
      </c>
      <c r="BH2877" s="9">
        <f t="shared" si="396"/>
        <v>1807.87</v>
      </c>
      <c r="BI2877" s="9">
        <f t="shared" si="397"/>
        <v>20.843859999999999</v>
      </c>
      <c r="BJ2877" s="9">
        <f t="shared" si="398"/>
        <v>1.28</v>
      </c>
      <c r="BK2877" s="9">
        <f t="shared" si="399"/>
        <v>18.350000000000001</v>
      </c>
      <c r="BL2877" s="9">
        <f t="shared" si="400"/>
        <v>0</v>
      </c>
      <c r="BM2877" s="9">
        <f t="shared" si="401"/>
        <v>83.496639999999985</v>
      </c>
      <c r="BN2877" s="9">
        <f t="shared" si="402"/>
        <v>570.35</v>
      </c>
      <c r="BO2877" s="9">
        <f t="shared" si="403"/>
        <v>0</v>
      </c>
      <c r="BP2877" s="9">
        <f t="shared" si="404"/>
        <v>0</v>
      </c>
    </row>
    <row r="2878" spans="1:68">
      <c r="A2878" s="6">
        <v>45061</v>
      </c>
      <c r="B2878" s="7">
        <v>3023</v>
      </c>
      <c r="C2878" s="8"/>
      <c r="D2878" s="8">
        <v>503.77</v>
      </c>
      <c r="E2878" s="8"/>
      <c r="F2878" s="8"/>
      <c r="G2878" s="8"/>
      <c r="H2878" s="8"/>
      <c r="I2878" s="8">
        <v>272.98</v>
      </c>
      <c r="J2878" s="8"/>
      <c r="K2878" s="8"/>
      <c r="L2878" s="8"/>
      <c r="M2878" s="8"/>
      <c r="N2878" s="8">
        <v>4.33</v>
      </c>
      <c r="O2878" s="8"/>
      <c r="P2878" s="8"/>
      <c r="Q2878" s="11"/>
      <c r="R2878" s="11"/>
      <c r="S2878" s="8">
        <v>1.24</v>
      </c>
      <c r="T2878" s="8"/>
      <c r="U2878" s="8"/>
      <c r="V2878" s="8"/>
      <c r="W2878" s="8">
        <v>6.98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>
        <v>7.71</v>
      </c>
      <c r="AN2878" s="8">
        <f>1022*5.32/1000</f>
        <v>5.4370399999999997</v>
      </c>
      <c r="AO2878" s="8"/>
      <c r="AP2878" s="11"/>
      <c r="AQ2878" s="8"/>
      <c r="AR2878" s="8"/>
      <c r="AS2878" s="8">
        <f>4797*5.32/1000</f>
        <v>25.520040000000002</v>
      </c>
      <c r="AT2878" s="8">
        <v>316.33999999999997</v>
      </c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>
        <v>23.97</v>
      </c>
      <c r="BH2878" s="9">
        <f t="shared" si="396"/>
        <v>776.75</v>
      </c>
      <c r="BI2878" s="9">
        <f t="shared" si="397"/>
        <v>4.33</v>
      </c>
      <c r="BJ2878" s="9">
        <f t="shared" si="398"/>
        <v>1.24</v>
      </c>
      <c r="BK2878" s="9">
        <f t="shared" si="399"/>
        <v>6.98</v>
      </c>
      <c r="BL2878" s="9">
        <f t="shared" si="400"/>
        <v>0</v>
      </c>
      <c r="BM2878" s="9">
        <f t="shared" si="401"/>
        <v>38.667079999999999</v>
      </c>
      <c r="BN2878" s="9">
        <f t="shared" si="402"/>
        <v>316.33999999999997</v>
      </c>
      <c r="BO2878" s="9">
        <f t="shared" si="403"/>
        <v>0</v>
      </c>
      <c r="BP2878" s="9">
        <f t="shared" si="404"/>
        <v>0</v>
      </c>
    </row>
    <row r="2879" spans="1:68">
      <c r="A2879" s="6">
        <v>45061</v>
      </c>
      <c r="B2879" s="7">
        <v>3021</v>
      </c>
      <c r="C2879" s="8"/>
      <c r="D2879" s="8">
        <v>193.94</v>
      </c>
      <c r="E2879" s="8"/>
      <c r="F2879" s="8"/>
      <c r="G2879" s="8"/>
      <c r="H2879" s="8"/>
      <c r="I2879" s="8">
        <v>356.53</v>
      </c>
      <c r="J2879" s="8"/>
      <c r="K2879" s="8"/>
      <c r="L2879" s="8"/>
      <c r="M2879" s="8"/>
      <c r="N2879" s="8">
        <v>2.92</v>
      </c>
      <c r="O2879" s="8"/>
      <c r="P2879" s="8"/>
      <c r="Q2879" s="11"/>
      <c r="R2879" s="11"/>
      <c r="S2879" s="8">
        <v>1</v>
      </c>
      <c r="T2879" s="8"/>
      <c r="U2879" s="8"/>
      <c r="V2879" s="8"/>
      <c r="W2879" s="8">
        <v>5.47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>
        <v>5.47</v>
      </c>
      <c r="AN2879" s="8"/>
      <c r="AO2879" s="8"/>
      <c r="AP2879" s="11"/>
      <c r="AQ2879" s="8"/>
      <c r="AR2879" s="8"/>
      <c r="AS2879" s="8">
        <f>2637*5.23/1000</f>
        <v>13.791510000000001</v>
      </c>
      <c r="AT2879" s="8">
        <v>258.17</v>
      </c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>
        <v>19.510000000000002</v>
      </c>
      <c r="BH2879" s="9">
        <f t="shared" si="396"/>
        <v>550.47</v>
      </c>
      <c r="BI2879" s="9">
        <f t="shared" si="397"/>
        <v>2.92</v>
      </c>
      <c r="BJ2879" s="9">
        <f t="shared" si="398"/>
        <v>1</v>
      </c>
      <c r="BK2879" s="9">
        <f t="shared" si="399"/>
        <v>5.47</v>
      </c>
      <c r="BL2879" s="9">
        <f t="shared" si="400"/>
        <v>0</v>
      </c>
      <c r="BM2879" s="9">
        <f t="shared" si="401"/>
        <v>19.261510000000001</v>
      </c>
      <c r="BN2879" s="9">
        <f t="shared" si="402"/>
        <v>258.17</v>
      </c>
      <c r="BO2879" s="9">
        <f t="shared" si="403"/>
        <v>0</v>
      </c>
      <c r="BP2879" s="9">
        <f t="shared" si="404"/>
        <v>0</v>
      </c>
    </row>
    <row r="2880" spans="1:68">
      <c r="A2880" s="6">
        <v>45062</v>
      </c>
      <c r="B2880" s="7">
        <v>3141</v>
      </c>
      <c r="C2880" s="8">
        <v>3578.68</v>
      </c>
      <c r="D2880" s="8">
        <v>630.76</v>
      </c>
      <c r="E2880" s="8"/>
      <c r="F2880" s="8"/>
      <c r="G2880" s="8"/>
      <c r="H2880" s="8"/>
      <c r="I2880" s="8"/>
      <c r="J2880" s="8"/>
      <c r="K2880" s="8"/>
      <c r="L2880" s="8"/>
      <c r="M2880" s="8">
        <v>9.65</v>
      </c>
      <c r="N2880" s="8"/>
      <c r="O2880" s="8"/>
      <c r="P2880" s="8"/>
      <c r="Q2880" s="11"/>
      <c r="R2880" s="11"/>
      <c r="S2880" s="8">
        <v>19.78</v>
      </c>
      <c r="T2880" s="8"/>
      <c r="U2880" s="8">
        <v>63.11</v>
      </c>
      <c r="V2880" s="8"/>
      <c r="W2880" s="8"/>
      <c r="X2880" s="8"/>
      <c r="Y2880" s="8"/>
      <c r="Z2880" s="8"/>
      <c r="AA2880" s="8"/>
      <c r="AB2880" s="8"/>
      <c r="AC2880" s="8">
        <v>16.82</v>
      </c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11"/>
      <c r="AQ2880" s="8"/>
      <c r="AR2880" s="8"/>
      <c r="AS2880" s="8"/>
      <c r="AT2880" s="8">
        <v>2759.68</v>
      </c>
      <c r="AU2880" s="8"/>
      <c r="AV2880" s="8"/>
      <c r="AW2880" s="8"/>
      <c r="AX2880" s="8"/>
      <c r="AY2880" s="8"/>
      <c r="AZ2880" s="8"/>
      <c r="BA2880" s="8">
        <v>96.34</v>
      </c>
      <c r="BB2880" s="8"/>
      <c r="BC2880" s="8"/>
      <c r="BD2880" s="8"/>
      <c r="BE2880" s="8"/>
      <c r="BF2880" s="8">
        <v>294.72000000000003</v>
      </c>
      <c r="BG2880" s="8">
        <v>218.98</v>
      </c>
      <c r="BH2880" s="9">
        <f t="shared" si="396"/>
        <v>4209.4399999999996</v>
      </c>
      <c r="BI2880" s="9">
        <f t="shared" si="397"/>
        <v>9.65</v>
      </c>
      <c r="BJ2880" s="9">
        <f t="shared" si="398"/>
        <v>19.78</v>
      </c>
      <c r="BK2880" s="9">
        <f t="shared" si="399"/>
        <v>63.11</v>
      </c>
      <c r="BL2880" s="9">
        <f t="shared" si="400"/>
        <v>0</v>
      </c>
      <c r="BM2880" s="9">
        <f t="shared" si="401"/>
        <v>16.82</v>
      </c>
      <c r="BN2880" s="9">
        <f t="shared" si="402"/>
        <v>2759.68</v>
      </c>
      <c r="BO2880" s="9">
        <f t="shared" si="403"/>
        <v>96.34</v>
      </c>
      <c r="BP2880" s="9">
        <f t="shared" si="404"/>
        <v>294.72000000000003</v>
      </c>
    </row>
    <row r="2881" spans="1:68">
      <c r="A2881" s="6">
        <v>45062</v>
      </c>
      <c r="B2881" s="7">
        <v>3127</v>
      </c>
      <c r="C2881" s="8">
        <v>1138.3800000000001</v>
      </c>
      <c r="D2881" s="8"/>
      <c r="E2881" s="8"/>
      <c r="F2881" s="8"/>
      <c r="G2881" s="8"/>
      <c r="H2881" s="8"/>
      <c r="I2881" s="8"/>
      <c r="J2881" s="8"/>
      <c r="K2881" s="8"/>
      <c r="L2881" s="8"/>
      <c r="M2881" s="8">
        <v>3.12</v>
      </c>
      <c r="N2881" s="8"/>
      <c r="O2881" s="8"/>
      <c r="P2881" s="8"/>
      <c r="Q2881" s="11"/>
      <c r="R2881" s="11"/>
      <c r="S2881" s="8">
        <v>5.47</v>
      </c>
      <c r="T2881" s="8"/>
      <c r="U2881" s="8">
        <v>11.4</v>
      </c>
      <c r="V2881" s="8"/>
      <c r="W2881" s="8"/>
      <c r="X2881" s="8"/>
      <c r="Y2881" s="8"/>
      <c r="Z2881" s="8">
        <v>170.93</v>
      </c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11"/>
      <c r="AQ2881" s="8"/>
      <c r="AR2881" s="8"/>
      <c r="AS2881" s="8"/>
      <c r="AT2881" s="8">
        <v>557.03</v>
      </c>
      <c r="AU2881" s="8"/>
      <c r="AV2881" s="8">
        <v>22.79</v>
      </c>
      <c r="AW2881" s="8"/>
      <c r="AX2881" s="8"/>
      <c r="AY2881" s="8"/>
      <c r="AZ2881" s="8"/>
      <c r="BA2881" s="8"/>
      <c r="BB2881" s="8"/>
      <c r="BC2881" s="8"/>
      <c r="BD2881" s="8"/>
      <c r="BE2881" s="8"/>
      <c r="BF2881" s="8">
        <v>56.95</v>
      </c>
      <c r="BG2881" s="8">
        <v>39.840000000000003</v>
      </c>
      <c r="BH2881" s="9">
        <f t="shared" si="396"/>
        <v>1138.3800000000001</v>
      </c>
      <c r="BI2881" s="9">
        <f t="shared" si="397"/>
        <v>3.12</v>
      </c>
      <c r="BJ2881" s="9">
        <f t="shared" si="398"/>
        <v>5.47</v>
      </c>
      <c r="BK2881" s="9">
        <f t="shared" si="399"/>
        <v>11.4</v>
      </c>
      <c r="BL2881" s="9">
        <f t="shared" si="400"/>
        <v>170.93</v>
      </c>
      <c r="BM2881" s="9">
        <f t="shared" si="401"/>
        <v>0</v>
      </c>
      <c r="BN2881" s="9">
        <f t="shared" si="402"/>
        <v>557.03</v>
      </c>
      <c r="BO2881" s="9">
        <f t="shared" si="403"/>
        <v>22.79</v>
      </c>
      <c r="BP2881" s="9">
        <f t="shared" si="404"/>
        <v>56.95</v>
      </c>
    </row>
    <row r="2882" spans="1:68">
      <c r="A2882" s="6">
        <v>45062</v>
      </c>
      <c r="B2882" s="7">
        <v>3020</v>
      </c>
      <c r="C2882" s="8"/>
      <c r="D2882" s="8">
        <v>99.36</v>
      </c>
      <c r="E2882" s="8"/>
      <c r="F2882" s="8"/>
      <c r="G2882" s="8"/>
      <c r="H2882" s="8"/>
      <c r="I2882" s="8">
        <v>559.65</v>
      </c>
      <c r="J2882" s="8"/>
      <c r="K2882" s="8"/>
      <c r="L2882" s="8"/>
      <c r="M2882" s="8"/>
      <c r="N2882" s="8">
        <v>4.03</v>
      </c>
      <c r="O2882" s="8"/>
      <c r="P2882" s="8"/>
      <c r="Q2882" s="11"/>
      <c r="R2882" s="11"/>
      <c r="S2882" s="8">
        <v>1.19</v>
      </c>
      <c r="T2882" s="8"/>
      <c r="U2882" s="8"/>
      <c r="V2882" s="8"/>
      <c r="W2882" s="8">
        <v>6.62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>
        <v>6.57</v>
      </c>
      <c r="AN2882" s="8"/>
      <c r="AO2882" s="8"/>
      <c r="AP2882" s="11"/>
      <c r="AQ2882" s="8"/>
      <c r="AR2882" s="8"/>
      <c r="AS2882" s="8">
        <f>3019*5.5/1000</f>
        <v>16.604500000000002</v>
      </c>
      <c r="AT2882" s="8">
        <v>324.17</v>
      </c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>
        <v>23.76</v>
      </c>
      <c r="BH2882" s="9">
        <f t="shared" si="396"/>
        <v>659.01</v>
      </c>
      <c r="BI2882" s="9">
        <f t="shared" si="397"/>
        <v>4.03</v>
      </c>
      <c r="BJ2882" s="9">
        <f t="shared" si="398"/>
        <v>1.19</v>
      </c>
      <c r="BK2882" s="9">
        <f t="shared" si="399"/>
        <v>6.62</v>
      </c>
      <c r="BL2882" s="9">
        <f t="shared" si="400"/>
        <v>0</v>
      </c>
      <c r="BM2882" s="9">
        <f t="shared" si="401"/>
        <v>23.174500000000002</v>
      </c>
      <c r="BN2882" s="9">
        <f t="shared" si="402"/>
        <v>324.17</v>
      </c>
      <c r="BO2882" s="9">
        <f t="shared" si="403"/>
        <v>0</v>
      </c>
      <c r="BP2882" s="9">
        <f t="shared" si="404"/>
        <v>0</v>
      </c>
    </row>
    <row r="2883" spans="1:68">
      <c r="A2883" s="6">
        <v>45062</v>
      </c>
      <c r="B2883" s="7">
        <v>3022</v>
      </c>
      <c r="C2883" s="8"/>
      <c r="D2883" s="8">
        <v>579.03</v>
      </c>
      <c r="E2883" s="8"/>
      <c r="F2883" s="8"/>
      <c r="G2883" s="8"/>
      <c r="H2883" s="8"/>
      <c r="I2883" s="8">
        <v>473.82</v>
      </c>
      <c r="J2883" s="8"/>
      <c r="K2883" s="8"/>
      <c r="L2883" s="8"/>
      <c r="M2883" s="8"/>
      <c r="N2883" s="8">
        <v>5.27</v>
      </c>
      <c r="O2883" s="8"/>
      <c r="P2883" s="8"/>
      <c r="Q2883" s="11"/>
      <c r="R2883" s="11"/>
      <c r="S2883" s="8">
        <v>1.89</v>
      </c>
      <c r="T2883" s="8"/>
      <c r="U2883" s="8"/>
      <c r="V2883" s="8"/>
      <c r="W2883" s="8">
        <v>10.49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>
        <v>13.63</v>
      </c>
      <c r="AN2883" s="8"/>
      <c r="AO2883" s="8"/>
      <c r="AP2883" s="11"/>
      <c r="AQ2883" s="8"/>
      <c r="AR2883" s="8"/>
      <c r="AS2883" s="8">
        <f>3842*9.57/1000</f>
        <v>36.767940000000003</v>
      </c>
      <c r="AT2883" s="8">
        <v>492.28</v>
      </c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>
        <v>37.82</v>
      </c>
      <c r="BH2883" s="9">
        <f t="shared" si="396"/>
        <v>1052.8499999999999</v>
      </c>
      <c r="BI2883" s="9">
        <f t="shared" si="397"/>
        <v>5.27</v>
      </c>
      <c r="BJ2883" s="9">
        <f t="shared" si="398"/>
        <v>1.89</v>
      </c>
      <c r="BK2883" s="9">
        <f t="shared" si="399"/>
        <v>10.49</v>
      </c>
      <c r="BL2883" s="9">
        <f t="shared" si="400"/>
        <v>0</v>
      </c>
      <c r="BM2883" s="9">
        <f t="shared" si="401"/>
        <v>50.397940000000006</v>
      </c>
      <c r="BN2883" s="9">
        <f t="shared" si="402"/>
        <v>492.28</v>
      </c>
      <c r="BO2883" s="9">
        <f t="shared" si="403"/>
        <v>0</v>
      </c>
      <c r="BP2883" s="9">
        <f t="shared" si="404"/>
        <v>0</v>
      </c>
    </row>
    <row r="2884" spans="1:68">
      <c r="A2884" s="6">
        <v>45062</v>
      </c>
      <c r="B2884" s="7">
        <v>3028</v>
      </c>
      <c r="C2884" s="8"/>
      <c r="D2884" s="8">
        <v>407.48</v>
      </c>
      <c r="E2884" s="8"/>
      <c r="F2884" s="8">
        <v>373.35</v>
      </c>
      <c r="G2884" s="8"/>
      <c r="H2884" s="8"/>
      <c r="I2884" s="8">
        <v>844</v>
      </c>
      <c r="J2884" s="8"/>
      <c r="K2884" s="8"/>
      <c r="L2884" s="8"/>
      <c r="M2884" s="8"/>
      <c r="N2884" s="8">
        <v>12.45</v>
      </c>
      <c r="O2884" s="8"/>
      <c r="P2884" s="8"/>
      <c r="Q2884" s="11"/>
      <c r="R2884" s="11"/>
      <c r="S2884" s="8">
        <v>2.27</v>
      </c>
      <c r="T2884" s="8"/>
      <c r="U2884" s="8"/>
      <c r="V2884" s="8"/>
      <c r="W2884" s="8">
        <v>12.16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>
        <v>16.21</v>
      </c>
      <c r="AN2884" s="8">
        <f>1060*10.8/1000</f>
        <v>11.448</v>
      </c>
      <c r="AO2884" s="8"/>
      <c r="AP2884" s="11"/>
      <c r="AQ2884" s="8"/>
      <c r="AR2884" s="8"/>
      <c r="AS2884" s="8">
        <f>4963*10.8/1000</f>
        <v>53.6004</v>
      </c>
      <c r="AT2884" s="8">
        <v>540.38</v>
      </c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>
        <v>36.5</v>
      </c>
      <c r="BH2884" s="9">
        <f t="shared" ref="BH2884:BH2947" si="405">SUM(C2884:L2884)</f>
        <v>1624.83</v>
      </c>
      <c r="BI2884" s="9">
        <f t="shared" ref="BI2884:BI2947" si="406">SUM(M2884:R2884)</f>
        <v>12.45</v>
      </c>
      <c r="BJ2884" s="9">
        <f t="shared" ref="BJ2884:BJ2947" si="407">SUM(S2884)</f>
        <v>2.27</v>
      </c>
      <c r="BK2884" s="9">
        <f t="shared" ref="BK2884:BK2947" si="408">SUM(T2884:Y2884)</f>
        <v>12.16</v>
      </c>
      <c r="BL2884" s="9">
        <f t="shared" ref="BL2884:BL2947" si="409">SUM(Z2884:AA2884)</f>
        <v>0</v>
      </c>
      <c r="BM2884" s="9">
        <f t="shared" ref="BM2884:BM2947" si="410">SUM(AB2884:AS2884)</f>
        <v>81.258399999999995</v>
      </c>
      <c r="BN2884" s="9">
        <f t="shared" ref="BN2884:BN2947" si="411">SUM(AT2884:AU2884)</f>
        <v>540.38</v>
      </c>
      <c r="BO2884" s="9">
        <f t="shared" ref="BO2884:BO2947" si="412">SUM(AV2884:BE2884)</f>
        <v>0</v>
      </c>
      <c r="BP2884" s="9">
        <f t="shared" ref="BP2884:BP2947" si="413">SUM(BF2884)</f>
        <v>0</v>
      </c>
    </row>
    <row r="2885" spans="1:68">
      <c r="A2885" s="6">
        <v>45062</v>
      </c>
      <c r="B2885" s="7">
        <v>3025</v>
      </c>
      <c r="C2885" s="8"/>
      <c r="D2885" s="8">
        <v>122.01</v>
      </c>
      <c r="E2885" s="8"/>
      <c r="F2885" s="8"/>
      <c r="G2885" s="8"/>
      <c r="H2885" s="8"/>
      <c r="I2885" s="8">
        <v>690.21</v>
      </c>
      <c r="J2885" s="8"/>
      <c r="K2885" s="8"/>
      <c r="L2885" s="8"/>
      <c r="M2885" s="8"/>
      <c r="N2885" s="8">
        <v>4.47</v>
      </c>
      <c r="O2885" s="8"/>
      <c r="P2885" s="8"/>
      <c r="Q2885" s="11"/>
      <c r="R2885" s="11"/>
      <c r="S2885" s="8">
        <v>1.3</v>
      </c>
      <c r="T2885" s="8"/>
      <c r="U2885" s="8"/>
      <c r="V2885" s="8"/>
      <c r="W2885" s="8">
        <v>7.31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>
        <v>8.06</v>
      </c>
      <c r="AN2885" s="8">
        <f>702*8.12/1000</f>
        <v>5.70024</v>
      </c>
      <c r="AO2885" s="8"/>
      <c r="AP2885" s="11"/>
      <c r="AQ2885" s="8"/>
      <c r="AR2885" s="8"/>
      <c r="AS2885" s="8">
        <f>3321*8.12/1000</f>
        <v>26.966519999999996</v>
      </c>
      <c r="AT2885" s="8">
        <v>279.27</v>
      </c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>
        <v>18.649999999999999</v>
      </c>
      <c r="BH2885" s="9">
        <f t="shared" si="405"/>
        <v>812.22</v>
      </c>
      <c r="BI2885" s="9">
        <f t="shared" si="406"/>
        <v>4.47</v>
      </c>
      <c r="BJ2885" s="9">
        <f t="shared" si="407"/>
        <v>1.3</v>
      </c>
      <c r="BK2885" s="9">
        <f t="shared" si="408"/>
        <v>7.31</v>
      </c>
      <c r="BL2885" s="9">
        <f t="shared" si="409"/>
        <v>0</v>
      </c>
      <c r="BM2885" s="9">
        <f t="shared" si="410"/>
        <v>40.726759999999999</v>
      </c>
      <c r="BN2885" s="9">
        <f t="shared" si="411"/>
        <v>279.27</v>
      </c>
      <c r="BO2885" s="9">
        <f t="shared" si="412"/>
        <v>0</v>
      </c>
      <c r="BP2885" s="9">
        <f t="shared" si="413"/>
        <v>0</v>
      </c>
    </row>
    <row r="2886" spans="1:68">
      <c r="A2886" s="6">
        <v>45062</v>
      </c>
      <c r="B2886" s="7">
        <v>3304</v>
      </c>
      <c r="C2886" s="8"/>
      <c r="D2886" s="8">
        <v>1122.8399999999999</v>
      </c>
      <c r="E2886" s="8"/>
      <c r="F2886" s="8"/>
      <c r="G2886" s="8"/>
      <c r="H2886" s="8"/>
      <c r="I2886" s="8"/>
      <c r="J2886" s="8"/>
      <c r="K2886" s="8"/>
      <c r="L2886" s="8"/>
      <c r="M2886" s="8">
        <v>2.25</v>
      </c>
      <c r="N2886" s="8"/>
      <c r="O2886" s="8"/>
      <c r="P2886" s="8"/>
      <c r="Q2886" s="11"/>
      <c r="R2886" s="11"/>
      <c r="S2886" s="8">
        <v>1.68</v>
      </c>
      <c r="T2886" s="8"/>
      <c r="U2886" s="8">
        <v>10.11</v>
      </c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>
        <v>11.23</v>
      </c>
      <c r="AH2886" s="8"/>
      <c r="AI2886" s="8"/>
      <c r="AJ2886" s="8"/>
      <c r="AK2886" s="8"/>
      <c r="AL2886" s="8"/>
      <c r="AM2886" s="8"/>
      <c r="AN2886" s="8"/>
      <c r="AO2886" s="8"/>
      <c r="AP2886" s="11"/>
      <c r="AQ2886" s="8"/>
      <c r="AR2886" s="8"/>
      <c r="AS2886" s="8"/>
      <c r="AT2886" s="8">
        <v>299.48</v>
      </c>
      <c r="AU2886" s="8">
        <v>150.16</v>
      </c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>
        <v>31.17</v>
      </c>
      <c r="BH2886" s="9">
        <f t="shared" si="405"/>
        <v>1122.8399999999999</v>
      </c>
      <c r="BI2886" s="9">
        <f t="shared" si="406"/>
        <v>2.25</v>
      </c>
      <c r="BJ2886" s="9">
        <f t="shared" si="407"/>
        <v>1.68</v>
      </c>
      <c r="BK2886" s="9">
        <f t="shared" si="408"/>
        <v>10.11</v>
      </c>
      <c r="BL2886" s="9">
        <f t="shared" si="409"/>
        <v>0</v>
      </c>
      <c r="BM2886" s="9">
        <f t="shared" si="410"/>
        <v>11.23</v>
      </c>
      <c r="BN2886" s="9">
        <f t="shared" si="411"/>
        <v>449.64</v>
      </c>
      <c r="BO2886" s="9">
        <f t="shared" si="412"/>
        <v>0</v>
      </c>
      <c r="BP2886" s="9">
        <f t="shared" si="413"/>
        <v>0</v>
      </c>
    </row>
    <row r="2887" spans="1:68">
      <c r="A2887" s="6">
        <v>45062</v>
      </c>
      <c r="B2887" s="7">
        <v>3139</v>
      </c>
      <c r="C2887" s="8">
        <v>1854.92</v>
      </c>
      <c r="D2887" s="8"/>
      <c r="E2887" s="8"/>
      <c r="F2887" s="8"/>
      <c r="G2887" s="8"/>
      <c r="H2887" s="8">
        <v>769.05</v>
      </c>
      <c r="I2887" s="8"/>
      <c r="J2887" s="8"/>
      <c r="K2887" s="8"/>
      <c r="L2887" s="8"/>
      <c r="M2887" s="8">
        <v>4.37</v>
      </c>
      <c r="N2887" s="8"/>
      <c r="O2887" s="8"/>
      <c r="P2887" s="8"/>
      <c r="Q2887" s="11"/>
      <c r="R2887" s="11"/>
      <c r="S2887" s="8">
        <v>8.23</v>
      </c>
      <c r="T2887" s="8"/>
      <c r="U2887" s="8">
        <v>27.43</v>
      </c>
      <c r="V2887" s="8"/>
      <c r="W2887" s="8"/>
      <c r="X2887" s="8"/>
      <c r="Y2887" s="8"/>
      <c r="Z2887" s="8"/>
      <c r="AA2887" s="8"/>
      <c r="AB2887" s="8"/>
      <c r="AC2887" s="8">
        <v>9.15</v>
      </c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11"/>
      <c r="AQ2887" s="8"/>
      <c r="AR2887" s="8"/>
      <c r="AS2887" s="8"/>
      <c r="AT2887" s="8">
        <v>1356.29</v>
      </c>
      <c r="AU2887" s="8"/>
      <c r="AV2887" s="8">
        <v>45.62</v>
      </c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>
        <v>98.36</v>
      </c>
      <c r="BH2887" s="9">
        <f t="shared" si="405"/>
        <v>2623.9700000000003</v>
      </c>
      <c r="BI2887" s="9">
        <f t="shared" si="406"/>
        <v>4.37</v>
      </c>
      <c r="BJ2887" s="9">
        <f t="shared" si="407"/>
        <v>8.23</v>
      </c>
      <c r="BK2887" s="9">
        <f t="shared" si="408"/>
        <v>27.43</v>
      </c>
      <c r="BL2887" s="9">
        <f t="shared" si="409"/>
        <v>0</v>
      </c>
      <c r="BM2887" s="9">
        <f t="shared" si="410"/>
        <v>9.15</v>
      </c>
      <c r="BN2887" s="9">
        <f t="shared" si="411"/>
        <v>1356.29</v>
      </c>
      <c r="BO2887" s="9">
        <f t="shared" si="412"/>
        <v>45.62</v>
      </c>
      <c r="BP2887" s="9">
        <f t="shared" si="413"/>
        <v>0</v>
      </c>
    </row>
    <row r="2888" spans="1:68">
      <c r="A2888" s="6">
        <v>45062</v>
      </c>
      <c r="B2888" s="7">
        <v>8299</v>
      </c>
      <c r="C2888" s="8">
        <v>1386.02</v>
      </c>
      <c r="D2888" s="8"/>
      <c r="E2888" s="8"/>
      <c r="F2888" s="8"/>
      <c r="G2888" s="8"/>
      <c r="H2888" s="8"/>
      <c r="I2888" s="8"/>
      <c r="J2888" s="8"/>
      <c r="K2888" s="8"/>
      <c r="L2888" s="8"/>
      <c r="M2888" s="8">
        <v>2.5</v>
      </c>
      <c r="N2888" s="8">
        <v>2.48</v>
      </c>
      <c r="O2888" s="8"/>
      <c r="P2888" s="8"/>
      <c r="Q2888" s="11"/>
      <c r="R2888" s="11"/>
      <c r="S2888" s="8">
        <v>5.68</v>
      </c>
      <c r="T2888" s="8"/>
      <c r="U2888" s="8">
        <v>13.88</v>
      </c>
      <c r="V2888" s="8"/>
      <c r="W2888" s="8"/>
      <c r="X2888" s="8"/>
      <c r="Y2888" s="8"/>
      <c r="Z2888" s="8"/>
      <c r="AA2888" s="8"/>
      <c r="AB2888" s="8"/>
      <c r="AC2888" s="8">
        <v>5.55</v>
      </c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11"/>
      <c r="AQ2888" s="8"/>
      <c r="AR2888" s="8"/>
      <c r="AS2888" s="8"/>
      <c r="AT2888" s="8">
        <v>613.29</v>
      </c>
      <c r="AU2888" s="8"/>
      <c r="AV2888" s="8"/>
      <c r="AW2888" s="8"/>
      <c r="AX2888" s="8"/>
      <c r="AY2888" s="8"/>
      <c r="AZ2888" s="8"/>
      <c r="BA2888" s="8"/>
      <c r="BB2888" s="8"/>
      <c r="BC2888" s="8">
        <v>1.39</v>
      </c>
      <c r="BD2888" s="8"/>
      <c r="BE2888" s="8"/>
      <c r="BF2888" s="8"/>
      <c r="BG2888" s="8">
        <v>45.11</v>
      </c>
      <c r="BH2888" s="9">
        <f t="shared" si="405"/>
        <v>1386.02</v>
      </c>
      <c r="BI2888" s="9">
        <f t="shared" si="406"/>
        <v>4.9800000000000004</v>
      </c>
      <c r="BJ2888" s="9">
        <f t="shared" si="407"/>
        <v>5.68</v>
      </c>
      <c r="BK2888" s="9">
        <f t="shared" si="408"/>
        <v>13.88</v>
      </c>
      <c r="BL2888" s="9">
        <f t="shared" si="409"/>
        <v>0</v>
      </c>
      <c r="BM2888" s="9">
        <f t="shared" si="410"/>
        <v>5.55</v>
      </c>
      <c r="BN2888" s="9">
        <f t="shared" si="411"/>
        <v>613.29</v>
      </c>
      <c r="BO2888" s="9">
        <f t="shared" si="412"/>
        <v>1.39</v>
      </c>
      <c r="BP2888" s="9">
        <f t="shared" si="413"/>
        <v>0</v>
      </c>
    </row>
    <row r="2889" spans="1:68">
      <c r="A2889" s="6">
        <v>45062</v>
      </c>
      <c r="B2889" s="7">
        <v>3601</v>
      </c>
      <c r="C2889" s="8">
        <v>293.62</v>
      </c>
      <c r="D2889" s="8"/>
      <c r="E2889" s="8"/>
      <c r="F2889" s="8"/>
      <c r="G2889" s="8">
        <v>440.4</v>
      </c>
      <c r="H2889" s="8"/>
      <c r="I2889" s="8"/>
      <c r="J2889" s="8"/>
      <c r="K2889" s="8"/>
      <c r="L2889" s="8"/>
      <c r="M2889" s="8">
        <v>0.89</v>
      </c>
      <c r="N2889" s="8"/>
      <c r="O2889" s="8"/>
      <c r="P2889" s="8"/>
      <c r="Q2889" s="11"/>
      <c r="R2889" s="11"/>
      <c r="S2889" s="8">
        <v>3.53</v>
      </c>
      <c r="T2889" s="8"/>
      <c r="U2889" s="8">
        <v>4.41</v>
      </c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11"/>
      <c r="AQ2889" s="8"/>
      <c r="AR2889" s="8"/>
      <c r="AS2889" s="8"/>
      <c r="AT2889" s="8">
        <v>360.29</v>
      </c>
      <c r="AU2889" s="8"/>
      <c r="AV2889" s="8"/>
      <c r="AW2889" s="8">
        <v>22.33</v>
      </c>
      <c r="AX2889" s="8"/>
      <c r="AY2889" s="8"/>
      <c r="AZ2889" s="8"/>
      <c r="BA2889" s="8"/>
      <c r="BB2889" s="8"/>
      <c r="BC2889" s="8"/>
      <c r="BD2889" s="8"/>
      <c r="BE2889" s="8"/>
      <c r="BF2889" s="8">
        <v>41.16</v>
      </c>
      <c r="BG2889" s="8">
        <v>26.18</v>
      </c>
      <c r="BH2889" s="9">
        <f t="shared" si="405"/>
        <v>734.02</v>
      </c>
      <c r="BI2889" s="9">
        <f t="shared" si="406"/>
        <v>0.89</v>
      </c>
      <c r="BJ2889" s="9">
        <f t="shared" si="407"/>
        <v>3.53</v>
      </c>
      <c r="BK2889" s="9">
        <f t="shared" si="408"/>
        <v>4.41</v>
      </c>
      <c r="BL2889" s="9">
        <f t="shared" si="409"/>
        <v>0</v>
      </c>
      <c r="BM2889" s="9">
        <f t="shared" si="410"/>
        <v>0</v>
      </c>
      <c r="BN2889" s="9">
        <f t="shared" si="411"/>
        <v>360.29</v>
      </c>
      <c r="BO2889" s="9">
        <f t="shared" si="412"/>
        <v>22.33</v>
      </c>
      <c r="BP2889" s="9">
        <f t="shared" si="413"/>
        <v>41.16</v>
      </c>
    </row>
    <row r="2890" spans="1:68">
      <c r="A2890" s="6">
        <v>45062</v>
      </c>
      <c r="B2890" s="7">
        <v>3602</v>
      </c>
      <c r="C2890" s="8">
        <v>576.55999999999995</v>
      </c>
      <c r="D2890" s="8"/>
      <c r="E2890" s="8"/>
      <c r="F2890" s="8"/>
      <c r="G2890" s="8">
        <v>864.74</v>
      </c>
      <c r="H2890" s="8"/>
      <c r="I2890" s="8"/>
      <c r="J2890" s="8"/>
      <c r="K2890" s="8"/>
      <c r="L2890" s="8"/>
      <c r="M2890" s="8">
        <v>1.5</v>
      </c>
      <c r="N2890" s="8"/>
      <c r="O2890" s="8"/>
      <c r="P2890" s="8"/>
      <c r="Q2890" s="11"/>
      <c r="R2890" s="11"/>
      <c r="S2890" s="8">
        <v>6.92</v>
      </c>
      <c r="T2890" s="8"/>
      <c r="U2890" s="8">
        <v>11.55</v>
      </c>
      <c r="V2890" s="8">
        <f>852*16.5/1000</f>
        <v>14.058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11"/>
      <c r="AQ2890" s="8"/>
      <c r="AR2890" s="8"/>
      <c r="AS2890" s="8"/>
      <c r="AT2890" s="8">
        <v>582.16999999999996</v>
      </c>
      <c r="AU2890" s="8"/>
      <c r="AV2890" s="8"/>
      <c r="AW2890" s="8">
        <v>37.28</v>
      </c>
      <c r="AX2890" s="8"/>
      <c r="AY2890" s="8"/>
      <c r="AZ2890" s="8"/>
      <c r="BA2890" s="8"/>
      <c r="BB2890" s="8"/>
      <c r="BC2890" s="8"/>
      <c r="BD2890" s="8"/>
      <c r="BE2890" s="8"/>
      <c r="BF2890" s="8">
        <v>46.23</v>
      </c>
      <c r="BG2890" s="8">
        <v>43.39</v>
      </c>
      <c r="BH2890" s="9">
        <f t="shared" si="405"/>
        <v>1441.3</v>
      </c>
      <c r="BI2890" s="9">
        <f t="shared" si="406"/>
        <v>1.5</v>
      </c>
      <c r="BJ2890" s="9">
        <f t="shared" si="407"/>
        <v>6.92</v>
      </c>
      <c r="BK2890" s="9">
        <f t="shared" si="408"/>
        <v>25.608000000000001</v>
      </c>
      <c r="BL2890" s="9">
        <f t="shared" si="409"/>
        <v>0</v>
      </c>
      <c r="BM2890" s="9">
        <f t="shared" si="410"/>
        <v>0</v>
      </c>
      <c r="BN2890" s="9">
        <f t="shared" si="411"/>
        <v>582.16999999999996</v>
      </c>
      <c r="BO2890" s="9">
        <f t="shared" si="412"/>
        <v>37.28</v>
      </c>
      <c r="BP2890" s="9">
        <f t="shared" si="413"/>
        <v>46.23</v>
      </c>
    </row>
    <row r="2891" spans="1:68">
      <c r="A2891" s="6">
        <v>45063</v>
      </c>
      <c r="B2891" s="7">
        <v>3101</v>
      </c>
      <c r="C2891" s="8">
        <v>660.77</v>
      </c>
      <c r="D2891" s="8"/>
      <c r="E2891" s="8"/>
      <c r="F2891" s="8"/>
      <c r="G2891" s="8"/>
      <c r="H2891" s="8"/>
      <c r="I2891" s="8"/>
      <c r="J2891" s="8"/>
      <c r="K2891" s="8"/>
      <c r="L2891" s="8"/>
      <c r="M2891" s="8">
        <v>1.73</v>
      </c>
      <c r="N2891" s="8"/>
      <c r="O2891" s="8"/>
      <c r="P2891" s="8"/>
      <c r="Q2891" s="11"/>
      <c r="R2891" s="11"/>
      <c r="S2891" s="8">
        <v>3.85</v>
      </c>
      <c r="T2891" s="8"/>
      <c r="U2891" s="8">
        <v>10.65</v>
      </c>
      <c r="V2891" s="8"/>
      <c r="W2891" s="8"/>
      <c r="X2891" s="8"/>
      <c r="Y2891" s="8"/>
      <c r="Z2891" s="8"/>
      <c r="AA2891" s="8"/>
      <c r="AB2891" s="8"/>
      <c r="AC2891" s="8">
        <v>2.65</v>
      </c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11"/>
      <c r="AQ2891" s="8"/>
      <c r="AR2891" s="8"/>
      <c r="AS2891" s="8"/>
      <c r="AT2891" s="8">
        <v>443.05</v>
      </c>
      <c r="AU2891" s="8"/>
      <c r="AV2891" s="8"/>
      <c r="AW2891" s="8">
        <v>14.14</v>
      </c>
      <c r="AX2891" s="8"/>
      <c r="AY2891" s="8"/>
      <c r="AZ2891" s="8"/>
      <c r="BA2891" s="8"/>
      <c r="BB2891" s="8"/>
      <c r="BC2891" s="8"/>
      <c r="BD2891" s="8"/>
      <c r="BE2891" s="8"/>
      <c r="BF2891" s="8">
        <v>86.16</v>
      </c>
      <c r="BG2891" s="8">
        <v>34.130000000000003</v>
      </c>
      <c r="BH2891" s="9">
        <f t="shared" si="405"/>
        <v>660.77</v>
      </c>
      <c r="BI2891" s="9">
        <f t="shared" si="406"/>
        <v>1.73</v>
      </c>
      <c r="BJ2891" s="9">
        <f t="shared" si="407"/>
        <v>3.85</v>
      </c>
      <c r="BK2891" s="9">
        <f t="shared" si="408"/>
        <v>10.65</v>
      </c>
      <c r="BL2891" s="9">
        <f t="shared" si="409"/>
        <v>0</v>
      </c>
      <c r="BM2891" s="9">
        <f t="shared" si="410"/>
        <v>2.65</v>
      </c>
      <c r="BN2891" s="9">
        <f t="shared" si="411"/>
        <v>443.05</v>
      </c>
      <c r="BO2891" s="9">
        <f t="shared" si="412"/>
        <v>14.14</v>
      </c>
      <c r="BP2891" s="9">
        <f t="shared" si="413"/>
        <v>86.16</v>
      </c>
    </row>
    <row r="2892" spans="1:68">
      <c r="A2892" s="6">
        <v>45063</v>
      </c>
      <c r="B2892" s="7">
        <v>3200</v>
      </c>
      <c r="C2892" s="8">
        <v>1177.46</v>
      </c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>
        <v>2.97</v>
      </c>
      <c r="P2892" s="8"/>
      <c r="Q2892" s="11"/>
      <c r="R2892" s="11"/>
      <c r="S2892" s="8">
        <v>4.5999999999999996</v>
      </c>
      <c r="T2892" s="8"/>
      <c r="U2892" s="8">
        <v>17.739999999999998</v>
      </c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>
        <v>58.39</v>
      </c>
      <c r="AG2892" s="8"/>
      <c r="AH2892" s="8"/>
      <c r="AI2892" s="8"/>
      <c r="AJ2892" s="8"/>
      <c r="AK2892" s="8"/>
      <c r="AL2892" s="8"/>
      <c r="AM2892" s="8"/>
      <c r="AN2892" s="8"/>
      <c r="AO2892" s="8"/>
      <c r="AP2892" s="11"/>
      <c r="AQ2892" s="8">
        <f>1497*11.8/1000</f>
        <v>17.664600000000004</v>
      </c>
      <c r="AR2892" s="8"/>
      <c r="AS2892" s="8"/>
      <c r="AT2892" s="8">
        <v>804.47</v>
      </c>
      <c r="AU2892" s="8"/>
      <c r="AV2892" s="8"/>
      <c r="AW2892" s="8">
        <v>3.48</v>
      </c>
      <c r="AX2892" s="8"/>
      <c r="AY2892" s="8"/>
      <c r="AZ2892" s="8"/>
      <c r="BA2892" s="8"/>
      <c r="BB2892" s="8"/>
      <c r="BC2892" s="8"/>
      <c r="BD2892" s="8"/>
      <c r="BE2892" s="8"/>
      <c r="BF2892" s="8">
        <v>56.74</v>
      </c>
      <c r="BG2892" s="8">
        <v>57.99</v>
      </c>
      <c r="BH2892" s="9">
        <f t="shared" si="405"/>
        <v>1177.46</v>
      </c>
      <c r="BI2892" s="9">
        <f t="shared" si="406"/>
        <v>2.97</v>
      </c>
      <c r="BJ2892" s="9">
        <f t="shared" si="407"/>
        <v>4.5999999999999996</v>
      </c>
      <c r="BK2892" s="9">
        <f t="shared" si="408"/>
        <v>17.739999999999998</v>
      </c>
      <c r="BL2892" s="9">
        <f t="shared" si="409"/>
        <v>0</v>
      </c>
      <c r="BM2892" s="9">
        <f t="shared" si="410"/>
        <v>76.054600000000008</v>
      </c>
      <c r="BN2892" s="9">
        <f t="shared" si="411"/>
        <v>804.47</v>
      </c>
      <c r="BO2892" s="9">
        <f t="shared" si="412"/>
        <v>3.48</v>
      </c>
      <c r="BP2892" s="9">
        <f t="shared" si="413"/>
        <v>56.74</v>
      </c>
    </row>
    <row r="2893" spans="1:68">
      <c r="A2893" s="6">
        <v>45063</v>
      </c>
      <c r="B2893" s="7">
        <v>3203</v>
      </c>
      <c r="C2893" s="8">
        <v>939.35</v>
      </c>
      <c r="D2893" s="8"/>
      <c r="E2893" s="8">
        <v>402.99</v>
      </c>
      <c r="F2893" s="8"/>
      <c r="G2893" s="8"/>
      <c r="H2893" s="8"/>
      <c r="I2893" s="8"/>
      <c r="J2893" s="8"/>
      <c r="K2893" s="8"/>
      <c r="L2893" s="8"/>
      <c r="M2893" s="8"/>
      <c r="N2893" s="8"/>
      <c r="O2893" s="8">
        <v>4.05</v>
      </c>
      <c r="P2893" s="8"/>
      <c r="Q2893" s="11"/>
      <c r="R2893" s="11"/>
      <c r="S2893" s="8">
        <v>5.25</v>
      </c>
      <c r="T2893" s="8"/>
      <c r="U2893" s="8">
        <v>16.72</v>
      </c>
      <c r="V2893" s="8"/>
      <c r="W2893" s="8"/>
      <c r="X2893" s="8"/>
      <c r="Y2893" s="8"/>
      <c r="Z2893" s="8">
        <v>212.16</v>
      </c>
      <c r="AA2893" s="8">
        <f>10630*15.83/1000</f>
        <v>168.27289999999999</v>
      </c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11"/>
      <c r="AQ2893" s="8"/>
      <c r="AR2893" s="8"/>
      <c r="AS2893" s="8"/>
      <c r="AT2893" s="8">
        <v>503.18</v>
      </c>
      <c r="AU2893" s="8"/>
      <c r="AV2893" s="8"/>
      <c r="AW2893" s="8"/>
      <c r="AX2893" s="8"/>
      <c r="AY2893" s="8"/>
      <c r="AZ2893" s="8"/>
      <c r="BA2893" s="8"/>
      <c r="BB2893" s="8"/>
      <c r="BC2893" s="8">
        <v>3.5</v>
      </c>
      <c r="BD2893" s="8"/>
      <c r="BE2893" s="8"/>
      <c r="BF2893" s="8"/>
      <c r="BG2893" s="8">
        <v>49.06</v>
      </c>
      <c r="BH2893" s="9">
        <f t="shared" si="405"/>
        <v>1342.3400000000001</v>
      </c>
      <c r="BI2893" s="9">
        <f t="shared" si="406"/>
        <v>4.05</v>
      </c>
      <c r="BJ2893" s="9">
        <f t="shared" si="407"/>
        <v>5.25</v>
      </c>
      <c r="BK2893" s="9">
        <f t="shared" si="408"/>
        <v>16.72</v>
      </c>
      <c r="BL2893" s="9">
        <f t="shared" si="409"/>
        <v>380.43290000000002</v>
      </c>
      <c r="BM2893" s="9">
        <f t="shared" si="410"/>
        <v>0</v>
      </c>
      <c r="BN2893" s="9">
        <f t="shared" si="411"/>
        <v>503.18</v>
      </c>
      <c r="BO2893" s="9">
        <f t="shared" si="412"/>
        <v>3.5</v>
      </c>
      <c r="BP2893" s="9">
        <f t="shared" si="413"/>
        <v>0</v>
      </c>
    </row>
    <row r="2894" spans="1:68">
      <c r="A2894" s="6">
        <v>45063</v>
      </c>
      <c r="B2894" s="7">
        <v>3005</v>
      </c>
      <c r="C2894" s="8">
        <v>427.61</v>
      </c>
      <c r="D2894" s="8">
        <v>284.02999999999997</v>
      </c>
      <c r="E2894" s="8"/>
      <c r="F2894" s="8"/>
      <c r="G2894" s="8"/>
      <c r="H2894" s="8"/>
      <c r="I2894" s="8"/>
      <c r="J2894" s="8"/>
      <c r="K2894" s="8"/>
      <c r="L2894" s="8"/>
      <c r="M2894" s="8"/>
      <c r="N2894" s="8">
        <v>0.72</v>
      </c>
      <c r="O2894" s="8"/>
      <c r="P2894" s="8"/>
      <c r="Q2894" s="11"/>
      <c r="R2894" s="11"/>
      <c r="S2894" s="8">
        <v>2.4</v>
      </c>
      <c r="T2894" s="8"/>
      <c r="U2894" s="8"/>
      <c r="V2894" s="8"/>
      <c r="W2894" s="8">
        <v>7.88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11"/>
      <c r="AQ2894" s="8"/>
      <c r="AR2894" s="8"/>
      <c r="AS2894" s="8"/>
      <c r="AT2894" s="8">
        <v>346.85</v>
      </c>
      <c r="AU2894" s="8"/>
      <c r="AV2894" s="8"/>
      <c r="AW2894" s="8">
        <v>7.81</v>
      </c>
      <c r="AX2894" s="8"/>
      <c r="AY2894" s="8"/>
      <c r="AZ2894" s="8"/>
      <c r="BA2894" s="8"/>
      <c r="BB2894" s="8"/>
      <c r="BC2894" s="8"/>
      <c r="BD2894" s="8"/>
      <c r="BE2894" s="8"/>
      <c r="BF2894" s="8"/>
      <c r="BG2894" s="8">
        <v>25.84</v>
      </c>
      <c r="BH2894" s="9">
        <f t="shared" si="405"/>
        <v>711.64</v>
      </c>
      <c r="BI2894" s="9">
        <f t="shared" si="406"/>
        <v>0.72</v>
      </c>
      <c r="BJ2894" s="9">
        <f t="shared" si="407"/>
        <v>2.4</v>
      </c>
      <c r="BK2894" s="9">
        <f t="shared" si="408"/>
        <v>7.88</v>
      </c>
      <c r="BL2894" s="9">
        <f t="shared" si="409"/>
        <v>0</v>
      </c>
      <c r="BM2894" s="9">
        <f t="shared" si="410"/>
        <v>0</v>
      </c>
      <c r="BN2894" s="9">
        <f t="shared" si="411"/>
        <v>346.85</v>
      </c>
      <c r="BO2894" s="9">
        <f t="shared" si="412"/>
        <v>7.81</v>
      </c>
      <c r="BP2894" s="9">
        <f t="shared" si="413"/>
        <v>0</v>
      </c>
    </row>
    <row r="2895" spans="1:68">
      <c r="A2895" s="6">
        <v>45063</v>
      </c>
      <c r="B2895" s="7">
        <v>3029</v>
      </c>
      <c r="C2895" s="8"/>
      <c r="D2895" s="8">
        <v>249.44</v>
      </c>
      <c r="E2895" s="8"/>
      <c r="F2895" s="8">
        <v>175.6</v>
      </c>
      <c r="G2895" s="8"/>
      <c r="H2895" s="8"/>
      <c r="I2895" s="8">
        <v>1041.21</v>
      </c>
      <c r="J2895" s="8"/>
      <c r="K2895" s="8"/>
      <c r="L2895" s="8"/>
      <c r="M2895" s="8"/>
      <c r="N2895" s="8">
        <v>11.45</v>
      </c>
      <c r="O2895" s="8"/>
      <c r="P2895" s="8"/>
      <c r="Q2895" s="11"/>
      <c r="R2895" s="11"/>
      <c r="S2895" s="8">
        <v>0.88</v>
      </c>
      <c r="T2895" s="8"/>
      <c r="U2895" s="8"/>
      <c r="V2895" s="8"/>
      <c r="W2895" s="8">
        <v>14.72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>
        <v>5.09</v>
      </c>
      <c r="AN2895" s="8">
        <f>757*9.78/1000</f>
        <v>7.403459999999999</v>
      </c>
      <c r="AO2895" s="8"/>
      <c r="AP2895" s="11"/>
      <c r="AQ2895" s="8"/>
      <c r="AR2895" s="8">
        <f>4617*9.78/1000</f>
        <v>45.154259999999994</v>
      </c>
      <c r="AS2895" s="8"/>
      <c r="AT2895" s="8">
        <v>558.21</v>
      </c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>
        <v>39.17</v>
      </c>
      <c r="BH2895" s="9">
        <f t="shared" si="405"/>
        <v>1466.25</v>
      </c>
      <c r="BI2895" s="9">
        <f t="shared" si="406"/>
        <v>11.45</v>
      </c>
      <c r="BJ2895" s="9">
        <f t="shared" si="407"/>
        <v>0.88</v>
      </c>
      <c r="BK2895" s="9">
        <f t="shared" si="408"/>
        <v>14.72</v>
      </c>
      <c r="BL2895" s="9">
        <f t="shared" si="409"/>
        <v>0</v>
      </c>
      <c r="BM2895" s="9">
        <f t="shared" si="410"/>
        <v>57.647719999999993</v>
      </c>
      <c r="BN2895" s="9">
        <f t="shared" si="411"/>
        <v>558.21</v>
      </c>
      <c r="BO2895" s="9">
        <f t="shared" si="412"/>
        <v>0</v>
      </c>
      <c r="BP2895" s="9">
        <f t="shared" si="413"/>
        <v>0</v>
      </c>
    </row>
    <row r="2896" spans="1:68">
      <c r="A2896" s="6">
        <v>45063</v>
      </c>
      <c r="B2896" s="7">
        <v>3029</v>
      </c>
      <c r="C2896" s="8"/>
      <c r="D2896" s="8">
        <v>254.48</v>
      </c>
      <c r="E2896" s="8"/>
      <c r="F2896" s="8">
        <v>179.46</v>
      </c>
      <c r="G2896" s="8"/>
      <c r="H2896" s="8"/>
      <c r="I2896" s="8">
        <v>1061.08</v>
      </c>
      <c r="J2896" s="8"/>
      <c r="K2896" s="8"/>
      <c r="L2896" s="8"/>
      <c r="M2896" s="8"/>
      <c r="N2896" s="8">
        <v>11.83</v>
      </c>
      <c r="O2896" s="8"/>
      <c r="P2896" s="8"/>
      <c r="Q2896" s="11"/>
      <c r="R2896" s="11"/>
      <c r="S2896" s="8">
        <v>0.89</v>
      </c>
      <c r="T2896" s="8"/>
      <c r="U2896" s="8"/>
      <c r="V2896" s="8"/>
      <c r="W2896" s="8">
        <v>15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>
        <v>5.19</v>
      </c>
      <c r="AN2896" s="8">
        <f>757*9.98/1000</f>
        <v>7.5548600000000006</v>
      </c>
      <c r="AO2896" s="8"/>
      <c r="AP2896" s="11"/>
      <c r="AQ2896" s="8"/>
      <c r="AR2896" s="8">
        <f>4617*9.98/1000</f>
        <v>46.077660000000002</v>
      </c>
      <c r="AS2896" s="8"/>
      <c r="AT2896" s="8">
        <v>567.19000000000005</v>
      </c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>
        <v>39.68</v>
      </c>
      <c r="BH2896" s="9">
        <f t="shared" si="405"/>
        <v>1495.02</v>
      </c>
      <c r="BI2896" s="9">
        <f t="shared" si="406"/>
        <v>11.83</v>
      </c>
      <c r="BJ2896" s="9">
        <f t="shared" si="407"/>
        <v>0.89</v>
      </c>
      <c r="BK2896" s="9">
        <f t="shared" si="408"/>
        <v>15</v>
      </c>
      <c r="BL2896" s="9">
        <f t="shared" si="409"/>
        <v>0</v>
      </c>
      <c r="BM2896" s="9">
        <f t="shared" si="410"/>
        <v>58.822520000000004</v>
      </c>
      <c r="BN2896" s="9">
        <f t="shared" si="411"/>
        <v>567.19000000000005</v>
      </c>
      <c r="BO2896" s="9">
        <f t="shared" si="412"/>
        <v>0</v>
      </c>
      <c r="BP2896" s="9">
        <f t="shared" si="413"/>
        <v>0</v>
      </c>
    </row>
    <row r="2897" spans="1:68">
      <c r="A2897" s="6">
        <v>45063</v>
      </c>
      <c r="B2897" s="7">
        <v>3016</v>
      </c>
      <c r="C2897" s="8"/>
      <c r="D2897" s="8">
        <v>1614.65</v>
      </c>
      <c r="E2897" s="8"/>
      <c r="F2897" s="8"/>
      <c r="G2897" s="8"/>
      <c r="H2897" s="8"/>
      <c r="I2897" s="8">
        <v>1493.47</v>
      </c>
      <c r="J2897" s="8"/>
      <c r="K2897" s="8"/>
      <c r="L2897" s="8"/>
      <c r="M2897" s="8"/>
      <c r="N2897" s="8">
        <v>19.29</v>
      </c>
      <c r="O2897" s="8"/>
      <c r="P2897" s="8"/>
      <c r="Q2897" s="11"/>
      <c r="R2897" s="11"/>
      <c r="S2897" s="8">
        <v>2.17</v>
      </c>
      <c r="T2897" s="8"/>
      <c r="U2897" s="8"/>
      <c r="V2897" s="8"/>
      <c r="W2897" s="8">
        <v>31.17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>
        <v>12.41</v>
      </c>
      <c r="AN2897" s="8">
        <f>2033*18.3/1000</f>
        <v>37.203900000000004</v>
      </c>
      <c r="AO2897" s="8"/>
      <c r="AP2897" s="11"/>
      <c r="AQ2897" s="8"/>
      <c r="AR2897" s="8">
        <f>4273*18.3/1000</f>
        <v>78.195900000000009</v>
      </c>
      <c r="AS2897" s="8"/>
      <c r="AT2897" s="8">
        <v>1155.71</v>
      </c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>
        <v>84.47</v>
      </c>
      <c r="BH2897" s="9">
        <f t="shared" si="405"/>
        <v>3108.12</v>
      </c>
      <c r="BI2897" s="9">
        <f t="shared" si="406"/>
        <v>19.29</v>
      </c>
      <c r="BJ2897" s="9">
        <f t="shared" si="407"/>
        <v>2.17</v>
      </c>
      <c r="BK2897" s="9">
        <f t="shared" si="408"/>
        <v>31.17</v>
      </c>
      <c r="BL2897" s="9">
        <f t="shared" si="409"/>
        <v>0</v>
      </c>
      <c r="BM2897" s="9">
        <f t="shared" si="410"/>
        <v>127.80980000000001</v>
      </c>
      <c r="BN2897" s="9">
        <f t="shared" si="411"/>
        <v>1155.71</v>
      </c>
      <c r="BO2897" s="9">
        <f t="shared" si="412"/>
        <v>0</v>
      </c>
      <c r="BP2897" s="9">
        <f t="shared" si="413"/>
        <v>0</v>
      </c>
    </row>
    <row r="2898" spans="1:68">
      <c r="A2898" s="6">
        <v>45063</v>
      </c>
      <c r="B2898" s="7">
        <v>3106</v>
      </c>
      <c r="C2898" s="8">
        <v>12222.39</v>
      </c>
      <c r="D2898" s="8"/>
      <c r="E2898" s="8"/>
      <c r="F2898" s="8"/>
      <c r="G2898" s="8"/>
      <c r="H2898" s="8"/>
      <c r="I2898" s="8"/>
      <c r="J2898" s="8"/>
      <c r="K2898" s="8"/>
      <c r="L2898" s="8"/>
      <c r="M2898" s="8">
        <v>30.27</v>
      </c>
      <c r="N2898" s="8"/>
      <c r="O2898" s="8"/>
      <c r="P2898" s="8"/>
      <c r="Q2898" s="11"/>
      <c r="R2898" s="11"/>
      <c r="S2898" s="8">
        <v>36.700000000000003</v>
      </c>
      <c r="T2898" s="8"/>
      <c r="U2898" s="8">
        <v>155.35</v>
      </c>
      <c r="V2898" s="8"/>
      <c r="W2898" s="8"/>
      <c r="X2898" s="8"/>
      <c r="Y2898" s="8"/>
      <c r="Z2898" s="8"/>
      <c r="AA2898" s="8"/>
      <c r="AB2898" s="8"/>
      <c r="AC2898" s="8">
        <v>30.53</v>
      </c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11"/>
      <c r="AQ2898" s="8"/>
      <c r="AR2898" s="8"/>
      <c r="AS2898" s="8"/>
      <c r="AT2898" s="8">
        <v>6956.55</v>
      </c>
      <c r="AU2898" s="8"/>
      <c r="AV2898" s="8"/>
      <c r="AW2898" s="8"/>
      <c r="AX2898" s="8">
        <v>15.28</v>
      </c>
      <c r="AY2898" s="8"/>
      <c r="AZ2898" s="8"/>
      <c r="BA2898" s="8"/>
      <c r="BB2898" s="8"/>
      <c r="BC2898" s="8"/>
      <c r="BD2898" s="8"/>
      <c r="BE2898" s="8"/>
      <c r="BF2898" s="8"/>
      <c r="BG2898" s="8">
        <v>525.29999999999995</v>
      </c>
      <c r="BH2898" s="9">
        <f t="shared" si="405"/>
        <v>12222.39</v>
      </c>
      <c r="BI2898" s="9">
        <f t="shared" si="406"/>
        <v>30.27</v>
      </c>
      <c r="BJ2898" s="9">
        <f t="shared" si="407"/>
        <v>36.700000000000003</v>
      </c>
      <c r="BK2898" s="9">
        <f t="shared" si="408"/>
        <v>155.35</v>
      </c>
      <c r="BL2898" s="9">
        <f t="shared" si="409"/>
        <v>0</v>
      </c>
      <c r="BM2898" s="9">
        <f t="shared" si="410"/>
        <v>30.53</v>
      </c>
      <c r="BN2898" s="9">
        <f t="shared" si="411"/>
        <v>6956.55</v>
      </c>
      <c r="BO2898" s="9">
        <f t="shared" si="412"/>
        <v>15.28</v>
      </c>
      <c r="BP2898" s="9">
        <f t="shared" si="413"/>
        <v>0</v>
      </c>
    </row>
    <row r="2899" spans="1:68">
      <c r="A2899" s="6">
        <v>45063</v>
      </c>
      <c r="B2899" s="7">
        <v>3144</v>
      </c>
      <c r="C2899" s="8">
        <v>1232.45</v>
      </c>
      <c r="D2899" s="8">
        <v>217.07</v>
      </c>
      <c r="E2899" s="8"/>
      <c r="F2899" s="8"/>
      <c r="G2899" s="8"/>
      <c r="H2899" s="8"/>
      <c r="I2899" s="8"/>
      <c r="J2899" s="8"/>
      <c r="K2899" s="8"/>
      <c r="L2899" s="8"/>
      <c r="M2899" s="8">
        <v>3.93</v>
      </c>
      <c r="N2899" s="8"/>
      <c r="O2899" s="8"/>
      <c r="P2899" s="8"/>
      <c r="Q2899" s="11"/>
      <c r="R2899" s="11"/>
      <c r="S2899" s="8">
        <v>6.81</v>
      </c>
      <c r="T2899" s="8"/>
      <c r="U2899" s="8">
        <v>21.7</v>
      </c>
      <c r="V2899" s="8"/>
      <c r="W2899" s="8"/>
      <c r="X2899" s="8"/>
      <c r="Y2899" s="8"/>
      <c r="Z2899" s="8"/>
      <c r="AA2899" s="8"/>
      <c r="AB2899" s="8"/>
      <c r="AC2899" s="8">
        <v>5.79</v>
      </c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11">
        <f>1214*9.65/1000</f>
        <v>11.7151</v>
      </c>
      <c r="AQ2899" s="8"/>
      <c r="AR2899" s="8"/>
      <c r="AS2899" s="8"/>
      <c r="AT2899" s="8">
        <v>950.22</v>
      </c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>
        <v>101.26</v>
      </c>
      <c r="BG2899" s="8">
        <v>75.459999999999994</v>
      </c>
      <c r="BH2899" s="9">
        <f t="shared" si="405"/>
        <v>1449.52</v>
      </c>
      <c r="BI2899" s="9">
        <f t="shared" si="406"/>
        <v>3.93</v>
      </c>
      <c r="BJ2899" s="9">
        <f t="shared" si="407"/>
        <v>6.81</v>
      </c>
      <c r="BK2899" s="9">
        <f t="shared" si="408"/>
        <v>21.7</v>
      </c>
      <c r="BL2899" s="9">
        <f t="shared" si="409"/>
        <v>0</v>
      </c>
      <c r="BM2899" s="9">
        <f t="shared" si="410"/>
        <v>17.505099999999999</v>
      </c>
      <c r="BN2899" s="9">
        <f t="shared" si="411"/>
        <v>950.22</v>
      </c>
      <c r="BO2899" s="9">
        <f t="shared" si="412"/>
        <v>0</v>
      </c>
      <c r="BP2899" s="9">
        <f t="shared" si="413"/>
        <v>101.26</v>
      </c>
    </row>
    <row r="2900" spans="1:68">
      <c r="A2900" s="6">
        <v>45065</v>
      </c>
      <c r="B2900" s="7">
        <v>3141</v>
      </c>
      <c r="C2900" s="8">
        <v>7081.02</v>
      </c>
      <c r="D2900" s="8">
        <v>1249.49</v>
      </c>
      <c r="E2900" s="8"/>
      <c r="F2900" s="8"/>
      <c r="G2900" s="8"/>
      <c r="H2900" s="8"/>
      <c r="I2900" s="8"/>
      <c r="J2900" s="8"/>
      <c r="K2900" s="8"/>
      <c r="L2900" s="8"/>
      <c r="M2900" s="8">
        <v>21.01</v>
      </c>
      <c r="N2900" s="8"/>
      <c r="O2900" s="8"/>
      <c r="P2900" s="8"/>
      <c r="Q2900" s="11"/>
      <c r="R2900" s="11"/>
      <c r="S2900" s="8">
        <v>39.19</v>
      </c>
      <c r="T2900" s="8"/>
      <c r="U2900" s="8">
        <v>125.03</v>
      </c>
      <c r="V2900" s="8"/>
      <c r="W2900" s="8"/>
      <c r="X2900" s="8"/>
      <c r="Y2900" s="8"/>
      <c r="Z2900" s="8"/>
      <c r="AA2900" s="8"/>
      <c r="AB2900" s="8"/>
      <c r="AC2900" s="8">
        <v>33.33</v>
      </c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11"/>
      <c r="AQ2900" s="8"/>
      <c r="AR2900" s="8"/>
      <c r="AS2900" s="8"/>
      <c r="AT2900" s="8">
        <v>5488.17</v>
      </c>
      <c r="AU2900" s="8"/>
      <c r="AV2900" s="8"/>
      <c r="AW2900" s="8"/>
      <c r="AX2900" s="8"/>
      <c r="AY2900" s="8"/>
      <c r="AZ2900" s="8"/>
      <c r="BA2900" s="8">
        <v>190.91</v>
      </c>
      <c r="BB2900" s="8"/>
      <c r="BC2900" s="8"/>
      <c r="BD2900" s="8"/>
      <c r="BE2900" s="8"/>
      <c r="BF2900" s="8">
        <v>583.33000000000004</v>
      </c>
      <c r="BG2900" s="8">
        <v>433.56</v>
      </c>
      <c r="BH2900" s="9">
        <f t="shared" si="405"/>
        <v>8330.51</v>
      </c>
      <c r="BI2900" s="9">
        <f t="shared" si="406"/>
        <v>21.01</v>
      </c>
      <c r="BJ2900" s="9">
        <f t="shared" si="407"/>
        <v>39.19</v>
      </c>
      <c r="BK2900" s="9">
        <f t="shared" si="408"/>
        <v>125.03</v>
      </c>
      <c r="BL2900" s="9">
        <f t="shared" si="409"/>
        <v>0</v>
      </c>
      <c r="BM2900" s="9">
        <f t="shared" si="410"/>
        <v>33.33</v>
      </c>
      <c r="BN2900" s="9">
        <f t="shared" si="411"/>
        <v>5488.17</v>
      </c>
      <c r="BO2900" s="9">
        <f t="shared" si="412"/>
        <v>190.91</v>
      </c>
      <c r="BP2900" s="9">
        <f t="shared" si="413"/>
        <v>583.33000000000004</v>
      </c>
    </row>
    <row r="2901" spans="1:68">
      <c r="A2901" s="6">
        <v>45065</v>
      </c>
      <c r="B2901" s="7">
        <v>3083</v>
      </c>
      <c r="C2901" s="8"/>
      <c r="D2901" s="8">
        <v>739.18</v>
      </c>
      <c r="E2901" s="8"/>
      <c r="F2901" s="8"/>
      <c r="G2901" s="8"/>
      <c r="H2901" s="8"/>
      <c r="I2901" s="8">
        <v>1722.49</v>
      </c>
      <c r="J2901" s="8"/>
      <c r="K2901" s="8"/>
      <c r="L2901" s="8"/>
      <c r="M2901" s="8"/>
      <c r="N2901" s="8">
        <v>15.99</v>
      </c>
      <c r="O2901" s="8"/>
      <c r="P2901" s="8"/>
      <c r="Q2901" s="11"/>
      <c r="R2901" s="11"/>
      <c r="S2901" s="8">
        <v>1.72</v>
      </c>
      <c r="T2901" s="8"/>
      <c r="U2901" s="8"/>
      <c r="V2901" s="8"/>
      <c r="W2901" s="8">
        <v>19.71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>
        <v>9.81</v>
      </c>
      <c r="AN2901" s="8">
        <v>35</v>
      </c>
      <c r="AO2901" s="8"/>
      <c r="AP2901" s="11"/>
      <c r="AQ2901" s="8"/>
      <c r="AR2901" s="8">
        <v>62.07</v>
      </c>
      <c r="AS2901" s="8"/>
      <c r="AT2901" s="8">
        <v>1158.06</v>
      </c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>
        <v>91.78</v>
      </c>
      <c r="BH2901" s="9">
        <f t="shared" si="405"/>
        <v>2461.67</v>
      </c>
      <c r="BI2901" s="9">
        <f t="shared" si="406"/>
        <v>15.99</v>
      </c>
      <c r="BJ2901" s="9">
        <f t="shared" si="407"/>
        <v>1.72</v>
      </c>
      <c r="BK2901" s="9">
        <f t="shared" si="408"/>
        <v>19.71</v>
      </c>
      <c r="BL2901" s="9">
        <f t="shared" si="409"/>
        <v>0</v>
      </c>
      <c r="BM2901" s="9">
        <f t="shared" si="410"/>
        <v>106.88</v>
      </c>
      <c r="BN2901" s="9">
        <f t="shared" si="411"/>
        <v>1158.06</v>
      </c>
      <c r="BO2901" s="9">
        <f t="shared" si="412"/>
        <v>0</v>
      </c>
      <c r="BP2901" s="9">
        <f t="shared" si="413"/>
        <v>0</v>
      </c>
    </row>
    <row r="2902" spans="1:68">
      <c r="A2902" s="6">
        <v>45065</v>
      </c>
      <c r="B2902" s="7">
        <v>3081</v>
      </c>
      <c r="C2902" s="8"/>
      <c r="D2902" s="8">
        <v>546.05999999999995</v>
      </c>
      <c r="E2902" s="8"/>
      <c r="F2902" s="8">
        <v>614.55999999999995</v>
      </c>
      <c r="G2902" s="8"/>
      <c r="H2902" s="8"/>
      <c r="I2902" s="8">
        <v>2242.44</v>
      </c>
      <c r="J2902" s="8"/>
      <c r="K2902" s="8"/>
      <c r="L2902" s="8"/>
      <c r="M2902" s="8"/>
      <c r="N2902" s="8">
        <v>24.93</v>
      </c>
      <c r="O2902" s="8"/>
      <c r="P2902" s="8">
        <v>13.87</v>
      </c>
      <c r="Q2902" s="11"/>
      <c r="R2902" s="11"/>
      <c r="S2902" s="8">
        <v>2.39</v>
      </c>
      <c r="T2902" s="8"/>
      <c r="U2902" s="8"/>
      <c r="V2902" s="8"/>
      <c r="W2902" s="8">
        <v>34.17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11"/>
      <c r="AQ2902" s="8">
        <v>33.57</v>
      </c>
      <c r="AR2902" s="8">
        <v>119.75</v>
      </c>
      <c r="AS2902" s="8"/>
      <c r="AT2902" s="8">
        <v>1069.1600000000001</v>
      </c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>
        <v>70.95</v>
      </c>
      <c r="BH2902" s="9">
        <f t="shared" si="405"/>
        <v>3403.06</v>
      </c>
      <c r="BI2902" s="9">
        <f t="shared" si="406"/>
        <v>38.799999999999997</v>
      </c>
      <c r="BJ2902" s="9">
        <f t="shared" si="407"/>
        <v>2.39</v>
      </c>
      <c r="BK2902" s="9">
        <f t="shared" si="408"/>
        <v>34.17</v>
      </c>
      <c r="BL2902" s="9">
        <f t="shared" si="409"/>
        <v>0</v>
      </c>
      <c r="BM2902" s="9">
        <f t="shared" si="410"/>
        <v>153.32</v>
      </c>
      <c r="BN2902" s="9">
        <f t="shared" si="411"/>
        <v>1069.1600000000001</v>
      </c>
      <c r="BO2902" s="9">
        <f t="shared" si="412"/>
        <v>0</v>
      </c>
      <c r="BP2902" s="9">
        <f t="shared" si="413"/>
        <v>0</v>
      </c>
    </row>
    <row r="2903" spans="1:68">
      <c r="A2903" s="6">
        <v>45065</v>
      </c>
      <c r="B2903" s="7">
        <v>3200</v>
      </c>
      <c r="C2903" s="8">
        <v>2311.94</v>
      </c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>
        <v>5.79</v>
      </c>
      <c r="P2903" s="8"/>
      <c r="Q2903" s="11"/>
      <c r="R2903" s="11"/>
      <c r="S2903" s="8">
        <v>9.02</v>
      </c>
      <c r="T2903" s="8"/>
      <c r="U2903" s="8">
        <v>34.68</v>
      </c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>
        <v>115.29</v>
      </c>
      <c r="AG2903" s="8"/>
      <c r="AH2903" s="8"/>
      <c r="AI2903" s="8"/>
      <c r="AJ2903" s="8"/>
      <c r="AK2903" s="8"/>
      <c r="AL2903" s="8"/>
      <c r="AM2903" s="8"/>
      <c r="AN2903" s="8"/>
      <c r="AO2903" s="8"/>
      <c r="AP2903" s="11"/>
      <c r="AQ2903" s="8">
        <v>35.090000000000003</v>
      </c>
      <c r="AR2903" s="8"/>
      <c r="AS2903" s="8"/>
      <c r="AT2903" s="8">
        <v>1581.48</v>
      </c>
      <c r="AU2903" s="8"/>
      <c r="AV2903" s="8"/>
      <c r="AW2903" s="8">
        <v>6.73</v>
      </c>
      <c r="AX2903" s="8"/>
      <c r="AY2903" s="8"/>
      <c r="AZ2903" s="8"/>
      <c r="BA2903" s="8"/>
      <c r="BB2903" s="8"/>
      <c r="BC2903" s="8"/>
      <c r="BD2903" s="8"/>
      <c r="BE2903" s="8"/>
      <c r="BF2903" s="8">
        <v>111.02</v>
      </c>
      <c r="BG2903" s="8">
        <v>114.35</v>
      </c>
      <c r="BH2903" s="9">
        <f t="shared" si="405"/>
        <v>2311.94</v>
      </c>
      <c r="BI2903" s="9">
        <f t="shared" si="406"/>
        <v>5.79</v>
      </c>
      <c r="BJ2903" s="9">
        <f t="shared" si="407"/>
        <v>9.02</v>
      </c>
      <c r="BK2903" s="9">
        <f t="shared" si="408"/>
        <v>34.68</v>
      </c>
      <c r="BL2903" s="9">
        <f t="shared" si="409"/>
        <v>0</v>
      </c>
      <c r="BM2903" s="9">
        <f t="shared" si="410"/>
        <v>150.38</v>
      </c>
      <c r="BN2903" s="9">
        <f t="shared" si="411"/>
        <v>1581.48</v>
      </c>
      <c r="BO2903" s="9">
        <f t="shared" si="412"/>
        <v>6.73</v>
      </c>
      <c r="BP2903" s="9">
        <f t="shared" si="413"/>
        <v>111.02</v>
      </c>
    </row>
    <row r="2904" spans="1:68">
      <c r="A2904" s="6">
        <v>45065</v>
      </c>
      <c r="B2904" s="7">
        <v>3409</v>
      </c>
      <c r="C2904" s="8">
        <v>1073.05</v>
      </c>
      <c r="D2904" s="8"/>
      <c r="E2904" s="8"/>
      <c r="F2904" s="8"/>
      <c r="G2904" s="8"/>
      <c r="H2904" s="8"/>
      <c r="I2904" s="8"/>
      <c r="J2904" s="8"/>
      <c r="K2904" s="8"/>
      <c r="L2904" s="8"/>
      <c r="M2904" s="8">
        <v>3.23</v>
      </c>
      <c r="N2904" s="8"/>
      <c r="O2904" s="8"/>
      <c r="P2904" s="8"/>
      <c r="Q2904" s="11"/>
      <c r="R2904" s="11"/>
      <c r="S2904" s="8">
        <v>2.69</v>
      </c>
      <c r="T2904" s="8"/>
      <c r="U2904" s="8"/>
      <c r="V2904" s="8"/>
      <c r="W2904" s="8"/>
      <c r="X2904" s="8">
        <v>10.9</v>
      </c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11"/>
      <c r="AQ2904" s="8"/>
      <c r="AR2904" s="8"/>
      <c r="AS2904" s="8"/>
      <c r="AT2904" s="8">
        <v>549.96</v>
      </c>
      <c r="AU2904" s="8"/>
      <c r="AV2904" s="8">
        <v>32.28</v>
      </c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>
        <v>37.57</v>
      </c>
      <c r="BH2904" s="9">
        <f t="shared" si="405"/>
        <v>1073.05</v>
      </c>
      <c r="BI2904" s="9">
        <f t="shared" si="406"/>
        <v>3.23</v>
      </c>
      <c r="BJ2904" s="9">
        <f t="shared" si="407"/>
        <v>2.69</v>
      </c>
      <c r="BK2904" s="9">
        <f t="shared" si="408"/>
        <v>10.9</v>
      </c>
      <c r="BL2904" s="9">
        <f t="shared" si="409"/>
        <v>0</v>
      </c>
      <c r="BM2904" s="9">
        <f t="shared" si="410"/>
        <v>0</v>
      </c>
      <c r="BN2904" s="9">
        <f t="shared" si="411"/>
        <v>549.96</v>
      </c>
      <c r="BO2904" s="9">
        <f t="shared" si="412"/>
        <v>32.28</v>
      </c>
      <c r="BP2904" s="9">
        <f t="shared" si="413"/>
        <v>0</v>
      </c>
    </row>
    <row r="2905" spans="1:68">
      <c r="A2905" s="6">
        <v>45065</v>
      </c>
      <c r="B2905" s="7">
        <v>3701</v>
      </c>
      <c r="C2905" s="8">
        <v>373.68</v>
      </c>
      <c r="D2905" s="8"/>
      <c r="E2905" s="8"/>
      <c r="F2905" s="8"/>
      <c r="G2905" s="8"/>
      <c r="H2905" s="8"/>
      <c r="I2905" s="8"/>
      <c r="J2905" s="8">
        <v>609.61</v>
      </c>
      <c r="K2905" s="8"/>
      <c r="L2905" s="8"/>
      <c r="M2905" s="8"/>
      <c r="N2905" s="8">
        <v>2.33</v>
      </c>
      <c r="O2905" s="8"/>
      <c r="P2905" s="8"/>
      <c r="Q2905" s="11"/>
      <c r="R2905" s="11"/>
      <c r="S2905" s="8">
        <v>2.73</v>
      </c>
      <c r="T2905" s="8"/>
      <c r="U2905" s="8">
        <v>6.06</v>
      </c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>
        <v>20.21</v>
      </c>
      <c r="AH2905" s="8"/>
      <c r="AI2905" s="8"/>
      <c r="AJ2905" s="8">
        <v>30.92</v>
      </c>
      <c r="AK2905" s="8"/>
      <c r="AL2905" s="8"/>
      <c r="AM2905" s="8"/>
      <c r="AN2905" s="8"/>
      <c r="AO2905" s="8"/>
      <c r="AP2905" s="11"/>
      <c r="AQ2905" s="8"/>
      <c r="AR2905" s="8"/>
      <c r="AS2905" s="8"/>
      <c r="AT2905" s="8"/>
      <c r="AU2905" s="8">
        <v>356.41</v>
      </c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>
        <v>24.23</v>
      </c>
      <c r="BH2905" s="9">
        <f t="shared" si="405"/>
        <v>983.29</v>
      </c>
      <c r="BI2905" s="9">
        <f t="shared" si="406"/>
        <v>2.33</v>
      </c>
      <c r="BJ2905" s="9">
        <f t="shared" si="407"/>
        <v>2.73</v>
      </c>
      <c r="BK2905" s="9">
        <f t="shared" si="408"/>
        <v>6.06</v>
      </c>
      <c r="BL2905" s="9">
        <f t="shared" si="409"/>
        <v>0</v>
      </c>
      <c r="BM2905" s="9">
        <f t="shared" si="410"/>
        <v>51.13</v>
      </c>
      <c r="BN2905" s="9">
        <f t="shared" si="411"/>
        <v>356.41</v>
      </c>
      <c r="BO2905" s="9">
        <f t="shared" si="412"/>
        <v>0</v>
      </c>
      <c r="BP2905" s="9">
        <f t="shared" si="413"/>
        <v>0</v>
      </c>
    </row>
    <row r="2906" spans="1:68">
      <c r="A2906" s="6">
        <v>45065</v>
      </c>
      <c r="B2906" s="7">
        <v>3803</v>
      </c>
      <c r="C2906" s="8"/>
      <c r="D2906" s="8"/>
      <c r="E2906" s="8"/>
      <c r="F2906" s="8"/>
      <c r="G2906" s="8"/>
      <c r="H2906" s="8"/>
      <c r="I2906" s="8">
        <f>29.05+113.31</f>
        <v>142.36000000000001</v>
      </c>
      <c r="J2906" s="8">
        <v>18.45</v>
      </c>
      <c r="K2906" s="8"/>
      <c r="L2906" s="8"/>
      <c r="M2906" s="8"/>
      <c r="N2906" s="8">
        <f>0.18+0.71</f>
        <v>0.8899999999999999</v>
      </c>
      <c r="O2906" s="8"/>
      <c r="P2906" s="8"/>
      <c r="Q2906" s="11"/>
      <c r="R2906" s="11"/>
      <c r="S2906" s="8">
        <f>0.21+0.83</f>
        <v>1.04</v>
      </c>
      <c r="T2906" s="8"/>
      <c r="U2906" s="8">
        <f>0.47+1.83</f>
        <v>2.2999999999999998</v>
      </c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>
        <f>1.58+6.13</f>
        <v>7.71</v>
      </c>
      <c r="AH2906" s="8"/>
      <c r="AI2906" s="8"/>
      <c r="AJ2906" s="8">
        <f>2.4+9.37</f>
        <v>11.77</v>
      </c>
      <c r="AK2906" s="8"/>
      <c r="AL2906" s="8"/>
      <c r="AM2906" s="8"/>
      <c r="AN2906" s="8"/>
      <c r="AO2906" s="8"/>
      <c r="AP2906" s="11"/>
      <c r="AQ2906" s="8"/>
      <c r="AR2906" s="8"/>
      <c r="AS2906" s="8"/>
      <c r="AT2906" s="8"/>
      <c r="AU2906" s="8">
        <f>27.72+107.93</f>
        <v>135.65</v>
      </c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>
        <f>1.89+7.32</f>
        <v>9.2100000000000009</v>
      </c>
      <c r="BH2906" s="9">
        <f t="shared" si="405"/>
        <v>160.81</v>
      </c>
      <c r="BI2906" s="9">
        <f t="shared" si="406"/>
        <v>0.8899999999999999</v>
      </c>
      <c r="BJ2906" s="9">
        <f t="shared" si="407"/>
        <v>1.04</v>
      </c>
      <c r="BK2906" s="9">
        <f t="shared" si="408"/>
        <v>2.2999999999999998</v>
      </c>
      <c r="BL2906" s="9">
        <f t="shared" si="409"/>
        <v>0</v>
      </c>
      <c r="BM2906" s="9">
        <f t="shared" si="410"/>
        <v>19.48</v>
      </c>
      <c r="BN2906" s="9">
        <f t="shared" si="411"/>
        <v>135.65</v>
      </c>
      <c r="BO2906" s="9">
        <f t="shared" si="412"/>
        <v>0</v>
      </c>
      <c r="BP2906" s="9">
        <f t="shared" si="413"/>
        <v>0</v>
      </c>
    </row>
    <row r="2907" spans="1:68">
      <c r="A2907" s="6">
        <v>45066</v>
      </c>
      <c r="B2907" s="7">
        <v>3703</v>
      </c>
      <c r="C2907" s="8">
        <v>514.54</v>
      </c>
      <c r="D2907" s="8">
        <v>342.77</v>
      </c>
      <c r="E2907" s="8"/>
      <c r="F2907" s="8"/>
      <c r="G2907" s="8"/>
      <c r="H2907" s="8"/>
      <c r="I2907" s="8"/>
      <c r="J2907" s="8"/>
      <c r="K2907" s="8"/>
      <c r="L2907" s="8"/>
      <c r="M2907" s="8">
        <v>1.72</v>
      </c>
      <c r="N2907" s="8"/>
      <c r="O2907" s="8"/>
      <c r="P2907" s="8"/>
      <c r="Q2907" s="11"/>
      <c r="R2907" s="11"/>
      <c r="S2907" s="8">
        <v>4.21</v>
      </c>
      <c r="T2907" s="8"/>
      <c r="U2907" s="8">
        <v>6.86</v>
      </c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>
        <v>8.56</v>
      </c>
      <c r="AN2907" s="8"/>
      <c r="AO2907" s="8"/>
      <c r="AP2907" s="11"/>
      <c r="AQ2907" s="8"/>
      <c r="AR2907" s="8"/>
      <c r="AS2907" s="8"/>
      <c r="AT2907" s="8">
        <v>207.47</v>
      </c>
      <c r="AU2907" s="8">
        <v>104</v>
      </c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>
        <v>21.72</v>
      </c>
      <c r="BH2907" s="9">
        <f t="shared" si="405"/>
        <v>857.31</v>
      </c>
      <c r="BI2907" s="9">
        <f t="shared" si="406"/>
        <v>1.72</v>
      </c>
      <c r="BJ2907" s="9">
        <f t="shared" si="407"/>
        <v>4.21</v>
      </c>
      <c r="BK2907" s="9">
        <f t="shared" si="408"/>
        <v>6.86</v>
      </c>
      <c r="BL2907" s="9">
        <f t="shared" si="409"/>
        <v>0</v>
      </c>
      <c r="BM2907" s="9">
        <f t="shared" si="410"/>
        <v>8.56</v>
      </c>
      <c r="BN2907" s="9">
        <f t="shared" si="411"/>
        <v>311.47000000000003</v>
      </c>
      <c r="BO2907" s="9">
        <f t="shared" si="412"/>
        <v>0</v>
      </c>
      <c r="BP2907" s="9">
        <f t="shared" si="413"/>
        <v>0</v>
      </c>
    </row>
    <row r="2908" spans="1:68">
      <c r="A2908" s="6">
        <v>45066</v>
      </c>
      <c r="B2908" s="7">
        <v>3122</v>
      </c>
      <c r="C2908" s="8">
        <v>760.61</v>
      </c>
      <c r="D2908" s="8"/>
      <c r="E2908" s="8"/>
      <c r="F2908" s="8"/>
      <c r="G2908" s="8"/>
      <c r="H2908" s="8"/>
      <c r="I2908" s="8"/>
      <c r="J2908" s="8"/>
      <c r="K2908" s="8"/>
      <c r="L2908" s="8"/>
      <c r="M2908" s="8">
        <v>1.35</v>
      </c>
      <c r="N2908" s="8">
        <v>1.37</v>
      </c>
      <c r="O2908" s="8"/>
      <c r="P2908" s="8"/>
      <c r="Q2908" s="11"/>
      <c r="R2908" s="11"/>
      <c r="S2908" s="8">
        <v>3.12</v>
      </c>
      <c r="T2908" s="8"/>
      <c r="U2908" s="8">
        <v>7.61</v>
      </c>
      <c r="V2908" s="8"/>
      <c r="W2908" s="8"/>
      <c r="X2908" s="8"/>
      <c r="Y2908" s="8"/>
      <c r="Z2908" s="8"/>
      <c r="AA2908" s="8"/>
      <c r="AB2908" s="8"/>
      <c r="AC2908" s="8">
        <v>3.04</v>
      </c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11"/>
      <c r="AQ2908" s="8"/>
      <c r="AR2908" s="8"/>
      <c r="AS2908" s="8"/>
      <c r="AT2908" s="8">
        <v>336.33</v>
      </c>
      <c r="AU2908" s="8"/>
      <c r="AV2908" s="8">
        <v>25.87</v>
      </c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>
        <v>24.73</v>
      </c>
      <c r="BH2908" s="9">
        <f t="shared" si="405"/>
        <v>760.61</v>
      </c>
      <c r="BI2908" s="9">
        <f t="shared" si="406"/>
        <v>2.72</v>
      </c>
      <c r="BJ2908" s="9">
        <f t="shared" si="407"/>
        <v>3.12</v>
      </c>
      <c r="BK2908" s="9">
        <f t="shared" si="408"/>
        <v>7.61</v>
      </c>
      <c r="BL2908" s="9">
        <f t="shared" si="409"/>
        <v>0</v>
      </c>
      <c r="BM2908" s="9">
        <f t="shared" si="410"/>
        <v>3.04</v>
      </c>
      <c r="BN2908" s="9">
        <f t="shared" si="411"/>
        <v>336.33</v>
      </c>
      <c r="BO2908" s="9">
        <f t="shared" si="412"/>
        <v>25.87</v>
      </c>
      <c r="BP2908" s="9">
        <f t="shared" si="413"/>
        <v>0</v>
      </c>
    </row>
    <row r="2909" spans="1:68">
      <c r="A2909" s="6">
        <v>45066</v>
      </c>
      <c r="B2909" s="7">
        <v>3602</v>
      </c>
      <c r="C2909" s="8">
        <f>152.94+296.6+129.1</f>
        <v>578.64</v>
      </c>
      <c r="D2909" s="8"/>
      <c r="E2909" s="8"/>
      <c r="F2909" s="8"/>
      <c r="G2909" s="8">
        <f>445.23+229.55+193.83</f>
        <v>868.61</v>
      </c>
      <c r="H2909" s="8"/>
      <c r="I2909" s="8"/>
      <c r="J2909" s="8"/>
      <c r="K2909" s="8"/>
      <c r="L2909" s="8"/>
      <c r="M2909" s="8">
        <f>0.78+0.4+0.34</f>
        <v>1.5200000000000002</v>
      </c>
      <c r="N2909" s="8"/>
      <c r="O2909" s="8"/>
      <c r="P2909" s="8"/>
      <c r="Q2909" s="11"/>
      <c r="R2909" s="11"/>
      <c r="S2909" s="8">
        <f>3.56+1.84+0.34</f>
        <v>5.74</v>
      </c>
      <c r="T2909" s="8"/>
      <c r="U2909" s="8">
        <f>5.94+3.07+2.59</f>
        <v>11.6</v>
      </c>
      <c r="V2909" s="8">
        <f>854*16.55/1000</f>
        <v>14.133700000000001</v>
      </c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11"/>
      <c r="AQ2909" s="8"/>
      <c r="AR2909" s="8"/>
      <c r="AS2909" s="8"/>
      <c r="AT2909" s="8">
        <f>299.27+154.18+130.01</f>
        <v>583.46</v>
      </c>
      <c r="AU2909" s="8"/>
      <c r="AV2909" s="8"/>
      <c r="AW2909" s="8">
        <f>9.89+19.19+8.37</f>
        <v>37.450000000000003</v>
      </c>
      <c r="AX2909" s="8"/>
      <c r="AY2909" s="8"/>
      <c r="AZ2909" s="8"/>
      <c r="BA2909" s="8"/>
      <c r="BB2909" s="8"/>
      <c r="BC2909" s="8"/>
      <c r="BD2909" s="8"/>
      <c r="BE2909" s="8"/>
      <c r="BF2909" s="8">
        <f>23.8+12.25+10.38</f>
        <v>46.43</v>
      </c>
      <c r="BG2909" s="8">
        <f>9.76+22.21+11.43</f>
        <v>43.4</v>
      </c>
      <c r="BH2909" s="9">
        <f t="shared" si="405"/>
        <v>1447.25</v>
      </c>
      <c r="BI2909" s="9">
        <f t="shared" si="406"/>
        <v>1.5200000000000002</v>
      </c>
      <c r="BJ2909" s="9">
        <f t="shared" si="407"/>
        <v>5.74</v>
      </c>
      <c r="BK2909" s="9">
        <f t="shared" si="408"/>
        <v>25.733699999999999</v>
      </c>
      <c r="BL2909" s="9">
        <f t="shared" si="409"/>
        <v>0</v>
      </c>
      <c r="BM2909" s="9">
        <f t="shared" si="410"/>
        <v>0</v>
      </c>
      <c r="BN2909" s="9">
        <f t="shared" si="411"/>
        <v>583.46</v>
      </c>
      <c r="BO2909" s="9">
        <f t="shared" si="412"/>
        <v>37.450000000000003</v>
      </c>
      <c r="BP2909" s="9">
        <f t="shared" si="413"/>
        <v>46.43</v>
      </c>
    </row>
    <row r="2910" spans="1:68">
      <c r="A2910" s="6">
        <v>45066</v>
      </c>
      <c r="B2910" s="7">
        <v>3129</v>
      </c>
      <c r="C2910" s="8">
        <v>1530.66</v>
      </c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11"/>
      <c r="R2910" s="11">
        <f>1204*6.95/1000</f>
        <v>8.3678000000000008</v>
      </c>
      <c r="S2910" s="8">
        <f>6.85+5.67</f>
        <v>12.52</v>
      </c>
      <c r="T2910" s="8"/>
      <c r="U2910" s="8"/>
      <c r="V2910" s="8"/>
      <c r="W2910" s="8"/>
      <c r="X2910" s="8">
        <f>1990*6.95/1000</f>
        <v>13.830500000000001</v>
      </c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11"/>
      <c r="AQ2910" s="8"/>
      <c r="AR2910" s="8"/>
      <c r="AS2910" s="8"/>
      <c r="AT2910" s="8">
        <v>210</v>
      </c>
      <c r="AU2910" s="8">
        <v>420.91</v>
      </c>
      <c r="AV2910" s="8"/>
      <c r="AW2910" s="8"/>
      <c r="AX2910" s="8"/>
      <c r="AY2910" s="8"/>
      <c r="AZ2910" s="8"/>
      <c r="BA2910" s="8"/>
      <c r="BB2910" s="8"/>
      <c r="BC2910" s="8"/>
      <c r="BD2910" s="8">
        <v>3.83</v>
      </c>
      <c r="BE2910" s="8">
        <f>2003*6.95/1000</f>
        <v>13.92085</v>
      </c>
      <c r="BF2910" s="8"/>
      <c r="BG2910" s="8">
        <v>45.87</v>
      </c>
      <c r="BH2910" s="9">
        <f t="shared" si="405"/>
        <v>1530.66</v>
      </c>
      <c r="BI2910" s="9">
        <f t="shared" si="406"/>
        <v>8.3678000000000008</v>
      </c>
      <c r="BJ2910" s="9">
        <f t="shared" si="407"/>
        <v>12.52</v>
      </c>
      <c r="BK2910" s="9">
        <f t="shared" si="408"/>
        <v>13.830500000000001</v>
      </c>
      <c r="BL2910" s="9">
        <f t="shared" si="409"/>
        <v>0</v>
      </c>
      <c r="BM2910" s="9">
        <f t="shared" si="410"/>
        <v>0</v>
      </c>
      <c r="BN2910" s="9">
        <f t="shared" si="411"/>
        <v>630.91000000000008</v>
      </c>
      <c r="BO2910" s="9">
        <f t="shared" si="412"/>
        <v>17.75085</v>
      </c>
      <c r="BP2910" s="9">
        <f t="shared" si="413"/>
        <v>0</v>
      </c>
    </row>
    <row r="2911" spans="1:68">
      <c r="A2911" s="6">
        <v>45066</v>
      </c>
      <c r="B2911" s="7">
        <v>3145</v>
      </c>
      <c r="C2911" s="8">
        <v>2389.65</v>
      </c>
      <c r="D2911" s="8">
        <v>421.75</v>
      </c>
      <c r="E2911" s="8"/>
      <c r="F2911" s="8"/>
      <c r="G2911" s="8"/>
      <c r="H2911" s="8"/>
      <c r="I2911" s="8"/>
      <c r="J2911" s="8"/>
      <c r="K2911" s="8"/>
      <c r="L2911" s="8"/>
      <c r="M2911" s="8">
        <v>6.67</v>
      </c>
      <c r="N2911" s="8"/>
      <c r="O2911" s="8"/>
      <c r="P2911" s="8"/>
      <c r="Q2911" s="11"/>
      <c r="R2911" s="11"/>
      <c r="S2911" s="8">
        <v>13.23</v>
      </c>
      <c r="T2911" s="8"/>
      <c r="U2911" s="8">
        <v>42.2</v>
      </c>
      <c r="V2911" s="8"/>
      <c r="W2911" s="8"/>
      <c r="X2911" s="8"/>
      <c r="Y2911" s="8"/>
      <c r="Z2911" s="8"/>
      <c r="AA2911" s="8"/>
      <c r="AB2911" s="8"/>
      <c r="AC2911" s="8">
        <v>11.26</v>
      </c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11"/>
      <c r="AQ2911" s="8"/>
      <c r="AR2911" s="8"/>
      <c r="AS2911" s="8"/>
      <c r="AT2911" s="8">
        <v>1862.42</v>
      </c>
      <c r="AU2911" s="8"/>
      <c r="AV2911" s="8"/>
      <c r="AW2911" s="8"/>
      <c r="AX2911" s="8"/>
      <c r="AY2911" s="8"/>
      <c r="AZ2911" s="8"/>
      <c r="BA2911" s="8"/>
      <c r="BB2911" s="8"/>
      <c r="BC2911" s="8"/>
      <c r="BD2911" s="8">
        <v>7.04</v>
      </c>
      <c r="BE2911" s="8">
        <f>1326*18.75/1000</f>
        <v>24.862500000000001</v>
      </c>
      <c r="BF2911" s="8">
        <v>196.89</v>
      </c>
      <c r="BG2911" s="8">
        <v>145.91999999999999</v>
      </c>
      <c r="BH2911" s="9">
        <f t="shared" si="405"/>
        <v>2811.4</v>
      </c>
      <c r="BI2911" s="9">
        <f t="shared" si="406"/>
        <v>6.67</v>
      </c>
      <c r="BJ2911" s="9">
        <f t="shared" si="407"/>
        <v>13.23</v>
      </c>
      <c r="BK2911" s="9">
        <f t="shared" si="408"/>
        <v>42.2</v>
      </c>
      <c r="BL2911" s="9">
        <f t="shared" si="409"/>
        <v>0</v>
      </c>
      <c r="BM2911" s="9">
        <f t="shared" si="410"/>
        <v>11.26</v>
      </c>
      <c r="BN2911" s="9">
        <f t="shared" si="411"/>
        <v>1862.42</v>
      </c>
      <c r="BO2911" s="9">
        <f t="shared" si="412"/>
        <v>31.9025</v>
      </c>
      <c r="BP2911" s="9">
        <f t="shared" si="413"/>
        <v>196.89</v>
      </c>
    </row>
    <row r="2912" spans="1:68">
      <c r="A2912" s="6">
        <v>45066</v>
      </c>
      <c r="B2912" s="7">
        <v>3136</v>
      </c>
      <c r="C2912" s="8">
        <v>1266.23</v>
      </c>
      <c r="D2912" s="8"/>
      <c r="E2912" s="8"/>
      <c r="F2912" s="8"/>
      <c r="G2912" s="8"/>
      <c r="H2912" s="8">
        <v>524.24</v>
      </c>
      <c r="I2912" s="8"/>
      <c r="J2912" s="8"/>
      <c r="K2912" s="8"/>
      <c r="L2912" s="8"/>
      <c r="M2912" s="8">
        <v>1.6</v>
      </c>
      <c r="N2912" s="8"/>
      <c r="O2912" s="8"/>
      <c r="P2912" s="8"/>
      <c r="Q2912" s="11"/>
      <c r="R2912" s="11"/>
      <c r="S2912" s="8">
        <v>7.8</v>
      </c>
      <c r="T2912" s="8"/>
      <c r="U2912" s="8">
        <v>20.190000000000001</v>
      </c>
      <c r="V2912" s="8"/>
      <c r="W2912" s="8"/>
      <c r="X2912" s="8"/>
      <c r="Y2912" s="8"/>
      <c r="Z2912" s="8"/>
      <c r="AA2912" s="8"/>
      <c r="AB2912" s="8"/>
      <c r="AC2912" s="8">
        <v>6.22</v>
      </c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11"/>
      <c r="AQ2912" s="8"/>
      <c r="AR2912" s="8"/>
      <c r="AS2912" s="8"/>
      <c r="AT2912" s="8">
        <v>1012.52</v>
      </c>
      <c r="AU2912" s="8"/>
      <c r="AV2912" s="8"/>
      <c r="AW2912" s="8"/>
      <c r="AX2912" s="8"/>
      <c r="AY2912" s="8"/>
      <c r="AZ2912" s="8"/>
      <c r="BA2912" s="8">
        <v>15.47</v>
      </c>
      <c r="BB2912" s="8"/>
      <c r="BC2912" s="8"/>
      <c r="BD2912" s="8"/>
      <c r="BE2912" s="8"/>
      <c r="BF2912" s="8">
        <v>62.43</v>
      </c>
      <c r="BG2912" s="8">
        <v>76.28</v>
      </c>
      <c r="BH2912" s="9">
        <f t="shared" si="405"/>
        <v>1790.47</v>
      </c>
      <c r="BI2912" s="9">
        <f t="shared" si="406"/>
        <v>1.6</v>
      </c>
      <c r="BJ2912" s="9">
        <f t="shared" si="407"/>
        <v>7.8</v>
      </c>
      <c r="BK2912" s="9">
        <f t="shared" si="408"/>
        <v>20.190000000000001</v>
      </c>
      <c r="BL2912" s="9">
        <f t="shared" si="409"/>
        <v>0</v>
      </c>
      <c r="BM2912" s="9">
        <f t="shared" si="410"/>
        <v>6.22</v>
      </c>
      <c r="BN2912" s="9">
        <f t="shared" si="411"/>
        <v>1012.52</v>
      </c>
      <c r="BO2912" s="9">
        <f t="shared" si="412"/>
        <v>15.47</v>
      </c>
      <c r="BP2912" s="9">
        <f t="shared" si="413"/>
        <v>62.43</v>
      </c>
    </row>
    <row r="2913" spans="1:68">
      <c r="A2913" s="6">
        <v>45066</v>
      </c>
      <c r="B2913" s="7">
        <v>3116</v>
      </c>
      <c r="C2913" s="8">
        <v>1617.45</v>
      </c>
      <c r="D2913" s="8"/>
      <c r="E2913" s="8"/>
      <c r="F2913" s="8"/>
      <c r="G2913" s="8"/>
      <c r="H2913" s="8"/>
      <c r="I2913" s="8"/>
      <c r="J2913" s="8"/>
      <c r="K2913" s="8"/>
      <c r="L2913" s="8"/>
      <c r="M2913" s="8">
        <v>2.6</v>
      </c>
      <c r="N2913" s="8"/>
      <c r="O2913" s="8"/>
      <c r="P2913" s="8"/>
      <c r="Q2913" s="11"/>
      <c r="R2913" s="11"/>
      <c r="S2913" s="8">
        <v>6.96</v>
      </c>
      <c r="T2913" s="8"/>
      <c r="U2913" s="8">
        <v>23.81</v>
      </c>
      <c r="V2913" s="8"/>
      <c r="W2913" s="8"/>
      <c r="X2913" s="8"/>
      <c r="Y2913" s="8"/>
      <c r="Z2913" s="8"/>
      <c r="AA2913" s="8"/>
      <c r="AB2913" s="8"/>
      <c r="AC2913" s="8">
        <v>6.47</v>
      </c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11"/>
      <c r="AQ2913" s="8">
        <f>1421*11.57/1000</f>
        <v>16.44097</v>
      </c>
      <c r="AR2913" s="8"/>
      <c r="AS2913" s="8"/>
      <c r="AT2913" s="8">
        <v>990.46</v>
      </c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>
        <v>64.72</v>
      </c>
      <c r="BG2913" s="8">
        <v>73.83</v>
      </c>
      <c r="BH2913" s="9">
        <f t="shared" si="405"/>
        <v>1617.45</v>
      </c>
      <c r="BI2913" s="9">
        <f t="shared" si="406"/>
        <v>2.6</v>
      </c>
      <c r="BJ2913" s="9">
        <f t="shared" si="407"/>
        <v>6.96</v>
      </c>
      <c r="BK2913" s="9">
        <f t="shared" si="408"/>
        <v>23.81</v>
      </c>
      <c r="BL2913" s="9">
        <f t="shared" si="409"/>
        <v>0</v>
      </c>
      <c r="BM2913" s="9">
        <f t="shared" si="410"/>
        <v>22.910969999999999</v>
      </c>
      <c r="BN2913" s="9">
        <f t="shared" si="411"/>
        <v>990.46</v>
      </c>
      <c r="BO2913" s="9">
        <f t="shared" si="412"/>
        <v>0</v>
      </c>
      <c r="BP2913" s="9">
        <f t="shared" si="413"/>
        <v>64.72</v>
      </c>
    </row>
    <row r="2914" spans="1:68">
      <c r="A2914" s="6">
        <v>45068</v>
      </c>
      <c r="B2914" s="7">
        <v>3106</v>
      </c>
      <c r="C2914" s="8">
        <v>6157.54</v>
      </c>
      <c r="D2914" s="8"/>
      <c r="E2914" s="8"/>
      <c r="F2914" s="8"/>
      <c r="G2914" s="8"/>
      <c r="H2914" s="8"/>
      <c r="I2914" s="8"/>
      <c r="J2914" s="8"/>
      <c r="K2914" s="8"/>
      <c r="L2914" s="8"/>
      <c r="M2914" s="8">
        <v>15.41</v>
      </c>
      <c r="N2914" s="8"/>
      <c r="O2914" s="8"/>
      <c r="P2914" s="8"/>
      <c r="Q2914" s="11"/>
      <c r="R2914" s="11"/>
      <c r="S2914" s="8">
        <v>18.510000000000002</v>
      </c>
      <c r="T2914" s="8"/>
      <c r="U2914" s="8">
        <v>78.34</v>
      </c>
      <c r="V2914" s="8"/>
      <c r="W2914" s="8"/>
      <c r="X2914" s="8"/>
      <c r="Y2914" s="8"/>
      <c r="Z2914" s="8"/>
      <c r="AA2914" s="8"/>
      <c r="AB2914" s="8"/>
      <c r="AC2914" s="8">
        <v>15.4</v>
      </c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11"/>
      <c r="AQ2914" s="8"/>
      <c r="AR2914" s="8"/>
      <c r="AS2914" s="8"/>
      <c r="AT2914" s="8">
        <v>3506</v>
      </c>
      <c r="AU2914" s="8"/>
      <c r="AV2914" s="8"/>
      <c r="AW2914" s="8"/>
      <c r="AX2914" s="8">
        <v>7.7</v>
      </c>
      <c r="AY2914" s="8"/>
      <c r="AZ2914" s="8"/>
      <c r="BA2914" s="8"/>
      <c r="BB2914" s="8"/>
      <c r="BC2914" s="8"/>
      <c r="BD2914" s="8"/>
      <c r="BE2914" s="8"/>
      <c r="BF2914" s="8"/>
      <c r="BG2914" s="8">
        <v>265.27</v>
      </c>
      <c r="BH2914" s="9">
        <f t="shared" si="405"/>
        <v>6157.54</v>
      </c>
      <c r="BI2914" s="9">
        <f t="shared" si="406"/>
        <v>15.41</v>
      </c>
      <c r="BJ2914" s="9">
        <f t="shared" si="407"/>
        <v>18.510000000000002</v>
      </c>
      <c r="BK2914" s="9">
        <f t="shared" si="408"/>
        <v>78.34</v>
      </c>
      <c r="BL2914" s="9">
        <f t="shared" si="409"/>
        <v>0</v>
      </c>
      <c r="BM2914" s="9">
        <f t="shared" si="410"/>
        <v>15.4</v>
      </c>
      <c r="BN2914" s="9">
        <f t="shared" si="411"/>
        <v>3506</v>
      </c>
      <c r="BO2914" s="9">
        <f t="shared" si="412"/>
        <v>7.7</v>
      </c>
      <c r="BP2914" s="9">
        <f t="shared" si="413"/>
        <v>0</v>
      </c>
    </row>
    <row r="2915" spans="1:68">
      <c r="A2915" s="6">
        <v>45068</v>
      </c>
      <c r="B2915" s="7">
        <v>3083</v>
      </c>
      <c r="C2915" s="8"/>
      <c r="D2915" s="8">
        <v>745.39</v>
      </c>
      <c r="E2915" s="8"/>
      <c r="F2915" s="8"/>
      <c r="G2915" s="8"/>
      <c r="H2915" s="8"/>
      <c r="I2915" s="8">
        <v>1731.15</v>
      </c>
      <c r="J2915" s="8"/>
      <c r="K2915" s="8"/>
      <c r="L2915" s="8"/>
      <c r="M2915" s="8"/>
      <c r="N2915" s="8">
        <v>16.100000000000001</v>
      </c>
      <c r="O2915" s="8"/>
      <c r="P2915" s="8"/>
      <c r="Q2915" s="11"/>
      <c r="R2915" s="11"/>
      <c r="S2915" s="8">
        <v>1.73</v>
      </c>
      <c r="T2915" s="8"/>
      <c r="U2915" s="8"/>
      <c r="V2915" s="8"/>
      <c r="W2915" s="8">
        <v>19.809999999999999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>
        <v>9.86</v>
      </c>
      <c r="AN2915" s="8">
        <f>1934*18.33/1000</f>
        <v>35.450219999999995</v>
      </c>
      <c r="AO2915" s="8"/>
      <c r="AP2915" s="11"/>
      <c r="AQ2915" s="8"/>
      <c r="AR2915" s="8">
        <f>3395*18.33/1000</f>
        <v>62.230349999999994</v>
      </c>
      <c r="AS2915" s="8"/>
      <c r="AT2915" s="8">
        <v>1163.51</v>
      </c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>
        <v>92.21</v>
      </c>
      <c r="BH2915" s="9">
        <f t="shared" si="405"/>
        <v>2476.54</v>
      </c>
      <c r="BI2915" s="9">
        <f t="shared" si="406"/>
        <v>16.100000000000001</v>
      </c>
      <c r="BJ2915" s="9">
        <f t="shared" si="407"/>
        <v>1.73</v>
      </c>
      <c r="BK2915" s="9">
        <f t="shared" si="408"/>
        <v>19.809999999999999</v>
      </c>
      <c r="BL2915" s="9">
        <f t="shared" si="409"/>
        <v>0</v>
      </c>
      <c r="BM2915" s="9">
        <f t="shared" si="410"/>
        <v>107.54056999999999</v>
      </c>
      <c r="BN2915" s="9">
        <f t="shared" si="411"/>
        <v>1163.51</v>
      </c>
      <c r="BO2915" s="9">
        <f t="shared" si="412"/>
        <v>0</v>
      </c>
      <c r="BP2915" s="9">
        <f t="shared" si="413"/>
        <v>0</v>
      </c>
    </row>
    <row r="2916" spans="1:68">
      <c r="A2916" s="6">
        <v>45068</v>
      </c>
      <c r="B2916" s="7">
        <v>3079</v>
      </c>
      <c r="C2916" s="8"/>
      <c r="D2916" s="8"/>
      <c r="E2916" s="8"/>
      <c r="F2916" s="8">
        <v>343.03</v>
      </c>
      <c r="G2916" s="8"/>
      <c r="H2916" s="8"/>
      <c r="I2916" s="8">
        <v>2771.51</v>
      </c>
      <c r="J2916" s="8"/>
      <c r="K2916" s="8"/>
      <c r="L2916" s="8"/>
      <c r="M2916" s="8"/>
      <c r="N2916" s="8">
        <v>22.73</v>
      </c>
      <c r="O2916" s="8"/>
      <c r="P2916" s="8"/>
      <c r="Q2916" s="11"/>
      <c r="R2916" s="11"/>
      <c r="S2916" s="8">
        <v>1.25</v>
      </c>
      <c r="T2916" s="8"/>
      <c r="U2916" s="8"/>
      <c r="V2916" s="8"/>
      <c r="W2916" s="8">
        <v>31.25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>
        <v>12.5</v>
      </c>
      <c r="AN2916" s="8">
        <f>1716*18.33/1000</f>
        <v>31.454279999999997</v>
      </c>
      <c r="AO2916" s="8"/>
      <c r="AP2916" s="11"/>
      <c r="AQ2916" s="8"/>
      <c r="AR2916" s="8">
        <f>4318*18.33/1000</f>
        <v>79.148939999999982</v>
      </c>
      <c r="AS2916" s="8"/>
      <c r="AT2916" s="8">
        <v>1203.58</v>
      </c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>
        <v>87.17</v>
      </c>
      <c r="BH2916" s="9">
        <f t="shared" si="405"/>
        <v>3114.54</v>
      </c>
      <c r="BI2916" s="9">
        <f t="shared" si="406"/>
        <v>22.73</v>
      </c>
      <c r="BJ2916" s="9">
        <f t="shared" si="407"/>
        <v>1.25</v>
      </c>
      <c r="BK2916" s="9">
        <f t="shared" si="408"/>
        <v>31.25</v>
      </c>
      <c r="BL2916" s="9">
        <f t="shared" si="409"/>
        <v>0</v>
      </c>
      <c r="BM2916" s="9">
        <f t="shared" si="410"/>
        <v>123.10321999999998</v>
      </c>
      <c r="BN2916" s="9">
        <f t="shared" si="411"/>
        <v>1203.58</v>
      </c>
      <c r="BO2916" s="9">
        <f t="shared" si="412"/>
        <v>0</v>
      </c>
      <c r="BP2916" s="9">
        <f t="shared" si="413"/>
        <v>0</v>
      </c>
    </row>
    <row r="2917" spans="1:68">
      <c r="A2917" s="6">
        <v>45068</v>
      </c>
      <c r="B2917" s="7">
        <v>3028</v>
      </c>
      <c r="C2917" s="8"/>
      <c r="D2917" s="8">
        <v>417</v>
      </c>
      <c r="E2917" s="8"/>
      <c r="F2917" s="8">
        <v>383.55</v>
      </c>
      <c r="G2917" s="8"/>
      <c r="H2917" s="8"/>
      <c r="I2917" s="8">
        <v>867.01</v>
      </c>
      <c r="J2917" s="8"/>
      <c r="K2917" s="8"/>
      <c r="L2917" s="8"/>
      <c r="M2917" s="8"/>
      <c r="N2917" s="8">
        <v>12.84</v>
      </c>
      <c r="O2917" s="8"/>
      <c r="P2917" s="8"/>
      <c r="Q2917" s="11"/>
      <c r="R2917" s="11"/>
      <c r="S2917" s="8">
        <v>2.33</v>
      </c>
      <c r="T2917" s="8"/>
      <c r="U2917" s="8"/>
      <c r="V2917" s="8"/>
      <c r="W2917" s="8">
        <v>12.52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>
        <v>16.649999999999999</v>
      </c>
      <c r="AN2917" s="8">
        <f>1041*11.12/1000</f>
        <v>11.57592</v>
      </c>
      <c r="AO2917" s="8"/>
      <c r="AP2917" s="11"/>
      <c r="AQ2917" s="8"/>
      <c r="AR2917" s="8"/>
      <c r="AS2917" s="8">
        <f>4985*11.12/1000</f>
        <v>55.433199999999999</v>
      </c>
      <c r="AT2917" s="8">
        <v>556.41999999999996</v>
      </c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>
        <v>37.94</v>
      </c>
      <c r="BH2917" s="9">
        <f t="shared" si="405"/>
        <v>1667.56</v>
      </c>
      <c r="BI2917" s="9">
        <f t="shared" si="406"/>
        <v>12.84</v>
      </c>
      <c r="BJ2917" s="9">
        <f t="shared" si="407"/>
        <v>2.33</v>
      </c>
      <c r="BK2917" s="9">
        <f t="shared" si="408"/>
        <v>12.52</v>
      </c>
      <c r="BL2917" s="9">
        <f t="shared" si="409"/>
        <v>0</v>
      </c>
      <c r="BM2917" s="9">
        <f t="shared" si="410"/>
        <v>83.659120000000001</v>
      </c>
      <c r="BN2917" s="9">
        <f t="shared" si="411"/>
        <v>556.41999999999996</v>
      </c>
      <c r="BO2917" s="9">
        <f t="shared" si="412"/>
        <v>0</v>
      </c>
      <c r="BP2917" s="9">
        <f t="shared" si="413"/>
        <v>0</v>
      </c>
    </row>
    <row r="2918" spans="1:68">
      <c r="A2918" s="6">
        <v>45068</v>
      </c>
      <c r="B2918" s="7">
        <v>3022</v>
      </c>
      <c r="C2918" s="8"/>
      <c r="D2918" s="8">
        <v>576.64</v>
      </c>
      <c r="E2918" s="8"/>
      <c r="F2918" s="8"/>
      <c r="G2918" s="8"/>
      <c r="H2918" s="8"/>
      <c r="I2918" s="8">
        <v>466.29</v>
      </c>
      <c r="J2918" s="8"/>
      <c r="K2918" s="8"/>
      <c r="L2918" s="8"/>
      <c r="M2918" s="8"/>
      <c r="N2918" s="8">
        <v>5.26</v>
      </c>
      <c r="O2918" s="8"/>
      <c r="P2918" s="8"/>
      <c r="Q2918" s="11"/>
      <c r="R2918" s="11"/>
      <c r="S2918" s="8">
        <v>1.88</v>
      </c>
      <c r="T2918" s="8"/>
      <c r="U2918" s="8"/>
      <c r="V2918" s="8"/>
      <c r="W2918" s="8">
        <v>10.46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>
        <v>13.57</v>
      </c>
      <c r="AN2918" s="8"/>
      <c r="AO2918" s="8"/>
      <c r="AP2918" s="11"/>
      <c r="AQ2918" s="8"/>
      <c r="AR2918" s="8"/>
      <c r="AS2918" s="8">
        <f>3933*9.5/1000</f>
        <v>37.363500000000002</v>
      </c>
      <c r="AT2918" s="8">
        <v>490.49</v>
      </c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>
        <v>37.619999999999997</v>
      </c>
      <c r="BH2918" s="9">
        <f t="shared" si="405"/>
        <v>1042.93</v>
      </c>
      <c r="BI2918" s="9">
        <f t="shared" si="406"/>
        <v>5.26</v>
      </c>
      <c r="BJ2918" s="9">
        <f t="shared" si="407"/>
        <v>1.88</v>
      </c>
      <c r="BK2918" s="9">
        <f t="shared" si="408"/>
        <v>10.46</v>
      </c>
      <c r="BL2918" s="9">
        <f t="shared" si="409"/>
        <v>0</v>
      </c>
      <c r="BM2918" s="9">
        <f t="shared" si="410"/>
        <v>50.933500000000002</v>
      </c>
      <c r="BN2918" s="9">
        <f t="shared" si="411"/>
        <v>490.49</v>
      </c>
      <c r="BO2918" s="9">
        <f t="shared" si="412"/>
        <v>0</v>
      </c>
      <c r="BP2918" s="9">
        <f t="shared" si="413"/>
        <v>0</v>
      </c>
    </row>
    <row r="2919" spans="1:68">
      <c r="A2919" s="6">
        <v>45069</v>
      </c>
      <c r="B2919" s="7">
        <v>3203</v>
      </c>
      <c r="C2919" s="8">
        <v>941.35</v>
      </c>
      <c r="D2919" s="8"/>
      <c r="E2919" s="8">
        <v>405.21</v>
      </c>
      <c r="F2919" s="8"/>
      <c r="G2919" s="8"/>
      <c r="H2919" s="8"/>
      <c r="I2919" s="8"/>
      <c r="J2919" s="8"/>
      <c r="K2919" s="8"/>
      <c r="L2919" s="8"/>
      <c r="M2919" s="8"/>
      <c r="N2919" s="8"/>
      <c r="O2919" s="8">
        <v>4.09</v>
      </c>
      <c r="P2919" s="8"/>
      <c r="Q2919" s="11"/>
      <c r="R2919" s="11"/>
      <c r="S2919" s="8">
        <v>5.3</v>
      </c>
      <c r="T2919" s="8"/>
      <c r="U2919" s="8">
        <v>16.850000000000001</v>
      </c>
      <c r="V2919" s="8"/>
      <c r="W2919" s="8"/>
      <c r="X2919" s="8"/>
      <c r="Y2919" s="8"/>
      <c r="Z2919" s="8">
        <v>213.9</v>
      </c>
      <c r="AA2919" s="8">
        <f>10398*15.97/1000</f>
        <v>166.05606</v>
      </c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11"/>
      <c r="AQ2919" s="8"/>
      <c r="AR2919" s="8"/>
      <c r="AS2919" s="8"/>
      <c r="AT2919" s="8">
        <v>503.56</v>
      </c>
      <c r="AU2919" s="8">
        <v>253.72</v>
      </c>
      <c r="AV2919" s="8"/>
      <c r="AW2919" s="8"/>
      <c r="AX2919" s="8"/>
      <c r="AY2919" s="8"/>
      <c r="AZ2919" s="8"/>
      <c r="BA2919" s="8"/>
      <c r="BB2919" s="8"/>
      <c r="BC2919" s="8">
        <v>3.53</v>
      </c>
      <c r="BD2919" s="8"/>
      <c r="BE2919" s="8"/>
      <c r="BF2919" s="8"/>
      <c r="BG2919" s="8">
        <v>49.5</v>
      </c>
      <c r="BH2919" s="9">
        <f t="shared" si="405"/>
        <v>1346.56</v>
      </c>
      <c r="BI2919" s="9">
        <f t="shared" si="406"/>
        <v>4.09</v>
      </c>
      <c r="BJ2919" s="9">
        <f t="shared" si="407"/>
        <v>5.3</v>
      </c>
      <c r="BK2919" s="9">
        <f t="shared" si="408"/>
        <v>16.850000000000001</v>
      </c>
      <c r="BL2919" s="9">
        <f t="shared" si="409"/>
        <v>379.95605999999998</v>
      </c>
      <c r="BM2919" s="9">
        <f t="shared" si="410"/>
        <v>0</v>
      </c>
      <c r="BN2919" s="9">
        <f t="shared" si="411"/>
        <v>757.28</v>
      </c>
      <c r="BO2919" s="9">
        <f t="shared" si="412"/>
        <v>3.53</v>
      </c>
      <c r="BP2919" s="9">
        <f t="shared" si="413"/>
        <v>0</v>
      </c>
    </row>
    <row r="2920" spans="1:68">
      <c r="A2920" s="6">
        <v>45069</v>
      </c>
      <c r="B2920" s="7">
        <v>3200</v>
      </c>
      <c r="C2920" s="8">
        <v>2252.4499999999998</v>
      </c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>
        <v>5.63</v>
      </c>
      <c r="P2920" s="8"/>
      <c r="Q2920" s="11"/>
      <c r="R2920" s="11"/>
      <c r="S2920" s="8">
        <v>8.8000000000000007</v>
      </c>
      <c r="T2920" s="8"/>
      <c r="U2920" s="8">
        <v>33.79</v>
      </c>
      <c r="V2920" s="8"/>
      <c r="W2920" s="8"/>
      <c r="X2920" s="8"/>
      <c r="Y2920" s="8"/>
      <c r="Z2920" s="8">
        <v>473.48</v>
      </c>
      <c r="AA2920" s="8"/>
      <c r="AB2920" s="8"/>
      <c r="AC2920" s="8"/>
      <c r="AD2920" s="8"/>
      <c r="AE2920" s="8"/>
      <c r="AF2920" s="8">
        <v>112.75</v>
      </c>
      <c r="AG2920" s="8"/>
      <c r="AH2920" s="8"/>
      <c r="AI2920" s="8"/>
      <c r="AJ2920" s="8"/>
      <c r="AK2920" s="8"/>
      <c r="AL2920" s="8"/>
      <c r="AM2920" s="8"/>
      <c r="AN2920" s="8"/>
      <c r="AO2920" s="8"/>
      <c r="AP2920" s="11"/>
      <c r="AQ2920" s="8">
        <f>1497*22.53/1000</f>
        <v>33.727410000000006</v>
      </c>
      <c r="AR2920" s="8"/>
      <c r="AS2920" s="8"/>
      <c r="AT2920" s="8">
        <v>1542.66</v>
      </c>
      <c r="AU2920" s="8"/>
      <c r="AV2920" s="8"/>
      <c r="AW2920" s="8">
        <v>6.56</v>
      </c>
      <c r="AX2920" s="8"/>
      <c r="AY2920" s="8"/>
      <c r="AZ2920" s="8"/>
      <c r="BA2920" s="8"/>
      <c r="BB2920" s="8"/>
      <c r="BC2920" s="8"/>
      <c r="BD2920" s="8"/>
      <c r="BE2920" s="8"/>
      <c r="BF2920" s="8">
        <v>108.19</v>
      </c>
      <c r="BG2920" s="8">
        <v>111.41</v>
      </c>
      <c r="BH2920" s="9">
        <f t="shared" si="405"/>
        <v>2252.4499999999998</v>
      </c>
      <c r="BI2920" s="9">
        <f t="shared" si="406"/>
        <v>5.63</v>
      </c>
      <c r="BJ2920" s="9">
        <f t="shared" si="407"/>
        <v>8.8000000000000007</v>
      </c>
      <c r="BK2920" s="9">
        <f t="shared" si="408"/>
        <v>33.79</v>
      </c>
      <c r="BL2920" s="9">
        <f t="shared" si="409"/>
        <v>473.48</v>
      </c>
      <c r="BM2920" s="9">
        <f t="shared" si="410"/>
        <v>146.47741000000002</v>
      </c>
      <c r="BN2920" s="9">
        <f t="shared" si="411"/>
        <v>1542.66</v>
      </c>
      <c r="BO2920" s="9">
        <f t="shared" si="412"/>
        <v>6.56</v>
      </c>
      <c r="BP2920" s="9">
        <f t="shared" si="413"/>
        <v>108.19</v>
      </c>
    </row>
    <row r="2921" spans="1:68">
      <c r="A2921" s="6">
        <v>45069</v>
      </c>
      <c r="B2921" s="7">
        <v>3029</v>
      </c>
      <c r="C2921" s="8"/>
      <c r="D2921" s="8">
        <v>712.73</v>
      </c>
      <c r="E2921" s="8"/>
      <c r="F2921" s="8">
        <v>502.21</v>
      </c>
      <c r="G2921" s="8"/>
      <c r="H2921" s="8"/>
      <c r="I2921" s="8">
        <v>2972.11</v>
      </c>
      <c r="J2921" s="8"/>
      <c r="K2921" s="8"/>
      <c r="L2921" s="8"/>
      <c r="M2921" s="8"/>
      <c r="N2921" s="8">
        <v>33.11</v>
      </c>
      <c r="O2921" s="8"/>
      <c r="P2921" s="8"/>
      <c r="Q2921" s="11"/>
      <c r="R2921" s="11"/>
      <c r="S2921" s="8">
        <v>2.5</v>
      </c>
      <c r="T2921" s="8"/>
      <c r="U2921" s="8"/>
      <c r="V2921" s="8"/>
      <c r="W2921" s="8">
        <v>41.93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>
        <v>14.57</v>
      </c>
      <c r="AN2921" s="8">
        <f>755*27.92/1000</f>
        <v>21.079600000000003</v>
      </c>
      <c r="AO2921" s="8"/>
      <c r="AP2921" s="11"/>
      <c r="AQ2921" s="8"/>
      <c r="AR2921" s="8">
        <f>4487*27.92/1000</f>
        <v>125.27704000000001</v>
      </c>
      <c r="AS2921" s="8"/>
      <c r="AT2921" s="8">
        <v>1589.16</v>
      </c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>
        <v>111.17</v>
      </c>
      <c r="BH2921" s="9">
        <f t="shared" si="405"/>
        <v>4187.05</v>
      </c>
      <c r="BI2921" s="9">
        <f t="shared" si="406"/>
        <v>33.11</v>
      </c>
      <c r="BJ2921" s="9">
        <f t="shared" si="407"/>
        <v>2.5</v>
      </c>
      <c r="BK2921" s="9">
        <f t="shared" si="408"/>
        <v>41.93</v>
      </c>
      <c r="BL2921" s="9">
        <f t="shared" si="409"/>
        <v>0</v>
      </c>
      <c r="BM2921" s="9">
        <f t="shared" si="410"/>
        <v>160.92664000000002</v>
      </c>
      <c r="BN2921" s="9">
        <f t="shared" si="411"/>
        <v>1589.16</v>
      </c>
      <c r="BO2921" s="9">
        <f t="shared" si="412"/>
        <v>0</v>
      </c>
      <c r="BP2921" s="9">
        <f t="shared" si="413"/>
        <v>0</v>
      </c>
    </row>
    <row r="2922" spans="1:68">
      <c r="A2922" s="6">
        <v>45069</v>
      </c>
      <c r="B2922" s="7">
        <v>3307</v>
      </c>
      <c r="C2922" s="8"/>
      <c r="D2922" s="8">
        <v>589.74</v>
      </c>
      <c r="E2922" s="8"/>
      <c r="F2922" s="8"/>
      <c r="G2922" s="8"/>
      <c r="H2922" s="8"/>
      <c r="I2922" s="8"/>
      <c r="J2922" s="8"/>
      <c r="K2922" s="8"/>
      <c r="L2922" s="8"/>
      <c r="M2922" s="8">
        <v>0.53</v>
      </c>
      <c r="N2922" s="8"/>
      <c r="O2922" s="8"/>
      <c r="P2922" s="8"/>
      <c r="Q2922" s="11"/>
      <c r="R2922" s="11"/>
      <c r="S2922" s="8">
        <v>4.01</v>
      </c>
      <c r="T2922" s="8"/>
      <c r="U2922" s="8">
        <v>5.89</v>
      </c>
      <c r="V2922" s="8"/>
      <c r="W2922" s="8"/>
      <c r="X2922" s="8"/>
      <c r="Y2922" s="8"/>
      <c r="Z2922" s="8"/>
      <c r="AA2922" s="8"/>
      <c r="AB2922" s="8"/>
      <c r="AC2922" s="8">
        <v>3.54</v>
      </c>
      <c r="AD2922" s="8"/>
      <c r="AE2922" s="8"/>
      <c r="AF2922" s="8"/>
      <c r="AG2922" s="8">
        <v>5.91</v>
      </c>
      <c r="AH2922" s="8"/>
      <c r="AI2922" s="8"/>
      <c r="AJ2922" s="8"/>
      <c r="AK2922" s="8"/>
      <c r="AL2922" s="8"/>
      <c r="AM2922" s="8"/>
      <c r="AN2922" s="8"/>
      <c r="AO2922" s="8"/>
      <c r="AP2922" s="11"/>
      <c r="AQ2922" s="8"/>
      <c r="AR2922" s="8"/>
      <c r="AS2922" s="8"/>
      <c r="AT2922" s="8"/>
      <c r="AU2922" s="8">
        <v>295.49</v>
      </c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>
        <v>21.2</v>
      </c>
      <c r="BH2922" s="9">
        <f t="shared" si="405"/>
        <v>589.74</v>
      </c>
      <c r="BI2922" s="9">
        <f t="shared" si="406"/>
        <v>0.53</v>
      </c>
      <c r="BJ2922" s="9">
        <f t="shared" si="407"/>
        <v>4.01</v>
      </c>
      <c r="BK2922" s="9">
        <f t="shared" si="408"/>
        <v>5.89</v>
      </c>
      <c r="BL2922" s="9">
        <f t="shared" si="409"/>
        <v>0</v>
      </c>
      <c r="BM2922" s="9">
        <f t="shared" si="410"/>
        <v>9.4499999999999993</v>
      </c>
      <c r="BN2922" s="9">
        <f t="shared" si="411"/>
        <v>295.49</v>
      </c>
      <c r="BO2922" s="9">
        <f t="shared" si="412"/>
        <v>0</v>
      </c>
      <c r="BP2922" s="9">
        <f t="shared" si="413"/>
        <v>0</v>
      </c>
    </row>
    <row r="2923" spans="1:68">
      <c r="A2923" s="6">
        <v>45069</v>
      </c>
      <c r="B2923" s="7">
        <v>3704</v>
      </c>
      <c r="C2923" s="8">
        <v>393.51</v>
      </c>
      <c r="D2923" s="8">
        <v>588.91999999999996</v>
      </c>
      <c r="E2923" s="8"/>
      <c r="F2923" s="8"/>
      <c r="G2923" s="8"/>
      <c r="H2923" s="8"/>
      <c r="I2923" s="8"/>
      <c r="J2923" s="8"/>
      <c r="K2923" s="8"/>
      <c r="L2923" s="8"/>
      <c r="M2923" s="8">
        <v>2.94</v>
      </c>
      <c r="N2923" s="8"/>
      <c r="O2923" s="8"/>
      <c r="P2923" s="8"/>
      <c r="Q2923" s="11"/>
      <c r="R2923" s="11"/>
      <c r="S2923" s="8">
        <v>3.43</v>
      </c>
      <c r="T2923" s="8"/>
      <c r="U2923" s="8">
        <v>7.36</v>
      </c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>
        <v>11.7</v>
      </c>
      <c r="AN2923" s="8"/>
      <c r="AO2923" s="8"/>
      <c r="AP2923" s="11"/>
      <c r="AQ2923" s="8"/>
      <c r="AR2923" s="8"/>
      <c r="AS2923" s="8"/>
      <c r="AT2923" s="8">
        <v>171.97</v>
      </c>
      <c r="AU2923" s="8">
        <v>85.31</v>
      </c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>
        <v>15.76</v>
      </c>
      <c r="BH2923" s="9">
        <f t="shared" si="405"/>
        <v>982.43</v>
      </c>
      <c r="BI2923" s="9">
        <f t="shared" si="406"/>
        <v>2.94</v>
      </c>
      <c r="BJ2923" s="9">
        <f t="shared" si="407"/>
        <v>3.43</v>
      </c>
      <c r="BK2923" s="9">
        <f t="shared" si="408"/>
        <v>7.36</v>
      </c>
      <c r="BL2923" s="9">
        <f t="shared" si="409"/>
        <v>0</v>
      </c>
      <c r="BM2923" s="9">
        <f t="shared" si="410"/>
        <v>11.7</v>
      </c>
      <c r="BN2923" s="9">
        <f t="shared" si="411"/>
        <v>257.27999999999997</v>
      </c>
      <c r="BO2923" s="9">
        <f t="shared" si="412"/>
        <v>0</v>
      </c>
      <c r="BP2923" s="9">
        <f t="shared" si="413"/>
        <v>0</v>
      </c>
    </row>
    <row r="2924" spans="1:68">
      <c r="A2924" s="6">
        <v>45069</v>
      </c>
      <c r="B2924" s="7">
        <v>3702</v>
      </c>
      <c r="C2924" s="8">
        <v>537.44000000000005</v>
      </c>
      <c r="D2924" s="8">
        <v>360.45</v>
      </c>
      <c r="E2924" s="8"/>
      <c r="F2924" s="8"/>
      <c r="G2924" s="8"/>
      <c r="H2924" s="8"/>
      <c r="I2924" s="8"/>
      <c r="J2924" s="8"/>
      <c r="K2924" s="8"/>
      <c r="L2924" s="8"/>
      <c r="M2924" s="8">
        <v>1.81</v>
      </c>
      <c r="N2924" s="8"/>
      <c r="O2924" s="8"/>
      <c r="P2924" s="8"/>
      <c r="Q2924" s="11"/>
      <c r="R2924" s="11"/>
      <c r="S2924" s="8">
        <v>4</v>
      </c>
      <c r="T2924" s="8"/>
      <c r="U2924" s="8">
        <v>6.77</v>
      </c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11"/>
      <c r="AQ2924" s="8"/>
      <c r="AR2924" s="8"/>
      <c r="AS2924" s="8"/>
      <c r="AT2924" s="8">
        <v>219.55</v>
      </c>
      <c r="AU2924" s="8">
        <v>109.9</v>
      </c>
      <c r="AV2924" s="8"/>
      <c r="AW2924" s="8">
        <v>1.96</v>
      </c>
      <c r="AX2924" s="8"/>
      <c r="AY2924" s="8"/>
      <c r="AZ2924" s="8"/>
      <c r="BA2924" s="8"/>
      <c r="BB2924" s="8"/>
      <c r="BC2924" s="8"/>
      <c r="BD2924" s="8"/>
      <c r="BE2924" s="8"/>
      <c r="BF2924" s="8"/>
      <c r="BG2924" s="8">
        <v>23.02</v>
      </c>
      <c r="BH2924" s="9">
        <f t="shared" si="405"/>
        <v>897.8900000000001</v>
      </c>
      <c r="BI2924" s="9">
        <f t="shared" si="406"/>
        <v>1.81</v>
      </c>
      <c r="BJ2924" s="9">
        <f t="shared" si="407"/>
        <v>4</v>
      </c>
      <c r="BK2924" s="9">
        <f t="shared" si="408"/>
        <v>6.77</v>
      </c>
      <c r="BL2924" s="9">
        <f t="shared" si="409"/>
        <v>0</v>
      </c>
      <c r="BM2924" s="9">
        <f t="shared" si="410"/>
        <v>0</v>
      </c>
      <c r="BN2924" s="9">
        <f t="shared" si="411"/>
        <v>329.45000000000005</v>
      </c>
      <c r="BO2924" s="9">
        <f t="shared" si="412"/>
        <v>1.96</v>
      </c>
      <c r="BP2924" s="9">
        <f t="shared" si="413"/>
        <v>0</v>
      </c>
    </row>
    <row r="2925" spans="1:68">
      <c r="A2925" s="6">
        <v>45070</v>
      </c>
      <c r="B2925" s="7">
        <v>8090</v>
      </c>
      <c r="C2925" s="8">
        <v>1464.13</v>
      </c>
      <c r="D2925" s="8"/>
      <c r="E2925" s="8"/>
      <c r="F2925" s="8"/>
      <c r="G2925" s="8"/>
      <c r="H2925" s="8"/>
      <c r="I2925" s="8"/>
      <c r="J2925" s="8"/>
      <c r="K2925" s="8"/>
      <c r="L2925" s="8"/>
      <c r="M2925" s="8">
        <v>2.64</v>
      </c>
      <c r="N2925" s="8"/>
      <c r="O2925" s="8"/>
      <c r="P2925" s="8"/>
      <c r="Q2925" s="11"/>
      <c r="R2925" s="11"/>
      <c r="S2925" s="8">
        <v>5.27</v>
      </c>
      <c r="T2925" s="8"/>
      <c r="U2925" s="8">
        <v>17.149999999999999</v>
      </c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11"/>
      <c r="AQ2925" s="8"/>
      <c r="AR2925" s="8"/>
      <c r="AS2925" s="8"/>
      <c r="AT2925" s="8">
        <v>819.02</v>
      </c>
      <c r="AU2925" s="8"/>
      <c r="AV2925" s="8">
        <v>29.31</v>
      </c>
      <c r="AW2925" s="8"/>
      <c r="AX2925" s="8"/>
      <c r="AY2925" s="8"/>
      <c r="AZ2925" s="8"/>
      <c r="BA2925" s="8"/>
      <c r="BB2925" s="8"/>
      <c r="BC2925" s="8"/>
      <c r="BD2925" s="8"/>
      <c r="BE2925" s="8"/>
      <c r="BF2925" s="8">
        <v>36.6</v>
      </c>
      <c r="BG2925" s="8">
        <v>58.65</v>
      </c>
      <c r="BH2925" s="9">
        <f t="shared" si="405"/>
        <v>1464.13</v>
      </c>
      <c r="BI2925" s="9">
        <f t="shared" si="406"/>
        <v>2.64</v>
      </c>
      <c r="BJ2925" s="9">
        <f t="shared" si="407"/>
        <v>5.27</v>
      </c>
      <c r="BK2925" s="9">
        <f t="shared" si="408"/>
        <v>17.149999999999999</v>
      </c>
      <c r="BL2925" s="9">
        <f t="shared" si="409"/>
        <v>0</v>
      </c>
      <c r="BM2925" s="9">
        <f t="shared" si="410"/>
        <v>0</v>
      </c>
      <c r="BN2925" s="9">
        <f t="shared" si="411"/>
        <v>819.02</v>
      </c>
      <c r="BO2925" s="9">
        <f t="shared" si="412"/>
        <v>29.31</v>
      </c>
      <c r="BP2925" s="9">
        <f t="shared" si="413"/>
        <v>36.6</v>
      </c>
    </row>
    <row r="2926" spans="1:68">
      <c r="A2926" s="6">
        <v>45070</v>
      </c>
      <c r="B2926" s="7">
        <v>3602</v>
      </c>
      <c r="C2926" s="8">
        <v>297.56</v>
      </c>
      <c r="D2926" s="8"/>
      <c r="E2926" s="8"/>
      <c r="F2926" s="8"/>
      <c r="G2926" s="8">
        <v>445.22</v>
      </c>
      <c r="H2926" s="8"/>
      <c r="I2926" s="8"/>
      <c r="J2926" s="8"/>
      <c r="K2926" s="8"/>
      <c r="L2926" s="8"/>
      <c r="M2926" s="8">
        <v>0.89</v>
      </c>
      <c r="N2926" s="8"/>
      <c r="O2926" s="8"/>
      <c r="P2926" s="8"/>
      <c r="Q2926" s="11"/>
      <c r="R2926" s="11"/>
      <c r="S2926" s="8">
        <v>3.57</v>
      </c>
      <c r="T2926" s="8"/>
      <c r="U2926" s="8">
        <v>5.97</v>
      </c>
      <c r="V2926" s="8">
        <f>865*8.48/1000</f>
        <v>7.3352000000000004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11"/>
      <c r="AQ2926" s="8"/>
      <c r="AR2926" s="8"/>
      <c r="AS2926" s="8"/>
      <c r="AT2926" s="8">
        <v>299.19</v>
      </c>
      <c r="AU2926" s="8"/>
      <c r="AV2926" s="8"/>
      <c r="AW2926" s="8">
        <v>19.21</v>
      </c>
      <c r="AX2926" s="8"/>
      <c r="AY2926" s="8"/>
      <c r="AZ2926" s="8"/>
      <c r="BA2926" s="8"/>
      <c r="BB2926" s="8"/>
      <c r="BC2926" s="8"/>
      <c r="BD2926" s="8"/>
      <c r="BE2926" s="8"/>
      <c r="BF2926" s="8">
        <v>23.77</v>
      </c>
      <c r="BG2926" s="8">
        <v>22.31</v>
      </c>
      <c r="BH2926" s="9">
        <f t="shared" si="405"/>
        <v>742.78</v>
      </c>
      <c r="BI2926" s="9">
        <f t="shared" si="406"/>
        <v>0.89</v>
      </c>
      <c r="BJ2926" s="9">
        <f t="shared" si="407"/>
        <v>3.57</v>
      </c>
      <c r="BK2926" s="9">
        <f t="shared" si="408"/>
        <v>13.305199999999999</v>
      </c>
      <c r="BL2926" s="9">
        <f t="shared" si="409"/>
        <v>0</v>
      </c>
      <c r="BM2926" s="9">
        <f t="shared" si="410"/>
        <v>0</v>
      </c>
      <c r="BN2926" s="9">
        <f t="shared" si="411"/>
        <v>299.19</v>
      </c>
      <c r="BO2926" s="9">
        <f t="shared" si="412"/>
        <v>19.21</v>
      </c>
      <c r="BP2926" s="9">
        <f t="shared" si="413"/>
        <v>23.77</v>
      </c>
    </row>
    <row r="2927" spans="1:68">
      <c r="A2927" s="6">
        <v>45070</v>
      </c>
      <c r="B2927" s="7">
        <v>3136</v>
      </c>
      <c r="C2927" s="8">
        <v>1274.68</v>
      </c>
      <c r="D2927" s="8"/>
      <c r="E2927" s="8"/>
      <c r="F2927" s="8"/>
      <c r="G2927" s="8"/>
      <c r="H2927" s="8">
        <v>528.29</v>
      </c>
      <c r="I2927" s="8"/>
      <c r="J2927" s="8"/>
      <c r="K2927" s="8"/>
      <c r="L2927" s="8"/>
      <c r="M2927" s="8">
        <v>1.56</v>
      </c>
      <c r="N2927" s="8"/>
      <c r="O2927" s="8"/>
      <c r="P2927" s="8"/>
      <c r="Q2927" s="11"/>
      <c r="R2927" s="11"/>
      <c r="S2927" s="8">
        <v>7.53</v>
      </c>
      <c r="T2927" s="8"/>
      <c r="U2927" s="8">
        <v>20.41</v>
      </c>
      <c r="V2927" s="8"/>
      <c r="W2927" s="8"/>
      <c r="X2927" s="8"/>
      <c r="Y2927" s="8"/>
      <c r="Z2927" s="8"/>
      <c r="AA2927" s="8"/>
      <c r="AB2927" s="8"/>
      <c r="AC2927" s="8">
        <v>5.28</v>
      </c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11"/>
      <c r="AQ2927" s="8"/>
      <c r="AR2927" s="8"/>
      <c r="AS2927" s="8"/>
      <c r="AT2927" s="8">
        <v>1019.47</v>
      </c>
      <c r="AU2927" s="8"/>
      <c r="AV2927" s="8"/>
      <c r="AW2927" s="8"/>
      <c r="AX2927" s="8"/>
      <c r="AY2927" s="8"/>
      <c r="AZ2927" s="8"/>
      <c r="BA2927" s="8">
        <v>15.5</v>
      </c>
      <c r="BB2927" s="8"/>
      <c r="BC2927" s="8"/>
      <c r="BD2927" s="8"/>
      <c r="BE2927" s="8"/>
      <c r="BF2927" s="8">
        <v>62.8</v>
      </c>
      <c r="BG2927" s="8">
        <v>76.97</v>
      </c>
      <c r="BH2927" s="9">
        <f t="shared" si="405"/>
        <v>1802.97</v>
      </c>
      <c r="BI2927" s="9">
        <f t="shared" si="406"/>
        <v>1.56</v>
      </c>
      <c r="BJ2927" s="9">
        <f t="shared" si="407"/>
        <v>7.53</v>
      </c>
      <c r="BK2927" s="9">
        <f t="shared" si="408"/>
        <v>20.41</v>
      </c>
      <c r="BL2927" s="9">
        <f t="shared" si="409"/>
        <v>0</v>
      </c>
      <c r="BM2927" s="9">
        <f t="shared" si="410"/>
        <v>5.28</v>
      </c>
      <c r="BN2927" s="9">
        <f t="shared" si="411"/>
        <v>1019.47</v>
      </c>
      <c r="BO2927" s="9">
        <f t="shared" si="412"/>
        <v>15.5</v>
      </c>
      <c r="BP2927" s="9">
        <f t="shared" si="413"/>
        <v>62.8</v>
      </c>
    </row>
    <row r="2928" spans="1:68">
      <c r="A2928" s="6">
        <v>45070</v>
      </c>
      <c r="B2928" s="7">
        <v>3106</v>
      </c>
      <c r="C2928" s="8">
        <v>10112.93</v>
      </c>
      <c r="D2928" s="8"/>
      <c r="E2928" s="8"/>
      <c r="F2928" s="8"/>
      <c r="G2928" s="8"/>
      <c r="H2928" s="8"/>
      <c r="I2928" s="8"/>
      <c r="J2928" s="8"/>
      <c r="K2928" s="8"/>
      <c r="L2928" s="8"/>
      <c r="M2928" s="8">
        <v>26.27</v>
      </c>
      <c r="N2928" s="8"/>
      <c r="O2928" s="8"/>
      <c r="P2928" s="8"/>
      <c r="Q2928" s="11"/>
      <c r="R2928" s="11"/>
      <c r="S2928" s="8">
        <v>30.39</v>
      </c>
      <c r="T2928" s="8"/>
      <c r="U2928" s="8">
        <v>128.54</v>
      </c>
      <c r="V2928" s="8"/>
      <c r="W2928" s="8"/>
      <c r="X2928" s="8"/>
      <c r="Y2928" s="8"/>
      <c r="Z2928" s="8"/>
      <c r="AA2928" s="8"/>
      <c r="AB2928" s="8"/>
      <c r="AC2928" s="8">
        <v>25.28</v>
      </c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11"/>
      <c r="AQ2928" s="8"/>
      <c r="AR2928" s="8"/>
      <c r="AS2928" s="8"/>
      <c r="AT2928" s="8">
        <v>5763.6</v>
      </c>
      <c r="AU2928" s="8"/>
      <c r="AV2928" s="8"/>
      <c r="AW2928" s="8"/>
      <c r="AX2928" s="8">
        <v>12.65</v>
      </c>
      <c r="AY2928" s="8"/>
      <c r="AZ2928" s="8"/>
      <c r="BA2928" s="8"/>
      <c r="BB2928" s="8"/>
      <c r="BC2928" s="8"/>
      <c r="BD2928" s="8"/>
      <c r="BE2928" s="8"/>
      <c r="BF2928" s="8"/>
      <c r="BG2928" s="8">
        <v>435.59</v>
      </c>
      <c r="BH2928" s="9">
        <f t="shared" si="405"/>
        <v>10112.93</v>
      </c>
      <c r="BI2928" s="9">
        <f t="shared" si="406"/>
        <v>26.27</v>
      </c>
      <c r="BJ2928" s="9">
        <f t="shared" si="407"/>
        <v>30.39</v>
      </c>
      <c r="BK2928" s="9">
        <f t="shared" si="408"/>
        <v>128.54</v>
      </c>
      <c r="BL2928" s="9">
        <f t="shared" si="409"/>
        <v>0</v>
      </c>
      <c r="BM2928" s="9">
        <f t="shared" si="410"/>
        <v>25.28</v>
      </c>
      <c r="BN2928" s="9">
        <f t="shared" si="411"/>
        <v>5763.6</v>
      </c>
      <c r="BO2928" s="9">
        <f t="shared" si="412"/>
        <v>12.65</v>
      </c>
      <c r="BP2928" s="9">
        <f t="shared" si="413"/>
        <v>0</v>
      </c>
    </row>
    <row r="2929" spans="1:68">
      <c r="A2929" s="6">
        <v>45070</v>
      </c>
      <c r="B2929" s="7">
        <v>3083</v>
      </c>
      <c r="C2929" s="8"/>
      <c r="D2929" s="8">
        <v>740.46</v>
      </c>
      <c r="E2929" s="8"/>
      <c r="F2929" s="8"/>
      <c r="G2929" s="8"/>
      <c r="H2929" s="8"/>
      <c r="I2929" s="8">
        <v>1728.94</v>
      </c>
      <c r="J2929" s="8"/>
      <c r="K2929" s="8"/>
      <c r="L2929" s="8"/>
      <c r="M2929" s="8"/>
      <c r="N2929" s="8">
        <v>16.059999999999999</v>
      </c>
      <c r="O2929" s="8"/>
      <c r="P2929" s="8"/>
      <c r="Q2929" s="11"/>
      <c r="R2929" s="11"/>
      <c r="S2929" s="8">
        <v>1.72</v>
      </c>
      <c r="T2929" s="8"/>
      <c r="U2929" s="8"/>
      <c r="V2929" s="8"/>
      <c r="W2929" s="8">
        <v>19.760000000000002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>
        <v>9.85</v>
      </c>
      <c r="AN2929" s="8">
        <f>1925*18.28/1000</f>
        <v>35.189</v>
      </c>
      <c r="AO2929" s="8"/>
      <c r="AP2929" s="11"/>
      <c r="AQ2929" s="8"/>
      <c r="AR2929" s="8">
        <f>3457*18.28/1000</f>
        <v>63.193960000000004</v>
      </c>
      <c r="AS2929" s="8"/>
      <c r="AT2929" s="8">
        <v>1161.1400000000001</v>
      </c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>
        <v>91.99</v>
      </c>
      <c r="BH2929" s="9">
        <f t="shared" si="405"/>
        <v>2469.4</v>
      </c>
      <c r="BI2929" s="9">
        <f t="shared" si="406"/>
        <v>16.059999999999999</v>
      </c>
      <c r="BJ2929" s="9">
        <f t="shared" si="407"/>
        <v>1.72</v>
      </c>
      <c r="BK2929" s="9">
        <f t="shared" si="408"/>
        <v>19.760000000000002</v>
      </c>
      <c r="BL2929" s="9">
        <f t="shared" si="409"/>
        <v>0</v>
      </c>
      <c r="BM2929" s="9">
        <f t="shared" si="410"/>
        <v>108.23296000000001</v>
      </c>
      <c r="BN2929" s="9">
        <f t="shared" si="411"/>
        <v>1161.1400000000001</v>
      </c>
      <c r="BO2929" s="9">
        <f t="shared" si="412"/>
        <v>0</v>
      </c>
      <c r="BP2929" s="9">
        <f t="shared" si="413"/>
        <v>0</v>
      </c>
    </row>
    <row r="2930" spans="1:68">
      <c r="A2930" s="6">
        <v>45070</v>
      </c>
      <c r="B2930" s="7">
        <v>3016</v>
      </c>
      <c r="C2930" s="8"/>
      <c r="D2930" s="8">
        <v>1620.47</v>
      </c>
      <c r="E2930" s="8"/>
      <c r="F2930" s="8"/>
      <c r="G2930" s="8"/>
      <c r="H2930" s="8"/>
      <c r="I2930" s="8">
        <v>1496.82</v>
      </c>
      <c r="J2930" s="8"/>
      <c r="K2930" s="8"/>
      <c r="L2930" s="8"/>
      <c r="M2930" s="8"/>
      <c r="N2930" s="8">
        <v>19.29</v>
      </c>
      <c r="O2930" s="8"/>
      <c r="P2930" s="8"/>
      <c r="Q2930" s="11"/>
      <c r="R2930" s="11"/>
      <c r="S2930" s="8">
        <v>2.17</v>
      </c>
      <c r="T2930" s="8"/>
      <c r="U2930" s="8"/>
      <c r="V2930" s="8"/>
      <c r="W2930" s="8">
        <v>31.14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>
        <v>12.4</v>
      </c>
      <c r="AN2930" s="8">
        <f>2056*18.33/1000</f>
        <v>37.686479999999996</v>
      </c>
      <c r="AO2930" s="8"/>
      <c r="AP2930" s="11"/>
      <c r="AQ2930" s="8"/>
      <c r="AR2930" s="8">
        <f>4239*18.33/1000</f>
        <v>77.700869999999995</v>
      </c>
      <c r="AS2930" s="8"/>
      <c r="AT2930" s="8">
        <v>1158.1099999999999</v>
      </c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>
        <v>84.54</v>
      </c>
      <c r="BH2930" s="9">
        <f t="shared" si="405"/>
        <v>3117.29</v>
      </c>
      <c r="BI2930" s="9">
        <f t="shared" si="406"/>
        <v>19.29</v>
      </c>
      <c r="BJ2930" s="9">
        <f t="shared" si="407"/>
        <v>2.17</v>
      </c>
      <c r="BK2930" s="9">
        <f t="shared" si="408"/>
        <v>31.14</v>
      </c>
      <c r="BL2930" s="9">
        <f t="shared" si="409"/>
        <v>0</v>
      </c>
      <c r="BM2930" s="9">
        <f t="shared" si="410"/>
        <v>127.78734999999999</v>
      </c>
      <c r="BN2930" s="9">
        <f t="shared" si="411"/>
        <v>1158.1099999999999</v>
      </c>
      <c r="BO2930" s="9">
        <f t="shared" si="412"/>
        <v>0</v>
      </c>
      <c r="BP2930" s="9">
        <f t="shared" si="413"/>
        <v>0</v>
      </c>
    </row>
    <row r="2931" spans="1:68">
      <c r="A2931" s="6">
        <v>45070</v>
      </c>
      <c r="B2931" s="7">
        <v>3028</v>
      </c>
      <c r="C2931" s="8"/>
      <c r="D2931" s="8">
        <v>418.92</v>
      </c>
      <c r="E2931" s="8"/>
      <c r="F2931" s="8">
        <v>385.73</v>
      </c>
      <c r="G2931" s="8"/>
      <c r="H2931" s="8"/>
      <c r="I2931" s="8">
        <v>871.46</v>
      </c>
      <c r="J2931" s="8"/>
      <c r="K2931" s="8"/>
      <c r="L2931" s="8"/>
      <c r="M2931" s="8"/>
      <c r="N2931" s="8">
        <v>12.91</v>
      </c>
      <c r="O2931" s="8"/>
      <c r="P2931" s="8"/>
      <c r="Q2931" s="11"/>
      <c r="R2931" s="11"/>
      <c r="S2931" s="8">
        <v>2.35</v>
      </c>
      <c r="T2931" s="8"/>
      <c r="U2931" s="8"/>
      <c r="V2931" s="8"/>
      <c r="W2931" s="8">
        <v>12.58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>
        <v>16.75</v>
      </c>
      <c r="AN2931" s="8">
        <f>1077*11.17/1000</f>
        <v>12.03009</v>
      </c>
      <c r="AO2931" s="8"/>
      <c r="AP2931" s="11"/>
      <c r="AQ2931" s="8"/>
      <c r="AR2931" s="8"/>
      <c r="AS2931" s="8">
        <f>4957*11.17/1000</f>
        <v>55.369690000000006</v>
      </c>
      <c r="AT2931" s="8">
        <v>559.55999999999995</v>
      </c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>
        <v>37.75</v>
      </c>
      <c r="BH2931" s="9">
        <f t="shared" si="405"/>
        <v>1676.1100000000001</v>
      </c>
      <c r="BI2931" s="9">
        <f t="shared" si="406"/>
        <v>12.91</v>
      </c>
      <c r="BJ2931" s="9">
        <f t="shared" si="407"/>
        <v>2.35</v>
      </c>
      <c r="BK2931" s="9">
        <f t="shared" si="408"/>
        <v>12.58</v>
      </c>
      <c r="BL2931" s="9">
        <f t="shared" si="409"/>
        <v>0</v>
      </c>
      <c r="BM2931" s="9">
        <f t="shared" si="410"/>
        <v>84.149780000000007</v>
      </c>
      <c r="BN2931" s="9">
        <f t="shared" si="411"/>
        <v>559.55999999999995</v>
      </c>
      <c r="BO2931" s="9">
        <f t="shared" si="412"/>
        <v>0</v>
      </c>
      <c r="BP2931" s="9">
        <f t="shared" si="413"/>
        <v>0</v>
      </c>
    </row>
    <row r="2932" spans="1:68">
      <c r="A2932" s="6">
        <v>45070</v>
      </c>
      <c r="B2932" s="7">
        <v>3023</v>
      </c>
      <c r="C2932" s="8"/>
      <c r="D2932" s="8">
        <v>498.68</v>
      </c>
      <c r="E2932" s="8"/>
      <c r="F2932" s="8"/>
      <c r="G2932" s="8"/>
      <c r="H2932" s="8"/>
      <c r="I2932" s="8">
        <v>269.18</v>
      </c>
      <c r="J2932" s="8"/>
      <c r="K2932" s="8"/>
      <c r="L2932" s="8"/>
      <c r="M2932" s="8"/>
      <c r="N2932" s="8">
        <v>4.3099999999999996</v>
      </c>
      <c r="O2932" s="8"/>
      <c r="P2932" s="8"/>
      <c r="Q2932" s="11"/>
      <c r="R2932" s="11"/>
      <c r="S2932" s="8">
        <v>1.23</v>
      </c>
      <c r="T2932" s="8"/>
      <c r="U2932" s="8"/>
      <c r="V2932" s="8"/>
      <c r="W2932" s="8">
        <v>6.91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>
        <v>7.68</v>
      </c>
      <c r="AN2932" s="8">
        <f>1022*5.3/1000</f>
        <v>5.4165999999999999</v>
      </c>
      <c r="AO2932" s="8"/>
      <c r="AP2932" s="11"/>
      <c r="AQ2932" s="8"/>
      <c r="AR2932" s="8"/>
      <c r="AS2932" s="8">
        <f>4777*5.3/1000</f>
        <v>25.318099999999998</v>
      </c>
      <c r="AT2932" s="8">
        <v>314.70999999999998</v>
      </c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>
        <v>23.78</v>
      </c>
      <c r="BH2932" s="9">
        <f t="shared" si="405"/>
        <v>767.86</v>
      </c>
      <c r="BI2932" s="9">
        <f t="shared" si="406"/>
        <v>4.3099999999999996</v>
      </c>
      <c r="BJ2932" s="9">
        <f t="shared" si="407"/>
        <v>1.23</v>
      </c>
      <c r="BK2932" s="9">
        <f t="shared" si="408"/>
        <v>6.91</v>
      </c>
      <c r="BL2932" s="9">
        <f t="shared" si="409"/>
        <v>0</v>
      </c>
      <c r="BM2932" s="9">
        <f t="shared" si="410"/>
        <v>38.414699999999996</v>
      </c>
      <c r="BN2932" s="9">
        <f t="shared" si="411"/>
        <v>314.70999999999998</v>
      </c>
      <c r="BO2932" s="9">
        <f t="shared" si="412"/>
        <v>0</v>
      </c>
      <c r="BP2932" s="9">
        <f t="shared" si="413"/>
        <v>0</v>
      </c>
    </row>
    <row r="2933" spans="1:68">
      <c r="A2933" s="6">
        <v>45070</v>
      </c>
      <c r="B2933" s="7">
        <v>3021</v>
      </c>
      <c r="C2933" s="8"/>
      <c r="D2933" s="8">
        <v>193.03</v>
      </c>
      <c r="E2933" s="8"/>
      <c r="F2933" s="8"/>
      <c r="G2933" s="8"/>
      <c r="H2933" s="8"/>
      <c r="I2933" s="8">
        <v>354.59</v>
      </c>
      <c r="J2933" s="8"/>
      <c r="K2933" s="8"/>
      <c r="L2933" s="8"/>
      <c r="M2933" s="8"/>
      <c r="N2933" s="8">
        <v>2.9</v>
      </c>
      <c r="O2933" s="8"/>
      <c r="P2933" s="8"/>
      <c r="Q2933" s="11"/>
      <c r="R2933" s="11"/>
      <c r="S2933" s="8">
        <v>0.98</v>
      </c>
      <c r="T2933" s="8"/>
      <c r="U2933" s="8"/>
      <c r="V2933" s="8"/>
      <c r="W2933" s="8">
        <v>5.47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>
        <v>5.46</v>
      </c>
      <c r="AN2933" s="8"/>
      <c r="AO2933" s="8"/>
      <c r="AP2933" s="11"/>
      <c r="AQ2933" s="8"/>
      <c r="AR2933" s="8"/>
      <c r="AS2933" s="8">
        <f>2633*5.2/1000</f>
        <v>13.691600000000001</v>
      </c>
      <c r="AT2933" s="8">
        <v>257.93</v>
      </c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>
        <v>19.37</v>
      </c>
      <c r="BH2933" s="9">
        <f t="shared" si="405"/>
        <v>547.62</v>
      </c>
      <c r="BI2933" s="9">
        <f t="shared" si="406"/>
        <v>2.9</v>
      </c>
      <c r="BJ2933" s="9">
        <f t="shared" si="407"/>
        <v>0.98</v>
      </c>
      <c r="BK2933" s="9">
        <f t="shared" si="408"/>
        <v>5.47</v>
      </c>
      <c r="BL2933" s="9">
        <f t="shared" si="409"/>
        <v>0</v>
      </c>
      <c r="BM2933" s="9">
        <f t="shared" si="410"/>
        <v>19.151600000000002</v>
      </c>
      <c r="BN2933" s="9">
        <f t="shared" si="411"/>
        <v>257.93</v>
      </c>
      <c r="BO2933" s="9">
        <f t="shared" si="412"/>
        <v>0</v>
      </c>
      <c r="BP2933" s="9">
        <f t="shared" si="413"/>
        <v>0</v>
      </c>
    </row>
    <row r="2934" spans="1:68">
      <c r="A2934" s="6">
        <v>45070</v>
      </c>
      <c r="B2934" s="7">
        <v>3020</v>
      </c>
      <c r="C2934" s="8"/>
      <c r="D2934" s="8">
        <v>172.03</v>
      </c>
      <c r="E2934" s="8"/>
      <c r="F2934" s="8"/>
      <c r="G2934" s="8"/>
      <c r="H2934" s="8"/>
      <c r="I2934" s="8">
        <v>967.17</v>
      </c>
      <c r="J2934" s="8"/>
      <c r="K2934" s="8"/>
      <c r="L2934" s="8"/>
      <c r="M2934" s="8"/>
      <c r="N2934" s="8">
        <v>6.96</v>
      </c>
      <c r="O2934" s="8"/>
      <c r="P2934" s="8"/>
      <c r="Q2934" s="11"/>
      <c r="R2934" s="11"/>
      <c r="S2934" s="8">
        <v>2.0499999999999998</v>
      </c>
      <c r="T2934" s="8"/>
      <c r="U2934" s="8"/>
      <c r="V2934" s="8"/>
      <c r="W2934" s="8">
        <v>11.45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>
        <v>11.41</v>
      </c>
      <c r="AN2934" s="8"/>
      <c r="AO2934" s="8"/>
      <c r="AP2934" s="11"/>
      <c r="AQ2934" s="8"/>
      <c r="AR2934" s="8"/>
      <c r="AS2934" s="8">
        <f>3063*9.52/1000</f>
        <v>29.159759999999999</v>
      </c>
      <c r="AT2934" s="8">
        <v>562.01</v>
      </c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>
        <v>41.13</v>
      </c>
      <c r="BH2934" s="9">
        <f t="shared" si="405"/>
        <v>1139.2</v>
      </c>
      <c r="BI2934" s="9">
        <f t="shared" si="406"/>
        <v>6.96</v>
      </c>
      <c r="BJ2934" s="9">
        <f t="shared" si="407"/>
        <v>2.0499999999999998</v>
      </c>
      <c r="BK2934" s="9">
        <f t="shared" si="408"/>
        <v>11.45</v>
      </c>
      <c r="BL2934" s="9">
        <f t="shared" si="409"/>
        <v>0</v>
      </c>
      <c r="BM2934" s="9">
        <f t="shared" si="410"/>
        <v>40.569760000000002</v>
      </c>
      <c r="BN2934" s="9">
        <f t="shared" si="411"/>
        <v>562.01</v>
      </c>
      <c r="BO2934" s="9">
        <f t="shared" si="412"/>
        <v>0</v>
      </c>
      <c r="BP2934" s="9">
        <f t="shared" si="413"/>
        <v>0</v>
      </c>
    </row>
    <row r="2935" spans="1:68">
      <c r="A2935" s="6">
        <v>45071</v>
      </c>
      <c r="B2935" s="7">
        <v>3200</v>
      </c>
      <c r="C2935" s="8">
        <v>4468.01</v>
      </c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>
        <v>11.17</v>
      </c>
      <c r="P2935" s="8"/>
      <c r="Q2935" s="11"/>
      <c r="R2935" s="11"/>
      <c r="S2935" s="8">
        <v>17.43</v>
      </c>
      <c r="T2935" s="8"/>
      <c r="U2935" s="8">
        <v>67</v>
      </c>
      <c r="V2935" s="8"/>
      <c r="W2935" s="8"/>
      <c r="X2935" s="8"/>
      <c r="Y2935" s="8"/>
      <c r="Z2935" s="8">
        <v>938.5</v>
      </c>
      <c r="AA2935" s="8"/>
      <c r="AB2935" s="8"/>
      <c r="AC2935" s="8"/>
      <c r="AD2935" s="8"/>
      <c r="AE2935" s="8"/>
      <c r="AF2935" s="8">
        <v>223.56</v>
      </c>
      <c r="AG2935" s="8"/>
      <c r="AH2935" s="8"/>
      <c r="AI2935" s="8"/>
      <c r="AJ2935" s="8"/>
      <c r="AK2935" s="8"/>
      <c r="AL2935" s="8"/>
      <c r="AM2935" s="8"/>
      <c r="AN2935" s="8"/>
      <c r="AO2935" s="8"/>
      <c r="AP2935" s="11"/>
      <c r="AQ2935" s="8">
        <f>1522*44.68/1000</f>
        <v>68.002960000000002</v>
      </c>
      <c r="AR2935" s="8"/>
      <c r="AS2935" s="8"/>
      <c r="AT2935" s="8">
        <v>3059.67</v>
      </c>
      <c r="AU2935" s="8"/>
      <c r="AV2935" s="8"/>
      <c r="AW2935" s="8">
        <v>12.89</v>
      </c>
      <c r="AX2935" s="8"/>
      <c r="AY2935" s="8"/>
      <c r="AZ2935" s="8"/>
      <c r="BA2935" s="8"/>
      <c r="BB2935" s="8"/>
      <c r="BC2935" s="8"/>
      <c r="BD2935" s="8"/>
      <c r="BE2935" s="8"/>
      <c r="BF2935" s="8">
        <v>214.55</v>
      </c>
      <c r="BG2935" s="8">
        <v>221.22</v>
      </c>
      <c r="BH2935" s="9">
        <f t="shared" si="405"/>
        <v>4468.01</v>
      </c>
      <c r="BI2935" s="9">
        <f t="shared" si="406"/>
        <v>11.17</v>
      </c>
      <c r="BJ2935" s="9">
        <f t="shared" si="407"/>
        <v>17.43</v>
      </c>
      <c r="BK2935" s="9">
        <f t="shared" si="408"/>
        <v>67</v>
      </c>
      <c r="BL2935" s="9">
        <f t="shared" si="409"/>
        <v>938.5</v>
      </c>
      <c r="BM2935" s="9">
        <f t="shared" si="410"/>
        <v>291.56295999999998</v>
      </c>
      <c r="BN2935" s="9">
        <f t="shared" si="411"/>
        <v>3059.67</v>
      </c>
      <c r="BO2935" s="9">
        <f t="shared" si="412"/>
        <v>12.89</v>
      </c>
      <c r="BP2935" s="9">
        <f t="shared" si="413"/>
        <v>214.55</v>
      </c>
    </row>
    <row r="2936" spans="1:68">
      <c r="A2936" s="6">
        <v>45071</v>
      </c>
      <c r="B2936" s="7">
        <v>3204</v>
      </c>
      <c r="C2936" s="8"/>
      <c r="D2936" s="8">
        <v>1024.67</v>
      </c>
      <c r="E2936" s="8">
        <v>438.44</v>
      </c>
      <c r="F2936" s="8"/>
      <c r="G2936" s="8"/>
      <c r="H2936" s="8"/>
      <c r="I2936" s="8"/>
      <c r="J2936" s="8"/>
      <c r="K2936" s="8"/>
      <c r="L2936" s="8"/>
      <c r="M2936" s="8"/>
      <c r="N2936" s="8"/>
      <c r="O2936" s="8">
        <v>7.35</v>
      </c>
      <c r="P2936" s="8"/>
      <c r="Q2936" s="11"/>
      <c r="R2936" s="11"/>
      <c r="S2936" s="8">
        <v>4.9800000000000004</v>
      </c>
      <c r="T2936" s="8"/>
      <c r="U2936" s="8">
        <v>16.14</v>
      </c>
      <c r="V2936" s="8"/>
      <c r="W2936" s="8"/>
      <c r="X2936" s="8"/>
      <c r="Y2936" s="8"/>
      <c r="Z2936" s="8">
        <v>220.03</v>
      </c>
      <c r="AA2936" s="8"/>
      <c r="AB2936" s="8">
        <f>721*10.47/1000</f>
        <v>7.5488700000000009</v>
      </c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11"/>
      <c r="AQ2936" s="8"/>
      <c r="AR2936" s="8"/>
      <c r="AS2936" s="8"/>
      <c r="AT2936" s="8">
        <v>645.04999999999995</v>
      </c>
      <c r="AU2936" s="8"/>
      <c r="AV2936" s="8"/>
      <c r="AW2936" s="8">
        <v>4.7</v>
      </c>
      <c r="AX2936" s="8"/>
      <c r="AY2936" s="8"/>
      <c r="AZ2936" s="8"/>
      <c r="BA2936" s="8"/>
      <c r="BB2936" s="8"/>
      <c r="BC2936" s="8"/>
      <c r="BD2936" s="8"/>
      <c r="BE2936" s="8"/>
      <c r="BF2936" s="8"/>
      <c r="BG2936" s="8">
        <v>47.68</v>
      </c>
      <c r="BH2936" s="9">
        <f t="shared" si="405"/>
        <v>1463.1100000000001</v>
      </c>
      <c r="BI2936" s="9">
        <f t="shared" si="406"/>
        <v>7.35</v>
      </c>
      <c r="BJ2936" s="9">
        <f t="shared" si="407"/>
        <v>4.9800000000000004</v>
      </c>
      <c r="BK2936" s="9">
        <f t="shared" si="408"/>
        <v>16.14</v>
      </c>
      <c r="BL2936" s="9">
        <f t="shared" si="409"/>
        <v>220.03</v>
      </c>
      <c r="BM2936" s="9">
        <f t="shared" si="410"/>
        <v>7.5488700000000009</v>
      </c>
      <c r="BN2936" s="9">
        <f t="shared" si="411"/>
        <v>645.04999999999995</v>
      </c>
      <c r="BO2936" s="9">
        <f t="shared" si="412"/>
        <v>4.7</v>
      </c>
      <c r="BP2936" s="9">
        <f t="shared" si="413"/>
        <v>0</v>
      </c>
    </row>
    <row r="2937" spans="1:68">
      <c r="A2937" s="6">
        <v>45071</v>
      </c>
      <c r="B2937" s="7">
        <v>3005</v>
      </c>
      <c r="C2937" s="8">
        <v>434.5</v>
      </c>
      <c r="D2937" s="8">
        <v>288.7</v>
      </c>
      <c r="E2937" s="8"/>
      <c r="F2937" s="8"/>
      <c r="G2937" s="8"/>
      <c r="H2937" s="8"/>
      <c r="I2937" s="8"/>
      <c r="J2937" s="8"/>
      <c r="K2937" s="8"/>
      <c r="L2937" s="8"/>
      <c r="M2937" s="8"/>
      <c r="N2937" s="8">
        <v>0.72</v>
      </c>
      <c r="O2937" s="8"/>
      <c r="P2937" s="8"/>
      <c r="Q2937" s="11"/>
      <c r="R2937" s="11"/>
      <c r="S2937" s="8">
        <v>2.54</v>
      </c>
      <c r="T2937" s="8"/>
      <c r="U2937" s="8"/>
      <c r="V2937" s="8"/>
      <c r="W2937" s="8">
        <v>7.97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11"/>
      <c r="AQ2937" s="8"/>
      <c r="AR2937" s="8"/>
      <c r="AS2937" s="8"/>
      <c r="AT2937" s="8">
        <v>355.16</v>
      </c>
      <c r="AU2937" s="8"/>
      <c r="AV2937" s="8"/>
      <c r="AW2937" s="8">
        <v>8.0399999999999991</v>
      </c>
      <c r="AX2937" s="8"/>
      <c r="AY2937" s="8"/>
      <c r="AZ2937" s="8"/>
      <c r="BA2937" s="8"/>
      <c r="BB2937" s="8"/>
      <c r="BC2937" s="8"/>
      <c r="BD2937" s="8"/>
      <c r="BE2937" s="8"/>
      <c r="BF2937" s="8"/>
      <c r="BG2937" s="8">
        <v>26.43</v>
      </c>
      <c r="BH2937" s="9">
        <f t="shared" si="405"/>
        <v>723.2</v>
      </c>
      <c r="BI2937" s="9">
        <f t="shared" si="406"/>
        <v>0.72</v>
      </c>
      <c r="BJ2937" s="9">
        <f t="shared" si="407"/>
        <v>2.54</v>
      </c>
      <c r="BK2937" s="9">
        <f t="shared" si="408"/>
        <v>7.97</v>
      </c>
      <c r="BL2937" s="9">
        <f t="shared" si="409"/>
        <v>0</v>
      </c>
      <c r="BM2937" s="9">
        <f t="shared" si="410"/>
        <v>0</v>
      </c>
      <c r="BN2937" s="9">
        <f t="shared" si="411"/>
        <v>355.16</v>
      </c>
      <c r="BO2937" s="9">
        <f t="shared" si="412"/>
        <v>8.0399999999999991</v>
      </c>
      <c r="BP2937" s="9">
        <f t="shared" si="413"/>
        <v>0</v>
      </c>
    </row>
    <row r="2938" spans="1:68">
      <c r="A2938" s="6">
        <v>45071</v>
      </c>
      <c r="B2938" s="7">
        <v>3310</v>
      </c>
      <c r="C2938" s="8"/>
      <c r="D2938" s="8">
        <v>1045.04</v>
      </c>
      <c r="E2938" s="8"/>
      <c r="F2938" s="8"/>
      <c r="G2938" s="8"/>
      <c r="H2938" s="8"/>
      <c r="I2938" s="8"/>
      <c r="J2938" s="8"/>
      <c r="K2938" s="8"/>
      <c r="L2938" s="8"/>
      <c r="M2938" s="8">
        <v>2.1</v>
      </c>
      <c r="N2938" s="8"/>
      <c r="O2938" s="8"/>
      <c r="P2938" s="8"/>
      <c r="Q2938" s="11"/>
      <c r="R2938" s="11"/>
      <c r="S2938" s="8">
        <v>1.57</v>
      </c>
      <c r="T2938" s="8"/>
      <c r="U2938" s="8">
        <v>9.42</v>
      </c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>
        <v>10.48</v>
      </c>
      <c r="AH2938" s="8"/>
      <c r="AI2938" s="8"/>
      <c r="AJ2938" s="8"/>
      <c r="AK2938" s="8"/>
      <c r="AL2938" s="8"/>
      <c r="AM2938" s="8"/>
      <c r="AN2938" s="8"/>
      <c r="AO2938" s="8"/>
      <c r="AP2938" s="11"/>
      <c r="AQ2938" s="8"/>
      <c r="AR2938" s="8"/>
      <c r="AS2938" s="8"/>
      <c r="AT2938" s="8">
        <v>278.75</v>
      </c>
      <c r="AU2938" s="8">
        <v>140.25</v>
      </c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>
        <v>29.08</v>
      </c>
      <c r="BH2938" s="9">
        <f t="shared" si="405"/>
        <v>1045.04</v>
      </c>
      <c r="BI2938" s="9">
        <f t="shared" si="406"/>
        <v>2.1</v>
      </c>
      <c r="BJ2938" s="9">
        <f t="shared" si="407"/>
        <v>1.57</v>
      </c>
      <c r="BK2938" s="9">
        <f t="shared" si="408"/>
        <v>9.42</v>
      </c>
      <c r="BL2938" s="9">
        <f t="shared" si="409"/>
        <v>0</v>
      </c>
      <c r="BM2938" s="9">
        <f t="shared" si="410"/>
        <v>10.48</v>
      </c>
      <c r="BN2938" s="9">
        <f t="shared" si="411"/>
        <v>419</v>
      </c>
      <c r="BO2938" s="9">
        <f t="shared" si="412"/>
        <v>0</v>
      </c>
      <c r="BP2938" s="9">
        <f t="shared" si="413"/>
        <v>0</v>
      </c>
    </row>
    <row r="2939" spans="1:68">
      <c r="A2939" s="6">
        <v>45071</v>
      </c>
      <c r="B2939" s="7">
        <v>3602</v>
      </c>
      <c r="C2939" s="8">
        <f>524.38+73.78</f>
        <v>598.16</v>
      </c>
      <c r="D2939" s="8"/>
      <c r="E2939" s="8"/>
      <c r="F2939" s="8"/>
      <c r="G2939" s="8">
        <f>110.71+786.12</f>
        <v>896.83</v>
      </c>
      <c r="H2939" s="8"/>
      <c r="I2939" s="8"/>
      <c r="J2939" s="8"/>
      <c r="K2939" s="8"/>
      <c r="L2939" s="8"/>
      <c r="M2939" s="8">
        <f>1.48+0.2</f>
        <v>1.68</v>
      </c>
      <c r="N2939" s="8"/>
      <c r="O2939" s="8"/>
      <c r="P2939" s="8"/>
      <c r="Q2939" s="11"/>
      <c r="R2939" s="11"/>
      <c r="S2939" s="8">
        <f>0.89+6.29</f>
        <v>7.18</v>
      </c>
      <c r="T2939" s="8"/>
      <c r="U2939" s="8"/>
      <c r="V2939" s="8">
        <f>858*17.08/1000</f>
        <v>14.654639999999999</v>
      </c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11"/>
      <c r="AQ2939" s="8"/>
      <c r="AR2939" s="8"/>
      <c r="AS2939" s="8"/>
      <c r="AT2939" s="8">
        <f>528.82+74.55</f>
        <v>603.37</v>
      </c>
      <c r="AU2939" s="8"/>
      <c r="AV2939" s="8"/>
      <c r="AW2939" s="8">
        <f>33.89+4.78</f>
        <v>38.67</v>
      </c>
      <c r="AX2939" s="8"/>
      <c r="AY2939" s="8"/>
      <c r="AZ2939" s="8"/>
      <c r="BA2939" s="8"/>
      <c r="BB2939" s="8"/>
      <c r="BC2939" s="8"/>
      <c r="BD2939" s="8"/>
      <c r="BE2939" s="8"/>
      <c r="BF2939" s="8">
        <f>5.92+41.96</f>
        <v>47.88</v>
      </c>
      <c r="BG2939" s="8">
        <f>39.34+5.55</f>
        <v>44.89</v>
      </c>
      <c r="BH2939" s="9">
        <f t="shared" si="405"/>
        <v>1494.99</v>
      </c>
      <c r="BI2939" s="9">
        <f t="shared" si="406"/>
        <v>1.68</v>
      </c>
      <c r="BJ2939" s="9">
        <f t="shared" si="407"/>
        <v>7.18</v>
      </c>
      <c r="BK2939" s="9">
        <f t="shared" si="408"/>
        <v>14.654639999999999</v>
      </c>
      <c r="BL2939" s="9">
        <f t="shared" si="409"/>
        <v>0</v>
      </c>
      <c r="BM2939" s="9">
        <f t="shared" si="410"/>
        <v>0</v>
      </c>
      <c r="BN2939" s="9">
        <f t="shared" si="411"/>
        <v>603.37</v>
      </c>
      <c r="BO2939" s="9">
        <f t="shared" si="412"/>
        <v>38.67</v>
      </c>
      <c r="BP2939" s="9">
        <f t="shared" si="413"/>
        <v>47.88</v>
      </c>
    </row>
    <row r="2940" spans="1:68">
      <c r="A2940" s="6">
        <v>45072</v>
      </c>
      <c r="B2940" s="7">
        <v>3302</v>
      </c>
      <c r="C2940" s="8"/>
      <c r="D2940" s="8">
        <v>854.33</v>
      </c>
      <c r="E2940" s="8"/>
      <c r="F2940" s="8"/>
      <c r="G2940" s="8"/>
      <c r="H2940" s="8"/>
      <c r="I2940" s="8"/>
      <c r="J2940" s="8"/>
      <c r="K2940" s="8"/>
      <c r="L2940" s="8"/>
      <c r="M2940" s="8">
        <v>1.1100000000000001</v>
      </c>
      <c r="N2940" s="8"/>
      <c r="O2940" s="8"/>
      <c r="P2940" s="8"/>
      <c r="Q2940" s="11"/>
      <c r="R2940" s="11"/>
      <c r="S2940" s="8">
        <v>6.41</v>
      </c>
      <c r="T2940" s="8"/>
      <c r="U2940" s="8">
        <v>8.56</v>
      </c>
      <c r="V2940" s="8"/>
      <c r="W2940" s="8"/>
      <c r="X2940" s="8"/>
      <c r="Y2940" s="8"/>
      <c r="Z2940" s="8"/>
      <c r="AA2940" s="8"/>
      <c r="AB2940" s="8"/>
      <c r="AC2940" s="8">
        <v>5.13</v>
      </c>
      <c r="AD2940" s="8"/>
      <c r="AE2940" s="8"/>
      <c r="AF2940" s="8"/>
      <c r="AG2940" s="8">
        <v>8.56</v>
      </c>
      <c r="AH2940" s="8"/>
      <c r="AI2940" s="8"/>
      <c r="AJ2940" s="8"/>
      <c r="AK2940" s="8"/>
      <c r="AL2940" s="8"/>
      <c r="AM2940" s="8"/>
      <c r="AN2940" s="8"/>
      <c r="AO2940" s="8"/>
      <c r="AP2940" s="11"/>
      <c r="AQ2940" s="8"/>
      <c r="AR2940" s="8"/>
      <c r="AS2940" s="8"/>
      <c r="AT2940" s="8"/>
      <c r="AU2940" s="8">
        <v>428.44</v>
      </c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>
        <v>30.71</v>
      </c>
      <c r="BH2940" s="9">
        <f t="shared" si="405"/>
        <v>854.33</v>
      </c>
      <c r="BI2940" s="9">
        <f t="shared" si="406"/>
        <v>1.1100000000000001</v>
      </c>
      <c r="BJ2940" s="9">
        <f t="shared" si="407"/>
        <v>6.41</v>
      </c>
      <c r="BK2940" s="9">
        <f t="shared" si="408"/>
        <v>8.56</v>
      </c>
      <c r="BL2940" s="9">
        <f t="shared" si="409"/>
        <v>0</v>
      </c>
      <c r="BM2940" s="9">
        <f t="shared" si="410"/>
        <v>13.690000000000001</v>
      </c>
      <c r="BN2940" s="9">
        <f t="shared" si="411"/>
        <v>428.44</v>
      </c>
      <c r="BO2940" s="9">
        <f t="shared" si="412"/>
        <v>0</v>
      </c>
      <c r="BP2940" s="9">
        <f t="shared" si="413"/>
        <v>0</v>
      </c>
    </row>
    <row r="2941" spans="1:68">
      <c r="A2941" s="6">
        <v>45072</v>
      </c>
      <c r="B2941" s="7">
        <v>3141</v>
      </c>
      <c r="C2941" s="8">
        <v>2403.08</v>
      </c>
      <c r="D2941" s="8">
        <v>423.93</v>
      </c>
      <c r="E2941" s="8"/>
      <c r="F2941" s="8"/>
      <c r="G2941" s="8"/>
      <c r="H2941" s="8"/>
      <c r="I2941" s="8"/>
      <c r="J2941" s="8"/>
      <c r="K2941" s="8"/>
      <c r="L2941" s="8"/>
      <c r="M2941" s="8">
        <v>7.81</v>
      </c>
      <c r="N2941" s="8"/>
      <c r="O2941" s="8"/>
      <c r="P2941" s="8"/>
      <c r="Q2941" s="11"/>
      <c r="R2941" s="11"/>
      <c r="S2941" s="8">
        <v>13.31</v>
      </c>
      <c r="T2941" s="8"/>
      <c r="U2941" s="8">
        <v>42.46</v>
      </c>
      <c r="V2941" s="8"/>
      <c r="W2941" s="8"/>
      <c r="X2941" s="8"/>
      <c r="Y2941" s="8"/>
      <c r="Z2941" s="8"/>
      <c r="AA2941" s="8"/>
      <c r="AB2941" s="8"/>
      <c r="AC2941" s="8">
        <v>11.33</v>
      </c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11"/>
      <c r="AQ2941" s="8"/>
      <c r="AR2941" s="8"/>
      <c r="AS2941" s="8"/>
      <c r="AT2941" s="8">
        <v>1864.68</v>
      </c>
      <c r="AU2941" s="8"/>
      <c r="AV2941" s="8"/>
      <c r="AW2941" s="8"/>
      <c r="AX2941" s="8"/>
      <c r="AY2941" s="8"/>
      <c r="AZ2941" s="8"/>
      <c r="BA2941" s="8">
        <v>64.83</v>
      </c>
      <c r="BB2941" s="8"/>
      <c r="BC2941" s="8"/>
      <c r="BD2941" s="8"/>
      <c r="BE2941" s="8"/>
      <c r="BF2941" s="8">
        <v>198.08</v>
      </c>
      <c r="BG2941" s="8">
        <v>147.41999999999999</v>
      </c>
      <c r="BH2941" s="9">
        <f t="shared" si="405"/>
        <v>2827.0099999999998</v>
      </c>
      <c r="BI2941" s="9">
        <f t="shared" si="406"/>
        <v>7.81</v>
      </c>
      <c r="BJ2941" s="9">
        <f t="shared" si="407"/>
        <v>13.31</v>
      </c>
      <c r="BK2941" s="9">
        <f t="shared" si="408"/>
        <v>42.46</v>
      </c>
      <c r="BL2941" s="9">
        <f t="shared" si="409"/>
        <v>0</v>
      </c>
      <c r="BM2941" s="9">
        <f t="shared" si="410"/>
        <v>11.33</v>
      </c>
      <c r="BN2941" s="9">
        <f t="shared" si="411"/>
        <v>1864.68</v>
      </c>
      <c r="BO2941" s="9">
        <f t="shared" si="412"/>
        <v>64.83</v>
      </c>
      <c r="BP2941" s="9">
        <f t="shared" si="413"/>
        <v>198.08</v>
      </c>
    </row>
    <row r="2942" spans="1:68">
      <c r="A2942" s="6">
        <v>45072</v>
      </c>
      <c r="B2942" s="7">
        <v>3108</v>
      </c>
      <c r="C2942" s="8">
        <v>2252.1999999999998</v>
      </c>
      <c r="D2942" s="8"/>
      <c r="E2942" s="8"/>
      <c r="F2942" s="8"/>
      <c r="G2942" s="8"/>
      <c r="H2942" s="8"/>
      <c r="I2942" s="8"/>
      <c r="J2942" s="8"/>
      <c r="K2942" s="8"/>
      <c r="L2942" s="8"/>
      <c r="M2942" s="8">
        <v>4.7300000000000004</v>
      </c>
      <c r="N2942" s="8"/>
      <c r="O2942" s="8"/>
      <c r="P2942" s="8"/>
      <c r="Q2942" s="11"/>
      <c r="R2942" s="11"/>
      <c r="S2942" s="8">
        <v>7.23</v>
      </c>
      <c r="T2942" s="8"/>
      <c r="U2942" s="8">
        <v>28.63</v>
      </c>
      <c r="V2942" s="8"/>
      <c r="W2942" s="8"/>
      <c r="X2942" s="8"/>
      <c r="Y2942" s="8"/>
      <c r="Z2942" s="8"/>
      <c r="AA2942" s="8"/>
      <c r="AB2942" s="8"/>
      <c r="AC2942" s="8">
        <v>9.01</v>
      </c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11"/>
      <c r="AQ2942" s="8"/>
      <c r="AR2942" s="8"/>
      <c r="AS2942" s="8"/>
      <c r="AT2942" s="8">
        <v>1226.96</v>
      </c>
      <c r="AU2942" s="8"/>
      <c r="AV2942" s="8"/>
      <c r="AW2942" s="8"/>
      <c r="AX2942" s="8"/>
      <c r="AY2942" s="8"/>
      <c r="AZ2942" s="8"/>
      <c r="BA2942" s="8">
        <v>83.77</v>
      </c>
      <c r="BB2942" s="8"/>
      <c r="BC2942" s="8"/>
      <c r="BD2942" s="8"/>
      <c r="BE2942" s="8"/>
      <c r="BF2942" s="8"/>
      <c r="BG2942" s="8">
        <v>91.35</v>
      </c>
      <c r="BH2942" s="9">
        <f t="shared" si="405"/>
        <v>2252.1999999999998</v>
      </c>
      <c r="BI2942" s="9">
        <f t="shared" si="406"/>
        <v>4.7300000000000004</v>
      </c>
      <c r="BJ2942" s="9">
        <f t="shared" si="407"/>
        <v>7.23</v>
      </c>
      <c r="BK2942" s="9">
        <f t="shared" si="408"/>
        <v>28.63</v>
      </c>
      <c r="BL2942" s="9">
        <f t="shared" si="409"/>
        <v>0</v>
      </c>
      <c r="BM2942" s="9">
        <f t="shared" si="410"/>
        <v>9.01</v>
      </c>
      <c r="BN2942" s="9">
        <f t="shared" si="411"/>
        <v>1226.96</v>
      </c>
      <c r="BO2942" s="9">
        <f t="shared" si="412"/>
        <v>83.77</v>
      </c>
      <c r="BP2942" s="9">
        <f t="shared" si="413"/>
        <v>0</v>
      </c>
    </row>
    <row r="2943" spans="1:68">
      <c r="A2943" s="6">
        <v>45072</v>
      </c>
      <c r="B2943" s="7">
        <v>3029</v>
      </c>
      <c r="C2943" s="8"/>
      <c r="D2943" s="8">
        <v>481.2</v>
      </c>
      <c r="E2943" s="8"/>
      <c r="F2943" s="8">
        <v>339.79</v>
      </c>
      <c r="G2943" s="8"/>
      <c r="H2943" s="8"/>
      <c r="I2943" s="8">
        <v>2009.88</v>
      </c>
      <c r="J2943" s="8"/>
      <c r="K2943" s="8"/>
      <c r="L2943" s="8"/>
      <c r="M2943" s="8"/>
      <c r="N2943" s="8">
        <v>22.4</v>
      </c>
      <c r="O2943" s="8"/>
      <c r="P2943" s="8"/>
      <c r="Q2943" s="11"/>
      <c r="R2943" s="11"/>
      <c r="S2943" s="8">
        <v>1.7</v>
      </c>
      <c r="T2943" s="8"/>
      <c r="U2943" s="8"/>
      <c r="V2943" s="8"/>
      <c r="W2943" s="8">
        <v>28.35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>
        <v>9.92</v>
      </c>
      <c r="AN2943" s="8">
        <f>759*18.9/1000</f>
        <v>14.345099999999999</v>
      </c>
      <c r="AO2943" s="8"/>
      <c r="AP2943" s="11"/>
      <c r="AQ2943" s="8"/>
      <c r="AR2943" s="8">
        <f>4496*18.9/1000</f>
        <v>84.974399999999989</v>
      </c>
      <c r="AS2943" s="8"/>
      <c r="AT2943" s="8">
        <v>1077.3699999999999</v>
      </c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>
        <v>75.08</v>
      </c>
      <c r="BH2943" s="9">
        <f t="shared" si="405"/>
        <v>2830.87</v>
      </c>
      <c r="BI2943" s="9">
        <f t="shared" si="406"/>
        <v>22.4</v>
      </c>
      <c r="BJ2943" s="9">
        <f t="shared" si="407"/>
        <v>1.7</v>
      </c>
      <c r="BK2943" s="9">
        <f t="shared" si="408"/>
        <v>28.35</v>
      </c>
      <c r="BL2943" s="9">
        <f t="shared" si="409"/>
        <v>0</v>
      </c>
      <c r="BM2943" s="9">
        <f t="shared" si="410"/>
        <v>109.23949999999999</v>
      </c>
      <c r="BN2943" s="9">
        <f t="shared" si="411"/>
        <v>1077.3699999999999</v>
      </c>
      <c r="BO2943" s="9">
        <f t="shared" si="412"/>
        <v>0</v>
      </c>
      <c r="BP2943" s="9">
        <f t="shared" si="413"/>
        <v>0</v>
      </c>
    </row>
    <row r="2944" spans="1:68">
      <c r="A2944" s="6">
        <v>45072</v>
      </c>
      <c r="B2944" s="7">
        <v>3083</v>
      </c>
      <c r="C2944" s="8"/>
      <c r="D2944" s="8">
        <v>1090.8599999999999</v>
      </c>
      <c r="E2944" s="8"/>
      <c r="F2944" s="8"/>
      <c r="G2944" s="8"/>
      <c r="H2944" s="8"/>
      <c r="I2944" s="8">
        <v>2544.1</v>
      </c>
      <c r="J2944" s="8"/>
      <c r="K2944" s="8"/>
      <c r="L2944" s="8"/>
      <c r="M2944" s="8"/>
      <c r="N2944" s="8">
        <v>23.63</v>
      </c>
      <c r="O2944" s="8"/>
      <c r="P2944" s="8"/>
      <c r="Q2944" s="11"/>
      <c r="R2944" s="11"/>
      <c r="S2944" s="8">
        <v>2.54</v>
      </c>
      <c r="T2944" s="8"/>
      <c r="U2944" s="8"/>
      <c r="V2944" s="8"/>
      <c r="W2944" s="8">
        <v>29.08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>
        <v>14.52</v>
      </c>
      <c r="AN2944" s="8">
        <f>1920*26.92/1000</f>
        <v>51.686399999999999</v>
      </c>
      <c r="AO2944" s="8"/>
      <c r="AP2944" s="11"/>
      <c r="AQ2944" s="8"/>
      <c r="AR2944" s="8">
        <f>3461*26.92/1000</f>
        <v>93.170120000000011</v>
      </c>
      <c r="AS2944" s="8"/>
      <c r="AT2944" s="8">
        <v>1710.63</v>
      </c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>
        <v>135.56</v>
      </c>
      <c r="BH2944" s="9">
        <f t="shared" si="405"/>
        <v>3634.96</v>
      </c>
      <c r="BI2944" s="9">
        <f t="shared" si="406"/>
        <v>23.63</v>
      </c>
      <c r="BJ2944" s="9">
        <f t="shared" si="407"/>
        <v>2.54</v>
      </c>
      <c r="BK2944" s="9">
        <f t="shared" si="408"/>
        <v>29.08</v>
      </c>
      <c r="BL2944" s="9">
        <f t="shared" si="409"/>
        <v>0</v>
      </c>
      <c r="BM2944" s="9">
        <f t="shared" si="410"/>
        <v>159.37652000000003</v>
      </c>
      <c r="BN2944" s="9">
        <f t="shared" si="411"/>
        <v>1710.63</v>
      </c>
      <c r="BO2944" s="9">
        <f t="shared" si="412"/>
        <v>0</v>
      </c>
      <c r="BP2944" s="9">
        <f t="shared" si="413"/>
        <v>0</v>
      </c>
    </row>
    <row r="2945" spans="1:68">
      <c r="A2945" s="6">
        <v>45075</v>
      </c>
      <c r="B2945" s="7">
        <v>3106</v>
      </c>
      <c r="C2945" s="8">
        <v>7708.39</v>
      </c>
      <c r="D2945" s="8"/>
      <c r="E2945" s="8"/>
      <c r="F2945" s="8"/>
      <c r="G2945" s="8"/>
      <c r="H2945" s="8"/>
      <c r="I2945" s="8"/>
      <c r="J2945" s="8"/>
      <c r="K2945" s="8"/>
      <c r="L2945" s="8"/>
      <c r="M2945" s="8">
        <v>20.02</v>
      </c>
      <c r="N2945" s="8"/>
      <c r="O2945" s="8"/>
      <c r="P2945" s="8"/>
      <c r="Q2945" s="11"/>
      <c r="R2945" s="11"/>
      <c r="S2945" s="8">
        <v>23.16</v>
      </c>
      <c r="T2945" s="8"/>
      <c r="U2945" s="8">
        <v>98.03</v>
      </c>
      <c r="V2945" s="8"/>
      <c r="W2945" s="8"/>
      <c r="X2945" s="8"/>
      <c r="Y2945" s="8"/>
      <c r="Z2945" s="8"/>
      <c r="AA2945" s="8"/>
      <c r="AB2945" s="8"/>
      <c r="AC2945" s="8">
        <v>19.27</v>
      </c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11"/>
      <c r="AQ2945" s="8"/>
      <c r="AR2945" s="8"/>
      <c r="AS2945" s="8"/>
      <c r="AT2945" s="8">
        <v>4394.84</v>
      </c>
      <c r="AU2945" s="8"/>
      <c r="AV2945" s="8"/>
      <c r="AW2945" s="8"/>
      <c r="AX2945" s="8">
        <v>9.64</v>
      </c>
      <c r="AY2945" s="8"/>
      <c r="AZ2945" s="8"/>
      <c r="BA2945" s="8"/>
      <c r="BB2945" s="8"/>
      <c r="BC2945" s="8"/>
      <c r="BD2945" s="8"/>
      <c r="BE2945" s="8"/>
      <c r="BF2945" s="8"/>
      <c r="BG2945" s="8">
        <v>331.55</v>
      </c>
      <c r="BH2945" s="9">
        <f t="shared" si="405"/>
        <v>7708.39</v>
      </c>
      <c r="BI2945" s="9">
        <f t="shared" si="406"/>
        <v>20.02</v>
      </c>
      <c r="BJ2945" s="9">
        <f t="shared" si="407"/>
        <v>23.16</v>
      </c>
      <c r="BK2945" s="9">
        <f t="shared" si="408"/>
        <v>98.03</v>
      </c>
      <c r="BL2945" s="9">
        <f t="shared" si="409"/>
        <v>0</v>
      </c>
      <c r="BM2945" s="9">
        <f t="shared" si="410"/>
        <v>19.27</v>
      </c>
      <c r="BN2945" s="9">
        <f t="shared" si="411"/>
        <v>4394.84</v>
      </c>
      <c r="BO2945" s="9">
        <f t="shared" si="412"/>
        <v>9.64</v>
      </c>
      <c r="BP2945" s="9">
        <f t="shared" si="413"/>
        <v>0</v>
      </c>
    </row>
    <row r="2946" spans="1:68">
      <c r="A2946" s="6">
        <v>45075</v>
      </c>
      <c r="B2946" s="7">
        <v>3081</v>
      </c>
      <c r="C2946" s="8"/>
      <c r="D2946" s="8">
        <v>292.16000000000003</v>
      </c>
      <c r="E2946" s="8"/>
      <c r="F2946" s="8">
        <v>328.4</v>
      </c>
      <c r="G2946" s="8"/>
      <c r="H2946" s="8"/>
      <c r="I2946" s="8">
        <v>1199.8800000000001</v>
      </c>
      <c r="J2946" s="8"/>
      <c r="K2946" s="8"/>
      <c r="L2946" s="8"/>
      <c r="M2946" s="8"/>
      <c r="N2946" s="8">
        <v>13.36</v>
      </c>
      <c r="O2946" s="8"/>
      <c r="P2946" s="8">
        <f>618*11.8/1000</f>
        <v>7.2924000000000007</v>
      </c>
      <c r="Q2946" s="11"/>
      <c r="R2946" s="11"/>
      <c r="S2946" s="8">
        <v>1.28</v>
      </c>
      <c r="T2946" s="8"/>
      <c r="U2946" s="8"/>
      <c r="V2946" s="8"/>
      <c r="W2946" s="8">
        <v>18.3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11"/>
      <c r="AQ2946" s="8">
        <f>1559*11.8/1000</f>
        <v>18.3962</v>
      </c>
      <c r="AR2946" s="8">
        <f>5511*11.8/1000</f>
        <v>65.029800000000009</v>
      </c>
      <c r="AS2946" s="8"/>
      <c r="AT2946" s="8">
        <v>571.96</v>
      </c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>
        <v>37.96</v>
      </c>
      <c r="BH2946" s="9">
        <f t="shared" si="405"/>
        <v>1820.44</v>
      </c>
      <c r="BI2946" s="9">
        <f t="shared" si="406"/>
        <v>20.6524</v>
      </c>
      <c r="BJ2946" s="9">
        <f t="shared" si="407"/>
        <v>1.28</v>
      </c>
      <c r="BK2946" s="9">
        <f t="shared" si="408"/>
        <v>18.3</v>
      </c>
      <c r="BL2946" s="9">
        <f t="shared" si="409"/>
        <v>0</v>
      </c>
      <c r="BM2946" s="9">
        <f t="shared" si="410"/>
        <v>83.426000000000016</v>
      </c>
      <c r="BN2946" s="9">
        <f t="shared" si="411"/>
        <v>571.96</v>
      </c>
      <c r="BO2946" s="9">
        <f t="shared" si="412"/>
        <v>0</v>
      </c>
      <c r="BP2946" s="9">
        <f t="shared" si="413"/>
        <v>0</v>
      </c>
    </row>
    <row r="2947" spans="1:68">
      <c r="A2947" s="6">
        <v>45075</v>
      </c>
      <c r="B2947" s="7">
        <v>3016</v>
      </c>
      <c r="C2947" s="8"/>
      <c r="D2947" s="8">
        <v>1621.62</v>
      </c>
      <c r="E2947" s="8"/>
      <c r="F2947" s="8"/>
      <c r="G2947" s="8"/>
      <c r="H2947" s="8"/>
      <c r="I2947" s="8">
        <v>1496.28</v>
      </c>
      <c r="J2947" s="8"/>
      <c r="K2947" s="8"/>
      <c r="L2947" s="8"/>
      <c r="M2947" s="8"/>
      <c r="N2947" s="8">
        <v>19.36</v>
      </c>
      <c r="O2947" s="8"/>
      <c r="P2947" s="8"/>
      <c r="Q2947" s="11"/>
      <c r="R2947" s="11"/>
      <c r="S2947" s="8">
        <v>2.19</v>
      </c>
      <c r="T2947" s="8"/>
      <c r="U2947" s="8"/>
      <c r="V2947" s="8"/>
      <c r="W2947" s="8">
        <v>31.25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>
        <v>12.46</v>
      </c>
      <c r="AN2947" s="8">
        <f>2052*18.37/1000</f>
        <v>37.695240000000005</v>
      </c>
      <c r="AO2947" s="8"/>
      <c r="AP2947" s="11"/>
      <c r="AQ2947" s="8"/>
      <c r="AR2947" s="8">
        <f>4321*18.37/1000</f>
        <v>79.376770000000008</v>
      </c>
      <c r="AS2947" s="8"/>
      <c r="AT2947" s="8">
        <v>1159.73</v>
      </c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>
        <v>85.31</v>
      </c>
      <c r="BH2947" s="9">
        <f t="shared" si="405"/>
        <v>3117.8999999999996</v>
      </c>
      <c r="BI2947" s="9">
        <f t="shared" si="406"/>
        <v>19.36</v>
      </c>
      <c r="BJ2947" s="9">
        <f t="shared" si="407"/>
        <v>2.19</v>
      </c>
      <c r="BK2947" s="9">
        <f t="shared" si="408"/>
        <v>31.25</v>
      </c>
      <c r="BL2947" s="9">
        <f t="shared" si="409"/>
        <v>0</v>
      </c>
      <c r="BM2947" s="9">
        <f t="shared" si="410"/>
        <v>129.53201000000001</v>
      </c>
      <c r="BN2947" s="9">
        <f t="shared" si="411"/>
        <v>1159.73</v>
      </c>
      <c r="BO2947" s="9">
        <f t="shared" si="412"/>
        <v>0</v>
      </c>
      <c r="BP2947" s="9">
        <f t="shared" si="413"/>
        <v>0</v>
      </c>
    </row>
    <row r="2948" spans="1:68">
      <c r="A2948" s="6">
        <v>45075</v>
      </c>
      <c r="B2948" s="7">
        <v>3100</v>
      </c>
      <c r="C2948" s="8">
        <v>681.54</v>
      </c>
      <c r="D2948" s="8"/>
      <c r="E2948" s="8"/>
      <c r="F2948" s="8"/>
      <c r="G2948" s="8"/>
      <c r="H2948" s="8"/>
      <c r="I2948" s="8"/>
      <c r="J2948" s="8"/>
      <c r="K2948" s="8"/>
      <c r="L2948" s="8"/>
      <c r="M2948" s="8">
        <v>1.7</v>
      </c>
      <c r="N2948" s="8"/>
      <c r="O2948" s="8"/>
      <c r="P2948" s="8"/>
      <c r="Q2948" s="11"/>
      <c r="R2948" s="11"/>
      <c r="S2948" s="8">
        <v>3.89</v>
      </c>
      <c r="T2948" s="8"/>
      <c r="U2948" s="8">
        <v>10.92</v>
      </c>
      <c r="V2948" s="8"/>
      <c r="W2948" s="8"/>
      <c r="X2948" s="8"/>
      <c r="Y2948" s="8"/>
      <c r="Z2948" s="8"/>
      <c r="AA2948" s="8"/>
      <c r="AB2948" s="8"/>
      <c r="AC2948" s="8">
        <v>2.73</v>
      </c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11"/>
      <c r="AQ2948" s="8"/>
      <c r="AR2948" s="8"/>
      <c r="AS2948" s="8"/>
      <c r="AT2948" s="8">
        <v>459.54</v>
      </c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>
        <v>88.67</v>
      </c>
      <c r="BG2948" s="8">
        <v>35.130000000000003</v>
      </c>
      <c r="BH2948" s="9">
        <f t="shared" ref="BH2948:BH3011" si="414">SUM(C2948:L2948)</f>
        <v>681.54</v>
      </c>
      <c r="BI2948" s="9">
        <f t="shared" ref="BI2948:BI3011" si="415">SUM(M2948:R2948)</f>
        <v>1.7</v>
      </c>
      <c r="BJ2948" s="9">
        <f t="shared" ref="BJ2948:BJ3011" si="416">SUM(S2948)</f>
        <v>3.89</v>
      </c>
      <c r="BK2948" s="9">
        <f t="shared" ref="BK2948:BK3011" si="417">SUM(T2948:Y2948)</f>
        <v>10.92</v>
      </c>
      <c r="BL2948" s="9">
        <f t="shared" ref="BL2948:BL3011" si="418">SUM(Z2948:AA2948)</f>
        <v>0</v>
      </c>
      <c r="BM2948" s="9">
        <f t="shared" ref="BM2948:BM3011" si="419">SUM(AB2948:AS2948)</f>
        <v>2.73</v>
      </c>
      <c r="BN2948" s="9">
        <f t="shared" ref="BN2948:BN3011" si="420">SUM(AT2948:AU2948)</f>
        <v>459.54</v>
      </c>
      <c r="BO2948" s="9">
        <f t="shared" ref="BO2948:BO3011" si="421">SUM(AV2948:BE2948)</f>
        <v>0</v>
      </c>
      <c r="BP2948" s="9">
        <f t="shared" ref="BP2948:BP3011" si="422">SUM(BF2948)</f>
        <v>88.67</v>
      </c>
    </row>
    <row r="2949" spans="1:68">
      <c r="A2949" s="6">
        <v>45075</v>
      </c>
      <c r="B2949" s="7">
        <v>3139</v>
      </c>
      <c r="C2949" s="8">
        <v>1866.71</v>
      </c>
      <c r="D2949" s="8"/>
      <c r="E2949" s="8"/>
      <c r="F2949" s="8"/>
      <c r="G2949" s="8"/>
      <c r="H2949" s="8">
        <v>774.86</v>
      </c>
      <c r="I2949" s="8"/>
      <c r="J2949" s="8"/>
      <c r="K2949" s="8"/>
      <c r="L2949" s="8"/>
      <c r="M2949" s="8">
        <v>4.3600000000000003</v>
      </c>
      <c r="N2949" s="8"/>
      <c r="O2949" s="8"/>
      <c r="P2949" s="8"/>
      <c r="Q2949" s="11"/>
      <c r="R2949" s="11"/>
      <c r="S2949" s="8">
        <v>8.27</v>
      </c>
      <c r="T2949" s="8"/>
      <c r="U2949" s="8">
        <v>27.56</v>
      </c>
      <c r="V2949" s="8"/>
      <c r="W2949" s="8"/>
      <c r="X2949" s="8"/>
      <c r="Y2949" s="8"/>
      <c r="Z2949" s="8"/>
      <c r="AA2949" s="8"/>
      <c r="AB2949" s="8"/>
      <c r="AC2949" s="8">
        <v>9.19</v>
      </c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11"/>
      <c r="AQ2949" s="8"/>
      <c r="AR2949" s="8"/>
      <c r="AS2949" s="8"/>
      <c r="AT2949" s="8">
        <v>1363.07</v>
      </c>
      <c r="AU2949" s="8"/>
      <c r="AV2949" s="8">
        <v>45.93</v>
      </c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>
        <v>98.79</v>
      </c>
      <c r="BH2949" s="9">
        <f t="shared" si="414"/>
        <v>2641.57</v>
      </c>
      <c r="BI2949" s="9">
        <f t="shared" si="415"/>
        <v>4.3600000000000003</v>
      </c>
      <c r="BJ2949" s="9">
        <f t="shared" si="416"/>
        <v>8.27</v>
      </c>
      <c r="BK2949" s="9">
        <f t="shared" si="417"/>
        <v>27.56</v>
      </c>
      <c r="BL2949" s="9">
        <f t="shared" si="418"/>
        <v>0</v>
      </c>
      <c r="BM2949" s="9">
        <f t="shared" si="419"/>
        <v>9.19</v>
      </c>
      <c r="BN2949" s="9">
        <f t="shared" si="420"/>
        <v>1363.07</v>
      </c>
      <c r="BO2949" s="9">
        <f t="shared" si="421"/>
        <v>45.93</v>
      </c>
      <c r="BP2949" s="9">
        <f t="shared" si="422"/>
        <v>0</v>
      </c>
    </row>
    <row r="2950" spans="1:68">
      <c r="A2950" s="6">
        <v>45075</v>
      </c>
      <c r="B2950" s="7">
        <v>3703</v>
      </c>
      <c r="C2950" s="8">
        <v>974.73</v>
      </c>
      <c r="D2950" s="8">
        <v>650.16</v>
      </c>
      <c r="E2950" s="8"/>
      <c r="F2950" s="8"/>
      <c r="G2950" s="8"/>
      <c r="H2950" s="8"/>
      <c r="I2950" s="8"/>
      <c r="J2950" s="8"/>
      <c r="K2950" s="8"/>
      <c r="L2950" s="8"/>
      <c r="M2950" s="8">
        <v>3.26</v>
      </c>
      <c r="N2950" s="8"/>
      <c r="O2950" s="8"/>
      <c r="P2950" s="8"/>
      <c r="Q2950" s="11"/>
      <c r="R2950" s="11"/>
      <c r="S2950" s="8">
        <v>7.98</v>
      </c>
      <c r="T2950" s="8"/>
      <c r="U2950" s="8">
        <v>13.02</v>
      </c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>
        <v>16.260000000000002</v>
      </c>
      <c r="AN2950" s="8"/>
      <c r="AO2950" s="8"/>
      <c r="AP2950" s="11"/>
      <c r="AQ2950" s="8"/>
      <c r="AR2950" s="8"/>
      <c r="AS2950" s="8"/>
      <c r="AT2950" s="8">
        <v>394.55</v>
      </c>
      <c r="AU2950" s="8">
        <v>196.97</v>
      </c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>
        <v>41.26</v>
      </c>
      <c r="BH2950" s="9">
        <f t="shared" si="414"/>
        <v>1624.8899999999999</v>
      </c>
      <c r="BI2950" s="9">
        <f t="shared" si="415"/>
        <v>3.26</v>
      </c>
      <c r="BJ2950" s="9">
        <f t="shared" si="416"/>
        <v>7.98</v>
      </c>
      <c r="BK2950" s="9">
        <f t="shared" si="417"/>
        <v>13.02</v>
      </c>
      <c r="BL2950" s="9">
        <f t="shared" si="418"/>
        <v>0</v>
      </c>
      <c r="BM2950" s="9">
        <f t="shared" si="419"/>
        <v>16.260000000000002</v>
      </c>
      <c r="BN2950" s="9">
        <f t="shared" si="420"/>
        <v>591.52</v>
      </c>
      <c r="BO2950" s="9">
        <f t="shared" si="421"/>
        <v>0</v>
      </c>
      <c r="BP2950" s="9">
        <f t="shared" si="422"/>
        <v>0</v>
      </c>
    </row>
    <row r="2951" spans="1:68">
      <c r="A2951" s="6">
        <v>45075</v>
      </c>
      <c r="B2951" s="7">
        <v>3601</v>
      </c>
      <c r="C2951" s="8">
        <v>289.99</v>
      </c>
      <c r="D2951" s="8"/>
      <c r="E2951" s="8"/>
      <c r="F2951" s="8"/>
      <c r="G2951" s="8">
        <v>433.44</v>
      </c>
      <c r="H2951" s="8"/>
      <c r="I2951" s="8"/>
      <c r="J2951" s="8"/>
      <c r="K2951" s="8"/>
      <c r="L2951" s="8"/>
      <c r="M2951" s="8">
        <v>0.87</v>
      </c>
      <c r="N2951" s="8"/>
      <c r="O2951" s="8"/>
      <c r="P2951" s="8"/>
      <c r="Q2951" s="11"/>
      <c r="R2951" s="11"/>
      <c r="S2951" s="8">
        <v>3.48</v>
      </c>
      <c r="T2951" s="8"/>
      <c r="U2951" s="8">
        <v>4.3499999999999996</v>
      </c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11"/>
      <c r="AQ2951" s="8"/>
      <c r="AR2951" s="8"/>
      <c r="AS2951" s="8"/>
      <c r="AT2951" s="8">
        <v>354.77</v>
      </c>
      <c r="AU2951" s="8"/>
      <c r="AV2951" s="8"/>
      <c r="AW2951" s="8">
        <v>22.02</v>
      </c>
      <c r="AX2951" s="8"/>
      <c r="AY2951" s="8"/>
      <c r="AZ2951" s="8"/>
      <c r="BA2951" s="8"/>
      <c r="BB2951" s="8"/>
      <c r="BC2951" s="8"/>
      <c r="BD2951" s="8"/>
      <c r="BE2951" s="8"/>
      <c r="BF2951" s="8">
        <v>40.57</v>
      </c>
      <c r="BG2951" s="8">
        <v>25.86</v>
      </c>
      <c r="BH2951" s="9">
        <f t="shared" si="414"/>
        <v>723.43000000000006</v>
      </c>
      <c r="BI2951" s="9">
        <f t="shared" si="415"/>
        <v>0.87</v>
      </c>
      <c r="BJ2951" s="9">
        <f t="shared" si="416"/>
        <v>3.48</v>
      </c>
      <c r="BK2951" s="9">
        <f t="shared" si="417"/>
        <v>4.3499999999999996</v>
      </c>
      <c r="BL2951" s="9">
        <f t="shared" si="418"/>
        <v>0</v>
      </c>
      <c r="BM2951" s="9">
        <f t="shared" si="419"/>
        <v>0</v>
      </c>
      <c r="BN2951" s="9">
        <f t="shared" si="420"/>
        <v>354.77</v>
      </c>
      <c r="BO2951" s="9">
        <f t="shared" si="421"/>
        <v>22.02</v>
      </c>
      <c r="BP2951" s="9">
        <f t="shared" si="422"/>
        <v>40.57</v>
      </c>
    </row>
    <row r="2952" spans="1:68">
      <c r="A2952" s="6">
        <v>45075</v>
      </c>
      <c r="B2952" s="7">
        <v>3602</v>
      </c>
      <c r="C2952" s="8">
        <v>569.47</v>
      </c>
      <c r="D2952" s="8"/>
      <c r="E2952" s="8"/>
      <c r="F2952" s="8"/>
      <c r="G2952" s="8">
        <v>853.99</v>
      </c>
      <c r="H2952" s="8"/>
      <c r="I2952" s="8"/>
      <c r="J2952" s="8"/>
      <c r="K2952" s="8"/>
      <c r="L2952" s="8"/>
      <c r="M2952" s="8">
        <v>1.64</v>
      </c>
      <c r="N2952" s="8"/>
      <c r="O2952" s="8"/>
      <c r="P2952" s="8"/>
      <c r="Q2952" s="11"/>
      <c r="R2952" s="11"/>
      <c r="S2952" s="8">
        <v>6.83</v>
      </c>
      <c r="T2952" s="8"/>
      <c r="U2952" s="8">
        <v>11.38</v>
      </c>
      <c r="V2952" s="8">
        <f>868*16.27/1000</f>
        <v>14.122359999999999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11"/>
      <c r="AQ2952" s="8"/>
      <c r="AR2952" s="8"/>
      <c r="AS2952" s="8"/>
      <c r="AT2952" s="8">
        <v>574.52</v>
      </c>
      <c r="AU2952" s="8"/>
      <c r="AV2952" s="8"/>
      <c r="AW2952" s="8">
        <v>36.799999999999997</v>
      </c>
      <c r="AX2952" s="8"/>
      <c r="AY2952" s="8"/>
      <c r="AZ2952" s="8"/>
      <c r="BA2952" s="8"/>
      <c r="BB2952" s="8"/>
      <c r="BC2952" s="8"/>
      <c r="BD2952" s="8"/>
      <c r="BE2952" s="8"/>
      <c r="BF2952" s="8">
        <v>45.65</v>
      </c>
      <c r="BG2952" s="8">
        <v>42.88</v>
      </c>
      <c r="BH2952" s="9">
        <f t="shared" si="414"/>
        <v>1423.46</v>
      </c>
      <c r="BI2952" s="9">
        <f t="shared" si="415"/>
        <v>1.64</v>
      </c>
      <c r="BJ2952" s="9">
        <f t="shared" si="416"/>
        <v>6.83</v>
      </c>
      <c r="BK2952" s="9">
        <f t="shared" si="417"/>
        <v>25.502359999999999</v>
      </c>
      <c r="BL2952" s="9">
        <f t="shared" si="418"/>
        <v>0</v>
      </c>
      <c r="BM2952" s="9">
        <f t="shared" si="419"/>
        <v>0</v>
      </c>
      <c r="BN2952" s="9">
        <f t="shared" si="420"/>
        <v>574.52</v>
      </c>
      <c r="BO2952" s="9">
        <f t="shared" si="421"/>
        <v>36.799999999999997</v>
      </c>
      <c r="BP2952" s="9">
        <f t="shared" si="422"/>
        <v>45.65</v>
      </c>
    </row>
    <row r="2953" spans="1:68">
      <c r="A2953" s="6">
        <v>45076</v>
      </c>
      <c r="B2953" s="7">
        <v>3200</v>
      </c>
      <c r="C2953" s="8">
        <v>2311.5500000000002</v>
      </c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>
        <v>5.78</v>
      </c>
      <c r="P2953" s="8"/>
      <c r="Q2953" s="11"/>
      <c r="R2953" s="11"/>
      <c r="S2953" s="8">
        <v>9.01</v>
      </c>
      <c r="T2953" s="8"/>
      <c r="U2953" s="8">
        <v>34.659999999999997</v>
      </c>
      <c r="V2953" s="8"/>
      <c r="W2953" s="8"/>
      <c r="X2953" s="8"/>
      <c r="Y2953" s="8"/>
      <c r="Z2953" s="8">
        <v>485.76</v>
      </c>
      <c r="AA2953" s="8"/>
      <c r="AB2953" s="8"/>
      <c r="AC2953" s="8"/>
      <c r="AD2953" s="8"/>
      <c r="AE2953" s="8"/>
      <c r="AF2953" s="8">
        <v>115.46</v>
      </c>
      <c r="AG2953" s="8"/>
      <c r="AH2953" s="8"/>
      <c r="AI2953" s="8"/>
      <c r="AJ2953" s="8"/>
      <c r="AK2953" s="8"/>
      <c r="AL2953" s="8"/>
      <c r="AM2953" s="8"/>
      <c r="AN2953" s="8"/>
      <c r="AO2953" s="8"/>
      <c r="AP2953" s="11"/>
      <c r="AQ2953" s="8">
        <f>1517*23.12/1000</f>
        <v>35.073039999999999</v>
      </c>
      <c r="AR2953" s="8"/>
      <c r="AS2953" s="8"/>
      <c r="AT2953" s="8">
        <v>1583.23</v>
      </c>
      <c r="AU2953" s="8"/>
      <c r="AV2953" s="8"/>
      <c r="AW2953" s="8">
        <v>6.68</v>
      </c>
      <c r="AX2953" s="8"/>
      <c r="AY2953" s="8"/>
      <c r="AZ2953" s="8"/>
      <c r="BA2953" s="8"/>
      <c r="BB2953" s="8"/>
      <c r="BC2953" s="8"/>
      <c r="BD2953" s="8"/>
      <c r="BE2953" s="8"/>
      <c r="BF2953" s="8">
        <v>110.94</v>
      </c>
      <c r="BG2953" s="8">
        <v>114.17</v>
      </c>
      <c r="BH2953" s="9">
        <f t="shared" si="414"/>
        <v>2311.5500000000002</v>
      </c>
      <c r="BI2953" s="9">
        <f t="shared" si="415"/>
        <v>5.78</v>
      </c>
      <c r="BJ2953" s="9">
        <f t="shared" si="416"/>
        <v>9.01</v>
      </c>
      <c r="BK2953" s="9">
        <f t="shared" si="417"/>
        <v>34.659999999999997</v>
      </c>
      <c r="BL2953" s="9">
        <f t="shared" si="418"/>
        <v>485.76</v>
      </c>
      <c r="BM2953" s="9">
        <f t="shared" si="419"/>
        <v>150.53304</v>
      </c>
      <c r="BN2953" s="9">
        <f t="shared" si="420"/>
        <v>1583.23</v>
      </c>
      <c r="BO2953" s="9">
        <f t="shared" si="421"/>
        <v>6.68</v>
      </c>
      <c r="BP2953" s="9">
        <f t="shared" si="422"/>
        <v>110.94</v>
      </c>
    </row>
    <row r="2954" spans="1:68">
      <c r="A2954" s="6">
        <v>45076</v>
      </c>
      <c r="B2954" s="7">
        <v>3145</v>
      </c>
      <c r="C2954" s="8">
        <v>1249.21</v>
      </c>
      <c r="D2954" s="8">
        <v>220.55</v>
      </c>
      <c r="E2954" s="8"/>
      <c r="F2954" s="8"/>
      <c r="G2954" s="8"/>
      <c r="H2954" s="8"/>
      <c r="I2954" s="8"/>
      <c r="J2954" s="8"/>
      <c r="K2954" s="8"/>
      <c r="L2954" s="8"/>
      <c r="M2954" s="8">
        <v>3.98</v>
      </c>
      <c r="N2954" s="8"/>
      <c r="O2954" s="8"/>
      <c r="P2954" s="8"/>
      <c r="Q2954" s="11"/>
      <c r="R2954" s="11"/>
      <c r="S2954" s="8">
        <v>6.92</v>
      </c>
      <c r="T2954" s="8"/>
      <c r="U2954" s="8">
        <v>22.08</v>
      </c>
      <c r="V2954" s="8"/>
      <c r="W2954" s="8"/>
      <c r="X2954" s="8"/>
      <c r="Y2954" s="8"/>
      <c r="Z2954" s="8"/>
      <c r="AA2954" s="8"/>
      <c r="AB2954" s="8"/>
      <c r="AC2954" s="8">
        <v>5.89</v>
      </c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11"/>
      <c r="AQ2954" s="8"/>
      <c r="AR2954" s="8"/>
      <c r="AS2954" s="8"/>
      <c r="AT2954" s="8">
        <v>974.5</v>
      </c>
      <c r="AU2954" s="8"/>
      <c r="AV2954" s="8"/>
      <c r="AW2954" s="8"/>
      <c r="AX2954" s="8"/>
      <c r="AY2954" s="8"/>
      <c r="AZ2954" s="8"/>
      <c r="BA2954" s="8"/>
      <c r="BB2954" s="8"/>
      <c r="BC2954" s="8"/>
      <c r="BD2954" s="8">
        <v>3.68</v>
      </c>
      <c r="BE2954" s="8">
        <f>1357*9.8/1000</f>
        <v>13.2986</v>
      </c>
      <c r="BF2954" s="8">
        <v>102.99</v>
      </c>
      <c r="BG2954" s="8">
        <v>76.22</v>
      </c>
      <c r="BH2954" s="9">
        <f t="shared" si="414"/>
        <v>1469.76</v>
      </c>
      <c r="BI2954" s="9">
        <f t="shared" si="415"/>
        <v>3.98</v>
      </c>
      <c r="BJ2954" s="9">
        <f t="shared" si="416"/>
        <v>6.92</v>
      </c>
      <c r="BK2954" s="9">
        <f t="shared" si="417"/>
        <v>22.08</v>
      </c>
      <c r="BL2954" s="9">
        <f t="shared" si="418"/>
        <v>0</v>
      </c>
      <c r="BM2954" s="9">
        <f t="shared" si="419"/>
        <v>5.89</v>
      </c>
      <c r="BN2954" s="9">
        <f t="shared" si="420"/>
        <v>974.5</v>
      </c>
      <c r="BO2954" s="9">
        <f t="shared" si="421"/>
        <v>16.9786</v>
      </c>
      <c r="BP2954" s="9">
        <f t="shared" si="422"/>
        <v>102.99</v>
      </c>
    </row>
    <row r="2955" spans="1:68">
      <c r="A2955" s="6">
        <v>45076</v>
      </c>
      <c r="B2955" s="7">
        <v>3141</v>
      </c>
      <c r="C2955" s="8">
        <v>2358.52</v>
      </c>
      <c r="D2955" s="8">
        <v>416.21</v>
      </c>
      <c r="E2955" s="8"/>
      <c r="F2955" s="8"/>
      <c r="G2955" s="8"/>
      <c r="H2955" s="8"/>
      <c r="I2955" s="8"/>
      <c r="J2955" s="8"/>
      <c r="K2955" s="8"/>
      <c r="L2955" s="8"/>
      <c r="M2955" s="8">
        <v>6.95</v>
      </c>
      <c r="N2955" s="8"/>
      <c r="O2955" s="8"/>
      <c r="P2955" s="8"/>
      <c r="Q2955" s="11"/>
      <c r="R2955" s="11"/>
      <c r="S2955" s="8">
        <v>13.05</v>
      </c>
      <c r="T2955" s="8"/>
      <c r="U2955" s="8">
        <v>41.64</v>
      </c>
      <c r="V2955" s="8"/>
      <c r="W2955" s="8"/>
      <c r="X2955" s="8"/>
      <c r="Y2955" s="8"/>
      <c r="Z2955" s="8"/>
      <c r="AA2955" s="8"/>
      <c r="AB2955" s="8"/>
      <c r="AC2955" s="8">
        <v>11.11</v>
      </c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11"/>
      <c r="AQ2955" s="8"/>
      <c r="AR2955" s="8"/>
      <c r="AS2955" s="8"/>
      <c r="AT2955" s="8">
        <v>1831.25</v>
      </c>
      <c r="AU2955" s="8"/>
      <c r="AV2955" s="8"/>
      <c r="AW2955" s="8"/>
      <c r="AX2955" s="8"/>
      <c r="AY2955" s="8"/>
      <c r="AZ2955" s="8"/>
      <c r="BA2955" s="8">
        <v>63.61</v>
      </c>
      <c r="BB2955" s="8"/>
      <c r="BC2955" s="8"/>
      <c r="BD2955" s="8"/>
      <c r="BE2955" s="8"/>
      <c r="BF2955" s="8">
        <v>194.12</v>
      </c>
      <c r="BG2955" s="8">
        <v>143.87</v>
      </c>
      <c r="BH2955" s="9">
        <f t="shared" si="414"/>
        <v>2774.73</v>
      </c>
      <c r="BI2955" s="9">
        <f t="shared" si="415"/>
        <v>6.95</v>
      </c>
      <c r="BJ2955" s="9">
        <f t="shared" si="416"/>
        <v>13.05</v>
      </c>
      <c r="BK2955" s="9">
        <f t="shared" si="417"/>
        <v>41.64</v>
      </c>
      <c r="BL2955" s="9">
        <f t="shared" si="418"/>
        <v>0</v>
      </c>
      <c r="BM2955" s="9">
        <f t="shared" si="419"/>
        <v>11.11</v>
      </c>
      <c r="BN2955" s="9">
        <f t="shared" si="420"/>
        <v>1831.25</v>
      </c>
      <c r="BO2955" s="9">
        <f t="shared" si="421"/>
        <v>63.61</v>
      </c>
      <c r="BP2955" s="9">
        <f t="shared" si="422"/>
        <v>194.12</v>
      </c>
    </row>
    <row r="2956" spans="1:68">
      <c r="A2956" s="6">
        <v>45076</v>
      </c>
      <c r="B2956" s="7">
        <v>3144</v>
      </c>
      <c r="C2956" s="8">
        <v>1218.8699999999999</v>
      </c>
      <c r="D2956" s="8">
        <v>214.7</v>
      </c>
      <c r="E2956" s="8"/>
      <c r="F2956" s="8"/>
      <c r="G2956" s="8"/>
      <c r="H2956" s="8"/>
      <c r="I2956" s="8"/>
      <c r="J2956" s="8"/>
      <c r="K2956" s="8"/>
      <c r="L2956" s="8"/>
      <c r="M2956" s="8">
        <v>3.88</v>
      </c>
      <c r="N2956" s="8"/>
      <c r="O2956" s="8"/>
      <c r="P2956" s="8"/>
      <c r="Q2956" s="11"/>
      <c r="R2956" s="11"/>
      <c r="S2956" s="8">
        <v>6.74</v>
      </c>
      <c r="T2956" s="8"/>
      <c r="U2956" s="8">
        <v>21.5</v>
      </c>
      <c r="V2956" s="8"/>
      <c r="W2956" s="8"/>
      <c r="X2956" s="8"/>
      <c r="Y2956" s="8"/>
      <c r="Z2956" s="8"/>
      <c r="AA2956" s="8"/>
      <c r="AB2956" s="8"/>
      <c r="AC2956" s="8">
        <v>5.73</v>
      </c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11">
        <f>1204*9.53/1000</f>
        <v>11.474119999999999</v>
      </c>
      <c r="AQ2956" s="8"/>
      <c r="AR2956" s="8"/>
      <c r="AS2956" s="8"/>
      <c r="AT2956" s="8">
        <v>943.93</v>
      </c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>
        <v>100.31</v>
      </c>
      <c r="BG2956" s="8">
        <v>74.430000000000007</v>
      </c>
      <c r="BH2956" s="9">
        <f t="shared" si="414"/>
        <v>1433.57</v>
      </c>
      <c r="BI2956" s="9">
        <f t="shared" si="415"/>
        <v>3.88</v>
      </c>
      <c r="BJ2956" s="9">
        <f t="shared" si="416"/>
        <v>6.74</v>
      </c>
      <c r="BK2956" s="9">
        <f t="shared" si="417"/>
        <v>21.5</v>
      </c>
      <c r="BL2956" s="9">
        <f t="shared" si="418"/>
        <v>0</v>
      </c>
      <c r="BM2956" s="9">
        <f t="shared" si="419"/>
        <v>17.20412</v>
      </c>
      <c r="BN2956" s="9">
        <f t="shared" si="420"/>
        <v>943.93</v>
      </c>
      <c r="BO2956" s="9">
        <f t="shared" si="421"/>
        <v>0</v>
      </c>
      <c r="BP2956" s="9">
        <f t="shared" si="422"/>
        <v>100.31</v>
      </c>
    </row>
    <row r="2957" spans="1:68">
      <c r="A2957" s="6">
        <v>45076</v>
      </c>
      <c r="B2957" s="7">
        <v>3079</v>
      </c>
      <c r="C2957" s="8"/>
      <c r="D2957" s="8"/>
      <c r="E2957" s="8"/>
      <c r="F2957" s="8">
        <v>344.52</v>
      </c>
      <c r="G2957" s="8"/>
      <c r="H2957" s="8"/>
      <c r="I2957" s="8">
        <v>2787.55</v>
      </c>
      <c r="J2957" s="8"/>
      <c r="K2957" s="8"/>
      <c r="L2957" s="8"/>
      <c r="M2957" s="8"/>
      <c r="N2957" s="8">
        <v>22.88</v>
      </c>
      <c r="O2957" s="8"/>
      <c r="P2957" s="8"/>
      <c r="Q2957" s="11"/>
      <c r="R2957" s="11"/>
      <c r="S2957" s="8">
        <v>1.24</v>
      </c>
      <c r="T2957" s="8"/>
      <c r="U2957" s="8"/>
      <c r="V2957" s="8"/>
      <c r="W2957" s="8">
        <v>31.36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>
        <v>12.5</v>
      </c>
      <c r="AN2957" s="8">
        <f>1750*18.42/1000</f>
        <v>32.235000000000007</v>
      </c>
      <c r="AO2957" s="8"/>
      <c r="AP2957" s="11"/>
      <c r="AQ2957" s="8"/>
      <c r="AR2957" s="8">
        <f>4300*18.42/1000</f>
        <v>79.206000000000017</v>
      </c>
      <c r="AS2957" s="8"/>
      <c r="AT2957" s="8">
        <v>1208.05</v>
      </c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>
        <v>87.26</v>
      </c>
      <c r="BH2957" s="9">
        <f t="shared" si="414"/>
        <v>3132.07</v>
      </c>
      <c r="BI2957" s="9">
        <f t="shared" si="415"/>
        <v>22.88</v>
      </c>
      <c r="BJ2957" s="9">
        <f t="shared" si="416"/>
        <v>1.24</v>
      </c>
      <c r="BK2957" s="9">
        <f t="shared" si="417"/>
        <v>31.36</v>
      </c>
      <c r="BL2957" s="9">
        <f t="shared" si="418"/>
        <v>0</v>
      </c>
      <c r="BM2957" s="9">
        <f t="shared" si="419"/>
        <v>123.94100000000003</v>
      </c>
      <c r="BN2957" s="9">
        <f t="shared" si="420"/>
        <v>1208.05</v>
      </c>
      <c r="BO2957" s="9">
        <f t="shared" si="421"/>
        <v>0</v>
      </c>
      <c r="BP2957" s="9">
        <f t="shared" si="422"/>
        <v>0</v>
      </c>
    </row>
    <row r="2958" spans="1:68">
      <c r="A2958" s="6">
        <v>45076</v>
      </c>
      <c r="B2958" s="7">
        <v>3028</v>
      </c>
      <c r="C2958" s="8"/>
      <c r="D2958" s="8">
        <v>414.22</v>
      </c>
      <c r="E2958" s="8"/>
      <c r="F2958" s="8">
        <v>383.93</v>
      </c>
      <c r="G2958" s="8"/>
      <c r="H2958" s="8"/>
      <c r="I2958" s="8">
        <v>865.42</v>
      </c>
      <c r="J2958" s="8"/>
      <c r="K2958" s="8"/>
      <c r="L2958" s="8"/>
      <c r="M2958" s="8"/>
      <c r="N2958" s="8">
        <v>12.8</v>
      </c>
      <c r="O2958" s="8"/>
      <c r="P2958" s="8"/>
      <c r="Q2958" s="11"/>
      <c r="R2958" s="11"/>
      <c r="S2958" s="8">
        <v>2.3199999999999998</v>
      </c>
      <c r="T2958" s="8"/>
      <c r="U2958" s="8"/>
      <c r="V2958" s="8"/>
      <c r="W2958" s="8">
        <v>12.53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>
        <v>16.63</v>
      </c>
      <c r="AN2958" s="8">
        <f>1052*11.08/1000</f>
        <v>11.65616</v>
      </c>
      <c r="AO2958" s="8"/>
      <c r="AP2958" s="11"/>
      <c r="AQ2958" s="8"/>
      <c r="AR2958" s="8"/>
      <c r="AS2958" s="8">
        <f>4984*11.08/1000</f>
        <v>55.222720000000002</v>
      </c>
      <c r="AT2958" s="8">
        <v>553.70000000000005</v>
      </c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>
        <v>37.96</v>
      </c>
      <c r="BH2958" s="9">
        <f t="shared" si="414"/>
        <v>1663.5700000000002</v>
      </c>
      <c r="BI2958" s="9">
        <f t="shared" si="415"/>
        <v>12.8</v>
      </c>
      <c r="BJ2958" s="9">
        <f t="shared" si="416"/>
        <v>2.3199999999999998</v>
      </c>
      <c r="BK2958" s="9">
        <f t="shared" si="417"/>
        <v>12.53</v>
      </c>
      <c r="BL2958" s="9">
        <f t="shared" si="418"/>
        <v>0</v>
      </c>
      <c r="BM2958" s="9">
        <f t="shared" si="419"/>
        <v>83.508880000000005</v>
      </c>
      <c r="BN2958" s="9">
        <f t="shared" si="420"/>
        <v>553.70000000000005</v>
      </c>
      <c r="BO2958" s="9">
        <f t="shared" si="421"/>
        <v>0</v>
      </c>
      <c r="BP2958" s="9">
        <f t="shared" si="422"/>
        <v>0</v>
      </c>
    </row>
    <row r="2959" spans="1:68">
      <c r="A2959" s="6">
        <v>45076</v>
      </c>
      <c r="B2959" s="7">
        <v>3024</v>
      </c>
      <c r="C2959" s="8"/>
      <c r="D2959" s="8">
        <v>357.89</v>
      </c>
      <c r="E2959" s="8"/>
      <c r="F2959" s="8"/>
      <c r="G2959" s="8"/>
      <c r="H2959" s="8"/>
      <c r="I2959" s="8">
        <v>355.87</v>
      </c>
      <c r="J2959" s="8"/>
      <c r="K2959" s="8"/>
      <c r="L2959" s="8"/>
      <c r="M2959" s="8"/>
      <c r="N2959" s="8">
        <v>4.32</v>
      </c>
      <c r="O2959" s="8"/>
      <c r="P2959" s="8"/>
      <c r="Q2959" s="11"/>
      <c r="R2959" s="11"/>
      <c r="S2959" s="8">
        <v>1.1499999999999999</v>
      </c>
      <c r="T2959" s="8"/>
      <c r="U2959" s="8"/>
      <c r="V2959" s="8"/>
      <c r="W2959" s="8">
        <v>5.72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>
        <v>7.18</v>
      </c>
      <c r="AN2959" s="8">
        <f>837*5.98/1000</f>
        <v>5.0052599999999998</v>
      </c>
      <c r="AO2959" s="8"/>
      <c r="AP2959" s="11"/>
      <c r="AQ2959" s="8"/>
      <c r="AR2959" s="8"/>
      <c r="AS2959" s="8">
        <f>3946*5.98/1000</f>
        <v>23.597080000000002</v>
      </c>
      <c r="AT2959" s="8">
        <v>276.58999999999997</v>
      </c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>
        <v>20.09</v>
      </c>
      <c r="BH2959" s="9">
        <f t="shared" si="414"/>
        <v>713.76</v>
      </c>
      <c r="BI2959" s="9">
        <f t="shared" si="415"/>
        <v>4.32</v>
      </c>
      <c r="BJ2959" s="9">
        <f t="shared" si="416"/>
        <v>1.1499999999999999</v>
      </c>
      <c r="BK2959" s="9">
        <f t="shared" si="417"/>
        <v>5.72</v>
      </c>
      <c r="BL2959" s="9">
        <f t="shared" si="418"/>
        <v>0</v>
      </c>
      <c r="BM2959" s="9">
        <f t="shared" si="419"/>
        <v>35.782340000000005</v>
      </c>
      <c r="BN2959" s="9">
        <f t="shared" si="420"/>
        <v>276.58999999999997</v>
      </c>
      <c r="BO2959" s="9">
        <f t="shared" si="421"/>
        <v>0</v>
      </c>
      <c r="BP2959" s="9">
        <f t="shared" si="422"/>
        <v>0</v>
      </c>
    </row>
    <row r="2960" spans="1:68">
      <c r="A2960" s="6">
        <v>45079</v>
      </c>
      <c r="B2960" s="7">
        <v>3201</v>
      </c>
      <c r="C2960" s="8">
        <v>1175.8499999999999</v>
      </c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>
        <v>2.94</v>
      </c>
      <c r="P2960" s="8"/>
      <c r="Q2960" s="11"/>
      <c r="R2960" s="11"/>
      <c r="S2960" s="8">
        <v>4.47</v>
      </c>
      <c r="T2960" s="8"/>
      <c r="U2960" s="8">
        <v>17.64</v>
      </c>
      <c r="V2960" s="8"/>
      <c r="W2960" s="8"/>
      <c r="X2960" s="8"/>
      <c r="Y2960" s="8"/>
      <c r="Z2960" s="8">
        <v>247.18</v>
      </c>
      <c r="AA2960" s="8"/>
      <c r="AB2960" s="8"/>
      <c r="AC2960" s="8"/>
      <c r="AD2960" s="8"/>
      <c r="AE2960" s="8"/>
      <c r="AF2960" s="8">
        <v>58.88</v>
      </c>
      <c r="AG2960" s="8"/>
      <c r="AH2960" s="8"/>
      <c r="AI2960" s="8"/>
      <c r="AJ2960" s="8"/>
      <c r="AK2960" s="8"/>
      <c r="AL2960" s="8"/>
      <c r="AM2960" s="8"/>
      <c r="AN2960" s="8"/>
      <c r="AO2960" s="8"/>
      <c r="AP2960" s="11"/>
      <c r="AQ2960" s="8">
        <f>1488*11.75/1000</f>
        <v>17.484000000000002</v>
      </c>
      <c r="AR2960" s="8"/>
      <c r="AS2960" s="8"/>
      <c r="AT2960" s="8">
        <v>807.3</v>
      </c>
      <c r="AU2960" s="8"/>
      <c r="AV2960" s="8"/>
      <c r="AW2960" s="8"/>
      <c r="AX2960" s="8"/>
      <c r="AY2960" s="8"/>
      <c r="AZ2960" s="8"/>
      <c r="BA2960" s="8"/>
      <c r="BB2960" s="8"/>
      <c r="BC2960" s="8">
        <v>3.06</v>
      </c>
      <c r="BD2960" s="8"/>
      <c r="BE2960" s="8"/>
      <c r="BF2960" s="8">
        <v>56.49</v>
      </c>
      <c r="BG2960" s="8">
        <v>57.97</v>
      </c>
      <c r="BH2960" s="9">
        <f t="shared" si="414"/>
        <v>1175.8499999999999</v>
      </c>
      <c r="BI2960" s="9">
        <f t="shared" si="415"/>
        <v>2.94</v>
      </c>
      <c r="BJ2960" s="9">
        <f t="shared" si="416"/>
        <v>4.47</v>
      </c>
      <c r="BK2960" s="9">
        <f t="shared" si="417"/>
        <v>17.64</v>
      </c>
      <c r="BL2960" s="9">
        <f t="shared" si="418"/>
        <v>247.18</v>
      </c>
      <c r="BM2960" s="9">
        <f t="shared" si="419"/>
        <v>76.364000000000004</v>
      </c>
      <c r="BN2960" s="9">
        <f t="shared" si="420"/>
        <v>807.3</v>
      </c>
      <c r="BO2960" s="9">
        <f t="shared" si="421"/>
        <v>3.06</v>
      </c>
      <c r="BP2960" s="9">
        <f t="shared" si="422"/>
        <v>56.49</v>
      </c>
    </row>
    <row r="2961" spans="1:68">
      <c r="A2961" s="6">
        <v>45079</v>
      </c>
      <c r="B2961" s="7">
        <v>3016</v>
      </c>
      <c r="C2961" s="8"/>
      <c r="D2961" s="8">
        <v>1606.23</v>
      </c>
      <c r="E2961" s="8"/>
      <c r="F2961" s="8"/>
      <c r="G2961" s="8"/>
      <c r="H2961" s="8"/>
      <c r="I2961" s="8">
        <v>1485.5</v>
      </c>
      <c r="J2961" s="8"/>
      <c r="K2961" s="8"/>
      <c r="L2961" s="8"/>
      <c r="M2961" s="8"/>
      <c r="N2961" s="8">
        <v>19.170000000000002</v>
      </c>
      <c r="O2961" s="8"/>
      <c r="P2961" s="8"/>
      <c r="Q2961" s="11"/>
      <c r="R2961" s="11"/>
      <c r="S2961" s="8">
        <v>2.16</v>
      </c>
      <c r="T2961" s="8"/>
      <c r="U2961" s="8"/>
      <c r="V2961" s="8"/>
      <c r="W2961" s="8">
        <v>30.92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>
        <v>12.37</v>
      </c>
      <c r="AN2961" s="8">
        <f>2045*18.2/1000</f>
        <v>37.219000000000001</v>
      </c>
      <c r="AO2961" s="8"/>
      <c r="AP2961" s="11"/>
      <c r="AQ2961" s="8"/>
      <c r="AR2961" s="8">
        <f>4246*18.2/1000</f>
        <v>77.277199999999993</v>
      </c>
      <c r="AS2961" s="8"/>
      <c r="AT2961" s="8">
        <v>1148.8499999999999</v>
      </c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>
        <v>84.06</v>
      </c>
      <c r="BH2961" s="9">
        <f t="shared" si="414"/>
        <v>3091.73</v>
      </c>
      <c r="BI2961" s="9">
        <f t="shared" si="415"/>
        <v>19.170000000000002</v>
      </c>
      <c r="BJ2961" s="9">
        <f t="shared" si="416"/>
        <v>2.16</v>
      </c>
      <c r="BK2961" s="9">
        <f t="shared" si="417"/>
        <v>30.92</v>
      </c>
      <c r="BL2961" s="9">
        <f t="shared" si="418"/>
        <v>0</v>
      </c>
      <c r="BM2961" s="9">
        <f t="shared" si="419"/>
        <v>126.86619999999999</v>
      </c>
      <c r="BN2961" s="9">
        <f t="shared" si="420"/>
        <v>1148.8499999999999</v>
      </c>
      <c r="BO2961" s="9">
        <f t="shared" si="421"/>
        <v>0</v>
      </c>
      <c r="BP2961" s="9">
        <f t="shared" si="422"/>
        <v>0</v>
      </c>
    </row>
    <row r="2962" spans="1:68">
      <c r="A2962" s="6">
        <v>45079</v>
      </c>
      <c r="B2962" s="7">
        <v>3083</v>
      </c>
      <c r="C2962" s="8"/>
      <c r="D2962" s="8">
        <v>741.73</v>
      </c>
      <c r="E2962" s="8"/>
      <c r="F2962" s="8"/>
      <c r="G2962" s="8"/>
      <c r="H2962" s="8"/>
      <c r="I2962" s="8">
        <v>1726.28</v>
      </c>
      <c r="J2962" s="8"/>
      <c r="K2962" s="8"/>
      <c r="L2962" s="8"/>
      <c r="M2962" s="8"/>
      <c r="N2962" s="8">
        <v>16.05</v>
      </c>
      <c r="O2962" s="8"/>
      <c r="P2962" s="8"/>
      <c r="Q2962" s="11"/>
      <c r="R2962" s="11"/>
      <c r="S2962" s="8">
        <v>1.72</v>
      </c>
      <c r="T2962" s="8"/>
      <c r="U2962" s="8"/>
      <c r="V2962" s="8"/>
      <c r="W2962" s="8">
        <v>19.739999999999998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>
        <v>9.81</v>
      </c>
      <c r="AN2962" s="8">
        <f>1900*18.27/1000</f>
        <v>34.713000000000001</v>
      </c>
      <c r="AO2962" s="8"/>
      <c r="AP2962" s="11"/>
      <c r="AQ2962" s="8"/>
      <c r="AR2962" s="8">
        <f>3441*18.27/1000</f>
        <v>62.867069999999998</v>
      </c>
      <c r="AS2962" s="8"/>
      <c r="AT2962" s="8">
        <v>1160.19</v>
      </c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>
        <v>92.31</v>
      </c>
      <c r="BH2962" s="9">
        <f t="shared" si="414"/>
        <v>2468.0100000000002</v>
      </c>
      <c r="BI2962" s="9">
        <f t="shared" si="415"/>
        <v>16.05</v>
      </c>
      <c r="BJ2962" s="9">
        <f t="shared" si="416"/>
        <v>1.72</v>
      </c>
      <c r="BK2962" s="9">
        <f t="shared" si="417"/>
        <v>19.739999999999998</v>
      </c>
      <c r="BL2962" s="9">
        <f t="shared" si="418"/>
        <v>0</v>
      </c>
      <c r="BM2962" s="9">
        <f t="shared" si="419"/>
        <v>107.39007000000001</v>
      </c>
      <c r="BN2962" s="9">
        <f t="shared" si="420"/>
        <v>1160.19</v>
      </c>
      <c r="BO2962" s="9">
        <f t="shared" si="421"/>
        <v>0</v>
      </c>
      <c r="BP2962" s="9">
        <f t="shared" si="422"/>
        <v>0</v>
      </c>
    </row>
    <row r="2963" spans="1:68">
      <c r="A2963" s="6">
        <v>45079</v>
      </c>
      <c r="B2963" s="7">
        <v>3021</v>
      </c>
      <c r="C2963" s="8"/>
      <c r="D2963" s="8">
        <v>208.54</v>
      </c>
      <c r="E2963" s="8"/>
      <c r="F2963" s="8"/>
      <c r="G2963" s="8"/>
      <c r="H2963" s="8"/>
      <c r="I2963" s="8">
        <v>385.88</v>
      </c>
      <c r="J2963" s="8"/>
      <c r="K2963" s="8"/>
      <c r="L2963" s="8"/>
      <c r="M2963" s="8"/>
      <c r="N2963" s="8">
        <v>3.15</v>
      </c>
      <c r="O2963" s="8"/>
      <c r="P2963" s="8"/>
      <c r="Q2963" s="11"/>
      <c r="R2963" s="11"/>
      <c r="S2963" s="8">
        <v>1.07</v>
      </c>
      <c r="T2963" s="8"/>
      <c r="U2963" s="8"/>
      <c r="V2963" s="8"/>
      <c r="W2963" s="8">
        <v>5.94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>
        <v>5.93</v>
      </c>
      <c r="AN2963" s="8"/>
      <c r="AO2963" s="8"/>
      <c r="AP2963" s="11"/>
      <c r="AQ2963" s="8"/>
      <c r="AR2963" s="8"/>
      <c r="AS2963" s="8">
        <f>2672*5.63/1000</f>
        <v>15.04336</v>
      </c>
      <c r="AT2963" s="8">
        <v>279.63</v>
      </c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>
        <v>21.06</v>
      </c>
      <c r="BH2963" s="9">
        <f t="shared" si="414"/>
        <v>594.41999999999996</v>
      </c>
      <c r="BI2963" s="9">
        <f t="shared" si="415"/>
        <v>3.15</v>
      </c>
      <c r="BJ2963" s="9">
        <f t="shared" si="416"/>
        <v>1.07</v>
      </c>
      <c r="BK2963" s="9">
        <f t="shared" si="417"/>
        <v>5.94</v>
      </c>
      <c r="BL2963" s="9">
        <f t="shared" si="418"/>
        <v>0</v>
      </c>
      <c r="BM2963" s="9">
        <f t="shared" si="419"/>
        <v>20.97336</v>
      </c>
      <c r="BN2963" s="9">
        <f t="shared" si="420"/>
        <v>279.63</v>
      </c>
      <c r="BO2963" s="9">
        <f t="shared" si="421"/>
        <v>0</v>
      </c>
      <c r="BP2963" s="9">
        <f t="shared" si="422"/>
        <v>0</v>
      </c>
    </row>
    <row r="2964" spans="1:68">
      <c r="A2964" s="6">
        <v>45079</v>
      </c>
      <c r="B2964" s="7">
        <v>3022</v>
      </c>
      <c r="C2964" s="8"/>
      <c r="D2964" s="8">
        <v>580.69000000000005</v>
      </c>
      <c r="E2964" s="8"/>
      <c r="F2964" s="8"/>
      <c r="G2964" s="8"/>
      <c r="H2964" s="8"/>
      <c r="I2964" s="8">
        <v>475.24</v>
      </c>
      <c r="J2964" s="8"/>
      <c r="K2964" s="8"/>
      <c r="L2964" s="8"/>
      <c r="M2964" s="8"/>
      <c r="N2964" s="8">
        <v>5.28</v>
      </c>
      <c r="O2964" s="8"/>
      <c r="P2964" s="8"/>
      <c r="Q2964" s="11"/>
      <c r="R2964" s="11"/>
      <c r="S2964" s="8">
        <v>1.9</v>
      </c>
      <c r="T2964" s="8"/>
      <c r="U2964" s="8"/>
      <c r="V2964" s="8"/>
      <c r="W2964" s="8">
        <v>10.57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>
        <v>13.7</v>
      </c>
      <c r="AN2964" s="8"/>
      <c r="AO2964" s="8"/>
      <c r="AP2964" s="11"/>
      <c r="AQ2964" s="8"/>
      <c r="AR2964" s="8"/>
      <c r="AS2964" s="8">
        <f>3844*9.6/1000</f>
        <v>36.9024</v>
      </c>
      <c r="AT2964" s="8">
        <v>493.22</v>
      </c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>
        <v>37.99</v>
      </c>
      <c r="BH2964" s="9">
        <f t="shared" si="414"/>
        <v>1055.93</v>
      </c>
      <c r="BI2964" s="9">
        <f t="shared" si="415"/>
        <v>5.28</v>
      </c>
      <c r="BJ2964" s="9">
        <f t="shared" si="416"/>
        <v>1.9</v>
      </c>
      <c r="BK2964" s="9">
        <f t="shared" si="417"/>
        <v>10.57</v>
      </c>
      <c r="BL2964" s="9">
        <f t="shared" si="418"/>
        <v>0</v>
      </c>
      <c r="BM2964" s="9">
        <f t="shared" si="419"/>
        <v>50.602400000000003</v>
      </c>
      <c r="BN2964" s="9">
        <f t="shared" si="420"/>
        <v>493.22</v>
      </c>
      <c r="BO2964" s="9">
        <f t="shared" si="421"/>
        <v>0</v>
      </c>
      <c r="BP2964" s="9">
        <f t="shared" si="422"/>
        <v>0</v>
      </c>
    </row>
    <row r="2965" spans="1:68">
      <c r="A2965" s="6">
        <v>45079</v>
      </c>
      <c r="B2965" s="7">
        <v>3027</v>
      </c>
      <c r="C2965" s="8"/>
      <c r="D2965" s="8">
        <f>124.4+323.41</f>
        <v>447.81000000000006</v>
      </c>
      <c r="E2965" s="8"/>
      <c r="F2965" s="8"/>
      <c r="G2965" s="8"/>
      <c r="H2965" s="8"/>
      <c r="I2965" s="8">
        <f>101.3+265</f>
        <v>366.3</v>
      </c>
      <c r="J2965" s="8"/>
      <c r="K2965" s="8"/>
      <c r="L2965" s="8"/>
      <c r="M2965" s="8"/>
      <c r="N2965" s="8">
        <f>1.31+3.29</f>
        <v>4.5999999999999996</v>
      </c>
      <c r="O2965" s="8"/>
      <c r="P2965" s="8"/>
      <c r="Q2965" s="11"/>
      <c r="R2965" s="11"/>
      <c r="S2965" s="8">
        <f>0.36+0.94</f>
        <v>1.2999999999999998</v>
      </c>
      <c r="T2965" s="8"/>
      <c r="U2965" s="8"/>
      <c r="V2965" s="8"/>
      <c r="W2965" s="8">
        <f>1.7+4.42</f>
        <v>6.12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>
        <f>2.25+5.88</f>
        <v>8.129999999999999</v>
      </c>
      <c r="AN2965" s="8">
        <f>1234*4.63/1000</f>
        <v>5.7134200000000002</v>
      </c>
      <c r="AO2965" s="8"/>
      <c r="AP2965" s="11"/>
      <c r="AQ2965" s="8"/>
      <c r="AR2965" s="8"/>
      <c r="AS2965" s="8">
        <f>1234*4.63/1000</f>
        <v>5.7134200000000002</v>
      </c>
      <c r="AT2965" s="8">
        <f>75.29+196.11</f>
        <v>271.40000000000003</v>
      </c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>
        <f>5.34+13.9</f>
        <v>19.240000000000002</v>
      </c>
      <c r="BH2965" s="9">
        <f t="shared" si="414"/>
        <v>814.11000000000013</v>
      </c>
      <c r="BI2965" s="9">
        <f t="shared" si="415"/>
        <v>4.5999999999999996</v>
      </c>
      <c r="BJ2965" s="9">
        <f t="shared" si="416"/>
        <v>1.2999999999999998</v>
      </c>
      <c r="BK2965" s="9">
        <f t="shared" si="417"/>
        <v>6.12</v>
      </c>
      <c r="BL2965" s="9">
        <f t="shared" si="418"/>
        <v>0</v>
      </c>
      <c r="BM2965" s="9">
        <f t="shared" si="419"/>
        <v>19.556839999999998</v>
      </c>
      <c r="BN2965" s="9">
        <f t="shared" si="420"/>
        <v>271.40000000000003</v>
      </c>
      <c r="BO2965" s="9">
        <f t="shared" si="421"/>
        <v>0</v>
      </c>
      <c r="BP2965" s="9">
        <f t="shared" si="422"/>
        <v>0</v>
      </c>
    </row>
    <row r="2966" spans="1:68">
      <c r="A2966" s="6">
        <v>45079</v>
      </c>
      <c r="B2966" s="7">
        <v>3601</v>
      </c>
      <c r="C2966" s="8">
        <v>291.82</v>
      </c>
      <c r="D2966" s="8"/>
      <c r="E2966" s="8"/>
      <c r="F2966" s="8"/>
      <c r="G2966" s="8">
        <v>439.61</v>
      </c>
      <c r="H2966" s="8"/>
      <c r="I2966" s="8"/>
      <c r="J2966" s="8"/>
      <c r="K2966" s="8"/>
      <c r="L2966" s="8"/>
      <c r="M2966" s="8">
        <v>0.86</v>
      </c>
      <c r="N2966" s="8"/>
      <c r="O2966" s="8"/>
      <c r="P2966" s="8"/>
      <c r="Q2966" s="11"/>
      <c r="R2966" s="11"/>
      <c r="S2966" s="8">
        <v>3.53</v>
      </c>
      <c r="T2966" s="8"/>
      <c r="U2966" s="8">
        <v>4.42</v>
      </c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11"/>
      <c r="AQ2966" s="8"/>
      <c r="AR2966" s="8"/>
      <c r="AS2966" s="8"/>
      <c r="AT2966" s="8">
        <v>360.04</v>
      </c>
      <c r="AU2966" s="8"/>
      <c r="AV2966" s="8"/>
      <c r="AW2966" s="8">
        <v>22.35</v>
      </c>
      <c r="AX2966" s="8"/>
      <c r="AY2966" s="8"/>
      <c r="AZ2966" s="8"/>
      <c r="BA2966" s="8"/>
      <c r="BB2966" s="8"/>
      <c r="BC2966" s="8"/>
      <c r="BD2966" s="8"/>
      <c r="BE2966" s="8"/>
      <c r="BF2966" s="8">
        <v>41.21</v>
      </c>
      <c r="BG2966" s="8">
        <v>26.26</v>
      </c>
      <c r="BH2966" s="9">
        <f t="shared" si="414"/>
        <v>731.43000000000006</v>
      </c>
      <c r="BI2966" s="9">
        <f t="shared" si="415"/>
        <v>0.86</v>
      </c>
      <c r="BJ2966" s="9">
        <f t="shared" si="416"/>
        <v>3.53</v>
      </c>
      <c r="BK2966" s="9">
        <f t="shared" si="417"/>
        <v>4.42</v>
      </c>
      <c r="BL2966" s="9">
        <f t="shared" si="418"/>
        <v>0</v>
      </c>
      <c r="BM2966" s="9">
        <f t="shared" si="419"/>
        <v>0</v>
      </c>
      <c r="BN2966" s="9">
        <f t="shared" si="420"/>
        <v>360.04</v>
      </c>
      <c r="BO2966" s="9">
        <f t="shared" si="421"/>
        <v>22.35</v>
      </c>
      <c r="BP2966" s="9">
        <f t="shared" si="422"/>
        <v>41.21</v>
      </c>
    </row>
    <row r="2967" spans="1:68">
      <c r="A2967" s="6">
        <v>45079</v>
      </c>
      <c r="B2967" s="7">
        <v>3106</v>
      </c>
      <c r="C2967" s="8">
        <v>8108.83</v>
      </c>
      <c r="D2967" s="8"/>
      <c r="E2967" s="8"/>
      <c r="F2967" s="8"/>
      <c r="G2967" s="8"/>
      <c r="H2967" s="8"/>
      <c r="I2967" s="8"/>
      <c r="J2967" s="8"/>
      <c r="K2967" s="8"/>
      <c r="L2967" s="8"/>
      <c r="M2967" s="8">
        <v>21.42</v>
      </c>
      <c r="N2967" s="8"/>
      <c r="O2967" s="8"/>
      <c r="P2967" s="8"/>
      <c r="Q2967" s="11"/>
      <c r="R2967" s="11"/>
      <c r="S2967" s="8">
        <v>24.36</v>
      </c>
      <c r="T2967" s="8"/>
      <c r="U2967" s="8">
        <v>103.12</v>
      </c>
      <c r="V2967" s="8"/>
      <c r="W2967" s="8"/>
      <c r="X2967" s="8"/>
      <c r="Y2967" s="8"/>
      <c r="Z2967" s="8"/>
      <c r="AA2967" s="8"/>
      <c r="AB2967" s="8"/>
      <c r="AC2967" s="8">
        <v>20.27</v>
      </c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11"/>
      <c r="AQ2967" s="8"/>
      <c r="AR2967" s="8"/>
      <c r="AS2967" s="8"/>
      <c r="AT2967" s="8">
        <v>4615.17</v>
      </c>
      <c r="AU2967" s="8"/>
      <c r="AV2967" s="8"/>
      <c r="AW2967" s="8"/>
      <c r="AX2967" s="8">
        <v>10.14</v>
      </c>
      <c r="AY2967" s="8"/>
      <c r="AZ2967" s="8"/>
      <c r="BA2967" s="8"/>
      <c r="BB2967" s="8"/>
      <c r="BC2967" s="8"/>
      <c r="BD2967" s="8"/>
      <c r="BE2967" s="8"/>
      <c r="BF2967" s="8"/>
      <c r="BG2967" s="8">
        <v>348.6</v>
      </c>
      <c r="BH2967" s="9">
        <f t="shared" si="414"/>
        <v>8108.83</v>
      </c>
      <c r="BI2967" s="9">
        <f t="shared" si="415"/>
        <v>21.42</v>
      </c>
      <c r="BJ2967" s="9">
        <f t="shared" si="416"/>
        <v>24.36</v>
      </c>
      <c r="BK2967" s="9">
        <f t="shared" si="417"/>
        <v>103.12</v>
      </c>
      <c r="BL2967" s="9">
        <f t="shared" si="418"/>
        <v>0</v>
      </c>
      <c r="BM2967" s="9">
        <f t="shared" si="419"/>
        <v>20.27</v>
      </c>
      <c r="BN2967" s="9">
        <f t="shared" si="420"/>
        <v>4615.17</v>
      </c>
      <c r="BO2967" s="9">
        <f t="shared" si="421"/>
        <v>10.14</v>
      </c>
      <c r="BP2967" s="9">
        <f t="shared" si="422"/>
        <v>0</v>
      </c>
    </row>
    <row r="2968" spans="1:68">
      <c r="A2968" s="6">
        <v>45079</v>
      </c>
      <c r="B2968" s="7">
        <v>3136</v>
      </c>
      <c r="C2968" s="8">
        <v>1253.9000000000001</v>
      </c>
      <c r="D2968" s="8"/>
      <c r="E2968" s="8"/>
      <c r="F2968" s="8"/>
      <c r="G2968" s="8"/>
      <c r="H2968" s="8">
        <v>519.96</v>
      </c>
      <c r="I2968" s="8"/>
      <c r="J2968" s="8"/>
      <c r="K2968" s="8"/>
      <c r="L2968" s="8"/>
      <c r="M2968" s="8">
        <v>1.64</v>
      </c>
      <c r="N2968" s="8"/>
      <c r="O2968" s="8"/>
      <c r="P2968" s="8"/>
      <c r="Q2968" s="11"/>
      <c r="R2968" s="11"/>
      <c r="S2968" s="8">
        <v>7</v>
      </c>
      <c r="T2968" s="8"/>
      <c r="U2968" s="8">
        <v>20.04</v>
      </c>
      <c r="V2968" s="8"/>
      <c r="W2968" s="8"/>
      <c r="X2968" s="8"/>
      <c r="Y2968" s="8"/>
      <c r="Z2968" s="8"/>
      <c r="AA2968" s="8"/>
      <c r="AB2968" s="8"/>
      <c r="AC2968" s="8">
        <v>6.16</v>
      </c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11"/>
      <c r="AQ2968" s="8"/>
      <c r="AR2968" s="8"/>
      <c r="AS2968" s="8"/>
      <c r="AT2968" s="8">
        <v>1001.82</v>
      </c>
      <c r="AU2968" s="8"/>
      <c r="AV2968" s="8"/>
      <c r="AW2968" s="8"/>
      <c r="AX2968" s="8"/>
      <c r="AY2968" s="8"/>
      <c r="AZ2968" s="8"/>
      <c r="BA2968" s="8">
        <v>15.29</v>
      </c>
      <c r="BB2968" s="8"/>
      <c r="BC2968" s="8"/>
      <c r="BD2968" s="8"/>
      <c r="BE2968" s="8"/>
      <c r="BF2968" s="8">
        <v>61.76</v>
      </c>
      <c r="BG2968" s="8">
        <v>75.540000000000006</v>
      </c>
      <c r="BH2968" s="9">
        <f t="shared" si="414"/>
        <v>1773.8600000000001</v>
      </c>
      <c r="BI2968" s="9">
        <f t="shared" si="415"/>
        <v>1.64</v>
      </c>
      <c r="BJ2968" s="9">
        <f t="shared" si="416"/>
        <v>7</v>
      </c>
      <c r="BK2968" s="9">
        <f t="shared" si="417"/>
        <v>20.04</v>
      </c>
      <c r="BL2968" s="9">
        <f t="shared" si="418"/>
        <v>0</v>
      </c>
      <c r="BM2968" s="9">
        <f t="shared" si="419"/>
        <v>6.16</v>
      </c>
      <c r="BN2968" s="9">
        <f t="shared" si="420"/>
        <v>1001.82</v>
      </c>
      <c r="BO2968" s="9">
        <f t="shared" si="421"/>
        <v>15.29</v>
      </c>
      <c r="BP2968" s="9">
        <f t="shared" si="422"/>
        <v>61.76</v>
      </c>
    </row>
    <row r="2969" spans="1:68">
      <c r="A2969" s="6">
        <v>45079</v>
      </c>
      <c r="B2969" s="7">
        <v>3141</v>
      </c>
      <c r="C2969" s="8">
        <v>2425.36</v>
      </c>
      <c r="D2969" s="8">
        <v>427.89</v>
      </c>
      <c r="E2969" s="8"/>
      <c r="F2969" s="8"/>
      <c r="G2969" s="8"/>
      <c r="H2969" s="8"/>
      <c r="I2969" s="8"/>
      <c r="J2969" s="8"/>
      <c r="K2969" s="8"/>
      <c r="L2969" s="8"/>
      <c r="M2969" s="8">
        <v>8.1</v>
      </c>
      <c r="N2969" s="8"/>
      <c r="O2969" s="8"/>
      <c r="P2969" s="8"/>
      <c r="Q2969" s="11"/>
      <c r="R2969" s="11"/>
      <c r="S2969" s="8">
        <v>13.42</v>
      </c>
      <c r="T2969" s="8"/>
      <c r="U2969" s="8">
        <v>42.83</v>
      </c>
      <c r="V2969" s="8"/>
      <c r="W2969" s="8"/>
      <c r="X2969" s="8"/>
      <c r="Y2969" s="8"/>
      <c r="Z2969" s="8"/>
      <c r="AA2969" s="8"/>
      <c r="AB2969" s="8"/>
      <c r="AC2969" s="8">
        <v>11.42</v>
      </c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11"/>
      <c r="AQ2969" s="8"/>
      <c r="AR2969" s="8"/>
      <c r="AS2969" s="8"/>
      <c r="AT2969" s="8">
        <v>1885.78</v>
      </c>
      <c r="AU2969" s="8"/>
      <c r="AV2969" s="8"/>
      <c r="AW2969" s="8"/>
      <c r="AX2969" s="8"/>
      <c r="AY2969" s="8"/>
      <c r="AZ2969" s="8"/>
      <c r="BA2969" s="8">
        <v>65.45</v>
      </c>
      <c r="BB2969" s="8"/>
      <c r="BC2969" s="8"/>
      <c r="BD2969" s="8"/>
      <c r="BE2969" s="8"/>
      <c r="BF2969" s="8">
        <v>199.89</v>
      </c>
      <c r="BG2969" s="8">
        <v>148.5</v>
      </c>
      <c r="BH2969" s="9">
        <f t="shared" si="414"/>
        <v>2853.25</v>
      </c>
      <c r="BI2969" s="9">
        <f t="shared" si="415"/>
        <v>8.1</v>
      </c>
      <c r="BJ2969" s="9">
        <f t="shared" si="416"/>
        <v>13.42</v>
      </c>
      <c r="BK2969" s="9">
        <f t="shared" si="417"/>
        <v>42.83</v>
      </c>
      <c r="BL2969" s="9">
        <f t="shared" si="418"/>
        <v>0</v>
      </c>
      <c r="BM2969" s="9">
        <f t="shared" si="419"/>
        <v>11.42</v>
      </c>
      <c r="BN2969" s="9">
        <f t="shared" si="420"/>
        <v>1885.78</v>
      </c>
      <c r="BO2969" s="9">
        <f t="shared" si="421"/>
        <v>65.45</v>
      </c>
      <c r="BP2969" s="9">
        <f t="shared" si="422"/>
        <v>199.89</v>
      </c>
    </row>
    <row r="2970" spans="1:68">
      <c r="A2970" s="6">
        <v>45082</v>
      </c>
      <c r="B2970" s="7">
        <v>3802</v>
      </c>
      <c r="C2970" s="8">
        <v>242.79</v>
      </c>
      <c r="D2970" s="8"/>
      <c r="E2970" s="8"/>
      <c r="F2970" s="8"/>
      <c r="G2970" s="8"/>
      <c r="H2970" s="8"/>
      <c r="I2970" s="8"/>
      <c r="J2970" s="8"/>
      <c r="K2970" s="8"/>
      <c r="L2970" s="8">
        <f>40793*5.07/1000</f>
        <v>206.82051000000001</v>
      </c>
      <c r="M2970" s="8"/>
      <c r="N2970" s="8">
        <v>0.64</v>
      </c>
      <c r="O2970" s="8"/>
      <c r="P2970" s="8"/>
      <c r="Q2970" s="11"/>
      <c r="R2970" s="11"/>
      <c r="S2970" s="8">
        <v>1.77</v>
      </c>
      <c r="T2970" s="8"/>
      <c r="U2970" s="8">
        <v>3.54</v>
      </c>
      <c r="V2970" s="8"/>
      <c r="W2970" s="8"/>
      <c r="X2970" s="8"/>
      <c r="Y2970" s="8"/>
      <c r="Z2970" s="8">
        <v>53.17</v>
      </c>
      <c r="AA2970" s="8">
        <f>3555*5.07/1000</f>
        <v>18.023850000000003</v>
      </c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11"/>
      <c r="AQ2970" s="8"/>
      <c r="AR2970" s="8"/>
      <c r="AS2970" s="8">
        <f>1425*5.07/1000</f>
        <v>7.2247500000000002</v>
      </c>
      <c r="AT2970" s="8">
        <v>215.44</v>
      </c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>
        <v>16.64</v>
      </c>
      <c r="BH2970" s="9">
        <f t="shared" si="414"/>
        <v>449.61050999999998</v>
      </c>
      <c r="BI2970" s="9">
        <f t="shared" si="415"/>
        <v>0.64</v>
      </c>
      <c r="BJ2970" s="9">
        <f t="shared" si="416"/>
        <v>1.77</v>
      </c>
      <c r="BK2970" s="9">
        <f t="shared" si="417"/>
        <v>3.54</v>
      </c>
      <c r="BL2970" s="9">
        <f t="shared" si="418"/>
        <v>71.193849999999998</v>
      </c>
      <c r="BM2970" s="9">
        <f t="shared" si="419"/>
        <v>7.2247500000000002</v>
      </c>
      <c r="BN2970" s="9">
        <f t="shared" si="420"/>
        <v>215.44</v>
      </c>
      <c r="BO2970" s="9">
        <f t="shared" si="421"/>
        <v>0</v>
      </c>
      <c r="BP2970" s="9">
        <f t="shared" si="422"/>
        <v>0</v>
      </c>
    </row>
    <row r="2971" spans="1:68">
      <c r="A2971" s="6">
        <v>45082</v>
      </c>
      <c r="B2971" s="7">
        <v>3602</v>
      </c>
      <c r="C2971" s="8">
        <v>578.36</v>
      </c>
      <c r="D2971" s="8"/>
      <c r="E2971" s="8"/>
      <c r="F2971" s="8"/>
      <c r="G2971" s="8">
        <v>866.87</v>
      </c>
      <c r="H2971" s="8"/>
      <c r="I2971" s="8"/>
      <c r="J2971" s="8"/>
      <c r="K2971" s="8"/>
      <c r="L2971" s="8"/>
      <c r="M2971" s="8">
        <v>1.62</v>
      </c>
      <c r="N2971" s="8"/>
      <c r="O2971" s="8"/>
      <c r="P2971" s="8"/>
      <c r="Q2971" s="11"/>
      <c r="R2971" s="11"/>
      <c r="S2971" s="8">
        <v>6.94</v>
      </c>
      <c r="T2971" s="8"/>
      <c r="U2971" s="8">
        <v>11.57</v>
      </c>
      <c r="V2971" s="8">
        <f>861*16.53/1000</f>
        <v>14.232330000000001</v>
      </c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11"/>
      <c r="AQ2971" s="8"/>
      <c r="AR2971" s="8"/>
      <c r="AS2971" s="8"/>
      <c r="AT2971" s="8">
        <v>583.79999999999995</v>
      </c>
      <c r="AU2971" s="8"/>
      <c r="AV2971" s="8"/>
      <c r="AW2971" s="8">
        <v>37.39</v>
      </c>
      <c r="AX2971" s="8"/>
      <c r="AY2971" s="8"/>
      <c r="AZ2971" s="8"/>
      <c r="BA2971" s="8"/>
      <c r="BB2971" s="8"/>
      <c r="BC2971" s="8"/>
      <c r="BD2971" s="8"/>
      <c r="BE2971" s="8"/>
      <c r="BF2971" s="8">
        <v>46.35</v>
      </c>
      <c r="BG2971" s="8">
        <v>43.31</v>
      </c>
      <c r="BH2971" s="9">
        <f t="shared" si="414"/>
        <v>1445.23</v>
      </c>
      <c r="BI2971" s="9">
        <f t="shared" si="415"/>
        <v>1.62</v>
      </c>
      <c r="BJ2971" s="9">
        <f t="shared" si="416"/>
        <v>6.94</v>
      </c>
      <c r="BK2971" s="9">
        <f t="shared" si="417"/>
        <v>25.802330000000001</v>
      </c>
      <c r="BL2971" s="9">
        <f t="shared" si="418"/>
        <v>0</v>
      </c>
      <c r="BM2971" s="9">
        <f t="shared" si="419"/>
        <v>0</v>
      </c>
      <c r="BN2971" s="9">
        <f t="shared" si="420"/>
        <v>583.79999999999995</v>
      </c>
      <c r="BO2971" s="9">
        <f t="shared" si="421"/>
        <v>37.39</v>
      </c>
      <c r="BP2971" s="9">
        <f t="shared" si="422"/>
        <v>46.35</v>
      </c>
    </row>
    <row r="2972" spans="1:68">
      <c r="A2972" s="6">
        <v>45082</v>
      </c>
      <c r="B2972" s="7">
        <v>3200</v>
      </c>
      <c r="C2972" s="8">
        <v>2281.5300000000002</v>
      </c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>
        <v>5.72</v>
      </c>
      <c r="P2972" s="8"/>
      <c r="Q2972" s="11"/>
      <c r="R2972" s="11"/>
      <c r="S2972" s="8">
        <v>8.91</v>
      </c>
      <c r="T2972" s="8"/>
      <c r="U2972" s="8">
        <v>34.22</v>
      </c>
      <c r="V2972" s="8"/>
      <c r="W2972" s="8"/>
      <c r="X2972" s="8"/>
      <c r="Y2972" s="8"/>
      <c r="Z2972" s="8">
        <v>479.59</v>
      </c>
      <c r="AA2972" s="8"/>
      <c r="AB2972" s="8"/>
      <c r="AC2972" s="8"/>
      <c r="AD2972" s="8"/>
      <c r="AE2972" s="8"/>
      <c r="AF2972" s="8">
        <v>114.56</v>
      </c>
      <c r="AG2972" s="8"/>
      <c r="AH2972" s="8"/>
      <c r="AI2972" s="8"/>
      <c r="AJ2972" s="8"/>
      <c r="AK2972" s="8"/>
      <c r="AL2972" s="8"/>
      <c r="AM2972" s="8"/>
      <c r="AN2972" s="8"/>
      <c r="AO2972" s="8"/>
      <c r="AP2972" s="11"/>
      <c r="AQ2972" s="8">
        <f>1527*22.82/1000</f>
        <v>34.846139999999998</v>
      </c>
      <c r="AR2972" s="8"/>
      <c r="AS2972" s="8"/>
      <c r="AT2972" s="8">
        <v>1562.66</v>
      </c>
      <c r="AU2972" s="8"/>
      <c r="AV2972" s="8"/>
      <c r="AW2972" s="8">
        <v>6.61</v>
      </c>
      <c r="AX2972" s="8"/>
      <c r="AY2972" s="8"/>
      <c r="AZ2972" s="8"/>
      <c r="BA2972" s="8"/>
      <c r="BB2972" s="8"/>
      <c r="BC2972" s="8"/>
      <c r="BD2972" s="8"/>
      <c r="BE2972" s="8"/>
      <c r="BF2972" s="8">
        <v>109.47</v>
      </c>
      <c r="BG2972" s="8">
        <v>113.13</v>
      </c>
      <c r="BH2972" s="9">
        <f t="shared" si="414"/>
        <v>2281.5300000000002</v>
      </c>
      <c r="BI2972" s="9">
        <f t="shared" si="415"/>
        <v>5.72</v>
      </c>
      <c r="BJ2972" s="9">
        <f t="shared" si="416"/>
        <v>8.91</v>
      </c>
      <c r="BK2972" s="9">
        <f t="shared" si="417"/>
        <v>34.22</v>
      </c>
      <c r="BL2972" s="9">
        <f t="shared" si="418"/>
        <v>479.59</v>
      </c>
      <c r="BM2972" s="9">
        <f t="shared" si="419"/>
        <v>149.40613999999999</v>
      </c>
      <c r="BN2972" s="9">
        <f t="shared" si="420"/>
        <v>1562.66</v>
      </c>
      <c r="BO2972" s="9">
        <f t="shared" si="421"/>
        <v>6.61</v>
      </c>
      <c r="BP2972" s="9">
        <f t="shared" si="422"/>
        <v>109.47</v>
      </c>
    </row>
    <row r="2973" spans="1:68">
      <c r="A2973" s="6">
        <v>45082</v>
      </c>
      <c r="B2973" s="7">
        <v>3121</v>
      </c>
      <c r="C2973" s="8">
        <v>2228.6999999999998</v>
      </c>
      <c r="D2973" s="8"/>
      <c r="E2973" s="8"/>
      <c r="F2973" s="8"/>
      <c r="G2973" s="8"/>
      <c r="H2973" s="8"/>
      <c r="I2973" s="8"/>
      <c r="J2973" s="8"/>
      <c r="K2973" s="8"/>
      <c r="L2973" s="8"/>
      <c r="M2973" s="8">
        <v>4.87</v>
      </c>
      <c r="N2973" s="8"/>
      <c r="O2973" s="8"/>
      <c r="P2973" s="8"/>
      <c r="Q2973" s="11"/>
      <c r="R2973" s="11"/>
      <c r="S2973" s="8">
        <v>7.13</v>
      </c>
      <c r="T2973" s="8"/>
      <c r="U2973" s="8">
        <v>22.31</v>
      </c>
      <c r="V2973" s="8"/>
      <c r="W2973" s="8"/>
      <c r="X2973" s="8"/>
      <c r="Y2973" s="8"/>
      <c r="Z2973" s="8"/>
      <c r="AA2973" s="8"/>
      <c r="AB2973" s="8"/>
      <c r="AC2973" s="8">
        <v>8.92</v>
      </c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11">
        <f>2214*10.12/1000</f>
        <v>22.405679999999997</v>
      </c>
      <c r="AQ2973" s="8"/>
      <c r="AR2973" s="8"/>
      <c r="AS2973" s="8"/>
      <c r="AT2973" s="8">
        <v>1178.44</v>
      </c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>
        <v>87.19</v>
      </c>
      <c r="BH2973" s="9">
        <f t="shared" si="414"/>
        <v>2228.6999999999998</v>
      </c>
      <c r="BI2973" s="9">
        <f t="shared" si="415"/>
        <v>4.87</v>
      </c>
      <c r="BJ2973" s="9">
        <f t="shared" si="416"/>
        <v>7.13</v>
      </c>
      <c r="BK2973" s="9">
        <f t="shared" si="417"/>
        <v>22.31</v>
      </c>
      <c r="BL2973" s="9">
        <f t="shared" si="418"/>
        <v>0</v>
      </c>
      <c r="BM2973" s="9">
        <f t="shared" si="419"/>
        <v>31.325679999999998</v>
      </c>
      <c r="BN2973" s="9">
        <f t="shared" si="420"/>
        <v>1178.44</v>
      </c>
      <c r="BO2973" s="9">
        <f t="shared" si="421"/>
        <v>0</v>
      </c>
      <c r="BP2973" s="9">
        <f t="shared" si="422"/>
        <v>0</v>
      </c>
    </row>
    <row r="2974" spans="1:68">
      <c r="A2974" s="6">
        <v>45082</v>
      </c>
      <c r="B2974" s="7">
        <v>3110</v>
      </c>
      <c r="C2974" s="8">
        <v>1289.25</v>
      </c>
      <c r="D2974" s="8"/>
      <c r="E2974" s="8"/>
      <c r="F2974" s="8"/>
      <c r="G2974" s="8"/>
      <c r="H2974" s="8"/>
      <c r="I2974" s="8"/>
      <c r="J2974" s="8"/>
      <c r="K2974" s="8"/>
      <c r="L2974" s="8"/>
      <c r="M2974" s="8">
        <v>1.93</v>
      </c>
      <c r="N2974" s="8"/>
      <c r="O2974" s="8"/>
      <c r="P2974" s="8"/>
      <c r="Q2974" s="11"/>
      <c r="R2974" s="11"/>
      <c r="S2974" s="8">
        <v>3.91</v>
      </c>
      <c r="T2974" s="8"/>
      <c r="U2974" s="8">
        <v>12.9</v>
      </c>
      <c r="V2974" s="8"/>
      <c r="W2974" s="8"/>
      <c r="X2974" s="8"/>
      <c r="Y2974" s="8"/>
      <c r="Z2974" s="8"/>
      <c r="AA2974" s="8"/>
      <c r="AB2974" s="8"/>
      <c r="AC2974" s="8">
        <v>5.15</v>
      </c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11"/>
      <c r="AQ2974" s="8"/>
      <c r="AR2974" s="8"/>
      <c r="AS2974" s="8"/>
      <c r="AT2974" s="8">
        <v>672.27</v>
      </c>
      <c r="AU2974" s="8"/>
      <c r="AV2974" s="8">
        <v>21.92</v>
      </c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>
        <v>49.69</v>
      </c>
      <c r="BH2974" s="9">
        <f t="shared" si="414"/>
        <v>1289.25</v>
      </c>
      <c r="BI2974" s="9">
        <f t="shared" si="415"/>
        <v>1.93</v>
      </c>
      <c r="BJ2974" s="9">
        <f t="shared" si="416"/>
        <v>3.91</v>
      </c>
      <c r="BK2974" s="9">
        <f t="shared" si="417"/>
        <v>12.9</v>
      </c>
      <c r="BL2974" s="9">
        <f t="shared" si="418"/>
        <v>0</v>
      </c>
      <c r="BM2974" s="9">
        <f t="shared" si="419"/>
        <v>5.15</v>
      </c>
      <c r="BN2974" s="9">
        <f t="shared" si="420"/>
        <v>672.27</v>
      </c>
      <c r="BO2974" s="9">
        <f t="shared" si="421"/>
        <v>21.92</v>
      </c>
      <c r="BP2974" s="9">
        <f t="shared" si="422"/>
        <v>0</v>
      </c>
    </row>
    <row r="2975" spans="1:68">
      <c r="A2975" s="6">
        <v>45082</v>
      </c>
      <c r="B2975" s="7">
        <v>3102</v>
      </c>
      <c r="C2975" s="8">
        <v>782.57</v>
      </c>
      <c r="D2975" s="8"/>
      <c r="E2975" s="8"/>
      <c r="F2975" s="8"/>
      <c r="G2975" s="8"/>
      <c r="H2975" s="8"/>
      <c r="I2975" s="8"/>
      <c r="J2975" s="8"/>
      <c r="K2975" s="8"/>
      <c r="L2975" s="8"/>
      <c r="M2975" s="8">
        <v>2.2400000000000002</v>
      </c>
      <c r="N2975" s="8"/>
      <c r="O2975" s="8"/>
      <c r="P2975" s="8"/>
      <c r="Q2975" s="11"/>
      <c r="R2975" s="11"/>
      <c r="S2975" s="8">
        <v>3.43</v>
      </c>
      <c r="T2975" s="8"/>
      <c r="U2975" s="8">
        <v>9.3800000000000008</v>
      </c>
      <c r="V2975" s="8"/>
      <c r="W2975" s="8"/>
      <c r="X2975" s="8"/>
      <c r="Y2975" s="8"/>
      <c r="Z2975" s="8"/>
      <c r="AA2975" s="8"/>
      <c r="AB2975" s="8"/>
      <c r="AC2975" s="8">
        <v>3.13</v>
      </c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11"/>
      <c r="AQ2975" s="8"/>
      <c r="AR2975" s="8"/>
      <c r="AS2975" s="8"/>
      <c r="AT2975" s="8">
        <v>521.66999999999996</v>
      </c>
      <c r="AU2975" s="8"/>
      <c r="AV2975" s="8"/>
      <c r="AW2975" s="8"/>
      <c r="AX2975" s="8"/>
      <c r="AY2975" s="8"/>
      <c r="AZ2975" s="8"/>
      <c r="BA2975" s="8">
        <v>17.8</v>
      </c>
      <c r="BB2975" s="8"/>
      <c r="BC2975" s="8"/>
      <c r="BD2975" s="8"/>
      <c r="BE2975" s="8"/>
      <c r="BF2975" s="8">
        <v>54.61</v>
      </c>
      <c r="BG2975" s="8">
        <v>38.6</v>
      </c>
      <c r="BH2975" s="9">
        <f t="shared" si="414"/>
        <v>782.57</v>
      </c>
      <c r="BI2975" s="9">
        <f t="shared" si="415"/>
        <v>2.2400000000000002</v>
      </c>
      <c r="BJ2975" s="9">
        <f t="shared" si="416"/>
        <v>3.43</v>
      </c>
      <c r="BK2975" s="9">
        <f t="shared" si="417"/>
        <v>9.3800000000000008</v>
      </c>
      <c r="BL2975" s="9">
        <f t="shared" si="418"/>
        <v>0</v>
      </c>
      <c r="BM2975" s="9">
        <f t="shared" si="419"/>
        <v>3.13</v>
      </c>
      <c r="BN2975" s="9">
        <f t="shared" si="420"/>
        <v>521.66999999999996</v>
      </c>
      <c r="BO2975" s="9">
        <f t="shared" si="421"/>
        <v>17.8</v>
      </c>
      <c r="BP2975" s="9">
        <f t="shared" si="422"/>
        <v>54.61</v>
      </c>
    </row>
    <row r="2976" spans="1:68">
      <c r="A2976" s="6">
        <v>45082</v>
      </c>
      <c r="B2976" s="7">
        <v>3141</v>
      </c>
      <c r="C2976" s="8">
        <v>2387.85</v>
      </c>
      <c r="D2976" s="8">
        <v>419.64</v>
      </c>
      <c r="E2976" s="8"/>
      <c r="F2976" s="8"/>
      <c r="G2976" s="8"/>
      <c r="H2976" s="8"/>
      <c r="I2976" s="8"/>
      <c r="J2976" s="8"/>
      <c r="K2976" s="8"/>
      <c r="L2976" s="8"/>
      <c r="M2976" s="8">
        <v>8.1300000000000008</v>
      </c>
      <c r="N2976" s="8"/>
      <c r="O2976" s="8"/>
      <c r="P2976" s="8"/>
      <c r="Q2976" s="11"/>
      <c r="R2976" s="11"/>
      <c r="S2976" s="8">
        <v>13.2</v>
      </c>
      <c r="T2976" s="8"/>
      <c r="U2976" s="8">
        <v>42.13</v>
      </c>
      <c r="V2976" s="8"/>
      <c r="W2976" s="8"/>
      <c r="X2976" s="8"/>
      <c r="Y2976" s="8"/>
      <c r="Z2976" s="8"/>
      <c r="AA2976" s="8"/>
      <c r="AB2976" s="8"/>
      <c r="AC2976" s="8">
        <v>11.22</v>
      </c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11"/>
      <c r="AQ2976" s="8"/>
      <c r="AR2976" s="8"/>
      <c r="AS2976" s="8"/>
      <c r="AT2976" s="8">
        <v>1856.19</v>
      </c>
      <c r="AU2976" s="8"/>
      <c r="AV2976" s="8"/>
      <c r="AW2976" s="8"/>
      <c r="AX2976" s="8"/>
      <c r="AY2976" s="8"/>
      <c r="AZ2976" s="8"/>
      <c r="BA2976" s="8">
        <v>64.3</v>
      </c>
      <c r="BB2976" s="8"/>
      <c r="BC2976" s="8"/>
      <c r="BD2976" s="8"/>
      <c r="BE2976" s="8"/>
      <c r="BF2976" s="8">
        <v>196.46</v>
      </c>
      <c r="BG2976" s="8">
        <v>146.24</v>
      </c>
      <c r="BH2976" s="9">
        <f t="shared" si="414"/>
        <v>2807.49</v>
      </c>
      <c r="BI2976" s="9">
        <f t="shared" si="415"/>
        <v>8.1300000000000008</v>
      </c>
      <c r="BJ2976" s="9">
        <f t="shared" si="416"/>
        <v>13.2</v>
      </c>
      <c r="BK2976" s="9">
        <f t="shared" si="417"/>
        <v>42.13</v>
      </c>
      <c r="BL2976" s="9">
        <f t="shared" si="418"/>
        <v>0</v>
      </c>
      <c r="BM2976" s="9">
        <f t="shared" si="419"/>
        <v>11.22</v>
      </c>
      <c r="BN2976" s="9">
        <f t="shared" si="420"/>
        <v>1856.19</v>
      </c>
      <c r="BO2976" s="9">
        <f t="shared" si="421"/>
        <v>64.3</v>
      </c>
      <c r="BP2976" s="9">
        <f t="shared" si="422"/>
        <v>196.46</v>
      </c>
    </row>
    <row r="2977" spans="1:68">
      <c r="A2977" s="6">
        <v>45082</v>
      </c>
      <c r="B2977" s="7">
        <v>3106</v>
      </c>
      <c r="C2977" s="8">
        <v>5129.1899999999996</v>
      </c>
      <c r="D2977" s="8"/>
      <c r="E2977" s="8"/>
      <c r="F2977" s="8"/>
      <c r="G2977" s="8"/>
      <c r="H2977" s="8"/>
      <c r="I2977" s="8"/>
      <c r="J2977" s="8"/>
      <c r="K2977" s="8"/>
      <c r="L2977" s="8"/>
      <c r="M2977" s="8">
        <v>13.34</v>
      </c>
      <c r="N2977" s="8"/>
      <c r="O2977" s="8"/>
      <c r="P2977" s="8"/>
      <c r="Q2977" s="11"/>
      <c r="R2977" s="11"/>
      <c r="S2977" s="8">
        <v>15.43</v>
      </c>
      <c r="T2977" s="8"/>
      <c r="U2977" s="8">
        <v>65.349999999999994</v>
      </c>
      <c r="V2977" s="8"/>
      <c r="W2977" s="8"/>
      <c r="X2977" s="8"/>
      <c r="Y2977" s="8"/>
      <c r="Z2977" s="8"/>
      <c r="AA2977" s="8"/>
      <c r="AB2977" s="8"/>
      <c r="AC2977" s="8">
        <v>12.84</v>
      </c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11"/>
      <c r="AQ2977" s="8"/>
      <c r="AR2977" s="8"/>
      <c r="AS2977" s="8"/>
      <c r="AT2977" s="8">
        <v>2923.9</v>
      </c>
      <c r="AU2977" s="8"/>
      <c r="AV2977" s="8"/>
      <c r="AW2977" s="8"/>
      <c r="AX2977" s="8">
        <v>6.42</v>
      </c>
      <c r="AY2977" s="8"/>
      <c r="AZ2977" s="8"/>
      <c r="BA2977" s="8"/>
      <c r="BB2977" s="8"/>
      <c r="BC2977" s="8"/>
      <c r="BD2977" s="8"/>
      <c r="BE2977" s="8"/>
      <c r="BF2977" s="8"/>
      <c r="BG2977" s="8">
        <v>221.5</v>
      </c>
      <c r="BH2977" s="9">
        <f t="shared" si="414"/>
        <v>5129.1899999999996</v>
      </c>
      <c r="BI2977" s="9">
        <f t="shared" si="415"/>
        <v>13.34</v>
      </c>
      <c r="BJ2977" s="9">
        <f t="shared" si="416"/>
        <v>15.43</v>
      </c>
      <c r="BK2977" s="9">
        <f t="shared" si="417"/>
        <v>65.349999999999994</v>
      </c>
      <c r="BL2977" s="9">
        <f t="shared" si="418"/>
        <v>0</v>
      </c>
      <c r="BM2977" s="9">
        <f t="shared" si="419"/>
        <v>12.84</v>
      </c>
      <c r="BN2977" s="9">
        <f t="shared" si="420"/>
        <v>2923.9</v>
      </c>
      <c r="BO2977" s="9">
        <f t="shared" si="421"/>
        <v>6.42</v>
      </c>
      <c r="BP2977" s="9">
        <f t="shared" si="422"/>
        <v>0</v>
      </c>
    </row>
    <row r="2978" spans="1:68">
      <c r="A2978" s="6">
        <v>45082</v>
      </c>
      <c r="B2978" s="7">
        <v>3029</v>
      </c>
      <c r="C2978" s="8"/>
      <c r="D2978" s="8">
        <v>481.7</v>
      </c>
      <c r="E2978" s="8"/>
      <c r="F2978" s="8">
        <v>338.28</v>
      </c>
      <c r="G2978" s="8"/>
      <c r="H2978" s="8"/>
      <c r="I2978" s="8">
        <v>2006.54</v>
      </c>
      <c r="J2978" s="8"/>
      <c r="K2978" s="8"/>
      <c r="L2978" s="8"/>
      <c r="M2978" s="8"/>
      <c r="N2978" s="8">
        <v>22.35</v>
      </c>
      <c r="O2978" s="8"/>
      <c r="P2978" s="8"/>
      <c r="Q2978" s="11"/>
      <c r="R2978" s="11"/>
      <c r="S2978" s="8">
        <v>1.69</v>
      </c>
      <c r="T2978" s="8"/>
      <c r="U2978" s="8"/>
      <c r="V2978" s="8"/>
      <c r="W2978" s="8">
        <v>28.29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>
        <v>9.8699999999999992</v>
      </c>
      <c r="AN2978" s="8">
        <f>762*18.85/1000</f>
        <v>14.363700000000001</v>
      </c>
      <c r="AO2978" s="8"/>
      <c r="AP2978" s="11"/>
      <c r="AQ2978" s="8"/>
      <c r="AR2978" s="8">
        <f>4625*18.85/1000</f>
        <v>87.181250000000006</v>
      </c>
      <c r="AS2978" s="8"/>
      <c r="AT2978" s="8">
        <v>1074.21</v>
      </c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>
        <v>74.709999999999994</v>
      </c>
      <c r="BH2978" s="9">
        <f t="shared" si="414"/>
        <v>2826.52</v>
      </c>
      <c r="BI2978" s="9">
        <f t="shared" si="415"/>
        <v>22.35</v>
      </c>
      <c r="BJ2978" s="9">
        <f t="shared" si="416"/>
        <v>1.69</v>
      </c>
      <c r="BK2978" s="9">
        <f t="shared" si="417"/>
        <v>28.29</v>
      </c>
      <c r="BL2978" s="9">
        <f t="shared" si="418"/>
        <v>0</v>
      </c>
      <c r="BM2978" s="9">
        <f t="shared" si="419"/>
        <v>111.41495</v>
      </c>
      <c r="BN2978" s="9">
        <f t="shared" si="420"/>
        <v>1074.21</v>
      </c>
      <c r="BO2978" s="9">
        <f t="shared" si="421"/>
        <v>0</v>
      </c>
      <c r="BP2978" s="9">
        <f t="shared" si="422"/>
        <v>0</v>
      </c>
    </row>
    <row r="2979" spans="1:68">
      <c r="A2979" s="6">
        <v>45082</v>
      </c>
      <c r="B2979" s="7">
        <v>3020</v>
      </c>
      <c r="C2979" s="8"/>
      <c r="D2979" s="8">
        <v>176.9</v>
      </c>
      <c r="E2979" s="8"/>
      <c r="F2979" s="8"/>
      <c r="G2979" s="8"/>
      <c r="H2979" s="8"/>
      <c r="I2979" s="8">
        <v>1001.9</v>
      </c>
      <c r="J2979" s="8"/>
      <c r="K2979" s="8"/>
      <c r="L2979" s="8"/>
      <c r="M2979" s="8"/>
      <c r="N2979" s="8">
        <v>7.18</v>
      </c>
      <c r="O2979" s="8"/>
      <c r="P2979" s="8"/>
      <c r="Q2979" s="11"/>
      <c r="R2979" s="11"/>
      <c r="S2979" s="8">
        <v>2.12</v>
      </c>
      <c r="T2979" s="8"/>
      <c r="U2979" s="8"/>
      <c r="V2979" s="8"/>
      <c r="W2979" s="8">
        <v>11.78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>
        <v>11.77</v>
      </c>
      <c r="AN2979" s="8"/>
      <c r="AO2979" s="8"/>
      <c r="AP2979" s="11"/>
      <c r="AQ2979" s="8"/>
      <c r="AR2979" s="8"/>
      <c r="AS2979" s="8">
        <f>3016*9.8/1000</f>
        <v>29.556800000000003</v>
      </c>
      <c r="AT2979" s="8">
        <v>578.44000000000005</v>
      </c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>
        <v>42.32</v>
      </c>
      <c r="BH2979" s="9">
        <f t="shared" si="414"/>
        <v>1178.8</v>
      </c>
      <c r="BI2979" s="9">
        <f t="shared" si="415"/>
        <v>7.18</v>
      </c>
      <c r="BJ2979" s="9">
        <f t="shared" si="416"/>
        <v>2.12</v>
      </c>
      <c r="BK2979" s="9">
        <f t="shared" si="417"/>
        <v>11.78</v>
      </c>
      <c r="BL2979" s="9">
        <f t="shared" si="418"/>
        <v>0</v>
      </c>
      <c r="BM2979" s="9">
        <f t="shared" si="419"/>
        <v>41.326800000000006</v>
      </c>
      <c r="BN2979" s="9">
        <f t="shared" si="420"/>
        <v>578.44000000000005</v>
      </c>
      <c r="BO2979" s="9">
        <f t="shared" si="421"/>
        <v>0</v>
      </c>
      <c r="BP2979" s="9">
        <f t="shared" si="422"/>
        <v>0</v>
      </c>
    </row>
    <row r="2980" spans="1:68">
      <c r="A2980" s="6">
        <v>45082</v>
      </c>
      <c r="B2980" s="7">
        <v>3027</v>
      </c>
      <c r="C2980" s="8"/>
      <c r="D2980" s="8">
        <v>689.59</v>
      </c>
      <c r="E2980" s="8"/>
      <c r="F2980" s="8"/>
      <c r="G2980" s="8"/>
      <c r="H2980" s="8"/>
      <c r="I2980" s="8">
        <v>566.44000000000005</v>
      </c>
      <c r="J2980" s="8"/>
      <c r="K2980" s="8"/>
      <c r="L2980" s="8"/>
      <c r="M2980" s="8"/>
      <c r="N2980" s="8">
        <v>7.29</v>
      </c>
      <c r="O2980" s="8"/>
      <c r="P2980" s="8"/>
      <c r="Q2980" s="11"/>
      <c r="R2980" s="11"/>
      <c r="S2980" s="8">
        <v>2.02</v>
      </c>
      <c r="T2980" s="8"/>
      <c r="U2980" s="8"/>
      <c r="V2980" s="8"/>
      <c r="W2980" s="8">
        <v>9.4499999999999993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>
        <v>12.55</v>
      </c>
      <c r="AN2980" s="8">
        <f>1239*7.2/1000</f>
        <v>8.9208000000000016</v>
      </c>
      <c r="AO2980" s="8"/>
      <c r="AP2980" s="11"/>
      <c r="AQ2980" s="8"/>
      <c r="AR2980" s="8"/>
      <c r="AS2980" s="8">
        <f>5770*7.2/1000</f>
        <v>41.543999999999997</v>
      </c>
      <c r="AT2980" s="8">
        <v>419.24</v>
      </c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>
        <v>29.580000000000002</v>
      </c>
      <c r="BH2980" s="9">
        <f t="shared" si="414"/>
        <v>1256.0300000000002</v>
      </c>
      <c r="BI2980" s="9">
        <f t="shared" si="415"/>
        <v>7.29</v>
      </c>
      <c r="BJ2980" s="9">
        <f t="shared" si="416"/>
        <v>2.02</v>
      </c>
      <c r="BK2980" s="9">
        <f t="shared" si="417"/>
        <v>9.4499999999999993</v>
      </c>
      <c r="BL2980" s="9">
        <f t="shared" si="418"/>
        <v>0</v>
      </c>
      <c r="BM2980" s="9">
        <f t="shared" si="419"/>
        <v>63.014800000000001</v>
      </c>
      <c r="BN2980" s="9">
        <f t="shared" si="420"/>
        <v>419.24</v>
      </c>
      <c r="BO2980" s="9">
        <f t="shared" si="421"/>
        <v>0</v>
      </c>
      <c r="BP2980" s="9">
        <f t="shared" si="422"/>
        <v>0</v>
      </c>
    </row>
    <row r="2981" spans="1:68">
      <c r="A2981" s="6">
        <v>45083</v>
      </c>
      <c r="B2981" s="7">
        <v>3082</v>
      </c>
      <c r="C2981" s="8"/>
      <c r="D2981" s="8"/>
      <c r="E2981" s="8"/>
      <c r="F2981" s="8">
        <f>25.48+166.5</f>
        <v>191.98</v>
      </c>
      <c r="G2981" s="8"/>
      <c r="H2981" s="8"/>
      <c r="I2981" s="8">
        <f>19.1+125.83</f>
        <v>144.93</v>
      </c>
      <c r="J2981" s="8"/>
      <c r="K2981" s="8">
        <f>64931*9.57/1000</f>
        <v>621.38967000000002</v>
      </c>
      <c r="L2981" s="8"/>
      <c r="M2981" s="8"/>
      <c r="N2981" s="8">
        <f>1.02+6.78</f>
        <v>7.8000000000000007</v>
      </c>
      <c r="O2981" s="8"/>
      <c r="P2981" s="8"/>
      <c r="Q2981" s="11"/>
      <c r="R2981" s="11"/>
      <c r="S2981" s="8"/>
      <c r="T2981" s="8"/>
      <c r="U2981" s="8"/>
      <c r="V2981" s="8"/>
      <c r="W2981" s="8">
        <f>1.28+8.31</f>
        <v>9.59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>
        <f>4508*9.57/1000</f>
        <v>43.141559999999998</v>
      </c>
      <c r="AI2981" s="8"/>
      <c r="AJ2981" s="8"/>
      <c r="AK2981" s="8"/>
      <c r="AL2981" s="8"/>
      <c r="AM2981" s="8"/>
      <c r="AN2981" s="8"/>
      <c r="AO2981" s="8"/>
      <c r="AP2981" s="11"/>
      <c r="AQ2981" s="8"/>
      <c r="AR2981" s="8">
        <f>2148*9.57/1000</f>
        <v>20.556360000000002</v>
      </c>
      <c r="AS2981" s="8"/>
      <c r="AT2981" s="8"/>
      <c r="AU2981" s="8">
        <f>59.71+389.85</f>
        <v>449.56</v>
      </c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>
        <f>2.39+15.38</f>
        <v>17.77</v>
      </c>
      <c r="BH2981" s="9">
        <f t="shared" si="414"/>
        <v>958.29966999999999</v>
      </c>
      <c r="BI2981" s="9">
        <f t="shared" si="415"/>
        <v>7.8000000000000007</v>
      </c>
      <c r="BJ2981" s="9">
        <f t="shared" si="416"/>
        <v>0</v>
      </c>
      <c r="BK2981" s="9">
        <f t="shared" si="417"/>
        <v>9.59</v>
      </c>
      <c r="BL2981" s="9">
        <f t="shared" si="418"/>
        <v>0</v>
      </c>
      <c r="BM2981" s="9">
        <f t="shared" si="419"/>
        <v>63.697919999999996</v>
      </c>
      <c r="BN2981" s="9">
        <f t="shared" si="420"/>
        <v>449.56</v>
      </c>
      <c r="BO2981" s="9">
        <f t="shared" si="421"/>
        <v>0</v>
      </c>
      <c r="BP2981" s="9">
        <f t="shared" si="422"/>
        <v>0</v>
      </c>
    </row>
    <row r="2982" spans="1:68">
      <c r="A2982" s="6">
        <v>45083</v>
      </c>
      <c r="B2982" s="7">
        <v>3078</v>
      </c>
      <c r="C2982" s="8"/>
      <c r="D2982" s="8"/>
      <c r="E2982" s="8"/>
      <c r="F2982" s="8">
        <f>90.71+13.05</f>
        <v>103.75999999999999</v>
      </c>
      <c r="G2982" s="8"/>
      <c r="H2982" s="8"/>
      <c r="I2982" s="8">
        <f>45.77+318.17</f>
        <v>363.94</v>
      </c>
      <c r="J2982" s="8"/>
      <c r="K2982" s="8">
        <f>8042*6.49/1000</f>
        <v>52.19258</v>
      </c>
      <c r="L2982" s="8"/>
      <c r="M2982" s="8"/>
      <c r="N2982" s="8">
        <f>3.59+0.52</f>
        <v>4.1099999999999994</v>
      </c>
      <c r="O2982" s="8"/>
      <c r="P2982" s="8"/>
      <c r="Q2982" s="11"/>
      <c r="R2982" s="11"/>
      <c r="S2982" s="8">
        <f>0.13+0.91</f>
        <v>1.04</v>
      </c>
      <c r="T2982" s="8"/>
      <c r="U2982" s="8"/>
      <c r="V2982" s="8"/>
      <c r="W2982" s="8">
        <f>0.98+6.83</f>
        <v>7.8100000000000005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>
        <f>0.65+4.53</f>
        <v>5.1800000000000006</v>
      </c>
      <c r="AN2982" s="8"/>
      <c r="AO2982" s="8"/>
      <c r="AP2982" s="11"/>
      <c r="AQ2982" s="8"/>
      <c r="AR2982" s="8"/>
      <c r="AS2982" s="8">
        <f>2039*6.49/1000</f>
        <v>13.23311</v>
      </c>
      <c r="AT2982" s="8">
        <f>31.37+217.66</f>
        <v>249.03</v>
      </c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>
        <f>3.3+22.71</f>
        <v>26.01</v>
      </c>
      <c r="BG2982" s="8">
        <f>2.22+15.38</f>
        <v>17.600000000000001</v>
      </c>
      <c r="BH2982" s="9">
        <f t="shared" si="414"/>
        <v>519.89257999999995</v>
      </c>
      <c r="BI2982" s="9">
        <f t="shared" si="415"/>
        <v>4.1099999999999994</v>
      </c>
      <c r="BJ2982" s="9">
        <f t="shared" si="416"/>
        <v>1.04</v>
      </c>
      <c r="BK2982" s="9">
        <f t="shared" si="417"/>
        <v>7.8100000000000005</v>
      </c>
      <c r="BL2982" s="9">
        <f t="shared" si="418"/>
        <v>0</v>
      </c>
      <c r="BM2982" s="9">
        <f t="shared" si="419"/>
        <v>18.41311</v>
      </c>
      <c r="BN2982" s="9">
        <f t="shared" si="420"/>
        <v>249.03</v>
      </c>
      <c r="BO2982" s="9">
        <f t="shared" si="421"/>
        <v>0</v>
      </c>
      <c r="BP2982" s="9">
        <f t="shared" si="422"/>
        <v>26.01</v>
      </c>
    </row>
    <row r="2983" spans="1:68">
      <c r="A2983" s="6">
        <v>45083</v>
      </c>
      <c r="B2983" s="7">
        <v>3083</v>
      </c>
      <c r="C2983" s="8"/>
      <c r="D2983" s="8">
        <v>752.53</v>
      </c>
      <c r="E2983" s="8"/>
      <c r="F2983" s="8"/>
      <c r="G2983" s="8"/>
      <c r="H2983" s="8"/>
      <c r="I2983" s="8">
        <v>1751.42</v>
      </c>
      <c r="J2983" s="8"/>
      <c r="K2983" s="8"/>
      <c r="L2983" s="8"/>
      <c r="M2983" s="8"/>
      <c r="N2983" s="8">
        <v>16.260000000000002</v>
      </c>
      <c r="O2983" s="8"/>
      <c r="P2983" s="8"/>
      <c r="Q2983" s="11"/>
      <c r="R2983" s="11"/>
      <c r="S2983" s="8">
        <v>1.75</v>
      </c>
      <c r="T2983" s="8"/>
      <c r="U2983" s="8"/>
      <c r="V2983" s="8"/>
      <c r="W2983" s="8">
        <v>20.03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>
        <v>10.029999999999999</v>
      </c>
      <c r="AN2983" s="8">
        <f>1899*18.52/1000</f>
        <v>35.169479999999993</v>
      </c>
      <c r="AO2983" s="8"/>
      <c r="AP2983" s="11"/>
      <c r="AQ2983" s="8"/>
      <c r="AR2983" s="8">
        <f>3380*18.52/1000</f>
        <v>62.5976</v>
      </c>
      <c r="AS2983" s="8"/>
      <c r="AT2983" s="8">
        <v>1176.23</v>
      </c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>
        <v>93.5</v>
      </c>
      <c r="BH2983" s="9">
        <f t="shared" si="414"/>
        <v>2503.9499999999998</v>
      </c>
      <c r="BI2983" s="9">
        <f t="shared" si="415"/>
        <v>16.260000000000002</v>
      </c>
      <c r="BJ2983" s="9">
        <f t="shared" si="416"/>
        <v>1.75</v>
      </c>
      <c r="BK2983" s="9">
        <f t="shared" si="417"/>
        <v>20.03</v>
      </c>
      <c r="BL2983" s="9">
        <f t="shared" si="418"/>
        <v>0</v>
      </c>
      <c r="BM2983" s="9">
        <f t="shared" si="419"/>
        <v>107.79707999999999</v>
      </c>
      <c r="BN2983" s="9">
        <f t="shared" si="420"/>
        <v>1176.23</v>
      </c>
      <c r="BO2983" s="9">
        <f t="shared" si="421"/>
        <v>0</v>
      </c>
      <c r="BP2983" s="9">
        <f t="shared" si="422"/>
        <v>0</v>
      </c>
    </row>
    <row r="2984" spans="1:68">
      <c r="A2984" s="6">
        <v>45083</v>
      </c>
      <c r="B2984" s="7">
        <v>3016</v>
      </c>
      <c r="C2984" s="8"/>
      <c r="D2984" s="8">
        <v>1623.77</v>
      </c>
      <c r="E2984" s="8"/>
      <c r="F2984" s="8"/>
      <c r="G2984" s="8"/>
      <c r="H2984" s="8"/>
      <c r="I2984" s="8">
        <v>1499.3</v>
      </c>
      <c r="J2984" s="8"/>
      <c r="K2984" s="8"/>
      <c r="L2984" s="8"/>
      <c r="M2984" s="8"/>
      <c r="N2984" s="8">
        <v>19.36</v>
      </c>
      <c r="O2984" s="8"/>
      <c r="P2984" s="8"/>
      <c r="Q2984" s="11"/>
      <c r="R2984" s="11"/>
      <c r="S2984" s="8">
        <v>2.1800000000000002</v>
      </c>
      <c r="T2984" s="8"/>
      <c r="U2984" s="8"/>
      <c r="V2984" s="8"/>
      <c r="W2984" s="8">
        <v>31.24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>
        <v>12.49</v>
      </c>
      <c r="AN2984" s="8">
        <f>2060*18.37/1000</f>
        <v>37.842200000000005</v>
      </c>
      <c r="AO2984" s="8"/>
      <c r="AP2984" s="11"/>
      <c r="AQ2984" s="8"/>
      <c r="AR2984" s="8">
        <f>4253*18.37/1000</f>
        <v>78.127610000000004</v>
      </c>
      <c r="AS2984" s="8"/>
      <c r="AT2984" s="8">
        <v>1161.01</v>
      </c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>
        <v>85.12</v>
      </c>
      <c r="BH2984" s="9">
        <f t="shared" si="414"/>
        <v>3123.0699999999997</v>
      </c>
      <c r="BI2984" s="9">
        <f t="shared" si="415"/>
        <v>19.36</v>
      </c>
      <c r="BJ2984" s="9">
        <f t="shared" si="416"/>
        <v>2.1800000000000002</v>
      </c>
      <c r="BK2984" s="9">
        <f t="shared" si="417"/>
        <v>31.24</v>
      </c>
      <c r="BL2984" s="9">
        <f t="shared" si="418"/>
        <v>0</v>
      </c>
      <c r="BM2984" s="9">
        <f t="shared" si="419"/>
        <v>128.45981</v>
      </c>
      <c r="BN2984" s="9">
        <f t="shared" si="420"/>
        <v>1161.01</v>
      </c>
      <c r="BO2984" s="9">
        <f t="shared" si="421"/>
        <v>0</v>
      </c>
      <c r="BP2984" s="9">
        <f t="shared" si="422"/>
        <v>0</v>
      </c>
    </row>
    <row r="2985" spans="1:68">
      <c r="A2985" s="6">
        <v>45083</v>
      </c>
      <c r="B2985" s="7">
        <v>3141</v>
      </c>
      <c r="C2985" s="8">
        <v>2397.6999999999998</v>
      </c>
      <c r="D2985" s="8">
        <v>422.37</v>
      </c>
      <c r="E2985" s="8"/>
      <c r="F2985" s="8"/>
      <c r="G2985" s="8"/>
      <c r="H2985" s="8"/>
      <c r="I2985" s="8"/>
      <c r="J2985" s="8"/>
      <c r="K2985" s="8"/>
      <c r="L2985" s="8"/>
      <c r="M2985" s="8">
        <v>8.18</v>
      </c>
      <c r="N2985" s="8"/>
      <c r="O2985" s="8"/>
      <c r="P2985" s="8"/>
      <c r="Q2985" s="11"/>
      <c r="R2985" s="11"/>
      <c r="S2985" s="8">
        <v>13.27</v>
      </c>
      <c r="T2985" s="8"/>
      <c r="U2985" s="8">
        <v>42.34</v>
      </c>
      <c r="V2985" s="8"/>
      <c r="W2985" s="8"/>
      <c r="X2985" s="8"/>
      <c r="Y2985" s="8"/>
      <c r="Z2985" s="8"/>
      <c r="AA2985" s="8"/>
      <c r="AB2985" s="8"/>
      <c r="AC2985" s="8">
        <v>11.29</v>
      </c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11"/>
      <c r="AQ2985" s="8"/>
      <c r="AR2985" s="8"/>
      <c r="AS2985" s="8"/>
      <c r="AT2985" s="8">
        <v>1863.93</v>
      </c>
      <c r="AU2985" s="8"/>
      <c r="AV2985" s="8"/>
      <c r="AW2985" s="8"/>
      <c r="AX2985" s="8"/>
      <c r="AY2985" s="8"/>
      <c r="AZ2985" s="8"/>
      <c r="BA2985" s="8">
        <v>64.7</v>
      </c>
      <c r="BB2985" s="8"/>
      <c r="BC2985" s="8"/>
      <c r="BD2985" s="8"/>
      <c r="BE2985" s="8"/>
      <c r="BF2985" s="8">
        <v>197.44</v>
      </c>
      <c r="BG2985" s="8">
        <v>146.59</v>
      </c>
      <c r="BH2985" s="9">
        <f t="shared" si="414"/>
        <v>2820.0699999999997</v>
      </c>
      <c r="BI2985" s="9">
        <f t="shared" si="415"/>
        <v>8.18</v>
      </c>
      <c r="BJ2985" s="9">
        <f t="shared" si="416"/>
        <v>13.27</v>
      </c>
      <c r="BK2985" s="9">
        <f t="shared" si="417"/>
        <v>42.34</v>
      </c>
      <c r="BL2985" s="9">
        <f t="shared" si="418"/>
        <v>0</v>
      </c>
      <c r="BM2985" s="9">
        <f t="shared" si="419"/>
        <v>11.29</v>
      </c>
      <c r="BN2985" s="9">
        <f t="shared" si="420"/>
        <v>1863.93</v>
      </c>
      <c r="BO2985" s="9">
        <f t="shared" si="421"/>
        <v>64.7</v>
      </c>
      <c r="BP2985" s="9">
        <f t="shared" si="422"/>
        <v>197.44</v>
      </c>
    </row>
    <row r="2986" spans="1:68">
      <c r="A2986" s="6">
        <v>45083</v>
      </c>
      <c r="B2986" s="7">
        <v>3106</v>
      </c>
      <c r="C2986" s="8">
        <v>10152.83</v>
      </c>
      <c r="D2986" s="8"/>
      <c r="E2986" s="8"/>
      <c r="F2986" s="8"/>
      <c r="G2986" s="8"/>
      <c r="H2986" s="8"/>
      <c r="I2986" s="8"/>
      <c r="J2986" s="8"/>
      <c r="K2986" s="8"/>
      <c r="L2986" s="8"/>
      <c r="M2986" s="8">
        <v>26.38</v>
      </c>
      <c r="N2986" s="8"/>
      <c r="O2986" s="8"/>
      <c r="P2986" s="8"/>
      <c r="Q2986" s="11"/>
      <c r="R2986" s="11"/>
      <c r="S2986" s="8">
        <v>30.52</v>
      </c>
      <c r="T2986" s="8"/>
      <c r="U2986" s="8">
        <v>129.13999999999999</v>
      </c>
      <c r="V2986" s="8"/>
      <c r="W2986" s="8"/>
      <c r="X2986" s="8"/>
      <c r="Y2986" s="8"/>
      <c r="Z2986" s="8"/>
      <c r="AA2986" s="8"/>
      <c r="AB2986" s="8"/>
      <c r="AC2986" s="8">
        <v>25.39</v>
      </c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11"/>
      <c r="AQ2986" s="8"/>
      <c r="AR2986" s="8"/>
      <c r="AS2986" s="8"/>
      <c r="AT2986" s="8">
        <v>5784.51</v>
      </c>
      <c r="AU2986" s="8"/>
      <c r="AV2986" s="8"/>
      <c r="AW2986" s="8"/>
      <c r="AX2986" s="8">
        <v>12.71</v>
      </c>
      <c r="AY2986" s="8"/>
      <c r="AZ2986" s="8"/>
      <c r="BA2986" s="8"/>
      <c r="BB2986" s="8"/>
      <c r="BC2986" s="8"/>
      <c r="BD2986" s="8"/>
      <c r="BE2986" s="8"/>
      <c r="BF2986" s="8"/>
      <c r="BG2986" s="8">
        <v>436.64</v>
      </c>
      <c r="BH2986" s="9">
        <f t="shared" si="414"/>
        <v>10152.83</v>
      </c>
      <c r="BI2986" s="9">
        <f t="shared" si="415"/>
        <v>26.38</v>
      </c>
      <c r="BJ2986" s="9">
        <f t="shared" si="416"/>
        <v>30.52</v>
      </c>
      <c r="BK2986" s="9">
        <f t="shared" si="417"/>
        <v>129.13999999999999</v>
      </c>
      <c r="BL2986" s="9">
        <f t="shared" si="418"/>
        <v>0</v>
      </c>
      <c r="BM2986" s="9">
        <f t="shared" si="419"/>
        <v>25.39</v>
      </c>
      <c r="BN2986" s="9">
        <f t="shared" si="420"/>
        <v>5784.51</v>
      </c>
      <c r="BO2986" s="9">
        <f t="shared" si="421"/>
        <v>12.71</v>
      </c>
      <c r="BP2986" s="9">
        <f t="shared" si="422"/>
        <v>0</v>
      </c>
    </row>
    <row r="2987" spans="1:68">
      <c r="A2987" s="6">
        <v>45083</v>
      </c>
      <c r="B2987" s="7">
        <v>3116</v>
      </c>
      <c r="C2987" s="8">
        <v>1549.44</v>
      </c>
      <c r="D2987" s="8"/>
      <c r="E2987" s="8"/>
      <c r="F2987" s="8"/>
      <c r="G2987" s="8"/>
      <c r="H2987" s="8"/>
      <c r="I2987" s="8"/>
      <c r="J2987" s="8"/>
      <c r="K2987" s="8"/>
      <c r="L2987" s="8"/>
      <c r="M2987" s="8">
        <v>3.37</v>
      </c>
      <c r="N2987" s="8"/>
      <c r="O2987" s="8"/>
      <c r="P2987" s="8"/>
      <c r="Q2987" s="11"/>
      <c r="R2987" s="11"/>
      <c r="S2987" s="8">
        <v>6.22</v>
      </c>
      <c r="T2987" s="8"/>
      <c r="U2987" s="8">
        <v>22.72</v>
      </c>
      <c r="V2987" s="8"/>
      <c r="W2987" s="8"/>
      <c r="X2987" s="8"/>
      <c r="Y2987" s="8"/>
      <c r="Z2987" s="8"/>
      <c r="AA2987" s="8"/>
      <c r="AB2987" s="8"/>
      <c r="AC2987" s="8">
        <v>6.19</v>
      </c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11"/>
      <c r="AQ2987" s="8">
        <f>1432*11.07/1000</f>
        <v>15.85224</v>
      </c>
      <c r="AR2987" s="8"/>
      <c r="AS2987" s="8"/>
      <c r="AT2987" s="8">
        <v>946.7</v>
      </c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>
        <v>61.92</v>
      </c>
      <c r="BG2987" s="8">
        <v>70.680000000000007</v>
      </c>
      <c r="BH2987" s="9">
        <f t="shared" si="414"/>
        <v>1549.44</v>
      </c>
      <c r="BI2987" s="9">
        <f t="shared" si="415"/>
        <v>3.37</v>
      </c>
      <c r="BJ2987" s="9">
        <f t="shared" si="416"/>
        <v>6.22</v>
      </c>
      <c r="BK2987" s="9">
        <f t="shared" si="417"/>
        <v>22.72</v>
      </c>
      <c r="BL2987" s="9">
        <f t="shared" si="418"/>
        <v>0</v>
      </c>
      <c r="BM2987" s="9">
        <f t="shared" si="419"/>
        <v>22.04224</v>
      </c>
      <c r="BN2987" s="9">
        <f t="shared" si="420"/>
        <v>946.7</v>
      </c>
      <c r="BO2987" s="9">
        <f t="shared" si="421"/>
        <v>0</v>
      </c>
      <c r="BP2987" s="9">
        <f t="shared" si="422"/>
        <v>61.92</v>
      </c>
    </row>
    <row r="2988" spans="1:68">
      <c r="A2988" s="6">
        <v>45083</v>
      </c>
      <c r="B2988" s="7">
        <v>3704</v>
      </c>
      <c r="C2988" s="8">
        <v>268.77999999999997</v>
      </c>
      <c r="D2988" s="8">
        <v>402.62</v>
      </c>
      <c r="E2988" s="8"/>
      <c r="F2988" s="8"/>
      <c r="G2988" s="8"/>
      <c r="H2988" s="8"/>
      <c r="I2988" s="8"/>
      <c r="J2988" s="8"/>
      <c r="K2988" s="8"/>
      <c r="L2988" s="8"/>
      <c r="M2988" s="8">
        <v>2.02</v>
      </c>
      <c r="N2988" s="8"/>
      <c r="O2988" s="8"/>
      <c r="P2988" s="8"/>
      <c r="Q2988" s="11"/>
      <c r="R2988" s="11"/>
      <c r="S2988" s="8">
        <v>2.35</v>
      </c>
      <c r="T2988" s="8"/>
      <c r="U2988" s="8">
        <v>5.04</v>
      </c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>
        <v>8.08</v>
      </c>
      <c r="AN2988" s="8"/>
      <c r="AO2988" s="8"/>
      <c r="AP2988" s="11"/>
      <c r="AQ2988" s="8"/>
      <c r="AR2988" s="8"/>
      <c r="AS2988" s="8"/>
      <c r="AT2988" s="8">
        <v>116.69</v>
      </c>
      <c r="AU2988" s="8">
        <v>58.3</v>
      </c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>
        <v>10.81</v>
      </c>
      <c r="BH2988" s="9">
        <f t="shared" si="414"/>
        <v>671.4</v>
      </c>
      <c r="BI2988" s="9">
        <f t="shared" si="415"/>
        <v>2.02</v>
      </c>
      <c r="BJ2988" s="9">
        <f t="shared" si="416"/>
        <v>2.35</v>
      </c>
      <c r="BK2988" s="9">
        <f t="shared" si="417"/>
        <v>5.04</v>
      </c>
      <c r="BL2988" s="9">
        <f t="shared" si="418"/>
        <v>0</v>
      </c>
      <c r="BM2988" s="9">
        <f t="shared" si="419"/>
        <v>8.08</v>
      </c>
      <c r="BN2988" s="9">
        <f t="shared" si="420"/>
        <v>174.99</v>
      </c>
      <c r="BO2988" s="9">
        <f t="shared" si="421"/>
        <v>0</v>
      </c>
      <c r="BP2988" s="9">
        <f t="shared" si="422"/>
        <v>0</v>
      </c>
    </row>
    <row r="2989" spans="1:68">
      <c r="A2989" s="6">
        <v>45083</v>
      </c>
      <c r="B2989" s="7">
        <v>3702</v>
      </c>
      <c r="C2989" s="8">
        <v>985.49</v>
      </c>
      <c r="D2989" s="8">
        <v>658.67</v>
      </c>
      <c r="E2989" s="8"/>
      <c r="F2989" s="8"/>
      <c r="G2989" s="8"/>
      <c r="H2989" s="8"/>
      <c r="I2989" s="8"/>
      <c r="J2989" s="8"/>
      <c r="K2989" s="8"/>
      <c r="L2989" s="8"/>
      <c r="M2989" s="8">
        <v>3.3</v>
      </c>
      <c r="N2989" s="8"/>
      <c r="O2989" s="8"/>
      <c r="P2989" s="8"/>
      <c r="Q2989" s="11"/>
      <c r="R2989" s="11"/>
      <c r="S2989" s="8">
        <v>7.73</v>
      </c>
      <c r="T2989" s="8"/>
      <c r="U2989" s="8">
        <v>12.36</v>
      </c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11"/>
      <c r="AQ2989" s="8"/>
      <c r="AR2989" s="8"/>
      <c r="AS2989" s="8"/>
      <c r="AT2989" s="8">
        <v>401.26</v>
      </c>
      <c r="AU2989" s="8">
        <v>200.55</v>
      </c>
      <c r="AV2989" s="8"/>
      <c r="AW2989" s="8">
        <v>3.68</v>
      </c>
      <c r="AX2989" s="8"/>
      <c r="AY2989" s="8"/>
      <c r="AZ2989" s="8"/>
      <c r="BA2989" s="8"/>
      <c r="BB2989" s="8"/>
      <c r="BC2989" s="8"/>
      <c r="BD2989" s="8"/>
      <c r="BE2989" s="8"/>
      <c r="BF2989" s="8"/>
      <c r="BG2989" s="8">
        <v>42.1</v>
      </c>
      <c r="BH2989" s="9">
        <f t="shared" si="414"/>
        <v>1644.1599999999999</v>
      </c>
      <c r="BI2989" s="9">
        <f t="shared" si="415"/>
        <v>3.3</v>
      </c>
      <c r="BJ2989" s="9">
        <f t="shared" si="416"/>
        <v>7.73</v>
      </c>
      <c r="BK2989" s="9">
        <f t="shared" si="417"/>
        <v>12.36</v>
      </c>
      <c r="BL2989" s="9">
        <f t="shared" si="418"/>
        <v>0</v>
      </c>
      <c r="BM2989" s="9">
        <f t="shared" si="419"/>
        <v>0</v>
      </c>
      <c r="BN2989" s="9">
        <f t="shared" si="420"/>
        <v>601.80999999999995</v>
      </c>
      <c r="BO2989" s="9">
        <f t="shared" si="421"/>
        <v>3.68</v>
      </c>
      <c r="BP2989" s="9">
        <f t="shared" si="422"/>
        <v>0</v>
      </c>
    </row>
    <row r="2990" spans="1:68">
      <c r="A2990" s="6">
        <v>45084</v>
      </c>
      <c r="B2990" s="7">
        <v>3200</v>
      </c>
      <c r="C2990" s="8">
        <v>2280.66</v>
      </c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>
        <v>5.72</v>
      </c>
      <c r="P2990" s="8"/>
      <c r="Q2990" s="11"/>
      <c r="R2990" s="11"/>
      <c r="S2990" s="8">
        <v>8.9</v>
      </c>
      <c r="T2990" s="8"/>
      <c r="U2990" s="8">
        <v>34.22</v>
      </c>
      <c r="V2990" s="8"/>
      <c r="W2990" s="8"/>
      <c r="X2990" s="8"/>
      <c r="Y2990" s="8"/>
      <c r="Z2990" s="8">
        <v>479.46</v>
      </c>
      <c r="AA2990" s="8"/>
      <c r="AB2990" s="8"/>
      <c r="AC2990" s="8"/>
      <c r="AD2990" s="8"/>
      <c r="AE2990" s="8"/>
      <c r="AF2990" s="8">
        <v>114.08</v>
      </c>
      <c r="AG2990" s="8"/>
      <c r="AH2990" s="8"/>
      <c r="AI2990" s="8"/>
      <c r="AJ2990" s="8"/>
      <c r="AK2990" s="8"/>
      <c r="AL2990" s="8"/>
      <c r="AM2990" s="8"/>
      <c r="AN2990" s="8"/>
      <c r="AO2990" s="8"/>
      <c r="AP2990" s="11"/>
      <c r="AQ2990" s="8">
        <f>1532*22.82/1000</f>
        <v>34.960239999999999</v>
      </c>
      <c r="AR2990" s="8"/>
      <c r="AS2990" s="8"/>
      <c r="AT2990" s="8">
        <v>1561.03</v>
      </c>
      <c r="AU2990" s="8"/>
      <c r="AV2990" s="8"/>
      <c r="AW2990" s="8">
        <v>6.56</v>
      </c>
      <c r="AX2990" s="8"/>
      <c r="AY2990" s="8"/>
      <c r="AZ2990" s="8"/>
      <c r="BA2990" s="8"/>
      <c r="BB2990" s="8"/>
      <c r="BC2990" s="8"/>
      <c r="BD2990" s="8"/>
      <c r="BE2990" s="8"/>
      <c r="BF2990" s="8">
        <v>109.55</v>
      </c>
      <c r="BG2990" s="8">
        <v>113.17</v>
      </c>
      <c r="BH2990" s="9">
        <f t="shared" si="414"/>
        <v>2280.66</v>
      </c>
      <c r="BI2990" s="9">
        <f t="shared" si="415"/>
        <v>5.72</v>
      </c>
      <c r="BJ2990" s="9">
        <f t="shared" si="416"/>
        <v>8.9</v>
      </c>
      <c r="BK2990" s="9">
        <f t="shared" si="417"/>
        <v>34.22</v>
      </c>
      <c r="BL2990" s="9">
        <f t="shared" si="418"/>
        <v>479.46</v>
      </c>
      <c r="BM2990" s="9">
        <f t="shared" si="419"/>
        <v>149.04023999999998</v>
      </c>
      <c r="BN2990" s="9">
        <f t="shared" si="420"/>
        <v>1561.03</v>
      </c>
      <c r="BO2990" s="9">
        <f t="shared" si="421"/>
        <v>6.56</v>
      </c>
      <c r="BP2990" s="9">
        <f t="shared" si="422"/>
        <v>109.55</v>
      </c>
    </row>
    <row r="2991" spans="1:68">
      <c r="A2991" s="6">
        <v>45084</v>
      </c>
      <c r="B2991" s="7">
        <v>3200</v>
      </c>
      <c r="C2991" s="8">
        <v>2322.1799999999998</v>
      </c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>
        <v>5.8</v>
      </c>
      <c r="P2991" s="8"/>
      <c r="Q2991" s="11"/>
      <c r="R2991" s="11"/>
      <c r="S2991" s="8">
        <v>9.06</v>
      </c>
      <c r="T2991" s="8"/>
      <c r="U2991" s="8">
        <v>34.83</v>
      </c>
      <c r="V2991" s="8"/>
      <c r="W2991" s="8"/>
      <c r="X2991" s="8"/>
      <c r="Y2991" s="8"/>
      <c r="Z2991" s="8">
        <v>478.93</v>
      </c>
      <c r="AA2991" s="8"/>
      <c r="AB2991" s="8"/>
      <c r="AC2991" s="8"/>
      <c r="AD2991" s="8"/>
      <c r="AE2991" s="8"/>
      <c r="AF2991" s="8">
        <v>115.43</v>
      </c>
      <c r="AG2991" s="8"/>
      <c r="AH2991" s="8"/>
      <c r="AI2991" s="8"/>
      <c r="AJ2991" s="8"/>
      <c r="AK2991" s="8"/>
      <c r="AL2991" s="8"/>
      <c r="AM2991" s="8"/>
      <c r="AN2991" s="8"/>
      <c r="AO2991" s="8"/>
      <c r="AP2991" s="11"/>
      <c r="AQ2991" s="8">
        <f>1532*23.22/1000</f>
        <v>35.573039999999999</v>
      </c>
      <c r="AR2991" s="8"/>
      <c r="AS2991" s="8"/>
      <c r="AT2991" s="8">
        <v>1591.79</v>
      </c>
      <c r="AU2991" s="8"/>
      <c r="AV2991" s="8"/>
      <c r="AW2991" s="8">
        <v>6.68</v>
      </c>
      <c r="AX2991" s="8"/>
      <c r="AY2991" s="8"/>
      <c r="AZ2991" s="8"/>
      <c r="BA2991" s="8"/>
      <c r="BB2991" s="8"/>
      <c r="BC2991" s="8"/>
      <c r="BD2991" s="8"/>
      <c r="BE2991" s="8"/>
      <c r="BF2991" s="8">
        <v>111.46</v>
      </c>
      <c r="BG2991" s="8">
        <v>114.68</v>
      </c>
      <c r="BH2991" s="9">
        <f t="shared" si="414"/>
        <v>2322.1799999999998</v>
      </c>
      <c r="BI2991" s="9">
        <f t="shared" si="415"/>
        <v>5.8</v>
      </c>
      <c r="BJ2991" s="9">
        <f t="shared" si="416"/>
        <v>9.06</v>
      </c>
      <c r="BK2991" s="9">
        <f t="shared" si="417"/>
        <v>34.83</v>
      </c>
      <c r="BL2991" s="9">
        <f t="shared" si="418"/>
        <v>478.93</v>
      </c>
      <c r="BM2991" s="9">
        <f t="shared" si="419"/>
        <v>151.00304</v>
      </c>
      <c r="BN2991" s="9">
        <f t="shared" si="420"/>
        <v>1591.79</v>
      </c>
      <c r="BO2991" s="9">
        <f t="shared" si="421"/>
        <v>6.68</v>
      </c>
      <c r="BP2991" s="9">
        <f t="shared" si="422"/>
        <v>111.46</v>
      </c>
    </row>
    <row r="2992" spans="1:68">
      <c r="A2992" s="6">
        <v>45084</v>
      </c>
      <c r="B2992" s="7">
        <v>3025</v>
      </c>
      <c r="C2992" s="8"/>
      <c r="D2992" s="8">
        <v>222.42</v>
      </c>
      <c r="E2992" s="8"/>
      <c r="F2992" s="8"/>
      <c r="G2992" s="8"/>
      <c r="H2992" s="8"/>
      <c r="I2992" s="8">
        <v>1270.4000000000001</v>
      </c>
      <c r="J2992" s="8"/>
      <c r="K2992" s="8"/>
      <c r="L2992" s="8"/>
      <c r="M2992" s="8"/>
      <c r="N2992" s="8">
        <v>8.23</v>
      </c>
      <c r="O2992" s="8"/>
      <c r="P2992" s="8"/>
      <c r="Q2992" s="11"/>
      <c r="R2992" s="11"/>
      <c r="S2992" s="8">
        <v>2.39</v>
      </c>
      <c r="T2992" s="8"/>
      <c r="U2992" s="8"/>
      <c r="V2992" s="8"/>
      <c r="W2992" s="8">
        <v>13.47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>
        <v>14.9</v>
      </c>
      <c r="AN2992" s="8">
        <f>709*14.95/1000</f>
        <v>10.599549999999999</v>
      </c>
      <c r="AO2992" s="8"/>
      <c r="AP2992" s="11"/>
      <c r="AQ2992" s="8"/>
      <c r="AR2992" s="8"/>
      <c r="AS2992" s="8">
        <f>3390*14.95/1000</f>
        <v>50.680500000000002</v>
      </c>
      <c r="AT2992" s="8">
        <v>516.58000000000004</v>
      </c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>
        <v>34.25</v>
      </c>
      <c r="BH2992" s="9">
        <f t="shared" si="414"/>
        <v>1492.8200000000002</v>
      </c>
      <c r="BI2992" s="9">
        <f t="shared" si="415"/>
        <v>8.23</v>
      </c>
      <c r="BJ2992" s="9">
        <f t="shared" si="416"/>
        <v>2.39</v>
      </c>
      <c r="BK2992" s="9">
        <f t="shared" si="417"/>
        <v>13.47</v>
      </c>
      <c r="BL2992" s="9">
        <f t="shared" si="418"/>
        <v>0</v>
      </c>
      <c r="BM2992" s="9">
        <f t="shared" si="419"/>
        <v>76.180049999999994</v>
      </c>
      <c r="BN2992" s="9">
        <f t="shared" si="420"/>
        <v>516.58000000000004</v>
      </c>
      <c r="BO2992" s="9">
        <f t="shared" si="421"/>
        <v>0</v>
      </c>
      <c r="BP2992" s="9">
        <f t="shared" si="422"/>
        <v>0</v>
      </c>
    </row>
    <row r="2993" spans="1:68">
      <c r="A2993" s="6">
        <v>45084</v>
      </c>
      <c r="B2993" s="7">
        <v>3028</v>
      </c>
      <c r="C2993" s="8"/>
      <c r="D2993" s="8">
        <v>420.94</v>
      </c>
      <c r="E2993" s="8"/>
      <c r="F2993" s="8">
        <v>387.5</v>
      </c>
      <c r="G2993" s="8"/>
      <c r="H2993" s="8"/>
      <c r="I2993" s="8">
        <v>876.42</v>
      </c>
      <c r="J2993" s="8"/>
      <c r="K2993" s="8"/>
      <c r="L2993" s="8"/>
      <c r="M2993" s="8"/>
      <c r="N2993" s="8">
        <v>12.94</v>
      </c>
      <c r="O2993" s="8"/>
      <c r="P2993" s="8"/>
      <c r="Q2993" s="11"/>
      <c r="R2993" s="11"/>
      <c r="S2993" s="8">
        <v>2.36</v>
      </c>
      <c r="T2993" s="8"/>
      <c r="U2993" s="8"/>
      <c r="V2993" s="8"/>
      <c r="W2993" s="8">
        <v>12.63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>
        <v>16.77</v>
      </c>
      <c r="AN2993" s="8">
        <f>1044*11.22/1000</f>
        <v>11.71368</v>
      </c>
      <c r="AO2993" s="8"/>
      <c r="AP2993" s="11"/>
      <c r="AQ2993" s="8"/>
      <c r="AR2993" s="8"/>
      <c r="AS2993" s="8">
        <f>4947*11.22/1000</f>
        <v>55.505340000000004</v>
      </c>
      <c r="AT2993" s="8">
        <v>561.15</v>
      </c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>
        <v>38.33</v>
      </c>
      <c r="BH2993" s="9">
        <f t="shared" si="414"/>
        <v>1684.8600000000001</v>
      </c>
      <c r="BI2993" s="9">
        <f t="shared" si="415"/>
        <v>12.94</v>
      </c>
      <c r="BJ2993" s="9">
        <f t="shared" si="416"/>
        <v>2.36</v>
      </c>
      <c r="BK2993" s="9">
        <f t="shared" si="417"/>
        <v>12.63</v>
      </c>
      <c r="BL2993" s="9">
        <f t="shared" si="418"/>
        <v>0</v>
      </c>
      <c r="BM2993" s="9">
        <f t="shared" si="419"/>
        <v>83.989020000000011</v>
      </c>
      <c r="BN2993" s="9">
        <f t="shared" si="420"/>
        <v>561.15</v>
      </c>
      <c r="BO2993" s="9">
        <f t="shared" si="421"/>
        <v>0</v>
      </c>
      <c r="BP2993" s="9">
        <f t="shared" si="422"/>
        <v>0</v>
      </c>
    </row>
    <row r="2994" spans="1:68">
      <c r="A2994" s="6">
        <v>45084</v>
      </c>
      <c r="B2994" s="7">
        <v>3022</v>
      </c>
      <c r="C2994" s="8"/>
      <c r="D2994" s="8">
        <v>321.52</v>
      </c>
      <c r="E2994" s="8"/>
      <c r="F2994" s="8"/>
      <c r="G2994" s="8"/>
      <c r="H2994" s="8"/>
      <c r="I2994" s="8">
        <v>263.72000000000003</v>
      </c>
      <c r="J2994" s="8"/>
      <c r="K2994" s="8"/>
      <c r="L2994" s="8"/>
      <c r="M2994" s="8"/>
      <c r="N2994" s="8">
        <v>2.95</v>
      </c>
      <c r="O2994" s="8"/>
      <c r="P2994" s="8"/>
      <c r="Q2994" s="11"/>
      <c r="R2994" s="11"/>
      <c r="S2994" s="8">
        <v>1.06</v>
      </c>
      <c r="T2994" s="8"/>
      <c r="U2994" s="8"/>
      <c r="V2994" s="8"/>
      <c r="W2994" s="8">
        <v>5.86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>
        <v>7.61</v>
      </c>
      <c r="AN2994" s="8"/>
      <c r="AO2994" s="8"/>
      <c r="AP2994" s="11"/>
      <c r="AQ2994" s="8"/>
      <c r="AR2994" s="8"/>
      <c r="AS2994" s="8">
        <f>3865*5.33/1000</f>
        <v>20.600450000000002</v>
      </c>
      <c r="AT2994" s="8">
        <v>273.83999999999997</v>
      </c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>
        <v>21.11</v>
      </c>
      <c r="BH2994" s="9">
        <f t="shared" si="414"/>
        <v>585.24</v>
      </c>
      <c r="BI2994" s="9">
        <f t="shared" si="415"/>
        <v>2.95</v>
      </c>
      <c r="BJ2994" s="9">
        <f t="shared" si="416"/>
        <v>1.06</v>
      </c>
      <c r="BK2994" s="9">
        <f t="shared" si="417"/>
        <v>5.86</v>
      </c>
      <c r="BL2994" s="9">
        <f t="shared" si="418"/>
        <v>0</v>
      </c>
      <c r="BM2994" s="9">
        <f t="shared" si="419"/>
        <v>28.210450000000002</v>
      </c>
      <c r="BN2994" s="9">
        <f t="shared" si="420"/>
        <v>273.83999999999997</v>
      </c>
      <c r="BO2994" s="9">
        <f t="shared" si="421"/>
        <v>0</v>
      </c>
      <c r="BP2994" s="9">
        <f t="shared" si="422"/>
        <v>0</v>
      </c>
    </row>
    <row r="2995" spans="1:68">
      <c r="A2995" s="6">
        <v>45084</v>
      </c>
      <c r="B2995" s="7">
        <v>3079</v>
      </c>
      <c r="C2995" s="8"/>
      <c r="D2995" s="8"/>
      <c r="E2995" s="8"/>
      <c r="F2995" s="8">
        <v>345.74</v>
      </c>
      <c r="G2995" s="8"/>
      <c r="H2995" s="8"/>
      <c r="I2995" s="8">
        <v>2795.64</v>
      </c>
      <c r="J2995" s="8"/>
      <c r="K2995" s="8"/>
      <c r="L2995" s="8"/>
      <c r="M2995" s="8"/>
      <c r="N2995" s="8">
        <v>22.95</v>
      </c>
      <c r="O2995" s="8"/>
      <c r="P2995" s="8"/>
      <c r="Q2995" s="11"/>
      <c r="R2995" s="11"/>
      <c r="S2995" s="8">
        <v>1.24</v>
      </c>
      <c r="T2995" s="8"/>
      <c r="U2995" s="8"/>
      <c r="V2995" s="8"/>
      <c r="W2995" s="8">
        <v>31.47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>
        <v>12.55</v>
      </c>
      <c r="AN2995" s="8">
        <f>1713*18.48/1000</f>
        <v>31.65624</v>
      </c>
      <c r="AO2995" s="8"/>
      <c r="AP2995" s="11"/>
      <c r="AQ2995" s="8"/>
      <c r="AR2995" s="8">
        <f>4357*18.48/1000</f>
        <v>80.517359999999996</v>
      </c>
      <c r="AS2995" s="8"/>
      <c r="AT2995" s="8">
        <v>1213.1400000000001</v>
      </c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>
        <v>88.1</v>
      </c>
      <c r="BH2995" s="9">
        <f t="shared" si="414"/>
        <v>3141.38</v>
      </c>
      <c r="BI2995" s="9">
        <f t="shared" si="415"/>
        <v>22.95</v>
      </c>
      <c r="BJ2995" s="9">
        <f t="shared" si="416"/>
        <v>1.24</v>
      </c>
      <c r="BK2995" s="9">
        <f t="shared" si="417"/>
        <v>31.47</v>
      </c>
      <c r="BL2995" s="9">
        <f t="shared" si="418"/>
        <v>0</v>
      </c>
      <c r="BM2995" s="9">
        <f t="shared" si="419"/>
        <v>124.7236</v>
      </c>
      <c r="BN2995" s="9">
        <f t="shared" si="420"/>
        <v>1213.1400000000001</v>
      </c>
      <c r="BO2995" s="9">
        <f t="shared" si="421"/>
        <v>0</v>
      </c>
      <c r="BP2995" s="9">
        <f t="shared" si="422"/>
        <v>0</v>
      </c>
    </row>
    <row r="2996" spans="1:68">
      <c r="A2996" s="6">
        <v>45084</v>
      </c>
      <c r="B2996" s="7">
        <v>3029</v>
      </c>
      <c r="C2996" s="8"/>
      <c r="D2996" s="8">
        <v>472.28</v>
      </c>
      <c r="E2996" s="8"/>
      <c r="F2996" s="8">
        <v>333.96</v>
      </c>
      <c r="G2996" s="8"/>
      <c r="H2996" s="8"/>
      <c r="I2996" s="8">
        <v>1974.55</v>
      </c>
      <c r="J2996" s="8"/>
      <c r="K2996" s="8"/>
      <c r="L2996" s="8"/>
      <c r="M2996" s="8"/>
      <c r="N2996" s="8">
        <v>21.98</v>
      </c>
      <c r="O2996" s="8"/>
      <c r="P2996" s="8"/>
      <c r="Q2996" s="11"/>
      <c r="R2996" s="11"/>
      <c r="S2996" s="8">
        <v>1.66</v>
      </c>
      <c r="T2996" s="8"/>
      <c r="U2996" s="8"/>
      <c r="V2996" s="8"/>
      <c r="W2996" s="8">
        <v>27.81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>
        <v>9.76</v>
      </c>
      <c r="AN2996" s="8">
        <f>759*18.55/1000</f>
        <v>14.079450000000001</v>
      </c>
      <c r="AO2996" s="8"/>
      <c r="AP2996" s="11"/>
      <c r="AQ2996" s="8"/>
      <c r="AR2996" s="8">
        <f>4633*18.55/1000</f>
        <v>85.942150000000012</v>
      </c>
      <c r="AS2996" s="8"/>
      <c r="AT2996" s="8">
        <v>1055.47</v>
      </c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>
        <v>73.48</v>
      </c>
      <c r="BH2996" s="9">
        <f t="shared" si="414"/>
        <v>2780.79</v>
      </c>
      <c r="BI2996" s="9">
        <f t="shared" si="415"/>
        <v>21.98</v>
      </c>
      <c r="BJ2996" s="9">
        <f t="shared" si="416"/>
        <v>1.66</v>
      </c>
      <c r="BK2996" s="9">
        <f t="shared" si="417"/>
        <v>27.81</v>
      </c>
      <c r="BL2996" s="9">
        <f t="shared" si="418"/>
        <v>0</v>
      </c>
      <c r="BM2996" s="9">
        <f t="shared" si="419"/>
        <v>109.78160000000001</v>
      </c>
      <c r="BN2996" s="9">
        <f t="shared" si="420"/>
        <v>1055.47</v>
      </c>
      <c r="BO2996" s="9">
        <f t="shared" si="421"/>
        <v>0</v>
      </c>
      <c r="BP2996" s="9">
        <f t="shared" si="422"/>
        <v>0</v>
      </c>
    </row>
    <row r="2997" spans="1:68">
      <c r="A2997" s="6">
        <v>45084</v>
      </c>
      <c r="B2997" s="7">
        <v>3106</v>
      </c>
      <c r="C2997" s="8">
        <v>2131.84</v>
      </c>
      <c r="D2997" s="8"/>
      <c r="E2997" s="8"/>
      <c r="F2997" s="8"/>
      <c r="G2997" s="8"/>
      <c r="H2997" s="8"/>
      <c r="I2997" s="8"/>
      <c r="J2997" s="8"/>
      <c r="K2997" s="8"/>
      <c r="L2997" s="8"/>
      <c r="M2997" s="8">
        <v>5.9</v>
      </c>
      <c r="N2997" s="8"/>
      <c r="O2997" s="8"/>
      <c r="P2997" s="8"/>
      <c r="Q2997" s="11"/>
      <c r="R2997" s="11"/>
      <c r="S2997" s="8">
        <v>6.41</v>
      </c>
      <c r="T2997" s="8"/>
      <c r="U2997" s="8">
        <v>27.11</v>
      </c>
      <c r="V2997" s="8"/>
      <c r="W2997" s="8"/>
      <c r="X2997" s="8"/>
      <c r="Y2997" s="8"/>
      <c r="Z2997" s="8"/>
      <c r="AA2997" s="8"/>
      <c r="AB2997" s="8"/>
      <c r="AC2997" s="8">
        <v>5.33</v>
      </c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11"/>
      <c r="AQ2997" s="8"/>
      <c r="AR2997" s="8"/>
      <c r="AS2997" s="8"/>
      <c r="AT2997" s="8">
        <v>1215.3</v>
      </c>
      <c r="AU2997" s="8"/>
      <c r="AV2997" s="8"/>
      <c r="AW2997" s="8"/>
      <c r="AX2997" s="8">
        <v>2.67</v>
      </c>
      <c r="AY2997" s="8"/>
      <c r="AZ2997" s="8"/>
      <c r="BA2997" s="8"/>
      <c r="BB2997" s="8"/>
      <c r="BC2997" s="8"/>
      <c r="BD2997" s="8"/>
      <c r="BE2997" s="8"/>
      <c r="BF2997" s="8"/>
      <c r="BG2997" s="8">
        <v>91.89</v>
      </c>
      <c r="BH2997" s="9">
        <f t="shared" si="414"/>
        <v>2131.84</v>
      </c>
      <c r="BI2997" s="9">
        <f t="shared" si="415"/>
        <v>5.9</v>
      </c>
      <c r="BJ2997" s="9">
        <f t="shared" si="416"/>
        <v>6.41</v>
      </c>
      <c r="BK2997" s="9">
        <f t="shared" si="417"/>
        <v>27.11</v>
      </c>
      <c r="BL2997" s="9">
        <f t="shared" si="418"/>
        <v>0</v>
      </c>
      <c r="BM2997" s="9">
        <f t="shared" si="419"/>
        <v>5.33</v>
      </c>
      <c r="BN2997" s="9">
        <f t="shared" si="420"/>
        <v>1215.3</v>
      </c>
      <c r="BO2997" s="9">
        <f t="shared" si="421"/>
        <v>2.67</v>
      </c>
      <c r="BP2997" s="9">
        <f t="shared" si="422"/>
        <v>0</v>
      </c>
    </row>
    <row r="2998" spans="1:68">
      <c r="A2998" s="6">
        <v>45085</v>
      </c>
      <c r="B2998" s="7">
        <v>3204</v>
      </c>
      <c r="C2998" s="8"/>
      <c r="D2998" s="8">
        <v>1032.81</v>
      </c>
      <c r="E2998" s="8">
        <v>441.54</v>
      </c>
      <c r="F2998" s="8"/>
      <c r="G2998" s="8"/>
      <c r="H2998" s="8"/>
      <c r="I2998" s="8"/>
      <c r="J2998" s="8"/>
      <c r="K2998" s="8"/>
      <c r="L2998" s="8"/>
      <c r="M2998" s="8"/>
      <c r="N2998" s="8"/>
      <c r="O2998" s="8">
        <v>7.39</v>
      </c>
      <c r="P2998" s="8"/>
      <c r="Q2998" s="11"/>
      <c r="R2998" s="11"/>
      <c r="S2998" s="8">
        <v>5.0199999999999996</v>
      </c>
      <c r="T2998" s="8"/>
      <c r="U2998" s="8">
        <v>16.25</v>
      </c>
      <c r="V2998" s="8"/>
      <c r="W2998" s="8"/>
      <c r="X2998" s="8"/>
      <c r="Y2998" s="8"/>
      <c r="Z2998" s="8">
        <v>221.74</v>
      </c>
      <c r="AA2998" s="8"/>
      <c r="AB2998" s="8">
        <f>714*10.53/1000</f>
        <v>7.518419999999999</v>
      </c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11"/>
      <c r="AQ2998" s="8"/>
      <c r="AR2998" s="8"/>
      <c r="AS2998" s="8"/>
      <c r="AT2998" s="8">
        <v>649.91</v>
      </c>
      <c r="AU2998" s="8"/>
      <c r="AV2998" s="8"/>
      <c r="AW2998" s="8">
        <v>4.72</v>
      </c>
      <c r="AX2998" s="8"/>
      <c r="AY2998" s="8"/>
      <c r="AZ2998" s="8"/>
      <c r="BA2998" s="8"/>
      <c r="BB2998" s="8"/>
      <c r="BC2998" s="8"/>
      <c r="BD2998" s="8"/>
      <c r="BE2998" s="8"/>
      <c r="BF2998" s="8"/>
      <c r="BG2998" s="8">
        <v>48.02</v>
      </c>
      <c r="BH2998" s="9">
        <f t="shared" si="414"/>
        <v>1474.35</v>
      </c>
      <c r="BI2998" s="9">
        <f t="shared" si="415"/>
        <v>7.39</v>
      </c>
      <c r="BJ2998" s="9">
        <f t="shared" si="416"/>
        <v>5.0199999999999996</v>
      </c>
      <c r="BK2998" s="9">
        <f t="shared" si="417"/>
        <v>16.25</v>
      </c>
      <c r="BL2998" s="9">
        <f t="shared" si="418"/>
        <v>221.74</v>
      </c>
      <c r="BM2998" s="9">
        <f t="shared" si="419"/>
        <v>7.518419999999999</v>
      </c>
      <c r="BN2998" s="9">
        <f t="shared" si="420"/>
        <v>649.91</v>
      </c>
      <c r="BO2998" s="9">
        <f t="shared" si="421"/>
        <v>4.72</v>
      </c>
      <c r="BP2998" s="9">
        <f t="shared" si="422"/>
        <v>0</v>
      </c>
    </row>
    <row r="2999" spans="1:68">
      <c r="A2999" s="6">
        <v>45085</v>
      </c>
      <c r="B2999" s="7">
        <v>3139</v>
      </c>
      <c r="C2999" s="8">
        <v>1174.27</v>
      </c>
      <c r="D2999" s="8"/>
      <c r="E2999" s="8"/>
      <c r="F2999" s="8"/>
      <c r="G2999" s="8"/>
      <c r="H2999" s="8">
        <v>487.48</v>
      </c>
      <c r="I2999" s="8"/>
      <c r="J2999" s="8"/>
      <c r="K2999" s="8"/>
      <c r="L2999" s="8"/>
      <c r="M2999" s="8">
        <v>2.71</v>
      </c>
      <c r="N2999" s="8"/>
      <c r="O2999" s="8"/>
      <c r="P2999" s="8"/>
      <c r="Q2999" s="11"/>
      <c r="R2999" s="11"/>
      <c r="S2999" s="8">
        <v>5.2</v>
      </c>
      <c r="T2999" s="8"/>
      <c r="U2999" s="8">
        <v>17.39</v>
      </c>
      <c r="V2999" s="8"/>
      <c r="W2999" s="8"/>
      <c r="X2999" s="8"/>
      <c r="Y2999" s="8"/>
      <c r="Z2999" s="8"/>
      <c r="AA2999" s="8"/>
      <c r="AB2999" s="8"/>
      <c r="AC2999" s="8">
        <v>5.8</v>
      </c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11"/>
      <c r="AQ2999" s="8"/>
      <c r="AR2999" s="8"/>
      <c r="AS2999" s="8"/>
      <c r="AT2999" s="8">
        <v>853.5</v>
      </c>
      <c r="AU2999" s="8"/>
      <c r="AV2999" s="8">
        <v>28.94</v>
      </c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>
        <v>62.23</v>
      </c>
      <c r="BH2999" s="9">
        <f t="shared" si="414"/>
        <v>1661.75</v>
      </c>
      <c r="BI2999" s="9">
        <f t="shared" si="415"/>
        <v>2.71</v>
      </c>
      <c r="BJ2999" s="9">
        <f t="shared" si="416"/>
        <v>5.2</v>
      </c>
      <c r="BK2999" s="9">
        <f t="shared" si="417"/>
        <v>17.39</v>
      </c>
      <c r="BL2999" s="9">
        <f t="shared" si="418"/>
        <v>0</v>
      </c>
      <c r="BM2999" s="9">
        <f t="shared" si="419"/>
        <v>5.8</v>
      </c>
      <c r="BN2999" s="9">
        <f t="shared" si="420"/>
        <v>853.5</v>
      </c>
      <c r="BO2999" s="9">
        <f t="shared" si="421"/>
        <v>28.94</v>
      </c>
      <c r="BP2999" s="9">
        <f t="shared" si="422"/>
        <v>0</v>
      </c>
    </row>
    <row r="3000" spans="1:68">
      <c r="A3000" s="6">
        <v>45085</v>
      </c>
      <c r="B3000" s="7">
        <v>3016</v>
      </c>
      <c r="C3000" s="8"/>
      <c r="D3000" s="8">
        <v>2485.2399999999998</v>
      </c>
      <c r="E3000" s="8"/>
      <c r="F3000" s="8"/>
      <c r="G3000" s="8"/>
      <c r="H3000" s="8"/>
      <c r="I3000" s="8">
        <v>2292.58</v>
      </c>
      <c r="J3000" s="8"/>
      <c r="K3000" s="8"/>
      <c r="L3000" s="8"/>
      <c r="M3000" s="8"/>
      <c r="N3000" s="8">
        <v>29.64</v>
      </c>
      <c r="O3000" s="8"/>
      <c r="P3000" s="8"/>
      <c r="Q3000" s="11"/>
      <c r="R3000" s="11"/>
      <c r="S3000" s="8">
        <v>3.34</v>
      </c>
      <c r="T3000" s="8"/>
      <c r="U3000" s="8"/>
      <c r="V3000" s="8"/>
      <c r="W3000" s="8">
        <v>47.81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>
        <v>19.11</v>
      </c>
      <c r="AN3000" s="8">
        <f>2046*28.1/1000</f>
        <v>57.492600000000003</v>
      </c>
      <c r="AO3000" s="8"/>
      <c r="AP3000" s="11"/>
      <c r="AQ3000" s="8"/>
      <c r="AR3000" s="8">
        <f>4325*28.1/1000</f>
        <v>121.5325</v>
      </c>
      <c r="AS3000" s="8"/>
      <c r="AT3000" s="8">
        <v>1775.09</v>
      </c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>
        <v>129.88999999999999</v>
      </c>
      <c r="BH3000" s="9">
        <f t="shared" si="414"/>
        <v>4777.82</v>
      </c>
      <c r="BI3000" s="9">
        <f t="shared" si="415"/>
        <v>29.64</v>
      </c>
      <c r="BJ3000" s="9">
        <f t="shared" si="416"/>
        <v>3.34</v>
      </c>
      <c r="BK3000" s="9">
        <f t="shared" si="417"/>
        <v>47.81</v>
      </c>
      <c r="BL3000" s="9">
        <f t="shared" si="418"/>
        <v>0</v>
      </c>
      <c r="BM3000" s="9">
        <f t="shared" si="419"/>
        <v>198.13509999999999</v>
      </c>
      <c r="BN3000" s="9">
        <f t="shared" si="420"/>
        <v>1775.09</v>
      </c>
      <c r="BO3000" s="9">
        <f t="shared" si="421"/>
        <v>0</v>
      </c>
      <c r="BP3000" s="9">
        <f t="shared" si="422"/>
        <v>0</v>
      </c>
    </row>
    <row r="3001" spans="1:68">
      <c r="A3001" s="6">
        <v>45085</v>
      </c>
      <c r="B3001" s="7">
        <v>3204</v>
      </c>
      <c r="C3001" s="8"/>
      <c r="D3001" s="8">
        <v>986.89</v>
      </c>
      <c r="E3001" s="8">
        <v>421.32</v>
      </c>
      <c r="F3001" s="8"/>
      <c r="G3001" s="8"/>
      <c r="H3001" s="8"/>
      <c r="I3001" s="8"/>
      <c r="J3001" s="8"/>
      <c r="K3001" s="8"/>
      <c r="L3001" s="8"/>
      <c r="M3001" s="8"/>
      <c r="N3001" s="8"/>
      <c r="O3001" s="8">
        <v>7.07</v>
      </c>
      <c r="P3001" s="8"/>
      <c r="Q3001" s="11"/>
      <c r="R3001" s="11"/>
      <c r="S3001" s="8">
        <v>4.8</v>
      </c>
      <c r="T3001" s="8"/>
      <c r="U3001" s="8">
        <v>15.58</v>
      </c>
      <c r="V3001" s="8"/>
      <c r="W3001" s="8"/>
      <c r="X3001" s="8"/>
      <c r="Y3001" s="8"/>
      <c r="Z3001" s="8">
        <v>212.14</v>
      </c>
      <c r="AA3001" s="8"/>
      <c r="AB3001" s="8">
        <f>714*10.08/1000</f>
        <v>7.19712</v>
      </c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11"/>
      <c r="AQ3001" s="8"/>
      <c r="AR3001" s="8"/>
      <c r="AS3001" s="8"/>
      <c r="AT3001" s="8">
        <v>621.25</v>
      </c>
      <c r="AU3001" s="8"/>
      <c r="AV3001" s="8"/>
      <c r="AW3001" s="8">
        <v>4.49</v>
      </c>
      <c r="AX3001" s="8"/>
      <c r="AY3001" s="8"/>
      <c r="AZ3001" s="8"/>
      <c r="BA3001" s="8"/>
      <c r="BB3001" s="8"/>
      <c r="BC3001" s="8"/>
      <c r="BD3001" s="8"/>
      <c r="BE3001" s="8"/>
      <c r="BF3001" s="8"/>
      <c r="BG3001" s="8">
        <v>45.94</v>
      </c>
      <c r="BH3001" s="9">
        <f t="shared" si="414"/>
        <v>1408.21</v>
      </c>
      <c r="BI3001" s="9">
        <f t="shared" si="415"/>
        <v>7.07</v>
      </c>
      <c r="BJ3001" s="9">
        <f t="shared" si="416"/>
        <v>4.8</v>
      </c>
      <c r="BK3001" s="9">
        <f t="shared" si="417"/>
        <v>15.58</v>
      </c>
      <c r="BL3001" s="9">
        <f t="shared" si="418"/>
        <v>212.14</v>
      </c>
      <c r="BM3001" s="9">
        <f t="shared" si="419"/>
        <v>7.19712</v>
      </c>
      <c r="BN3001" s="9">
        <f t="shared" si="420"/>
        <v>621.25</v>
      </c>
      <c r="BO3001" s="9">
        <f t="shared" si="421"/>
        <v>4.49</v>
      </c>
      <c r="BP3001" s="9">
        <f t="shared" si="422"/>
        <v>0</v>
      </c>
    </row>
    <row r="3002" spans="1:68">
      <c r="A3002" s="6">
        <v>45085</v>
      </c>
      <c r="B3002" s="7">
        <v>3139</v>
      </c>
      <c r="C3002" s="8">
        <v>1869.53</v>
      </c>
      <c r="D3002" s="8"/>
      <c r="E3002" s="8"/>
      <c r="F3002" s="8"/>
      <c r="G3002" s="8"/>
      <c r="H3002" s="8">
        <v>776.59</v>
      </c>
      <c r="I3002" s="8"/>
      <c r="J3002" s="8"/>
      <c r="K3002" s="8"/>
      <c r="L3002" s="8"/>
      <c r="M3002" s="8">
        <v>4.38</v>
      </c>
      <c r="N3002" s="8"/>
      <c r="O3002" s="8"/>
      <c r="P3002" s="8"/>
      <c r="Q3002" s="11"/>
      <c r="R3002" s="11"/>
      <c r="S3002" s="8">
        <v>8.2799999999999994</v>
      </c>
      <c r="T3002" s="8"/>
      <c r="U3002" s="8">
        <v>27.62</v>
      </c>
      <c r="V3002" s="8"/>
      <c r="W3002" s="8"/>
      <c r="X3002" s="8"/>
      <c r="Y3002" s="8"/>
      <c r="Z3002" s="8"/>
      <c r="AA3002" s="8"/>
      <c r="AB3002" s="8"/>
      <c r="AC3002" s="8">
        <v>9.2100000000000009</v>
      </c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11"/>
      <c r="AQ3002" s="8"/>
      <c r="AR3002" s="8"/>
      <c r="AS3002" s="8"/>
      <c r="AT3002" s="8">
        <v>1361.67</v>
      </c>
      <c r="AU3002" s="8"/>
      <c r="AV3002" s="8">
        <v>46.07</v>
      </c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>
        <v>99.02</v>
      </c>
      <c r="BH3002" s="9">
        <f t="shared" si="414"/>
        <v>2646.12</v>
      </c>
      <c r="BI3002" s="9">
        <f t="shared" si="415"/>
        <v>4.38</v>
      </c>
      <c r="BJ3002" s="9">
        <f t="shared" si="416"/>
        <v>8.2799999999999994</v>
      </c>
      <c r="BK3002" s="9">
        <f t="shared" si="417"/>
        <v>27.62</v>
      </c>
      <c r="BL3002" s="9">
        <f t="shared" si="418"/>
        <v>0</v>
      </c>
      <c r="BM3002" s="9">
        <f t="shared" si="419"/>
        <v>9.2100000000000009</v>
      </c>
      <c r="BN3002" s="9">
        <f t="shared" si="420"/>
        <v>1361.67</v>
      </c>
      <c r="BO3002" s="9">
        <f t="shared" si="421"/>
        <v>46.07</v>
      </c>
      <c r="BP3002" s="9">
        <f t="shared" si="422"/>
        <v>0</v>
      </c>
    </row>
    <row r="3003" spans="1:68">
      <c r="A3003" s="6">
        <v>45085</v>
      </c>
      <c r="B3003" s="7">
        <v>3117</v>
      </c>
      <c r="C3003" s="8">
        <v>793.05</v>
      </c>
      <c r="D3003" s="8"/>
      <c r="E3003" s="8"/>
      <c r="F3003" s="8"/>
      <c r="G3003" s="8"/>
      <c r="H3003" s="8"/>
      <c r="I3003" s="8"/>
      <c r="J3003" s="8"/>
      <c r="K3003" s="8"/>
      <c r="L3003" s="8"/>
      <c r="M3003" s="8">
        <v>2.2799999999999998</v>
      </c>
      <c r="N3003" s="8"/>
      <c r="O3003" s="8"/>
      <c r="P3003" s="8"/>
      <c r="Q3003" s="11"/>
      <c r="R3003" s="11"/>
      <c r="S3003" s="8">
        <v>3.17</v>
      </c>
      <c r="T3003" s="8"/>
      <c r="U3003" s="8">
        <v>7.91</v>
      </c>
      <c r="V3003" s="8"/>
      <c r="W3003" s="8"/>
      <c r="X3003" s="8"/>
      <c r="Y3003" s="8"/>
      <c r="Z3003" s="8"/>
      <c r="AA3003" s="8"/>
      <c r="AB3003" s="8"/>
      <c r="AC3003" s="8">
        <v>3.18</v>
      </c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11"/>
      <c r="AQ3003" s="8"/>
      <c r="AR3003" s="8"/>
      <c r="AS3003" s="8"/>
      <c r="AT3003" s="8">
        <v>500</v>
      </c>
      <c r="AU3003" s="8"/>
      <c r="AV3003" s="8">
        <v>19.84</v>
      </c>
      <c r="AW3003" s="8"/>
      <c r="AX3003" s="8"/>
      <c r="AY3003" s="8"/>
      <c r="AZ3003" s="8"/>
      <c r="BA3003" s="8"/>
      <c r="BB3003" s="8"/>
      <c r="BC3003" s="8"/>
      <c r="BD3003" s="8"/>
      <c r="BE3003" s="8"/>
      <c r="BF3003" s="8">
        <v>39.69</v>
      </c>
      <c r="BG3003" s="8">
        <v>38.130000000000003</v>
      </c>
      <c r="BH3003" s="9">
        <f t="shared" si="414"/>
        <v>793.05</v>
      </c>
      <c r="BI3003" s="9">
        <f t="shared" si="415"/>
        <v>2.2799999999999998</v>
      </c>
      <c r="BJ3003" s="9">
        <f t="shared" si="416"/>
        <v>3.17</v>
      </c>
      <c r="BK3003" s="9">
        <f t="shared" si="417"/>
        <v>7.91</v>
      </c>
      <c r="BL3003" s="9">
        <f t="shared" si="418"/>
        <v>0</v>
      </c>
      <c r="BM3003" s="9">
        <f t="shared" si="419"/>
        <v>3.18</v>
      </c>
      <c r="BN3003" s="9">
        <f t="shared" si="420"/>
        <v>500</v>
      </c>
      <c r="BO3003" s="9">
        <f t="shared" si="421"/>
        <v>19.84</v>
      </c>
      <c r="BP3003" s="9">
        <f t="shared" si="422"/>
        <v>39.69</v>
      </c>
    </row>
    <row r="3004" spans="1:68">
      <c r="A3004" s="6">
        <v>45085</v>
      </c>
      <c r="B3004" s="7">
        <v>3122</v>
      </c>
      <c r="C3004" s="8">
        <v>1403.04</v>
      </c>
      <c r="D3004" s="8"/>
      <c r="E3004" s="8"/>
      <c r="F3004" s="8"/>
      <c r="G3004" s="8"/>
      <c r="H3004" s="8"/>
      <c r="I3004" s="8"/>
      <c r="J3004" s="8"/>
      <c r="K3004" s="8"/>
      <c r="L3004" s="8"/>
      <c r="M3004" s="8">
        <v>2.54</v>
      </c>
      <c r="N3004" s="8">
        <v>2.5299999999999998</v>
      </c>
      <c r="O3004" s="8"/>
      <c r="P3004" s="8"/>
      <c r="Q3004" s="11"/>
      <c r="R3004" s="11"/>
      <c r="S3004" s="8">
        <v>5.76</v>
      </c>
      <c r="T3004" s="8"/>
      <c r="U3004" s="8">
        <v>14.04</v>
      </c>
      <c r="V3004" s="8"/>
      <c r="W3004" s="8"/>
      <c r="X3004" s="8"/>
      <c r="Y3004" s="8"/>
      <c r="Z3004" s="8"/>
      <c r="AA3004" s="8"/>
      <c r="AB3004" s="8"/>
      <c r="AC3004" s="8">
        <v>5.61</v>
      </c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11"/>
      <c r="AQ3004" s="8"/>
      <c r="AR3004" s="8"/>
      <c r="AS3004" s="8"/>
      <c r="AT3004" s="8">
        <v>623.57000000000005</v>
      </c>
      <c r="AU3004" s="8"/>
      <c r="AV3004" s="8">
        <v>47.71</v>
      </c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>
        <v>45.04</v>
      </c>
      <c r="BH3004" s="9">
        <f t="shared" si="414"/>
        <v>1403.04</v>
      </c>
      <c r="BI3004" s="9">
        <f t="shared" si="415"/>
        <v>5.07</v>
      </c>
      <c r="BJ3004" s="9">
        <f t="shared" si="416"/>
        <v>5.76</v>
      </c>
      <c r="BK3004" s="9">
        <f t="shared" si="417"/>
        <v>14.04</v>
      </c>
      <c r="BL3004" s="9">
        <f t="shared" si="418"/>
        <v>0</v>
      </c>
      <c r="BM3004" s="9">
        <f t="shared" si="419"/>
        <v>5.61</v>
      </c>
      <c r="BN3004" s="9">
        <f t="shared" si="420"/>
        <v>623.57000000000005</v>
      </c>
      <c r="BO3004" s="9">
        <f t="shared" si="421"/>
        <v>47.71</v>
      </c>
      <c r="BP3004" s="9">
        <f t="shared" si="422"/>
        <v>0</v>
      </c>
    </row>
    <row r="3005" spans="1:68">
      <c r="A3005" s="6">
        <v>45085</v>
      </c>
      <c r="B3005" s="7">
        <v>3304</v>
      </c>
      <c r="C3005" s="8"/>
      <c r="D3005" s="8">
        <v>1145.3699999999999</v>
      </c>
      <c r="E3005" s="8"/>
      <c r="F3005" s="8"/>
      <c r="G3005" s="8"/>
      <c r="H3005" s="8"/>
      <c r="I3005" s="8"/>
      <c r="J3005" s="8"/>
      <c r="K3005" s="8"/>
      <c r="L3005" s="8"/>
      <c r="M3005" s="8">
        <v>2.29</v>
      </c>
      <c r="N3005" s="8"/>
      <c r="O3005" s="8"/>
      <c r="P3005" s="8"/>
      <c r="Q3005" s="11"/>
      <c r="R3005" s="11"/>
      <c r="S3005" s="8">
        <v>1.72</v>
      </c>
      <c r="T3005" s="8"/>
      <c r="U3005" s="8">
        <v>10.32</v>
      </c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>
        <v>11.52</v>
      </c>
      <c r="AH3005" s="8"/>
      <c r="AI3005" s="8"/>
      <c r="AJ3005" s="8"/>
      <c r="AK3005" s="8"/>
      <c r="AL3005" s="8"/>
      <c r="AM3005" s="8"/>
      <c r="AN3005" s="8"/>
      <c r="AO3005" s="8"/>
      <c r="AP3005" s="11"/>
      <c r="AQ3005" s="8"/>
      <c r="AR3005" s="8"/>
      <c r="AS3005" s="8"/>
      <c r="AT3005" s="8">
        <v>306.02</v>
      </c>
      <c r="AU3005" s="8">
        <v>153.22999999999999</v>
      </c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>
        <v>31.74</v>
      </c>
      <c r="BH3005" s="9">
        <f t="shared" si="414"/>
        <v>1145.3699999999999</v>
      </c>
      <c r="BI3005" s="9">
        <f t="shared" si="415"/>
        <v>2.29</v>
      </c>
      <c r="BJ3005" s="9">
        <f t="shared" si="416"/>
        <v>1.72</v>
      </c>
      <c r="BK3005" s="9">
        <f t="shared" si="417"/>
        <v>10.32</v>
      </c>
      <c r="BL3005" s="9">
        <f t="shared" si="418"/>
        <v>0</v>
      </c>
      <c r="BM3005" s="9">
        <f t="shared" si="419"/>
        <v>11.52</v>
      </c>
      <c r="BN3005" s="9">
        <f t="shared" si="420"/>
        <v>459.25</v>
      </c>
      <c r="BO3005" s="9">
        <f t="shared" si="421"/>
        <v>0</v>
      </c>
      <c r="BP3005" s="9">
        <f t="shared" si="422"/>
        <v>0</v>
      </c>
    </row>
    <row r="3006" spans="1:68">
      <c r="A3006" s="6">
        <v>45086</v>
      </c>
      <c r="B3006" s="7">
        <v>3601</v>
      </c>
      <c r="C3006" s="8">
        <v>294.77999999999997</v>
      </c>
      <c r="D3006" s="8"/>
      <c r="E3006" s="8"/>
      <c r="F3006" s="8"/>
      <c r="G3006" s="8">
        <v>441.65</v>
      </c>
      <c r="H3006" s="8"/>
      <c r="I3006" s="8"/>
      <c r="J3006" s="8"/>
      <c r="K3006" s="8"/>
      <c r="L3006" s="8"/>
      <c r="M3006" s="8">
        <v>0.89</v>
      </c>
      <c r="N3006" s="8"/>
      <c r="O3006" s="8"/>
      <c r="P3006" s="8"/>
      <c r="Q3006" s="11"/>
      <c r="R3006" s="11"/>
      <c r="S3006" s="8">
        <v>3.55</v>
      </c>
      <c r="T3006" s="8"/>
      <c r="U3006" s="8">
        <v>4.45</v>
      </c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11"/>
      <c r="AQ3006" s="8"/>
      <c r="AR3006" s="8"/>
      <c r="AS3006" s="8"/>
      <c r="AT3006" s="8">
        <v>359.6</v>
      </c>
      <c r="AU3006" s="8"/>
      <c r="AV3006" s="8"/>
      <c r="AW3006" s="8">
        <v>22.48</v>
      </c>
      <c r="AX3006" s="8"/>
      <c r="AY3006" s="8"/>
      <c r="AZ3006" s="8"/>
      <c r="BA3006" s="8"/>
      <c r="BB3006" s="8"/>
      <c r="BC3006" s="8"/>
      <c r="BD3006" s="8"/>
      <c r="BE3006" s="8"/>
      <c r="BF3006" s="8">
        <v>41.41</v>
      </c>
      <c r="BG3006" s="8">
        <v>26.38</v>
      </c>
      <c r="BH3006" s="9">
        <f t="shared" si="414"/>
        <v>736.43</v>
      </c>
      <c r="BI3006" s="9">
        <f t="shared" si="415"/>
        <v>0.89</v>
      </c>
      <c r="BJ3006" s="9">
        <f t="shared" si="416"/>
        <v>3.55</v>
      </c>
      <c r="BK3006" s="9">
        <f t="shared" si="417"/>
        <v>4.45</v>
      </c>
      <c r="BL3006" s="9">
        <f t="shared" si="418"/>
        <v>0</v>
      </c>
      <c r="BM3006" s="9">
        <f t="shared" si="419"/>
        <v>0</v>
      </c>
      <c r="BN3006" s="9">
        <f t="shared" si="420"/>
        <v>359.6</v>
      </c>
      <c r="BO3006" s="9">
        <f t="shared" si="421"/>
        <v>22.48</v>
      </c>
      <c r="BP3006" s="9">
        <f t="shared" si="422"/>
        <v>41.41</v>
      </c>
    </row>
    <row r="3007" spans="1:68">
      <c r="A3007" s="6">
        <v>45086</v>
      </c>
      <c r="B3007" s="7">
        <v>3602</v>
      </c>
      <c r="C3007" s="8">
        <v>564.03</v>
      </c>
      <c r="D3007" s="8"/>
      <c r="E3007" s="8"/>
      <c r="F3007" s="8"/>
      <c r="G3007" s="8">
        <v>846.9</v>
      </c>
      <c r="H3007" s="8"/>
      <c r="I3007" s="8"/>
      <c r="J3007" s="8"/>
      <c r="K3007" s="8"/>
      <c r="L3007" s="8"/>
      <c r="M3007" s="8">
        <v>1.6</v>
      </c>
      <c r="N3007" s="8"/>
      <c r="O3007" s="8"/>
      <c r="P3007" s="8"/>
      <c r="Q3007" s="11"/>
      <c r="R3007" s="11"/>
      <c r="S3007" s="8">
        <v>6.81</v>
      </c>
      <c r="T3007" s="8"/>
      <c r="U3007" s="8">
        <v>11.42</v>
      </c>
      <c r="V3007" s="8">
        <f>842*16.23/1000</f>
        <v>13.665659999999999</v>
      </c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11"/>
      <c r="AQ3007" s="8"/>
      <c r="AR3007" s="8"/>
      <c r="AS3007" s="8"/>
      <c r="AT3007" s="8">
        <v>569.99</v>
      </c>
      <c r="AU3007" s="8"/>
      <c r="AV3007" s="8"/>
      <c r="AW3007" s="8">
        <v>36.72</v>
      </c>
      <c r="AX3007" s="8"/>
      <c r="AY3007" s="8"/>
      <c r="AZ3007" s="8"/>
      <c r="BA3007" s="8"/>
      <c r="BB3007" s="8"/>
      <c r="BC3007" s="8"/>
      <c r="BD3007" s="8"/>
      <c r="BE3007" s="8"/>
      <c r="BF3007" s="8">
        <v>45.48</v>
      </c>
      <c r="BG3007" s="8">
        <v>42.97</v>
      </c>
      <c r="BH3007" s="9">
        <f t="shared" si="414"/>
        <v>1410.9299999999998</v>
      </c>
      <c r="BI3007" s="9">
        <f t="shared" si="415"/>
        <v>1.6</v>
      </c>
      <c r="BJ3007" s="9">
        <f t="shared" si="416"/>
        <v>6.81</v>
      </c>
      <c r="BK3007" s="9">
        <f t="shared" si="417"/>
        <v>25.085659999999997</v>
      </c>
      <c r="BL3007" s="9">
        <f t="shared" si="418"/>
        <v>0</v>
      </c>
      <c r="BM3007" s="9">
        <f t="shared" si="419"/>
        <v>0</v>
      </c>
      <c r="BN3007" s="9">
        <f t="shared" si="420"/>
        <v>569.99</v>
      </c>
      <c r="BO3007" s="9">
        <f t="shared" si="421"/>
        <v>36.72</v>
      </c>
      <c r="BP3007" s="9">
        <f t="shared" si="422"/>
        <v>45.48</v>
      </c>
    </row>
    <row r="3008" spans="1:68">
      <c r="A3008" s="6">
        <v>45086</v>
      </c>
      <c r="B3008" s="7">
        <v>3704</v>
      </c>
      <c r="C3008" s="8">
        <v>377.8</v>
      </c>
      <c r="D3008" s="8">
        <v>556.07000000000005</v>
      </c>
      <c r="E3008" s="8"/>
      <c r="F3008" s="8"/>
      <c r="G3008" s="8"/>
      <c r="H3008" s="8"/>
      <c r="I3008" s="8"/>
      <c r="J3008" s="8"/>
      <c r="K3008" s="8"/>
      <c r="L3008" s="8"/>
      <c r="M3008" s="8">
        <v>2.77</v>
      </c>
      <c r="N3008" s="8"/>
      <c r="O3008" s="8"/>
      <c r="P3008" s="8"/>
      <c r="Q3008" s="11"/>
      <c r="R3008" s="11"/>
      <c r="S3008" s="8">
        <v>3.23</v>
      </c>
      <c r="T3008" s="8"/>
      <c r="U3008" s="8">
        <v>6.96</v>
      </c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>
        <v>11.02</v>
      </c>
      <c r="AN3008" s="8"/>
      <c r="AO3008" s="8"/>
      <c r="AP3008" s="11"/>
      <c r="AQ3008" s="8"/>
      <c r="AR3008" s="8"/>
      <c r="AS3008" s="8"/>
      <c r="AT3008" s="8">
        <v>161.26</v>
      </c>
      <c r="AU3008" s="8">
        <v>80.069999999999993</v>
      </c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>
        <v>15.04</v>
      </c>
      <c r="BH3008" s="9">
        <f t="shared" si="414"/>
        <v>933.87000000000012</v>
      </c>
      <c r="BI3008" s="9">
        <f t="shared" si="415"/>
        <v>2.77</v>
      </c>
      <c r="BJ3008" s="9">
        <f t="shared" si="416"/>
        <v>3.23</v>
      </c>
      <c r="BK3008" s="9">
        <f t="shared" si="417"/>
        <v>6.96</v>
      </c>
      <c r="BL3008" s="9">
        <f t="shared" si="418"/>
        <v>0</v>
      </c>
      <c r="BM3008" s="9">
        <f t="shared" si="419"/>
        <v>11.02</v>
      </c>
      <c r="BN3008" s="9">
        <f t="shared" si="420"/>
        <v>241.32999999999998</v>
      </c>
      <c r="BO3008" s="9">
        <f t="shared" si="421"/>
        <v>0</v>
      </c>
      <c r="BP3008" s="9">
        <f t="shared" si="422"/>
        <v>0</v>
      </c>
    </row>
    <row r="3009" spans="1:68">
      <c r="A3009" s="6">
        <v>45086</v>
      </c>
      <c r="B3009" s="7">
        <v>3020</v>
      </c>
      <c r="C3009" s="8"/>
      <c r="D3009" s="8">
        <v>173.54</v>
      </c>
      <c r="E3009" s="8"/>
      <c r="F3009" s="8"/>
      <c r="G3009" s="8"/>
      <c r="H3009" s="8"/>
      <c r="I3009" s="8">
        <v>976.98</v>
      </c>
      <c r="J3009" s="8"/>
      <c r="K3009" s="8"/>
      <c r="L3009" s="8"/>
      <c r="M3009" s="8"/>
      <c r="N3009" s="8">
        <v>7.05</v>
      </c>
      <c r="O3009" s="8"/>
      <c r="P3009" s="8"/>
      <c r="Q3009" s="11"/>
      <c r="R3009" s="11"/>
      <c r="S3009" s="8">
        <v>2.08</v>
      </c>
      <c r="T3009" s="8"/>
      <c r="U3009" s="8"/>
      <c r="V3009" s="8"/>
      <c r="W3009" s="8">
        <v>11.58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>
        <v>11.46</v>
      </c>
      <c r="AN3009" s="8"/>
      <c r="AO3009" s="8"/>
      <c r="AP3009" s="11"/>
      <c r="AQ3009" s="8"/>
      <c r="AR3009" s="8"/>
      <c r="AS3009" s="8">
        <f>3027*9.6/1000</f>
        <v>29.059200000000001</v>
      </c>
      <c r="AT3009" s="8">
        <v>568.25</v>
      </c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>
        <v>41.5</v>
      </c>
      <c r="BH3009" s="9">
        <f t="shared" si="414"/>
        <v>1150.52</v>
      </c>
      <c r="BI3009" s="9">
        <f t="shared" si="415"/>
        <v>7.05</v>
      </c>
      <c r="BJ3009" s="9">
        <f t="shared" si="416"/>
        <v>2.08</v>
      </c>
      <c r="BK3009" s="9">
        <f t="shared" si="417"/>
        <v>11.58</v>
      </c>
      <c r="BL3009" s="9">
        <f t="shared" si="418"/>
        <v>0</v>
      </c>
      <c r="BM3009" s="9">
        <f t="shared" si="419"/>
        <v>40.519199999999998</v>
      </c>
      <c r="BN3009" s="9">
        <f t="shared" si="420"/>
        <v>568.25</v>
      </c>
      <c r="BO3009" s="9">
        <f t="shared" si="421"/>
        <v>0</v>
      </c>
      <c r="BP3009" s="9">
        <f t="shared" si="422"/>
        <v>0</v>
      </c>
    </row>
    <row r="3010" spans="1:68">
      <c r="A3010" s="6">
        <v>45086</v>
      </c>
      <c r="B3010" s="7">
        <v>3021</v>
      </c>
      <c r="C3010" s="8"/>
      <c r="D3010" s="8">
        <v>192.61</v>
      </c>
      <c r="E3010" s="8"/>
      <c r="F3010" s="8"/>
      <c r="G3010" s="8"/>
      <c r="H3010" s="8"/>
      <c r="I3010" s="8">
        <v>355.63</v>
      </c>
      <c r="J3010" s="8"/>
      <c r="K3010" s="8"/>
      <c r="L3010" s="8"/>
      <c r="M3010" s="8"/>
      <c r="N3010" s="8">
        <v>2.93</v>
      </c>
      <c r="O3010" s="8"/>
      <c r="P3010" s="8"/>
      <c r="Q3010" s="11"/>
      <c r="R3010" s="11"/>
      <c r="S3010" s="8">
        <v>0.99</v>
      </c>
      <c r="T3010" s="8"/>
      <c r="U3010" s="8"/>
      <c r="V3010" s="8"/>
      <c r="W3010" s="8">
        <v>5.48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>
        <v>5.5</v>
      </c>
      <c r="AN3010" s="8"/>
      <c r="AO3010" s="8"/>
      <c r="AP3010" s="11"/>
      <c r="AQ3010" s="8"/>
      <c r="AR3010" s="8"/>
      <c r="AS3010" s="8">
        <f>2657*5.23/1000</f>
        <v>13.89611</v>
      </c>
      <c r="AT3010" s="8">
        <v>258.75</v>
      </c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>
        <v>19.47</v>
      </c>
      <c r="BH3010" s="9">
        <f t="shared" si="414"/>
        <v>548.24</v>
      </c>
      <c r="BI3010" s="9">
        <f t="shared" si="415"/>
        <v>2.93</v>
      </c>
      <c r="BJ3010" s="9">
        <f t="shared" si="416"/>
        <v>0.99</v>
      </c>
      <c r="BK3010" s="9">
        <f t="shared" si="417"/>
        <v>5.48</v>
      </c>
      <c r="BL3010" s="9">
        <f t="shared" si="418"/>
        <v>0</v>
      </c>
      <c r="BM3010" s="9">
        <f t="shared" si="419"/>
        <v>19.39611</v>
      </c>
      <c r="BN3010" s="9">
        <f t="shared" si="420"/>
        <v>258.75</v>
      </c>
      <c r="BO3010" s="9">
        <f t="shared" si="421"/>
        <v>0</v>
      </c>
      <c r="BP3010" s="9">
        <f t="shared" si="422"/>
        <v>0</v>
      </c>
    </row>
    <row r="3011" spans="1:68">
      <c r="A3011" s="6">
        <v>45086</v>
      </c>
      <c r="B3011" s="7">
        <v>3029</v>
      </c>
      <c r="C3011" s="8"/>
      <c r="D3011" s="8">
        <v>475.59</v>
      </c>
      <c r="E3011" s="8"/>
      <c r="F3011" s="8">
        <v>335.47</v>
      </c>
      <c r="G3011" s="8"/>
      <c r="H3011" s="8"/>
      <c r="I3011" s="8">
        <v>1986.58</v>
      </c>
      <c r="J3011" s="8"/>
      <c r="K3011" s="8"/>
      <c r="L3011" s="8"/>
      <c r="M3011" s="8"/>
      <c r="N3011" s="8">
        <v>22.12</v>
      </c>
      <c r="O3011" s="8"/>
      <c r="P3011" s="8"/>
      <c r="Q3011" s="11"/>
      <c r="R3011" s="11"/>
      <c r="S3011" s="8">
        <v>1.67</v>
      </c>
      <c r="T3011" s="8"/>
      <c r="U3011" s="8"/>
      <c r="V3011" s="8"/>
      <c r="W3011" s="8">
        <v>28.03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>
        <v>9.7799999999999994</v>
      </c>
      <c r="AN3011" s="8">
        <f>757*18.67/1000</f>
        <v>14.133190000000001</v>
      </c>
      <c r="AO3011" s="8"/>
      <c r="AP3011" s="11"/>
      <c r="AQ3011" s="8"/>
      <c r="AR3011" s="8">
        <f>4521*18.67/1000</f>
        <v>84.407070000000004</v>
      </c>
      <c r="AS3011" s="8"/>
      <c r="AT3011" s="8">
        <v>1063.1400000000001</v>
      </c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>
        <v>74.13</v>
      </c>
      <c r="BH3011" s="9">
        <f t="shared" si="414"/>
        <v>2797.64</v>
      </c>
      <c r="BI3011" s="9">
        <f t="shared" si="415"/>
        <v>22.12</v>
      </c>
      <c r="BJ3011" s="9">
        <f t="shared" si="416"/>
        <v>1.67</v>
      </c>
      <c r="BK3011" s="9">
        <f t="shared" si="417"/>
        <v>28.03</v>
      </c>
      <c r="BL3011" s="9">
        <f t="shared" si="418"/>
        <v>0</v>
      </c>
      <c r="BM3011" s="9">
        <f t="shared" si="419"/>
        <v>108.32026</v>
      </c>
      <c r="BN3011" s="9">
        <f t="shared" si="420"/>
        <v>1063.1400000000001</v>
      </c>
      <c r="BO3011" s="9">
        <f t="shared" si="421"/>
        <v>0</v>
      </c>
      <c r="BP3011" s="9">
        <f t="shared" si="422"/>
        <v>0</v>
      </c>
    </row>
    <row r="3012" spans="1:68">
      <c r="A3012" s="6">
        <v>45086</v>
      </c>
      <c r="B3012" s="7">
        <v>3083</v>
      </c>
      <c r="C3012" s="8"/>
      <c r="D3012" s="8">
        <v>1095.6500000000001</v>
      </c>
      <c r="E3012" s="8"/>
      <c r="F3012" s="8"/>
      <c r="G3012" s="8"/>
      <c r="H3012" s="8"/>
      <c r="I3012" s="8">
        <v>2552.83</v>
      </c>
      <c r="J3012" s="8"/>
      <c r="K3012" s="8"/>
      <c r="L3012" s="8"/>
      <c r="M3012" s="8"/>
      <c r="N3012" s="8">
        <v>23.72</v>
      </c>
      <c r="O3012" s="8"/>
      <c r="P3012" s="8"/>
      <c r="Q3012" s="11"/>
      <c r="R3012" s="11"/>
      <c r="S3012" s="8">
        <v>2.54</v>
      </c>
      <c r="T3012" s="8"/>
      <c r="U3012" s="8"/>
      <c r="V3012" s="8"/>
      <c r="W3012" s="8">
        <v>29.11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>
        <v>14.54</v>
      </c>
      <c r="AN3012" s="8">
        <f>1900*27.02/1000</f>
        <v>51.338000000000001</v>
      </c>
      <c r="AO3012" s="8"/>
      <c r="AP3012" s="11"/>
      <c r="AQ3012" s="8"/>
      <c r="AR3012" s="8">
        <f>3399*27.02/1000</f>
        <v>91.840980000000002</v>
      </c>
      <c r="AS3012" s="8"/>
      <c r="AT3012" s="8">
        <v>1713.47</v>
      </c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>
        <v>135.84</v>
      </c>
      <c r="BH3012" s="9">
        <f t="shared" ref="BH3012:BH3075" si="423">SUM(C3012:L3012)</f>
        <v>3648.48</v>
      </c>
      <c r="BI3012" s="9">
        <f t="shared" ref="BI3012:BI3075" si="424">SUM(M3012:R3012)</f>
        <v>23.72</v>
      </c>
      <c r="BJ3012" s="9">
        <f t="shared" ref="BJ3012:BJ3075" si="425">SUM(S3012)</f>
        <v>2.54</v>
      </c>
      <c r="BK3012" s="9">
        <f t="shared" ref="BK3012:BK3075" si="426">SUM(T3012:Y3012)</f>
        <v>29.11</v>
      </c>
      <c r="BL3012" s="9">
        <f t="shared" ref="BL3012:BL3075" si="427">SUM(Z3012:AA3012)</f>
        <v>0</v>
      </c>
      <c r="BM3012" s="9">
        <f t="shared" ref="BM3012:BM3075" si="428">SUM(AB3012:AS3012)</f>
        <v>157.71897999999999</v>
      </c>
      <c r="BN3012" s="9">
        <f t="shared" ref="BN3012:BN3075" si="429">SUM(AT3012:AU3012)</f>
        <v>1713.47</v>
      </c>
      <c r="BO3012" s="9">
        <f t="shared" ref="BO3012:BO3075" si="430">SUM(AV3012:BE3012)</f>
        <v>0</v>
      </c>
      <c r="BP3012" s="9">
        <f t="shared" ref="BP3012:BP3075" si="431">SUM(BF3012)</f>
        <v>0</v>
      </c>
    </row>
    <row r="3013" spans="1:68">
      <c r="A3013" s="6">
        <v>45086</v>
      </c>
      <c r="B3013" s="7">
        <v>3030</v>
      </c>
      <c r="C3013" s="8"/>
      <c r="D3013" s="8">
        <f>464.81+15.05</f>
        <v>479.86</v>
      </c>
      <c r="E3013" s="8"/>
      <c r="F3013" s="8"/>
      <c r="G3013" s="8"/>
      <c r="H3013" s="8"/>
      <c r="I3013" s="8">
        <f>190.03+8.17</f>
        <v>198.2</v>
      </c>
      <c r="J3013" s="8"/>
      <c r="K3013" s="8"/>
      <c r="L3013" s="8"/>
      <c r="M3013" s="8"/>
      <c r="N3013" s="8">
        <f>0.15+4.54</f>
        <v>4.6900000000000004</v>
      </c>
      <c r="O3013" s="8"/>
      <c r="P3013" s="8"/>
      <c r="Q3013" s="11"/>
      <c r="R3013" s="11"/>
      <c r="S3013" s="8">
        <f>0.46+0.02</f>
        <v>0.48000000000000004</v>
      </c>
      <c r="T3013" s="8"/>
      <c r="U3013" s="8"/>
      <c r="V3013" s="8"/>
      <c r="W3013" s="8">
        <f>5.24+0.19</f>
        <v>5.4300000000000006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>
        <f>2.59+0.09</f>
        <v>2.6799999999999997</v>
      </c>
      <c r="AN3013" s="8">
        <f>1694*5.65/1000</f>
        <v>9.5710999999999995</v>
      </c>
      <c r="AO3013" s="8"/>
      <c r="AP3013" s="11"/>
      <c r="AQ3013" s="8"/>
      <c r="AR3013" s="8">
        <f>3970*5.65/1000</f>
        <v>22.430499999999999</v>
      </c>
      <c r="AS3013" s="8"/>
      <c r="AT3013" s="8">
        <f>229.54+8.52</f>
        <v>238.06</v>
      </c>
      <c r="AU3013" s="8">
        <v>57.27</v>
      </c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>
        <f>22.68+0.82</f>
        <v>23.5</v>
      </c>
      <c r="BH3013" s="9">
        <f t="shared" si="423"/>
        <v>678.06</v>
      </c>
      <c r="BI3013" s="9">
        <f t="shared" si="424"/>
        <v>4.6900000000000004</v>
      </c>
      <c r="BJ3013" s="9">
        <f t="shared" si="425"/>
        <v>0.48000000000000004</v>
      </c>
      <c r="BK3013" s="9">
        <f t="shared" si="426"/>
        <v>5.4300000000000006</v>
      </c>
      <c r="BL3013" s="9">
        <f t="shared" si="427"/>
        <v>0</v>
      </c>
      <c r="BM3013" s="9">
        <f t="shared" si="428"/>
        <v>34.681599999999996</v>
      </c>
      <c r="BN3013" s="9">
        <f t="shared" si="429"/>
        <v>295.33</v>
      </c>
      <c r="BO3013" s="9">
        <f t="shared" si="430"/>
        <v>0</v>
      </c>
      <c r="BP3013" s="9">
        <f t="shared" si="431"/>
        <v>0</v>
      </c>
    </row>
    <row r="3014" spans="1:68">
      <c r="A3014" s="6">
        <v>45086</v>
      </c>
      <c r="B3014" s="7">
        <v>3203</v>
      </c>
      <c r="C3014" s="8">
        <v>952.84</v>
      </c>
      <c r="D3014" s="8"/>
      <c r="E3014" s="8">
        <v>408.01</v>
      </c>
      <c r="F3014" s="8"/>
      <c r="G3014" s="8"/>
      <c r="H3014" s="8"/>
      <c r="I3014" s="8"/>
      <c r="J3014" s="8"/>
      <c r="K3014" s="8"/>
      <c r="L3014" s="8"/>
      <c r="M3014" s="8"/>
      <c r="N3014" s="8"/>
      <c r="O3014" s="8">
        <v>4.1100000000000003</v>
      </c>
      <c r="P3014" s="8"/>
      <c r="Q3014" s="11"/>
      <c r="R3014" s="11"/>
      <c r="S3014" s="8">
        <v>5.31</v>
      </c>
      <c r="T3014" s="8"/>
      <c r="U3014" s="8">
        <v>16.89</v>
      </c>
      <c r="V3014" s="8"/>
      <c r="W3014" s="8"/>
      <c r="X3014" s="8"/>
      <c r="Y3014" s="8"/>
      <c r="Z3014" s="8">
        <v>214.57</v>
      </c>
      <c r="AA3014" s="8">
        <f>11116*16.02/1000</f>
        <v>178.07832000000002</v>
      </c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11"/>
      <c r="AQ3014" s="8"/>
      <c r="AR3014" s="8"/>
      <c r="AS3014" s="8"/>
      <c r="AT3014" s="8">
        <v>509.07</v>
      </c>
      <c r="AU3014" s="8">
        <v>254.92</v>
      </c>
      <c r="AV3014" s="8"/>
      <c r="AW3014" s="8"/>
      <c r="AX3014" s="8"/>
      <c r="AY3014" s="8"/>
      <c r="AZ3014" s="8"/>
      <c r="BA3014" s="8"/>
      <c r="BB3014" s="8"/>
      <c r="BC3014" s="8">
        <v>3.54</v>
      </c>
      <c r="BD3014" s="8"/>
      <c r="BE3014" s="8"/>
      <c r="BF3014" s="8"/>
      <c r="BG3014" s="8">
        <v>49.73</v>
      </c>
      <c r="BH3014" s="9">
        <f t="shared" si="423"/>
        <v>1360.85</v>
      </c>
      <c r="BI3014" s="9">
        <f t="shared" si="424"/>
        <v>4.1100000000000003</v>
      </c>
      <c r="BJ3014" s="9">
        <f t="shared" si="425"/>
        <v>5.31</v>
      </c>
      <c r="BK3014" s="9">
        <f t="shared" si="426"/>
        <v>16.89</v>
      </c>
      <c r="BL3014" s="9">
        <f t="shared" si="427"/>
        <v>392.64832000000001</v>
      </c>
      <c r="BM3014" s="9">
        <f t="shared" si="428"/>
        <v>0</v>
      </c>
      <c r="BN3014" s="9">
        <f t="shared" si="429"/>
        <v>763.99</v>
      </c>
      <c r="BO3014" s="9">
        <f t="shared" si="430"/>
        <v>3.54</v>
      </c>
      <c r="BP3014" s="9">
        <f t="shared" si="431"/>
        <v>0</v>
      </c>
    </row>
    <row r="3015" spans="1:68">
      <c r="A3015" s="6">
        <v>45086</v>
      </c>
      <c r="B3015" s="7">
        <v>3104</v>
      </c>
      <c r="C3015" s="8">
        <v>1506.18</v>
      </c>
      <c r="D3015" s="8"/>
      <c r="E3015" s="8"/>
      <c r="F3015" s="8"/>
      <c r="G3015" s="8"/>
      <c r="H3015" s="8">
        <v>386.52</v>
      </c>
      <c r="I3015" s="8"/>
      <c r="J3015" s="8"/>
      <c r="K3015" s="8"/>
      <c r="L3015" s="8"/>
      <c r="M3015" s="8">
        <v>4.0199999999999996</v>
      </c>
      <c r="N3015" s="8"/>
      <c r="O3015" s="8"/>
      <c r="P3015" s="8"/>
      <c r="Q3015" s="11"/>
      <c r="R3015" s="11"/>
      <c r="S3015" s="8">
        <v>7.76</v>
      </c>
      <c r="T3015" s="8"/>
      <c r="U3015" s="8">
        <v>19.82</v>
      </c>
      <c r="V3015" s="8"/>
      <c r="W3015" s="8"/>
      <c r="X3015" s="8"/>
      <c r="Y3015" s="8"/>
      <c r="Z3015" s="8"/>
      <c r="AA3015" s="8"/>
      <c r="AB3015" s="8"/>
      <c r="AC3015" s="8">
        <v>6.89</v>
      </c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11"/>
      <c r="AQ3015" s="8"/>
      <c r="AR3015" s="8"/>
      <c r="AS3015" s="8"/>
      <c r="AT3015" s="8">
        <v>1096.81</v>
      </c>
      <c r="AU3015" s="8"/>
      <c r="AV3015" s="8"/>
      <c r="AW3015" s="8"/>
      <c r="AX3015" s="8"/>
      <c r="AY3015" s="8"/>
      <c r="AZ3015" s="8"/>
      <c r="BA3015" s="8">
        <v>39.270000000000003</v>
      </c>
      <c r="BB3015" s="8"/>
      <c r="BC3015" s="8"/>
      <c r="BD3015" s="8"/>
      <c r="BE3015" s="8"/>
      <c r="BF3015" s="8">
        <v>34.5</v>
      </c>
      <c r="BG3015" s="8">
        <v>85.2</v>
      </c>
      <c r="BH3015" s="9">
        <f t="shared" si="423"/>
        <v>1892.7</v>
      </c>
      <c r="BI3015" s="9">
        <f t="shared" si="424"/>
        <v>4.0199999999999996</v>
      </c>
      <c r="BJ3015" s="9">
        <f t="shared" si="425"/>
        <v>7.76</v>
      </c>
      <c r="BK3015" s="9">
        <f t="shared" si="426"/>
        <v>19.82</v>
      </c>
      <c r="BL3015" s="9">
        <f t="shared" si="427"/>
        <v>0</v>
      </c>
      <c r="BM3015" s="9">
        <f t="shared" si="428"/>
        <v>6.89</v>
      </c>
      <c r="BN3015" s="9">
        <f t="shared" si="429"/>
        <v>1096.81</v>
      </c>
      <c r="BO3015" s="9">
        <f t="shared" si="430"/>
        <v>39.270000000000003</v>
      </c>
      <c r="BP3015" s="9">
        <f t="shared" si="431"/>
        <v>34.5</v>
      </c>
    </row>
    <row r="3016" spans="1:68">
      <c r="A3016" s="6">
        <v>45086</v>
      </c>
      <c r="B3016" s="7">
        <v>3502</v>
      </c>
      <c r="C3016" s="8">
        <v>232.95</v>
      </c>
      <c r="D3016" s="8">
        <v>155.5</v>
      </c>
      <c r="E3016" s="8"/>
      <c r="F3016" s="8"/>
      <c r="G3016" s="8"/>
      <c r="H3016" s="8"/>
      <c r="I3016" s="8"/>
      <c r="J3016" s="8"/>
      <c r="K3016" s="8"/>
      <c r="L3016" s="8"/>
      <c r="M3016" s="8">
        <v>0.59</v>
      </c>
      <c r="N3016" s="8">
        <v>0.57999999999999996</v>
      </c>
      <c r="O3016" s="8"/>
      <c r="P3016" s="8"/>
      <c r="Q3016" s="11"/>
      <c r="R3016" s="11"/>
      <c r="S3016" s="8">
        <v>1.48</v>
      </c>
      <c r="T3016" s="8"/>
      <c r="U3016" s="8">
        <v>3.89</v>
      </c>
      <c r="V3016" s="8"/>
      <c r="W3016" s="8"/>
      <c r="X3016" s="8"/>
      <c r="Y3016" s="8"/>
      <c r="Z3016" s="8">
        <v>77.34</v>
      </c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11"/>
      <c r="AQ3016" s="8"/>
      <c r="AR3016" s="8"/>
      <c r="AS3016" s="8"/>
      <c r="AT3016" s="8">
        <v>160.47999999999999</v>
      </c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>
        <v>12.62</v>
      </c>
      <c r="BH3016" s="9">
        <f t="shared" si="423"/>
        <v>388.45</v>
      </c>
      <c r="BI3016" s="9">
        <f t="shared" si="424"/>
        <v>1.17</v>
      </c>
      <c r="BJ3016" s="9">
        <f t="shared" si="425"/>
        <v>1.48</v>
      </c>
      <c r="BK3016" s="9">
        <f t="shared" si="426"/>
        <v>3.89</v>
      </c>
      <c r="BL3016" s="9">
        <f t="shared" si="427"/>
        <v>77.34</v>
      </c>
      <c r="BM3016" s="9">
        <f t="shared" si="428"/>
        <v>0</v>
      </c>
      <c r="BN3016" s="9">
        <f t="shared" si="429"/>
        <v>160.47999999999999</v>
      </c>
      <c r="BO3016" s="9">
        <f t="shared" si="430"/>
        <v>0</v>
      </c>
      <c r="BP3016" s="9">
        <f t="shared" si="431"/>
        <v>0</v>
      </c>
    </row>
    <row r="3017" spans="1:68">
      <c r="A3017" s="6">
        <v>45089</v>
      </c>
      <c r="B3017" s="7">
        <v>3221</v>
      </c>
      <c r="C3017" s="8">
        <v>590.63</v>
      </c>
      <c r="D3017" s="8">
        <v>98.7</v>
      </c>
      <c r="E3017" s="8">
        <v>294.77999999999997</v>
      </c>
      <c r="F3017" s="8"/>
      <c r="G3017" s="8"/>
      <c r="H3017" s="8"/>
      <c r="I3017" s="8"/>
      <c r="J3017" s="8"/>
      <c r="K3017" s="8"/>
      <c r="L3017" s="8"/>
      <c r="M3017" s="8"/>
      <c r="N3017" s="8"/>
      <c r="O3017" s="8">
        <v>1.97</v>
      </c>
      <c r="P3017" s="8"/>
      <c r="Q3017" s="11"/>
      <c r="R3017" s="11"/>
      <c r="S3017" s="8">
        <v>4.4400000000000004</v>
      </c>
      <c r="T3017" s="8"/>
      <c r="U3017" s="8">
        <v>14.8</v>
      </c>
      <c r="V3017" s="8"/>
      <c r="W3017" s="8"/>
      <c r="X3017" s="8"/>
      <c r="Y3017" s="8"/>
      <c r="Z3017" s="8"/>
      <c r="AA3017" s="8"/>
      <c r="AB3017" s="8">
        <f>406*12.28/1000</f>
        <v>4.9856799999999994</v>
      </c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11"/>
      <c r="AQ3017" s="8">
        <f>1228*12.28/1000</f>
        <v>15.079839999999999</v>
      </c>
      <c r="AR3017" s="8"/>
      <c r="AS3017" s="8"/>
      <c r="AT3017" s="8">
        <v>557.41999999999996</v>
      </c>
      <c r="AU3017" s="8"/>
      <c r="AV3017" s="8"/>
      <c r="AW3017" s="8">
        <v>33.450000000000003</v>
      </c>
      <c r="AX3017" s="8"/>
      <c r="AY3017" s="8"/>
      <c r="AZ3017" s="8"/>
      <c r="BA3017" s="8"/>
      <c r="BB3017" s="8"/>
      <c r="BC3017" s="8"/>
      <c r="BD3017" s="8"/>
      <c r="BE3017" s="8"/>
      <c r="BF3017" s="8">
        <v>44.29</v>
      </c>
      <c r="BG3017" s="8">
        <v>41.34</v>
      </c>
      <c r="BH3017" s="9">
        <f t="shared" si="423"/>
        <v>984.11</v>
      </c>
      <c r="BI3017" s="9">
        <f t="shared" si="424"/>
        <v>1.97</v>
      </c>
      <c r="BJ3017" s="9">
        <f t="shared" si="425"/>
        <v>4.4400000000000004</v>
      </c>
      <c r="BK3017" s="9">
        <f t="shared" si="426"/>
        <v>14.8</v>
      </c>
      <c r="BL3017" s="9">
        <f t="shared" si="427"/>
        <v>0</v>
      </c>
      <c r="BM3017" s="9">
        <f t="shared" si="428"/>
        <v>20.065519999999999</v>
      </c>
      <c r="BN3017" s="9">
        <f t="shared" si="429"/>
        <v>557.41999999999996</v>
      </c>
      <c r="BO3017" s="9">
        <f t="shared" si="430"/>
        <v>33.450000000000003</v>
      </c>
      <c r="BP3017" s="9">
        <f t="shared" si="431"/>
        <v>44.29</v>
      </c>
    </row>
    <row r="3018" spans="1:68">
      <c r="A3018" s="6">
        <v>45089</v>
      </c>
      <c r="B3018" s="7">
        <v>3206</v>
      </c>
      <c r="C3018" s="8">
        <v>607.76</v>
      </c>
      <c r="D3018" s="8">
        <v>1090.9100000000001</v>
      </c>
      <c r="E3018" s="8">
        <v>727.54</v>
      </c>
      <c r="F3018" s="8"/>
      <c r="G3018" s="8"/>
      <c r="H3018" s="8"/>
      <c r="I3018" s="8"/>
      <c r="J3018" s="8"/>
      <c r="K3018" s="8"/>
      <c r="L3018" s="8"/>
      <c r="M3018" s="8"/>
      <c r="N3018" s="8"/>
      <c r="O3018" s="8">
        <v>4.8600000000000003</v>
      </c>
      <c r="P3018" s="8"/>
      <c r="Q3018" s="11"/>
      <c r="R3018" s="11"/>
      <c r="S3018" s="8">
        <v>12.13</v>
      </c>
      <c r="T3018" s="8"/>
      <c r="U3018" s="8">
        <v>8.51</v>
      </c>
      <c r="V3018" s="8"/>
      <c r="W3018" s="8"/>
      <c r="X3018" s="8"/>
      <c r="Y3018" s="8"/>
      <c r="Z3018" s="8">
        <v>145.66999999999999</v>
      </c>
      <c r="AA3018" s="8"/>
      <c r="AB3018" s="8">
        <f>822*15.17/1000</f>
        <v>12.46974</v>
      </c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11"/>
      <c r="AQ3018" s="8"/>
      <c r="AR3018" s="8"/>
      <c r="AS3018" s="8"/>
      <c r="AT3018" s="8">
        <v>424.49</v>
      </c>
      <c r="AU3018" s="8">
        <v>212.32</v>
      </c>
      <c r="AV3018" s="8"/>
      <c r="AW3018" s="8">
        <v>9.23</v>
      </c>
      <c r="AX3018" s="8"/>
      <c r="AY3018" s="8"/>
      <c r="AZ3018" s="8"/>
      <c r="BA3018" s="8"/>
      <c r="BB3018" s="8"/>
      <c r="BC3018" s="8"/>
      <c r="BD3018" s="8"/>
      <c r="BE3018" s="8"/>
      <c r="BF3018" s="8"/>
      <c r="BG3018" s="8">
        <v>42.73</v>
      </c>
      <c r="BH3018" s="9">
        <f t="shared" si="423"/>
        <v>2426.21</v>
      </c>
      <c r="BI3018" s="9">
        <f t="shared" si="424"/>
        <v>4.8600000000000003</v>
      </c>
      <c r="BJ3018" s="9">
        <f t="shared" si="425"/>
        <v>12.13</v>
      </c>
      <c r="BK3018" s="9">
        <f t="shared" si="426"/>
        <v>8.51</v>
      </c>
      <c r="BL3018" s="9">
        <f t="shared" si="427"/>
        <v>145.66999999999999</v>
      </c>
      <c r="BM3018" s="9">
        <f t="shared" si="428"/>
        <v>12.46974</v>
      </c>
      <c r="BN3018" s="9">
        <f t="shared" si="429"/>
        <v>636.80999999999995</v>
      </c>
      <c r="BO3018" s="9">
        <f t="shared" si="430"/>
        <v>9.23</v>
      </c>
      <c r="BP3018" s="9">
        <f t="shared" si="431"/>
        <v>0</v>
      </c>
    </row>
    <row r="3019" spans="1:68">
      <c r="A3019" s="6">
        <v>45089</v>
      </c>
      <c r="B3019" s="7">
        <v>3136</v>
      </c>
      <c r="C3019" s="8">
        <v>1252.73</v>
      </c>
      <c r="D3019" s="8"/>
      <c r="E3019" s="8"/>
      <c r="F3019" s="8"/>
      <c r="G3019" s="8"/>
      <c r="H3019" s="8">
        <v>519.69000000000005</v>
      </c>
      <c r="I3019" s="8"/>
      <c r="J3019" s="8"/>
      <c r="K3019" s="8"/>
      <c r="L3019" s="8"/>
      <c r="M3019" s="8">
        <v>2.31</v>
      </c>
      <c r="N3019" s="8"/>
      <c r="O3019" s="8"/>
      <c r="P3019" s="8"/>
      <c r="Q3019" s="11"/>
      <c r="R3019" s="11"/>
      <c r="S3019" s="8">
        <v>6.95</v>
      </c>
      <c r="T3019" s="8"/>
      <c r="U3019" s="8">
        <v>20.07</v>
      </c>
      <c r="V3019" s="8"/>
      <c r="W3019" s="8"/>
      <c r="X3019" s="8"/>
      <c r="Y3019" s="8"/>
      <c r="Z3019" s="8"/>
      <c r="AA3019" s="8"/>
      <c r="AB3019" s="8"/>
      <c r="AC3019" s="8">
        <v>6.17</v>
      </c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11"/>
      <c r="AQ3019" s="8"/>
      <c r="AR3019" s="8"/>
      <c r="AS3019" s="8"/>
      <c r="AT3019" s="8">
        <v>1002.46</v>
      </c>
      <c r="AU3019" s="8"/>
      <c r="AV3019" s="8"/>
      <c r="AW3019" s="8"/>
      <c r="AX3019" s="8"/>
      <c r="AY3019" s="8"/>
      <c r="AZ3019" s="8"/>
      <c r="BA3019" s="8">
        <v>15.27</v>
      </c>
      <c r="BB3019" s="8"/>
      <c r="BC3019" s="8"/>
      <c r="BD3019" s="8"/>
      <c r="BE3019" s="8"/>
      <c r="BF3019" s="8">
        <v>61.74</v>
      </c>
      <c r="BG3019" s="8">
        <v>75.69</v>
      </c>
      <c r="BH3019" s="9">
        <f t="shared" si="423"/>
        <v>1772.42</v>
      </c>
      <c r="BI3019" s="9">
        <f t="shared" si="424"/>
        <v>2.31</v>
      </c>
      <c r="BJ3019" s="9">
        <f t="shared" si="425"/>
        <v>6.95</v>
      </c>
      <c r="BK3019" s="9">
        <f t="shared" si="426"/>
        <v>20.07</v>
      </c>
      <c r="BL3019" s="9">
        <f t="shared" si="427"/>
        <v>0</v>
      </c>
      <c r="BM3019" s="9">
        <f t="shared" si="428"/>
        <v>6.17</v>
      </c>
      <c r="BN3019" s="9">
        <f t="shared" si="429"/>
        <v>1002.46</v>
      </c>
      <c r="BO3019" s="9">
        <f t="shared" si="430"/>
        <v>15.27</v>
      </c>
      <c r="BP3019" s="9">
        <f t="shared" si="431"/>
        <v>61.74</v>
      </c>
    </row>
    <row r="3020" spans="1:68">
      <c r="A3020" s="6">
        <v>45089</v>
      </c>
      <c r="B3020" s="7">
        <v>3141</v>
      </c>
      <c r="C3020" s="8">
        <v>2394.63</v>
      </c>
      <c r="D3020" s="8">
        <v>422.57</v>
      </c>
      <c r="E3020" s="8"/>
      <c r="F3020" s="8"/>
      <c r="G3020" s="8"/>
      <c r="H3020" s="8"/>
      <c r="I3020" s="8"/>
      <c r="J3020" s="8"/>
      <c r="K3020" s="8"/>
      <c r="L3020" s="8"/>
      <c r="M3020" s="8">
        <v>8.18</v>
      </c>
      <c r="N3020" s="8"/>
      <c r="O3020" s="8"/>
      <c r="P3020" s="8"/>
      <c r="Q3020" s="11"/>
      <c r="R3020" s="11"/>
      <c r="S3020" s="8">
        <v>13.25</v>
      </c>
      <c r="T3020" s="8"/>
      <c r="U3020" s="8">
        <v>42.3</v>
      </c>
      <c r="V3020" s="8"/>
      <c r="W3020" s="8"/>
      <c r="X3020" s="8"/>
      <c r="Y3020" s="8"/>
      <c r="Z3020" s="8"/>
      <c r="AA3020" s="8"/>
      <c r="AB3020" s="8"/>
      <c r="AC3020" s="8">
        <v>11.28</v>
      </c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11"/>
      <c r="AQ3020" s="8"/>
      <c r="AR3020" s="8"/>
      <c r="AS3020" s="8"/>
      <c r="AT3020" s="8">
        <v>1864.58</v>
      </c>
      <c r="AU3020" s="8"/>
      <c r="AV3020" s="8"/>
      <c r="AW3020" s="8"/>
      <c r="AX3020" s="8"/>
      <c r="AY3020" s="8"/>
      <c r="AZ3020" s="8"/>
      <c r="BA3020" s="8">
        <v>64.55</v>
      </c>
      <c r="BB3020" s="8"/>
      <c r="BC3020" s="8"/>
      <c r="BD3020" s="8"/>
      <c r="BE3020" s="8"/>
      <c r="BF3020" s="8">
        <v>197.09</v>
      </c>
      <c r="BG3020" s="8">
        <v>146.38999999999999</v>
      </c>
      <c r="BH3020" s="9">
        <f t="shared" si="423"/>
        <v>2817.2000000000003</v>
      </c>
      <c r="BI3020" s="9">
        <f t="shared" si="424"/>
        <v>8.18</v>
      </c>
      <c r="BJ3020" s="9">
        <f t="shared" si="425"/>
        <v>13.25</v>
      </c>
      <c r="BK3020" s="9">
        <f t="shared" si="426"/>
        <v>42.3</v>
      </c>
      <c r="BL3020" s="9">
        <f t="shared" si="427"/>
        <v>0</v>
      </c>
      <c r="BM3020" s="9">
        <f t="shared" si="428"/>
        <v>11.28</v>
      </c>
      <c r="BN3020" s="9">
        <f t="shared" si="429"/>
        <v>1864.58</v>
      </c>
      <c r="BO3020" s="9">
        <f t="shared" si="430"/>
        <v>64.55</v>
      </c>
      <c r="BP3020" s="9">
        <f t="shared" si="431"/>
        <v>197.09</v>
      </c>
    </row>
    <row r="3021" spans="1:68">
      <c r="A3021" s="6">
        <v>45089</v>
      </c>
      <c r="B3021" s="7">
        <v>3106</v>
      </c>
      <c r="C3021" s="8">
        <v>6111.33</v>
      </c>
      <c r="D3021" s="8"/>
      <c r="E3021" s="8"/>
      <c r="F3021" s="8"/>
      <c r="G3021" s="8"/>
      <c r="H3021" s="8"/>
      <c r="I3021" s="8"/>
      <c r="J3021" s="8"/>
      <c r="K3021" s="8"/>
      <c r="L3021" s="8"/>
      <c r="M3021" s="8">
        <v>16.52</v>
      </c>
      <c r="N3021" s="8"/>
      <c r="O3021" s="8"/>
      <c r="P3021" s="8"/>
      <c r="Q3021" s="11"/>
      <c r="R3021" s="11"/>
      <c r="S3021" s="8">
        <v>18.38</v>
      </c>
      <c r="T3021" s="8"/>
      <c r="U3021" s="8">
        <v>77.790000000000006</v>
      </c>
      <c r="V3021" s="8"/>
      <c r="W3021" s="8"/>
      <c r="X3021" s="8"/>
      <c r="Y3021" s="8"/>
      <c r="Z3021" s="8"/>
      <c r="AA3021" s="8"/>
      <c r="AB3021" s="8"/>
      <c r="AC3021" s="8">
        <v>15.29</v>
      </c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11"/>
      <c r="AQ3021" s="8"/>
      <c r="AR3021" s="8"/>
      <c r="AS3021" s="8"/>
      <c r="AT3021" s="8">
        <v>3490.04</v>
      </c>
      <c r="AU3021" s="8"/>
      <c r="AV3021" s="8"/>
      <c r="AW3021" s="8"/>
      <c r="AX3021" s="8">
        <v>7.65</v>
      </c>
      <c r="AY3021" s="8"/>
      <c r="AZ3021" s="8"/>
      <c r="BA3021" s="8"/>
      <c r="BB3021" s="8"/>
      <c r="BC3021" s="8"/>
      <c r="BD3021" s="8"/>
      <c r="BE3021" s="8"/>
      <c r="BF3021" s="8"/>
      <c r="BG3021" s="8">
        <v>262.85000000000002</v>
      </c>
      <c r="BH3021" s="9">
        <f t="shared" si="423"/>
        <v>6111.33</v>
      </c>
      <c r="BI3021" s="9">
        <f t="shared" si="424"/>
        <v>16.52</v>
      </c>
      <c r="BJ3021" s="9">
        <f t="shared" si="425"/>
        <v>18.38</v>
      </c>
      <c r="BK3021" s="9">
        <f t="shared" si="426"/>
        <v>77.790000000000006</v>
      </c>
      <c r="BL3021" s="9">
        <f t="shared" si="427"/>
        <v>0</v>
      </c>
      <c r="BM3021" s="9">
        <f t="shared" si="428"/>
        <v>15.29</v>
      </c>
      <c r="BN3021" s="9">
        <f t="shared" si="429"/>
        <v>3490.04</v>
      </c>
      <c r="BO3021" s="9">
        <f t="shared" si="430"/>
        <v>7.65</v>
      </c>
      <c r="BP3021" s="9">
        <f t="shared" si="431"/>
        <v>0</v>
      </c>
    </row>
    <row r="3022" spans="1:68">
      <c r="A3022" s="6">
        <v>45089</v>
      </c>
      <c r="B3022" s="7">
        <v>3121</v>
      </c>
      <c r="C3022" s="8">
        <v>2210.37</v>
      </c>
      <c r="D3022" s="8"/>
      <c r="E3022" s="8"/>
      <c r="F3022" s="8"/>
      <c r="G3022" s="8"/>
      <c r="H3022" s="8"/>
      <c r="I3022" s="8"/>
      <c r="J3022" s="8"/>
      <c r="K3022" s="8"/>
      <c r="L3022" s="8"/>
      <c r="M3022" s="8">
        <v>5.54</v>
      </c>
      <c r="N3022" s="8"/>
      <c r="O3022" s="8"/>
      <c r="P3022" s="8"/>
      <c r="Q3022" s="11"/>
      <c r="R3022" s="11"/>
      <c r="S3022" s="8">
        <v>7.08</v>
      </c>
      <c r="T3022" s="8"/>
      <c r="U3022" s="8">
        <v>22</v>
      </c>
      <c r="V3022" s="8"/>
      <c r="W3022" s="8"/>
      <c r="X3022" s="8"/>
      <c r="Y3022" s="8"/>
      <c r="Z3022" s="8"/>
      <c r="AA3022" s="8"/>
      <c r="AB3022" s="8"/>
      <c r="AC3022" s="8">
        <v>8.83</v>
      </c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11">
        <f>2245*10.05/1000</f>
        <v>22.562249999999999</v>
      </c>
      <c r="AQ3022" s="8"/>
      <c r="AR3022" s="8"/>
      <c r="AS3022" s="8"/>
      <c r="AT3022" s="8">
        <v>1169.74</v>
      </c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>
        <v>86.34</v>
      </c>
      <c r="BH3022" s="9">
        <f t="shared" si="423"/>
        <v>2210.37</v>
      </c>
      <c r="BI3022" s="9">
        <f t="shared" si="424"/>
        <v>5.54</v>
      </c>
      <c r="BJ3022" s="9">
        <f t="shared" si="425"/>
        <v>7.08</v>
      </c>
      <c r="BK3022" s="9">
        <f t="shared" si="426"/>
        <v>22</v>
      </c>
      <c r="BL3022" s="9">
        <f t="shared" si="427"/>
        <v>0</v>
      </c>
      <c r="BM3022" s="9">
        <f t="shared" si="428"/>
        <v>31.392249999999997</v>
      </c>
      <c r="BN3022" s="9">
        <f t="shared" si="429"/>
        <v>1169.74</v>
      </c>
      <c r="BO3022" s="9">
        <f t="shared" si="430"/>
        <v>0</v>
      </c>
      <c r="BP3022" s="9">
        <f t="shared" si="431"/>
        <v>0</v>
      </c>
    </row>
    <row r="3023" spans="1:68">
      <c r="A3023" s="6">
        <v>45089</v>
      </c>
      <c r="B3023" s="7">
        <v>3016</v>
      </c>
      <c r="C3023" s="8"/>
      <c r="D3023" s="8">
        <v>1629.09</v>
      </c>
      <c r="E3023" s="8"/>
      <c r="F3023" s="8"/>
      <c r="G3023" s="8"/>
      <c r="H3023" s="8"/>
      <c r="I3023" s="8">
        <v>1502.81</v>
      </c>
      <c r="J3023" s="8"/>
      <c r="K3023" s="8"/>
      <c r="L3023" s="8"/>
      <c r="M3023" s="8"/>
      <c r="N3023" s="8">
        <v>19.420000000000002</v>
      </c>
      <c r="O3023" s="8"/>
      <c r="P3023" s="8"/>
      <c r="Q3023" s="11"/>
      <c r="R3023" s="11"/>
      <c r="S3023" s="8">
        <v>2.19</v>
      </c>
      <c r="T3023" s="8"/>
      <c r="U3023" s="8"/>
      <c r="V3023" s="8"/>
      <c r="W3023" s="8">
        <v>31.36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>
        <v>12.53</v>
      </c>
      <c r="AN3023" s="8">
        <f>2078*18.42/1000</f>
        <v>38.276760000000003</v>
      </c>
      <c r="AO3023" s="8"/>
      <c r="AP3023" s="11"/>
      <c r="AQ3023" s="8"/>
      <c r="AR3023" s="8">
        <f>4372*18.42/1000</f>
        <v>80.532240000000002</v>
      </c>
      <c r="AS3023" s="8"/>
      <c r="AT3023" s="8">
        <v>1164.33</v>
      </c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>
        <v>84.13</v>
      </c>
      <c r="BH3023" s="9">
        <f t="shared" si="423"/>
        <v>3131.8999999999996</v>
      </c>
      <c r="BI3023" s="9">
        <f t="shared" si="424"/>
        <v>19.420000000000002</v>
      </c>
      <c r="BJ3023" s="9">
        <f t="shared" si="425"/>
        <v>2.19</v>
      </c>
      <c r="BK3023" s="9">
        <f t="shared" si="426"/>
        <v>31.36</v>
      </c>
      <c r="BL3023" s="9">
        <f t="shared" si="427"/>
        <v>0</v>
      </c>
      <c r="BM3023" s="9">
        <f t="shared" si="428"/>
        <v>131.339</v>
      </c>
      <c r="BN3023" s="9">
        <f t="shared" si="429"/>
        <v>1164.33</v>
      </c>
      <c r="BO3023" s="9">
        <f t="shared" si="430"/>
        <v>0</v>
      </c>
      <c r="BP3023" s="9">
        <f t="shared" si="431"/>
        <v>0</v>
      </c>
    </row>
    <row r="3024" spans="1:68">
      <c r="A3024" s="6">
        <v>45089</v>
      </c>
      <c r="B3024" s="7">
        <v>3031</v>
      </c>
      <c r="C3024" s="8"/>
      <c r="D3024" s="8"/>
      <c r="E3024" s="8"/>
      <c r="F3024" s="8"/>
      <c r="G3024" s="8"/>
      <c r="H3024" s="8"/>
      <c r="I3024" s="8">
        <v>1169.95</v>
      </c>
      <c r="J3024" s="8"/>
      <c r="K3024" s="8"/>
      <c r="L3024" s="8"/>
      <c r="M3024" s="8"/>
      <c r="N3024" s="8">
        <v>8.4700000000000006</v>
      </c>
      <c r="O3024" s="8"/>
      <c r="P3024" s="8"/>
      <c r="Q3024" s="11"/>
      <c r="R3024" s="11"/>
      <c r="S3024" s="8">
        <v>0.82</v>
      </c>
      <c r="T3024" s="8"/>
      <c r="U3024" s="8"/>
      <c r="V3024" s="8"/>
      <c r="W3024" s="8">
        <v>11.71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>
        <f>1809*9.73/1000</f>
        <v>17.601569999999999</v>
      </c>
      <c r="AJ3024" s="8"/>
      <c r="AK3024" s="8"/>
      <c r="AL3024" s="8"/>
      <c r="AM3024" s="8"/>
      <c r="AN3024" s="8">
        <f>1216*9.73/1000</f>
        <v>11.83168</v>
      </c>
      <c r="AO3024" s="8"/>
      <c r="AP3024" s="11"/>
      <c r="AQ3024" s="8"/>
      <c r="AR3024" s="8">
        <f>3620*9.73/1000</f>
        <v>35.2226</v>
      </c>
      <c r="AS3024" s="8"/>
      <c r="AT3024" s="8">
        <v>557.29999999999995</v>
      </c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>
        <v>37.770000000000003</v>
      </c>
      <c r="BH3024" s="9">
        <f t="shared" si="423"/>
        <v>1169.95</v>
      </c>
      <c r="BI3024" s="9">
        <f t="shared" si="424"/>
        <v>8.4700000000000006</v>
      </c>
      <c r="BJ3024" s="9">
        <f t="shared" si="425"/>
        <v>0.82</v>
      </c>
      <c r="BK3024" s="9">
        <f t="shared" si="426"/>
        <v>11.71</v>
      </c>
      <c r="BL3024" s="9">
        <f t="shared" si="427"/>
        <v>0</v>
      </c>
      <c r="BM3024" s="9">
        <f t="shared" si="428"/>
        <v>64.655850000000001</v>
      </c>
      <c r="BN3024" s="9">
        <f t="shared" si="429"/>
        <v>557.29999999999995</v>
      </c>
      <c r="BO3024" s="9">
        <f t="shared" si="430"/>
        <v>0</v>
      </c>
      <c r="BP3024" s="9">
        <f t="shared" si="431"/>
        <v>0</v>
      </c>
    </row>
    <row r="3025" spans="1:68">
      <c r="A3025" s="6">
        <v>45089</v>
      </c>
      <c r="B3025" s="7">
        <v>3307</v>
      </c>
      <c r="C3025" s="8"/>
      <c r="D3025" s="8">
        <v>522.1</v>
      </c>
      <c r="E3025" s="8"/>
      <c r="F3025" s="8"/>
      <c r="G3025" s="8"/>
      <c r="H3025" s="8"/>
      <c r="I3025" s="8"/>
      <c r="J3025" s="8"/>
      <c r="K3025" s="8"/>
      <c r="L3025" s="8"/>
      <c r="M3025" s="8">
        <v>0.47</v>
      </c>
      <c r="N3025" s="8"/>
      <c r="O3025" s="8"/>
      <c r="P3025" s="8"/>
      <c r="Q3025" s="11"/>
      <c r="R3025" s="11"/>
      <c r="S3025" s="8">
        <v>3.55</v>
      </c>
      <c r="T3025" s="8"/>
      <c r="U3025" s="8">
        <v>5.23</v>
      </c>
      <c r="V3025" s="8"/>
      <c r="W3025" s="8"/>
      <c r="X3025" s="8"/>
      <c r="Y3025" s="8"/>
      <c r="Z3025" s="8"/>
      <c r="AA3025" s="8"/>
      <c r="AB3025" s="8"/>
      <c r="AC3025" s="8">
        <v>3.13</v>
      </c>
      <c r="AD3025" s="8"/>
      <c r="AE3025" s="8"/>
      <c r="AF3025" s="8"/>
      <c r="AG3025" s="8">
        <v>5.25</v>
      </c>
      <c r="AH3025" s="8"/>
      <c r="AI3025" s="8"/>
      <c r="AJ3025" s="8"/>
      <c r="AK3025" s="8"/>
      <c r="AL3025" s="8"/>
      <c r="AM3025" s="8"/>
      <c r="AN3025" s="8"/>
      <c r="AO3025" s="8"/>
      <c r="AP3025" s="11"/>
      <c r="AQ3025" s="8"/>
      <c r="AR3025" s="8"/>
      <c r="AS3025" s="8"/>
      <c r="AT3025" s="8"/>
      <c r="AU3025" s="8">
        <v>261.73</v>
      </c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>
        <v>18.77</v>
      </c>
      <c r="BH3025" s="9">
        <f t="shared" si="423"/>
        <v>522.1</v>
      </c>
      <c r="BI3025" s="9">
        <f t="shared" si="424"/>
        <v>0.47</v>
      </c>
      <c r="BJ3025" s="9">
        <f t="shared" si="425"/>
        <v>3.55</v>
      </c>
      <c r="BK3025" s="9">
        <f t="shared" si="426"/>
        <v>5.23</v>
      </c>
      <c r="BL3025" s="9">
        <f t="shared" si="427"/>
        <v>0</v>
      </c>
      <c r="BM3025" s="9">
        <f t="shared" si="428"/>
        <v>8.379999999999999</v>
      </c>
      <c r="BN3025" s="9">
        <f t="shared" si="429"/>
        <v>261.73</v>
      </c>
      <c r="BO3025" s="9">
        <f t="shared" si="430"/>
        <v>0</v>
      </c>
      <c r="BP3025" s="9">
        <f t="shared" si="431"/>
        <v>0</v>
      </c>
    </row>
    <row r="3026" spans="1:68">
      <c r="A3026" s="6">
        <v>45089</v>
      </c>
      <c r="B3026" s="7">
        <v>3310</v>
      </c>
      <c r="C3026" s="8"/>
      <c r="D3026" s="8">
        <v>393.33</v>
      </c>
      <c r="E3026" s="8"/>
      <c r="F3026" s="8"/>
      <c r="G3026" s="8"/>
      <c r="H3026" s="8"/>
      <c r="I3026" s="8"/>
      <c r="J3026" s="8"/>
      <c r="K3026" s="8"/>
      <c r="L3026" s="8"/>
      <c r="M3026" s="8">
        <v>0.79</v>
      </c>
      <c r="N3026" s="8"/>
      <c r="O3026" s="8"/>
      <c r="P3026" s="8"/>
      <c r="Q3026" s="11"/>
      <c r="R3026" s="11"/>
      <c r="S3026" s="8">
        <v>0.59</v>
      </c>
      <c r="T3026" s="8"/>
      <c r="U3026" s="8">
        <v>3.54</v>
      </c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>
        <v>3.95</v>
      </c>
      <c r="AH3026" s="8"/>
      <c r="AI3026" s="8"/>
      <c r="AJ3026" s="8"/>
      <c r="AK3026" s="8"/>
      <c r="AL3026" s="8"/>
      <c r="AM3026" s="8"/>
      <c r="AN3026" s="8"/>
      <c r="AO3026" s="8"/>
      <c r="AP3026" s="11"/>
      <c r="AQ3026" s="8"/>
      <c r="AR3026" s="8"/>
      <c r="AS3026" s="8"/>
      <c r="AT3026" s="8">
        <v>105.25</v>
      </c>
      <c r="AU3026" s="8">
        <v>52.56</v>
      </c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>
        <v>10.88</v>
      </c>
      <c r="BH3026" s="9">
        <f t="shared" si="423"/>
        <v>393.33</v>
      </c>
      <c r="BI3026" s="9">
        <f t="shared" si="424"/>
        <v>0.79</v>
      </c>
      <c r="BJ3026" s="9">
        <f t="shared" si="425"/>
        <v>0.59</v>
      </c>
      <c r="BK3026" s="9">
        <f t="shared" si="426"/>
        <v>3.54</v>
      </c>
      <c r="BL3026" s="9">
        <f t="shared" si="427"/>
        <v>0</v>
      </c>
      <c r="BM3026" s="9">
        <f t="shared" si="428"/>
        <v>3.95</v>
      </c>
      <c r="BN3026" s="9">
        <f t="shared" si="429"/>
        <v>157.81</v>
      </c>
      <c r="BO3026" s="9">
        <f t="shared" si="430"/>
        <v>0</v>
      </c>
      <c r="BP3026" s="9">
        <f t="shared" si="431"/>
        <v>0</v>
      </c>
    </row>
    <row r="3027" spans="1:68">
      <c r="A3027" s="6">
        <v>45089</v>
      </c>
      <c r="B3027" s="7">
        <v>3705</v>
      </c>
      <c r="C3027" s="8"/>
      <c r="D3027" s="8">
        <v>720.33</v>
      </c>
      <c r="E3027" s="8"/>
      <c r="F3027" s="8"/>
      <c r="G3027" s="8"/>
      <c r="H3027" s="8"/>
      <c r="I3027" s="8">
        <v>157.83000000000001</v>
      </c>
      <c r="J3027" s="8"/>
      <c r="K3027" s="8"/>
      <c r="L3027" s="8"/>
      <c r="M3027" s="8">
        <v>2.63</v>
      </c>
      <c r="N3027" s="8"/>
      <c r="O3027" s="8"/>
      <c r="P3027" s="8"/>
      <c r="Q3027" s="11"/>
      <c r="R3027" s="11"/>
      <c r="S3027" s="8">
        <v>3.07</v>
      </c>
      <c r="T3027" s="8"/>
      <c r="U3027" s="8">
        <v>6.15</v>
      </c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11"/>
      <c r="AQ3027" s="8"/>
      <c r="AR3027" s="8"/>
      <c r="AS3027" s="8"/>
      <c r="AT3027" s="8">
        <v>51.67</v>
      </c>
      <c r="AU3027" s="8">
        <v>104.65</v>
      </c>
      <c r="AV3027" s="8">
        <v>1.76</v>
      </c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>
        <v>8.6199999999999992</v>
      </c>
      <c r="BH3027" s="9">
        <f t="shared" si="423"/>
        <v>878.16000000000008</v>
      </c>
      <c r="BI3027" s="9">
        <f t="shared" si="424"/>
        <v>2.63</v>
      </c>
      <c r="BJ3027" s="9">
        <f t="shared" si="425"/>
        <v>3.07</v>
      </c>
      <c r="BK3027" s="9">
        <f t="shared" si="426"/>
        <v>6.15</v>
      </c>
      <c r="BL3027" s="9">
        <f t="shared" si="427"/>
        <v>0</v>
      </c>
      <c r="BM3027" s="9">
        <f t="shared" si="428"/>
        <v>0</v>
      </c>
      <c r="BN3027" s="9">
        <f t="shared" si="429"/>
        <v>156.32</v>
      </c>
      <c r="BO3027" s="9">
        <f t="shared" si="430"/>
        <v>1.76</v>
      </c>
      <c r="BP3027" s="9">
        <f t="shared" si="431"/>
        <v>0</v>
      </c>
    </row>
    <row r="3028" spans="1:68">
      <c r="A3028" s="6">
        <v>45089</v>
      </c>
      <c r="B3028" s="7">
        <v>3149</v>
      </c>
      <c r="C3028" s="8">
        <v>633.62</v>
      </c>
      <c r="D3028" s="8">
        <v>112.49</v>
      </c>
      <c r="E3028" s="8"/>
      <c r="F3028" s="8"/>
      <c r="G3028" s="8"/>
      <c r="H3028" s="8"/>
      <c r="I3028" s="8"/>
      <c r="J3028" s="8"/>
      <c r="K3028" s="8"/>
      <c r="L3028" s="8"/>
      <c r="M3028" s="8">
        <v>2.46</v>
      </c>
      <c r="N3028" s="8"/>
      <c r="O3028" s="8"/>
      <c r="P3028" s="8"/>
      <c r="Q3028" s="11"/>
      <c r="R3028" s="11"/>
      <c r="S3028" s="8">
        <v>3.51</v>
      </c>
      <c r="T3028" s="8"/>
      <c r="U3028" s="8">
        <v>11.21</v>
      </c>
      <c r="V3028" s="8"/>
      <c r="W3028" s="8"/>
      <c r="X3028" s="8"/>
      <c r="Y3028" s="8"/>
      <c r="Z3028" s="8"/>
      <c r="AA3028" s="8"/>
      <c r="AB3028" s="8"/>
      <c r="AC3028" s="8">
        <v>2.99</v>
      </c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11"/>
      <c r="AQ3028" s="8"/>
      <c r="AR3028" s="8"/>
      <c r="AS3028" s="8"/>
      <c r="AT3028" s="8">
        <v>489.42</v>
      </c>
      <c r="AU3028" s="8"/>
      <c r="AV3028" s="8"/>
      <c r="AW3028" s="8">
        <v>24.13</v>
      </c>
      <c r="AX3028" s="8"/>
      <c r="AY3028" s="8"/>
      <c r="AZ3028" s="8"/>
      <c r="BA3028" s="8"/>
      <c r="BB3028" s="8"/>
      <c r="BC3028" s="8"/>
      <c r="BD3028" s="8"/>
      <c r="BE3028" s="8"/>
      <c r="BF3028" s="8">
        <v>52.27</v>
      </c>
      <c r="BG3028" s="8">
        <v>38.979999999999997</v>
      </c>
      <c r="BH3028" s="9">
        <f t="shared" si="423"/>
        <v>746.11</v>
      </c>
      <c r="BI3028" s="9">
        <f t="shared" si="424"/>
        <v>2.46</v>
      </c>
      <c r="BJ3028" s="9">
        <f t="shared" si="425"/>
        <v>3.51</v>
      </c>
      <c r="BK3028" s="9">
        <f t="shared" si="426"/>
        <v>11.21</v>
      </c>
      <c r="BL3028" s="9">
        <f t="shared" si="427"/>
        <v>0</v>
      </c>
      <c r="BM3028" s="9">
        <f t="shared" si="428"/>
        <v>2.99</v>
      </c>
      <c r="BN3028" s="9">
        <f t="shared" si="429"/>
        <v>489.42</v>
      </c>
      <c r="BO3028" s="9">
        <f t="shared" si="430"/>
        <v>24.13</v>
      </c>
      <c r="BP3028" s="9">
        <f t="shared" si="431"/>
        <v>52.27</v>
      </c>
    </row>
    <row r="3029" spans="1:68">
      <c r="A3029" s="6">
        <v>45090</v>
      </c>
      <c r="B3029" s="7">
        <v>3022</v>
      </c>
      <c r="C3029" s="8"/>
      <c r="D3029" s="8">
        <v>345.14</v>
      </c>
      <c r="E3029" s="8"/>
      <c r="F3029" s="8"/>
      <c r="G3029" s="8"/>
      <c r="H3029" s="8"/>
      <c r="I3029" s="8">
        <v>280.92</v>
      </c>
      <c r="J3029" s="8"/>
      <c r="K3029" s="8"/>
      <c r="L3029" s="8"/>
      <c r="M3029" s="8"/>
      <c r="N3029" s="8">
        <v>3.13</v>
      </c>
      <c r="O3029" s="8"/>
      <c r="P3029" s="8"/>
      <c r="Q3029" s="11"/>
      <c r="R3029" s="11"/>
      <c r="S3029" s="8">
        <v>1.1299999999999999</v>
      </c>
      <c r="T3029" s="8"/>
      <c r="U3029" s="8"/>
      <c r="V3029" s="8"/>
      <c r="W3029" s="8">
        <v>6.27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>
        <v>8.15</v>
      </c>
      <c r="AN3029" s="8"/>
      <c r="AO3029" s="8"/>
      <c r="AP3029" s="11"/>
      <c r="AQ3029" s="8"/>
      <c r="AR3029" s="8"/>
      <c r="AS3029" s="8">
        <f>3852*5.7/1000</f>
        <v>21.956400000000002</v>
      </c>
      <c r="AT3029" s="8">
        <v>292.77</v>
      </c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>
        <v>22.54</v>
      </c>
      <c r="BH3029" s="9">
        <f t="shared" si="423"/>
        <v>626.05999999999995</v>
      </c>
      <c r="BI3029" s="9">
        <f t="shared" si="424"/>
        <v>3.13</v>
      </c>
      <c r="BJ3029" s="9">
        <f t="shared" si="425"/>
        <v>1.1299999999999999</v>
      </c>
      <c r="BK3029" s="9">
        <f t="shared" si="426"/>
        <v>6.27</v>
      </c>
      <c r="BL3029" s="9">
        <f t="shared" si="427"/>
        <v>0</v>
      </c>
      <c r="BM3029" s="9">
        <f t="shared" si="428"/>
        <v>30.106400000000001</v>
      </c>
      <c r="BN3029" s="9">
        <f t="shared" si="429"/>
        <v>292.77</v>
      </c>
      <c r="BO3029" s="9">
        <f t="shared" si="430"/>
        <v>0</v>
      </c>
      <c r="BP3029" s="9">
        <f t="shared" si="431"/>
        <v>0</v>
      </c>
    </row>
    <row r="3030" spans="1:68">
      <c r="A3030" s="6">
        <v>45090</v>
      </c>
      <c r="B3030" s="7">
        <v>3023</v>
      </c>
      <c r="C3030" s="8"/>
      <c r="D3030" s="8">
        <v>492.22</v>
      </c>
      <c r="E3030" s="8"/>
      <c r="F3030" s="8"/>
      <c r="G3030" s="8"/>
      <c r="H3030" s="8"/>
      <c r="I3030" s="8">
        <v>265.13</v>
      </c>
      <c r="J3030" s="8"/>
      <c r="K3030" s="8"/>
      <c r="L3030" s="8"/>
      <c r="M3030" s="8"/>
      <c r="N3030" s="8">
        <v>4.24</v>
      </c>
      <c r="O3030" s="8"/>
      <c r="P3030" s="8"/>
      <c r="Q3030" s="11"/>
      <c r="R3030" s="11"/>
      <c r="S3030" s="8">
        <v>1.21</v>
      </c>
      <c r="T3030" s="8"/>
      <c r="U3030" s="8"/>
      <c r="V3030" s="8"/>
      <c r="W3030" s="8">
        <v>6.82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>
        <v>7.57</v>
      </c>
      <c r="AN3030" s="8">
        <f>1035*5.22/1000</f>
        <v>5.4026999999999994</v>
      </c>
      <c r="AO3030" s="8"/>
      <c r="AP3030" s="11"/>
      <c r="AQ3030" s="8"/>
      <c r="AR3030" s="8"/>
      <c r="AS3030" s="8">
        <f>4788*5.22/1000</f>
        <v>24.993359999999999</v>
      </c>
      <c r="AT3030" s="8">
        <v>310.42</v>
      </c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>
        <v>23.45</v>
      </c>
      <c r="BH3030" s="9">
        <f t="shared" si="423"/>
        <v>757.35</v>
      </c>
      <c r="BI3030" s="9">
        <f t="shared" si="424"/>
        <v>4.24</v>
      </c>
      <c r="BJ3030" s="9">
        <f t="shared" si="425"/>
        <v>1.21</v>
      </c>
      <c r="BK3030" s="9">
        <f t="shared" si="426"/>
        <v>6.82</v>
      </c>
      <c r="BL3030" s="9">
        <f t="shared" si="427"/>
        <v>0</v>
      </c>
      <c r="BM3030" s="9">
        <f t="shared" si="428"/>
        <v>37.966059999999999</v>
      </c>
      <c r="BN3030" s="9">
        <f t="shared" si="429"/>
        <v>310.42</v>
      </c>
      <c r="BO3030" s="9">
        <f t="shared" si="430"/>
        <v>0</v>
      </c>
      <c r="BP3030" s="9">
        <f t="shared" si="431"/>
        <v>0</v>
      </c>
    </row>
    <row r="3031" spans="1:68">
      <c r="A3031" s="6">
        <v>45090</v>
      </c>
      <c r="B3031" s="7">
        <v>3028</v>
      </c>
      <c r="C3031" s="8"/>
      <c r="D3031" s="8">
        <v>791.41</v>
      </c>
      <c r="E3031" s="8"/>
      <c r="F3031" s="8">
        <v>725.56</v>
      </c>
      <c r="G3031" s="8"/>
      <c r="H3031" s="8"/>
      <c r="I3031" s="8">
        <v>1638.47</v>
      </c>
      <c r="J3031" s="8"/>
      <c r="K3031" s="8"/>
      <c r="L3031" s="8"/>
      <c r="M3031" s="8"/>
      <c r="N3031" s="8">
        <v>24.29</v>
      </c>
      <c r="O3031" s="8"/>
      <c r="P3031" s="8"/>
      <c r="Q3031" s="11"/>
      <c r="R3031" s="11"/>
      <c r="S3031" s="8">
        <v>4.4000000000000004</v>
      </c>
      <c r="T3031" s="8"/>
      <c r="U3031" s="8"/>
      <c r="V3031" s="8"/>
      <c r="W3031" s="8">
        <v>23.66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>
        <v>31.56</v>
      </c>
      <c r="AN3031" s="8">
        <f>1077*21.03/1000</f>
        <v>22.64931</v>
      </c>
      <c r="AO3031" s="8"/>
      <c r="AP3031" s="11"/>
      <c r="AQ3031" s="8"/>
      <c r="AR3031" s="8"/>
      <c r="AS3031" s="8">
        <f>5009*21.03/1000</f>
        <v>105.33927</v>
      </c>
      <c r="AT3031" s="8">
        <v>1052.1199999999999</v>
      </c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>
        <v>71.959999999999994</v>
      </c>
      <c r="BH3031" s="9">
        <f t="shared" si="423"/>
        <v>3155.4399999999996</v>
      </c>
      <c r="BI3031" s="9">
        <f t="shared" si="424"/>
        <v>24.29</v>
      </c>
      <c r="BJ3031" s="9">
        <f t="shared" si="425"/>
        <v>4.4000000000000004</v>
      </c>
      <c r="BK3031" s="9">
        <f t="shared" si="426"/>
        <v>23.66</v>
      </c>
      <c r="BL3031" s="9">
        <f t="shared" si="427"/>
        <v>0</v>
      </c>
      <c r="BM3031" s="9">
        <f t="shared" si="428"/>
        <v>159.54858000000002</v>
      </c>
      <c r="BN3031" s="9">
        <f t="shared" si="429"/>
        <v>1052.1199999999999</v>
      </c>
      <c r="BO3031" s="9">
        <f t="shared" si="430"/>
        <v>0</v>
      </c>
      <c r="BP3031" s="9">
        <f t="shared" si="431"/>
        <v>0</v>
      </c>
    </row>
    <row r="3032" spans="1:68">
      <c r="A3032" s="6">
        <v>45090</v>
      </c>
      <c r="B3032" s="7">
        <v>3079</v>
      </c>
      <c r="C3032" s="8"/>
      <c r="D3032" s="8"/>
      <c r="E3032" s="8"/>
      <c r="F3032" s="8">
        <v>348.11</v>
      </c>
      <c r="G3032" s="8"/>
      <c r="H3032" s="8"/>
      <c r="I3032" s="8">
        <v>2816.26</v>
      </c>
      <c r="J3032" s="8"/>
      <c r="K3032" s="8"/>
      <c r="L3032" s="8"/>
      <c r="M3032" s="8"/>
      <c r="N3032" s="8">
        <v>23.11</v>
      </c>
      <c r="O3032" s="8"/>
      <c r="P3032" s="8"/>
      <c r="Q3032" s="11"/>
      <c r="R3032" s="11"/>
      <c r="S3032" s="8">
        <v>1.25</v>
      </c>
      <c r="T3032" s="8"/>
      <c r="U3032" s="8"/>
      <c r="V3032" s="8"/>
      <c r="W3032" s="8">
        <v>31.68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>
        <v>12.64</v>
      </c>
      <c r="AN3032" s="8">
        <f>1706*18.62/1000</f>
        <v>31.765720000000002</v>
      </c>
      <c r="AO3032" s="8"/>
      <c r="AP3032" s="11"/>
      <c r="AQ3032" s="8"/>
      <c r="AR3032" s="8">
        <f>4264*18.62/1000</f>
        <v>79.395680000000013</v>
      </c>
      <c r="AS3032" s="8"/>
      <c r="AT3032" s="8">
        <v>1222.19</v>
      </c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>
        <v>88.46</v>
      </c>
      <c r="BH3032" s="9">
        <f t="shared" si="423"/>
        <v>3164.3700000000003</v>
      </c>
      <c r="BI3032" s="9">
        <f t="shared" si="424"/>
        <v>23.11</v>
      </c>
      <c r="BJ3032" s="9">
        <f t="shared" si="425"/>
        <v>1.25</v>
      </c>
      <c r="BK3032" s="9">
        <f t="shared" si="426"/>
        <v>31.68</v>
      </c>
      <c r="BL3032" s="9">
        <f t="shared" si="427"/>
        <v>0</v>
      </c>
      <c r="BM3032" s="9">
        <f t="shared" si="428"/>
        <v>123.80140000000002</v>
      </c>
      <c r="BN3032" s="9">
        <f t="shared" si="429"/>
        <v>1222.19</v>
      </c>
      <c r="BO3032" s="9">
        <f t="shared" si="430"/>
        <v>0</v>
      </c>
      <c r="BP3032" s="9">
        <f t="shared" si="431"/>
        <v>0</v>
      </c>
    </row>
    <row r="3033" spans="1:68">
      <c r="A3033" s="6">
        <v>45090</v>
      </c>
      <c r="B3033" s="7">
        <v>3029</v>
      </c>
      <c r="C3033" s="8"/>
      <c r="D3033" s="8">
        <v>472.39</v>
      </c>
      <c r="E3033" s="8"/>
      <c r="F3033" s="8">
        <v>333.71</v>
      </c>
      <c r="G3033" s="8"/>
      <c r="H3033" s="8"/>
      <c r="I3033" s="8">
        <v>1975.38</v>
      </c>
      <c r="J3033" s="8"/>
      <c r="K3033" s="8"/>
      <c r="L3033" s="8"/>
      <c r="M3033" s="8"/>
      <c r="N3033" s="8">
        <v>21.96</v>
      </c>
      <c r="O3033" s="8"/>
      <c r="P3033" s="8"/>
      <c r="Q3033" s="11"/>
      <c r="R3033" s="11"/>
      <c r="S3033" s="8">
        <v>1.67</v>
      </c>
      <c r="T3033" s="8"/>
      <c r="U3033" s="8"/>
      <c r="V3033" s="8"/>
      <c r="W3033" s="8">
        <v>27.81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>
        <v>9.73</v>
      </c>
      <c r="AN3033" s="8">
        <f>744*18.55/1000</f>
        <v>13.801200000000001</v>
      </c>
      <c r="AO3033" s="8"/>
      <c r="AP3033" s="11"/>
      <c r="AQ3033" s="8"/>
      <c r="AR3033" s="8">
        <f>4512*18.55/1000</f>
        <v>83.697600000000008</v>
      </c>
      <c r="AS3033" s="8"/>
      <c r="AT3033" s="8">
        <v>1056.32</v>
      </c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>
        <v>73.650000000000006</v>
      </c>
      <c r="BH3033" s="9">
        <f t="shared" si="423"/>
        <v>2781.48</v>
      </c>
      <c r="BI3033" s="9">
        <f t="shared" si="424"/>
        <v>21.96</v>
      </c>
      <c r="BJ3033" s="9">
        <f t="shared" si="425"/>
        <v>1.67</v>
      </c>
      <c r="BK3033" s="9">
        <f t="shared" si="426"/>
        <v>27.81</v>
      </c>
      <c r="BL3033" s="9">
        <f t="shared" si="427"/>
        <v>0</v>
      </c>
      <c r="BM3033" s="9">
        <f t="shared" si="428"/>
        <v>107.22880000000001</v>
      </c>
      <c r="BN3033" s="9">
        <f t="shared" si="429"/>
        <v>1056.32</v>
      </c>
      <c r="BO3033" s="9">
        <f t="shared" si="430"/>
        <v>0</v>
      </c>
      <c r="BP3033" s="9">
        <f t="shared" si="431"/>
        <v>0</v>
      </c>
    </row>
    <row r="3034" spans="1:68">
      <c r="A3034" s="6">
        <v>45090</v>
      </c>
      <c r="B3034" s="7">
        <v>3106</v>
      </c>
      <c r="C3034" s="8">
        <f>2386.98+7723.16</f>
        <v>10110.14</v>
      </c>
      <c r="D3034" s="8"/>
      <c r="E3034" s="8"/>
      <c r="F3034" s="8"/>
      <c r="G3034" s="8"/>
      <c r="H3034" s="8"/>
      <c r="I3034" s="8"/>
      <c r="J3034" s="8"/>
      <c r="K3034" s="8"/>
      <c r="L3034" s="8"/>
      <c r="M3034" s="8">
        <f>20.88+6.46</f>
        <v>27.34</v>
      </c>
      <c r="N3034" s="8"/>
      <c r="O3034" s="8"/>
      <c r="P3034" s="8"/>
      <c r="Q3034" s="11"/>
      <c r="R3034" s="11"/>
      <c r="S3034" s="8">
        <f>23.21+7.16</f>
        <v>30.37</v>
      </c>
      <c r="T3034" s="8"/>
      <c r="U3034" s="8">
        <f>98.22+30.34</f>
        <v>128.56</v>
      </c>
      <c r="V3034" s="8"/>
      <c r="W3034" s="8"/>
      <c r="X3034" s="8"/>
      <c r="Y3034" s="8"/>
      <c r="Z3034" s="8"/>
      <c r="AA3034" s="8"/>
      <c r="AB3034" s="8"/>
      <c r="AC3034" s="8">
        <f>19.31+5.97</f>
        <v>25.279999999999998</v>
      </c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11"/>
      <c r="AQ3034" s="8"/>
      <c r="AR3034" s="8"/>
      <c r="AS3034" s="8"/>
      <c r="AT3034" s="8">
        <f>4402.19+1360.95</f>
        <v>5763.1399999999994</v>
      </c>
      <c r="AU3034" s="8"/>
      <c r="AV3034" s="8"/>
      <c r="AW3034" s="8"/>
      <c r="AX3034" s="8">
        <f>9.66+2.99</f>
        <v>12.65</v>
      </c>
      <c r="AY3034" s="8"/>
      <c r="AZ3034" s="8"/>
      <c r="BA3034" s="8"/>
      <c r="BB3034" s="8"/>
      <c r="BC3034" s="8"/>
      <c r="BD3034" s="8"/>
      <c r="BE3034" s="8"/>
      <c r="BF3034" s="8"/>
      <c r="BG3034" s="8">
        <f>332.11+102.59</f>
        <v>434.70000000000005</v>
      </c>
      <c r="BH3034" s="9">
        <f t="shared" si="423"/>
        <v>10110.14</v>
      </c>
      <c r="BI3034" s="9">
        <f t="shared" si="424"/>
        <v>27.34</v>
      </c>
      <c r="BJ3034" s="9">
        <f t="shared" si="425"/>
        <v>30.37</v>
      </c>
      <c r="BK3034" s="9">
        <f t="shared" si="426"/>
        <v>128.56</v>
      </c>
      <c r="BL3034" s="9">
        <f t="shared" si="427"/>
        <v>0</v>
      </c>
      <c r="BM3034" s="9">
        <f t="shared" si="428"/>
        <v>25.279999999999998</v>
      </c>
      <c r="BN3034" s="9">
        <f t="shared" si="429"/>
        <v>5763.1399999999994</v>
      </c>
      <c r="BO3034" s="9">
        <f t="shared" si="430"/>
        <v>12.65</v>
      </c>
      <c r="BP3034" s="9">
        <f t="shared" si="431"/>
        <v>0</v>
      </c>
    </row>
    <row r="3035" spans="1:68">
      <c r="A3035" s="6">
        <v>45091</v>
      </c>
      <c r="B3035" s="7">
        <v>3307</v>
      </c>
      <c r="C3035" s="8"/>
      <c r="D3035" s="8">
        <v>990.37</v>
      </c>
      <c r="E3035" s="8"/>
      <c r="F3035" s="8"/>
      <c r="G3035" s="8"/>
      <c r="H3035" s="8"/>
      <c r="I3035" s="8"/>
      <c r="J3035" s="8"/>
      <c r="K3035" s="8"/>
      <c r="L3035" s="8"/>
      <c r="M3035" s="8">
        <v>0.9</v>
      </c>
      <c r="N3035" s="8"/>
      <c r="O3035" s="8"/>
      <c r="P3035" s="8"/>
      <c r="Q3035" s="11"/>
      <c r="R3035" s="11"/>
      <c r="S3035" s="8">
        <v>6.73</v>
      </c>
      <c r="T3035" s="8"/>
      <c r="U3035" s="8">
        <v>9.9</v>
      </c>
      <c r="V3035" s="8"/>
      <c r="W3035" s="8"/>
      <c r="X3035" s="8"/>
      <c r="Y3035" s="8"/>
      <c r="Z3035" s="8"/>
      <c r="AA3035" s="8"/>
      <c r="AB3035" s="8"/>
      <c r="AC3035" s="8">
        <v>5.95</v>
      </c>
      <c r="AD3035" s="8"/>
      <c r="AE3035" s="8"/>
      <c r="AF3035" s="8"/>
      <c r="AG3035" s="8">
        <v>9.94</v>
      </c>
      <c r="AH3035" s="8"/>
      <c r="AI3035" s="8"/>
      <c r="AJ3035" s="8"/>
      <c r="AK3035" s="8"/>
      <c r="AL3035" s="8"/>
      <c r="AM3035" s="8"/>
      <c r="AN3035" s="8"/>
      <c r="AO3035" s="8"/>
      <c r="AP3035" s="11"/>
      <c r="AQ3035" s="8"/>
      <c r="AR3035" s="8"/>
      <c r="AS3035" s="8"/>
      <c r="AT3035" s="8"/>
      <c r="AU3035" s="8">
        <v>496.12</v>
      </c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>
        <v>35.619999999999997</v>
      </c>
      <c r="BH3035" s="9">
        <f t="shared" si="423"/>
        <v>990.37</v>
      </c>
      <c r="BI3035" s="9">
        <f t="shared" si="424"/>
        <v>0.9</v>
      </c>
      <c r="BJ3035" s="9">
        <f t="shared" si="425"/>
        <v>6.73</v>
      </c>
      <c r="BK3035" s="9">
        <f t="shared" si="426"/>
        <v>9.9</v>
      </c>
      <c r="BL3035" s="9">
        <f t="shared" si="427"/>
        <v>0</v>
      </c>
      <c r="BM3035" s="9">
        <f t="shared" si="428"/>
        <v>15.89</v>
      </c>
      <c r="BN3035" s="9">
        <f t="shared" si="429"/>
        <v>496.12</v>
      </c>
      <c r="BO3035" s="9">
        <f t="shared" si="430"/>
        <v>0</v>
      </c>
      <c r="BP3035" s="9">
        <f t="shared" si="431"/>
        <v>0</v>
      </c>
    </row>
    <row r="3036" spans="1:68">
      <c r="A3036" s="6">
        <v>45091</v>
      </c>
      <c r="B3036" s="7">
        <v>3200</v>
      </c>
      <c r="C3036" s="8">
        <v>2305.83</v>
      </c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>
        <v>5.78</v>
      </c>
      <c r="P3036" s="8"/>
      <c r="Q3036" s="11"/>
      <c r="R3036" s="11"/>
      <c r="S3036" s="8">
        <v>9.01</v>
      </c>
      <c r="T3036" s="8"/>
      <c r="U3036" s="8">
        <v>34.6</v>
      </c>
      <c r="V3036" s="8"/>
      <c r="W3036" s="8"/>
      <c r="X3036" s="8"/>
      <c r="Y3036" s="8"/>
      <c r="Z3036" s="8">
        <v>484.69</v>
      </c>
      <c r="AA3036" s="8"/>
      <c r="AB3036" s="8"/>
      <c r="AC3036" s="8"/>
      <c r="AD3036" s="8"/>
      <c r="AE3036" s="8"/>
      <c r="AF3036" s="8">
        <v>115.54</v>
      </c>
      <c r="AG3036" s="8"/>
      <c r="AH3036" s="8"/>
      <c r="AI3036" s="8"/>
      <c r="AJ3036" s="8"/>
      <c r="AK3036" s="8"/>
      <c r="AL3036" s="8"/>
      <c r="AM3036" s="8"/>
      <c r="AN3036" s="8"/>
      <c r="AO3036" s="8"/>
      <c r="AP3036" s="11"/>
      <c r="AQ3036" s="8">
        <f>1506*23.07/1000</f>
        <v>34.74342</v>
      </c>
      <c r="AR3036" s="8"/>
      <c r="AS3036" s="8"/>
      <c r="AT3036" s="8">
        <v>1578.92</v>
      </c>
      <c r="AU3036" s="8"/>
      <c r="AV3036" s="8"/>
      <c r="AW3036" s="8">
        <v>6.66</v>
      </c>
      <c r="AX3036" s="8"/>
      <c r="AY3036" s="8"/>
      <c r="AZ3036" s="8"/>
      <c r="BA3036" s="8"/>
      <c r="BB3036" s="8"/>
      <c r="BC3036" s="8"/>
      <c r="BD3036" s="8"/>
      <c r="BE3036" s="8"/>
      <c r="BF3036" s="8">
        <v>110.84</v>
      </c>
      <c r="BG3036" s="8">
        <v>114.65</v>
      </c>
      <c r="BH3036" s="9">
        <f t="shared" si="423"/>
        <v>2305.83</v>
      </c>
      <c r="BI3036" s="9">
        <f t="shared" si="424"/>
        <v>5.78</v>
      </c>
      <c r="BJ3036" s="9">
        <f t="shared" si="425"/>
        <v>9.01</v>
      </c>
      <c r="BK3036" s="9">
        <f t="shared" si="426"/>
        <v>34.6</v>
      </c>
      <c r="BL3036" s="9">
        <f t="shared" si="427"/>
        <v>484.69</v>
      </c>
      <c r="BM3036" s="9">
        <f t="shared" si="428"/>
        <v>150.28342000000001</v>
      </c>
      <c r="BN3036" s="9">
        <f t="shared" si="429"/>
        <v>1578.92</v>
      </c>
      <c r="BO3036" s="9">
        <f t="shared" si="430"/>
        <v>6.66</v>
      </c>
      <c r="BP3036" s="9">
        <f t="shared" si="431"/>
        <v>110.84</v>
      </c>
    </row>
    <row r="3037" spans="1:68">
      <c r="A3037" s="6">
        <v>45091</v>
      </c>
      <c r="B3037" s="7">
        <v>3223</v>
      </c>
      <c r="C3037" s="8">
        <v>932.4</v>
      </c>
      <c r="D3037" s="8"/>
      <c r="E3037" s="8">
        <v>399.65</v>
      </c>
      <c r="F3037" s="8"/>
      <c r="G3037" s="8"/>
      <c r="H3037" s="8"/>
      <c r="I3037" s="8"/>
      <c r="J3037" s="8"/>
      <c r="K3037" s="8"/>
      <c r="L3037" s="8"/>
      <c r="M3037" s="8"/>
      <c r="N3037" s="8"/>
      <c r="O3037" s="8">
        <v>4.01</v>
      </c>
      <c r="P3037" s="8"/>
      <c r="Q3037" s="11"/>
      <c r="R3037" s="11"/>
      <c r="S3037" s="8">
        <v>5.18</v>
      </c>
      <c r="T3037" s="8"/>
      <c r="U3037" s="8">
        <v>16.510000000000002</v>
      </c>
      <c r="V3037" s="8"/>
      <c r="W3037" s="8"/>
      <c r="X3037" s="8"/>
      <c r="Y3037" s="8"/>
      <c r="Z3037" s="8">
        <v>209.81</v>
      </c>
      <c r="AA3037" s="8">
        <f>10468*15.65/1000</f>
        <v>163.82420000000002</v>
      </c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11"/>
      <c r="AQ3037" s="8"/>
      <c r="AR3037" s="8"/>
      <c r="AS3037" s="8"/>
      <c r="AT3037" s="8">
        <v>499.36</v>
      </c>
      <c r="AU3037" s="8">
        <v>250.2</v>
      </c>
      <c r="AV3037" s="8"/>
      <c r="AW3037" s="8">
        <v>36.21</v>
      </c>
      <c r="AX3037" s="8"/>
      <c r="AY3037" s="8"/>
      <c r="AZ3037" s="8"/>
      <c r="BA3037" s="8"/>
      <c r="BB3037" s="8"/>
      <c r="BC3037" s="8"/>
      <c r="BD3037" s="8"/>
      <c r="BE3037" s="8"/>
      <c r="BF3037" s="8"/>
      <c r="BG3037" s="8">
        <v>48.91</v>
      </c>
      <c r="BH3037" s="9">
        <f t="shared" si="423"/>
        <v>1332.05</v>
      </c>
      <c r="BI3037" s="9">
        <f t="shared" si="424"/>
        <v>4.01</v>
      </c>
      <c r="BJ3037" s="9">
        <f t="shared" si="425"/>
        <v>5.18</v>
      </c>
      <c r="BK3037" s="9">
        <f t="shared" si="426"/>
        <v>16.510000000000002</v>
      </c>
      <c r="BL3037" s="9">
        <f t="shared" si="427"/>
        <v>373.63420000000002</v>
      </c>
      <c r="BM3037" s="9">
        <f t="shared" si="428"/>
        <v>0</v>
      </c>
      <c r="BN3037" s="9">
        <f t="shared" si="429"/>
        <v>749.56</v>
      </c>
      <c r="BO3037" s="9">
        <f t="shared" si="430"/>
        <v>36.21</v>
      </c>
      <c r="BP3037" s="9">
        <f t="shared" si="431"/>
        <v>0</v>
      </c>
    </row>
    <row r="3038" spans="1:68">
      <c r="A3038" s="6">
        <v>45091</v>
      </c>
      <c r="B3038" s="7">
        <v>3141</v>
      </c>
      <c r="C3038" s="8">
        <v>2402.62</v>
      </c>
      <c r="D3038" s="8">
        <v>424.65</v>
      </c>
      <c r="E3038" s="8"/>
      <c r="F3038" s="8"/>
      <c r="G3038" s="8"/>
      <c r="H3038" s="8"/>
      <c r="I3038" s="8"/>
      <c r="J3038" s="8"/>
      <c r="K3038" s="8"/>
      <c r="L3038" s="8"/>
      <c r="M3038" s="8">
        <v>8.2100000000000009</v>
      </c>
      <c r="N3038" s="8"/>
      <c r="O3038" s="8"/>
      <c r="P3038" s="8"/>
      <c r="Q3038" s="11"/>
      <c r="R3038" s="11"/>
      <c r="S3038" s="8">
        <v>13.32</v>
      </c>
      <c r="T3038" s="8"/>
      <c r="U3038" s="8">
        <v>42.51</v>
      </c>
      <c r="V3038" s="8"/>
      <c r="W3038" s="8"/>
      <c r="X3038" s="8"/>
      <c r="Y3038" s="8"/>
      <c r="Z3038" s="8"/>
      <c r="AA3038" s="8"/>
      <c r="AB3038" s="8"/>
      <c r="AC3038" s="8">
        <v>11.34</v>
      </c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11"/>
      <c r="AQ3038" s="8"/>
      <c r="AR3038" s="8"/>
      <c r="AS3038" s="8"/>
      <c r="AT3038" s="8">
        <v>1865.12</v>
      </c>
      <c r="AU3038" s="8"/>
      <c r="AV3038" s="8"/>
      <c r="AW3038" s="8"/>
      <c r="AX3038" s="8"/>
      <c r="AY3038" s="8"/>
      <c r="AZ3038" s="8"/>
      <c r="BA3038" s="8">
        <v>64.84</v>
      </c>
      <c r="BB3038" s="8"/>
      <c r="BC3038" s="8"/>
      <c r="BD3038" s="8"/>
      <c r="BE3038" s="8"/>
      <c r="BF3038" s="8">
        <v>198.25</v>
      </c>
      <c r="BG3038" s="8">
        <v>147.19999999999999</v>
      </c>
      <c r="BH3038" s="9">
        <f t="shared" si="423"/>
        <v>2827.27</v>
      </c>
      <c r="BI3038" s="9">
        <f t="shared" si="424"/>
        <v>8.2100000000000009</v>
      </c>
      <c r="BJ3038" s="9">
        <f t="shared" si="425"/>
        <v>13.32</v>
      </c>
      <c r="BK3038" s="9">
        <f t="shared" si="426"/>
        <v>42.51</v>
      </c>
      <c r="BL3038" s="9">
        <f t="shared" si="427"/>
        <v>0</v>
      </c>
      <c r="BM3038" s="9">
        <f t="shared" si="428"/>
        <v>11.34</v>
      </c>
      <c r="BN3038" s="9">
        <f t="shared" si="429"/>
        <v>1865.12</v>
      </c>
      <c r="BO3038" s="9">
        <f t="shared" si="430"/>
        <v>64.84</v>
      </c>
      <c r="BP3038" s="9">
        <f t="shared" si="431"/>
        <v>198.25</v>
      </c>
    </row>
    <row r="3039" spans="1:68">
      <c r="A3039" s="6">
        <v>45091</v>
      </c>
      <c r="B3039" s="7">
        <v>3125</v>
      </c>
      <c r="C3039" s="8">
        <v>1102.71</v>
      </c>
      <c r="D3039" s="8"/>
      <c r="E3039" s="8"/>
      <c r="F3039" s="8"/>
      <c r="G3039" s="8"/>
      <c r="H3039" s="8"/>
      <c r="I3039" s="8"/>
      <c r="J3039" s="8"/>
      <c r="K3039" s="8"/>
      <c r="L3039" s="8"/>
      <c r="M3039" s="8">
        <v>2.58</v>
      </c>
      <c r="N3039" s="8"/>
      <c r="O3039" s="8"/>
      <c r="P3039" s="8"/>
      <c r="Q3039" s="11"/>
      <c r="R3039" s="11"/>
      <c r="S3039" s="8">
        <v>3.35</v>
      </c>
      <c r="T3039" s="8"/>
      <c r="U3039" s="8">
        <v>14.07</v>
      </c>
      <c r="V3039" s="8"/>
      <c r="W3039" s="8"/>
      <c r="X3039" s="8"/>
      <c r="Y3039" s="8"/>
      <c r="Z3039" s="8"/>
      <c r="AA3039" s="8"/>
      <c r="AB3039" s="8"/>
      <c r="AC3039" s="8">
        <v>4.42</v>
      </c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11"/>
      <c r="AQ3039" s="8"/>
      <c r="AR3039" s="8"/>
      <c r="AS3039" s="8"/>
      <c r="AT3039" s="8">
        <v>632.38</v>
      </c>
      <c r="AU3039" s="8"/>
      <c r="AV3039" s="8">
        <v>16.61</v>
      </c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>
        <v>47.48</v>
      </c>
      <c r="BH3039" s="9">
        <f t="shared" si="423"/>
        <v>1102.71</v>
      </c>
      <c r="BI3039" s="9">
        <f t="shared" si="424"/>
        <v>2.58</v>
      </c>
      <c r="BJ3039" s="9">
        <f t="shared" si="425"/>
        <v>3.35</v>
      </c>
      <c r="BK3039" s="9">
        <f t="shared" si="426"/>
        <v>14.07</v>
      </c>
      <c r="BL3039" s="9">
        <f t="shared" si="427"/>
        <v>0</v>
      </c>
      <c r="BM3039" s="9">
        <f t="shared" si="428"/>
        <v>4.42</v>
      </c>
      <c r="BN3039" s="9">
        <f t="shared" si="429"/>
        <v>632.38</v>
      </c>
      <c r="BO3039" s="9">
        <f t="shared" si="430"/>
        <v>16.61</v>
      </c>
      <c r="BP3039" s="9">
        <f t="shared" si="431"/>
        <v>0</v>
      </c>
    </row>
    <row r="3040" spans="1:68">
      <c r="A3040" s="6">
        <v>45091</v>
      </c>
      <c r="B3040" s="7">
        <v>3083</v>
      </c>
      <c r="C3040" s="8"/>
      <c r="D3040" s="8">
        <v>1096.74</v>
      </c>
      <c r="E3040" s="8"/>
      <c r="F3040" s="8"/>
      <c r="G3040" s="8"/>
      <c r="H3040" s="8"/>
      <c r="I3040" s="8">
        <v>2559</v>
      </c>
      <c r="J3040" s="8"/>
      <c r="K3040" s="8"/>
      <c r="L3040" s="8"/>
      <c r="M3040" s="8"/>
      <c r="N3040" s="8">
        <v>23.8</v>
      </c>
      <c r="O3040" s="8"/>
      <c r="P3040" s="8"/>
      <c r="Q3040" s="11"/>
      <c r="R3040" s="11"/>
      <c r="S3040" s="8">
        <v>2.5499999999999998</v>
      </c>
      <c r="T3040" s="8"/>
      <c r="U3040" s="8"/>
      <c r="V3040" s="8"/>
      <c r="W3040" s="8">
        <v>29.28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>
        <v>14.57</v>
      </c>
      <c r="AN3040" s="8">
        <f>1920*27.12/1000</f>
        <v>52.070399999999999</v>
      </c>
      <c r="AO3040" s="8"/>
      <c r="AP3040" s="11"/>
      <c r="AQ3040" s="8"/>
      <c r="AR3040" s="8">
        <f>3458*27.12/1000</f>
        <v>93.780960000000007</v>
      </c>
      <c r="AS3040" s="8"/>
      <c r="AT3040" s="8">
        <v>1721.72</v>
      </c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>
        <v>136.49</v>
      </c>
      <c r="BH3040" s="9">
        <f t="shared" si="423"/>
        <v>3655.74</v>
      </c>
      <c r="BI3040" s="9">
        <f t="shared" si="424"/>
        <v>23.8</v>
      </c>
      <c r="BJ3040" s="9">
        <f t="shared" si="425"/>
        <v>2.5499999999999998</v>
      </c>
      <c r="BK3040" s="9">
        <f t="shared" si="426"/>
        <v>29.28</v>
      </c>
      <c r="BL3040" s="9">
        <f t="shared" si="427"/>
        <v>0</v>
      </c>
      <c r="BM3040" s="9">
        <f t="shared" si="428"/>
        <v>160.42135999999999</v>
      </c>
      <c r="BN3040" s="9">
        <f t="shared" si="429"/>
        <v>1721.72</v>
      </c>
      <c r="BO3040" s="9">
        <f t="shared" si="430"/>
        <v>0</v>
      </c>
      <c r="BP3040" s="9">
        <f t="shared" si="431"/>
        <v>0</v>
      </c>
    </row>
    <row r="3041" spans="1:68">
      <c r="A3041" s="6">
        <v>45091</v>
      </c>
      <c r="B3041" s="7">
        <v>8299</v>
      </c>
      <c r="C3041" s="8">
        <v>1399.8</v>
      </c>
      <c r="D3041" s="8"/>
      <c r="E3041" s="8"/>
      <c r="F3041" s="8"/>
      <c r="G3041" s="8"/>
      <c r="H3041" s="8"/>
      <c r="I3041" s="8"/>
      <c r="J3041" s="8"/>
      <c r="K3041" s="8"/>
      <c r="L3041" s="8"/>
      <c r="M3041" s="8">
        <v>2.5299999999999998</v>
      </c>
      <c r="N3041" s="8">
        <v>2.5099999999999998</v>
      </c>
      <c r="O3041" s="8"/>
      <c r="P3041" s="8"/>
      <c r="Q3041" s="11"/>
      <c r="R3041" s="11"/>
      <c r="S3041" s="8">
        <v>5.74</v>
      </c>
      <c r="T3041" s="8"/>
      <c r="U3041" s="8">
        <v>14.01</v>
      </c>
      <c r="V3041" s="8"/>
      <c r="W3041" s="8"/>
      <c r="X3041" s="8"/>
      <c r="Y3041" s="8"/>
      <c r="Z3041" s="8"/>
      <c r="AA3041" s="8"/>
      <c r="AB3041" s="8"/>
      <c r="AC3041" s="8">
        <v>5.59</v>
      </c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11"/>
      <c r="AQ3041" s="8"/>
      <c r="AR3041" s="8"/>
      <c r="AS3041" s="8"/>
      <c r="AT3041" s="8">
        <v>619.95000000000005</v>
      </c>
      <c r="AU3041" s="8"/>
      <c r="AV3041" s="8"/>
      <c r="AW3041" s="8"/>
      <c r="AX3041" s="8"/>
      <c r="AY3041" s="8"/>
      <c r="AZ3041" s="8"/>
      <c r="BA3041" s="8"/>
      <c r="BB3041" s="8"/>
      <c r="BC3041" s="8">
        <v>1.4</v>
      </c>
      <c r="BD3041" s="8"/>
      <c r="BE3041" s="8"/>
      <c r="BF3041" s="8"/>
      <c r="BG3041" s="8">
        <v>45.48</v>
      </c>
      <c r="BH3041" s="9">
        <f t="shared" si="423"/>
        <v>1399.8</v>
      </c>
      <c r="BI3041" s="9">
        <f t="shared" si="424"/>
        <v>5.0399999999999991</v>
      </c>
      <c r="BJ3041" s="9">
        <f t="shared" si="425"/>
        <v>5.74</v>
      </c>
      <c r="BK3041" s="9">
        <f t="shared" si="426"/>
        <v>14.01</v>
      </c>
      <c r="BL3041" s="9">
        <f t="shared" si="427"/>
        <v>0</v>
      </c>
      <c r="BM3041" s="9">
        <f t="shared" si="428"/>
        <v>5.59</v>
      </c>
      <c r="BN3041" s="9">
        <f t="shared" si="429"/>
        <v>619.95000000000005</v>
      </c>
      <c r="BO3041" s="9">
        <f t="shared" si="430"/>
        <v>1.4</v>
      </c>
      <c r="BP3041" s="9">
        <f t="shared" si="431"/>
        <v>0</v>
      </c>
    </row>
    <row r="3042" spans="1:68">
      <c r="A3042" s="6">
        <v>45091</v>
      </c>
      <c r="B3042" s="7">
        <v>3600</v>
      </c>
      <c r="C3042" s="8">
        <v>49.59</v>
      </c>
      <c r="D3042" s="8"/>
      <c r="E3042" s="8"/>
      <c r="F3042" s="8"/>
      <c r="G3042" s="8">
        <v>74.989999999999995</v>
      </c>
      <c r="H3042" s="8"/>
      <c r="I3042" s="8"/>
      <c r="J3042" s="8"/>
      <c r="K3042" s="8"/>
      <c r="L3042" s="8"/>
      <c r="M3042" s="8">
        <v>0.15</v>
      </c>
      <c r="N3042" s="8"/>
      <c r="O3042" s="8"/>
      <c r="P3042" s="8"/>
      <c r="Q3042" s="11"/>
      <c r="R3042" s="11"/>
      <c r="S3042" s="8">
        <v>0.6</v>
      </c>
      <c r="T3042" s="8"/>
      <c r="U3042" s="8">
        <v>0.75</v>
      </c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11"/>
      <c r="AQ3042" s="8"/>
      <c r="AR3042" s="8"/>
      <c r="AS3042" s="8"/>
      <c r="AT3042" s="8">
        <v>61.68</v>
      </c>
      <c r="AU3042" s="8"/>
      <c r="AV3042" s="8"/>
      <c r="AW3042" s="8"/>
      <c r="AX3042" s="8"/>
      <c r="AY3042" s="8"/>
      <c r="AZ3042" s="8"/>
      <c r="BA3042" s="8"/>
      <c r="BB3042" s="8"/>
      <c r="BC3042" s="8">
        <v>0.63</v>
      </c>
      <c r="BD3042" s="8"/>
      <c r="BE3042" s="8"/>
      <c r="BF3042" s="8"/>
      <c r="BG3042" s="8">
        <v>4.67</v>
      </c>
      <c r="BH3042" s="9">
        <f t="shared" si="423"/>
        <v>124.58</v>
      </c>
      <c r="BI3042" s="9">
        <f t="shared" si="424"/>
        <v>0.15</v>
      </c>
      <c r="BJ3042" s="9">
        <f t="shared" si="425"/>
        <v>0.6</v>
      </c>
      <c r="BK3042" s="9">
        <f t="shared" si="426"/>
        <v>0.75</v>
      </c>
      <c r="BL3042" s="9">
        <f t="shared" si="427"/>
        <v>0</v>
      </c>
      <c r="BM3042" s="9">
        <f t="shared" si="428"/>
        <v>0</v>
      </c>
      <c r="BN3042" s="9">
        <f t="shared" si="429"/>
        <v>61.68</v>
      </c>
      <c r="BO3042" s="9">
        <f t="shared" si="430"/>
        <v>0.63</v>
      </c>
      <c r="BP3042" s="9">
        <f t="shared" si="431"/>
        <v>0</v>
      </c>
    </row>
    <row r="3043" spans="1:68">
      <c r="A3043" s="6">
        <v>45091</v>
      </c>
      <c r="B3043" s="7">
        <v>3101</v>
      </c>
      <c r="C3043" s="8">
        <v>663.07</v>
      </c>
      <c r="D3043" s="8"/>
      <c r="E3043" s="8"/>
      <c r="F3043" s="8"/>
      <c r="G3043" s="8"/>
      <c r="H3043" s="8"/>
      <c r="I3043" s="8"/>
      <c r="J3043" s="8"/>
      <c r="K3043" s="8"/>
      <c r="L3043" s="8"/>
      <c r="M3043" s="8">
        <v>1.67</v>
      </c>
      <c r="N3043" s="8"/>
      <c r="O3043" s="8"/>
      <c r="P3043" s="8"/>
      <c r="Q3043" s="11"/>
      <c r="R3043" s="11"/>
      <c r="S3043" s="8">
        <v>3.87</v>
      </c>
      <c r="T3043" s="8"/>
      <c r="U3043" s="8">
        <v>10.7</v>
      </c>
      <c r="V3043" s="8"/>
      <c r="W3043" s="8"/>
      <c r="X3043" s="8"/>
      <c r="Y3043" s="8"/>
      <c r="Z3043" s="8"/>
      <c r="AA3043" s="8"/>
      <c r="AB3043" s="8"/>
      <c r="AC3043" s="8">
        <v>2.67</v>
      </c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11"/>
      <c r="AQ3043" s="8"/>
      <c r="AR3043" s="8"/>
      <c r="AS3043" s="8"/>
      <c r="AT3043" s="8">
        <v>445.34</v>
      </c>
      <c r="AU3043" s="8"/>
      <c r="AV3043" s="8"/>
      <c r="AW3043" s="8">
        <v>14.22</v>
      </c>
      <c r="AX3043" s="8"/>
      <c r="AY3043" s="8"/>
      <c r="AZ3043" s="8"/>
      <c r="BA3043" s="8"/>
      <c r="BB3043" s="8"/>
      <c r="BC3043" s="8"/>
      <c r="BD3043" s="8"/>
      <c r="BE3043" s="8"/>
      <c r="BF3043" s="8">
        <v>86.7</v>
      </c>
      <c r="BG3043" s="8">
        <v>34.32</v>
      </c>
      <c r="BH3043" s="9">
        <f t="shared" si="423"/>
        <v>663.07</v>
      </c>
      <c r="BI3043" s="9">
        <f t="shared" si="424"/>
        <v>1.67</v>
      </c>
      <c r="BJ3043" s="9">
        <f t="shared" si="425"/>
        <v>3.87</v>
      </c>
      <c r="BK3043" s="9">
        <f t="shared" si="426"/>
        <v>10.7</v>
      </c>
      <c r="BL3043" s="9">
        <f t="shared" si="427"/>
        <v>0</v>
      </c>
      <c r="BM3043" s="9">
        <f t="shared" si="428"/>
        <v>2.67</v>
      </c>
      <c r="BN3043" s="9">
        <f t="shared" si="429"/>
        <v>445.34</v>
      </c>
      <c r="BO3043" s="9">
        <f t="shared" si="430"/>
        <v>14.22</v>
      </c>
      <c r="BP3043" s="9">
        <f t="shared" si="431"/>
        <v>86.7</v>
      </c>
    </row>
    <row r="3044" spans="1:68">
      <c r="A3044" s="6">
        <v>45091</v>
      </c>
      <c r="B3044" s="7">
        <v>3148</v>
      </c>
      <c r="C3044" s="8">
        <v>1288.2</v>
      </c>
      <c r="D3044" s="8"/>
      <c r="E3044" s="8"/>
      <c r="F3044" s="8"/>
      <c r="G3044" s="8"/>
      <c r="H3044" s="8"/>
      <c r="I3044" s="8"/>
      <c r="J3044" s="8"/>
      <c r="K3044" s="8"/>
      <c r="L3044" s="8"/>
      <c r="M3044" s="8">
        <v>2.99</v>
      </c>
      <c r="N3044" s="8"/>
      <c r="O3044" s="8"/>
      <c r="P3044" s="8"/>
      <c r="Q3044" s="11"/>
      <c r="R3044" s="11"/>
      <c r="S3044" s="8">
        <v>4.3899999999999997</v>
      </c>
      <c r="T3044" s="8"/>
      <c r="U3044" s="8">
        <v>12.98</v>
      </c>
      <c r="V3044" s="8"/>
      <c r="W3044" s="8"/>
      <c r="X3044" s="8"/>
      <c r="Y3044" s="8"/>
      <c r="Z3044" s="8"/>
      <c r="AA3044" s="8"/>
      <c r="AB3044" s="8"/>
      <c r="AC3044" s="8">
        <v>5.18</v>
      </c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11">
        <f>1206*10.77/1000</f>
        <v>12.988619999999999</v>
      </c>
      <c r="AQ3044" s="8"/>
      <c r="AR3044" s="8"/>
      <c r="AS3044" s="8"/>
      <c r="AT3044" s="8">
        <v>681.5</v>
      </c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>
        <v>50.38</v>
      </c>
      <c r="BH3044" s="9">
        <f t="shared" si="423"/>
        <v>1288.2</v>
      </c>
      <c r="BI3044" s="9">
        <f t="shared" si="424"/>
        <v>2.99</v>
      </c>
      <c r="BJ3044" s="9">
        <f t="shared" si="425"/>
        <v>4.3899999999999997</v>
      </c>
      <c r="BK3044" s="9">
        <f t="shared" si="426"/>
        <v>12.98</v>
      </c>
      <c r="BL3044" s="9">
        <f t="shared" si="427"/>
        <v>0</v>
      </c>
      <c r="BM3044" s="9">
        <f t="shared" si="428"/>
        <v>18.168619999999997</v>
      </c>
      <c r="BN3044" s="9">
        <f t="shared" si="429"/>
        <v>681.5</v>
      </c>
      <c r="BO3044" s="9">
        <f t="shared" si="430"/>
        <v>0</v>
      </c>
      <c r="BP3044" s="9">
        <f t="shared" si="431"/>
        <v>0</v>
      </c>
    </row>
    <row r="3045" spans="1:68">
      <c r="A3045" s="6">
        <v>45092</v>
      </c>
      <c r="B3045" s="7">
        <v>3100</v>
      </c>
      <c r="C3045" s="8">
        <v>723.58</v>
      </c>
      <c r="D3045" s="8"/>
      <c r="E3045" s="8"/>
      <c r="F3045" s="8"/>
      <c r="G3045" s="8"/>
      <c r="H3045" s="8"/>
      <c r="I3045" s="8"/>
      <c r="J3045" s="8"/>
      <c r="K3045" s="8"/>
      <c r="L3045" s="8"/>
      <c r="M3045" s="8">
        <v>1.83</v>
      </c>
      <c r="N3045" s="8"/>
      <c r="O3045" s="8"/>
      <c r="P3045" s="8"/>
      <c r="Q3045" s="11"/>
      <c r="R3045" s="11"/>
      <c r="S3045" s="8">
        <v>4.13</v>
      </c>
      <c r="T3045" s="8"/>
      <c r="U3045" s="8">
        <v>11.63</v>
      </c>
      <c r="V3045" s="8"/>
      <c r="W3045" s="8"/>
      <c r="X3045" s="8"/>
      <c r="Y3045" s="8"/>
      <c r="Z3045" s="8"/>
      <c r="AA3045" s="8"/>
      <c r="AB3045" s="8"/>
      <c r="AC3045" s="8">
        <v>2.91</v>
      </c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11"/>
      <c r="AQ3045" s="8"/>
      <c r="AR3045" s="8"/>
      <c r="AS3045" s="8"/>
      <c r="AT3045" s="8">
        <v>487.83</v>
      </c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>
        <v>94.31</v>
      </c>
      <c r="BG3045" s="8">
        <v>37.299999999999997</v>
      </c>
      <c r="BH3045" s="9">
        <f t="shared" si="423"/>
        <v>723.58</v>
      </c>
      <c r="BI3045" s="9">
        <f t="shared" si="424"/>
        <v>1.83</v>
      </c>
      <c r="BJ3045" s="9">
        <f t="shared" si="425"/>
        <v>4.13</v>
      </c>
      <c r="BK3045" s="9">
        <f t="shared" si="426"/>
        <v>11.63</v>
      </c>
      <c r="BL3045" s="9">
        <f t="shared" si="427"/>
        <v>0</v>
      </c>
      <c r="BM3045" s="9">
        <f t="shared" si="428"/>
        <v>2.91</v>
      </c>
      <c r="BN3045" s="9">
        <f t="shared" si="429"/>
        <v>487.83</v>
      </c>
      <c r="BO3045" s="9">
        <f t="shared" si="430"/>
        <v>0</v>
      </c>
      <c r="BP3045" s="9">
        <f t="shared" si="431"/>
        <v>94.31</v>
      </c>
    </row>
    <row r="3046" spans="1:68">
      <c r="A3046" s="6">
        <v>45092</v>
      </c>
      <c r="B3046" s="7">
        <v>3150</v>
      </c>
      <c r="C3046" s="8">
        <v>1218.08</v>
      </c>
      <c r="D3046" s="8"/>
      <c r="E3046" s="8"/>
      <c r="F3046" s="8"/>
      <c r="G3046" s="8"/>
      <c r="H3046" s="8"/>
      <c r="I3046" s="8"/>
      <c r="J3046" s="8"/>
      <c r="K3046" s="8"/>
      <c r="L3046" s="8"/>
      <c r="M3046" s="8">
        <v>2.1800000000000002</v>
      </c>
      <c r="N3046" s="8"/>
      <c r="O3046" s="8"/>
      <c r="P3046" s="8"/>
      <c r="Q3046" s="11"/>
      <c r="R3046" s="11"/>
      <c r="S3046" s="8">
        <v>4.38</v>
      </c>
      <c r="T3046" s="8"/>
      <c r="U3046" s="8">
        <v>14.27</v>
      </c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11"/>
      <c r="AQ3046" s="8"/>
      <c r="AR3046" s="8"/>
      <c r="AS3046" s="8"/>
      <c r="AT3046" s="8">
        <v>681.94</v>
      </c>
      <c r="AU3046" s="8"/>
      <c r="AV3046" s="8"/>
      <c r="AW3046" s="8"/>
      <c r="AX3046" s="8"/>
      <c r="AY3046" s="8"/>
      <c r="AZ3046" s="8"/>
      <c r="BA3046" s="8"/>
      <c r="BB3046" s="8"/>
      <c r="BC3046" s="8">
        <v>1.7</v>
      </c>
      <c r="BD3046" s="8"/>
      <c r="BE3046" s="8"/>
      <c r="BF3046" s="8">
        <v>30.53</v>
      </c>
      <c r="BG3046" s="8">
        <v>48.41</v>
      </c>
      <c r="BH3046" s="9">
        <f t="shared" si="423"/>
        <v>1218.08</v>
      </c>
      <c r="BI3046" s="9">
        <f t="shared" si="424"/>
        <v>2.1800000000000002</v>
      </c>
      <c r="BJ3046" s="9">
        <f t="shared" si="425"/>
        <v>4.38</v>
      </c>
      <c r="BK3046" s="9">
        <f t="shared" si="426"/>
        <v>14.27</v>
      </c>
      <c r="BL3046" s="9">
        <f t="shared" si="427"/>
        <v>0</v>
      </c>
      <c r="BM3046" s="9">
        <f t="shared" si="428"/>
        <v>0</v>
      </c>
      <c r="BN3046" s="9">
        <f t="shared" si="429"/>
        <v>681.94</v>
      </c>
      <c r="BO3046" s="9">
        <f t="shared" si="430"/>
        <v>1.7</v>
      </c>
      <c r="BP3046" s="9">
        <f t="shared" si="431"/>
        <v>30.53</v>
      </c>
    </row>
    <row r="3047" spans="1:68">
      <c r="A3047" s="6">
        <v>45092</v>
      </c>
      <c r="B3047" s="7">
        <v>8302</v>
      </c>
      <c r="C3047" s="8">
        <v>770.87</v>
      </c>
      <c r="D3047" s="8"/>
      <c r="E3047" s="8"/>
      <c r="F3047" s="8"/>
      <c r="G3047" s="8"/>
      <c r="H3047" s="8"/>
      <c r="I3047" s="8"/>
      <c r="J3047" s="8"/>
      <c r="K3047" s="8"/>
      <c r="L3047" s="8"/>
      <c r="M3047" s="8">
        <v>1.92</v>
      </c>
      <c r="N3047" s="8"/>
      <c r="O3047" s="8"/>
      <c r="P3047" s="8"/>
      <c r="Q3047" s="11"/>
      <c r="R3047" s="11"/>
      <c r="S3047" s="8">
        <v>2.4700000000000002</v>
      </c>
      <c r="T3047" s="8"/>
      <c r="U3047" s="8">
        <v>9.8000000000000007</v>
      </c>
      <c r="V3047" s="8"/>
      <c r="W3047" s="8"/>
      <c r="X3047" s="8"/>
      <c r="Y3047" s="8"/>
      <c r="Z3047" s="8"/>
      <c r="AA3047" s="8"/>
      <c r="AB3047" s="8"/>
      <c r="AC3047" s="8">
        <v>1.93</v>
      </c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11"/>
      <c r="AQ3047" s="8"/>
      <c r="AR3047" s="8"/>
      <c r="AS3047" s="8"/>
      <c r="AT3047" s="8">
        <v>346.52</v>
      </c>
      <c r="AU3047" s="8"/>
      <c r="AV3047" s="8">
        <v>7.72</v>
      </c>
      <c r="AW3047" s="8"/>
      <c r="AX3047" s="8"/>
      <c r="AY3047" s="8"/>
      <c r="AZ3047" s="8"/>
      <c r="BA3047" s="8"/>
      <c r="BB3047" s="8"/>
      <c r="BC3047" s="8"/>
      <c r="BD3047" s="8"/>
      <c r="BE3047" s="8"/>
      <c r="BF3047" s="8">
        <v>30.88</v>
      </c>
      <c r="BG3047" s="8">
        <v>24.82</v>
      </c>
      <c r="BH3047" s="9">
        <f t="shared" si="423"/>
        <v>770.87</v>
      </c>
      <c r="BI3047" s="9">
        <f t="shared" si="424"/>
        <v>1.92</v>
      </c>
      <c r="BJ3047" s="9">
        <f t="shared" si="425"/>
        <v>2.4700000000000002</v>
      </c>
      <c r="BK3047" s="9">
        <f t="shared" si="426"/>
        <v>9.8000000000000007</v>
      </c>
      <c r="BL3047" s="9">
        <f t="shared" si="427"/>
        <v>0</v>
      </c>
      <c r="BM3047" s="9">
        <f t="shared" si="428"/>
        <v>1.93</v>
      </c>
      <c r="BN3047" s="9">
        <f t="shared" si="429"/>
        <v>346.52</v>
      </c>
      <c r="BO3047" s="9">
        <f t="shared" si="430"/>
        <v>7.72</v>
      </c>
      <c r="BP3047" s="9">
        <f t="shared" si="431"/>
        <v>30.88</v>
      </c>
    </row>
    <row r="3048" spans="1:68">
      <c r="A3048" s="6">
        <v>45092</v>
      </c>
      <c r="B3048" s="7">
        <v>8305</v>
      </c>
      <c r="C3048" s="8">
        <v>473.77</v>
      </c>
      <c r="D3048" s="8"/>
      <c r="E3048" s="8"/>
      <c r="F3048" s="8"/>
      <c r="G3048" s="8"/>
      <c r="H3048" s="8"/>
      <c r="I3048" s="8"/>
      <c r="J3048" s="8"/>
      <c r="K3048" s="8"/>
      <c r="L3048" s="8"/>
      <c r="M3048" s="8">
        <v>0.86</v>
      </c>
      <c r="N3048" s="8">
        <v>0.85</v>
      </c>
      <c r="O3048" s="8"/>
      <c r="P3048" s="8"/>
      <c r="Q3048" s="11"/>
      <c r="R3048" s="11"/>
      <c r="S3048" s="8">
        <v>1.99</v>
      </c>
      <c r="T3048" s="8"/>
      <c r="U3048" s="8">
        <v>4.74</v>
      </c>
      <c r="V3048" s="8"/>
      <c r="W3048" s="8"/>
      <c r="X3048" s="8"/>
      <c r="Y3048" s="8"/>
      <c r="Z3048" s="8"/>
      <c r="AA3048" s="8"/>
      <c r="AB3048" s="8"/>
      <c r="AC3048" s="8">
        <v>1.89</v>
      </c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11"/>
      <c r="AQ3048" s="8"/>
      <c r="AR3048" s="8"/>
      <c r="AS3048" s="8"/>
      <c r="AT3048" s="8">
        <v>209.88</v>
      </c>
      <c r="AU3048" s="8"/>
      <c r="AV3048" s="8">
        <v>16.09</v>
      </c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>
        <v>15.45</v>
      </c>
      <c r="BH3048" s="9">
        <f t="shared" si="423"/>
        <v>473.77</v>
      </c>
      <c r="BI3048" s="9">
        <f t="shared" si="424"/>
        <v>1.71</v>
      </c>
      <c r="BJ3048" s="9">
        <f t="shared" si="425"/>
        <v>1.99</v>
      </c>
      <c r="BK3048" s="9">
        <f t="shared" si="426"/>
        <v>4.74</v>
      </c>
      <c r="BL3048" s="9">
        <f t="shared" si="427"/>
        <v>0</v>
      </c>
      <c r="BM3048" s="9">
        <f t="shared" si="428"/>
        <v>1.89</v>
      </c>
      <c r="BN3048" s="9">
        <f t="shared" si="429"/>
        <v>209.88</v>
      </c>
      <c r="BO3048" s="9">
        <f t="shared" si="430"/>
        <v>16.09</v>
      </c>
      <c r="BP3048" s="9">
        <f t="shared" si="431"/>
        <v>0</v>
      </c>
    </row>
    <row r="3049" spans="1:68">
      <c r="A3049" s="6">
        <v>45092</v>
      </c>
      <c r="B3049" s="7">
        <v>3203</v>
      </c>
      <c r="C3049" s="8">
        <v>1784.24</v>
      </c>
      <c r="D3049" s="8"/>
      <c r="E3049" s="8">
        <v>773.86</v>
      </c>
      <c r="F3049" s="8"/>
      <c r="G3049" s="8"/>
      <c r="H3049" s="8"/>
      <c r="I3049" s="8"/>
      <c r="J3049" s="8"/>
      <c r="K3049" s="8"/>
      <c r="L3049" s="8"/>
      <c r="M3049" s="8"/>
      <c r="N3049" s="8"/>
      <c r="O3049" s="8">
        <v>7.8</v>
      </c>
      <c r="P3049" s="8"/>
      <c r="Q3049" s="11"/>
      <c r="R3049" s="11"/>
      <c r="S3049" s="8">
        <v>10.11</v>
      </c>
      <c r="T3049" s="8"/>
      <c r="U3049" s="8">
        <v>32.08</v>
      </c>
      <c r="V3049" s="8"/>
      <c r="W3049" s="8"/>
      <c r="X3049" s="8"/>
      <c r="Y3049" s="8"/>
      <c r="Z3049" s="8">
        <v>407.61</v>
      </c>
      <c r="AA3049" s="8">
        <f>10511*30.43/1000</f>
        <v>319.84972999999997</v>
      </c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11"/>
      <c r="AQ3049" s="8"/>
      <c r="AR3049" s="8"/>
      <c r="AS3049" s="8"/>
      <c r="AT3049" s="8">
        <v>960.38</v>
      </c>
      <c r="AU3049" s="8">
        <v>483.54</v>
      </c>
      <c r="AV3049" s="8"/>
      <c r="AW3049" s="8"/>
      <c r="AX3049" s="8"/>
      <c r="AY3049" s="8"/>
      <c r="AZ3049" s="8"/>
      <c r="BA3049" s="8"/>
      <c r="BB3049" s="8"/>
      <c r="BC3049" s="8">
        <v>6.73</v>
      </c>
      <c r="BD3049" s="8"/>
      <c r="BE3049" s="8"/>
      <c r="BF3049" s="8"/>
      <c r="BG3049" s="8">
        <v>95.09</v>
      </c>
      <c r="BH3049" s="9">
        <f t="shared" si="423"/>
        <v>2558.1</v>
      </c>
      <c r="BI3049" s="9">
        <f t="shared" si="424"/>
        <v>7.8</v>
      </c>
      <c r="BJ3049" s="9">
        <f t="shared" si="425"/>
        <v>10.11</v>
      </c>
      <c r="BK3049" s="9">
        <f t="shared" si="426"/>
        <v>32.08</v>
      </c>
      <c r="BL3049" s="9">
        <f t="shared" si="427"/>
        <v>727.45973000000004</v>
      </c>
      <c r="BM3049" s="9">
        <f t="shared" si="428"/>
        <v>0</v>
      </c>
      <c r="BN3049" s="9">
        <f t="shared" si="429"/>
        <v>1443.92</v>
      </c>
      <c r="BO3049" s="9">
        <f t="shared" si="430"/>
        <v>6.73</v>
      </c>
      <c r="BP3049" s="9">
        <f t="shared" si="431"/>
        <v>0</v>
      </c>
    </row>
    <row r="3050" spans="1:68">
      <c r="A3050" s="6">
        <v>45092</v>
      </c>
      <c r="B3050" s="7">
        <v>3020</v>
      </c>
      <c r="C3050" s="8"/>
      <c r="D3050" s="8">
        <v>327.44</v>
      </c>
      <c r="E3050" s="8"/>
      <c r="F3050" s="8"/>
      <c r="G3050" s="8"/>
      <c r="H3050" s="8"/>
      <c r="I3050" s="8">
        <v>1849.14</v>
      </c>
      <c r="J3050" s="8"/>
      <c r="K3050" s="8"/>
      <c r="L3050" s="8"/>
      <c r="M3050" s="8"/>
      <c r="N3050" s="8">
        <v>13.26</v>
      </c>
      <c r="O3050" s="8"/>
      <c r="P3050" s="8"/>
      <c r="Q3050" s="11"/>
      <c r="R3050" s="11"/>
      <c r="S3050" s="8">
        <v>3.91</v>
      </c>
      <c r="T3050" s="8"/>
      <c r="U3050" s="8"/>
      <c r="V3050" s="8"/>
      <c r="W3050" s="8">
        <v>21.8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>
        <v>21.78</v>
      </c>
      <c r="AN3050" s="8"/>
      <c r="AO3050" s="8"/>
      <c r="AP3050" s="11"/>
      <c r="AQ3050" s="8"/>
      <c r="AR3050" s="8"/>
      <c r="AS3050" s="8">
        <f>2990*18.15/1000</f>
        <v>54.268499999999996</v>
      </c>
      <c r="AT3050" s="8">
        <v>1069.71</v>
      </c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>
        <v>78.3</v>
      </c>
      <c r="BH3050" s="9">
        <f t="shared" si="423"/>
        <v>2176.58</v>
      </c>
      <c r="BI3050" s="9">
        <f t="shared" si="424"/>
        <v>13.26</v>
      </c>
      <c r="BJ3050" s="9">
        <f t="shared" si="425"/>
        <v>3.91</v>
      </c>
      <c r="BK3050" s="9">
        <f t="shared" si="426"/>
        <v>21.8</v>
      </c>
      <c r="BL3050" s="9">
        <f t="shared" si="427"/>
        <v>0</v>
      </c>
      <c r="BM3050" s="9">
        <f t="shared" si="428"/>
        <v>76.04849999999999</v>
      </c>
      <c r="BN3050" s="9">
        <f t="shared" si="429"/>
        <v>1069.71</v>
      </c>
      <c r="BO3050" s="9">
        <f t="shared" si="430"/>
        <v>0</v>
      </c>
      <c r="BP3050" s="9">
        <f t="shared" si="431"/>
        <v>0</v>
      </c>
    </row>
    <row r="3051" spans="1:68">
      <c r="A3051" s="6">
        <v>45092</v>
      </c>
      <c r="B3051" s="7">
        <v>3016</v>
      </c>
      <c r="C3051" s="8"/>
      <c r="D3051" s="8">
        <v>2402.16</v>
      </c>
      <c r="E3051" s="8"/>
      <c r="F3051" s="8"/>
      <c r="G3051" s="8"/>
      <c r="H3051" s="8"/>
      <c r="I3051" s="8">
        <v>2213.2600000000002</v>
      </c>
      <c r="J3051" s="8"/>
      <c r="K3051" s="8"/>
      <c r="L3051" s="8"/>
      <c r="M3051" s="8"/>
      <c r="N3051" s="8">
        <v>28.62</v>
      </c>
      <c r="O3051" s="8"/>
      <c r="P3051" s="8"/>
      <c r="Q3051" s="11"/>
      <c r="R3051" s="11"/>
      <c r="S3051" s="8">
        <v>3.23</v>
      </c>
      <c r="T3051" s="8"/>
      <c r="U3051" s="8"/>
      <c r="V3051" s="8"/>
      <c r="W3051" s="8">
        <v>46.19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>
        <v>18.43</v>
      </c>
      <c r="AN3051" s="8">
        <f>2068*27.17/1000</f>
        <v>56.187560000000005</v>
      </c>
      <c r="AO3051" s="8"/>
      <c r="AP3051" s="11"/>
      <c r="AQ3051" s="8"/>
      <c r="AR3051" s="8">
        <f>4269*27.17/1000</f>
        <v>115.98873</v>
      </c>
      <c r="AS3051" s="8"/>
      <c r="AT3051" s="8">
        <v>1716.55</v>
      </c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>
        <v>125.74</v>
      </c>
      <c r="BH3051" s="9">
        <f t="shared" si="423"/>
        <v>4615.42</v>
      </c>
      <c r="BI3051" s="9">
        <f t="shared" si="424"/>
        <v>28.62</v>
      </c>
      <c r="BJ3051" s="9">
        <f t="shared" si="425"/>
        <v>3.23</v>
      </c>
      <c r="BK3051" s="9">
        <f t="shared" si="426"/>
        <v>46.19</v>
      </c>
      <c r="BL3051" s="9">
        <f t="shared" si="427"/>
        <v>0</v>
      </c>
      <c r="BM3051" s="9">
        <f t="shared" si="428"/>
        <v>190.60629</v>
      </c>
      <c r="BN3051" s="9">
        <f t="shared" si="429"/>
        <v>1716.55</v>
      </c>
      <c r="BO3051" s="9">
        <f t="shared" si="430"/>
        <v>0</v>
      </c>
      <c r="BP3051" s="9">
        <f t="shared" si="431"/>
        <v>0</v>
      </c>
    </row>
    <row r="3052" spans="1:68">
      <c r="A3052" s="6">
        <v>45093</v>
      </c>
      <c r="B3052" s="7">
        <v>3307</v>
      </c>
      <c r="C3052" s="8"/>
      <c r="D3052" s="8">
        <v>519.14</v>
      </c>
      <c r="E3052" s="8"/>
      <c r="F3052" s="8"/>
      <c r="G3052" s="8"/>
      <c r="H3052" s="8"/>
      <c r="I3052" s="8"/>
      <c r="J3052" s="8"/>
      <c r="K3052" s="8"/>
      <c r="L3052" s="8"/>
      <c r="M3052" s="8">
        <v>0.47</v>
      </c>
      <c r="N3052" s="8"/>
      <c r="O3052" s="8"/>
      <c r="P3052" s="8"/>
      <c r="Q3052" s="11"/>
      <c r="R3052" s="11"/>
      <c r="S3052" s="8">
        <v>3.53</v>
      </c>
      <c r="T3052" s="8"/>
      <c r="U3052" s="8">
        <v>5.21</v>
      </c>
      <c r="V3052" s="8"/>
      <c r="W3052" s="8"/>
      <c r="X3052" s="8"/>
      <c r="Y3052" s="8"/>
      <c r="Z3052" s="8"/>
      <c r="AA3052" s="8"/>
      <c r="AB3052" s="8"/>
      <c r="AC3052" s="8">
        <v>3.12</v>
      </c>
      <c r="AD3052" s="8"/>
      <c r="AE3052" s="8"/>
      <c r="AF3052" s="8"/>
      <c r="AG3052" s="8">
        <v>5.24</v>
      </c>
      <c r="AH3052" s="8"/>
      <c r="AI3052" s="8"/>
      <c r="AJ3052" s="8"/>
      <c r="AK3052" s="8"/>
      <c r="AL3052" s="8"/>
      <c r="AM3052" s="8"/>
      <c r="AN3052" s="8"/>
      <c r="AO3052" s="8"/>
      <c r="AP3052" s="11"/>
      <c r="AQ3052" s="8"/>
      <c r="AR3052" s="8"/>
      <c r="AS3052" s="8"/>
      <c r="AT3052" s="8"/>
      <c r="AU3052" s="8">
        <v>260.27999999999997</v>
      </c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>
        <v>18.68</v>
      </c>
      <c r="BH3052" s="9">
        <f t="shared" si="423"/>
        <v>519.14</v>
      </c>
      <c r="BI3052" s="9">
        <f t="shared" si="424"/>
        <v>0.47</v>
      </c>
      <c r="BJ3052" s="9">
        <f t="shared" si="425"/>
        <v>3.53</v>
      </c>
      <c r="BK3052" s="9">
        <f t="shared" si="426"/>
        <v>5.21</v>
      </c>
      <c r="BL3052" s="9">
        <f t="shared" si="427"/>
        <v>0</v>
      </c>
      <c r="BM3052" s="9">
        <f t="shared" si="428"/>
        <v>8.36</v>
      </c>
      <c r="BN3052" s="9">
        <f t="shared" si="429"/>
        <v>260.27999999999997</v>
      </c>
      <c r="BO3052" s="9">
        <f t="shared" si="430"/>
        <v>0</v>
      </c>
      <c r="BP3052" s="9">
        <f t="shared" si="431"/>
        <v>0</v>
      </c>
    </row>
    <row r="3053" spans="1:68">
      <c r="A3053" s="6">
        <v>45093</v>
      </c>
      <c r="B3053" s="7">
        <v>3200</v>
      </c>
      <c r="C3053" s="8">
        <v>2259.4</v>
      </c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>
        <v>5.65</v>
      </c>
      <c r="P3053" s="8"/>
      <c r="Q3053" s="11"/>
      <c r="R3053" s="11"/>
      <c r="S3053" s="8">
        <v>8.82</v>
      </c>
      <c r="T3053" s="8"/>
      <c r="U3053" s="8">
        <v>33.9</v>
      </c>
      <c r="V3053" s="8"/>
      <c r="W3053" s="8"/>
      <c r="X3053" s="8"/>
      <c r="Y3053" s="8"/>
      <c r="Z3053" s="8">
        <v>474.94</v>
      </c>
      <c r="AA3053" s="8"/>
      <c r="AB3053" s="8"/>
      <c r="AC3053" s="8"/>
      <c r="AD3053" s="8"/>
      <c r="AE3053" s="8"/>
      <c r="AF3053" s="8">
        <v>112.57</v>
      </c>
      <c r="AG3053" s="8"/>
      <c r="AH3053" s="8"/>
      <c r="AI3053" s="8"/>
      <c r="AJ3053" s="8"/>
      <c r="AK3053" s="8"/>
      <c r="AL3053" s="8"/>
      <c r="AM3053" s="8"/>
      <c r="AN3053" s="8"/>
      <c r="AO3053" s="8"/>
      <c r="AP3053" s="11"/>
      <c r="AQ3053" s="8">
        <f>1517*22.62/1000</f>
        <v>34.314540000000001</v>
      </c>
      <c r="AR3053" s="8"/>
      <c r="AS3053" s="8"/>
      <c r="AT3053" s="8">
        <v>1547.9</v>
      </c>
      <c r="AU3053" s="8"/>
      <c r="AV3053" s="8"/>
      <c r="AW3053" s="8">
        <v>6.45</v>
      </c>
      <c r="AX3053" s="8"/>
      <c r="AY3053" s="8"/>
      <c r="AZ3053" s="8"/>
      <c r="BA3053" s="8"/>
      <c r="BB3053" s="8"/>
      <c r="BC3053" s="8"/>
      <c r="BD3053" s="8"/>
      <c r="BE3053" s="8"/>
      <c r="BF3053" s="8">
        <v>108.54</v>
      </c>
      <c r="BG3053" s="8">
        <v>112.07</v>
      </c>
      <c r="BH3053" s="9">
        <f t="shared" si="423"/>
        <v>2259.4</v>
      </c>
      <c r="BI3053" s="9">
        <f t="shared" si="424"/>
        <v>5.65</v>
      </c>
      <c r="BJ3053" s="9">
        <f t="shared" si="425"/>
        <v>8.82</v>
      </c>
      <c r="BK3053" s="9">
        <f t="shared" si="426"/>
        <v>33.9</v>
      </c>
      <c r="BL3053" s="9">
        <f t="shared" si="427"/>
        <v>474.94</v>
      </c>
      <c r="BM3053" s="9">
        <f t="shared" si="428"/>
        <v>146.88453999999999</v>
      </c>
      <c r="BN3053" s="9">
        <f t="shared" si="429"/>
        <v>1547.9</v>
      </c>
      <c r="BO3053" s="9">
        <f t="shared" si="430"/>
        <v>6.45</v>
      </c>
      <c r="BP3053" s="9">
        <f t="shared" si="431"/>
        <v>108.54</v>
      </c>
    </row>
    <row r="3054" spans="1:68">
      <c r="A3054" s="6">
        <v>45093</v>
      </c>
      <c r="B3054" s="7">
        <v>3108</v>
      </c>
      <c r="C3054" s="8">
        <v>2248.87</v>
      </c>
      <c r="D3054" s="8"/>
      <c r="E3054" s="8"/>
      <c r="F3054" s="8"/>
      <c r="G3054" s="8"/>
      <c r="H3054" s="8"/>
      <c r="I3054" s="8"/>
      <c r="J3054" s="8"/>
      <c r="K3054" s="8"/>
      <c r="L3054" s="8"/>
      <c r="M3054" s="8">
        <v>5.05</v>
      </c>
      <c r="N3054" s="8"/>
      <c r="O3054" s="8"/>
      <c r="P3054" s="8"/>
      <c r="Q3054" s="11"/>
      <c r="R3054" s="11"/>
      <c r="S3054" s="8">
        <v>7.21</v>
      </c>
      <c r="T3054" s="8"/>
      <c r="U3054" s="8">
        <v>28.66</v>
      </c>
      <c r="V3054" s="8"/>
      <c r="W3054" s="8"/>
      <c r="X3054" s="8"/>
      <c r="Y3054" s="8"/>
      <c r="Z3054" s="8"/>
      <c r="AA3054" s="8"/>
      <c r="AB3054" s="8"/>
      <c r="AC3054" s="8">
        <v>9.01</v>
      </c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11"/>
      <c r="AQ3054" s="8"/>
      <c r="AR3054" s="8"/>
      <c r="AS3054" s="8"/>
      <c r="AT3054" s="8">
        <v>1222.1500000000001</v>
      </c>
      <c r="AU3054" s="8"/>
      <c r="AV3054" s="8"/>
      <c r="AW3054" s="8"/>
      <c r="AX3054" s="8"/>
      <c r="AY3054" s="8"/>
      <c r="AZ3054" s="8"/>
      <c r="BA3054" s="8">
        <v>84</v>
      </c>
      <c r="BB3054" s="8"/>
      <c r="BC3054" s="8"/>
      <c r="BD3054" s="8"/>
      <c r="BE3054" s="8"/>
      <c r="BF3054" s="8"/>
      <c r="BG3054" s="8">
        <v>91.46</v>
      </c>
      <c r="BH3054" s="9">
        <f t="shared" si="423"/>
        <v>2248.87</v>
      </c>
      <c r="BI3054" s="9">
        <f t="shared" si="424"/>
        <v>5.05</v>
      </c>
      <c r="BJ3054" s="9">
        <f t="shared" si="425"/>
        <v>7.21</v>
      </c>
      <c r="BK3054" s="9">
        <f t="shared" si="426"/>
        <v>28.66</v>
      </c>
      <c r="BL3054" s="9">
        <f t="shared" si="427"/>
        <v>0</v>
      </c>
      <c r="BM3054" s="9">
        <f t="shared" si="428"/>
        <v>9.01</v>
      </c>
      <c r="BN3054" s="9">
        <f t="shared" si="429"/>
        <v>1222.1500000000001</v>
      </c>
      <c r="BO3054" s="9">
        <f t="shared" si="430"/>
        <v>84</v>
      </c>
      <c r="BP3054" s="9">
        <f t="shared" si="431"/>
        <v>0</v>
      </c>
    </row>
    <row r="3055" spans="1:68">
      <c r="A3055" s="6">
        <v>45093</v>
      </c>
      <c r="B3055" s="7">
        <v>3112</v>
      </c>
      <c r="C3055" s="8">
        <v>3087.58</v>
      </c>
      <c r="D3055" s="8"/>
      <c r="E3055" s="8"/>
      <c r="F3055" s="8"/>
      <c r="G3055" s="8"/>
      <c r="H3055" s="8"/>
      <c r="I3055" s="8"/>
      <c r="J3055" s="8"/>
      <c r="K3055" s="8"/>
      <c r="L3055" s="8"/>
      <c r="M3055" s="8">
        <v>2.79</v>
      </c>
      <c r="N3055" s="8">
        <v>2.78</v>
      </c>
      <c r="O3055" s="8"/>
      <c r="P3055" s="8"/>
      <c r="Q3055" s="11"/>
      <c r="R3055" s="11"/>
      <c r="S3055" s="8">
        <v>9.26</v>
      </c>
      <c r="T3055" s="8"/>
      <c r="U3055" s="8">
        <v>30.9</v>
      </c>
      <c r="V3055" s="8"/>
      <c r="W3055" s="8"/>
      <c r="X3055" s="8"/>
      <c r="Y3055" s="8"/>
      <c r="Z3055" s="8"/>
      <c r="AA3055" s="8"/>
      <c r="AB3055" s="8"/>
      <c r="AC3055" s="8">
        <v>12.33</v>
      </c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11"/>
      <c r="AQ3055" s="8"/>
      <c r="AR3055" s="8"/>
      <c r="AS3055" s="8"/>
      <c r="AT3055" s="8">
        <v>1294.92</v>
      </c>
      <c r="AU3055" s="8"/>
      <c r="AV3055" s="8"/>
      <c r="AW3055" s="8"/>
      <c r="AX3055" s="8"/>
      <c r="AY3055" s="8"/>
      <c r="AZ3055" s="8"/>
      <c r="BA3055" s="8">
        <v>40.86</v>
      </c>
      <c r="BB3055" s="8"/>
      <c r="BC3055" s="8"/>
      <c r="BD3055" s="8"/>
      <c r="BE3055" s="8"/>
      <c r="BF3055" s="8"/>
      <c r="BG3055" s="8">
        <v>93.03</v>
      </c>
      <c r="BH3055" s="9">
        <f t="shared" si="423"/>
        <v>3087.58</v>
      </c>
      <c r="BI3055" s="9">
        <f t="shared" si="424"/>
        <v>5.57</v>
      </c>
      <c r="BJ3055" s="9">
        <f t="shared" si="425"/>
        <v>9.26</v>
      </c>
      <c r="BK3055" s="9">
        <f t="shared" si="426"/>
        <v>30.9</v>
      </c>
      <c r="BL3055" s="9">
        <f t="shared" si="427"/>
        <v>0</v>
      </c>
      <c r="BM3055" s="9">
        <f t="shared" si="428"/>
        <v>12.33</v>
      </c>
      <c r="BN3055" s="9">
        <f t="shared" si="429"/>
        <v>1294.92</v>
      </c>
      <c r="BO3055" s="9">
        <f t="shared" si="430"/>
        <v>40.86</v>
      </c>
      <c r="BP3055" s="9">
        <f t="shared" si="431"/>
        <v>0</v>
      </c>
    </row>
    <row r="3056" spans="1:68">
      <c r="A3056" s="6">
        <v>45093</v>
      </c>
      <c r="B3056" s="7">
        <v>3127</v>
      </c>
      <c r="C3056" s="8">
        <v>1116.9100000000001</v>
      </c>
      <c r="D3056" s="8"/>
      <c r="E3056" s="8"/>
      <c r="F3056" s="8"/>
      <c r="G3056" s="8"/>
      <c r="H3056" s="8"/>
      <c r="I3056" s="8"/>
      <c r="J3056" s="8"/>
      <c r="K3056" s="8"/>
      <c r="L3056" s="8"/>
      <c r="M3056" s="8">
        <v>3.05</v>
      </c>
      <c r="N3056" s="8"/>
      <c r="O3056" s="8"/>
      <c r="P3056" s="8"/>
      <c r="Q3056" s="11"/>
      <c r="R3056" s="11"/>
      <c r="S3056" s="8">
        <v>5.35</v>
      </c>
      <c r="T3056" s="8"/>
      <c r="U3056" s="8">
        <v>11.13</v>
      </c>
      <c r="V3056" s="8"/>
      <c r="W3056" s="8"/>
      <c r="X3056" s="8"/>
      <c r="Y3056" s="8"/>
      <c r="Z3056" s="8">
        <v>166.79</v>
      </c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11"/>
      <c r="AQ3056" s="8"/>
      <c r="AR3056" s="8"/>
      <c r="AS3056" s="8"/>
      <c r="AT3056" s="8">
        <v>548.14</v>
      </c>
      <c r="AU3056" s="8"/>
      <c r="AV3056" s="8">
        <v>22.31</v>
      </c>
      <c r="AW3056" s="8"/>
      <c r="AX3056" s="8"/>
      <c r="AY3056" s="8"/>
      <c r="AZ3056" s="8"/>
      <c r="BA3056" s="8"/>
      <c r="BB3056" s="8"/>
      <c r="BC3056" s="8"/>
      <c r="BD3056" s="8"/>
      <c r="BE3056" s="8"/>
      <c r="BF3056" s="8">
        <v>55.9</v>
      </c>
      <c r="BG3056" s="8">
        <v>39.07</v>
      </c>
      <c r="BH3056" s="9">
        <f t="shared" si="423"/>
        <v>1116.9100000000001</v>
      </c>
      <c r="BI3056" s="9">
        <f t="shared" si="424"/>
        <v>3.05</v>
      </c>
      <c r="BJ3056" s="9">
        <f t="shared" si="425"/>
        <v>5.35</v>
      </c>
      <c r="BK3056" s="9">
        <f t="shared" si="426"/>
        <v>11.13</v>
      </c>
      <c r="BL3056" s="9">
        <f t="shared" si="427"/>
        <v>166.79</v>
      </c>
      <c r="BM3056" s="9">
        <f t="shared" si="428"/>
        <v>0</v>
      </c>
      <c r="BN3056" s="9">
        <f t="shared" si="429"/>
        <v>548.14</v>
      </c>
      <c r="BO3056" s="9">
        <f t="shared" si="430"/>
        <v>22.31</v>
      </c>
      <c r="BP3056" s="9">
        <f t="shared" si="431"/>
        <v>55.9</v>
      </c>
    </row>
    <row r="3057" spans="1:68">
      <c r="A3057" s="6">
        <v>45093</v>
      </c>
      <c r="B3057" s="7">
        <v>3145</v>
      </c>
      <c r="C3057" s="8">
        <v>1215.83</v>
      </c>
      <c r="D3057" s="8">
        <v>214.41</v>
      </c>
      <c r="E3057" s="8"/>
      <c r="F3057" s="8"/>
      <c r="G3057" s="8"/>
      <c r="H3057" s="8"/>
      <c r="I3057" s="8"/>
      <c r="J3057" s="8"/>
      <c r="K3057" s="8"/>
      <c r="L3057" s="8"/>
      <c r="M3057" s="8">
        <v>3.74</v>
      </c>
      <c r="N3057" s="8"/>
      <c r="O3057" s="8"/>
      <c r="P3057" s="8"/>
      <c r="Q3057" s="11"/>
      <c r="R3057" s="11"/>
      <c r="S3057" s="8">
        <v>6.73</v>
      </c>
      <c r="T3057" s="8"/>
      <c r="U3057" s="8">
        <v>21.47</v>
      </c>
      <c r="V3057" s="8"/>
      <c r="W3057" s="8"/>
      <c r="X3057" s="8"/>
      <c r="Y3057" s="8"/>
      <c r="Z3057" s="8"/>
      <c r="AA3057" s="8"/>
      <c r="AB3057" s="8"/>
      <c r="AC3057" s="8">
        <v>5.73</v>
      </c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11"/>
      <c r="AQ3057" s="8"/>
      <c r="AR3057" s="8"/>
      <c r="AS3057" s="8"/>
      <c r="AT3057" s="8">
        <v>947.48</v>
      </c>
      <c r="AU3057" s="8"/>
      <c r="AV3057" s="8"/>
      <c r="AW3057" s="8"/>
      <c r="AX3057" s="8"/>
      <c r="AY3057" s="8"/>
      <c r="AZ3057" s="8"/>
      <c r="BA3057" s="8"/>
      <c r="BB3057" s="8"/>
      <c r="BC3057" s="8"/>
      <c r="BD3057" s="8">
        <v>3.58</v>
      </c>
      <c r="BE3057" s="8">
        <f>1373*9.53/1000</f>
        <v>13.084689999999998</v>
      </c>
      <c r="BF3057" s="8">
        <v>100.12</v>
      </c>
      <c r="BG3057" s="8">
        <v>74.44</v>
      </c>
      <c r="BH3057" s="9">
        <f t="shared" si="423"/>
        <v>1430.24</v>
      </c>
      <c r="BI3057" s="9">
        <f t="shared" si="424"/>
        <v>3.74</v>
      </c>
      <c r="BJ3057" s="9">
        <f t="shared" si="425"/>
        <v>6.73</v>
      </c>
      <c r="BK3057" s="9">
        <f t="shared" si="426"/>
        <v>21.47</v>
      </c>
      <c r="BL3057" s="9">
        <f t="shared" si="427"/>
        <v>0</v>
      </c>
      <c r="BM3057" s="9">
        <f t="shared" si="428"/>
        <v>5.73</v>
      </c>
      <c r="BN3057" s="9">
        <f t="shared" si="429"/>
        <v>947.48</v>
      </c>
      <c r="BO3057" s="9">
        <f t="shared" si="430"/>
        <v>16.66469</v>
      </c>
      <c r="BP3057" s="9">
        <f t="shared" si="431"/>
        <v>100.12</v>
      </c>
    </row>
    <row r="3058" spans="1:68">
      <c r="A3058" s="6">
        <v>45093</v>
      </c>
      <c r="B3058" s="7">
        <v>3205</v>
      </c>
      <c r="C3058" s="8">
        <v>703.69</v>
      </c>
      <c r="D3058" s="8">
        <v>390.47</v>
      </c>
      <c r="E3058" s="8">
        <v>468.54</v>
      </c>
      <c r="F3058" s="8"/>
      <c r="G3058" s="8"/>
      <c r="H3058" s="8"/>
      <c r="I3058" s="8"/>
      <c r="J3058" s="8"/>
      <c r="K3058" s="8"/>
      <c r="L3058" s="8"/>
      <c r="M3058" s="8"/>
      <c r="N3058" s="8"/>
      <c r="O3058" s="8">
        <v>6.26</v>
      </c>
      <c r="P3058" s="8"/>
      <c r="Q3058" s="11"/>
      <c r="R3058" s="11"/>
      <c r="S3058" s="8">
        <v>5.78</v>
      </c>
      <c r="T3058" s="8"/>
      <c r="U3058" s="8">
        <v>18.75</v>
      </c>
      <c r="V3058" s="8"/>
      <c r="W3058" s="8"/>
      <c r="X3058" s="8"/>
      <c r="Y3058" s="8"/>
      <c r="Z3058" s="8">
        <v>156.35</v>
      </c>
      <c r="AA3058" s="8"/>
      <c r="AB3058" s="8">
        <f>1029*15.62/1000</f>
        <v>16.072980000000001</v>
      </c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11"/>
      <c r="AQ3058" s="8">
        <f>507*15.62/1000</f>
        <v>7.9193399999999992</v>
      </c>
      <c r="AR3058" s="8"/>
      <c r="AS3058" s="8"/>
      <c r="AT3058" s="8">
        <v>406.59</v>
      </c>
      <c r="AU3058" s="8">
        <v>203.63</v>
      </c>
      <c r="AV3058" s="8"/>
      <c r="AW3058" s="8">
        <v>6.73</v>
      </c>
      <c r="AX3058" s="8"/>
      <c r="AY3058" s="8"/>
      <c r="AZ3058" s="8"/>
      <c r="BA3058" s="8"/>
      <c r="BB3058" s="8"/>
      <c r="BC3058" s="8"/>
      <c r="BD3058" s="8"/>
      <c r="BE3058" s="8"/>
      <c r="BF3058" s="8"/>
      <c r="BG3058" s="8">
        <v>36.78</v>
      </c>
      <c r="BH3058" s="9">
        <f t="shared" si="423"/>
        <v>1562.7</v>
      </c>
      <c r="BI3058" s="9">
        <f t="shared" si="424"/>
        <v>6.26</v>
      </c>
      <c r="BJ3058" s="9">
        <f t="shared" si="425"/>
        <v>5.78</v>
      </c>
      <c r="BK3058" s="9">
        <f t="shared" si="426"/>
        <v>18.75</v>
      </c>
      <c r="BL3058" s="9">
        <f t="shared" si="427"/>
        <v>156.35</v>
      </c>
      <c r="BM3058" s="9">
        <f t="shared" si="428"/>
        <v>23.992319999999999</v>
      </c>
      <c r="BN3058" s="9">
        <f t="shared" si="429"/>
        <v>610.22</v>
      </c>
      <c r="BO3058" s="9">
        <f t="shared" si="430"/>
        <v>6.73</v>
      </c>
      <c r="BP3058" s="9">
        <f t="shared" si="431"/>
        <v>0</v>
      </c>
    </row>
    <row r="3059" spans="1:68">
      <c r="A3059" s="6">
        <v>45093</v>
      </c>
      <c r="B3059" s="7">
        <v>3204</v>
      </c>
      <c r="C3059" s="8"/>
      <c r="D3059" s="8">
        <v>1901.47</v>
      </c>
      <c r="E3059" s="8"/>
      <c r="F3059" s="8">
        <v>813.63</v>
      </c>
      <c r="G3059" s="8"/>
      <c r="H3059" s="8"/>
      <c r="I3059" s="8"/>
      <c r="J3059" s="8"/>
      <c r="K3059" s="8"/>
      <c r="L3059" s="8"/>
      <c r="M3059" s="8"/>
      <c r="N3059" s="8"/>
      <c r="O3059" s="8">
        <v>13.57</v>
      </c>
      <c r="P3059" s="8"/>
      <c r="Q3059" s="11"/>
      <c r="R3059" s="11"/>
      <c r="S3059" s="8">
        <v>9.2200000000000006</v>
      </c>
      <c r="T3059" s="8"/>
      <c r="U3059" s="8">
        <v>29.88</v>
      </c>
      <c r="V3059" s="8"/>
      <c r="W3059" s="8"/>
      <c r="X3059" s="8"/>
      <c r="Y3059" s="8"/>
      <c r="Z3059" s="8">
        <v>407.27</v>
      </c>
      <c r="AA3059" s="8"/>
      <c r="AB3059" s="8">
        <f>716*19.38/1000</f>
        <v>13.87608</v>
      </c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11"/>
      <c r="AQ3059" s="8"/>
      <c r="AR3059" s="8"/>
      <c r="AS3059" s="8"/>
      <c r="AT3059" s="8">
        <v>1195.1500000000001</v>
      </c>
      <c r="AU3059" s="8"/>
      <c r="AV3059" s="8"/>
      <c r="AW3059" s="8">
        <v>8.67</v>
      </c>
      <c r="AX3059" s="8"/>
      <c r="AY3059" s="8"/>
      <c r="AZ3059" s="8"/>
      <c r="BA3059" s="8"/>
      <c r="BB3059" s="8"/>
      <c r="BC3059" s="8"/>
      <c r="BD3059" s="8"/>
      <c r="BE3059" s="8"/>
      <c r="BF3059" s="8"/>
      <c r="BG3059" s="8">
        <v>88.28</v>
      </c>
      <c r="BH3059" s="9">
        <f t="shared" si="423"/>
        <v>2715.1</v>
      </c>
      <c r="BI3059" s="9">
        <f t="shared" si="424"/>
        <v>13.57</v>
      </c>
      <c r="BJ3059" s="9">
        <f t="shared" si="425"/>
        <v>9.2200000000000006</v>
      </c>
      <c r="BK3059" s="9">
        <f t="shared" si="426"/>
        <v>29.88</v>
      </c>
      <c r="BL3059" s="9">
        <f t="shared" si="427"/>
        <v>407.27</v>
      </c>
      <c r="BM3059" s="9">
        <f t="shared" si="428"/>
        <v>13.87608</v>
      </c>
      <c r="BN3059" s="9">
        <f t="shared" si="429"/>
        <v>1195.1500000000001</v>
      </c>
      <c r="BO3059" s="9">
        <f t="shared" si="430"/>
        <v>8.67</v>
      </c>
      <c r="BP3059" s="9">
        <f t="shared" si="431"/>
        <v>0</v>
      </c>
    </row>
    <row r="3060" spans="1:68">
      <c r="A3060" s="6">
        <v>45093</v>
      </c>
      <c r="B3060" s="7">
        <v>3602</v>
      </c>
      <c r="C3060" s="8">
        <v>580.98</v>
      </c>
      <c r="D3060" s="8"/>
      <c r="E3060" s="8"/>
      <c r="F3060" s="8"/>
      <c r="G3060" s="8">
        <v>871.1</v>
      </c>
      <c r="H3060" s="8"/>
      <c r="I3060" s="8"/>
      <c r="J3060" s="8"/>
      <c r="K3060" s="8"/>
      <c r="L3060" s="8"/>
      <c r="M3060" s="8">
        <v>1.63</v>
      </c>
      <c r="N3060" s="8"/>
      <c r="O3060" s="8"/>
      <c r="P3060" s="8"/>
      <c r="Q3060" s="11"/>
      <c r="R3060" s="11"/>
      <c r="S3060" s="8">
        <v>6.97</v>
      </c>
      <c r="T3060" s="8"/>
      <c r="U3060" s="8">
        <v>11.63</v>
      </c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11"/>
      <c r="AQ3060" s="8"/>
      <c r="AR3060" s="8"/>
      <c r="AS3060" s="8"/>
      <c r="AT3060" s="8">
        <v>585.67999999999995</v>
      </c>
      <c r="AU3060" s="8"/>
      <c r="AV3060" s="8"/>
      <c r="AW3060" s="8">
        <v>37.549999999999997</v>
      </c>
      <c r="AX3060" s="8"/>
      <c r="AY3060" s="8"/>
      <c r="AZ3060" s="8"/>
      <c r="BA3060" s="8"/>
      <c r="BB3060" s="8"/>
      <c r="BC3060" s="8"/>
      <c r="BD3060" s="8"/>
      <c r="BE3060" s="8"/>
      <c r="BF3060" s="8">
        <v>46.52</v>
      </c>
      <c r="BG3060" s="8">
        <v>43.7</v>
      </c>
      <c r="BH3060" s="9">
        <f t="shared" si="423"/>
        <v>1452.08</v>
      </c>
      <c r="BI3060" s="9">
        <f t="shared" si="424"/>
        <v>1.63</v>
      </c>
      <c r="BJ3060" s="9">
        <f t="shared" si="425"/>
        <v>6.97</v>
      </c>
      <c r="BK3060" s="9">
        <f t="shared" si="426"/>
        <v>11.63</v>
      </c>
      <c r="BL3060" s="9">
        <f t="shared" si="427"/>
        <v>0</v>
      </c>
      <c r="BM3060" s="9">
        <f t="shared" si="428"/>
        <v>0</v>
      </c>
      <c r="BN3060" s="9">
        <f t="shared" si="429"/>
        <v>585.67999999999995</v>
      </c>
      <c r="BO3060" s="9">
        <f t="shared" si="430"/>
        <v>37.549999999999997</v>
      </c>
      <c r="BP3060" s="9">
        <f t="shared" si="431"/>
        <v>46.52</v>
      </c>
    </row>
    <row r="3061" spans="1:68">
      <c r="A3061" s="6">
        <v>45093</v>
      </c>
      <c r="B3061" s="7">
        <v>3304</v>
      </c>
      <c r="C3061" s="8"/>
      <c r="D3061" s="8">
        <v>2106.12</v>
      </c>
      <c r="E3061" s="8"/>
      <c r="F3061" s="8"/>
      <c r="G3061" s="8"/>
      <c r="H3061" s="8"/>
      <c r="I3061" s="8"/>
      <c r="J3061" s="8"/>
      <c r="K3061" s="8"/>
      <c r="L3061" s="8"/>
      <c r="M3061" s="8">
        <v>4.22</v>
      </c>
      <c r="N3061" s="8"/>
      <c r="O3061" s="8"/>
      <c r="P3061" s="8"/>
      <c r="Q3061" s="11"/>
      <c r="R3061" s="11"/>
      <c r="S3061" s="8">
        <v>3.16</v>
      </c>
      <c r="T3061" s="8"/>
      <c r="U3061" s="8">
        <v>18.989999999999998</v>
      </c>
      <c r="V3061" s="8">
        <f>852*17.52/1000</f>
        <v>14.92704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>
        <v>21.12</v>
      </c>
      <c r="AH3061" s="8"/>
      <c r="AI3061" s="8"/>
      <c r="AJ3061" s="8"/>
      <c r="AK3061" s="8"/>
      <c r="AL3061" s="8"/>
      <c r="AM3061" s="8"/>
      <c r="AN3061" s="8"/>
      <c r="AO3061" s="8"/>
      <c r="AP3061" s="11"/>
      <c r="AQ3061" s="8"/>
      <c r="AR3061" s="8"/>
      <c r="AS3061" s="8"/>
      <c r="AT3061" s="8">
        <v>563.08000000000004</v>
      </c>
      <c r="AU3061" s="8">
        <v>281.20999999999998</v>
      </c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>
        <v>58.17</v>
      </c>
      <c r="BH3061" s="9">
        <f t="shared" si="423"/>
        <v>2106.12</v>
      </c>
      <c r="BI3061" s="9">
        <f t="shared" si="424"/>
        <v>4.22</v>
      </c>
      <c r="BJ3061" s="9">
        <f t="shared" si="425"/>
        <v>3.16</v>
      </c>
      <c r="BK3061" s="9">
        <f t="shared" si="426"/>
        <v>33.91704</v>
      </c>
      <c r="BL3061" s="9">
        <f t="shared" si="427"/>
        <v>0</v>
      </c>
      <c r="BM3061" s="9">
        <f t="shared" si="428"/>
        <v>21.12</v>
      </c>
      <c r="BN3061" s="9">
        <f t="shared" si="429"/>
        <v>844.29</v>
      </c>
      <c r="BO3061" s="9">
        <f t="shared" si="430"/>
        <v>0</v>
      </c>
      <c r="BP3061" s="9">
        <f t="shared" si="431"/>
        <v>0</v>
      </c>
    </row>
    <row r="3062" spans="1:68">
      <c r="A3062" s="6">
        <v>45096</v>
      </c>
      <c r="B3062" s="7">
        <v>3010</v>
      </c>
      <c r="C3062" s="8">
        <v>665.9</v>
      </c>
      <c r="D3062" s="8">
        <v>445.78</v>
      </c>
      <c r="E3062" s="8"/>
      <c r="F3062" s="8"/>
      <c r="G3062" s="8"/>
      <c r="H3062" s="8"/>
      <c r="I3062" s="8"/>
      <c r="J3062" s="8"/>
      <c r="K3062" s="8"/>
      <c r="L3062" s="8"/>
      <c r="M3062" s="8"/>
      <c r="N3062" s="8">
        <v>2.2200000000000002</v>
      </c>
      <c r="O3062" s="8"/>
      <c r="P3062" s="8"/>
      <c r="Q3062" s="11"/>
      <c r="R3062" s="11"/>
      <c r="S3062" s="8">
        <v>3.01</v>
      </c>
      <c r="T3062" s="8"/>
      <c r="U3062" s="8"/>
      <c r="V3062" s="8"/>
      <c r="W3062" s="8">
        <v>11.15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11"/>
      <c r="AQ3062" s="8"/>
      <c r="AR3062" s="8"/>
      <c r="AS3062" s="8"/>
      <c r="AT3062" s="8">
        <v>372.54</v>
      </c>
      <c r="AU3062" s="8"/>
      <c r="AV3062" s="8"/>
      <c r="AW3062" s="8">
        <v>12.37</v>
      </c>
      <c r="AX3062" s="8"/>
      <c r="AY3062" s="8"/>
      <c r="AZ3062" s="8"/>
      <c r="BA3062" s="8"/>
      <c r="BB3062" s="8"/>
      <c r="BC3062" s="8"/>
      <c r="BD3062" s="8"/>
      <c r="BE3062" s="8"/>
      <c r="BF3062" s="8"/>
      <c r="BG3062" s="8">
        <v>24.56</v>
      </c>
      <c r="BH3062" s="9">
        <f t="shared" si="423"/>
        <v>1111.6799999999998</v>
      </c>
      <c r="BI3062" s="9">
        <f t="shared" si="424"/>
        <v>2.2200000000000002</v>
      </c>
      <c r="BJ3062" s="9">
        <f t="shared" si="425"/>
        <v>3.01</v>
      </c>
      <c r="BK3062" s="9">
        <f t="shared" si="426"/>
        <v>11.15</v>
      </c>
      <c r="BL3062" s="9">
        <f t="shared" si="427"/>
        <v>0</v>
      </c>
      <c r="BM3062" s="9">
        <f t="shared" si="428"/>
        <v>0</v>
      </c>
      <c r="BN3062" s="9">
        <f t="shared" si="429"/>
        <v>372.54</v>
      </c>
      <c r="BO3062" s="9">
        <f t="shared" si="430"/>
        <v>12.37</v>
      </c>
      <c r="BP3062" s="9">
        <f t="shared" si="431"/>
        <v>0</v>
      </c>
    </row>
    <row r="3063" spans="1:68">
      <c r="A3063" s="6">
        <v>45096</v>
      </c>
      <c r="B3063" s="7">
        <v>3022</v>
      </c>
      <c r="C3063" s="8"/>
      <c r="D3063" s="8">
        <v>586.53</v>
      </c>
      <c r="E3063" s="8"/>
      <c r="F3063" s="8"/>
      <c r="G3063" s="8"/>
      <c r="H3063" s="8"/>
      <c r="I3063" s="8">
        <v>480.42</v>
      </c>
      <c r="J3063" s="8"/>
      <c r="K3063" s="8"/>
      <c r="L3063" s="8"/>
      <c r="M3063" s="8"/>
      <c r="N3063" s="8">
        <v>5.37</v>
      </c>
      <c r="O3063" s="8"/>
      <c r="P3063" s="8"/>
      <c r="Q3063" s="11"/>
      <c r="R3063" s="11"/>
      <c r="S3063" s="8">
        <v>1.92</v>
      </c>
      <c r="T3063" s="8"/>
      <c r="U3063" s="8"/>
      <c r="V3063" s="8"/>
      <c r="W3063" s="8">
        <v>10.7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>
        <v>13.88</v>
      </c>
      <c r="AN3063" s="8"/>
      <c r="AO3063" s="8"/>
      <c r="AP3063" s="11"/>
      <c r="AQ3063" s="8"/>
      <c r="AR3063" s="8"/>
      <c r="AS3063" s="8">
        <f>3857*9.72/1000</f>
        <v>37.49004</v>
      </c>
      <c r="AT3063" s="8">
        <v>499.1</v>
      </c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>
        <v>38.47</v>
      </c>
      <c r="BH3063" s="9">
        <f t="shared" si="423"/>
        <v>1066.95</v>
      </c>
      <c r="BI3063" s="9">
        <f t="shared" si="424"/>
        <v>5.37</v>
      </c>
      <c r="BJ3063" s="9">
        <f t="shared" si="425"/>
        <v>1.92</v>
      </c>
      <c r="BK3063" s="9">
        <f t="shared" si="426"/>
        <v>10.7</v>
      </c>
      <c r="BL3063" s="9">
        <f t="shared" si="427"/>
        <v>0</v>
      </c>
      <c r="BM3063" s="9">
        <f t="shared" si="428"/>
        <v>51.370040000000003</v>
      </c>
      <c r="BN3063" s="9">
        <f t="shared" si="429"/>
        <v>499.1</v>
      </c>
      <c r="BO3063" s="9">
        <f t="shared" si="430"/>
        <v>0</v>
      </c>
      <c r="BP3063" s="9">
        <f t="shared" si="431"/>
        <v>0</v>
      </c>
    </row>
    <row r="3064" spans="1:68">
      <c r="A3064" s="6">
        <v>45096</v>
      </c>
      <c r="B3064" s="7">
        <v>3028</v>
      </c>
      <c r="C3064" s="8"/>
      <c r="D3064" s="8">
        <v>419.77</v>
      </c>
      <c r="E3064" s="8"/>
      <c r="F3064" s="8">
        <v>385.21</v>
      </c>
      <c r="G3064" s="8"/>
      <c r="H3064" s="8"/>
      <c r="I3064" s="8">
        <v>871.14</v>
      </c>
      <c r="J3064" s="8"/>
      <c r="K3064" s="8"/>
      <c r="L3064" s="8"/>
      <c r="M3064" s="8"/>
      <c r="N3064" s="8">
        <v>12.9</v>
      </c>
      <c r="O3064" s="8"/>
      <c r="P3064" s="8"/>
      <c r="Q3064" s="11"/>
      <c r="R3064" s="11"/>
      <c r="S3064" s="8">
        <v>2.34</v>
      </c>
      <c r="T3064" s="8"/>
      <c r="U3064" s="8"/>
      <c r="V3064" s="8"/>
      <c r="W3064" s="8">
        <v>12.57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>
        <v>16.71</v>
      </c>
      <c r="AN3064" s="8">
        <f>1066*11.15/1000</f>
        <v>11.885899999999999</v>
      </c>
      <c r="AO3064" s="8"/>
      <c r="AP3064" s="11"/>
      <c r="AQ3064" s="8"/>
      <c r="AR3064" s="8"/>
      <c r="AS3064" s="8">
        <f>4953*11.15/1000</f>
        <v>55.225950000000005</v>
      </c>
      <c r="AT3064" s="8">
        <v>558.54</v>
      </c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>
        <v>37.78</v>
      </c>
      <c r="BH3064" s="9">
        <f t="shared" si="423"/>
        <v>1676.12</v>
      </c>
      <c r="BI3064" s="9">
        <f t="shared" si="424"/>
        <v>12.9</v>
      </c>
      <c r="BJ3064" s="9">
        <f t="shared" si="425"/>
        <v>2.34</v>
      </c>
      <c r="BK3064" s="9">
        <f t="shared" si="426"/>
        <v>12.57</v>
      </c>
      <c r="BL3064" s="9">
        <f t="shared" si="427"/>
        <v>0</v>
      </c>
      <c r="BM3064" s="9">
        <f t="shared" si="428"/>
        <v>83.821850000000012</v>
      </c>
      <c r="BN3064" s="9">
        <f t="shared" si="429"/>
        <v>558.54</v>
      </c>
      <c r="BO3064" s="9">
        <f t="shared" si="430"/>
        <v>0</v>
      </c>
      <c r="BP3064" s="9">
        <f t="shared" si="431"/>
        <v>0</v>
      </c>
    </row>
    <row r="3065" spans="1:68">
      <c r="A3065" s="6">
        <v>45096</v>
      </c>
      <c r="B3065" s="7">
        <v>3017</v>
      </c>
      <c r="C3065" s="8"/>
      <c r="D3065" s="8">
        <v>266.08</v>
      </c>
      <c r="E3065" s="8"/>
      <c r="F3065" s="8"/>
      <c r="G3065" s="8"/>
      <c r="H3065" s="8"/>
      <c r="I3065" s="8">
        <v>366.21</v>
      </c>
      <c r="J3065" s="8"/>
      <c r="K3065" s="8"/>
      <c r="L3065" s="8"/>
      <c r="M3065" s="8"/>
      <c r="N3065" s="8">
        <v>4.55</v>
      </c>
      <c r="O3065" s="8"/>
      <c r="P3065" s="8"/>
      <c r="Q3065" s="11"/>
      <c r="R3065" s="11"/>
      <c r="S3065" s="8">
        <v>0.44</v>
      </c>
      <c r="T3065" s="8"/>
      <c r="U3065" s="8"/>
      <c r="V3065" s="8"/>
      <c r="W3065" s="8">
        <v>4.76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>
        <v>2.52</v>
      </c>
      <c r="AN3065" s="8">
        <f>1236*5.27/1000</f>
        <v>6.5137199999999993</v>
      </c>
      <c r="AO3065" s="8"/>
      <c r="AP3065" s="11"/>
      <c r="AQ3065" s="8"/>
      <c r="AR3065" s="8">
        <f>4931*5.27/1000</f>
        <v>25.986369999999997</v>
      </c>
      <c r="AS3065" s="8"/>
      <c r="AT3065" s="8">
        <v>270.76</v>
      </c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>
        <v>19.63</v>
      </c>
      <c r="BH3065" s="9">
        <f t="shared" si="423"/>
        <v>632.29</v>
      </c>
      <c r="BI3065" s="9">
        <f t="shared" si="424"/>
        <v>4.55</v>
      </c>
      <c r="BJ3065" s="9">
        <f t="shared" si="425"/>
        <v>0.44</v>
      </c>
      <c r="BK3065" s="9">
        <f t="shared" si="426"/>
        <v>4.76</v>
      </c>
      <c r="BL3065" s="9">
        <f t="shared" si="427"/>
        <v>0</v>
      </c>
      <c r="BM3065" s="9">
        <f t="shared" si="428"/>
        <v>35.020089999999996</v>
      </c>
      <c r="BN3065" s="9">
        <f t="shared" si="429"/>
        <v>270.76</v>
      </c>
      <c r="BO3065" s="9">
        <f t="shared" si="430"/>
        <v>0</v>
      </c>
      <c r="BP3065" s="9">
        <f t="shared" si="431"/>
        <v>0</v>
      </c>
    </row>
    <row r="3066" spans="1:68">
      <c r="A3066" s="6">
        <v>45096</v>
      </c>
      <c r="B3066" s="7">
        <v>3016</v>
      </c>
      <c r="C3066" s="8"/>
      <c r="D3066" s="8">
        <v>1613.73</v>
      </c>
      <c r="E3066" s="8"/>
      <c r="F3066" s="8"/>
      <c r="G3066" s="8"/>
      <c r="H3066" s="8"/>
      <c r="I3066" s="8">
        <v>1491.11</v>
      </c>
      <c r="J3066" s="8"/>
      <c r="K3066" s="8"/>
      <c r="L3066" s="8"/>
      <c r="M3066" s="8"/>
      <c r="N3066" s="8">
        <v>19.260000000000002</v>
      </c>
      <c r="O3066" s="8"/>
      <c r="P3066" s="8"/>
      <c r="Q3066" s="11"/>
      <c r="R3066" s="11"/>
      <c r="S3066" s="8">
        <v>2.17</v>
      </c>
      <c r="T3066" s="8"/>
      <c r="U3066" s="8"/>
      <c r="V3066" s="8"/>
      <c r="W3066" s="8">
        <v>31.08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>
        <v>12.43</v>
      </c>
      <c r="AN3066" s="8">
        <f>2042*18.27/1000</f>
        <v>37.307339999999996</v>
      </c>
      <c r="AO3066" s="8"/>
      <c r="AP3066" s="11"/>
      <c r="AQ3066" s="8"/>
      <c r="AR3066" s="8">
        <f>4269*18.27/1000</f>
        <v>77.994630000000001</v>
      </c>
      <c r="AS3066" s="8"/>
      <c r="AT3066" s="8">
        <v>1154.69</v>
      </c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>
        <v>84.5</v>
      </c>
      <c r="BH3066" s="9">
        <f t="shared" si="423"/>
        <v>3104.84</v>
      </c>
      <c r="BI3066" s="9">
        <f t="shared" si="424"/>
        <v>19.260000000000002</v>
      </c>
      <c r="BJ3066" s="9">
        <f t="shared" si="425"/>
        <v>2.17</v>
      </c>
      <c r="BK3066" s="9">
        <f t="shared" si="426"/>
        <v>31.08</v>
      </c>
      <c r="BL3066" s="9">
        <f t="shared" si="427"/>
        <v>0</v>
      </c>
      <c r="BM3066" s="9">
        <f t="shared" si="428"/>
        <v>127.73196999999999</v>
      </c>
      <c r="BN3066" s="9">
        <f t="shared" si="429"/>
        <v>1154.69</v>
      </c>
      <c r="BO3066" s="9">
        <f t="shared" si="430"/>
        <v>0</v>
      </c>
      <c r="BP3066" s="9">
        <f t="shared" si="431"/>
        <v>0</v>
      </c>
    </row>
    <row r="3067" spans="1:68">
      <c r="A3067" s="6">
        <v>45096</v>
      </c>
      <c r="B3067" s="7">
        <v>3083</v>
      </c>
      <c r="C3067" s="8"/>
      <c r="D3067" s="8">
        <v>1095.94</v>
      </c>
      <c r="E3067" s="8"/>
      <c r="F3067" s="8"/>
      <c r="G3067" s="8"/>
      <c r="H3067" s="8"/>
      <c r="I3067" s="8">
        <v>2556.4499999999998</v>
      </c>
      <c r="J3067" s="8"/>
      <c r="K3067" s="8"/>
      <c r="L3067" s="8"/>
      <c r="M3067" s="8"/>
      <c r="N3067" s="8">
        <v>23.73</v>
      </c>
      <c r="O3067" s="8"/>
      <c r="P3067" s="8"/>
      <c r="Q3067" s="11"/>
      <c r="R3067" s="11"/>
      <c r="S3067" s="8">
        <v>2.5499999999999998</v>
      </c>
      <c r="T3067" s="8"/>
      <c r="U3067" s="8"/>
      <c r="V3067" s="8"/>
      <c r="W3067" s="8">
        <v>29.24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>
        <v>14.59</v>
      </c>
      <c r="AN3067" s="8">
        <f>1906*27.05/1000</f>
        <v>51.557300000000005</v>
      </c>
      <c r="AO3067" s="8"/>
      <c r="AP3067" s="11"/>
      <c r="AQ3067" s="8"/>
      <c r="AR3067" s="8">
        <f>3464*27.05/1000</f>
        <v>93.7012</v>
      </c>
      <c r="AS3067" s="8"/>
      <c r="AT3067" s="8">
        <v>1716.69</v>
      </c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>
        <v>136.13</v>
      </c>
      <c r="BH3067" s="9">
        <f t="shared" si="423"/>
        <v>3652.39</v>
      </c>
      <c r="BI3067" s="9">
        <f t="shared" si="424"/>
        <v>23.73</v>
      </c>
      <c r="BJ3067" s="9">
        <f t="shared" si="425"/>
        <v>2.5499999999999998</v>
      </c>
      <c r="BK3067" s="9">
        <f t="shared" si="426"/>
        <v>29.24</v>
      </c>
      <c r="BL3067" s="9">
        <f t="shared" si="427"/>
        <v>0</v>
      </c>
      <c r="BM3067" s="9">
        <f t="shared" si="428"/>
        <v>159.8485</v>
      </c>
      <c r="BN3067" s="9">
        <f t="shared" si="429"/>
        <v>1716.69</v>
      </c>
      <c r="BO3067" s="9">
        <f t="shared" si="430"/>
        <v>0</v>
      </c>
      <c r="BP3067" s="9">
        <f t="shared" si="431"/>
        <v>0</v>
      </c>
    </row>
    <row r="3068" spans="1:68">
      <c r="A3068" s="6">
        <v>45096</v>
      </c>
      <c r="B3068" s="7">
        <v>3113</v>
      </c>
      <c r="C3068" s="8">
        <v>1633.91</v>
      </c>
      <c r="D3068" s="8"/>
      <c r="E3068" s="8"/>
      <c r="F3068" s="8"/>
      <c r="G3068" s="8"/>
      <c r="H3068" s="8"/>
      <c r="I3068" s="8"/>
      <c r="J3068" s="8"/>
      <c r="K3068" s="8"/>
      <c r="L3068" s="8"/>
      <c r="M3068" s="8">
        <v>1.56</v>
      </c>
      <c r="N3068" s="8">
        <v>1.57</v>
      </c>
      <c r="O3068" s="8"/>
      <c r="P3068" s="8"/>
      <c r="Q3068" s="11"/>
      <c r="R3068" s="11"/>
      <c r="S3068" s="8">
        <v>4.91</v>
      </c>
      <c r="T3068" s="8"/>
      <c r="U3068" s="8">
        <v>16.36</v>
      </c>
      <c r="V3068" s="8"/>
      <c r="W3068" s="8"/>
      <c r="X3068" s="8"/>
      <c r="Y3068" s="8"/>
      <c r="Z3068" s="8"/>
      <c r="AA3068" s="8"/>
      <c r="AB3068" s="8"/>
      <c r="AC3068" s="8">
        <v>6.54</v>
      </c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11"/>
      <c r="AQ3068" s="8"/>
      <c r="AR3068" s="8"/>
      <c r="AS3068" s="8"/>
      <c r="AT3068" s="8">
        <v>684.26</v>
      </c>
      <c r="AU3068" s="8"/>
      <c r="AV3068" s="8">
        <v>55.63</v>
      </c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>
        <v>48.99</v>
      </c>
      <c r="BH3068" s="9">
        <f t="shared" si="423"/>
        <v>1633.91</v>
      </c>
      <c r="BI3068" s="9">
        <f t="shared" si="424"/>
        <v>3.13</v>
      </c>
      <c r="BJ3068" s="9">
        <f t="shared" si="425"/>
        <v>4.91</v>
      </c>
      <c r="BK3068" s="9">
        <f t="shared" si="426"/>
        <v>16.36</v>
      </c>
      <c r="BL3068" s="9">
        <f t="shared" si="427"/>
        <v>0</v>
      </c>
      <c r="BM3068" s="9">
        <f t="shared" si="428"/>
        <v>6.54</v>
      </c>
      <c r="BN3068" s="9">
        <f t="shared" si="429"/>
        <v>684.26</v>
      </c>
      <c r="BO3068" s="9">
        <f t="shared" si="430"/>
        <v>55.63</v>
      </c>
      <c r="BP3068" s="9">
        <f t="shared" si="431"/>
        <v>0</v>
      </c>
    </row>
    <row r="3069" spans="1:68">
      <c r="A3069" s="6">
        <v>45096</v>
      </c>
      <c r="B3069" s="7">
        <v>3200</v>
      </c>
      <c r="C3069" s="8">
        <v>2357.9499999999998</v>
      </c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>
        <v>5.91</v>
      </c>
      <c r="P3069" s="8"/>
      <c r="Q3069" s="11"/>
      <c r="R3069" s="11"/>
      <c r="S3069" s="8">
        <v>9.2100000000000009</v>
      </c>
      <c r="T3069" s="8"/>
      <c r="U3069" s="8">
        <v>35.369999999999997</v>
      </c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>
        <v>117.42</v>
      </c>
      <c r="AG3069" s="8"/>
      <c r="AH3069" s="8"/>
      <c r="AI3069" s="8"/>
      <c r="AJ3069" s="8"/>
      <c r="AK3069" s="8"/>
      <c r="AL3069" s="8"/>
      <c r="AM3069" s="8"/>
      <c r="AN3069" s="8"/>
      <c r="AO3069" s="8"/>
      <c r="AP3069" s="11"/>
      <c r="AQ3069" s="8">
        <f>1511*23.58/1000</f>
        <v>35.629379999999998</v>
      </c>
      <c r="AR3069" s="8"/>
      <c r="AS3069" s="8"/>
      <c r="AT3069" s="8">
        <v>1613.84</v>
      </c>
      <c r="AU3069" s="8"/>
      <c r="AV3069" s="8"/>
      <c r="AW3069" s="8">
        <v>6.85</v>
      </c>
      <c r="AX3069" s="8"/>
      <c r="AY3069" s="8"/>
      <c r="AZ3069" s="8"/>
      <c r="BA3069" s="8"/>
      <c r="BB3069" s="8"/>
      <c r="BC3069" s="8"/>
      <c r="BD3069" s="8"/>
      <c r="BE3069" s="8"/>
      <c r="BF3069" s="8">
        <v>113.22</v>
      </c>
      <c r="BG3069" s="8">
        <v>116.83</v>
      </c>
      <c r="BH3069" s="9">
        <f t="shared" si="423"/>
        <v>2357.9499999999998</v>
      </c>
      <c r="BI3069" s="9">
        <f t="shared" si="424"/>
        <v>5.91</v>
      </c>
      <c r="BJ3069" s="9">
        <f t="shared" si="425"/>
        <v>9.2100000000000009</v>
      </c>
      <c r="BK3069" s="9">
        <f t="shared" si="426"/>
        <v>35.369999999999997</v>
      </c>
      <c r="BL3069" s="9">
        <f t="shared" si="427"/>
        <v>0</v>
      </c>
      <c r="BM3069" s="9">
        <f t="shared" si="428"/>
        <v>153.04937999999999</v>
      </c>
      <c r="BN3069" s="9">
        <f t="shared" si="429"/>
        <v>1613.84</v>
      </c>
      <c r="BO3069" s="9">
        <f t="shared" si="430"/>
        <v>6.85</v>
      </c>
      <c r="BP3069" s="9">
        <f t="shared" si="431"/>
        <v>113.22</v>
      </c>
    </row>
    <row r="3070" spans="1:68">
      <c r="A3070" s="6">
        <v>45096</v>
      </c>
      <c r="B3070" s="7">
        <v>3307</v>
      </c>
      <c r="C3070" s="8"/>
      <c r="D3070" s="8">
        <v>520.96</v>
      </c>
      <c r="E3070" s="8"/>
      <c r="F3070" s="8"/>
      <c r="G3070" s="8"/>
      <c r="H3070" s="8"/>
      <c r="I3070" s="8"/>
      <c r="J3070" s="8"/>
      <c r="K3070" s="8"/>
      <c r="L3070" s="8"/>
      <c r="M3070" s="8">
        <v>0.47</v>
      </c>
      <c r="N3070" s="8"/>
      <c r="O3070" s="8"/>
      <c r="P3070" s="8"/>
      <c r="Q3070" s="11"/>
      <c r="R3070" s="11"/>
      <c r="S3070" s="8">
        <v>3.54</v>
      </c>
      <c r="T3070" s="8"/>
      <c r="U3070" s="8">
        <v>5.22</v>
      </c>
      <c r="V3070" s="8"/>
      <c r="W3070" s="8"/>
      <c r="X3070" s="8"/>
      <c r="Y3070" s="8"/>
      <c r="Z3070" s="8"/>
      <c r="AA3070" s="8"/>
      <c r="AB3070" s="8"/>
      <c r="AC3070" s="8">
        <v>3.13</v>
      </c>
      <c r="AD3070" s="8"/>
      <c r="AE3070" s="8"/>
      <c r="AF3070" s="8"/>
      <c r="AG3070" s="8">
        <v>5.23</v>
      </c>
      <c r="AH3070" s="8"/>
      <c r="AI3070" s="8"/>
      <c r="AJ3070" s="8"/>
      <c r="AK3070" s="8"/>
      <c r="AL3070" s="8"/>
      <c r="AM3070" s="8"/>
      <c r="AN3070" s="8"/>
      <c r="AO3070" s="8"/>
      <c r="AP3070" s="11"/>
      <c r="AQ3070" s="8"/>
      <c r="AR3070" s="8"/>
      <c r="AS3070" s="8"/>
      <c r="AT3070" s="8"/>
      <c r="AU3070" s="8">
        <v>261.29000000000002</v>
      </c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>
        <v>18.739999999999998</v>
      </c>
      <c r="BH3070" s="9">
        <f t="shared" si="423"/>
        <v>520.96</v>
      </c>
      <c r="BI3070" s="9">
        <f t="shared" si="424"/>
        <v>0.47</v>
      </c>
      <c r="BJ3070" s="9">
        <f t="shared" si="425"/>
        <v>3.54</v>
      </c>
      <c r="BK3070" s="9">
        <f t="shared" si="426"/>
        <v>5.22</v>
      </c>
      <c r="BL3070" s="9">
        <f t="shared" si="427"/>
        <v>0</v>
      </c>
      <c r="BM3070" s="9">
        <f t="shared" si="428"/>
        <v>8.36</v>
      </c>
      <c r="BN3070" s="9">
        <f t="shared" si="429"/>
        <v>261.29000000000002</v>
      </c>
      <c r="BO3070" s="9">
        <f t="shared" si="430"/>
        <v>0</v>
      </c>
      <c r="BP3070" s="9">
        <f t="shared" si="431"/>
        <v>0</v>
      </c>
    </row>
    <row r="3071" spans="1:68">
      <c r="A3071" s="6">
        <v>45097</v>
      </c>
      <c r="B3071" s="7">
        <v>3139</v>
      </c>
      <c r="C3071" s="8">
        <v>1859.95</v>
      </c>
      <c r="D3071" s="8"/>
      <c r="E3071" s="8"/>
      <c r="F3071" s="8"/>
      <c r="G3071" s="8"/>
      <c r="H3071" s="8">
        <v>772.46</v>
      </c>
      <c r="I3071" s="8"/>
      <c r="J3071" s="8"/>
      <c r="K3071" s="8"/>
      <c r="L3071" s="8"/>
      <c r="M3071" s="8">
        <v>4.37</v>
      </c>
      <c r="N3071" s="8"/>
      <c r="O3071" s="8"/>
      <c r="P3071" s="8"/>
      <c r="Q3071" s="11"/>
      <c r="R3071" s="11"/>
      <c r="S3071" s="8">
        <v>8.25</v>
      </c>
      <c r="T3071" s="8"/>
      <c r="U3071" s="8">
        <v>27.51</v>
      </c>
      <c r="V3071" s="8"/>
      <c r="W3071" s="8"/>
      <c r="X3071" s="8"/>
      <c r="Y3071" s="8"/>
      <c r="Z3071" s="8"/>
      <c r="AA3071" s="8"/>
      <c r="AB3071" s="8"/>
      <c r="AC3071" s="8">
        <v>9.17</v>
      </c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11"/>
      <c r="AQ3071" s="8"/>
      <c r="AR3071" s="8"/>
      <c r="AS3071" s="8"/>
      <c r="AT3071" s="8">
        <v>1359.12</v>
      </c>
      <c r="AU3071" s="8"/>
      <c r="AV3071" s="8">
        <v>45.84</v>
      </c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>
        <v>98.57</v>
      </c>
      <c r="BH3071" s="9">
        <f t="shared" si="423"/>
        <v>2632.41</v>
      </c>
      <c r="BI3071" s="9">
        <f t="shared" si="424"/>
        <v>4.37</v>
      </c>
      <c r="BJ3071" s="9">
        <f t="shared" si="425"/>
        <v>8.25</v>
      </c>
      <c r="BK3071" s="9">
        <f t="shared" si="426"/>
        <v>27.51</v>
      </c>
      <c r="BL3071" s="9">
        <f t="shared" si="427"/>
        <v>0</v>
      </c>
      <c r="BM3071" s="9">
        <f t="shared" si="428"/>
        <v>9.17</v>
      </c>
      <c r="BN3071" s="9">
        <f t="shared" si="429"/>
        <v>1359.12</v>
      </c>
      <c r="BO3071" s="9">
        <f t="shared" si="430"/>
        <v>45.84</v>
      </c>
      <c r="BP3071" s="9">
        <f t="shared" si="431"/>
        <v>0</v>
      </c>
    </row>
    <row r="3072" spans="1:68">
      <c r="A3072" s="6">
        <v>45097</v>
      </c>
      <c r="B3072" s="7">
        <v>3031</v>
      </c>
      <c r="C3072" s="8"/>
      <c r="D3072" s="8"/>
      <c r="E3072" s="8"/>
      <c r="F3072" s="8"/>
      <c r="G3072" s="8"/>
      <c r="H3072" s="8"/>
      <c r="I3072" s="8">
        <f>1167.34+91.51</f>
        <v>1258.8499999999999</v>
      </c>
      <c r="J3072" s="8"/>
      <c r="K3072" s="8"/>
      <c r="L3072" s="8"/>
      <c r="M3072" s="8"/>
      <c r="N3072" s="8">
        <f>8.06+0.63</f>
        <v>8.6900000000000013</v>
      </c>
      <c r="O3072" s="8"/>
      <c r="P3072" s="8"/>
      <c r="Q3072" s="11"/>
      <c r="R3072" s="11"/>
      <c r="S3072" s="8">
        <f>0.82+0.06</f>
        <v>0.87999999999999989</v>
      </c>
      <c r="T3072" s="8"/>
      <c r="U3072" s="8"/>
      <c r="V3072" s="8"/>
      <c r="W3072" s="8">
        <f>11.7+0.92</f>
        <v>12.62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>
        <f>1818*10.48/1000</f>
        <v>19.05264</v>
      </c>
      <c r="AJ3072" s="8"/>
      <c r="AK3072" s="8"/>
      <c r="AL3072" s="8"/>
      <c r="AM3072" s="8"/>
      <c r="AN3072" s="8">
        <f>1216*10.48/1000</f>
        <v>12.743679999999999</v>
      </c>
      <c r="AO3072" s="8"/>
      <c r="AP3072" s="11"/>
      <c r="AQ3072" s="8"/>
      <c r="AR3072" s="8">
        <f>3646*10.48/1000</f>
        <v>38.210080000000005</v>
      </c>
      <c r="AS3072" s="8"/>
      <c r="AT3072" s="8">
        <f>556.6+43.61</f>
        <v>600.21</v>
      </c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>
        <f>37.64+2.97</f>
        <v>40.61</v>
      </c>
      <c r="BH3072" s="9">
        <f t="shared" si="423"/>
        <v>1258.8499999999999</v>
      </c>
      <c r="BI3072" s="9">
        <f t="shared" si="424"/>
        <v>8.6900000000000013</v>
      </c>
      <c r="BJ3072" s="9">
        <f t="shared" si="425"/>
        <v>0.87999999999999989</v>
      </c>
      <c r="BK3072" s="9">
        <f t="shared" si="426"/>
        <v>12.62</v>
      </c>
      <c r="BL3072" s="9">
        <f t="shared" si="427"/>
        <v>0</v>
      </c>
      <c r="BM3072" s="9">
        <f t="shared" si="428"/>
        <v>70.006400000000014</v>
      </c>
      <c r="BN3072" s="9">
        <f t="shared" si="429"/>
        <v>600.21</v>
      </c>
      <c r="BO3072" s="9">
        <f t="shared" si="430"/>
        <v>0</v>
      </c>
      <c r="BP3072" s="9">
        <f t="shared" si="431"/>
        <v>0</v>
      </c>
    </row>
    <row r="3073" spans="1:68">
      <c r="A3073" s="6">
        <v>45097</v>
      </c>
      <c r="B3073" s="7">
        <v>3009</v>
      </c>
      <c r="C3073" s="8"/>
      <c r="D3073" s="8">
        <f>45.28+393.21</f>
        <v>438.49</v>
      </c>
      <c r="E3073" s="8"/>
      <c r="F3073" s="8">
        <f>25.41+220.86</f>
        <v>246.27</v>
      </c>
      <c r="G3073" s="8"/>
      <c r="H3073" s="8"/>
      <c r="I3073" s="8">
        <f>23.47+204.48</f>
        <v>227.95</v>
      </c>
      <c r="J3073" s="8"/>
      <c r="K3073" s="8"/>
      <c r="L3073" s="8"/>
      <c r="M3073" s="8"/>
      <c r="N3073" s="8">
        <f>0.68+5.9</f>
        <v>6.58</v>
      </c>
      <c r="O3073" s="8"/>
      <c r="P3073" s="8"/>
      <c r="Q3073" s="11"/>
      <c r="R3073" s="11"/>
      <c r="S3073" s="8">
        <f>0.06+0.49</f>
        <v>0.55000000000000004</v>
      </c>
      <c r="T3073" s="8"/>
      <c r="U3073" s="8"/>
      <c r="V3073" s="8"/>
      <c r="W3073" s="8">
        <f>0.77+6.64</f>
        <v>7.41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>
        <f>0.33+2.85</f>
        <v>3.18</v>
      </c>
      <c r="AN3073" s="8">
        <f>1526*6.07/1000</f>
        <v>9.2628199999999996</v>
      </c>
      <c r="AO3073" s="8"/>
      <c r="AP3073" s="11"/>
      <c r="AQ3073" s="8"/>
      <c r="AR3073" s="8">
        <f>5270*6.07/1000</f>
        <v>31.988900000000001</v>
      </c>
      <c r="AS3073" s="8"/>
      <c r="AT3073" s="8">
        <f>35.66+307.67</f>
        <v>343.33000000000004</v>
      </c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>
        <f>2.61+22.49</f>
        <v>25.099999999999998</v>
      </c>
      <c r="BH3073" s="9">
        <f t="shared" si="423"/>
        <v>912.71</v>
      </c>
      <c r="BI3073" s="9">
        <f t="shared" si="424"/>
        <v>6.58</v>
      </c>
      <c r="BJ3073" s="9">
        <f t="shared" si="425"/>
        <v>0.55000000000000004</v>
      </c>
      <c r="BK3073" s="9">
        <f t="shared" si="426"/>
        <v>7.41</v>
      </c>
      <c r="BL3073" s="9">
        <f t="shared" si="427"/>
        <v>0</v>
      </c>
      <c r="BM3073" s="9">
        <f t="shared" si="428"/>
        <v>44.431719999999999</v>
      </c>
      <c r="BN3073" s="9">
        <f t="shared" si="429"/>
        <v>343.33000000000004</v>
      </c>
      <c r="BO3073" s="9">
        <f t="shared" si="430"/>
        <v>0</v>
      </c>
      <c r="BP3073" s="9">
        <f t="shared" si="431"/>
        <v>0</v>
      </c>
    </row>
    <row r="3074" spans="1:68">
      <c r="A3074" s="6">
        <v>45097</v>
      </c>
      <c r="B3074" s="7">
        <v>3106</v>
      </c>
      <c r="C3074" s="8">
        <v>8013.32</v>
      </c>
      <c r="D3074" s="8"/>
      <c r="E3074" s="8"/>
      <c r="F3074" s="8"/>
      <c r="G3074" s="8"/>
      <c r="H3074" s="8"/>
      <c r="I3074" s="8"/>
      <c r="J3074" s="8"/>
      <c r="K3074" s="8"/>
      <c r="L3074" s="8"/>
      <c r="M3074" s="8">
        <v>21.63</v>
      </c>
      <c r="N3074" s="8"/>
      <c r="O3074" s="8"/>
      <c r="P3074" s="8"/>
      <c r="Q3074" s="11"/>
      <c r="R3074" s="11"/>
      <c r="S3074" s="8">
        <v>24.1</v>
      </c>
      <c r="T3074" s="8"/>
      <c r="U3074" s="8">
        <v>101.96</v>
      </c>
      <c r="V3074" s="8"/>
      <c r="W3074" s="8"/>
      <c r="X3074" s="8"/>
      <c r="Y3074" s="8"/>
      <c r="Z3074" s="8"/>
      <c r="AA3074" s="8"/>
      <c r="AB3074" s="8"/>
      <c r="AC3074" s="8">
        <v>20.04</v>
      </c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11"/>
      <c r="AQ3074" s="8"/>
      <c r="AR3074" s="8"/>
      <c r="AS3074" s="8"/>
      <c r="AT3074" s="8">
        <v>4567.51</v>
      </c>
      <c r="AU3074" s="8"/>
      <c r="AV3074" s="8"/>
      <c r="AW3074" s="8"/>
      <c r="AX3074" s="8">
        <v>10.02</v>
      </c>
      <c r="AY3074" s="8"/>
      <c r="AZ3074" s="8"/>
      <c r="BA3074" s="8"/>
      <c r="BB3074" s="8"/>
      <c r="BC3074" s="8"/>
      <c r="BD3074" s="8"/>
      <c r="BE3074" s="8"/>
      <c r="BF3074" s="8"/>
      <c r="BG3074" s="8">
        <v>345</v>
      </c>
      <c r="BH3074" s="9">
        <f t="shared" si="423"/>
        <v>8013.32</v>
      </c>
      <c r="BI3074" s="9">
        <f t="shared" si="424"/>
        <v>21.63</v>
      </c>
      <c r="BJ3074" s="9">
        <f t="shared" si="425"/>
        <v>24.1</v>
      </c>
      <c r="BK3074" s="9">
        <f t="shared" si="426"/>
        <v>101.96</v>
      </c>
      <c r="BL3074" s="9">
        <f t="shared" si="427"/>
        <v>0</v>
      </c>
      <c r="BM3074" s="9">
        <f t="shared" si="428"/>
        <v>20.04</v>
      </c>
      <c r="BN3074" s="9">
        <f t="shared" si="429"/>
        <v>4567.51</v>
      </c>
      <c r="BO3074" s="9">
        <f t="shared" si="430"/>
        <v>10.02</v>
      </c>
      <c r="BP3074" s="9">
        <f t="shared" si="431"/>
        <v>0</v>
      </c>
    </row>
    <row r="3075" spans="1:68">
      <c r="A3075" s="6">
        <v>45097</v>
      </c>
      <c r="B3075" s="7">
        <v>3141</v>
      </c>
      <c r="C3075" s="8">
        <v>2408.63</v>
      </c>
      <c r="D3075" s="8">
        <v>426.47</v>
      </c>
      <c r="E3075" s="8"/>
      <c r="F3075" s="8"/>
      <c r="G3075" s="8"/>
      <c r="H3075" s="8"/>
      <c r="I3075" s="8"/>
      <c r="J3075" s="8"/>
      <c r="K3075" s="8"/>
      <c r="L3075" s="8"/>
      <c r="M3075" s="8">
        <v>8.2100000000000009</v>
      </c>
      <c r="N3075" s="8"/>
      <c r="O3075" s="8"/>
      <c r="P3075" s="8"/>
      <c r="Q3075" s="11"/>
      <c r="R3075" s="11"/>
      <c r="S3075" s="8">
        <v>13.38</v>
      </c>
      <c r="T3075" s="8"/>
      <c r="U3075" s="8">
        <v>42.69</v>
      </c>
      <c r="V3075" s="8"/>
      <c r="W3075" s="8"/>
      <c r="X3075" s="8"/>
      <c r="Y3075" s="8"/>
      <c r="Z3075" s="8"/>
      <c r="AA3075" s="8"/>
      <c r="AB3075" s="8"/>
      <c r="AC3075" s="8">
        <v>11.39</v>
      </c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11"/>
      <c r="AQ3075" s="8"/>
      <c r="AR3075" s="8"/>
      <c r="AS3075" s="8"/>
      <c r="AT3075" s="8">
        <v>1871.36</v>
      </c>
      <c r="AU3075" s="8"/>
      <c r="AV3075" s="8"/>
      <c r="AW3075" s="8"/>
      <c r="AX3075" s="8"/>
      <c r="AY3075" s="8"/>
      <c r="AZ3075" s="8"/>
      <c r="BA3075" s="8">
        <v>65.19</v>
      </c>
      <c r="BB3075" s="8"/>
      <c r="BC3075" s="8"/>
      <c r="BD3075" s="8"/>
      <c r="BE3075" s="8"/>
      <c r="BF3075" s="8">
        <v>199.02</v>
      </c>
      <c r="BG3075" s="8">
        <v>147.59</v>
      </c>
      <c r="BH3075" s="9">
        <f t="shared" si="423"/>
        <v>2835.1000000000004</v>
      </c>
      <c r="BI3075" s="9">
        <f t="shared" si="424"/>
        <v>8.2100000000000009</v>
      </c>
      <c r="BJ3075" s="9">
        <f t="shared" si="425"/>
        <v>13.38</v>
      </c>
      <c r="BK3075" s="9">
        <f t="shared" si="426"/>
        <v>42.69</v>
      </c>
      <c r="BL3075" s="9">
        <f t="shared" si="427"/>
        <v>0</v>
      </c>
      <c r="BM3075" s="9">
        <f t="shared" si="428"/>
        <v>11.39</v>
      </c>
      <c r="BN3075" s="9">
        <f t="shared" si="429"/>
        <v>1871.36</v>
      </c>
      <c r="BO3075" s="9">
        <f t="shared" si="430"/>
        <v>65.19</v>
      </c>
      <c r="BP3075" s="9">
        <f t="shared" si="431"/>
        <v>199.02</v>
      </c>
    </row>
    <row r="3076" spans="1:68">
      <c r="A3076" s="6">
        <v>45097</v>
      </c>
      <c r="B3076" s="7">
        <v>3203</v>
      </c>
      <c r="C3076" s="8">
        <v>1797.26</v>
      </c>
      <c r="D3076" s="8"/>
      <c r="E3076" s="8">
        <v>772.1</v>
      </c>
      <c r="F3076" s="8"/>
      <c r="G3076" s="8"/>
      <c r="H3076" s="8"/>
      <c r="I3076" s="8"/>
      <c r="J3076" s="8"/>
      <c r="K3076" s="8"/>
      <c r="L3076" s="8"/>
      <c r="M3076" s="8"/>
      <c r="N3076" s="8"/>
      <c r="O3076" s="8">
        <v>7.73</v>
      </c>
      <c r="P3076" s="8"/>
      <c r="Q3076" s="11"/>
      <c r="R3076" s="11"/>
      <c r="S3076" s="8">
        <v>10.039999999999999</v>
      </c>
      <c r="T3076" s="8"/>
      <c r="U3076" s="8">
        <v>31.88</v>
      </c>
      <c r="V3076" s="8"/>
      <c r="W3076" s="8"/>
      <c r="X3076" s="8"/>
      <c r="Y3076" s="8"/>
      <c r="Z3076" s="8">
        <v>404.95</v>
      </c>
      <c r="AA3076" s="8">
        <f>10516*30.25/1000</f>
        <v>318.10899999999998</v>
      </c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11"/>
      <c r="AQ3076" s="8"/>
      <c r="AR3076" s="8"/>
      <c r="AS3076" s="8"/>
      <c r="AT3076" s="8">
        <v>961.99</v>
      </c>
      <c r="AU3076" s="8">
        <v>479.78</v>
      </c>
      <c r="AV3076" s="8"/>
      <c r="AW3076" s="8"/>
      <c r="AX3076" s="8"/>
      <c r="AY3076" s="8"/>
      <c r="AZ3076" s="8"/>
      <c r="BA3076" s="8"/>
      <c r="BB3076" s="8"/>
      <c r="BC3076" s="8">
        <v>6.69</v>
      </c>
      <c r="BD3076" s="8"/>
      <c r="BE3076" s="8"/>
      <c r="BF3076" s="8"/>
      <c r="BG3076" s="8">
        <v>94.01</v>
      </c>
      <c r="BH3076" s="9">
        <f t="shared" ref="BH3076:BH3139" si="432">SUM(C3076:L3076)</f>
        <v>2569.36</v>
      </c>
      <c r="BI3076" s="9">
        <f t="shared" ref="BI3076:BI3139" si="433">SUM(M3076:R3076)</f>
        <v>7.73</v>
      </c>
      <c r="BJ3076" s="9">
        <f t="shared" ref="BJ3076:BJ3139" si="434">SUM(S3076)</f>
        <v>10.039999999999999</v>
      </c>
      <c r="BK3076" s="9">
        <f t="shared" ref="BK3076:BK3139" si="435">SUM(T3076:Y3076)</f>
        <v>31.88</v>
      </c>
      <c r="BL3076" s="9">
        <f t="shared" ref="BL3076:BL3139" si="436">SUM(Z3076:AA3076)</f>
        <v>723.05899999999997</v>
      </c>
      <c r="BM3076" s="9">
        <f t="shared" ref="BM3076:BM3139" si="437">SUM(AB3076:AS3076)</f>
        <v>0</v>
      </c>
      <c r="BN3076" s="9">
        <f t="shared" ref="BN3076:BN3139" si="438">SUM(AT3076:AU3076)</f>
        <v>1441.77</v>
      </c>
      <c r="BO3076" s="9">
        <f t="shared" ref="BO3076:BO3139" si="439">SUM(AV3076:BE3076)</f>
        <v>6.69</v>
      </c>
      <c r="BP3076" s="9">
        <f t="shared" ref="BP3076:BP3139" si="440">SUM(BF3076)</f>
        <v>0</v>
      </c>
    </row>
    <row r="3077" spans="1:68">
      <c r="A3077" s="6">
        <v>45097</v>
      </c>
      <c r="B3077" s="7">
        <v>3200</v>
      </c>
      <c r="C3077" s="8">
        <v>2298.4499999999998</v>
      </c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>
        <v>5.75</v>
      </c>
      <c r="P3077" s="8"/>
      <c r="Q3077" s="11"/>
      <c r="R3077" s="11"/>
      <c r="S3077" s="8">
        <v>8.9700000000000006</v>
      </c>
      <c r="T3077" s="8"/>
      <c r="U3077" s="8">
        <v>34.47</v>
      </c>
      <c r="V3077" s="8"/>
      <c r="W3077" s="8"/>
      <c r="X3077" s="8"/>
      <c r="Y3077" s="8"/>
      <c r="Z3077" s="8">
        <v>482.98</v>
      </c>
      <c r="AA3077" s="8"/>
      <c r="AB3077" s="8"/>
      <c r="AC3077" s="8"/>
      <c r="AD3077" s="8"/>
      <c r="AE3077" s="8"/>
      <c r="AF3077" s="8">
        <v>114.73</v>
      </c>
      <c r="AG3077" s="8"/>
      <c r="AH3077" s="8"/>
      <c r="AI3077" s="8"/>
      <c r="AJ3077" s="8"/>
      <c r="AK3077" s="8"/>
      <c r="AL3077" s="8"/>
      <c r="AM3077" s="8"/>
      <c r="AN3077" s="8"/>
      <c r="AO3077" s="8"/>
      <c r="AP3077" s="11"/>
      <c r="AQ3077" s="8">
        <f>1506*22.98/1000</f>
        <v>34.607879999999994</v>
      </c>
      <c r="AR3077" s="8"/>
      <c r="AS3077" s="8"/>
      <c r="AT3077" s="8">
        <v>1572.5</v>
      </c>
      <c r="AU3077" s="8"/>
      <c r="AV3077" s="8"/>
      <c r="AW3077" s="8">
        <v>6.67</v>
      </c>
      <c r="AX3077" s="8"/>
      <c r="AY3077" s="8"/>
      <c r="AZ3077" s="8"/>
      <c r="BA3077" s="8"/>
      <c r="BB3077" s="8"/>
      <c r="BC3077" s="8"/>
      <c r="BD3077" s="8"/>
      <c r="BE3077" s="8"/>
      <c r="BF3077" s="8">
        <v>110.36</v>
      </c>
      <c r="BG3077" s="8">
        <v>113.72</v>
      </c>
      <c r="BH3077" s="9">
        <f t="shared" si="432"/>
        <v>2298.4499999999998</v>
      </c>
      <c r="BI3077" s="9">
        <f t="shared" si="433"/>
        <v>5.75</v>
      </c>
      <c r="BJ3077" s="9">
        <f t="shared" si="434"/>
        <v>8.9700000000000006</v>
      </c>
      <c r="BK3077" s="9">
        <f t="shared" si="435"/>
        <v>34.47</v>
      </c>
      <c r="BL3077" s="9">
        <f t="shared" si="436"/>
        <v>482.98</v>
      </c>
      <c r="BM3077" s="9">
        <f t="shared" si="437"/>
        <v>149.33787999999998</v>
      </c>
      <c r="BN3077" s="9">
        <f t="shared" si="438"/>
        <v>1572.5</v>
      </c>
      <c r="BO3077" s="9">
        <f t="shared" si="439"/>
        <v>6.67</v>
      </c>
      <c r="BP3077" s="9">
        <f t="shared" si="440"/>
        <v>110.36</v>
      </c>
    </row>
    <row r="3078" spans="1:68">
      <c r="A3078" s="6">
        <v>45098</v>
      </c>
      <c r="B3078" s="7">
        <v>3027</v>
      </c>
      <c r="C3078" s="8"/>
      <c r="D3078" s="8">
        <v>545.33000000000004</v>
      </c>
      <c r="E3078" s="8"/>
      <c r="F3078" s="8"/>
      <c r="G3078" s="8"/>
      <c r="H3078" s="8"/>
      <c r="I3078" s="8">
        <v>447.37</v>
      </c>
      <c r="J3078" s="8"/>
      <c r="K3078" s="8"/>
      <c r="L3078" s="8"/>
      <c r="M3078" s="8"/>
      <c r="N3078" s="8">
        <v>5.64</v>
      </c>
      <c r="O3078" s="8"/>
      <c r="P3078" s="8"/>
      <c r="Q3078" s="11"/>
      <c r="R3078" s="11"/>
      <c r="S3078" s="8">
        <v>1.58</v>
      </c>
      <c r="T3078" s="8"/>
      <c r="U3078" s="8"/>
      <c r="V3078" s="8"/>
      <c r="W3078" s="8">
        <v>7.5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>
        <v>9.8800000000000008</v>
      </c>
      <c r="AN3078" s="8">
        <f>1237*5.67/1000</f>
        <v>7.0137900000000002</v>
      </c>
      <c r="AO3078" s="8"/>
      <c r="AP3078" s="11"/>
      <c r="AQ3078" s="8"/>
      <c r="AR3078" s="8"/>
      <c r="AS3078" s="8">
        <f>5766*5.67/1000</f>
        <v>32.693220000000004</v>
      </c>
      <c r="AT3078" s="8">
        <v>330.33</v>
      </c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>
        <v>23.42</v>
      </c>
      <c r="BH3078" s="9">
        <f t="shared" si="432"/>
        <v>992.7</v>
      </c>
      <c r="BI3078" s="9">
        <f t="shared" si="433"/>
        <v>5.64</v>
      </c>
      <c r="BJ3078" s="9">
        <f t="shared" si="434"/>
        <v>1.58</v>
      </c>
      <c r="BK3078" s="9">
        <f t="shared" si="435"/>
        <v>7.5</v>
      </c>
      <c r="BL3078" s="9">
        <f t="shared" si="436"/>
        <v>0</v>
      </c>
      <c r="BM3078" s="9">
        <f t="shared" si="437"/>
        <v>49.587010000000006</v>
      </c>
      <c r="BN3078" s="9">
        <f t="shared" si="438"/>
        <v>330.33</v>
      </c>
      <c r="BO3078" s="9">
        <f t="shared" si="439"/>
        <v>0</v>
      </c>
      <c r="BP3078" s="9">
        <f t="shared" si="440"/>
        <v>0</v>
      </c>
    </row>
    <row r="3079" spans="1:68">
      <c r="A3079" s="6">
        <v>45098</v>
      </c>
      <c r="B3079" s="7">
        <v>3024</v>
      </c>
      <c r="C3079" s="8"/>
      <c r="D3079" s="8">
        <v>353.11</v>
      </c>
      <c r="E3079" s="8"/>
      <c r="F3079" s="8"/>
      <c r="G3079" s="8"/>
      <c r="H3079" s="8"/>
      <c r="I3079" s="8">
        <v>355.69</v>
      </c>
      <c r="J3079" s="8"/>
      <c r="K3079" s="8"/>
      <c r="L3079" s="8"/>
      <c r="M3079" s="8"/>
      <c r="N3079" s="8">
        <v>4.34</v>
      </c>
      <c r="O3079" s="8"/>
      <c r="P3079" s="8"/>
      <c r="Q3079" s="11"/>
      <c r="R3079" s="11"/>
      <c r="S3079" s="8">
        <v>1.1299999999999999</v>
      </c>
      <c r="T3079" s="8"/>
      <c r="U3079" s="8"/>
      <c r="V3079" s="8"/>
      <c r="W3079" s="8">
        <v>5.67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>
        <v>7.09</v>
      </c>
      <c r="AN3079" s="8">
        <f>844*5.9/1000</f>
        <v>4.9796000000000005</v>
      </c>
      <c r="AO3079" s="8"/>
      <c r="AP3079" s="11"/>
      <c r="AQ3079" s="8"/>
      <c r="AR3079" s="8"/>
      <c r="AS3079" s="8">
        <f>3968*5.9/1000</f>
        <v>23.411200000000001</v>
      </c>
      <c r="AT3079" s="8">
        <v>272.86</v>
      </c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>
        <v>19.89</v>
      </c>
      <c r="BH3079" s="9">
        <f t="shared" si="432"/>
        <v>708.8</v>
      </c>
      <c r="BI3079" s="9">
        <f t="shared" si="433"/>
        <v>4.34</v>
      </c>
      <c r="BJ3079" s="9">
        <f t="shared" si="434"/>
        <v>1.1299999999999999</v>
      </c>
      <c r="BK3079" s="9">
        <f t="shared" si="435"/>
        <v>5.67</v>
      </c>
      <c r="BL3079" s="9">
        <f t="shared" si="436"/>
        <v>0</v>
      </c>
      <c r="BM3079" s="9">
        <f t="shared" si="437"/>
        <v>35.480800000000002</v>
      </c>
      <c r="BN3079" s="9">
        <f t="shared" si="438"/>
        <v>272.86</v>
      </c>
      <c r="BO3079" s="9">
        <f t="shared" si="439"/>
        <v>0</v>
      </c>
      <c r="BP3079" s="9">
        <f t="shared" si="440"/>
        <v>0</v>
      </c>
    </row>
    <row r="3080" spans="1:68">
      <c r="A3080" s="6">
        <v>45098</v>
      </c>
      <c r="B3080" s="7">
        <v>3025</v>
      </c>
      <c r="C3080" s="8"/>
      <c r="D3080" s="8">
        <v>227.52</v>
      </c>
      <c r="E3080" s="8"/>
      <c r="F3080" s="8"/>
      <c r="G3080" s="8"/>
      <c r="H3080" s="8"/>
      <c r="I3080" s="8">
        <v>1239.8499999999999</v>
      </c>
      <c r="J3080" s="8"/>
      <c r="K3080" s="8"/>
      <c r="L3080" s="8"/>
      <c r="M3080" s="8"/>
      <c r="N3080" s="8">
        <v>8.06</v>
      </c>
      <c r="O3080" s="8"/>
      <c r="P3080" s="8"/>
      <c r="Q3080" s="11"/>
      <c r="R3080" s="11"/>
      <c r="S3080" s="8">
        <v>2.34</v>
      </c>
      <c r="T3080" s="8"/>
      <c r="U3080" s="8"/>
      <c r="V3080" s="8"/>
      <c r="W3080" s="8">
        <v>13.11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>
        <v>14.64</v>
      </c>
      <c r="AN3080" s="8">
        <f>703*14.63/1000</f>
        <v>10.284890000000001</v>
      </c>
      <c r="AO3080" s="8"/>
      <c r="AP3080" s="11"/>
      <c r="AQ3080" s="8"/>
      <c r="AR3080" s="8"/>
      <c r="AS3080" s="8">
        <f>3311*14.63/1000</f>
        <v>48.439929999999997</v>
      </c>
      <c r="AT3080" s="8">
        <v>505.9</v>
      </c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>
        <v>33.57</v>
      </c>
      <c r="BH3080" s="9">
        <f t="shared" si="432"/>
        <v>1467.37</v>
      </c>
      <c r="BI3080" s="9">
        <f t="shared" si="433"/>
        <v>8.06</v>
      </c>
      <c r="BJ3080" s="9">
        <f t="shared" si="434"/>
        <v>2.34</v>
      </c>
      <c r="BK3080" s="9">
        <f t="shared" si="435"/>
        <v>13.11</v>
      </c>
      <c r="BL3080" s="9">
        <f t="shared" si="436"/>
        <v>0</v>
      </c>
      <c r="BM3080" s="9">
        <f t="shared" si="437"/>
        <v>73.364819999999995</v>
      </c>
      <c r="BN3080" s="9">
        <f t="shared" si="438"/>
        <v>505.9</v>
      </c>
      <c r="BO3080" s="9">
        <f t="shared" si="439"/>
        <v>0</v>
      </c>
      <c r="BP3080" s="9">
        <f t="shared" si="440"/>
        <v>0</v>
      </c>
    </row>
    <row r="3081" spans="1:68">
      <c r="A3081" s="6">
        <v>45098</v>
      </c>
      <c r="B3081" s="7">
        <v>3023</v>
      </c>
      <c r="C3081" s="8"/>
      <c r="D3081" s="8">
        <v>1682.32</v>
      </c>
      <c r="E3081" s="8"/>
      <c r="F3081" s="8"/>
      <c r="G3081" s="8"/>
      <c r="H3081" s="8"/>
      <c r="I3081" s="8">
        <v>906.43</v>
      </c>
      <c r="J3081" s="8"/>
      <c r="K3081" s="8"/>
      <c r="L3081" s="8"/>
      <c r="M3081" s="8"/>
      <c r="N3081" s="8">
        <v>14.51</v>
      </c>
      <c r="O3081" s="8"/>
      <c r="P3081" s="8"/>
      <c r="Q3081" s="11"/>
      <c r="R3081" s="11"/>
      <c r="S3081" s="8">
        <v>4.13</v>
      </c>
      <c r="T3081" s="8"/>
      <c r="U3081" s="8"/>
      <c r="V3081" s="8"/>
      <c r="W3081" s="8">
        <v>23.35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>
        <v>25.88</v>
      </c>
      <c r="AN3081" s="8">
        <f>1025*17.87/1000</f>
        <v>18.316749999999999</v>
      </c>
      <c r="AO3081" s="8"/>
      <c r="AP3081" s="11"/>
      <c r="AQ3081" s="8"/>
      <c r="AR3081" s="8"/>
      <c r="AS3081" s="8">
        <f>4772*17.87/1000</f>
        <v>85.275639999999996</v>
      </c>
      <c r="AT3081" s="8">
        <v>1060.42</v>
      </c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>
        <v>80.23</v>
      </c>
      <c r="BH3081" s="9">
        <f t="shared" si="432"/>
        <v>2588.75</v>
      </c>
      <c r="BI3081" s="9">
        <f t="shared" si="433"/>
        <v>14.51</v>
      </c>
      <c r="BJ3081" s="9">
        <f t="shared" si="434"/>
        <v>4.13</v>
      </c>
      <c r="BK3081" s="9">
        <f t="shared" si="435"/>
        <v>23.35</v>
      </c>
      <c r="BL3081" s="9">
        <f t="shared" si="436"/>
        <v>0</v>
      </c>
      <c r="BM3081" s="9">
        <f t="shared" si="437"/>
        <v>129.47238999999999</v>
      </c>
      <c r="BN3081" s="9">
        <f t="shared" si="438"/>
        <v>1060.42</v>
      </c>
      <c r="BO3081" s="9">
        <f t="shared" si="439"/>
        <v>0</v>
      </c>
      <c r="BP3081" s="9">
        <f t="shared" si="440"/>
        <v>0</v>
      </c>
    </row>
    <row r="3082" spans="1:68">
      <c r="A3082" s="6">
        <v>45098</v>
      </c>
      <c r="B3082" s="7">
        <v>3028</v>
      </c>
      <c r="C3082" s="8"/>
      <c r="D3082" s="8">
        <v>417.13</v>
      </c>
      <c r="E3082" s="8"/>
      <c r="F3082" s="8">
        <v>382.59</v>
      </c>
      <c r="G3082" s="8"/>
      <c r="H3082" s="8"/>
      <c r="I3082" s="8">
        <v>865.15</v>
      </c>
      <c r="J3082" s="8"/>
      <c r="K3082" s="8"/>
      <c r="L3082" s="8"/>
      <c r="M3082" s="8"/>
      <c r="N3082" s="8">
        <v>12.82</v>
      </c>
      <c r="O3082" s="8"/>
      <c r="P3082" s="8"/>
      <c r="Q3082" s="11"/>
      <c r="R3082" s="11"/>
      <c r="S3082" s="8">
        <v>2.3199999999999998</v>
      </c>
      <c r="T3082" s="8"/>
      <c r="U3082" s="8"/>
      <c r="V3082" s="8"/>
      <c r="W3082" s="8">
        <v>12.49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>
        <v>16.63</v>
      </c>
      <c r="AN3082" s="8">
        <f>1039*11.1/1000</f>
        <v>11.5329</v>
      </c>
      <c r="AO3082" s="8"/>
      <c r="AP3082" s="11"/>
      <c r="AQ3082" s="8"/>
      <c r="AR3082" s="8"/>
      <c r="AS3082" s="8">
        <f>4947*11.1/1000</f>
        <v>54.911699999999996</v>
      </c>
      <c r="AT3082" s="8">
        <v>554.79999999999995</v>
      </c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>
        <v>37.93</v>
      </c>
      <c r="BH3082" s="9">
        <f t="shared" si="432"/>
        <v>1664.87</v>
      </c>
      <c r="BI3082" s="9">
        <f t="shared" si="433"/>
        <v>12.82</v>
      </c>
      <c r="BJ3082" s="9">
        <f t="shared" si="434"/>
        <v>2.3199999999999998</v>
      </c>
      <c r="BK3082" s="9">
        <f t="shared" si="435"/>
        <v>12.49</v>
      </c>
      <c r="BL3082" s="9">
        <f t="shared" si="436"/>
        <v>0</v>
      </c>
      <c r="BM3082" s="9">
        <f t="shared" si="437"/>
        <v>83.074600000000004</v>
      </c>
      <c r="BN3082" s="9">
        <f t="shared" si="438"/>
        <v>554.79999999999995</v>
      </c>
      <c r="BO3082" s="9">
        <f t="shared" si="439"/>
        <v>0</v>
      </c>
      <c r="BP3082" s="9">
        <f t="shared" si="440"/>
        <v>0</v>
      </c>
    </row>
    <row r="3083" spans="1:68">
      <c r="A3083" s="6">
        <v>45098</v>
      </c>
      <c r="B3083" s="7">
        <v>3082</v>
      </c>
      <c r="C3083" s="8"/>
      <c r="D3083" s="8"/>
      <c r="E3083" s="8"/>
      <c r="F3083" s="8">
        <v>169.92</v>
      </c>
      <c r="G3083" s="8"/>
      <c r="H3083" s="8"/>
      <c r="I3083" s="8">
        <v>127.64</v>
      </c>
      <c r="J3083" s="8"/>
      <c r="K3083" s="8">
        <f>65128*8.5/1000</f>
        <v>553.58799999999997</v>
      </c>
      <c r="L3083" s="8"/>
      <c r="M3083" s="8"/>
      <c r="N3083" s="8">
        <v>6.98</v>
      </c>
      <c r="O3083" s="8"/>
      <c r="P3083" s="8"/>
      <c r="Q3083" s="11"/>
      <c r="R3083" s="11"/>
      <c r="S3083" s="8"/>
      <c r="T3083" s="8"/>
      <c r="U3083" s="8"/>
      <c r="V3083" s="8"/>
      <c r="W3083" s="8">
        <v>8.51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>
        <f>4562*8.5/1000</f>
        <v>38.777000000000001</v>
      </c>
      <c r="AI3083" s="8"/>
      <c r="AJ3083" s="8"/>
      <c r="AK3083" s="8"/>
      <c r="AL3083" s="8"/>
      <c r="AM3083" s="8"/>
      <c r="AN3083" s="8"/>
      <c r="AO3083" s="8"/>
      <c r="AP3083" s="11"/>
      <c r="AQ3083" s="8"/>
      <c r="AR3083" s="8">
        <f>2104*8.5/1000</f>
        <v>17.884</v>
      </c>
      <c r="AS3083" s="8"/>
      <c r="AT3083" s="8"/>
      <c r="AU3083" s="8">
        <v>398.46</v>
      </c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>
        <v>15.92</v>
      </c>
      <c r="BH3083" s="9">
        <f t="shared" si="432"/>
        <v>851.14799999999991</v>
      </c>
      <c r="BI3083" s="9">
        <f t="shared" si="433"/>
        <v>6.98</v>
      </c>
      <c r="BJ3083" s="9">
        <f t="shared" si="434"/>
        <v>0</v>
      </c>
      <c r="BK3083" s="9">
        <f t="shared" si="435"/>
        <v>8.51</v>
      </c>
      <c r="BL3083" s="9">
        <f t="shared" si="436"/>
        <v>0</v>
      </c>
      <c r="BM3083" s="9">
        <f t="shared" si="437"/>
        <v>56.661000000000001</v>
      </c>
      <c r="BN3083" s="9">
        <f t="shared" si="438"/>
        <v>398.46</v>
      </c>
      <c r="BO3083" s="9">
        <f t="shared" si="439"/>
        <v>0</v>
      </c>
      <c r="BP3083" s="9">
        <f t="shared" si="440"/>
        <v>0</v>
      </c>
    </row>
    <row r="3084" spans="1:68">
      <c r="A3084" s="6">
        <v>45098</v>
      </c>
      <c r="B3084" s="7">
        <v>3029</v>
      </c>
      <c r="C3084" s="8"/>
      <c r="D3084" s="8">
        <v>478.61</v>
      </c>
      <c r="E3084" s="8"/>
      <c r="F3084" s="8">
        <v>337.45</v>
      </c>
      <c r="G3084" s="8"/>
      <c r="H3084" s="8"/>
      <c r="I3084" s="8">
        <v>1996.44</v>
      </c>
      <c r="J3084" s="8"/>
      <c r="K3084" s="8"/>
      <c r="L3084" s="8"/>
      <c r="M3084" s="8"/>
      <c r="N3084" s="8">
        <v>22.26</v>
      </c>
      <c r="O3084" s="8"/>
      <c r="P3084" s="8"/>
      <c r="Q3084" s="11"/>
      <c r="R3084" s="11"/>
      <c r="S3084" s="8">
        <v>1.68</v>
      </c>
      <c r="T3084" s="8"/>
      <c r="U3084" s="8"/>
      <c r="V3084" s="8"/>
      <c r="W3084" s="8">
        <v>28.17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>
        <v>9.83</v>
      </c>
      <c r="AN3084" s="8">
        <f>770*18.75/1000</f>
        <v>14.4375</v>
      </c>
      <c r="AO3084" s="8"/>
      <c r="AP3084" s="11"/>
      <c r="AQ3084" s="8"/>
      <c r="AR3084" s="8">
        <f>4569*18.75/1000</f>
        <v>85.668750000000003</v>
      </c>
      <c r="AS3084" s="8"/>
      <c r="AT3084" s="8">
        <v>1067.49</v>
      </c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>
        <v>74.34</v>
      </c>
      <c r="BH3084" s="9">
        <f t="shared" si="432"/>
        <v>2812.5</v>
      </c>
      <c r="BI3084" s="9">
        <f t="shared" si="433"/>
        <v>22.26</v>
      </c>
      <c r="BJ3084" s="9">
        <f t="shared" si="434"/>
        <v>1.68</v>
      </c>
      <c r="BK3084" s="9">
        <f t="shared" si="435"/>
        <v>28.17</v>
      </c>
      <c r="BL3084" s="9">
        <f t="shared" si="436"/>
        <v>0</v>
      </c>
      <c r="BM3084" s="9">
        <f t="shared" si="437"/>
        <v>109.93625</v>
      </c>
      <c r="BN3084" s="9">
        <f t="shared" si="438"/>
        <v>1067.49</v>
      </c>
      <c r="BO3084" s="9">
        <f t="shared" si="439"/>
        <v>0</v>
      </c>
      <c r="BP3084" s="9">
        <f t="shared" si="440"/>
        <v>0</v>
      </c>
    </row>
    <row r="3085" spans="1:68">
      <c r="A3085" s="6">
        <v>45098</v>
      </c>
      <c r="B3085" s="7">
        <v>3106</v>
      </c>
      <c r="C3085" s="8">
        <v>6117.63</v>
      </c>
      <c r="D3085" s="8"/>
      <c r="E3085" s="8"/>
      <c r="F3085" s="8"/>
      <c r="G3085" s="8"/>
      <c r="H3085" s="8"/>
      <c r="I3085" s="8"/>
      <c r="J3085" s="8"/>
      <c r="K3085" s="8"/>
      <c r="L3085" s="8"/>
      <c r="M3085" s="8">
        <v>16.420000000000002</v>
      </c>
      <c r="N3085" s="8"/>
      <c r="O3085" s="8"/>
      <c r="P3085" s="8"/>
      <c r="Q3085" s="11"/>
      <c r="R3085" s="11"/>
      <c r="S3085" s="8">
        <v>18.440000000000001</v>
      </c>
      <c r="T3085" s="8"/>
      <c r="U3085" s="8">
        <v>77.83</v>
      </c>
      <c r="V3085" s="8"/>
      <c r="W3085" s="8"/>
      <c r="X3085" s="8"/>
      <c r="Y3085" s="8"/>
      <c r="Z3085" s="8"/>
      <c r="AA3085" s="8"/>
      <c r="AB3085" s="8"/>
      <c r="AC3085" s="8">
        <v>15.3</v>
      </c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11"/>
      <c r="AQ3085" s="8"/>
      <c r="AR3085" s="8"/>
      <c r="AS3085" s="8"/>
      <c r="AT3085" s="8">
        <v>3485.73</v>
      </c>
      <c r="AU3085" s="8"/>
      <c r="AV3085" s="8"/>
      <c r="AW3085" s="8"/>
      <c r="AX3085" s="8">
        <v>7.66</v>
      </c>
      <c r="AY3085" s="8"/>
      <c r="AZ3085" s="8"/>
      <c r="BA3085" s="8"/>
      <c r="BB3085" s="8"/>
      <c r="BC3085" s="8"/>
      <c r="BD3085" s="8"/>
      <c r="BE3085" s="8"/>
      <c r="BF3085" s="8"/>
      <c r="BG3085" s="8">
        <v>262.7</v>
      </c>
      <c r="BH3085" s="9">
        <f t="shared" si="432"/>
        <v>6117.63</v>
      </c>
      <c r="BI3085" s="9">
        <f t="shared" si="433"/>
        <v>16.420000000000002</v>
      </c>
      <c r="BJ3085" s="9">
        <f t="shared" si="434"/>
        <v>18.440000000000001</v>
      </c>
      <c r="BK3085" s="9">
        <f t="shared" si="435"/>
        <v>77.83</v>
      </c>
      <c r="BL3085" s="9">
        <f t="shared" si="436"/>
        <v>0</v>
      </c>
      <c r="BM3085" s="9">
        <f t="shared" si="437"/>
        <v>15.3</v>
      </c>
      <c r="BN3085" s="9">
        <f t="shared" si="438"/>
        <v>3485.73</v>
      </c>
      <c r="BO3085" s="9">
        <f t="shared" si="439"/>
        <v>7.66</v>
      </c>
      <c r="BP3085" s="9">
        <f t="shared" si="440"/>
        <v>0</v>
      </c>
    </row>
    <row r="3086" spans="1:68">
      <c r="A3086" s="6">
        <v>45098</v>
      </c>
      <c r="B3086" s="7">
        <v>3141</v>
      </c>
      <c r="C3086" s="8">
        <v>3527.66</v>
      </c>
      <c r="D3086" s="8">
        <v>617.88</v>
      </c>
      <c r="E3086" s="8"/>
      <c r="F3086" s="8"/>
      <c r="G3086" s="8"/>
      <c r="H3086" s="8"/>
      <c r="I3086" s="8"/>
      <c r="J3086" s="8"/>
      <c r="K3086" s="8"/>
      <c r="L3086" s="8"/>
      <c r="M3086" s="8">
        <v>11.69</v>
      </c>
      <c r="N3086" s="8"/>
      <c r="O3086" s="8"/>
      <c r="P3086" s="8"/>
      <c r="Q3086" s="11"/>
      <c r="R3086" s="11"/>
      <c r="S3086" s="8">
        <v>19.7</v>
      </c>
      <c r="T3086" s="8"/>
      <c r="U3086" s="8">
        <v>62.92</v>
      </c>
      <c r="V3086" s="8"/>
      <c r="W3086" s="8"/>
      <c r="X3086" s="8"/>
      <c r="Y3086" s="8"/>
      <c r="Z3086" s="8"/>
      <c r="AA3086" s="8"/>
      <c r="AB3086" s="8"/>
      <c r="AC3086" s="8">
        <v>16.78</v>
      </c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11"/>
      <c r="AQ3086" s="8"/>
      <c r="AR3086" s="8"/>
      <c r="AS3086" s="8"/>
      <c r="AT3086" s="8">
        <v>2745.94</v>
      </c>
      <c r="AU3086" s="8"/>
      <c r="AV3086" s="8"/>
      <c r="AW3086" s="8"/>
      <c r="AX3086" s="8"/>
      <c r="AY3086" s="8"/>
      <c r="AZ3086" s="8"/>
      <c r="BA3086" s="8">
        <v>95.99</v>
      </c>
      <c r="BB3086" s="8"/>
      <c r="BC3086" s="8"/>
      <c r="BD3086" s="8"/>
      <c r="BE3086" s="8"/>
      <c r="BF3086" s="8">
        <v>293.13</v>
      </c>
      <c r="BG3086" s="8">
        <v>218.22</v>
      </c>
      <c r="BH3086" s="9">
        <f t="shared" si="432"/>
        <v>4145.54</v>
      </c>
      <c r="BI3086" s="9">
        <f t="shared" si="433"/>
        <v>11.69</v>
      </c>
      <c r="BJ3086" s="9">
        <f t="shared" si="434"/>
        <v>19.7</v>
      </c>
      <c r="BK3086" s="9">
        <f t="shared" si="435"/>
        <v>62.92</v>
      </c>
      <c r="BL3086" s="9">
        <f t="shared" si="436"/>
        <v>0</v>
      </c>
      <c r="BM3086" s="9">
        <f t="shared" si="437"/>
        <v>16.78</v>
      </c>
      <c r="BN3086" s="9">
        <f t="shared" si="438"/>
        <v>2745.94</v>
      </c>
      <c r="BO3086" s="9">
        <f t="shared" si="439"/>
        <v>95.99</v>
      </c>
      <c r="BP3086" s="9">
        <f t="shared" si="440"/>
        <v>293.13</v>
      </c>
    </row>
    <row r="3087" spans="1:68">
      <c r="A3087" s="6">
        <v>45098</v>
      </c>
      <c r="B3087" s="7">
        <v>3005</v>
      </c>
      <c r="C3087" s="8">
        <v>427.62</v>
      </c>
      <c r="D3087" s="8">
        <v>283.75</v>
      </c>
      <c r="E3087" s="8"/>
      <c r="F3087" s="8"/>
      <c r="G3087" s="8"/>
      <c r="H3087" s="8"/>
      <c r="I3087" s="8"/>
      <c r="J3087" s="8"/>
      <c r="K3087" s="8"/>
      <c r="L3087" s="8"/>
      <c r="M3087" s="8"/>
      <c r="N3087" s="8">
        <v>0.72</v>
      </c>
      <c r="O3087" s="8"/>
      <c r="P3087" s="8"/>
      <c r="Q3087" s="11"/>
      <c r="R3087" s="11"/>
      <c r="S3087" s="8">
        <v>2.4900000000000002</v>
      </c>
      <c r="T3087" s="8"/>
      <c r="U3087" s="8"/>
      <c r="V3087" s="8"/>
      <c r="W3087" s="8">
        <v>7.84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11"/>
      <c r="AQ3087" s="8"/>
      <c r="AR3087" s="8"/>
      <c r="AS3087" s="8"/>
      <c r="AT3087" s="8">
        <v>349.15</v>
      </c>
      <c r="AU3087" s="8"/>
      <c r="AV3087" s="8"/>
      <c r="AW3087" s="8">
        <v>7.91</v>
      </c>
      <c r="AX3087" s="8"/>
      <c r="AY3087" s="8"/>
      <c r="AZ3087" s="8"/>
      <c r="BA3087" s="8"/>
      <c r="BB3087" s="8"/>
      <c r="BC3087" s="8"/>
      <c r="BD3087" s="8"/>
      <c r="BE3087" s="8"/>
      <c r="BF3087" s="8"/>
      <c r="BG3087" s="8">
        <v>25.99</v>
      </c>
      <c r="BH3087" s="9">
        <f t="shared" si="432"/>
        <v>711.37</v>
      </c>
      <c r="BI3087" s="9">
        <f t="shared" si="433"/>
        <v>0.72</v>
      </c>
      <c r="BJ3087" s="9">
        <f t="shared" si="434"/>
        <v>2.4900000000000002</v>
      </c>
      <c r="BK3087" s="9">
        <f t="shared" si="435"/>
        <v>7.84</v>
      </c>
      <c r="BL3087" s="9">
        <f t="shared" si="436"/>
        <v>0</v>
      </c>
      <c r="BM3087" s="9">
        <f t="shared" si="437"/>
        <v>0</v>
      </c>
      <c r="BN3087" s="9">
        <f t="shared" si="438"/>
        <v>349.15</v>
      </c>
      <c r="BO3087" s="9">
        <f t="shared" si="439"/>
        <v>7.91</v>
      </c>
      <c r="BP3087" s="9">
        <f t="shared" si="440"/>
        <v>0</v>
      </c>
    </row>
    <row r="3088" spans="1:68">
      <c r="A3088" s="6">
        <v>45098</v>
      </c>
      <c r="B3088" s="7">
        <v>3601</v>
      </c>
      <c r="C3088" s="8">
        <v>294.79000000000002</v>
      </c>
      <c r="D3088" s="8"/>
      <c r="E3088" s="8"/>
      <c r="F3088" s="8"/>
      <c r="G3088" s="8">
        <v>441.04</v>
      </c>
      <c r="H3088" s="8"/>
      <c r="I3088" s="8"/>
      <c r="J3088" s="8"/>
      <c r="K3088" s="8"/>
      <c r="L3088" s="8"/>
      <c r="M3088" s="8">
        <v>0.89</v>
      </c>
      <c r="N3088" s="8"/>
      <c r="O3088" s="8"/>
      <c r="P3088" s="8"/>
      <c r="Q3088" s="11"/>
      <c r="R3088" s="11"/>
      <c r="S3088" s="8">
        <v>3.53</v>
      </c>
      <c r="T3088" s="8"/>
      <c r="U3088" s="8">
        <v>4.42</v>
      </c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11"/>
      <c r="AQ3088" s="8"/>
      <c r="AR3088" s="8"/>
      <c r="AS3088" s="8"/>
      <c r="AT3088" s="8">
        <v>361.23</v>
      </c>
      <c r="AU3088" s="8"/>
      <c r="AV3088" s="8"/>
      <c r="AW3088" s="8">
        <v>22.4</v>
      </c>
      <c r="AX3088" s="8"/>
      <c r="AY3088" s="8"/>
      <c r="AZ3088" s="8"/>
      <c r="BA3088" s="8"/>
      <c r="BB3088" s="8"/>
      <c r="BC3088" s="8"/>
      <c r="BD3088" s="8"/>
      <c r="BE3088" s="8"/>
      <c r="BF3088" s="8">
        <v>41.24</v>
      </c>
      <c r="BG3088" s="8">
        <v>26.27</v>
      </c>
      <c r="BH3088" s="9">
        <f t="shared" si="432"/>
        <v>735.83</v>
      </c>
      <c r="BI3088" s="9">
        <f t="shared" si="433"/>
        <v>0.89</v>
      </c>
      <c r="BJ3088" s="9">
        <f t="shared" si="434"/>
        <v>3.53</v>
      </c>
      <c r="BK3088" s="9">
        <f t="shared" si="435"/>
        <v>4.42</v>
      </c>
      <c r="BL3088" s="9">
        <f t="shared" si="436"/>
        <v>0</v>
      </c>
      <c r="BM3088" s="9">
        <f t="shared" si="437"/>
        <v>0</v>
      </c>
      <c r="BN3088" s="9">
        <f t="shared" si="438"/>
        <v>361.23</v>
      </c>
      <c r="BO3088" s="9">
        <f t="shared" si="439"/>
        <v>22.4</v>
      </c>
      <c r="BP3088" s="9">
        <f t="shared" si="440"/>
        <v>41.24</v>
      </c>
    </row>
    <row r="3089" spans="1:68">
      <c r="A3089" s="6">
        <v>45099</v>
      </c>
      <c r="B3089" s="7">
        <v>3200</v>
      </c>
      <c r="C3089" s="8">
        <v>2283.84</v>
      </c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>
        <v>5.73</v>
      </c>
      <c r="P3089" s="8"/>
      <c r="Q3089" s="11"/>
      <c r="R3089" s="11"/>
      <c r="S3089" s="8">
        <v>8.92</v>
      </c>
      <c r="T3089" s="8"/>
      <c r="U3089" s="8">
        <v>34.340000000000003</v>
      </c>
      <c r="V3089" s="8"/>
      <c r="W3089" s="8"/>
      <c r="X3089" s="8"/>
      <c r="Y3089" s="8"/>
      <c r="Z3089" s="8">
        <v>480.91</v>
      </c>
      <c r="AA3089" s="8"/>
      <c r="AB3089" s="8"/>
      <c r="AC3089" s="8"/>
      <c r="AD3089" s="8"/>
      <c r="AE3089" s="8"/>
      <c r="AF3089" s="8">
        <v>113.37</v>
      </c>
      <c r="AG3089" s="8"/>
      <c r="AH3089" s="8"/>
      <c r="AI3089" s="8"/>
      <c r="AJ3089" s="8"/>
      <c r="AK3089" s="8"/>
      <c r="AL3089" s="8"/>
      <c r="AM3089" s="8"/>
      <c r="AN3089" s="8"/>
      <c r="AO3089" s="8"/>
      <c r="AP3089" s="11"/>
      <c r="AQ3089" s="8">
        <f>1531*22.87/1000</f>
        <v>35.01397</v>
      </c>
      <c r="AR3089" s="8"/>
      <c r="AS3089" s="8"/>
      <c r="AT3089" s="8">
        <v>1564</v>
      </c>
      <c r="AU3089" s="8"/>
      <c r="AV3089" s="8"/>
      <c r="AW3089" s="8">
        <v>6.59</v>
      </c>
      <c r="AX3089" s="8"/>
      <c r="AY3089" s="8"/>
      <c r="AZ3089" s="8"/>
      <c r="BA3089" s="8"/>
      <c r="BB3089" s="8"/>
      <c r="BC3089" s="8"/>
      <c r="BD3089" s="8"/>
      <c r="BE3089" s="8"/>
      <c r="BF3089" s="8">
        <v>109.84</v>
      </c>
      <c r="BG3089" s="8">
        <v>113.19</v>
      </c>
      <c r="BH3089" s="9">
        <f t="shared" si="432"/>
        <v>2283.84</v>
      </c>
      <c r="BI3089" s="9">
        <f t="shared" si="433"/>
        <v>5.73</v>
      </c>
      <c r="BJ3089" s="9">
        <f t="shared" si="434"/>
        <v>8.92</v>
      </c>
      <c r="BK3089" s="9">
        <f t="shared" si="435"/>
        <v>34.340000000000003</v>
      </c>
      <c r="BL3089" s="9">
        <f t="shared" si="436"/>
        <v>480.91</v>
      </c>
      <c r="BM3089" s="9">
        <f t="shared" si="437"/>
        <v>148.38397000000001</v>
      </c>
      <c r="BN3089" s="9">
        <f t="shared" si="438"/>
        <v>1564</v>
      </c>
      <c r="BO3089" s="9">
        <f t="shared" si="439"/>
        <v>6.59</v>
      </c>
      <c r="BP3089" s="9">
        <f t="shared" si="440"/>
        <v>109.84</v>
      </c>
    </row>
    <row r="3090" spans="1:68">
      <c r="A3090" s="6">
        <v>45099</v>
      </c>
      <c r="B3090" s="7">
        <v>3203</v>
      </c>
      <c r="C3090" s="8">
        <v>922.75</v>
      </c>
      <c r="D3090" s="8"/>
      <c r="E3090" s="8">
        <v>394.99</v>
      </c>
      <c r="F3090" s="8"/>
      <c r="G3090" s="8"/>
      <c r="H3090" s="8"/>
      <c r="I3090" s="8"/>
      <c r="J3090" s="8"/>
      <c r="K3090" s="8"/>
      <c r="L3090" s="8"/>
      <c r="M3090" s="8"/>
      <c r="N3090" s="8"/>
      <c r="O3090" s="8">
        <v>3.99</v>
      </c>
      <c r="P3090" s="8"/>
      <c r="Q3090" s="11"/>
      <c r="R3090" s="11"/>
      <c r="S3090" s="8">
        <v>5.16</v>
      </c>
      <c r="T3090" s="8"/>
      <c r="U3090" s="8">
        <v>16.37</v>
      </c>
      <c r="V3090" s="8"/>
      <c r="W3090" s="8"/>
      <c r="X3090" s="8"/>
      <c r="Y3090" s="8"/>
      <c r="Z3090" s="8">
        <v>208.06</v>
      </c>
      <c r="AA3090" s="8">
        <f>10513*15.53/1000</f>
        <v>163.26688999999999</v>
      </c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11"/>
      <c r="AQ3090" s="8"/>
      <c r="AR3090" s="8"/>
      <c r="AS3090" s="8"/>
      <c r="AT3090" s="8">
        <v>494.65</v>
      </c>
      <c r="AU3090" s="8">
        <v>246.93</v>
      </c>
      <c r="AV3090" s="8"/>
      <c r="AW3090" s="8"/>
      <c r="AX3090" s="8"/>
      <c r="AY3090" s="8"/>
      <c r="AZ3090" s="8"/>
      <c r="BA3090" s="8"/>
      <c r="BB3090" s="8"/>
      <c r="BC3090" s="8">
        <v>3.43</v>
      </c>
      <c r="BD3090" s="8"/>
      <c r="BE3090" s="8"/>
      <c r="BF3090" s="8"/>
      <c r="BG3090" s="8">
        <v>48.51</v>
      </c>
      <c r="BH3090" s="9">
        <f t="shared" si="432"/>
        <v>1317.74</v>
      </c>
      <c r="BI3090" s="9">
        <f t="shared" si="433"/>
        <v>3.99</v>
      </c>
      <c r="BJ3090" s="9">
        <f t="shared" si="434"/>
        <v>5.16</v>
      </c>
      <c r="BK3090" s="9">
        <f t="shared" si="435"/>
        <v>16.37</v>
      </c>
      <c r="BL3090" s="9">
        <f t="shared" si="436"/>
        <v>371.32688999999999</v>
      </c>
      <c r="BM3090" s="9">
        <f t="shared" si="437"/>
        <v>0</v>
      </c>
      <c r="BN3090" s="9">
        <f t="shared" si="438"/>
        <v>741.57999999999993</v>
      </c>
      <c r="BO3090" s="9">
        <f t="shared" si="439"/>
        <v>3.43</v>
      </c>
      <c r="BP3090" s="9">
        <f t="shared" si="440"/>
        <v>0</v>
      </c>
    </row>
    <row r="3091" spans="1:68">
      <c r="A3091" s="6">
        <v>45099</v>
      </c>
      <c r="B3091" s="7">
        <v>3106</v>
      </c>
      <c r="C3091" s="8">
        <v>6116</v>
      </c>
      <c r="D3091" s="8"/>
      <c r="E3091" s="8"/>
      <c r="F3091" s="8"/>
      <c r="G3091" s="8"/>
      <c r="H3091" s="8"/>
      <c r="I3091" s="8"/>
      <c r="J3091" s="8"/>
      <c r="K3091" s="8"/>
      <c r="L3091" s="8"/>
      <c r="M3091" s="8">
        <v>16.54</v>
      </c>
      <c r="N3091" s="8"/>
      <c r="O3091" s="8"/>
      <c r="P3091" s="8"/>
      <c r="Q3091" s="11"/>
      <c r="R3091" s="11"/>
      <c r="S3091" s="8">
        <v>18.37</v>
      </c>
      <c r="T3091" s="8"/>
      <c r="U3091" s="8">
        <v>77.680000000000007</v>
      </c>
      <c r="V3091" s="8"/>
      <c r="W3091" s="8"/>
      <c r="X3091" s="8"/>
      <c r="Y3091" s="8"/>
      <c r="Z3091" s="8"/>
      <c r="AA3091" s="8"/>
      <c r="AB3091" s="8"/>
      <c r="AC3091" s="8">
        <v>15.28</v>
      </c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11"/>
      <c r="AQ3091" s="8"/>
      <c r="AR3091" s="8"/>
      <c r="AS3091" s="8"/>
      <c r="AT3091" s="8">
        <v>3480.76</v>
      </c>
      <c r="AU3091" s="8"/>
      <c r="AV3091" s="8"/>
      <c r="AW3091" s="8"/>
      <c r="AX3091" s="8">
        <v>7.65</v>
      </c>
      <c r="AY3091" s="8"/>
      <c r="AZ3091" s="8"/>
      <c r="BA3091" s="8"/>
      <c r="BB3091" s="8"/>
      <c r="BC3091" s="8"/>
      <c r="BD3091" s="8"/>
      <c r="BE3091" s="8"/>
      <c r="BF3091" s="8"/>
      <c r="BG3091" s="8">
        <v>77.680000000000007</v>
      </c>
      <c r="BH3091" s="9">
        <f t="shared" si="432"/>
        <v>6116</v>
      </c>
      <c r="BI3091" s="9">
        <f t="shared" si="433"/>
        <v>16.54</v>
      </c>
      <c r="BJ3091" s="9">
        <f t="shared" si="434"/>
        <v>18.37</v>
      </c>
      <c r="BK3091" s="9">
        <f t="shared" si="435"/>
        <v>77.680000000000007</v>
      </c>
      <c r="BL3091" s="9">
        <f t="shared" si="436"/>
        <v>0</v>
      </c>
      <c r="BM3091" s="9">
        <f t="shared" si="437"/>
        <v>15.28</v>
      </c>
      <c r="BN3091" s="9">
        <f t="shared" si="438"/>
        <v>3480.76</v>
      </c>
      <c r="BO3091" s="9">
        <f t="shared" si="439"/>
        <v>7.65</v>
      </c>
      <c r="BP3091" s="9">
        <f t="shared" si="440"/>
        <v>0</v>
      </c>
    </row>
    <row r="3092" spans="1:68">
      <c r="A3092" s="6">
        <v>45099</v>
      </c>
      <c r="B3092" s="7">
        <v>3121</v>
      </c>
      <c r="C3092" s="8">
        <v>2186.33</v>
      </c>
      <c r="D3092" s="8"/>
      <c r="E3092" s="8"/>
      <c r="F3092" s="8"/>
      <c r="G3092" s="8"/>
      <c r="H3092" s="8"/>
      <c r="I3092" s="8"/>
      <c r="J3092" s="8"/>
      <c r="K3092" s="8"/>
      <c r="L3092" s="8"/>
      <c r="M3092" s="8">
        <v>5.48</v>
      </c>
      <c r="N3092" s="8"/>
      <c r="O3092" s="8"/>
      <c r="P3092" s="8"/>
      <c r="Q3092" s="11"/>
      <c r="R3092" s="11"/>
      <c r="S3092" s="8">
        <v>7</v>
      </c>
      <c r="T3092" s="8"/>
      <c r="U3092" s="8">
        <v>21.83</v>
      </c>
      <c r="V3092" s="8"/>
      <c r="W3092" s="8"/>
      <c r="X3092" s="8"/>
      <c r="Y3092" s="8"/>
      <c r="Z3092" s="8"/>
      <c r="AA3092" s="8"/>
      <c r="AB3092" s="8"/>
      <c r="AC3092" s="8">
        <v>8.73</v>
      </c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11">
        <f>2213*9.93/1000</f>
        <v>21.975090000000002</v>
      </c>
      <c r="AQ3092" s="8"/>
      <c r="AR3092" s="8"/>
      <c r="AS3092" s="8"/>
      <c r="AT3092" s="8">
        <v>1155.43</v>
      </c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>
        <v>85.47</v>
      </c>
      <c r="BH3092" s="9">
        <f t="shared" si="432"/>
        <v>2186.33</v>
      </c>
      <c r="BI3092" s="9">
        <f t="shared" si="433"/>
        <v>5.48</v>
      </c>
      <c r="BJ3092" s="9">
        <f t="shared" si="434"/>
        <v>7</v>
      </c>
      <c r="BK3092" s="9">
        <f t="shared" si="435"/>
        <v>21.83</v>
      </c>
      <c r="BL3092" s="9">
        <f t="shared" si="436"/>
        <v>0</v>
      </c>
      <c r="BM3092" s="9">
        <f t="shared" si="437"/>
        <v>30.705090000000002</v>
      </c>
      <c r="BN3092" s="9">
        <f t="shared" si="438"/>
        <v>1155.43</v>
      </c>
      <c r="BO3092" s="9">
        <f t="shared" si="439"/>
        <v>0</v>
      </c>
      <c r="BP3092" s="9">
        <f t="shared" si="440"/>
        <v>0</v>
      </c>
    </row>
    <row r="3093" spans="1:68">
      <c r="A3093" s="6">
        <v>45099</v>
      </c>
      <c r="B3093" s="7">
        <v>3502</v>
      </c>
      <c r="C3093" s="8">
        <v>239.32</v>
      </c>
      <c r="D3093" s="8">
        <v>160.07</v>
      </c>
      <c r="E3093" s="8"/>
      <c r="F3093" s="8"/>
      <c r="G3093" s="8"/>
      <c r="H3093" s="8"/>
      <c r="I3093" s="8"/>
      <c r="J3093" s="8"/>
      <c r="K3093" s="8"/>
      <c r="L3093" s="8"/>
      <c r="M3093" s="8">
        <v>0.6</v>
      </c>
      <c r="N3093" s="8">
        <v>0.6</v>
      </c>
      <c r="O3093" s="8"/>
      <c r="P3093" s="8"/>
      <c r="Q3093" s="11"/>
      <c r="R3093" s="11"/>
      <c r="S3093" s="8">
        <v>1.52</v>
      </c>
      <c r="T3093" s="8"/>
      <c r="U3093" s="8">
        <v>4</v>
      </c>
      <c r="V3093" s="8"/>
      <c r="W3093" s="8"/>
      <c r="X3093" s="8"/>
      <c r="Y3093" s="8"/>
      <c r="Z3093" s="8">
        <v>80.069999999999993</v>
      </c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11"/>
      <c r="AQ3093" s="8"/>
      <c r="AR3093" s="8"/>
      <c r="AS3093" s="8"/>
      <c r="AT3093" s="8">
        <v>165.2</v>
      </c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>
        <v>13.05</v>
      </c>
      <c r="BH3093" s="9">
        <f t="shared" si="432"/>
        <v>399.39</v>
      </c>
      <c r="BI3093" s="9">
        <f t="shared" si="433"/>
        <v>1.2</v>
      </c>
      <c r="BJ3093" s="9">
        <f t="shared" si="434"/>
        <v>1.52</v>
      </c>
      <c r="BK3093" s="9">
        <f t="shared" si="435"/>
        <v>4</v>
      </c>
      <c r="BL3093" s="9">
        <f t="shared" si="436"/>
        <v>80.069999999999993</v>
      </c>
      <c r="BM3093" s="9">
        <f t="shared" si="437"/>
        <v>0</v>
      </c>
      <c r="BN3093" s="9">
        <f t="shared" si="438"/>
        <v>165.2</v>
      </c>
      <c r="BO3093" s="9">
        <f t="shared" si="439"/>
        <v>0</v>
      </c>
      <c r="BP3093" s="9">
        <f t="shared" si="440"/>
        <v>0</v>
      </c>
    </row>
    <row r="3094" spans="1:68">
      <c r="A3094" s="6">
        <v>45099</v>
      </c>
      <c r="B3094" s="7">
        <v>3122</v>
      </c>
      <c r="C3094" s="8">
        <f>86.66+1389.34</f>
        <v>1476</v>
      </c>
      <c r="D3094" s="8"/>
      <c r="E3094" s="8"/>
      <c r="F3094" s="8"/>
      <c r="G3094" s="8"/>
      <c r="H3094" s="8"/>
      <c r="I3094" s="8"/>
      <c r="J3094" s="8"/>
      <c r="K3094" s="8"/>
      <c r="L3094" s="8"/>
      <c r="M3094" s="8">
        <f>2.51+0.16</f>
        <v>2.67</v>
      </c>
      <c r="N3094" s="8">
        <f>2.51+0.16</f>
        <v>2.67</v>
      </c>
      <c r="O3094" s="8"/>
      <c r="P3094" s="8"/>
      <c r="Q3094" s="11"/>
      <c r="R3094" s="11"/>
      <c r="S3094" s="8">
        <f>5.7+0.36</f>
        <v>6.0600000000000005</v>
      </c>
      <c r="T3094" s="8"/>
      <c r="U3094" s="8">
        <f>13.91+0.87</f>
        <v>14.78</v>
      </c>
      <c r="V3094" s="8"/>
      <c r="W3094" s="8"/>
      <c r="X3094" s="8"/>
      <c r="Y3094" s="8"/>
      <c r="Z3094" s="8"/>
      <c r="AA3094" s="8"/>
      <c r="AB3094" s="8"/>
      <c r="AC3094" s="8">
        <f>5.56+0.35</f>
        <v>5.9099999999999993</v>
      </c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11"/>
      <c r="AQ3094" s="8"/>
      <c r="AR3094" s="8"/>
      <c r="AS3094" s="8"/>
      <c r="AT3094" s="8">
        <f>616.33+38.39</f>
        <v>654.72</v>
      </c>
      <c r="AU3094" s="8"/>
      <c r="AV3094" s="8">
        <f>47.3+2.95</f>
        <v>50.25</v>
      </c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>
        <f>45.2+2.82</f>
        <v>48.02</v>
      </c>
      <c r="BH3094" s="9">
        <f t="shared" si="432"/>
        <v>1476</v>
      </c>
      <c r="BI3094" s="9">
        <f t="shared" si="433"/>
        <v>5.34</v>
      </c>
      <c r="BJ3094" s="9">
        <f t="shared" si="434"/>
        <v>6.0600000000000005</v>
      </c>
      <c r="BK3094" s="9">
        <f t="shared" si="435"/>
        <v>14.78</v>
      </c>
      <c r="BL3094" s="9">
        <f t="shared" si="436"/>
        <v>0</v>
      </c>
      <c r="BM3094" s="9">
        <f t="shared" si="437"/>
        <v>5.9099999999999993</v>
      </c>
      <c r="BN3094" s="9">
        <f t="shared" si="438"/>
        <v>654.72</v>
      </c>
      <c r="BO3094" s="9">
        <f t="shared" si="439"/>
        <v>50.25</v>
      </c>
      <c r="BP3094" s="9">
        <f t="shared" si="440"/>
        <v>0</v>
      </c>
    </row>
    <row r="3095" spans="1:68">
      <c r="A3095" s="6">
        <v>45099</v>
      </c>
      <c r="B3095" s="7">
        <v>3117</v>
      </c>
      <c r="C3095" s="8">
        <v>789.93</v>
      </c>
      <c r="D3095" s="8"/>
      <c r="E3095" s="8"/>
      <c r="F3095" s="8"/>
      <c r="G3095" s="8"/>
      <c r="H3095" s="8"/>
      <c r="I3095" s="8"/>
      <c r="J3095" s="8"/>
      <c r="K3095" s="8"/>
      <c r="L3095" s="8"/>
      <c r="M3095" s="8">
        <v>2.2799999999999998</v>
      </c>
      <c r="N3095" s="8"/>
      <c r="O3095" s="8"/>
      <c r="P3095" s="8"/>
      <c r="Q3095" s="11"/>
      <c r="R3095" s="11"/>
      <c r="S3095" s="8">
        <v>3.16</v>
      </c>
      <c r="T3095" s="8"/>
      <c r="U3095" s="8">
        <v>7.91</v>
      </c>
      <c r="V3095" s="8"/>
      <c r="W3095" s="8"/>
      <c r="X3095" s="8"/>
      <c r="Y3095" s="8"/>
      <c r="Z3095" s="8"/>
      <c r="AA3095" s="8"/>
      <c r="AB3095" s="8"/>
      <c r="AC3095" s="8">
        <v>3.17</v>
      </c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11"/>
      <c r="AQ3095" s="8"/>
      <c r="AR3095" s="8"/>
      <c r="AS3095" s="8"/>
      <c r="AT3095" s="8">
        <v>497.63</v>
      </c>
      <c r="AU3095" s="8"/>
      <c r="AV3095" s="8">
        <v>19.760000000000002</v>
      </c>
      <c r="AW3095" s="8"/>
      <c r="AX3095" s="8"/>
      <c r="AY3095" s="8"/>
      <c r="AZ3095" s="8"/>
      <c r="BA3095" s="8"/>
      <c r="BB3095" s="8"/>
      <c r="BC3095" s="8"/>
      <c r="BD3095" s="8"/>
      <c r="BE3095" s="8"/>
      <c r="BF3095" s="8">
        <v>39.44</v>
      </c>
      <c r="BG3095" s="8">
        <v>37.979999999999997</v>
      </c>
      <c r="BH3095" s="9">
        <f t="shared" si="432"/>
        <v>789.93</v>
      </c>
      <c r="BI3095" s="9">
        <f t="shared" si="433"/>
        <v>2.2799999999999998</v>
      </c>
      <c r="BJ3095" s="9">
        <f t="shared" si="434"/>
        <v>3.16</v>
      </c>
      <c r="BK3095" s="9">
        <f t="shared" si="435"/>
        <v>7.91</v>
      </c>
      <c r="BL3095" s="9">
        <f t="shared" si="436"/>
        <v>0</v>
      </c>
      <c r="BM3095" s="9">
        <f t="shared" si="437"/>
        <v>3.17</v>
      </c>
      <c r="BN3095" s="9">
        <f t="shared" si="438"/>
        <v>497.63</v>
      </c>
      <c r="BO3095" s="9">
        <f t="shared" si="439"/>
        <v>19.760000000000002</v>
      </c>
      <c r="BP3095" s="9">
        <f t="shared" si="440"/>
        <v>39.44</v>
      </c>
    </row>
    <row r="3096" spans="1:68">
      <c r="A3096" s="6">
        <v>45099</v>
      </c>
      <c r="B3096" s="7">
        <v>3304</v>
      </c>
      <c r="C3096" s="8"/>
      <c r="D3096" s="8">
        <v>3218.01</v>
      </c>
      <c r="E3096" s="8"/>
      <c r="F3096" s="8"/>
      <c r="G3096" s="8"/>
      <c r="H3096" s="8"/>
      <c r="I3096" s="8"/>
      <c r="J3096" s="8"/>
      <c r="K3096" s="8"/>
      <c r="L3096" s="8"/>
      <c r="M3096" s="8">
        <v>6.44</v>
      </c>
      <c r="N3096" s="8"/>
      <c r="O3096" s="8"/>
      <c r="P3096" s="8"/>
      <c r="Q3096" s="11"/>
      <c r="R3096" s="11"/>
      <c r="S3096" s="8">
        <v>4.82</v>
      </c>
      <c r="T3096" s="8"/>
      <c r="U3096" s="8">
        <v>28.96</v>
      </c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>
        <v>32.22</v>
      </c>
      <c r="AH3096" s="8"/>
      <c r="AI3096" s="8"/>
      <c r="AJ3096" s="8"/>
      <c r="AK3096" s="8"/>
      <c r="AL3096" s="8"/>
      <c r="AM3096" s="8"/>
      <c r="AN3096" s="8"/>
      <c r="AO3096" s="8"/>
      <c r="AP3096" s="11"/>
      <c r="AQ3096" s="8"/>
      <c r="AR3096" s="8"/>
      <c r="AS3096" s="8"/>
      <c r="AT3096" s="8">
        <v>860.38</v>
      </c>
      <c r="AU3096" s="8">
        <v>430.53</v>
      </c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>
        <v>88.82</v>
      </c>
      <c r="BH3096" s="9">
        <f t="shared" si="432"/>
        <v>3218.01</v>
      </c>
      <c r="BI3096" s="9">
        <f t="shared" si="433"/>
        <v>6.44</v>
      </c>
      <c r="BJ3096" s="9">
        <f t="shared" si="434"/>
        <v>4.82</v>
      </c>
      <c r="BK3096" s="9">
        <f t="shared" si="435"/>
        <v>28.96</v>
      </c>
      <c r="BL3096" s="9">
        <f t="shared" si="436"/>
        <v>0</v>
      </c>
      <c r="BM3096" s="9">
        <f t="shared" si="437"/>
        <v>32.22</v>
      </c>
      <c r="BN3096" s="9">
        <f t="shared" si="438"/>
        <v>1290.9099999999999</v>
      </c>
      <c r="BO3096" s="9">
        <f t="shared" si="439"/>
        <v>0</v>
      </c>
      <c r="BP3096" s="9">
        <f t="shared" si="440"/>
        <v>0</v>
      </c>
    </row>
    <row r="3097" spans="1:68">
      <c r="A3097" s="6">
        <v>45099</v>
      </c>
      <c r="B3097" s="7">
        <v>8302</v>
      </c>
      <c r="C3097" s="8">
        <v>786.83</v>
      </c>
      <c r="D3097" s="8"/>
      <c r="E3097" s="8"/>
      <c r="F3097" s="8"/>
      <c r="G3097" s="8"/>
      <c r="H3097" s="8"/>
      <c r="I3097" s="8"/>
      <c r="J3097" s="8"/>
      <c r="K3097" s="8"/>
      <c r="L3097" s="8"/>
      <c r="M3097" s="8">
        <v>2.21</v>
      </c>
      <c r="N3097" s="8"/>
      <c r="O3097" s="8"/>
      <c r="P3097" s="8"/>
      <c r="Q3097" s="11"/>
      <c r="R3097" s="11"/>
      <c r="S3097" s="8">
        <v>2.68</v>
      </c>
      <c r="T3097" s="8"/>
      <c r="U3097" s="8">
        <v>10.02</v>
      </c>
      <c r="V3097" s="8"/>
      <c r="W3097" s="8"/>
      <c r="X3097" s="8"/>
      <c r="Y3097" s="8"/>
      <c r="Z3097" s="8"/>
      <c r="AA3097" s="8"/>
      <c r="AB3097" s="8"/>
      <c r="AC3097" s="8">
        <v>1.97</v>
      </c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11"/>
      <c r="AQ3097" s="8"/>
      <c r="AR3097" s="8"/>
      <c r="AS3097" s="8"/>
      <c r="AT3097" s="8">
        <v>353.91</v>
      </c>
      <c r="AU3097" s="8"/>
      <c r="AV3097" s="8">
        <v>7.89</v>
      </c>
      <c r="AW3097" s="8"/>
      <c r="AX3097" s="8"/>
      <c r="AY3097" s="8"/>
      <c r="AZ3097" s="8"/>
      <c r="BA3097" s="8"/>
      <c r="BB3097" s="8"/>
      <c r="BC3097" s="8"/>
      <c r="BD3097" s="8"/>
      <c r="BE3097" s="8"/>
      <c r="BF3097" s="8">
        <v>31.55</v>
      </c>
      <c r="BG3097" s="8">
        <v>25.19</v>
      </c>
      <c r="BH3097" s="9">
        <f t="shared" si="432"/>
        <v>786.83</v>
      </c>
      <c r="BI3097" s="9">
        <f t="shared" si="433"/>
        <v>2.21</v>
      </c>
      <c r="BJ3097" s="9">
        <f t="shared" si="434"/>
        <v>2.68</v>
      </c>
      <c r="BK3097" s="9">
        <f t="shared" si="435"/>
        <v>10.02</v>
      </c>
      <c r="BL3097" s="9">
        <f t="shared" si="436"/>
        <v>0</v>
      </c>
      <c r="BM3097" s="9">
        <f t="shared" si="437"/>
        <v>1.97</v>
      </c>
      <c r="BN3097" s="9">
        <f t="shared" si="438"/>
        <v>353.91</v>
      </c>
      <c r="BO3097" s="9">
        <f t="shared" si="439"/>
        <v>7.89</v>
      </c>
      <c r="BP3097" s="9">
        <f t="shared" si="440"/>
        <v>31.55</v>
      </c>
    </row>
    <row r="3098" spans="1:68">
      <c r="A3098" s="6">
        <v>45100</v>
      </c>
      <c r="B3098" s="7">
        <v>3016</v>
      </c>
      <c r="C3098" s="8"/>
      <c r="D3098" s="8">
        <v>1613.11</v>
      </c>
      <c r="E3098" s="8"/>
      <c r="F3098" s="8"/>
      <c r="G3098" s="8"/>
      <c r="H3098" s="8"/>
      <c r="I3098" s="8">
        <v>1489.09</v>
      </c>
      <c r="J3098" s="8"/>
      <c r="K3098" s="8"/>
      <c r="L3098" s="8"/>
      <c r="M3098" s="8"/>
      <c r="N3098" s="8">
        <v>19.22</v>
      </c>
      <c r="O3098" s="8"/>
      <c r="P3098" s="8"/>
      <c r="Q3098" s="11"/>
      <c r="R3098" s="11"/>
      <c r="S3098" s="8">
        <v>2.17</v>
      </c>
      <c r="T3098" s="8"/>
      <c r="U3098" s="8"/>
      <c r="V3098" s="8"/>
      <c r="W3098" s="8">
        <v>31.02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>
        <v>12.41</v>
      </c>
      <c r="AN3098" s="8">
        <f>2039*18.25/1000</f>
        <v>37.211750000000002</v>
      </c>
      <c r="AO3098" s="8"/>
      <c r="AP3098" s="11"/>
      <c r="AQ3098" s="8"/>
      <c r="AR3098" s="8">
        <f>4267*18.25/1000</f>
        <v>77.872749999999996</v>
      </c>
      <c r="AS3098" s="8"/>
      <c r="AT3098" s="8">
        <v>1152.4000000000001</v>
      </c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>
        <v>84.45</v>
      </c>
      <c r="BH3098" s="9">
        <f t="shared" si="432"/>
        <v>3102.2</v>
      </c>
      <c r="BI3098" s="9">
        <f t="shared" si="433"/>
        <v>19.22</v>
      </c>
      <c r="BJ3098" s="9">
        <f t="shared" si="434"/>
        <v>2.17</v>
      </c>
      <c r="BK3098" s="9">
        <f t="shared" si="435"/>
        <v>31.02</v>
      </c>
      <c r="BL3098" s="9">
        <f t="shared" si="436"/>
        <v>0</v>
      </c>
      <c r="BM3098" s="9">
        <f t="shared" si="437"/>
        <v>127.4945</v>
      </c>
      <c r="BN3098" s="9">
        <f t="shared" si="438"/>
        <v>1152.4000000000001</v>
      </c>
      <c r="BO3098" s="9">
        <f t="shared" si="439"/>
        <v>0</v>
      </c>
      <c r="BP3098" s="9">
        <f t="shared" si="440"/>
        <v>0</v>
      </c>
    </row>
    <row r="3099" spans="1:68">
      <c r="A3099" s="6">
        <v>45100</v>
      </c>
      <c r="B3099" s="7">
        <v>3083</v>
      </c>
      <c r="C3099" s="8"/>
      <c r="D3099" s="8">
        <v>1088.17</v>
      </c>
      <c r="E3099" s="8"/>
      <c r="F3099" s="8"/>
      <c r="G3099" s="8"/>
      <c r="H3099" s="8"/>
      <c r="I3099" s="8">
        <v>2546.46</v>
      </c>
      <c r="J3099" s="8"/>
      <c r="K3099" s="8"/>
      <c r="L3099" s="8"/>
      <c r="M3099" s="8"/>
      <c r="N3099" s="8">
        <v>23.66</v>
      </c>
      <c r="O3099" s="8"/>
      <c r="P3099" s="8"/>
      <c r="Q3099" s="11"/>
      <c r="R3099" s="11"/>
      <c r="S3099" s="8">
        <v>2.52</v>
      </c>
      <c r="T3099" s="8"/>
      <c r="U3099" s="8"/>
      <c r="V3099" s="8"/>
      <c r="W3099" s="8">
        <v>29.14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>
        <v>14.49</v>
      </c>
      <c r="AN3099" s="8">
        <f>1906*26.95/1000</f>
        <v>51.366699999999994</v>
      </c>
      <c r="AO3099" s="8"/>
      <c r="AP3099" s="11"/>
      <c r="AQ3099" s="8"/>
      <c r="AR3099" s="8">
        <f>3406*26.95/1000</f>
        <v>91.791699999999992</v>
      </c>
      <c r="AS3099" s="8"/>
      <c r="AT3099" s="8">
        <v>1711.4</v>
      </c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>
        <v>135.72</v>
      </c>
      <c r="BH3099" s="9">
        <f t="shared" si="432"/>
        <v>3634.63</v>
      </c>
      <c r="BI3099" s="9">
        <f t="shared" si="433"/>
        <v>23.66</v>
      </c>
      <c r="BJ3099" s="9">
        <f t="shared" si="434"/>
        <v>2.52</v>
      </c>
      <c r="BK3099" s="9">
        <f t="shared" si="435"/>
        <v>29.14</v>
      </c>
      <c r="BL3099" s="9">
        <f t="shared" si="436"/>
        <v>0</v>
      </c>
      <c r="BM3099" s="9">
        <f t="shared" si="437"/>
        <v>157.64839999999998</v>
      </c>
      <c r="BN3099" s="9">
        <f t="shared" si="438"/>
        <v>1711.4</v>
      </c>
      <c r="BO3099" s="9">
        <f t="shared" si="439"/>
        <v>0</v>
      </c>
      <c r="BP3099" s="9">
        <f t="shared" si="440"/>
        <v>0</v>
      </c>
    </row>
    <row r="3100" spans="1:68">
      <c r="A3100" s="6">
        <v>45100</v>
      </c>
      <c r="B3100" s="7">
        <v>3020</v>
      </c>
      <c r="C3100" s="8"/>
      <c r="D3100" s="8">
        <v>173.34</v>
      </c>
      <c r="E3100" s="8"/>
      <c r="F3100" s="8"/>
      <c r="G3100" s="8"/>
      <c r="H3100" s="8"/>
      <c r="I3100" s="8">
        <v>979.77</v>
      </c>
      <c r="J3100" s="8"/>
      <c r="K3100" s="8"/>
      <c r="L3100" s="8"/>
      <c r="M3100" s="8"/>
      <c r="N3100" s="8">
        <v>7.03</v>
      </c>
      <c r="O3100" s="8"/>
      <c r="P3100" s="8"/>
      <c r="Q3100" s="11"/>
      <c r="R3100" s="11"/>
      <c r="S3100" s="8">
        <v>2.0699999999999998</v>
      </c>
      <c r="T3100" s="8"/>
      <c r="U3100" s="8"/>
      <c r="V3100" s="8"/>
      <c r="W3100" s="8">
        <v>11.54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>
        <v>11.51</v>
      </c>
      <c r="AN3100" s="8"/>
      <c r="AO3100" s="8"/>
      <c r="AP3100" s="11"/>
      <c r="AQ3100" s="8"/>
      <c r="AR3100" s="8"/>
      <c r="AS3100" s="8">
        <f>3019*9.6/1000</f>
        <v>28.982399999999998</v>
      </c>
      <c r="AT3100" s="8">
        <v>566.85</v>
      </c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>
        <v>41.45</v>
      </c>
      <c r="BH3100" s="9">
        <f t="shared" si="432"/>
        <v>1153.1099999999999</v>
      </c>
      <c r="BI3100" s="9">
        <f t="shared" si="433"/>
        <v>7.03</v>
      </c>
      <c r="BJ3100" s="9">
        <f t="shared" si="434"/>
        <v>2.0699999999999998</v>
      </c>
      <c r="BK3100" s="9">
        <f t="shared" si="435"/>
        <v>11.54</v>
      </c>
      <c r="BL3100" s="9">
        <f t="shared" si="436"/>
        <v>0</v>
      </c>
      <c r="BM3100" s="9">
        <f t="shared" si="437"/>
        <v>40.492399999999996</v>
      </c>
      <c r="BN3100" s="9">
        <f t="shared" si="438"/>
        <v>566.85</v>
      </c>
      <c r="BO3100" s="9">
        <f t="shared" si="439"/>
        <v>0</v>
      </c>
      <c r="BP3100" s="9">
        <f t="shared" si="440"/>
        <v>0</v>
      </c>
    </row>
    <row r="3101" spans="1:68">
      <c r="A3101" s="6">
        <v>45100</v>
      </c>
      <c r="B3101" s="7">
        <v>3015</v>
      </c>
      <c r="C3101" s="8">
        <v>563.63</v>
      </c>
      <c r="D3101" s="8">
        <v>141.37</v>
      </c>
      <c r="E3101" s="8"/>
      <c r="F3101" s="8"/>
      <c r="G3101" s="8"/>
      <c r="H3101" s="8"/>
      <c r="I3101" s="8"/>
      <c r="J3101" s="8"/>
      <c r="K3101" s="8"/>
      <c r="L3101" s="8"/>
      <c r="M3101" s="8"/>
      <c r="N3101" s="8">
        <v>1.05</v>
      </c>
      <c r="O3101" s="8"/>
      <c r="P3101" s="8"/>
      <c r="Q3101" s="11"/>
      <c r="R3101" s="11"/>
      <c r="S3101" s="8">
        <v>2.3199999999999998</v>
      </c>
      <c r="T3101" s="8"/>
      <c r="U3101" s="8"/>
      <c r="V3101" s="8"/>
      <c r="W3101" s="8">
        <v>7.06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11"/>
      <c r="AQ3101" s="8"/>
      <c r="AR3101" s="8"/>
      <c r="AS3101" s="8"/>
      <c r="AT3101" s="8">
        <v>350.76</v>
      </c>
      <c r="AU3101" s="8"/>
      <c r="AV3101" s="8"/>
      <c r="AW3101" s="8">
        <v>7.84</v>
      </c>
      <c r="AX3101" s="8"/>
      <c r="AY3101" s="8"/>
      <c r="AZ3101" s="8"/>
      <c r="BA3101" s="8"/>
      <c r="BB3101" s="8"/>
      <c r="BC3101" s="8"/>
      <c r="BD3101" s="8"/>
      <c r="BE3101" s="8"/>
      <c r="BF3101" s="8"/>
      <c r="BG3101" s="8">
        <v>25.67</v>
      </c>
      <c r="BH3101" s="9">
        <f t="shared" si="432"/>
        <v>705</v>
      </c>
      <c r="BI3101" s="9">
        <f t="shared" si="433"/>
        <v>1.05</v>
      </c>
      <c r="BJ3101" s="9">
        <f t="shared" si="434"/>
        <v>2.3199999999999998</v>
      </c>
      <c r="BK3101" s="9">
        <f t="shared" si="435"/>
        <v>7.06</v>
      </c>
      <c r="BL3101" s="9">
        <f t="shared" si="436"/>
        <v>0</v>
      </c>
      <c r="BM3101" s="9">
        <f t="shared" si="437"/>
        <v>0</v>
      </c>
      <c r="BN3101" s="9">
        <f t="shared" si="438"/>
        <v>350.76</v>
      </c>
      <c r="BO3101" s="9">
        <f t="shared" si="439"/>
        <v>7.84</v>
      </c>
      <c r="BP3101" s="9">
        <f t="shared" si="440"/>
        <v>0</v>
      </c>
    </row>
    <row r="3102" spans="1:68">
      <c r="A3102" s="6">
        <v>45100</v>
      </c>
      <c r="B3102" s="7">
        <v>3010</v>
      </c>
      <c r="C3102" s="8">
        <v>657.92</v>
      </c>
      <c r="D3102" s="8">
        <v>439.18</v>
      </c>
      <c r="E3102" s="8"/>
      <c r="F3102" s="8"/>
      <c r="G3102" s="8"/>
      <c r="H3102" s="8"/>
      <c r="I3102" s="8"/>
      <c r="J3102" s="8"/>
      <c r="K3102" s="8"/>
      <c r="L3102" s="8"/>
      <c r="M3102" s="8"/>
      <c r="N3102" s="8">
        <v>2.19</v>
      </c>
      <c r="O3102" s="8"/>
      <c r="P3102" s="8"/>
      <c r="Q3102" s="11"/>
      <c r="R3102" s="11"/>
      <c r="S3102" s="8">
        <v>2.96</v>
      </c>
      <c r="T3102" s="8"/>
      <c r="U3102" s="8"/>
      <c r="V3102" s="8"/>
      <c r="W3102" s="8">
        <v>10.98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11"/>
      <c r="AQ3102" s="8"/>
      <c r="AR3102" s="8"/>
      <c r="AS3102" s="8"/>
      <c r="AT3102" s="8">
        <v>365.6</v>
      </c>
      <c r="AU3102" s="8"/>
      <c r="AV3102" s="8"/>
      <c r="AW3102" s="8">
        <v>12.18</v>
      </c>
      <c r="AX3102" s="8"/>
      <c r="AY3102" s="8"/>
      <c r="AZ3102" s="8"/>
      <c r="BA3102" s="8"/>
      <c r="BB3102" s="8"/>
      <c r="BC3102" s="8"/>
      <c r="BD3102" s="8"/>
      <c r="BE3102" s="8"/>
      <c r="BF3102" s="8"/>
      <c r="BG3102" s="8">
        <v>24.2</v>
      </c>
      <c r="BH3102" s="9">
        <f t="shared" si="432"/>
        <v>1097.0999999999999</v>
      </c>
      <c r="BI3102" s="9">
        <f t="shared" si="433"/>
        <v>2.19</v>
      </c>
      <c r="BJ3102" s="9">
        <f t="shared" si="434"/>
        <v>2.96</v>
      </c>
      <c r="BK3102" s="9">
        <f t="shared" si="435"/>
        <v>10.98</v>
      </c>
      <c r="BL3102" s="9">
        <f t="shared" si="436"/>
        <v>0</v>
      </c>
      <c r="BM3102" s="9">
        <f t="shared" si="437"/>
        <v>0</v>
      </c>
      <c r="BN3102" s="9">
        <f t="shared" si="438"/>
        <v>365.6</v>
      </c>
      <c r="BO3102" s="9">
        <f t="shared" si="439"/>
        <v>12.18</v>
      </c>
      <c r="BP3102" s="9">
        <f t="shared" si="440"/>
        <v>0</v>
      </c>
    </row>
    <row r="3103" spans="1:68">
      <c r="A3103" s="6">
        <v>45100</v>
      </c>
      <c r="B3103" s="7">
        <v>3200</v>
      </c>
      <c r="C3103" s="8">
        <v>2301.65</v>
      </c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>
        <v>5.76</v>
      </c>
      <c r="P3103" s="8"/>
      <c r="Q3103" s="11"/>
      <c r="R3103" s="11"/>
      <c r="S3103" s="8">
        <v>8.9700000000000006</v>
      </c>
      <c r="T3103" s="8"/>
      <c r="U3103" s="8">
        <v>34.520000000000003</v>
      </c>
      <c r="V3103" s="8"/>
      <c r="W3103" s="8"/>
      <c r="X3103" s="8"/>
      <c r="Y3103" s="8"/>
      <c r="Z3103" s="8">
        <v>483.69</v>
      </c>
      <c r="AA3103" s="8"/>
      <c r="AB3103" s="8"/>
      <c r="AC3103" s="8"/>
      <c r="AD3103" s="8"/>
      <c r="AE3103" s="8"/>
      <c r="AF3103" s="8">
        <v>114.66</v>
      </c>
      <c r="AG3103" s="8"/>
      <c r="AH3103" s="8"/>
      <c r="AI3103" s="8"/>
      <c r="AJ3103" s="8"/>
      <c r="AK3103" s="8"/>
      <c r="AL3103" s="8"/>
      <c r="AM3103" s="8"/>
      <c r="AN3103" s="8"/>
      <c r="AO3103" s="8"/>
      <c r="AP3103" s="11"/>
      <c r="AQ3103" s="8">
        <f>1519*23/1000</f>
        <v>34.936999999999998</v>
      </c>
      <c r="AR3103" s="8"/>
      <c r="AS3103" s="8"/>
      <c r="AT3103" s="8">
        <v>1576.19</v>
      </c>
      <c r="AU3103" s="8"/>
      <c r="AV3103" s="8"/>
      <c r="AW3103" s="8">
        <v>6.7</v>
      </c>
      <c r="AX3103" s="8"/>
      <c r="AY3103" s="8"/>
      <c r="AZ3103" s="8"/>
      <c r="BA3103" s="8"/>
      <c r="BB3103" s="8"/>
      <c r="BC3103" s="8"/>
      <c r="BD3103" s="8"/>
      <c r="BE3103" s="8"/>
      <c r="BF3103" s="8">
        <v>110.52</v>
      </c>
      <c r="BG3103" s="8">
        <v>114.12</v>
      </c>
      <c r="BH3103" s="9">
        <f t="shared" si="432"/>
        <v>2301.65</v>
      </c>
      <c r="BI3103" s="9">
        <f t="shared" si="433"/>
        <v>5.76</v>
      </c>
      <c r="BJ3103" s="9">
        <f t="shared" si="434"/>
        <v>8.9700000000000006</v>
      </c>
      <c r="BK3103" s="9">
        <f t="shared" si="435"/>
        <v>34.520000000000003</v>
      </c>
      <c r="BL3103" s="9">
        <f t="shared" si="436"/>
        <v>483.69</v>
      </c>
      <c r="BM3103" s="9">
        <f t="shared" si="437"/>
        <v>149.59699999999998</v>
      </c>
      <c r="BN3103" s="9">
        <f t="shared" si="438"/>
        <v>1576.19</v>
      </c>
      <c r="BO3103" s="9">
        <f t="shared" si="439"/>
        <v>6.7</v>
      </c>
      <c r="BP3103" s="9">
        <f t="shared" si="440"/>
        <v>110.52</v>
      </c>
    </row>
    <row r="3104" spans="1:68">
      <c r="A3104" s="6">
        <v>45100</v>
      </c>
      <c r="B3104" s="7">
        <v>3141</v>
      </c>
      <c r="C3104" s="8">
        <v>4719.6400000000003</v>
      </c>
      <c r="D3104" s="8">
        <v>832.89</v>
      </c>
      <c r="E3104" s="8"/>
      <c r="F3104" s="8"/>
      <c r="G3104" s="8"/>
      <c r="H3104" s="8"/>
      <c r="I3104" s="8"/>
      <c r="J3104" s="8"/>
      <c r="K3104" s="8"/>
      <c r="L3104" s="8"/>
      <c r="M3104" s="8">
        <v>15.68</v>
      </c>
      <c r="N3104" s="8"/>
      <c r="O3104" s="8"/>
      <c r="P3104" s="8"/>
      <c r="Q3104" s="11"/>
      <c r="R3104" s="11"/>
      <c r="S3104" s="8">
        <v>26.12</v>
      </c>
      <c r="T3104" s="8"/>
      <c r="U3104" s="8">
        <v>83.33</v>
      </c>
      <c r="V3104" s="8"/>
      <c r="W3104" s="8"/>
      <c r="X3104" s="8"/>
      <c r="Y3104" s="8"/>
      <c r="Z3104" s="8"/>
      <c r="AA3104" s="8"/>
      <c r="AB3104" s="8"/>
      <c r="AC3104" s="8">
        <v>22.23</v>
      </c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11"/>
      <c r="AQ3104" s="8"/>
      <c r="AR3104" s="8"/>
      <c r="AS3104" s="8"/>
      <c r="AT3104" s="8">
        <v>3670.88</v>
      </c>
      <c r="AU3104" s="8"/>
      <c r="AV3104" s="8"/>
      <c r="AW3104" s="8"/>
      <c r="AX3104" s="8"/>
      <c r="AY3104" s="8"/>
      <c r="AZ3104" s="8"/>
      <c r="BA3104" s="8">
        <v>127.25</v>
      </c>
      <c r="BB3104" s="8"/>
      <c r="BC3104" s="8"/>
      <c r="BD3104" s="8"/>
      <c r="BE3104" s="8"/>
      <c r="BF3104" s="8">
        <v>388.81</v>
      </c>
      <c r="BG3104" s="8">
        <v>289.39999999999998</v>
      </c>
      <c r="BH3104" s="9">
        <f t="shared" si="432"/>
        <v>5552.5300000000007</v>
      </c>
      <c r="BI3104" s="9">
        <f t="shared" si="433"/>
        <v>15.68</v>
      </c>
      <c r="BJ3104" s="9">
        <f t="shared" si="434"/>
        <v>26.12</v>
      </c>
      <c r="BK3104" s="9">
        <f t="shared" si="435"/>
        <v>83.33</v>
      </c>
      <c r="BL3104" s="9">
        <f t="shared" si="436"/>
        <v>0</v>
      </c>
      <c r="BM3104" s="9">
        <f t="shared" si="437"/>
        <v>22.23</v>
      </c>
      <c r="BN3104" s="9">
        <f t="shared" si="438"/>
        <v>3670.88</v>
      </c>
      <c r="BO3104" s="9">
        <f t="shared" si="439"/>
        <v>127.25</v>
      </c>
      <c r="BP3104" s="9">
        <f t="shared" si="440"/>
        <v>388.81</v>
      </c>
    </row>
    <row r="3105" spans="1:68">
      <c r="A3105" s="6">
        <v>45100</v>
      </c>
      <c r="B3105" s="7">
        <v>3145</v>
      </c>
      <c r="C3105" s="8">
        <v>1210.74</v>
      </c>
      <c r="D3105" s="8">
        <v>211.79</v>
      </c>
      <c r="E3105" s="8"/>
      <c r="F3105" s="8"/>
      <c r="G3105" s="8"/>
      <c r="H3105" s="8"/>
      <c r="I3105" s="8"/>
      <c r="J3105" s="8"/>
      <c r="K3105" s="8"/>
      <c r="L3105" s="8"/>
      <c r="M3105" s="8">
        <v>4.17</v>
      </c>
      <c r="N3105" s="8"/>
      <c r="O3105" s="8"/>
      <c r="P3105" s="8"/>
      <c r="Q3105" s="11"/>
      <c r="R3105" s="11"/>
      <c r="S3105" s="8">
        <v>6.75</v>
      </c>
      <c r="T3105" s="8"/>
      <c r="U3105" s="8">
        <v>21.56</v>
      </c>
      <c r="V3105" s="8"/>
      <c r="W3105" s="8"/>
      <c r="X3105" s="8"/>
      <c r="Y3105" s="8"/>
      <c r="Z3105" s="8"/>
      <c r="AA3105" s="8"/>
      <c r="AB3105" s="8"/>
      <c r="AC3105" s="8">
        <v>5.75</v>
      </c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11"/>
      <c r="AQ3105" s="8"/>
      <c r="AR3105" s="8"/>
      <c r="AS3105" s="8"/>
      <c r="AT3105" s="8">
        <v>946.95</v>
      </c>
      <c r="AU3105" s="8"/>
      <c r="AV3105" s="8"/>
      <c r="AW3105" s="8"/>
      <c r="AX3105" s="8"/>
      <c r="AY3105" s="8"/>
      <c r="AZ3105" s="8"/>
      <c r="BA3105" s="8"/>
      <c r="BB3105" s="8"/>
      <c r="BC3105" s="8"/>
      <c r="BD3105" s="8">
        <v>3.59</v>
      </c>
      <c r="BE3105" s="8">
        <f>1386*9.57/1000</f>
        <v>13.26402</v>
      </c>
      <c r="BF3105" s="8">
        <v>100.61</v>
      </c>
      <c r="BG3105" s="8">
        <v>74.78</v>
      </c>
      <c r="BH3105" s="9">
        <f t="shared" si="432"/>
        <v>1422.53</v>
      </c>
      <c r="BI3105" s="9">
        <f t="shared" si="433"/>
        <v>4.17</v>
      </c>
      <c r="BJ3105" s="9">
        <f t="shared" si="434"/>
        <v>6.75</v>
      </c>
      <c r="BK3105" s="9">
        <f t="shared" si="435"/>
        <v>21.56</v>
      </c>
      <c r="BL3105" s="9">
        <f t="shared" si="436"/>
        <v>0</v>
      </c>
      <c r="BM3105" s="9">
        <f t="shared" si="437"/>
        <v>5.75</v>
      </c>
      <c r="BN3105" s="9">
        <f t="shared" si="438"/>
        <v>946.95</v>
      </c>
      <c r="BO3105" s="9">
        <f t="shared" si="439"/>
        <v>16.854019999999998</v>
      </c>
      <c r="BP3105" s="9">
        <f t="shared" si="440"/>
        <v>100.61</v>
      </c>
    </row>
    <row r="3106" spans="1:68">
      <c r="A3106" s="6">
        <v>45100</v>
      </c>
      <c r="B3106" s="7">
        <v>3021</v>
      </c>
      <c r="C3106" s="8"/>
      <c r="D3106" s="8">
        <v>185.65</v>
      </c>
      <c r="E3106" s="8"/>
      <c r="F3106" s="8"/>
      <c r="G3106" s="8"/>
      <c r="H3106" s="8"/>
      <c r="I3106" s="8">
        <v>347.17</v>
      </c>
      <c r="J3106" s="8"/>
      <c r="K3106" s="8"/>
      <c r="L3106" s="8"/>
      <c r="M3106" s="8"/>
      <c r="N3106" s="8">
        <v>2.83</v>
      </c>
      <c r="O3106" s="8"/>
      <c r="P3106" s="8"/>
      <c r="Q3106" s="11"/>
      <c r="R3106" s="11"/>
      <c r="S3106" s="8">
        <v>0.96</v>
      </c>
      <c r="T3106" s="8"/>
      <c r="U3106" s="8"/>
      <c r="V3106" s="8"/>
      <c r="W3106" s="8">
        <v>5.33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>
        <v>5.35</v>
      </c>
      <c r="AN3106" s="8"/>
      <c r="AO3106" s="8"/>
      <c r="AP3106" s="11"/>
      <c r="AQ3106" s="8"/>
      <c r="AR3106" s="8"/>
      <c r="AS3106" s="8">
        <f>2631*5.08/1000</f>
        <v>13.36548</v>
      </c>
      <c r="AT3106" s="8">
        <v>251.41</v>
      </c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>
        <v>19</v>
      </c>
      <c r="BH3106" s="9">
        <f t="shared" si="432"/>
        <v>532.82000000000005</v>
      </c>
      <c r="BI3106" s="9">
        <f t="shared" si="433"/>
        <v>2.83</v>
      </c>
      <c r="BJ3106" s="9">
        <f t="shared" si="434"/>
        <v>0.96</v>
      </c>
      <c r="BK3106" s="9">
        <f t="shared" si="435"/>
        <v>5.33</v>
      </c>
      <c r="BL3106" s="9">
        <f t="shared" si="436"/>
        <v>0</v>
      </c>
      <c r="BM3106" s="9">
        <f t="shared" si="437"/>
        <v>18.715479999999999</v>
      </c>
      <c r="BN3106" s="9">
        <f t="shared" si="438"/>
        <v>251.41</v>
      </c>
      <c r="BO3106" s="9">
        <f t="shared" si="439"/>
        <v>0</v>
      </c>
      <c r="BP3106" s="9">
        <f t="shared" si="440"/>
        <v>0</v>
      </c>
    </row>
    <row r="3107" spans="1:68">
      <c r="A3107" s="6">
        <v>45103</v>
      </c>
      <c r="B3107" s="7">
        <v>3203</v>
      </c>
      <c r="C3107" s="8">
        <v>923.41</v>
      </c>
      <c r="D3107" s="8"/>
      <c r="E3107" s="8">
        <v>397.46</v>
      </c>
      <c r="F3107" s="8"/>
      <c r="G3107" s="8"/>
      <c r="H3107" s="8"/>
      <c r="I3107" s="8"/>
      <c r="J3107" s="8"/>
      <c r="K3107" s="8"/>
      <c r="L3107" s="8"/>
      <c r="M3107" s="8"/>
      <c r="N3107" s="8"/>
      <c r="O3107" s="8">
        <v>3.99</v>
      </c>
      <c r="P3107" s="8"/>
      <c r="Q3107" s="11"/>
      <c r="R3107" s="11"/>
      <c r="S3107" s="8">
        <v>5.17</v>
      </c>
      <c r="T3107" s="8"/>
      <c r="U3107" s="8">
        <v>16.48</v>
      </c>
      <c r="V3107" s="8"/>
      <c r="W3107" s="8"/>
      <c r="X3107" s="8"/>
      <c r="Y3107" s="8"/>
      <c r="Z3107" s="8">
        <v>208.94</v>
      </c>
      <c r="AA3107" s="8">
        <f>10356*15.6/1000</f>
        <v>161.55360000000002</v>
      </c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11"/>
      <c r="AQ3107" s="8"/>
      <c r="AR3107" s="8"/>
      <c r="AS3107" s="8"/>
      <c r="AT3107" s="8">
        <v>495.15</v>
      </c>
      <c r="AU3107" s="8">
        <v>248.06</v>
      </c>
      <c r="AV3107" s="8"/>
      <c r="AW3107" s="8"/>
      <c r="AX3107" s="8"/>
      <c r="AY3107" s="8"/>
      <c r="AZ3107" s="8"/>
      <c r="BA3107" s="8"/>
      <c r="BB3107" s="8"/>
      <c r="BC3107" s="8">
        <v>3.45</v>
      </c>
      <c r="BD3107" s="8"/>
      <c r="BE3107" s="8"/>
      <c r="BF3107" s="8"/>
      <c r="BG3107" s="8">
        <v>47.94</v>
      </c>
      <c r="BH3107" s="9">
        <f t="shared" si="432"/>
        <v>1320.87</v>
      </c>
      <c r="BI3107" s="9">
        <f t="shared" si="433"/>
        <v>3.99</v>
      </c>
      <c r="BJ3107" s="9">
        <f t="shared" si="434"/>
        <v>5.17</v>
      </c>
      <c r="BK3107" s="9">
        <f t="shared" si="435"/>
        <v>16.48</v>
      </c>
      <c r="BL3107" s="9">
        <f t="shared" si="436"/>
        <v>370.49360000000001</v>
      </c>
      <c r="BM3107" s="9">
        <f t="shared" si="437"/>
        <v>0</v>
      </c>
      <c r="BN3107" s="9">
        <f t="shared" si="438"/>
        <v>743.21</v>
      </c>
      <c r="BO3107" s="9">
        <f t="shared" si="439"/>
        <v>3.45</v>
      </c>
      <c r="BP3107" s="9">
        <f t="shared" si="440"/>
        <v>0</v>
      </c>
    </row>
    <row r="3108" spans="1:68">
      <c r="A3108" s="6">
        <v>45103</v>
      </c>
      <c r="B3108" s="7">
        <v>3079</v>
      </c>
      <c r="C3108" s="8"/>
      <c r="D3108" s="8"/>
      <c r="E3108" s="8"/>
      <c r="F3108" s="8">
        <v>346.16</v>
      </c>
      <c r="G3108" s="8"/>
      <c r="H3108" s="8"/>
      <c r="I3108" s="8">
        <v>2800.99</v>
      </c>
      <c r="J3108" s="8"/>
      <c r="K3108" s="8"/>
      <c r="L3108" s="8"/>
      <c r="M3108" s="8"/>
      <c r="N3108" s="8">
        <v>23</v>
      </c>
      <c r="O3108" s="8"/>
      <c r="P3108" s="8"/>
      <c r="Q3108" s="11"/>
      <c r="R3108" s="11"/>
      <c r="S3108" s="8">
        <v>1.24</v>
      </c>
      <c r="T3108" s="8"/>
      <c r="U3108" s="8"/>
      <c r="V3108" s="8"/>
      <c r="W3108" s="8">
        <v>31.48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>
        <v>12.59</v>
      </c>
      <c r="AN3108" s="8">
        <f>1729*18.52/1000</f>
        <v>32.021079999999998</v>
      </c>
      <c r="AO3108" s="8"/>
      <c r="AP3108" s="11"/>
      <c r="AQ3108" s="8"/>
      <c r="AR3108" s="8">
        <f>4259*18.52/1000</f>
        <v>78.876679999999993</v>
      </c>
      <c r="AS3108" s="8"/>
      <c r="AT3108" s="8">
        <v>1218.01</v>
      </c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>
        <v>88.52</v>
      </c>
      <c r="BH3108" s="9">
        <f t="shared" si="432"/>
        <v>3147.1499999999996</v>
      </c>
      <c r="BI3108" s="9">
        <f t="shared" si="433"/>
        <v>23</v>
      </c>
      <c r="BJ3108" s="9">
        <f t="shared" si="434"/>
        <v>1.24</v>
      </c>
      <c r="BK3108" s="9">
        <f t="shared" si="435"/>
        <v>31.48</v>
      </c>
      <c r="BL3108" s="9">
        <f t="shared" si="436"/>
        <v>0</v>
      </c>
      <c r="BM3108" s="9">
        <f t="shared" si="437"/>
        <v>123.48775999999999</v>
      </c>
      <c r="BN3108" s="9">
        <f t="shared" si="438"/>
        <v>1218.01</v>
      </c>
      <c r="BO3108" s="9">
        <f t="shared" si="439"/>
        <v>0</v>
      </c>
      <c r="BP3108" s="9">
        <f t="shared" si="440"/>
        <v>0</v>
      </c>
    </row>
    <row r="3109" spans="1:68">
      <c r="A3109" s="6">
        <v>45103</v>
      </c>
      <c r="B3109" s="7">
        <v>3029</v>
      </c>
      <c r="C3109" s="8"/>
      <c r="D3109" s="8">
        <v>474.05</v>
      </c>
      <c r="E3109" s="8"/>
      <c r="F3109" s="8">
        <v>334.61</v>
      </c>
      <c r="G3109" s="8"/>
      <c r="H3109" s="8"/>
      <c r="I3109" s="8">
        <v>1982.03</v>
      </c>
      <c r="J3109" s="8"/>
      <c r="K3109" s="8"/>
      <c r="L3109" s="8"/>
      <c r="M3109" s="8"/>
      <c r="N3109" s="8">
        <v>22.05</v>
      </c>
      <c r="O3109" s="8"/>
      <c r="P3109" s="8"/>
      <c r="Q3109" s="11"/>
      <c r="R3109" s="11"/>
      <c r="S3109" s="8">
        <v>1.67</v>
      </c>
      <c r="T3109" s="8"/>
      <c r="U3109" s="8"/>
      <c r="V3109" s="8"/>
      <c r="W3109" s="8">
        <v>27.91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>
        <v>9.77</v>
      </c>
      <c r="AN3109" s="8">
        <f>766*18.62/1000</f>
        <v>14.262919999999999</v>
      </c>
      <c r="AO3109" s="8"/>
      <c r="AP3109" s="11"/>
      <c r="AQ3109" s="8"/>
      <c r="AR3109" s="8">
        <f>4492*18.62/1000</f>
        <v>83.641040000000004</v>
      </c>
      <c r="AS3109" s="8"/>
      <c r="AT3109" s="8">
        <v>1059.83</v>
      </c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>
        <v>73.78</v>
      </c>
      <c r="BH3109" s="9">
        <f t="shared" si="432"/>
        <v>2790.69</v>
      </c>
      <c r="BI3109" s="9">
        <f t="shared" si="433"/>
        <v>22.05</v>
      </c>
      <c r="BJ3109" s="9">
        <f t="shared" si="434"/>
        <v>1.67</v>
      </c>
      <c r="BK3109" s="9">
        <f t="shared" si="435"/>
        <v>27.91</v>
      </c>
      <c r="BL3109" s="9">
        <f t="shared" si="436"/>
        <v>0</v>
      </c>
      <c r="BM3109" s="9">
        <f t="shared" si="437"/>
        <v>107.67395999999999</v>
      </c>
      <c r="BN3109" s="9">
        <f t="shared" si="438"/>
        <v>1059.83</v>
      </c>
      <c r="BO3109" s="9">
        <f t="shared" si="439"/>
        <v>0</v>
      </c>
      <c r="BP3109" s="9">
        <f t="shared" si="440"/>
        <v>0</v>
      </c>
    </row>
    <row r="3110" spans="1:68">
      <c r="A3110" s="6">
        <v>45103</v>
      </c>
      <c r="B3110" s="7">
        <v>3601</v>
      </c>
      <c r="C3110" s="8">
        <v>290.55</v>
      </c>
      <c r="D3110" s="8"/>
      <c r="E3110" s="8"/>
      <c r="F3110" s="8"/>
      <c r="G3110" s="8">
        <v>436.67</v>
      </c>
      <c r="H3110" s="8"/>
      <c r="I3110" s="8"/>
      <c r="J3110" s="8"/>
      <c r="K3110" s="8"/>
      <c r="L3110" s="8"/>
      <c r="M3110" s="8">
        <v>0.9</v>
      </c>
      <c r="N3110" s="8"/>
      <c r="O3110" s="8"/>
      <c r="P3110" s="8"/>
      <c r="Q3110" s="11"/>
      <c r="R3110" s="11"/>
      <c r="S3110" s="8">
        <v>3.49</v>
      </c>
      <c r="T3110" s="8"/>
      <c r="U3110" s="8">
        <v>4.37</v>
      </c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11"/>
      <c r="AQ3110" s="8"/>
      <c r="AR3110" s="8"/>
      <c r="AS3110" s="8"/>
      <c r="AT3110" s="8">
        <v>356.34</v>
      </c>
      <c r="AU3110" s="8"/>
      <c r="AV3110" s="8"/>
      <c r="AW3110" s="8">
        <v>22.15</v>
      </c>
      <c r="AX3110" s="8"/>
      <c r="AY3110" s="8"/>
      <c r="AZ3110" s="8"/>
      <c r="BA3110" s="8"/>
      <c r="BB3110" s="8"/>
      <c r="BC3110" s="8"/>
      <c r="BD3110" s="8"/>
      <c r="BE3110" s="8"/>
      <c r="BF3110" s="8">
        <v>40.81</v>
      </c>
      <c r="BG3110" s="8">
        <v>26</v>
      </c>
      <c r="BH3110" s="9">
        <f t="shared" si="432"/>
        <v>727.22</v>
      </c>
      <c r="BI3110" s="9">
        <f t="shared" si="433"/>
        <v>0.9</v>
      </c>
      <c r="BJ3110" s="9">
        <f t="shared" si="434"/>
        <v>3.49</v>
      </c>
      <c r="BK3110" s="9">
        <f t="shared" si="435"/>
        <v>4.37</v>
      </c>
      <c r="BL3110" s="9">
        <f t="shared" si="436"/>
        <v>0</v>
      </c>
      <c r="BM3110" s="9">
        <f t="shared" si="437"/>
        <v>0</v>
      </c>
      <c r="BN3110" s="9">
        <f t="shared" si="438"/>
        <v>356.34</v>
      </c>
      <c r="BO3110" s="9">
        <f t="shared" si="439"/>
        <v>22.15</v>
      </c>
      <c r="BP3110" s="9">
        <f t="shared" si="440"/>
        <v>40.81</v>
      </c>
    </row>
    <row r="3111" spans="1:68">
      <c r="A3111" s="6">
        <v>45103</v>
      </c>
      <c r="B3111" s="7">
        <v>3602</v>
      </c>
      <c r="C3111" s="8">
        <v>560.04999999999995</v>
      </c>
      <c r="D3111" s="8"/>
      <c r="E3111" s="8"/>
      <c r="F3111" s="8"/>
      <c r="G3111" s="8">
        <v>841</v>
      </c>
      <c r="H3111" s="8"/>
      <c r="I3111" s="8"/>
      <c r="J3111" s="8"/>
      <c r="K3111" s="8"/>
      <c r="L3111" s="8"/>
      <c r="M3111" s="8">
        <v>1.65</v>
      </c>
      <c r="N3111" s="8"/>
      <c r="O3111" s="8"/>
      <c r="P3111" s="8"/>
      <c r="Q3111" s="11"/>
      <c r="R3111" s="11"/>
      <c r="S3111" s="8">
        <v>6.73</v>
      </c>
      <c r="T3111" s="8"/>
      <c r="U3111" s="8">
        <v>11.24</v>
      </c>
      <c r="V3111" s="8">
        <f>862*16.05/1000</f>
        <v>13.835100000000001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11"/>
      <c r="AQ3111" s="8"/>
      <c r="AR3111" s="8"/>
      <c r="AS3111" s="8"/>
      <c r="AT3111" s="8">
        <v>565.29999999999995</v>
      </c>
      <c r="AU3111" s="8"/>
      <c r="AV3111" s="8"/>
      <c r="AW3111" s="8">
        <v>36.29</v>
      </c>
      <c r="AX3111" s="8"/>
      <c r="AY3111" s="8"/>
      <c r="AZ3111" s="8"/>
      <c r="BA3111" s="8"/>
      <c r="BB3111" s="8"/>
      <c r="BC3111" s="8"/>
      <c r="BD3111" s="8"/>
      <c r="BE3111" s="8"/>
      <c r="BF3111" s="8">
        <v>44.91</v>
      </c>
      <c r="BG3111" s="8">
        <v>42.28</v>
      </c>
      <c r="BH3111" s="9">
        <f t="shared" si="432"/>
        <v>1401.05</v>
      </c>
      <c r="BI3111" s="9">
        <f t="shared" si="433"/>
        <v>1.65</v>
      </c>
      <c r="BJ3111" s="9">
        <f t="shared" si="434"/>
        <v>6.73</v>
      </c>
      <c r="BK3111" s="9">
        <f t="shared" si="435"/>
        <v>25.075099999999999</v>
      </c>
      <c r="BL3111" s="9">
        <f t="shared" si="436"/>
        <v>0</v>
      </c>
      <c r="BM3111" s="9">
        <f t="shared" si="437"/>
        <v>0</v>
      </c>
      <c r="BN3111" s="9">
        <f t="shared" si="438"/>
        <v>565.29999999999995</v>
      </c>
      <c r="BO3111" s="9">
        <f t="shared" si="439"/>
        <v>36.29</v>
      </c>
      <c r="BP3111" s="9">
        <f t="shared" si="440"/>
        <v>44.91</v>
      </c>
    </row>
    <row r="3112" spans="1:68">
      <c r="A3112" s="6">
        <v>45104</v>
      </c>
      <c r="B3112" s="7">
        <v>3139</v>
      </c>
      <c r="C3112" s="8">
        <v>1877.26</v>
      </c>
      <c r="D3112" s="8"/>
      <c r="E3112" s="8"/>
      <c r="F3112" s="8"/>
      <c r="G3112" s="8"/>
      <c r="H3112" s="8">
        <v>779.31</v>
      </c>
      <c r="I3112" s="8"/>
      <c r="J3112" s="8"/>
      <c r="K3112" s="8"/>
      <c r="L3112" s="8"/>
      <c r="M3112" s="8">
        <v>4.3899999999999997</v>
      </c>
      <c r="N3112" s="8"/>
      <c r="O3112" s="8"/>
      <c r="P3112" s="8"/>
      <c r="Q3112" s="11"/>
      <c r="R3112" s="11"/>
      <c r="S3112" s="8">
        <v>8.31</v>
      </c>
      <c r="T3112" s="8"/>
      <c r="U3112" s="8">
        <v>27.73</v>
      </c>
      <c r="V3112" s="8"/>
      <c r="W3112" s="8"/>
      <c r="X3112" s="8"/>
      <c r="Y3112" s="8"/>
      <c r="Z3112" s="8"/>
      <c r="AA3112" s="8"/>
      <c r="AB3112" s="8"/>
      <c r="AC3112" s="8">
        <v>9.24</v>
      </c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11"/>
      <c r="AQ3112" s="8"/>
      <c r="AR3112" s="8"/>
      <c r="AS3112" s="8"/>
      <c r="AT3112" s="8">
        <v>1372.38</v>
      </c>
      <c r="AU3112" s="8"/>
      <c r="AV3112" s="8">
        <v>46.26</v>
      </c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>
        <v>99.37</v>
      </c>
      <c r="BH3112" s="9">
        <f t="shared" si="432"/>
        <v>2656.5699999999997</v>
      </c>
      <c r="BI3112" s="9">
        <f t="shared" si="433"/>
        <v>4.3899999999999997</v>
      </c>
      <c r="BJ3112" s="9">
        <f t="shared" si="434"/>
        <v>8.31</v>
      </c>
      <c r="BK3112" s="9">
        <f t="shared" si="435"/>
        <v>27.73</v>
      </c>
      <c r="BL3112" s="9">
        <f t="shared" si="436"/>
        <v>0</v>
      </c>
      <c r="BM3112" s="9">
        <f t="shared" si="437"/>
        <v>9.24</v>
      </c>
      <c r="BN3112" s="9">
        <f t="shared" si="438"/>
        <v>1372.38</v>
      </c>
      <c r="BO3112" s="9">
        <f t="shared" si="439"/>
        <v>46.26</v>
      </c>
      <c r="BP3112" s="9">
        <f t="shared" si="440"/>
        <v>0</v>
      </c>
    </row>
    <row r="3113" spans="1:68">
      <c r="A3113" s="6">
        <v>45104</v>
      </c>
      <c r="B3113" s="7">
        <v>3409</v>
      </c>
      <c r="C3113" s="8">
        <v>774.4</v>
      </c>
      <c r="D3113" s="8"/>
      <c r="E3113" s="8"/>
      <c r="F3113" s="8"/>
      <c r="G3113" s="8"/>
      <c r="H3113" s="8"/>
      <c r="I3113" s="8"/>
      <c r="J3113" s="8"/>
      <c r="K3113" s="8"/>
      <c r="L3113" s="8"/>
      <c r="M3113" s="8">
        <v>2.3199999999999998</v>
      </c>
      <c r="N3113" s="8"/>
      <c r="O3113" s="8"/>
      <c r="P3113" s="8"/>
      <c r="Q3113" s="11"/>
      <c r="R3113" s="11"/>
      <c r="S3113" s="8">
        <v>1.94</v>
      </c>
      <c r="T3113" s="8"/>
      <c r="U3113" s="8"/>
      <c r="V3113" s="8"/>
      <c r="W3113" s="8"/>
      <c r="X3113" s="8">
        <f>1025*7.75/1000</f>
        <v>7.9437499999999996</v>
      </c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11"/>
      <c r="AQ3113" s="8"/>
      <c r="AR3113" s="8"/>
      <c r="AS3113" s="8"/>
      <c r="AT3113" s="8">
        <v>396.32</v>
      </c>
      <c r="AU3113" s="8"/>
      <c r="AV3113" s="8">
        <v>23.25</v>
      </c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>
        <v>27.22</v>
      </c>
      <c r="BH3113" s="9">
        <f t="shared" si="432"/>
        <v>774.4</v>
      </c>
      <c r="BI3113" s="9">
        <f t="shared" si="433"/>
        <v>2.3199999999999998</v>
      </c>
      <c r="BJ3113" s="9">
        <f t="shared" si="434"/>
        <v>1.94</v>
      </c>
      <c r="BK3113" s="9">
        <f t="shared" si="435"/>
        <v>7.9437499999999996</v>
      </c>
      <c r="BL3113" s="9">
        <f t="shared" si="436"/>
        <v>0</v>
      </c>
      <c r="BM3113" s="9">
        <f t="shared" si="437"/>
        <v>0</v>
      </c>
      <c r="BN3113" s="9">
        <f t="shared" si="438"/>
        <v>396.32</v>
      </c>
      <c r="BO3113" s="9">
        <f t="shared" si="439"/>
        <v>23.25</v>
      </c>
      <c r="BP3113" s="9">
        <f t="shared" si="440"/>
        <v>0</v>
      </c>
    </row>
    <row r="3114" spans="1:68">
      <c r="A3114" s="6">
        <v>45104</v>
      </c>
      <c r="B3114" s="7">
        <v>3200</v>
      </c>
      <c r="C3114" s="8">
        <v>2300.21</v>
      </c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>
        <v>5.81</v>
      </c>
      <c r="P3114" s="8"/>
      <c r="Q3114" s="11"/>
      <c r="R3114" s="11"/>
      <c r="S3114" s="8">
        <v>9.01</v>
      </c>
      <c r="T3114" s="8"/>
      <c r="U3114" s="8">
        <v>34.69</v>
      </c>
      <c r="V3114" s="8"/>
      <c r="W3114" s="8"/>
      <c r="X3114" s="8"/>
      <c r="Y3114" s="8"/>
      <c r="Z3114" s="8">
        <v>485.95</v>
      </c>
      <c r="AA3114" s="8"/>
      <c r="AB3114" s="8"/>
      <c r="AC3114" s="8"/>
      <c r="AD3114" s="8"/>
      <c r="AE3114" s="8"/>
      <c r="AF3114" s="8">
        <v>114.99</v>
      </c>
      <c r="AG3114" s="8"/>
      <c r="AH3114" s="8"/>
      <c r="AI3114" s="8"/>
      <c r="AJ3114" s="8"/>
      <c r="AK3114" s="8"/>
      <c r="AL3114" s="8"/>
      <c r="AM3114" s="8"/>
      <c r="AN3114" s="8"/>
      <c r="AO3114" s="8"/>
      <c r="AP3114" s="11"/>
      <c r="AQ3114" s="8">
        <f>1526*23.12/1000</f>
        <v>35.281120000000001</v>
      </c>
      <c r="AR3114" s="8"/>
      <c r="AS3114" s="8"/>
      <c r="AT3114" s="8">
        <v>1577.57</v>
      </c>
      <c r="AU3114" s="8"/>
      <c r="AV3114" s="8"/>
      <c r="AW3114" s="8">
        <v>6.67</v>
      </c>
      <c r="AX3114" s="8"/>
      <c r="AY3114" s="8"/>
      <c r="AZ3114" s="8"/>
      <c r="BA3114" s="8"/>
      <c r="BB3114" s="8"/>
      <c r="BC3114" s="8"/>
      <c r="BD3114" s="8"/>
      <c r="BE3114" s="8"/>
      <c r="BF3114" s="8">
        <v>111.03</v>
      </c>
      <c r="BG3114" s="8">
        <v>114.46</v>
      </c>
      <c r="BH3114" s="9">
        <f t="shared" si="432"/>
        <v>2300.21</v>
      </c>
      <c r="BI3114" s="9">
        <f t="shared" si="433"/>
        <v>5.81</v>
      </c>
      <c r="BJ3114" s="9">
        <f t="shared" si="434"/>
        <v>9.01</v>
      </c>
      <c r="BK3114" s="9">
        <f t="shared" si="435"/>
        <v>34.69</v>
      </c>
      <c r="BL3114" s="9">
        <f t="shared" si="436"/>
        <v>485.95</v>
      </c>
      <c r="BM3114" s="9">
        <f t="shared" si="437"/>
        <v>150.27112</v>
      </c>
      <c r="BN3114" s="9">
        <f t="shared" si="438"/>
        <v>1577.57</v>
      </c>
      <c r="BO3114" s="9">
        <f t="shared" si="439"/>
        <v>6.67</v>
      </c>
      <c r="BP3114" s="9">
        <f t="shared" si="440"/>
        <v>111.03</v>
      </c>
    </row>
    <row r="3115" spans="1:68">
      <c r="A3115" s="6">
        <v>45104</v>
      </c>
      <c r="B3115" s="7">
        <v>3023</v>
      </c>
      <c r="C3115" s="8"/>
      <c r="D3115" s="8">
        <v>903.24</v>
      </c>
      <c r="E3115" s="8"/>
      <c r="F3115" s="8"/>
      <c r="G3115" s="8"/>
      <c r="H3115" s="8"/>
      <c r="I3115" s="8">
        <v>485.46</v>
      </c>
      <c r="J3115" s="8"/>
      <c r="K3115" s="8"/>
      <c r="L3115" s="8"/>
      <c r="M3115" s="8"/>
      <c r="N3115" s="8">
        <v>7.78</v>
      </c>
      <c r="O3115" s="8"/>
      <c r="P3115" s="8"/>
      <c r="Q3115" s="11"/>
      <c r="R3115" s="11"/>
      <c r="S3115" s="8">
        <v>2.2200000000000002</v>
      </c>
      <c r="T3115" s="8"/>
      <c r="U3115" s="8"/>
      <c r="V3115" s="8"/>
      <c r="W3115" s="8">
        <v>12.5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>
        <v>13.85</v>
      </c>
      <c r="AN3115" s="8">
        <f>1033*9.55/1000</f>
        <v>9.8651500000000016</v>
      </c>
      <c r="AO3115" s="8"/>
      <c r="AP3115" s="11"/>
      <c r="AQ3115" s="8"/>
      <c r="AR3115" s="8"/>
      <c r="AS3115" s="8">
        <f>4830*9.55/1000</f>
        <v>46.1265</v>
      </c>
      <c r="AT3115" s="8">
        <v>568.82000000000005</v>
      </c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>
        <v>42.97</v>
      </c>
      <c r="BH3115" s="9">
        <f t="shared" si="432"/>
        <v>1388.7</v>
      </c>
      <c r="BI3115" s="9">
        <f t="shared" si="433"/>
        <v>7.78</v>
      </c>
      <c r="BJ3115" s="9">
        <f t="shared" si="434"/>
        <v>2.2200000000000002</v>
      </c>
      <c r="BK3115" s="9">
        <f t="shared" si="435"/>
        <v>12.5</v>
      </c>
      <c r="BL3115" s="9">
        <f t="shared" si="436"/>
        <v>0</v>
      </c>
      <c r="BM3115" s="9">
        <f t="shared" si="437"/>
        <v>69.841650000000001</v>
      </c>
      <c r="BN3115" s="9">
        <f t="shared" si="438"/>
        <v>568.82000000000005</v>
      </c>
      <c r="BO3115" s="9">
        <f t="shared" si="439"/>
        <v>0</v>
      </c>
      <c r="BP3115" s="9">
        <f t="shared" si="440"/>
        <v>0</v>
      </c>
    </row>
    <row r="3116" spans="1:68">
      <c r="A3116" s="6">
        <v>45104</v>
      </c>
      <c r="B3116" s="7">
        <v>3028</v>
      </c>
      <c r="C3116" s="8"/>
      <c r="D3116" s="8">
        <v>404.64</v>
      </c>
      <c r="E3116" s="8"/>
      <c r="F3116" s="8">
        <v>370.84</v>
      </c>
      <c r="G3116" s="8"/>
      <c r="H3116" s="8"/>
      <c r="I3116" s="8">
        <v>837.34</v>
      </c>
      <c r="J3116" s="8"/>
      <c r="K3116" s="8"/>
      <c r="L3116" s="8"/>
      <c r="M3116" s="8"/>
      <c r="N3116" s="8">
        <v>12.41</v>
      </c>
      <c r="O3116" s="8"/>
      <c r="P3116" s="8"/>
      <c r="Q3116" s="11"/>
      <c r="R3116" s="11"/>
      <c r="S3116" s="8">
        <v>2.2599999999999998</v>
      </c>
      <c r="T3116" s="8"/>
      <c r="U3116" s="8"/>
      <c r="V3116" s="8"/>
      <c r="W3116" s="8">
        <v>12.08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>
        <v>16.13</v>
      </c>
      <c r="AN3116" s="8">
        <f>1068*10.73/1000</f>
        <v>11.459640000000002</v>
      </c>
      <c r="AO3116" s="8"/>
      <c r="AP3116" s="11"/>
      <c r="AQ3116" s="8"/>
      <c r="AR3116" s="8"/>
      <c r="AS3116" s="8">
        <f>4976*10.73/1000</f>
        <v>53.392480000000006</v>
      </c>
      <c r="AT3116" s="8">
        <v>538.37</v>
      </c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>
        <v>36.35</v>
      </c>
      <c r="BH3116" s="9">
        <f t="shared" si="432"/>
        <v>1612.8200000000002</v>
      </c>
      <c r="BI3116" s="9">
        <f t="shared" si="433"/>
        <v>12.41</v>
      </c>
      <c r="BJ3116" s="9">
        <f t="shared" si="434"/>
        <v>2.2599999999999998</v>
      </c>
      <c r="BK3116" s="9">
        <f t="shared" si="435"/>
        <v>12.08</v>
      </c>
      <c r="BL3116" s="9">
        <f t="shared" si="436"/>
        <v>0</v>
      </c>
      <c r="BM3116" s="9">
        <f t="shared" si="437"/>
        <v>80.982120000000009</v>
      </c>
      <c r="BN3116" s="9">
        <f t="shared" si="438"/>
        <v>538.37</v>
      </c>
      <c r="BO3116" s="9">
        <f t="shared" si="439"/>
        <v>0</v>
      </c>
      <c r="BP3116" s="9">
        <f t="shared" si="440"/>
        <v>0</v>
      </c>
    </row>
    <row r="3117" spans="1:68">
      <c r="A3117" s="6">
        <v>45104</v>
      </c>
      <c r="B3117" s="7">
        <v>3145</v>
      </c>
      <c r="C3117" s="8"/>
      <c r="D3117" s="8">
        <v>1225.5</v>
      </c>
      <c r="E3117" s="8">
        <v>216.44</v>
      </c>
      <c r="F3117" s="8"/>
      <c r="G3117" s="8"/>
      <c r="H3117" s="8"/>
      <c r="I3117" s="8"/>
      <c r="J3117" s="8"/>
      <c r="K3117" s="8"/>
      <c r="L3117" s="8"/>
      <c r="M3117" s="8">
        <v>4.1900000000000004</v>
      </c>
      <c r="N3117" s="8"/>
      <c r="O3117" s="8"/>
      <c r="P3117" s="8"/>
      <c r="Q3117" s="11"/>
      <c r="R3117" s="11"/>
      <c r="S3117" s="8">
        <v>6.79</v>
      </c>
      <c r="T3117" s="8"/>
      <c r="U3117" s="8">
        <v>21.66</v>
      </c>
      <c r="V3117" s="8"/>
      <c r="W3117" s="8"/>
      <c r="X3117" s="8"/>
      <c r="Y3117" s="8"/>
      <c r="Z3117" s="8"/>
      <c r="AA3117" s="8"/>
      <c r="AB3117" s="8"/>
      <c r="AC3117" s="8">
        <v>5.78</v>
      </c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11"/>
      <c r="AQ3117" s="8"/>
      <c r="AR3117" s="8"/>
      <c r="AS3117" s="8"/>
      <c r="AT3117" s="8">
        <v>954.4</v>
      </c>
      <c r="AU3117" s="8"/>
      <c r="AV3117" s="8"/>
      <c r="AW3117" s="8"/>
      <c r="AX3117" s="8"/>
      <c r="AY3117" s="8"/>
      <c r="AZ3117" s="8"/>
      <c r="BA3117" s="8"/>
      <c r="BB3117" s="8"/>
      <c r="BC3117" s="8"/>
      <c r="BD3117" s="8">
        <v>3.61</v>
      </c>
      <c r="BE3117" s="8">
        <f>1366*9.62/1000</f>
        <v>13.140919999999998</v>
      </c>
      <c r="BF3117" s="8">
        <v>101.08</v>
      </c>
      <c r="BG3117" s="8">
        <v>75.09</v>
      </c>
      <c r="BH3117" s="9">
        <f t="shared" si="432"/>
        <v>1441.94</v>
      </c>
      <c r="BI3117" s="9">
        <f t="shared" si="433"/>
        <v>4.1900000000000004</v>
      </c>
      <c r="BJ3117" s="9">
        <f t="shared" si="434"/>
        <v>6.79</v>
      </c>
      <c r="BK3117" s="9">
        <f t="shared" si="435"/>
        <v>21.66</v>
      </c>
      <c r="BL3117" s="9">
        <f t="shared" si="436"/>
        <v>0</v>
      </c>
      <c r="BM3117" s="9">
        <f t="shared" si="437"/>
        <v>5.78</v>
      </c>
      <c r="BN3117" s="9">
        <f t="shared" si="438"/>
        <v>954.4</v>
      </c>
      <c r="BO3117" s="9">
        <f t="shared" si="439"/>
        <v>16.750919999999997</v>
      </c>
      <c r="BP3117" s="9">
        <f t="shared" si="440"/>
        <v>101.08</v>
      </c>
    </row>
    <row r="3118" spans="1:68">
      <c r="A3118" s="6">
        <v>45104</v>
      </c>
      <c r="B3118" s="7">
        <v>3141</v>
      </c>
      <c r="C3118" s="8">
        <v>3553.48</v>
      </c>
      <c r="D3118" s="8">
        <v>627</v>
      </c>
      <c r="E3118" s="8"/>
      <c r="F3118" s="8"/>
      <c r="G3118" s="8"/>
      <c r="H3118" s="8"/>
      <c r="I3118" s="8"/>
      <c r="J3118" s="8"/>
      <c r="K3118" s="8"/>
      <c r="L3118" s="8"/>
      <c r="M3118" s="8">
        <v>11.76</v>
      </c>
      <c r="N3118" s="8"/>
      <c r="O3118" s="8"/>
      <c r="P3118" s="8"/>
      <c r="Q3118" s="11"/>
      <c r="R3118" s="11"/>
      <c r="S3118" s="8">
        <v>19.66</v>
      </c>
      <c r="T3118" s="8"/>
      <c r="U3118" s="8">
        <v>62.73</v>
      </c>
      <c r="V3118" s="8"/>
      <c r="W3118" s="8"/>
      <c r="X3118" s="8"/>
      <c r="Y3118" s="8"/>
      <c r="Z3118" s="8"/>
      <c r="AA3118" s="8"/>
      <c r="AB3118" s="8"/>
      <c r="AC3118" s="8">
        <v>16.73</v>
      </c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11"/>
      <c r="AQ3118" s="8"/>
      <c r="AR3118" s="8"/>
      <c r="AS3118" s="8"/>
      <c r="AT3118" s="8">
        <v>2757.92</v>
      </c>
      <c r="AU3118" s="8"/>
      <c r="AV3118" s="8"/>
      <c r="AW3118" s="8"/>
      <c r="AX3118" s="8"/>
      <c r="AY3118" s="8"/>
      <c r="AZ3118" s="8"/>
      <c r="BA3118" s="8">
        <v>95.78</v>
      </c>
      <c r="BB3118" s="8"/>
      <c r="BC3118" s="8"/>
      <c r="BD3118" s="8"/>
      <c r="BE3118" s="8"/>
      <c r="BF3118" s="8">
        <v>292.73</v>
      </c>
      <c r="BG3118" s="8">
        <v>217.22</v>
      </c>
      <c r="BH3118" s="9">
        <f t="shared" si="432"/>
        <v>4180.4799999999996</v>
      </c>
      <c r="BI3118" s="9">
        <f t="shared" si="433"/>
        <v>11.76</v>
      </c>
      <c r="BJ3118" s="9">
        <f t="shared" si="434"/>
        <v>19.66</v>
      </c>
      <c r="BK3118" s="9">
        <f t="shared" si="435"/>
        <v>62.73</v>
      </c>
      <c r="BL3118" s="9">
        <f t="shared" si="436"/>
        <v>0</v>
      </c>
      <c r="BM3118" s="9">
        <f t="shared" si="437"/>
        <v>16.73</v>
      </c>
      <c r="BN3118" s="9">
        <f t="shared" si="438"/>
        <v>2757.92</v>
      </c>
      <c r="BO3118" s="9">
        <f t="shared" si="439"/>
        <v>95.78</v>
      </c>
      <c r="BP3118" s="9">
        <f t="shared" si="440"/>
        <v>292.73</v>
      </c>
    </row>
    <row r="3119" spans="1:68">
      <c r="A3119" s="6">
        <v>45104</v>
      </c>
      <c r="B3119" s="7">
        <v>3106</v>
      </c>
      <c r="C3119" s="8">
        <v>6141.57</v>
      </c>
      <c r="D3119" s="8"/>
      <c r="E3119" s="8"/>
      <c r="F3119" s="8"/>
      <c r="G3119" s="8"/>
      <c r="H3119" s="8"/>
      <c r="I3119" s="8"/>
      <c r="J3119" s="8"/>
      <c r="K3119" s="8"/>
      <c r="L3119" s="8"/>
      <c r="M3119" s="8">
        <v>16.579999999999998</v>
      </c>
      <c r="N3119" s="8"/>
      <c r="O3119" s="8"/>
      <c r="P3119" s="8"/>
      <c r="Q3119" s="11"/>
      <c r="R3119" s="11"/>
      <c r="S3119" s="8">
        <v>18.440000000000001</v>
      </c>
      <c r="T3119" s="8"/>
      <c r="U3119" s="8">
        <v>78.09</v>
      </c>
      <c r="V3119" s="8"/>
      <c r="W3119" s="8"/>
      <c r="X3119" s="8"/>
      <c r="Y3119" s="8"/>
      <c r="Z3119" s="8"/>
      <c r="AA3119" s="8"/>
      <c r="AB3119" s="8"/>
      <c r="AC3119" s="8">
        <v>15.36</v>
      </c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11"/>
      <c r="AQ3119" s="8"/>
      <c r="AR3119" s="8"/>
      <c r="AS3119" s="8"/>
      <c r="AT3119" s="8">
        <v>3502.04</v>
      </c>
      <c r="AU3119" s="8"/>
      <c r="AV3119" s="8"/>
      <c r="AW3119" s="8"/>
      <c r="AX3119" s="8">
        <v>7.69</v>
      </c>
      <c r="AY3119" s="8"/>
      <c r="AZ3119" s="8"/>
      <c r="BA3119" s="8"/>
      <c r="BB3119" s="8"/>
      <c r="BC3119" s="8"/>
      <c r="BD3119" s="8"/>
      <c r="BE3119" s="8"/>
      <c r="BF3119" s="8"/>
      <c r="BG3119" s="8">
        <v>264</v>
      </c>
      <c r="BH3119" s="9">
        <f t="shared" si="432"/>
        <v>6141.57</v>
      </c>
      <c r="BI3119" s="9">
        <f t="shared" si="433"/>
        <v>16.579999999999998</v>
      </c>
      <c r="BJ3119" s="9">
        <f t="shared" si="434"/>
        <v>18.440000000000001</v>
      </c>
      <c r="BK3119" s="9">
        <f t="shared" si="435"/>
        <v>78.09</v>
      </c>
      <c r="BL3119" s="9">
        <f t="shared" si="436"/>
        <v>0</v>
      </c>
      <c r="BM3119" s="9">
        <f t="shared" si="437"/>
        <v>15.36</v>
      </c>
      <c r="BN3119" s="9">
        <f t="shared" si="438"/>
        <v>3502.04</v>
      </c>
      <c r="BO3119" s="9">
        <f t="shared" si="439"/>
        <v>7.69</v>
      </c>
      <c r="BP3119" s="9">
        <f t="shared" si="440"/>
        <v>0</v>
      </c>
    </row>
    <row r="3120" spans="1:68">
      <c r="A3120" s="6">
        <v>45104</v>
      </c>
      <c r="B3120" s="7">
        <v>3113</v>
      </c>
      <c r="C3120" s="8">
        <v>1536.15</v>
      </c>
      <c r="D3120" s="8"/>
      <c r="E3120" s="8"/>
      <c r="F3120" s="8"/>
      <c r="G3120" s="8"/>
      <c r="H3120" s="8"/>
      <c r="I3120" s="8"/>
      <c r="J3120" s="8"/>
      <c r="K3120" s="8"/>
      <c r="L3120" s="8"/>
      <c r="M3120" s="8">
        <v>1.4</v>
      </c>
      <c r="N3120" s="8">
        <v>1.41</v>
      </c>
      <c r="O3120" s="8"/>
      <c r="P3120" s="8"/>
      <c r="Q3120" s="11"/>
      <c r="R3120" s="11"/>
      <c r="S3120" s="8">
        <v>4.62</v>
      </c>
      <c r="T3120" s="8"/>
      <c r="U3120" s="8">
        <v>15.36</v>
      </c>
      <c r="V3120" s="8"/>
      <c r="W3120" s="8"/>
      <c r="X3120" s="8"/>
      <c r="Y3120" s="8"/>
      <c r="Z3120" s="8"/>
      <c r="AA3120" s="8"/>
      <c r="AB3120" s="8"/>
      <c r="AC3120" s="8">
        <v>6.14</v>
      </c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11"/>
      <c r="AQ3120" s="8"/>
      <c r="AR3120" s="8"/>
      <c r="AS3120" s="8"/>
      <c r="AT3120" s="8">
        <v>644.65</v>
      </c>
      <c r="AU3120" s="8"/>
      <c r="AV3120" s="8">
        <v>52.25</v>
      </c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>
        <v>46.26</v>
      </c>
      <c r="BH3120" s="9">
        <f t="shared" si="432"/>
        <v>1536.15</v>
      </c>
      <c r="BI3120" s="9">
        <f t="shared" si="433"/>
        <v>2.8099999999999996</v>
      </c>
      <c r="BJ3120" s="9">
        <f t="shared" si="434"/>
        <v>4.62</v>
      </c>
      <c r="BK3120" s="9">
        <f t="shared" si="435"/>
        <v>15.36</v>
      </c>
      <c r="BL3120" s="9">
        <f t="shared" si="436"/>
        <v>0</v>
      </c>
      <c r="BM3120" s="9">
        <f t="shared" si="437"/>
        <v>6.14</v>
      </c>
      <c r="BN3120" s="9">
        <f t="shared" si="438"/>
        <v>644.65</v>
      </c>
      <c r="BO3120" s="9">
        <f t="shared" si="439"/>
        <v>52.25</v>
      </c>
      <c r="BP3120" s="9">
        <f t="shared" si="440"/>
        <v>0</v>
      </c>
    </row>
    <row r="3121" spans="1:68">
      <c r="A3121" s="6">
        <v>45105</v>
      </c>
      <c r="B3121" s="7">
        <v>3141</v>
      </c>
      <c r="C3121" s="8">
        <v>2401.83</v>
      </c>
      <c r="D3121" s="8">
        <v>424.08</v>
      </c>
      <c r="E3121" s="8"/>
      <c r="F3121" s="8"/>
      <c r="G3121" s="8"/>
      <c r="H3121" s="8"/>
      <c r="I3121" s="8"/>
      <c r="J3121" s="8"/>
      <c r="K3121" s="8"/>
      <c r="L3121" s="8"/>
      <c r="M3121" s="8">
        <v>8.1999999999999993</v>
      </c>
      <c r="N3121" s="8"/>
      <c r="O3121" s="8"/>
      <c r="P3121" s="8"/>
      <c r="Q3121" s="11"/>
      <c r="R3121" s="11"/>
      <c r="S3121" s="8">
        <v>13.3</v>
      </c>
      <c r="T3121" s="8"/>
      <c r="U3121" s="8">
        <v>42.43</v>
      </c>
      <c r="V3121" s="8"/>
      <c r="W3121" s="8"/>
      <c r="X3121" s="8"/>
      <c r="Y3121" s="8"/>
      <c r="Z3121" s="8"/>
      <c r="AA3121" s="8"/>
      <c r="AB3121" s="8"/>
      <c r="AC3121" s="8">
        <v>11.32</v>
      </c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11"/>
      <c r="AQ3121" s="8"/>
      <c r="AR3121" s="8"/>
      <c r="AS3121" s="8"/>
      <c r="AT3121" s="8">
        <v>1868.05</v>
      </c>
      <c r="AU3121" s="8"/>
      <c r="AV3121" s="8"/>
      <c r="AW3121" s="8"/>
      <c r="AX3121" s="8"/>
      <c r="AY3121" s="8"/>
      <c r="AZ3121" s="8"/>
      <c r="BA3121" s="8">
        <v>64.81</v>
      </c>
      <c r="BB3121" s="8"/>
      <c r="BC3121" s="8"/>
      <c r="BD3121" s="8"/>
      <c r="BE3121" s="8"/>
      <c r="BF3121" s="8">
        <v>198.15</v>
      </c>
      <c r="BG3121" s="8">
        <v>147.24</v>
      </c>
      <c r="BH3121" s="9">
        <f t="shared" si="432"/>
        <v>2825.91</v>
      </c>
      <c r="BI3121" s="9">
        <f t="shared" si="433"/>
        <v>8.1999999999999993</v>
      </c>
      <c r="BJ3121" s="9">
        <f t="shared" si="434"/>
        <v>13.3</v>
      </c>
      <c r="BK3121" s="9">
        <f t="shared" si="435"/>
        <v>42.43</v>
      </c>
      <c r="BL3121" s="9">
        <f t="shared" si="436"/>
        <v>0</v>
      </c>
      <c r="BM3121" s="9">
        <f t="shared" si="437"/>
        <v>11.32</v>
      </c>
      <c r="BN3121" s="9">
        <f t="shared" si="438"/>
        <v>1868.05</v>
      </c>
      <c r="BO3121" s="9">
        <f t="shared" si="439"/>
        <v>64.81</v>
      </c>
      <c r="BP3121" s="9">
        <f t="shared" si="440"/>
        <v>198.15</v>
      </c>
    </row>
    <row r="3122" spans="1:68">
      <c r="A3122" s="6">
        <v>45105</v>
      </c>
      <c r="B3122" s="7">
        <v>3106</v>
      </c>
      <c r="C3122" s="8">
        <v>4099.49</v>
      </c>
      <c r="D3122" s="8"/>
      <c r="E3122" s="8"/>
      <c r="F3122" s="8"/>
      <c r="G3122" s="8"/>
      <c r="H3122" s="8"/>
      <c r="I3122" s="8"/>
      <c r="J3122" s="8"/>
      <c r="K3122" s="8"/>
      <c r="L3122" s="8"/>
      <c r="M3122" s="8">
        <v>11.07</v>
      </c>
      <c r="N3122" s="8"/>
      <c r="O3122" s="8"/>
      <c r="P3122" s="8"/>
      <c r="Q3122" s="11"/>
      <c r="R3122" s="11"/>
      <c r="S3122" s="8">
        <v>12.33</v>
      </c>
      <c r="T3122" s="8"/>
      <c r="U3122" s="8">
        <v>52.17</v>
      </c>
      <c r="V3122" s="8"/>
      <c r="W3122" s="8"/>
      <c r="X3122" s="8"/>
      <c r="Y3122" s="8"/>
      <c r="Z3122" s="8"/>
      <c r="AA3122" s="8"/>
      <c r="AB3122" s="8"/>
      <c r="AC3122" s="8">
        <v>10.26</v>
      </c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11"/>
      <c r="AQ3122" s="8"/>
      <c r="AR3122" s="8"/>
      <c r="AS3122" s="8"/>
      <c r="AT3122" s="8">
        <v>2340.1</v>
      </c>
      <c r="AU3122" s="8"/>
      <c r="AV3122" s="8"/>
      <c r="AW3122" s="8"/>
      <c r="AX3122" s="8">
        <v>5.13</v>
      </c>
      <c r="AY3122" s="8"/>
      <c r="AZ3122" s="8"/>
      <c r="BA3122" s="8"/>
      <c r="BB3122" s="8"/>
      <c r="BC3122" s="8"/>
      <c r="BD3122" s="8"/>
      <c r="BE3122" s="8"/>
      <c r="BF3122" s="8"/>
      <c r="BG3122" s="8">
        <v>176.68</v>
      </c>
      <c r="BH3122" s="9">
        <f t="shared" si="432"/>
        <v>4099.49</v>
      </c>
      <c r="BI3122" s="9">
        <f t="shared" si="433"/>
        <v>11.07</v>
      </c>
      <c r="BJ3122" s="9">
        <f t="shared" si="434"/>
        <v>12.33</v>
      </c>
      <c r="BK3122" s="9">
        <f t="shared" si="435"/>
        <v>52.17</v>
      </c>
      <c r="BL3122" s="9">
        <f t="shared" si="436"/>
        <v>0</v>
      </c>
      <c r="BM3122" s="9">
        <f t="shared" si="437"/>
        <v>10.26</v>
      </c>
      <c r="BN3122" s="9">
        <f t="shared" si="438"/>
        <v>2340.1</v>
      </c>
      <c r="BO3122" s="9">
        <f t="shared" si="439"/>
        <v>5.13</v>
      </c>
      <c r="BP3122" s="9">
        <f t="shared" si="440"/>
        <v>0</v>
      </c>
    </row>
    <row r="3123" spans="1:68">
      <c r="A3123" s="6">
        <v>45105</v>
      </c>
      <c r="B3123" s="7">
        <v>3016</v>
      </c>
      <c r="C3123" s="8"/>
      <c r="D3123" s="8">
        <f>1147.67+2144.21</f>
        <v>3291.88</v>
      </c>
      <c r="E3123" s="8"/>
      <c r="F3123" s="8"/>
      <c r="G3123" s="8"/>
      <c r="H3123" s="8"/>
      <c r="I3123" s="8">
        <f>1977.56+1059.64</f>
        <v>3037.2</v>
      </c>
      <c r="J3123" s="8"/>
      <c r="K3123" s="8"/>
      <c r="L3123" s="8"/>
      <c r="M3123" s="8"/>
      <c r="N3123" s="8">
        <f>13.69+25.55</f>
        <v>39.24</v>
      </c>
      <c r="O3123" s="8"/>
      <c r="P3123" s="8"/>
      <c r="Q3123" s="11"/>
      <c r="R3123" s="11"/>
      <c r="S3123" s="8">
        <f>2.88+1.54</f>
        <v>4.42</v>
      </c>
      <c r="T3123" s="8"/>
      <c r="U3123" s="8"/>
      <c r="V3123" s="8"/>
      <c r="W3123" s="8">
        <f>22.09+41.23</f>
        <v>63.319999999999993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>
        <f>16.47+8.83</f>
        <v>25.299999999999997</v>
      </c>
      <c r="AN3123" s="8">
        <f>2044*37.21/1000</f>
        <v>76.057240000000007</v>
      </c>
      <c r="AO3123" s="8"/>
      <c r="AP3123" s="11"/>
      <c r="AQ3123" s="8"/>
      <c r="AR3123" s="8">
        <f>4264*37.21/1000</f>
        <v>158.66344000000001</v>
      </c>
      <c r="AS3123" s="8"/>
      <c r="AT3123" s="8">
        <f>820.83+1531.34</f>
        <v>2352.17</v>
      </c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>
        <f>111.95+60.39</f>
        <v>172.34</v>
      </c>
      <c r="BH3123" s="9">
        <f t="shared" si="432"/>
        <v>6329.08</v>
      </c>
      <c r="BI3123" s="9">
        <f t="shared" si="433"/>
        <v>39.24</v>
      </c>
      <c r="BJ3123" s="9">
        <f t="shared" si="434"/>
        <v>4.42</v>
      </c>
      <c r="BK3123" s="9">
        <f t="shared" si="435"/>
        <v>63.319999999999993</v>
      </c>
      <c r="BL3123" s="9">
        <f t="shared" si="436"/>
        <v>0</v>
      </c>
      <c r="BM3123" s="9">
        <f t="shared" si="437"/>
        <v>260.02068000000003</v>
      </c>
      <c r="BN3123" s="9">
        <f t="shared" si="438"/>
        <v>2352.17</v>
      </c>
      <c r="BO3123" s="9">
        <f t="shared" si="439"/>
        <v>0</v>
      </c>
      <c r="BP3123" s="9">
        <f t="shared" si="440"/>
        <v>0</v>
      </c>
    </row>
    <row r="3124" spans="1:68">
      <c r="A3124" s="6">
        <v>45110</v>
      </c>
      <c r="B3124" s="7">
        <v>3307</v>
      </c>
      <c r="C3124" s="8"/>
      <c r="D3124" s="8">
        <v>1007.18</v>
      </c>
      <c r="E3124" s="8"/>
      <c r="F3124" s="8"/>
      <c r="G3124" s="8"/>
      <c r="H3124" s="8"/>
      <c r="I3124" s="8"/>
      <c r="J3124" s="8"/>
      <c r="K3124" s="8"/>
      <c r="L3124" s="8"/>
      <c r="M3124" s="8">
        <v>0.91</v>
      </c>
      <c r="N3124" s="8"/>
      <c r="O3124" s="8"/>
      <c r="P3124" s="8"/>
      <c r="Q3124" s="11"/>
      <c r="R3124" s="11"/>
      <c r="S3124" s="8">
        <v>6.84</v>
      </c>
      <c r="T3124" s="8"/>
      <c r="U3124" s="8">
        <v>10.07</v>
      </c>
      <c r="V3124" s="8"/>
      <c r="W3124" s="8"/>
      <c r="X3124" s="8"/>
      <c r="Y3124" s="8"/>
      <c r="Z3124" s="8"/>
      <c r="AA3124" s="8"/>
      <c r="AB3124" s="8"/>
      <c r="AC3124" s="8">
        <v>6.04</v>
      </c>
      <c r="AD3124" s="8"/>
      <c r="AE3124" s="8"/>
      <c r="AF3124" s="8"/>
      <c r="AG3124" s="8">
        <v>10.09</v>
      </c>
      <c r="AH3124" s="8"/>
      <c r="AI3124" s="8"/>
      <c r="AJ3124" s="8"/>
      <c r="AK3124" s="8"/>
      <c r="AL3124" s="8"/>
      <c r="AM3124" s="8"/>
      <c r="AN3124" s="8"/>
      <c r="AO3124" s="8"/>
      <c r="AP3124" s="11"/>
      <c r="AQ3124" s="8"/>
      <c r="AR3124" s="8"/>
      <c r="AS3124" s="8"/>
      <c r="AT3124" s="8"/>
      <c r="AU3124" s="8">
        <v>504.31</v>
      </c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>
        <v>36.200000000000003</v>
      </c>
      <c r="BH3124" s="9">
        <f t="shared" si="432"/>
        <v>1007.18</v>
      </c>
      <c r="BI3124" s="9">
        <f t="shared" si="433"/>
        <v>0.91</v>
      </c>
      <c r="BJ3124" s="9">
        <f t="shared" si="434"/>
        <v>6.84</v>
      </c>
      <c r="BK3124" s="9">
        <f t="shared" si="435"/>
        <v>10.07</v>
      </c>
      <c r="BL3124" s="9">
        <f t="shared" si="436"/>
        <v>0</v>
      </c>
      <c r="BM3124" s="9">
        <f t="shared" si="437"/>
        <v>16.13</v>
      </c>
      <c r="BN3124" s="9">
        <f t="shared" si="438"/>
        <v>504.31</v>
      </c>
      <c r="BO3124" s="9">
        <f t="shared" si="439"/>
        <v>0</v>
      </c>
      <c r="BP3124" s="9">
        <f t="shared" si="440"/>
        <v>0</v>
      </c>
    </row>
    <row r="3125" spans="1:68">
      <c r="A3125" s="6">
        <v>45110</v>
      </c>
      <c r="B3125" s="7">
        <v>3028</v>
      </c>
      <c r="C3125" s="8"/>
      <c r="D3125" s="8">
        <v>782.77</v>
      </c>
      <c r="E3125" s="8"/>
      <c r="F3125" s="8">
        <v>719.76</v>
      </c>
      <c r="G3125" s="8"/>
      <c r="H3125" s="8"/>
      <c r="I3125" s="8">
        <v>1627.94</v>
      </c>
      <c r="J3125" s="8"/>
      <c r="K3125" s="8"/>
      <c r="L3125" s="8"/>
      <c r="M3125" s="8"/>
      <c r="N3125" s="8">
        <v>24.13</v>
      </c>
      <c r="O3125" s="8"/>
      <c r="P3125" s="8"/>
      <c r="Q3125" s="11"/>
      <c r="R3125" s="11"/>
      <c r="S3125" s="8">
        <v>4.37</v>
      </c>
      <c r="T3125" s="8"/>
      <c r="U3125" s="8"/>
      <c r="V3125" s="8"/>
      <c r="W3125" s="8">
        <v>23.5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>
        <v>31.25</v>
      </c>
      <c r="AN3125" s="8">
        <f>1074*20.87/1000</f>
        <v>22.414380000000001</v>
      </c>
      <c r="AO3125" s="8"/>
      <c r="AP3125" s="11"/>
      <c r="AQ3125" s="8"/>
      <c r="AR3125" s="8"/>
      <c r="AS3125" s="8">
        <f>4955*20.87/1000</f>
        <v>103.41085000000001</v>
      </c>
      <c r="AT3125" s="8">
        <v>1043.43</v>
      </c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>
        <v>71.23</v>
      </c>
      <c r="BH3125" s="9">
        <f t="shared" si="432"/>
        <v>3130.4700000000003</v>
      </c>
      <c r="BI3125" s="9">
        <f t="shared" si="433"/>
        <v>24.13</v>
      </c>
      <c r="BJ3125" s="9">
        <f t="shared" si="434"/>
        <v>4.37</v>
      </c>
      <c r="BK3125" s="9">
        <f t="shared" si="435"/>
        <v>23.5</v>
      </c>
      <c r="BL3125" s="9">
        <f t="shared" si="436"/>
        <v>0</v>
      </c>
      <c r="BM3125" s="9">
        <f t="shared" si="437"/>
        <v>157.07523</v>
      </c>
      <c r="BN3125" s="9">
        <f t="shared" si="438"/>
        <v>1043.43</v>
      </c>
      <c r="BO3125" s="9">
        <f t="shared" si="439"/>
        <v>0</v>
      </c>
      <c r="BP3125" s="9">
        <f t="shared" si="440"/>
        <v>0</v>
      </c>
    </row>
    <row r="3126" spans="1:68">
      <c r="A3126" s="6">
        <v>45110</v>
      </c>
      <c r="B3126" s="7">
        <v>3029</v>
      </c>
      <c r="C3126" s="8"/>
      <c r="D3126" s="8">
        <v>251.07</v>
      </c>
      <c r="E3126" s="8"/>
      <c r="F3126" s="8">
        <v>177.2</v>
      </c>
      <c r="G3126" s="8"/>
      <c r="H3126" s="8"/>
      <c r="I3126" s="8">
        <v>1047.5899999999999</v>
      </c>
      <c r="J3126" s="8"/>
      <c r="K3126" s="8"/>
      <c r="L3126" s="8"/>
      <c r="M3126" s="8"/>
      <c r="N3126" s="8">
        <v>11.67</v>
      </c>
      <c r="O3126" s="8"/>
      <c r="P3126" s="8"/>
      <c r="Q3126" s="11"/>
      <c r="R3126" s="11"/>
      <c r="S3126" s="8">
        <v>0.89</v>
      </c>
      <c r="T3126" s="8"/>
      <c r="U3126" s="8"/>
      <c r="V3126" s="8"/>
      <c r="W3126" s="8">
        <v>14.78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>
        <v>5.16</v>
      </c>
      <c r="AN3126" s="8">
        <f>762*9.83/1000</f>
        <v>7.4904599999999997</v>
      </c>
      <c r="AO3126" s="8"/>
      <c r="AP3126" s="11"/>
      <c r="AQ3126" s="8"/>
      <c r="AR3126" s="8">
        <f>4530*9.83/1000</f>
        <v>44.529900000000005</v>
      </c>
      <c r="AS3126" s="8"/>
      <c r="AT3126" s="8">
        <v>560.9</v>
      </c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>
        <v>39.200000000000003</v>
      </c>
      <c r="BH3126" s="9">
        <f t="shared" si="432"/>
        <v>1475.86</v>
      </c>
      <c r="BI3126" s="9">
        <f t="shared" si="433"/>
        <v>11.67</v>
      </c>
      <c r="BJ3126" s="9">
        <f t="shared" si="434"/>
        <v>0.89</v>
      </c>
      <c r="BK3126" s="9">
        <f t="shared" si="435"/>
        <v>14.78</v>
      </c>
      <c r="BL3126" s="9">
        <f t="shared" si="436"/>
        <v>0</v>
      </c>
      <c r="BM3126" s="9">
        <f t="shared" si="437"/>
        <v>57.180360000000007</v>
      </c>
      <c r="BN3126" s="9">
        <f t="shared" si="438"/>
        <v>560.9</v>
      </c>
      <c r="BO3126" s="9">
        <f t="shared" si="439"/>
        <v>0</v>
      </c>
      <c r="BP3126" s="9">
        <f t="shared" si="440"/>
        <v>0</v>
      </c>
    </row>
    <row r="3127" spans="1:68">
      <c r="A3127" s="6">
        <v>45110</v>
      </c>
      <c r="B3127" s="7">
        <v>3083</v>
      </c>
      <c r="C3127" s="8"/>
      <c r="D3127" s="8">
        <v>742.86</v>
      </c>
      <c r="E3127" s="8"/>
      <c r="F3127" s="8"/>
      <c r="G3127" s="8"/>
      <c r="H3127" s="8"/>
      <c r="I3127" s="8">
        <v>1731.64</v>
      </c>
      <c r="J3127" s="8"/>
      <c r="K3127" s="8"/>
      <c r="L3127" s="8"/>
      <c r="M3127" s="8"/>
      <c r="N3127" s="8">
        <v>16.07</v>
      </c>
      <c r="O3127" s="8"/>
      <c r="P3127" s="8"/>
      <c r="Q3127" s="11"/>
      <c r="R3127" s="11"/>
      <c r="S3127" s="8">
        <v>1.73</v>
      </c>
      <c r="T3127" s="8"/>
      <c r="U3127" s="8"/>
      <c r="V3127" s="8"/>
      <c r="W3127" s="8">
        <v>19.79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>
        <v>9.84</v>
      </c>
      <c r="AN3127" s="8">
        <f>1920*18.32/1000</f>
        <v>35.174399999999999</v>
      </c>
      <c r="AO3127" s="8"/>
      <c r="AP3127" s="11"/>
      <c r="AQ3127" s="8"/>
      <c r="AR3127" s="8">
        <f>3457*18.32/1000</f>
        <v>63.332239999999999</v>
      </c>
      <c r="AS3127" s="8"/>
      <c r="AT3127" s="8">
        <v>1164.43</v>
      </c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>
        <v>92.07</v>
      </c>
      <c r="BH3127" s="9">
        <f t="shared" si="432"/>
        <v>2474.5</v>
      </c>
      <c r="BI3127" s="9">
        <f t="shared" si="433"/>
        <v>16.07</v>
      </c>
      <c r="BJ3127" s="9">
        <f t="shared" si="434"/>
        <v>1.73</v>
      </c>
      <c r="BK3127" s="9">
        <f t="shared" si="435"/>
        <v>19.79</v>
      </c>
      <c r="BL3127" s="9">
        <f t="shared" si="436"/>
        <v>0</v>
      </c>
      <c r="BM3127" s="9">
        <f t="shared" si="437"/>
        <v>108.34663999999999</v>
      </c>
      <c r="BN3127" s="9">
        <f t="shared" si="438"/>
        <v>1164.43</v>
      </c>
      <c r="BO3127" s="9">
        <f t="shared" si="439"/>
        <v>0</v>
      </c>
      <c r="BP3127" s="9">
        <f t="shared" si="440"/>
        <v>0</v>
      </c>
    </row>
    <row r="3128" spans="1:68">
      <c r="A3128" s="6">
        <v>45110</v>
      </c>
      <c r="B3128" s="7">
        <v>3601</v>
      </c>
      <c r="C3128" s="8">
        <v>289.48</v>
      </c>
      <c r="D3128" s="8"/>
      <c r="E3128" s="8"/>
      <c r="F3128" s="8"/>
      <c r="G3128" s="8">
        <v>434.05</v>
      </c>
      <c r="H3128" s="8"/>
      <c r="I3128" s="8"/>
      <c r="J3128" s="8"/>
      <c r="K3128" s="8"/>
      <c r="L3128" s="8"/>
      <c r="M3128" s="8">
        <v>0.89</v>
      </c>
      <c r="N3128" s="8"/>
      <c r="O3128" s="8"/>
      <c r="P3128" s="8"/>
      <c r="Q3128" s="11"/>
      <c r="R3128" s="11"/>
      <c r="S3128" s="8">
        <v>3.47</v>
      </c>
      <c r="T3128" s="8"/>
      <c r="U3128" s="8">
        <v>4.34</v>
      </c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11"/>
      <c r="AQ3128" s="8"/>
      <c r="AR3128" s="8"/>
      <c r="AS3128" s="8"/>
      <c r="AT3128" s="8">
        <v>354.42</v>
      </c>
      <c r="AU3128" s="8"/>
      <c r="AV3128" s="8"/>
      <c r="AW3128" s="8">
        <v>22.02</v>
      </c>
      <c r="AX3128" s="8"/>
      <c r="AY3128" s="8"/>
      <c r="AZ3128" s="8"/>
      <c r="BA3128" s="8"/>
      <c r="BB3128" s="8"/>
      <c r="BC3128" s="8"/>
      <c r="BD3128" s="8"/>
      <c r="BE3128" s="8"/>
      <c r="BF3128" s="8">
        <v>40.61</v>
      </c>
      <c r="BG3128" s="8">
        <v>25.81</v>
      </c>
      <c r="BH3128" s="9">
        <f t="shared" si="432"/>
        <v>723.53</v>
      </c>
      <c r="BI3128" s="9">
        <f t="shared" si="433"/>
        <v>0.89</v>
      </c>
      <c r="BJ3128" s="9">
        <f t="shared" si="434"/>
        <v>3.47</v>
      </c>
      <c r="BK3128" s="9">
        <f t="shared" si="435"/>
        <v>4.34</v>
      </c>
      <c r="BL3128" s="9">
        <f t="shared" si="436"/>
        <v>0</v>
      </c>
      <c r="BM3128" s="9">
        <f t="shared" si="437"/>
        <v>0</v>
      </c>
      <c r="BN3128" s="9">
        <f t="shared" si="438"/>
        <v>354.42</v>
      </c>
      <c r="BO3128" s="9">
        <f t="shared" si="439"/>
        <v>22.02</v>
      </c>
      <c r="BP3128" s="9">
        <f t="shared" si="440"/>
        <v>40.61</v>
      </c>
    </row>
    <row r="3129" spans="1:68">
      <c r="A3129" s="6">
        <v>45110</v>
      </c>
      <c r="B3129" s="7">
        <v>3602</v>
      </c>
      <c r="C3129" s="8">
        <v>567.30999999999995</v>
      </c>
      <c r="D3129" s="8"/>
      <c r="E3129" s="8"/>
      <c r="F3129" s="8"/>
      <c r="G3129" s="8">
        <v>850.18</v>
      </c>
      <c r="H3129" s="8"/>
      <c r="I3129" s="8"/>
      <c r="J3129" s="8"/>
      <c r="K3129" s="8"/>
      <c r="L3129" s="8"/>
      <c r="M3129" s="8">
        <v>1.69</v>
      </c>
      <c r="N3129" s="8"/>
      <c r="O3129" s="8"/>
      <c r="P3129" s="8"/>
      <c r="Q3129" s="11"/>
      <c r="R3129" s="11"/>
      <c r="S3129" s="8">
        <v>6.81</v>
      </c>
      <c r="T3129" s="8"/>
      <c r="U3129" s="8">
        <v>11.35</v>
      </c>
      <c r="V3129" s="8">
        <f>848*16.22/1000</f>
        <v>13.75456</v>
      </c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11"/>
      <c r="AQ3129" s="8"/>
      <c r="AR3129" s="8"/>
      <c r="AS3129" s="8"/>
      <c r="AT3129" s="8">
        <v>573.20000000000005</v>
      </c>
      <c r="AU3129" s="8"/>
      <c r="AV3129" s="8"/>
      <c r="AW3129" s="8">
        <v>36.67</v>
      </c>
      <c r="AX3129" s="8"/>
      <c r="AY3129" s="8"/>
      <c r="AZ3129" s="8"/>
      <c r="BA3129" s="8"/>
      <c r="BB3129" s="8"/>
      <c r="BC3129" s="8"/>
      <c r="BD3129" s="8"/>
      <c r="BE3129" s="8"/>
      <c r="BF3129" s="8">
        <v>45.46</v>
      </c>
      <c r="BG3129" s="8">
        <v>42.48</v>
      </c>
      <c r="BH3129" s="9">
        <f t="shared" si="432"/>
        <v>1417.4899999999998</v>
      </c>
      <c r="BI3129" s="9">
        <f t="shared" si="433"/>
        <v>1.69</v>
      </c>
      <c r="BJ3129" s="9">
        <f t="shared" si="434"/>
        <v>6.81</v>
      </c>
      <c r="BK3129" s="9">
        <f t="shared" si="435"/>
        <v>25.104559999999999</v>
      </c>
      <c r="BL3129" s="9">
        <f t="shared" si="436"/>
        <v>0</v>
      </c>
      <c r="BM3129" s="9">
        <f t="shared" si="437"/>
        <v>0</v>
      </c>
      <c r="BN3129" s="9">
        <f t="shared" si="438"/>
        <v>573.20000000000005</v>
      </c>
      <c r="BO3129" s="9">
        <f t="shared" si="439"/>
        <v>36.67</v>
      </c>
      <c r="BP3129" s="9">
        <f t="shared" si="440"/>
        <v>45.46</v>
      </c>
    </row>
    <row r="3130" spans="1:68">
      <c r="A3130" s="6">
        <v>45111</v>
      </c>
      <c r="B3130" s="7">
        <v>3309</v>
      </c>
      <c r="C3130" s="8"/>
      <c r="D3130" s="8">
        <v>1135.94</v>
      </c>
      <c r="E3130" s="8"/>
      <c r="F3130" s="8"/>
      <c r="G3130" s="8"/>
      <c r="H3130" s="8"/>
      <c r="I3130" s="8"/>
      <c r="J3130" s="8"/>
      <c r="K3130" s="8"/>
      <c r="L3130" s="8"/>
      <c r="M3130" s="8">
        <v>2.27</v>
      </c>
      <c r="N3130" s="8"/>
      <c r="O3130" s="8"/>
      <c r="P3130" s="8"/>
      <c r="Q3130" s="11"/>
      <c r="R3130" s="11"/>
      <c r="S3130" s="8">
        <v>1.7</v>
      </c>
      <c r="T3130" s="8"/>
      <c r="U3130" s="8">
        <v>10.25</v>
      </c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>
        <v>11.43</v>
      </c>
      <c r="AH3130" s="8"/>
      <c r="AI3130" s="8"/>
      <c r="AJ3130" s="8"/>
      <c r="AK3130" s="8"/>
      <c r="AL3130" s="8"/>
      <c r="AM3130" s="8"/>
      <c r="AN3130" s="8"/>
      <c r="AO3130" s="8"/>
      <c r="AP3130" s="11"/>
      <c r="AQ3130" s="8"/>
      <c r="AR3130" s="8"/>
      <c r="AS3130" s="8"/>
      <c r="AT3130" s="8">
        <v>303.13</v>
      </c>
      <c r="AU3130" s="8">
        <v>152.02000000000001</v>
      </c>
      <c r="AV3130" s="8"/>
      <c r="AW3130" s="8"/>
      <c r="AX3130" s="8"/>
      <c r="AY3130" s="8"/>
      <c r="AZ3130" s="8"/>
      <c r="BA3130" s="8"/>
      <c r="BB3130" s="8"/>
      <c r="BC3130" s="8">
        <v>1.06</v>
      </c>
      <c r="BD3130" s="8"/>
      <c r="BE3130" s="8"/>
      <c r="BF3130" s="8"/>
      <c r="BG3130" s="8">
        <v>31.78</v>
      </c>
      <c r="BH3130" s="9">
        <f t="shared" si="432"/>
        <v>1135.94</v>
      </c>
      <c r="BI3130" s="9">
        <f t="shared" si="433"/>
        <v>2.27</v>
      </c>
      <c r="BJ3130" s="9">
        <f t="shared" si="434"/>
        <v>1.7</v>
      </c>
      <c r="BK3130" s="9">
        <f t="shared" si="435"/>
        <v>10.25</v>
      </c>
      <c r="BL3130" s="9">
        <f t="shared" si="436"/>
        <v>0</v>
      </c>
      <c r="BM3130" s="9">
        <f t="shared" si="437"/>
        <v>11.43</v>
      </c>
      <c r="BN3130" s="9">
        <f t="shared" si="438"/>
        <v>455.15</v>
      </c>
      <c r="BO3130" s="9">
        <f t="shared" si="439"/>
        <v>1.06</v>
      </c>
      <c r="BP3130" s="9">
        <f t="shared" si="440"/>
        <v>0</v>
      </c>
    </row>
    <row r="3131" spans="1:68">
      <c r="A3131" s="6">
        <v>45111</v>
      </c>
      <c r="B3131" s="7">
        <v>3200</v>
      </c>
      <c r="C3131" s="8">
        <v>2267.52</v>
      </c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>
        <v>5.68</v>
      </c>
      <c r="P3131" s="8"/>
      <c r="Q3131" s="11"/>
      <c r="R3131" s="11"/>
      <c r="S3131" s="8">
        <v>8.84</v>
      </c>
      <c r="T3131" s="8"/>
      <c r="U3131" s="8">
        <v>34.01</v>
      </c>
      <c r="V3131" s="8"/>
      <c r="W3131" s="8"/>
      <c r="X3131" s="8"/>
      <c r="Y3131" s="8"/>
      <c r="Z3131" s="8">
        <v>476.44</v>
      </c>
      <c r="AA3131" s="8"/>
      <c r="AB3131" s="8"/>
      <c r="AC3131" s="8"/>
      <c r="AD3131" s="8"/>
      <c r="AE3131" s="8"/>
      <c r="AF3131" s="8">
        <v>112.31</v>
      </c>
      <c r="AG3131" s="8"/>
      <c r="AH3131" s="8"/>
      <c r="AI3131" s="8"/>
      <c r="AJ3131" s="8"/>
      <c r="AK3131" s="8"/>
      <c r="AL3131" s="8"/>
      <c r="AM3131" s="8"/>
      <c r="AN3131" s="8"/>
      <c r="AO3131" s="8"/>
      <c r="AP3131" s="11"/>
      <c r="AQ3131" s="8">
        <f>1524*22.67/1000</f>
        <v>34.549080000000004</v>
      </c>
      <c r="AR3131" s="8"/>
      <c r="AS3131" s="8"/>
      <c r="AT3131" s="8">
        <v>1549.75</v>
      </c>
      <c r="AU3131" s="8"/>
      <c r="AV3131" s="8"/>
      <c r="AW3131" s="8">
        <v>6.58</v>
      </c>
      <c r="AX3131" s="8"/>
      <c r="AY3131" s="8"/>
      <c r="AZ3131" s="8"/>
      <c r="BA3131" s="8"/>
      <c r="BB3131" s="8"/>
      <c r="BC3131" s="8"/>
      <c r="BD3131" s="8"/>
      <c r="BE3131" s="8"/>
      <c r="BF3131" s="8"/>
      <c r="BG3131" s="8">
        <v>112.38</v>
      </c>
      <c r="BH3131" s="9">
        <f t="shared" si="432"/>
        <v>2267.52</v>
      </c>
      <c r="BI3131" s="9">
        <f t="shared" si="433"/>
        <v>5.68</v>
      </c>
      <c r="BJ3131" s="9">
        <f t="shared" si="434"/>
        <v>8.84</v>
      </c>
      <c r="BK3131" s="9">
        <f t="shared" si="435"/>
        <v>34.01</v>
      </c>
      <c r="BL3131" s="9">
        <f t="shared" si="436"/>
        <v>476.44</v>
      </c>
      <c r="BM3131" s="9">
        <f t="shared" si="437"/>
        <v>146.85908000000001</v>
      </c>
      <c r="BN3131" s="9">
        <f t="shared" si="438"/>
        <v>1549.75</v>
      </c>
      <c r="BO3131" s="9">
        <f t="shared" si="439"/>
        <v>6.58</v>
      </c>
      <c r="BP3131" s="9">
        <f t="shared" si="440"/>
        <v>0</v>
      </c>
    </row>
    <row r="3132" spans="1:68">
      <c r="A3132" s="6">
        <v>45111</v>
      </c>
      <c r="B3132" s="7">
        <v>3104</v>
      </c>
      <c r="C3132" s="8">
        <v>1505.4</v>
      </c>
      <c r="D3132" s="8"/>
      <c r="E3132" s="8"/>
      <c r="F3132" s="8"/>
      <c r="G3132" s="8"/>
      <c r="H3132" s="8">
        <v>384.69</v>
      </c>
      <c r="I3132" s="8"/>
      <c r="J3132" s="8"/>
      <c r="K3132" s="8"/>
      <c r="L3132" s="8"/>
      <c r="M3132" s="8">
        <v>4.3099999999999996</v>
      </c>
      <c r="N3132" s="8"/>
      <c r="O3132" s="8"/>
      <c r="P3132" s="8"/>
      <c r="Q3132" s="11"/>
      <c r="R3132" s="11"/>
      <c r="S3132" s="8">
        <v>7.41</v>
      </c>
      <c r="T3132" s="8"/>
      <c r="U3132" s="8">
        <v>19.82</v>
      </c>
      <c r="V3132" s="8"/>
      <c r="W3132" s="8"/>
      <c r="X3132" s="8"/>
      <c r="Y3132" s="8"/>
      <c r="Z3132" s="8"/>
      <c r="AA3132" s="8"/>
      <c r="AB3132" s="8"/>
      <c r="AC3132" s="8">
        <v>6.89</v>
      </c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11"/>
      <c r="AQ3132" s="8"/>
      <c r="AR3132" s="8"/>
      <c r="AS3132" s="8"/>
      <c r="AT3132" s="8">
        <v>1099.71</v>
      </c>
      <c r="AU3132" s="8"/>
      <c r="AV3132" s="8"/>
      <c r="AW3132" s="8"/>
      <c r="AX3132" s="8"/>
      <c r="AY3132" s="8"/>
      <c r="AZ3132" s="8"/>
      <c r="BA3132" s="8">
        <v>39.32</v>
      </c>
      <c r="BB3132" s="8"/>
      <c r="BC3132" s="8"/>
      <c r="BD3132" s="8"/>
      <c r="BE3132" s="8"/>
      <c r="BF3132" s="8">
        <v>34.4</v>
      </c>
      <c r="BG3132" s="8">
        <v>85.22</v>
      </c>
      <c r="BH3132" s="9">
        <f t="shared" si="432"/>
        <v>1890.0900000000001</v>
      </c>
      <c r="BI3132" s="9">
        <f t="shared" si="433"/>
        <v>4.3099999999999996</v>
      </c>
      <c r="BJ3132" s="9">
        <f t="shared" si="434"/>
        <v>7.41</v>
      </c>
      <c r="BK3132" s="9">
        <f t="shared" si="435"/>
        <v>19.82</v>
      </c>
      <c r="BL3132" s="9">
        <f t="shared" si="436"/>
        <v>0</v>
      </c>
      <c r="BM3132" s="9">
        <f t="shared" si="437"/>
        <v>6.89</v>
      </c>
      <c r="BN3132" s="9">
        <f t="shared" si="438"/>
        <v>1099.71</v>
      </c>
      <c r="BO3132" s="9">
        <f t="shared" si="439"/>
        <v>39.32</v>
      </c>
      <c r="BP3132" s="9">
        <f t="shared" si="440"/>
        <v>34.4</v>
      </c>
    </row>
    <row r="3133" spans="1:68">
      <c r="A3133" s="6">
        <v>45111</v>
      </c>
      <c r="B3133" s="7">
        <v>3106</v>
      </c>
      <c r="C3133" s="8">
        <v>12171.21</v>
      </c>
      <c r="D3133" s="8"/>
      <c r="E3133" s="8"/>
      <c r="F3133" s="8"/>
      <c r="G3133" s="8"/>
      <c r="H3133" s="8"/>
      <c r="I3133" s="8"/>
      <c r="J3133" s="8"/>
      <c r="K3133" s="8"/>
      <c r="L3133" s="8"/>
      <c r="M3133" s="8">
        <v>32.880000000000003</v>
      </c>
      <c r="N3133" s="8"/>
      <c r="O3133" s="8"/>
      <c r="P3133" s="8"/>
      <c r="Q3133" s="11"/>
      <c r="R3133" s="11"/>
      <c r="S3133" s="8">
        <v>36.590000000000003</v>
      </c>
      <c r="T3133" s="8"/>
      <c r="U3133" s="8">
        <v>154.80000000000001</v>
      </c>
      <c r="V3133" s="8"/>
      <c r="W3133" s="8"/>
      <c r="X3133" s="8"/>
      <c r="Y3133" s="8"/>
      <c r="Z3133" s="8"/>
      <c r="AA3133" s="8"/>
      <c r="AB3133" s="8"/>
      <c r="AC3133" s="8">
        <v>30.44</v>
      </c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11"/>
      <c r="AQ3133" s="8"/>
      <c r="AR3133" s="8"/>
      <c r="AS3133" s="8"/>
      <c r="AT3133" s="8">
        <v>6940.03</v>
      </c>
      <c r="AU3133" s="8"/>
      <c r="AV3133" s="8"/>
      <c r="AW3133" s="8"/>
      <c r="AX3133" s="8">
        <v>15.22</v>
      </c>
      <c r="AY3133" s="8"/>
      <c r="AZ3133" s="8"/>
      <c r="BA3133" s="8"/>
      <c r="BB3133" s="8"/>
      <c r="BC3133" s="8"/>
      <c r="BD3133" s="8"/>
      <c r="BE3133" s="8"/>
      <c r="BF3133" s="8"/>
      <c r="BG3133" s="8">
        <v>523.28</v>
      </c>
      <c r="BH3133" s="9">
        <f t="shared" si="432"/>
        <v>12171.21</v>
      </c>
      <c r="BI3133" s="9">
        <f t="shared" si="433"/>
        <v>32.880000000000003</v>
      </c>
      <c r="BJ3133" s="9">
        <f t="shared" si="434"/>
        <v>36.590000000000003</v>
      </c>
      <c r="BK3133" s="9">
        <f t="shared" si="435"/>
        <v>154.80000000000001</v>
      </c>
      <c r="BL3133" s="9">
        <f t="shared" si="436"/>
        <v>0</v>
      </c>
      <c r="BM3133" s="9">
        <f t="shared" si="437"/>
        <v>30.44</v>
      </c>
      <c r="BN3133" s="9">
        <f t="shared" si="438"/>
        <v>6940.03</v>
      </c>
      <c r="BO3133" s="9">
        <f t="shared" si="439"/>
        <v>15.22</v>
      </c>
      <c r="BP3133" s="9">
        <f t="shared" si="440"/>
        <v>0</v>
      </c>
    </row>
    <row r="3134" spans="1:68">
      <c r="A3134" s="6">
        <v>45111</v>
      </c>
      <c r="B3134" s="7">
        <v>3078</v>
      </c>
      <c r="C3134" s="8"/>
      <c r="D3134" s="8"/>
      <c r="E3134" s="8"/>
      <c r="F3134" s="8">
        <v>156.21</v>
      </c>
      <c r="G3134" s="8"/>
      <c r="H3134" s="8"/>
      <c r="I3134" s="8">
        <v>545.36</v>
      </c>
      <c r="J3134" s="8"/>
      <c r="K3134" s="8">
        <f>8045*9.77/1000</f>
        <v>78.599649999999997</v>
      </c>
      <c r="L3134" s="8"/>
      <c r="M3134" s="8"/>
      <c r="N3134" s="8">
        <v>6.18</v>
      </c>
      <c r="O3134" s="8"/>
      <c r="P3134" s="8"/>
      <c r="Q3134" s="11"/>
      <c r="R3134" s="11"/>
      <c r="S3134" s="8">
        <v>1.56</v>
      </c>
      <c r="T3134" s="8"/>
      <c r="U3134" s="8"/>
      <c r="V3134" s="8"/>
      <c r="W3134" s="8">
        <v>11.73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>
        <v>7.78</v>
      </c>
      <c r="AN3134" s="8"/>
      <c r="AO3134" s="8"/>
      <c r="AP3134" s="11"/>
      <c r="AQ3134" s="8"/>
      <c r="AR3134" s="8"/>
      <c r="AS3134" s="8">
        <f>2013*9.77/1000</f>
        <v>19.667009999999998</v>
      </c>
      <c r="AT3134" s="8">
        <v>376.85</v>
      </c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>
        <v>39.090000000000003</v>
      </c>
      <c r="BG3134" s="8">
        <v>26.49</v>
      </c>
      <c r="BH3134" s="9">
        <f t="shared" si="432"/>
        <v>780.16965000000005</v>
      </c>
      <c r="BI3134" s="9">
        <f t="shared" si="433"/>
        <v>6.18</v>
      </c>
      <c r="BJ3134" s="9">
        <f t="shared" si="434"/>
        <v>1.56</v>
      </c>
      <c r="BK3134" s="9">
        <f t="shared" si="435"/>
        <v>11.73</v>
      </c>
      <c r="BL3134" s="9">
        <f t="shared" si="436"/>
        <v>0</v>
      </c>
      <c r="BM3134" s="9">
        <f t="shared" si="437"/>
        <v>27.447009999999999</v>
      </c>
      <c r="BN3134" s="9">
        <f t="shared" si="438"/>
        <v>376.85</v>
      </c>
      <c r="BO3134" s="9">
        <f t="shared" si="439"/>
        <v>0</v>
      </c>
      <c r="BP3134" s="9">
        <f t="shared" si="440"/>
        <v>39.090000000000003</v>
      </c>
    </row>
    <row r="3135" spans="1:68">
      <c r="A3135" s="6">
        <v>45111</v>
      </c>
      <c r="B3135" s="7">
        <v>3025</v>
      </c>
      <c r="C3135" s="8"/>
      <c r="D3135" s="8">
        <v>219.19</v>
      </c>
      <c r="E3135" s="8"/>
      <c r="F3135" s="8"/>
      <c r="G3135" s="8"/>
      <c r="H3135" s="8"/>
      <c r="I3135" s="8">
        <v>1265.6500000000001</v>
      </c>
      <c r="J3135" s="8"/>
      <c r="K3135" s="8"/>
      <c r="L3135" s="8"/>
      <c r="M3135" s="8"/>
      <c r="N3135" s="8">
        <v>8.36</v>
      </c>
      <c r="O3135" s="8"/>
      <c r="P3135" s="8"/>
      <c r="Q3135" s="11"/>
      <c r="R3135" s="11"/>
      <c r="S3135" s="8">
        <v>2.38</v>
      </c>
      <c r="T3135" s="8"/>
      <c r="U3135" s="8"/>
      <c r="V3135" s="8"/>
      <c r="W3135" s="8">
        <v>13.43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>
        <v>14.7</v>
      </c>
      <c r="AN3135" s="8">
        <f>708*14.9/1000</f>
        <v>10.549200000000001</v>
      </c>
      <c r="AO3135" s="8"/>
      <c r="AP3135" s="11"/>
      <c r="AQ3135" s="8"/>
      <c r="AR3135" s="8"/>
      <c r="AS3135" s="8">
        <f>3314*14.9/1000</f>
        <v>49.378599999999999</v>
      </c>
      <c r="AT3135" s="8">
        <v>513.72</v>
      </c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>
        <v>34.119999999999997</v>
      </c>
      <c r="BH3135" s="9">
        <f t="shared" si="432"/>
        <v>1484.8400000000001</v>
      </c>
      <c r="BI3135" s="9">
        <f t="shared" si="433"/>
        <v>8.36</v>
      </c>
      <c r="BJ3135" s="9">
        <f t="shared" si="434"/>
        <v>2.38</v>
      </c>
      <c r="BK3135" s="9">
        <f t="shared" si="435"/>
        <v>13.43</v>
      </c>
      <c r="BL3135" s="9">
        <f t="shared" si="436"/>
        <v>0</v>
      </c>
      <c r="BM3135" s="9">
        <f t="shared" si="437"/>
        <v>74.627800000000008</v>
      </c>
      <c r="BN3135" s="9">
        <f t="shared" si="438"/>
        <v>513.72</v>
      </c>
      <c r="BO3135" s="9">
        <f t="shared" si="439"/>
        <v>0</v>
      </c>
      <c r="BP3135" s="9">
        <f t="shared" si="440"/>
        <v>0</v>
      </c>
    </row>
    <row r="3136" spans="1:68">
      <c r="A3136" s="6">
        <v>45111</v>
      </c>
      <c r="B3136" s="7">
        <v>3022</v>
      </c>
      <c r="C3136" s="8"/>
      <c r="D3136" s="8">
        <v>594.71</v>
      </c>
      <c r="E3136" s="8"/>
      <c r="F3136" s="8"/>
      <c r="G3136" s="8"/>
      <c r="H3136" s="8"/>
      <c r="I3136" s="8">
        <v>488.58</v>
      </c>
      <c r="J3136" s="8"/>
      <c r="K3136" s="8"/>
      <c r="L3136" s="8"/>
      <c r="M3136" s="8"/>
      <c r="N3136" s="8">
        <v>5.42</v>
      </c>
      <c r="O3136" s="8"/>
      <c r="P3136" s="8"/>
      <c r="Q3136" s="11"/>
      <c r="R3136" s="11"/>
      <c r="S3136" s="8">
        <v>1.95</v>
      </c>
      <c r="T3136" s="8"/>
      <c r="U3136" s="8"/>
      <c r="V3136" s="8"/>
      <c r="W3136" s="8">
        <v>10.87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>
        <v>14.04</v>
      </c>
      <c r="AN3136" s="8"/>
      <c r="AO3136" s="8"/>
      <c r="AP3136" s="11"/>
      <c r="AQ3136" s="8"/>
      <c r="AR3136" s="8"/>
      <c r="AS3136" s="8">
        <f>3888*9.85/1000</f>
        <v>38.296799999999998</v>
      </c>
      <c r="AT3136" s="8">
        <v>506.4</v>
      </c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>
        <v>38.909999999999997</v>
      </c>
      <c r="BH3136" s="9">
        <f t="shared" si="432"/>
        <v>1083.29</v>
      </c>
      <c r="BI3136" s="9">
        <f t="shared" si="433"/>
        <v>5.42</v>
      </c>
      <c r="BJ3136" s="9">
        <f t="shared" si="434"/>
        <v>1.95</v>
      </c>
      <c r="BK3136" s="9">
        <f t="shared" si="435"/>
        <v>10.87</v>
      </c>
      <c r="BL3136" s="9">
        <f t="shared" si="436"/>
        <v>0</v>
      </c>
      <c r="BM3136" s="9">
        <f t="shared" si="437"/>
        <v>52.336799999999997</v>
      </c>
      <c r="BN3136" s="9">
        <f t="shared" si="438"/>
        <v>506.4</v>
      </c>
      <c r="BO3136" s="9">
        <f t="shared" si="439"/>
        <v>0</v>
      </c>
      <c r="BP3136" s="9">
        <f t="shared" si="440"/>
        <v>0</v>
      </c>
    </row>
    <row r="3137" spans="1:68">
      <c r="A3137" s="6">
        <v>45112</v>
      </c>
      <c r="B3137" s="7">
        <v>3307</v>
      </c>
      <c r="C3137" s="8"/>
      <c r="D3137" s="8">
        <v>990.72</v>
      </c>
      <c r="E3137" s="8"/>
      <c r="F3137" s="8"/>
      <c r="G3137" s="8"/>
      <c r="H3137" s="8"/>
      <c r="I3137" s="8"/>
      <c r="J3137" s="8"/>
      <c r="K3137" s="8"/>
      <c r="L3137" s="8"/>
      <c r="M3137" s="8">
        <v>0.9</v>
      </c>
      <c r="N3137" s="8"/>
      <c r="O3137" s="8"/>
      <c r="P3137" s="8"/>
      <c r="Q3137" s="11"/>
      <c r="R3137" s="11"/>
      <c r="S3137" s="8">
        <v>6.73</v>
      </c>
      <c r="T3137" s="8"/>
      <c r="U3137" s="8">
        <v>9.91</v>
      </c>
      <c r="V3137" s="8"/>
      <c r="W3137" s="8"/>
      <c r="X3137" s="8"/>
      <c r="Y3137" s="8"/>
      <c r="Z3137" s="8"/>
      <c r="AA3137" s="8"/>
      <c r="AB3137" s="8"/>
      <c r="AC3137" s="8">
        <v>5.94</v>
      </c>
      <c r="AD3137" s="8"/>
      <c r="AE3137" s="8"/>
      <c r="AF3137" s="8"/>
      <c r="AG3137" s="8">
        <v>9.94</v>
      </c>
      <c r="AH3137" s="8"/>
      <c r="AI3137" s="8"/>
      <c r="AJ3137" s="8"/>
      <c r="AK3137" s="8"/>
      <c r="AL3137" s="8"/>
      <c r="AM3137" s="8"/>
      <c r="AN3137" s="8"/>
      <c r="AO3137" s="8"/>
      <c r="AP3137" s="11"/>
      <c r="AQ3137" s="8"/>
      <c r="AR3137" s="8"/>
      <c r="AS3137" s="8"/>
      <c r="AT3137" s="8"/>
      <c r="AU3137" s="8">
        <v>495.96</v>
      </c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>
        <v>35.61</v>
      </c>
      <c r="BH3137" s="9">
        <f t="shared" si="432"/>
        <v>990.72</v>
      </c>
      <c r="BI3137" s="9">
        <f t="shared" si="433"/>
        <v>0.9</v>
      </c>
      <c r="BJ3137" s="9">
        <f t="shared" si="434"/>
        <v>6.73</v>
      </c>
      <c r="BK3137" s="9">
        <f t="shared" si="435"/>
        <v>9.91</v>
      </c>
      <c r="BL3137" s="9">
        <f t="shared" si="436"/>
        <v>0</v>
      </c>
      <c r="BM3137" s="9">
        <f t="shared" si="437"/>
        <v>15.879999999999999</v>
      </c>
      <c r="BN3137" s="9">
        <f t="shared" si="438"/>
        <v>495.96</v>
      </c>
      <c r="BO3137" s="9">
        <f t="shared" si="439"/>
        <v>0</v>
      </c>
      <c r="BP3137" s="9">
        <f t="shared" si="440"/>
        <v>0</v>
      </c>
    </row>
    <row r="3138" spans="1:68">
      <c r="A3138" s="6">
        <v>45112</v>
      </c>
      <c r="B3138" s="7">
        <v>3200</v>
      </c>
      <c r="C3138" s="8">
        <v>2287.71</v>
      </c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>
        <v>5.72</v>
      </c>
      <c r="P3138" s="8"/>
      <c r="Q3138" s="11"/>
      <c r="R3138" s="11"/>
      <c r="S3138" s="8">
        <v>8.93</v>
      </c>
      <c r="T3138" s="8"/>
      <c r="U3138" s="8">
        <v>34.39</v>
      </c>
      <c r="V3138" s="8"/>
      <c r="W3138" s="8"/>
      <c r="X3138" s="8"/>
      <c r="Y3138" s="8"/>
      <c r="Z3138" s="8">
        <v>481.39</v>
      </c>
      <c r="AA3138" s="8"/>
      <c r="AB3138" s="8"/>
      <c r="AC3138" s="8"/>
      <c r="AD3138" s="8"/>
      <c r="AE3138" s="8"/>
      <c r="AF3138" s="8">
        <v>113.58</v>
      </c>
      <c r="AG3138" s="8"/>
      <c r="AH3138" s="8"/>
      <c r="AI3138" s="8"/>
      <c r="AJ3138" s="8"/>
      <c r="AK3138" s="8"/>
      <c r="AL3138" s="8"/>
      <c r="AM3138" s="8"/>
      <c r="AN3138" s="8"/>
      <c r="AO3138" s="8"/>
      <c r="AP3138" s="11"/>
      <c r="AQ3138" s="8">
        <f>1513*22.9/1000</f>
        <v>34.6477</v>
      </c>
      <c r="AR3138" s="8"/>
      <c r="AS3138" s="8"/>
      <c r="AT3138" s="8">
        <v>1568.56</v>
      </c>
      <c r="AU3138" s="8"/>
      <c r="AV3138" s="8"/>
      <c r="AW3138" s="8">
        <v>6.66</v>
      </c>
      <c r="AX3138" s="8"/>
      <c r="AY3138" s="8"/>
      <c r="AZ3138" s="8"/>
      <c r="BA3138" s="8"/>
      <c r="BB3138" s="8"/>
      <c r="BC3138" s="8"/>
      <c r="BD3138" s="8"/>
      <c r="BE3138" s="8"/>
      <c r="BF3138" s="8">
        <v>110.03</v>
      </c>
      <c r="BG3138" s="8">
        <v>113.25</v>
      </c>
      <c r="BH3138" s="9">
        <f t="shared" si="432"/>
        <v>2287.71</v>
      </c>
      <c r="BI3138" s="9">
        <f t="shared" si="433"/>
        <v>5.72</v>
      </c>
      <c r="BJ3138" s="9">
        <f t="shared" si="434"/>
        <v>8.93</v>
      </c>
      <c r="BK3138" s="9">
        <f t="shared" si="435"/>
        <v>34.39</v>
      </c>
      <c r="BL3138" s="9">
        <f t="shared" si="436"/>
        <v>481.39</v>
      </c>
      <c r="BM3138" s="9">
        <f t="shared" si="437"/>
        <v>148.2277</v>
      </c>
      <c r="BN3138" s="9">
        <f t="shared" si="438"/>
        <v>1568.56</v>
      </c>
      <c r="BO3138" s="9">
        <f t="shared" si="439"/>
        <v>6.66</v>
      </c>
      <c r="BP3138" s="9">
        <f t="shared" si="440"/>
        <v>110.03</v>
      </c>
    </row>
    <row r="3139" spans="1:68">
      <c r="A3139" s="6">
        <v>45112</v>
      </c>
      <c r="B3139" s="7">
        <v>3141</v>
      </c>
      <c r="C3139" s="8">
        <v>2415.9299999999998</v>
      </c>
      <c r="D3139" s="8">
        <v>426.71</v>
      </c>
      <c r="E3139" s="8"/>
      <c r="F3139" s="8"/>
      <c r="G3139" s="8"/>
      <c r="H3139" s="8"/>
      <c r="I3139" s="8"/>
      <c r="J3139" s="8"/>
      <c r="K3139" s="8"/>
      <c r="L3139" s="8"/>
      <c r="M3139" s="8">
        <v>8.27</v>
      </c>
      <c r="N3139" s="8"/>
      <c r="O3139" s="8"/>
      <c r="P3139" s="8"/>
      <c r="Q3139" s="11"/>
      <c r="R3139" s="11"/>
      <c r="S3139" s="8">
        <v>13.38</v>
      </c>
      <c r="T3139" s="8"/>
      <c r="U3139" s="8">
        <v>42.69</v>
      </c>
      <c r="V3139" s="8"/>
      <c r="W3139" s="8"/>
      <c r="X3139" s="8"/>
      <c r="Y3139" s="8"/>
      <c r="Z3139" s="8"/>
      <c r="AA3139" s="8"/>
      <c r="AB3139" s="8"/>
      <c r="AC3139" s="8">
        <v>11.39</v>
      </c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11"/>
      <c r="AQ3139" s="8"/>
      <c r="AR3139" s="8"/>
      <c r="AS3139" s="8"/>
      <c r="AT3139" s="8">
        <v>1899.4</v>
      </c>
      <c r="AU3139" s="8"/>
      <c r="AV3139" s="8"/>
      <c r="AW3139" s="8"/>
      <c r="AX3139" s="8"/>
      <c r="AY3139" s="8"/>
      <c r="AZ3139" s="8"/>
      <c r="BA3139" s="8">
        <v>65.23</v>
      </c>
      <c r="BB3139" s="8"/>
      <c r="BC3139" s="8"/>
      <c r="BD3139" s="8"/>
      <c r="BE3139" s="8"/>
      <c r="BF3139" s="8">
        <v>199.16</v>
      </c>
      <c r="BG3139" s="8">
        <v>147.91999999999999</v>
      </c>
      <c r="BH3139" s="9">
        <f t="shared" si="432"/>
        <v>2842.64</v>
      </c>
      <c r="BI3139" s="9">
        <f t="shared" si="433"/>
        <v>8.27</v>
      </c>
      <c r="BJ3139" s="9">
        <f t="shared" si="434"/>
        <v>13.38</v>
      </c>
      <c r="BK3139" s="9">
        <f t="shared" si="435"/>
        <v>42.69</v>
      </c>
      <c r="BL3139" s="9">
        <f t="shared" si="436"/>
        <v>0</v>
      </c>
      <c r="BM3139" s="9">
        <f t="shared" si="437"/>
        <v>11.39</v>
      </c>
      <c r="BN3139" s="9">
        <f t="shared" si="438"/>
        <v>1899.4</v>
      </c>
      <c r="BO3139" s="9">
        <f t="shared" si="439"/>
        <v>65.23</v>
      </c>
      <c r="BP3139" s="9">
        <f t="shared" si="440"/>
        <v>199.16</v>
      </c>
    </row>
    <row r="3140" spans="1:68">
      <c r="A3140" s="6">
        <v>45112</v>
      </c>
      <c r="B3140" s="7">
        <v>3106</v>
      </c>
      <c r="C3140" s="8">
        <v>6152.06</v>
      </c>
      <c r="D3140" s="8"/>
      <c r="E3140" s="8"/>
      <c r="F3140" s="8"/>
      <c r="G3140" s="8"/>
      <c r="H3140" s="8"/>
      <c r="I3140" s="8"/>
      <c r="J3140" s="8"/>
      <c r="K3140" s="8"/>
      <c r="L3140" s="8"/>
      <c r="M3140" s="8">
        <v>16.600000000000001</v>
      </c>
      <c r="N3140" s="8"/>
      <c r="O3140" s="8"/>
      <c r="P3140" s="8"/>
      <c r="Q3140" s="11"/>
      <c r="R3140" s="11"/>
      <c r="S3140" s="8">
        <v>18.510000000000002</v>
      </c>
      <c r="T3140" s="8"/>
      <c r="U3140" s="8">
        <v>78.290000000000006</v>
      </c>
      <c r="V3140" s="8"/>
      <c r="W3140" s="8"/>
      <c r="X3140" s="8"/>
      <c r="Y3140" s="8"/>
      <c r="Z3140" s="8"/>
      <c r="AA3140" s="8"/>
      <c r="AB3140" s="8"/>
      <c r="AC3140" s="8">
        <v>15.39</v>
      </c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11"/>
      <c r="AQ3140" s="8"/>
      <c r="AR3140" s="8"/>
      <c r="AS3140" s="8"/>
      <c r="AT3140" s="8">
        <v>3507.56</v>
      </c>
      <c r="AU3140" s="8"/>
      <c r="AV3140" s="8"/>
      <c r="AW3140" s="8"/>
      <c r="AX3140" s="8">
        <v>7.7</v>
      </c>
      <c r="AY3140" s="8"/>
      <c r="AZ3140" s="8"/>
      <c r="BA3140" s="8"/>
      <c r="BB3140" s="8"/>
      <c r="BC3140" s="8"/>
      <c r="BD3140" s="8"/>
      <c r="BE3140" s="8"/>
      <c r="BF3140" s="8"/>
      <c r="BG3140" s="8">
        <v>264.79000000000002</v>
      </c>
      <c r="BH3140" s="9">
        <f t="shared" ref="BH3140:BH3203" si="441">SUM(C3140:L3140)</f>
        <v>6152.06</v>
      </c>
      <c r="BI3140" s="9">
        <f t="shared" ref="BI3140:BI3203" si="442">SUM(M3140:R3140)</f>
        <v>16.600000000000001</v>
      </c>
      <c r="BJ3140" s="9">
        <f t="shared" ref="BJ3140:BJ3203" si="443">SUM(S3140)</f>
        <v>18.510000000000002</v>
      </c>
      <c r="BK3140" s="9">
        <f t="shared" ref="BK3140:BK3203" si="444">SUM(T3140:Y3140)</f>
        <v>78.290000000000006</v>
      </c>
      <c r="BL3140" s="9">
        <f t="shared" ref="BL3140:BL3203" si="445">SUM(Z3140:AA3140)</f>
        <v>0</v>
      </c>
      <c r="BM3140" s="9">
        <f t="shared" ref="BM3140:BM3203" si="446">SUM(AB3140:AS3140)</f>
        <v>15.39</v>
      </c>
      <c r="BN3140" s="9">
        <f t="shared" ref="BN3140:BN3203" si="447">SUM(AT3140:AU3140)</f>
        <v>3507.56</v>
      </c>
      <c r="BO3140" s="9">
        <f t="shared" ref="BO3140:BO3203" si="448">SUM(AV3140:BE3140)</f>
        <v>7.7</v>
      </c>
      <c r="BP3140" s="9">
        <f t="shared" ref="BP3140:BP3203" si="449">SUM(BF3140)</f>
        <v>0</v>
      </c>
    </row>
    <row r="3141" spans="1:68">
      <c r="A3141" s="6">
        <v>45112</v>
      </c>
      <c r="B3141" s="7">
        <v>3079</v>
      </c>
      <c r="C3141" s="8"/>
      <c r="D3141" s="8"/>
      <c r="E3141" s="8"/>
      <c r="F3141" s="8">
        <v>343.33</v>
      </c>
      <c r="G3141" s="8"/>
      <c r="H3141" s="8"/>
      <c r="I3141" s="8">
        <v>2778.53</v>
      </c>
      <c r="J3141" s="8"/>
      <c r="K3141" s="8"/>
      <c r="L3141" s="8"/>
      <c r="M3141" s="8"/>
      <c r="N3141" s="8">
        <v>22.81</v>
      </c>
      <c r="O3141" s="8"/>
      <c r="P3141" s="8"/>
      <c r="Q3141" s="11"/>
      <c r="R3141" s="11"/>
      <c r="S3141" s="8">
        <v>1.22</v>
      </c>
      <c r="T3141" s="8"/>
      <c r="U3141" s="8"/>
      <c r="V3141" s="8"/>
      <c r="W3141" s="8">
        <v>31.25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>
        <v>12.42</v>
      </c>
      <c r="AN3141" s="8">
        <f>1710*18.38/1000</f>
        <v>31.4298</v>
      </c>
      <c r="AO3141" s="8"/>
      <c r="AP3141" s="11"/>
      <c r="AQ3141" s="8"/>
      <c r="AR3141" s="8">
        <f>4331*18.38/1000</f>
        <v>79.60378</v>
      </c>
      <c r="AS3141" s="8"/>
      <c r="AT3141" s="8">
        <v>1200.79</v>
      </c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>
        <v>87.09</v>
      </c>
      <c r="BH3141" s="9">
        <f t="shared" si="441"/>
        <v>3121.86</v>
      </c>
      <c r="BI3141" s="9">
        <f t="shared" si="442"/>
        <v>22.81</v>
      </c>
      <c r="BJ3141" s="9">
        <f t="shared" si="443"/>
        <v>1.22</v>
      </c>
      <c r="BK3141" s="9">
        <f t="shared" si="444"/>
        <v>31.25</v>
      </c>
      <c r="BL3141" s="9">
        <f t="shared" si="445"/>
        <v>0</v>
      </c>
      <c r="BM3141" s="9">
        <f t="shared" si="446"/>
        <v>123.45358</v>
      </c>
      <c r="BN3141" s="9">
        <f t="shared" si="447"/>
        <v>1200.79</v>
      </c>
      <c r="BO3141" s="9">
        <f t="shared" si="448"/>
        <v>0</v>
      </c>
      <c r="BP3141" s="9">
        <f t="shared" si="449"/>
        <v>0</v>
      </c>
    </row>
    <row r="3142" spans="1:68">
      <c r="A3142" s="6">
        <v>45112</v>
      </c>
      <c r="B3142" s="7">
        <v>3016</v>
      </c>
      <c r="C3142" s="8"/>
      <c r="D3142" s="8">
        <v>1611.35</v>
      </c>
      <c r="E3142" s="8"/>
      <c r="F3142" s="8"/>
      <c r="G3142" s="8"/>
      <c r="H3142" s="8"/>
      <c r="I3142" s="8">
        <v>1489.93</v>
      </c>
      <c r="J3142" s="8"/>
      <c r="K3142" s="8"/>
      <c r="L3142" s="8"/>
      <c r="M3142" s="8"/>
      <c r="N3142" s="8">
        <v>19.21</v>
      </c>
      <c r="O3142" s="8"/>
      <c r="P3142" s="8"/>
      <c r="Q3142" s="11"/>
      <c r="R3142" s="11"/>
      <c r="S3142" s="8">
        <v>2.16</v>
      </c>
      <c r="T3142" s="8"/>
      <c r="U3142" s="8"/>
      <c r="V3142" s="8"/>
      <c r="W3142" s="8">
        <v>31.01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>
        <v>12.29</v>
      </c>
      <c r="AN3142" s="8">
        <f>2072*18.23/1000</f>
        <v>37.772559999999999</v>
      </c>
      <c r="AO3142" s="8"/>
      <c r="AP3142" s="11"/>
      <c r="AQ3142" s="8"/>
      <c r="AR3142" s="8">
        <f>4331*18.23/1000</f>
        <v>78.954130000000006</v>
      </c>
      <c r="AS3142" s="8"/>
      <c r="AT3142" s="8">
        <v>1152.47</v>
      </c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>
        <v>84.11</v>
      </c>
      <c r="BH3142" s="9">
        <f t="shared" si="441"/>
        <v>3101.2799999999997</v>
      </c>
      <c r="BI3142" s="9">
        <f t="shared" si="442"/>
        <v>19.21</v>
      </c>
      <c r="BJ3142" s="9">
        <f t="shared" si="443"/>
        <v>2.16</v>
      </c>
      <c r="BK3142" s="9">
        <f t="shared" si="444"/>
        <v>31.01</v>
      </c>
      <c r="BL3142" s="9">
        <f t="shared" si="445"/>
        <v>0</v>
      </c>
      <c r="BM3142" s="9">
        <f t="shared" si="446"/>
        <v>129.01669000000001</v>
      </c>
      <c r="BN3142" s="9">
        <f t="shared" si="447"/>
        <v>1152.47</v>
      </c>
      <c r="BO3142" s="9">
        <f t="shared" si="448"/>
        <v>0</v>
      </c>
      <c r="BP3142" s="9">
        <f t="shared" si="449"/>
        <v>0</v>
      </c>
    </row>
    <row r="3143" spans="1:68">
      <c r="A3143" s="6">
        <v>45112</v>
      </c>
      <c r="B3143" s="7">
        <v>3601</v>
      </c>
      <c r="C3143" s="8">
        <v>290.47000000000003</v>
      </c>
      <c r="D3143" s="8"/>
      <c r="E3143" s="8"/>
      <c r="F3143" s="8"/>
      <c r="G3143" s="8">
        <v>435.37</v>
      </c>
      <c r="H3143" s="8"/>
      <c r="I3143" s="8"/>
      <c r="J3143" s="8"/>
      <c r="K3143" s="8"/>
      <c r="L3143" s="8"/>
      <c r="M3143" s="8">
        <v>0.87</v>
      </c>
      <c r="N3143" s="8"/>
      <c r="O3143" s="8"/>
      <c r="P3143" s="8"/>
      <c r="Q3143" s="11"/>
      <c r="R3143" s="11"/>
      <c r="S3143" s="8">
        <v>3.49</v>
      </c>
      <c r="T3143" s="8"/>
      <c r="U3143" s="8">
        <v>4.38</v>
      </c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11"/>
      <c r="AQ3143" s="8"/>
      <c r="AR3143" s="8"/>
      <c r="AS3143" s="8"/>
      <c r="AT3143" s="8">
        <v>355.57</v>
      </c>
      <c r="AU3143" s="8"/>
      <c r="AV3143" s="8"/>
      <c r="AW3143" s="8">
        <v>22.09</v>
      </c>
      <c r="AX3143" s="8"/>
      <c r="AY3143" s="8"/>
      <c r="AZ3143" s="8"/>
      <c r="BA3143" s="8"/>
      <c r="BB3143" s="8"/>
      <c r="BC3143" s="8"/>
      <c r="BD3143" s="8"/>
      <c r="BE3143" s="8"/>
      <c r="BF3143" s="8">
        <v>40.729999999999997</v>
      </c>
      <c r="BG3143" s="8">
        <v>25.94</v>
      </c>
      <c r="BH3143" s="9">
        <f t="shared" si="441"/>
        <v>725.84</v>
      </c>
      <c r="BI3143" s="9">
        <f t="shared" si="442"/>
        <v>0.87</v>
      </c>
      <c r="BJ3143" s="9">
        <f t="shared" si="443"/>
        <v>3.49</v>
      </c>
      <c r="BK3143" s="9">
        <f t="shared" si="444"/>
        <v>4.38</v>
      </c>
      <c r="BL3143" s="9">
        <f t="shared" si="445"/>
        <v>0</v>
      </c>
      <c r="BM3143" s="9">
        <f t="shared" si="446"/>
        <v>0</v>
      </c>
      <c r="BN3143" s="9">
        <f t="shared" si="447"/>
        <v>355.57</v>
      </c>
      <c r="BO3143" s="9">
        <f t="shared" si="448"/>
        <v>22.09</v>
      </c>
      <c r="BP3143" s="9">
        <f t="shared" si="449"/>
        <v>40.729999999999997</v>
      </c>
    </row>
    <row r="3144" spans="1:68">
      <c r="A3144" s="6">
        <v>45112</v>
      </c>
      <c r="B3144" s="7">
        <v>3602</v>
      </c>
      <c r="C3144" s="8">
        <v>576.91999999999996</v>
      </c>
      <c r="D3144" s="8"/>
      <c r="E3144" s="8"/>
      <c r="F3144" s="8"/>
      <c r="G3144" s="8">
        <v>867.24</v>
      </c>
      <c r="H3144" s="8"/>
      <c r="I3144" s="8"/>
      <c r="J3144" s="8"/>
      <c r="K3144" s="8"/>
      <c r="L3144" s="8"/>
      <c r="M3144" s="8">
        <v>1.69</v>
      </c>
      <c r="N3144" s="8"/>
      <c r="O3144" s="8"/>
      <c r="P3144" s="8"/>
      <c r="Q3144" s="11"/>
      <c r="R3144" s="11"/>
      <c r="S3144" s="8">
        <v>6.94</v>
      </c>
      <c r="T3144" s="8"/>
      <c r="U3144" s="8">
        <v>11.59</v>
      </c>
      <c r="V3144" s="8">
        <f>868*16.53/1000</f>
        <v>14.348040000000001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11"/>
      <c r="AQ3144" s="8"/>
      <c r="AR3144" s="8"/>
      <c r="AS3144" s="8"/>
      <c r="AT3144" s="8">
        <v>583.29999999999995</v>
      </c>
      <c r="AU3144" s="8"/>
      <c r="AV3144" s="8"/>
      <c r="AW3144" s="8">
        <v>37.369999999999997</v>
      </c>
      <c r="AX3144" s="8"/>
      <c r="AY3144" s="8"/>
      <c r="AZ3144" s="8"/>
      <c r="BA3144" s="8"/>
      <c r="BB3144" s="8"/>
      <c r="BC3144" s="8"/>
      <c r="BD3144" s="8"/>
      <c r="BE3144" s="8"/>
      <c r="BF3144" s="8">
        <v>46.3</v>
      </c>
      <c r="BG3144" s="8">
        <v>42.87</v>
      </c>
      <c r="BH3144" s="9">
        <f t="shared" si="441"/>
        <v>1444.1599999999999</v>
      </c>
      <c r="BI3144" s="9">
        <f t="shared" si="442"/>
        <v>1.69</v>
      </c>
      <c r="BJ3144" s="9">
        <f t="shared" si="443"/>
        <v>6.94</v>
      </c>
      <c r="BK3144" s="9">
        <f t="shared" si="444"/>
        <v>25.938040000000001</v>
      </c>
      <c r="BL3144" s="9">
        <f t="shared" si="445"/>
        <v>0</v>
      </c>
      <c r="BM3144" s="9">
        <f t="shared" si="446"/>
        <v>0</v>
      </c>
      <c r="BN3144" s="9">
        <f t="shared" si="447"/>
        <v>583.29999999999995</v>
      </c>
      <c r="BO3144" s="9">
        <f t="shared" si="448"/>
        <v>37.369999999999997</v>
      </c>
      <c r="BP3144" s="9">
        <f t="shared" si="449"/>
        <v>46.3</v>
      </c>
    </row>
    <row r="3145" spans="1:68">
      <c r="A3145" s="6">
        <v>45113</v>
      </c>
      <c r="B3145" s="7">
        <v>3310</v>
      </c>
      <c r="C3145" s="8"/>
      <c r="D3145" s="8">
        <v>262.74</v>
      </c>
      <c r="E3145" s="8"/>
      <c r="F3145" s="8"/>
      <c r="G3145" s="8"/>
      <c r="H3145" s="8"/>
      <c r="I3145" s="8"/>
      <c r="J3145" s="8"/>
      <c r="K3145" s="8"/>
      <c r="L3145" s="8"/>
      <c r="M3145" s="8">
        <v>0.53</v>
      </c>
      <c r="N3145" s="8"/>
      <c r="O3145" s="8"/>
      <c r="P3145" s="8"/>
      <c r="Q3145" s="11"/>
      <c r="R3145" s="11"/>
      <c r="S3145" s="8">
        <v>0.39</v>
      </c>
      <c r="T3145" s="8"/>
      <c r="U3145" s="8">
        <v>2.37</v>
      </c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>
        <v>2.63</v>
      </c>
      <c r="AH3145" s="8"/>
      <c r="AI3145" s="8"/>
      <c r="AJ3145" s="8"/>
      <c r="AK3145" s="8"/>
      <c r="AL3145" s="8"/>
      <c r="AM3145" s="8"/>
      <c r="AN3145" s="8"/>
      <c r="AO3145" s="8"/>
      <c r="AP3145" s="11"/>
      <c r="AQ3145" s="8"/>
      <c r="AR3145" s="8"/>
      <c r="AS3145" s="8"/>
      <c r="AT3145" s="8">
        <v>70.11</v>
      </c>
      <c r="AU3145" s="8">
        <v>35.08</v>
      </c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>
        <v>7.23</v>
      </c>
      <c r="BH3145" s="9">
        <f t="shared" si="441"/>
        <v>262.74</v>
      </c>
      <c r="BI3145" s="9">
        <f t="shared" si="442"/>
        <v>0.53</v>
      </c>
      <c r="BJ3145" s="9">
        <f t="shared" si="443"/>
        <v>0.39</v>
      </c>
      <c r="BK3145" s="9">
        <f t="shared" si="444"/>
        <v>2.37</v>
      </c>
      <c r="BL3145" s="9">
        <f t="shared" si="445"/>
        <v>0</v>
      </c>
      <c r="BM3145" s="9">
        <f t="shared" si="446"/>
        <v>2.63</v>
      </c>
      <c r="BN3145" s="9">
        <f t="shared" si="447"/>
        <v>105.19</v>
      </c>
      <c r="BO3145" s="9">
        <f t="shared" si="448"/>
        <v>0</v>
      </c>
      <c r="BP3145" s="9">
        <f t="shared" si="449"/>
        <v>0</v>
      </c>
    </row>
    <row r="3146" spans="1:68">
      <c r="A3146" s="6">
        <v>45113</v>
      </c>
      <c r="B3146" s="7">
        <v>3704</v>
      </c>
      <c r="C3146" s="8">
        <v>477.42</v>
      </c>
      <c r="D3146" s="8">
        <v>715.91</v>
      </c>
      <c r="E3146" s="8"/>
      <c r="F3146" s="8"/>
      <c r="G3146" s="8"/>
      <c r="H3146" s="8"/>
      <c r="I3146" s="8"/>
      <c r="J3146" s="8"/>
      <c r="K3146" s="8"/>
      <c r="L3146" s="8"/>
      <c r="M3146" s="8">
        <v>3.58</v>
      </c>
      <c r="N3146" s="8"/>
      <c r="O3146" s="8"/>
      <c r="P3146" s="8"/>
      <c r="Q3146" s="11"/>
      <c r="R3146" s="11"/>
      <c r="S3146" s="8">
        <v>4.17</v>
      </c>
      <c r="T3146" s="8"/>
      <c r="U3146" s="8">
        <v>8.9499999999999993</v>
      </c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>
        <v>14.32</v>
      </c>
      <c r="AN3146" s="8"/>
      <c r="AO3146" s="8"/>
      <c r="AP3146" s="11"/>
      <c r="AQ3146" s="8"/>
      <c r="AR3146" s="8"/>
      <c r="AS3146" s="8"/>
      <c r="AT3146" s="8">
        <v>207.75</v>
      </c>
      <c r="AU3146" s="8">
        <v>103.52</v>
      </c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>
        <v>19.079999999999998</v>
      </c>
      <c r="BH3146" s="9">
        <f t="shared" si="441"/>
        <v>1193.33</v>
      </c>
      <c r="BI3146" s="9">
        <f t="shared" si="442"/>
        <v>3.58</v>
      </c>
      <c r="BJ3146" s="9">
        <f t="shared" si="443"/>
        <v>4.17</v>
      </c>
      <c r="BK3146" s="9">
        <f t="shared" si="444"/>
        <v>8.9499999999999993</v>
      </c>
      <c r="BL3146" s="9">
        <f t="shared" si="445"/>
        <v>0</v>
      </c>
      <c r="BM3146" s="9">
        <f t="shared" si="446"/>
        <v>14.32</v>
      </c>
      <c r="BN3146" s="9">
        <f t="shared" si="447"/>
        <v>311.27</v>
      </c>
      <c r="BO3146" s="9">
        <f t="shared" si="448"/>
        <v>0</v>
      </c>
      <c r="BP3146" s="9">
        <f t="shared" si="449"/>
        <v>0</v>
      </c>
    </row>
    <row r="3147" spans="1:68">
      <c r="A3147" s="6">
        <v>45113</v>
      </c>
      <c r="B3147" s="7">
        <v>3100</v>
      </c>
      <c r="C3147" s="8">
        <v>1297.8499999999999</v>
      </c>
      <c r="D3147" s="8"/>
      <c r="E3147" s="8"/>
      <c r="F3147" s="8"/>
      <c r="G3147" s="8"/>
      <c r="H3147" s="8"/>
      <c r="I3147" s="8"/>
      <c r="J3147" s="8"/>
      <c r="K3147" s="8"/>
      <c r="L3147" s="8"/>
      <c r="M3147" s="8">
        <v>3.37</v>
      </c>
      <c r="N3147" s="8"/>
      <c r="O3147" s="8"/>
      <c r="P3147" s="8"/>
      <c r="Q3147" s="11"/>
      <c r="R3147" s="11"/>
      <c r="S3147" s="8">
        <v>7.4</v>
      </c>
      <c r="T3147" s="8"/>
      <c r="U3147" s="8">
        <v>20.78</v>
      </c>
      <c r="V3147" s="8"/>
      <c r="W3147" s="8"/>
      <c r="X3147" s="8"/>
      <c r="Y3147" s="8"/>
      <c r="Z3147" s="8"/>
      <c r="AA3147" s="8"/>
      <c r="AB3147" s="8"/>
      <c r="AC3147" s="8">
        <v>5.2</v>
      </c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11"/>
      <c r="AQ3147" s="8"/>
      <c r="AR3147" s="8"/>
      <c r="AS3147" s="8"/>
      <c r="AT3147" s="8">
        <v>876</v>
      </c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>
        <v>168.75</v>
      </c>
      <c r="BG3147" s="8">
        <v>66.98</v>
      </c>
      <c r="BH3147" s="9">
        <f t="shared" si="441"/>
        <v>1297.8499999999999</v>
      </c>
      <c r="BI3147" s="9">
        <f t="shared" si="442"/>
        <v>3.37</v>
      </c>
      <c r="BJ3147" s="9">
        <f t="shared" si="443"/>
        <v>7.4</v>
      </c>
      <c r="BK3147" s="9">
        <f t="shared" si="444"/>
        <v>20.78</v>
      </c>
      <c r="BL3147" s="9">
        <f t="shared" si="445"/>
        <v>0</v>
      </c>
      <c r="BM3147" s="9">
        <f t="shared" si="446"/>
        <v>5.2</v>
      </c>
      <c r="BN3147" s="9">
        <f t="shared" si="447"/>
        <v>876</v>
      </c>
      <c r="BO3147" s="9">
        <f t="shared" si="448"/>
        <v>0</v>
      </c>
      <c r="BP3147" s="9">
        <f t="shared" si="449"/>
        <v>168.75</v>
      </c>
    </row>
    <row r="3148" spans="1:68">
      <c r="A3148" s="6">
        <v>45113</v>
      </c>
      <c r="B3148" s="7">
        <v>3145</v>
      </c>
      <c r="C3148" s="8">
        <v>1237.4100000000001</v>
      </c>
      <c r="D3148" s="8">
        <v>218.37</v>
      </c>
      <c r="E3148" s="8"/>
      <c r="F3148" s="8"/>
      <c r="G3148" s="8"/>
      <c r="H3148" s="8"/>
      <c r="I3148" s="8"/>
      <c r="J3148" s="8"/>
      <c r="K3148" s="8"/>
      <c r="L3148" s="8"/>
      <c r="M3148" s="8">
        <v>4.2300000000000004</v>
      </c>
      <c r="N3148" s="8"/>
      <c r="O3148" s="8"/>
      <c r="P3148" s="8"/>
      <c r="Q3148" s="11"/>
      <c r="R3148" s="11"/>
      <c r="S3148" s="8">
        <v>6.85</v>
      </c>
      <c r="T3148" s="8"/>
      <c r="U3148" s="8">
        <v>21.89</v>
      </c>
      <c r="V3148" s="8"/>
      <c r="W3148" s="8"/>
      <c r="X3148" s="8"/>
      <c r="Y3148" s="8"/>
      <c r="Z3148" s="8"/>
      <c r="AA3148" s="8"/>
      <c r="AB3148" s="8"/>
      <c r="AC3148" s="8">
        <v>5.83</v>
      </c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11"/>
      <c r="AQ3148" s="8"/>
      <c r="AR3148" s="8"/>
      <c r="AS3148" s="8"/>
      <c r="AT3148" s="8">
        <v>963.09</v>
      </c>
      <c r="AU3148" s="8"/>
      <c r="AV3148" s="8"/>
      <c r="AW3148" s="8"/>
      <c r="AX3148" s="8"/>
      <c r="AY3148" s="8"/>
      <c r="AZ3148" s="8"/>
      <c r="BA3148" s="8"/>
      <c r="BB3148" s="8"/>
      <c r="BC3148" s="8"/>
      <c r="BD3148" s="8">
        <v>3.64</v>
      </c>
      <c r="BE3148" s="8">
        <f>1369*9.7/1000</f>
        <v>13.279299999999999</v>
      </c>
      <c r="BF3148" s="8">
        <v>102.05</v>
      </c>
      <c r="BG3148" s="8">
        <v>75.819999999999993</v>
      </c>
      <c r="BH3148" s="9">
        <f t="shared" si="441"/>
        <v>1455.7800000000002</v>
      </c>
      <c r="BI3148" s="9">
        <f t="shared" si="442"/>
        <v>4.2300000000000004</v>
      </c>
      <c r="BJ3148" s="9">
        <f t="shared" si="443"/>
        <v>6.85</v>
      </c>
      <c r="BK3148" s="9">
        <f t="shared" si="444"/>
        <v>21.89</v>
      </c>
      <c r="BL3148" s="9">
        <f t="shared" si="445"/>
        <v>0</v>
      </c>
      <c r="BM3148" s="9">
        <f t="shared" si="446"/>
        <v>5.83</v>
      </c>
      <c r="BN3148" s="9">
        <f t="shared" si="447"/>
        <v>963.09</v>
      </c>
      <c r="BO3148" s="9">
        <f t="shared" si="448"/>
        <v>16.9193</v>
      </c>
      <c r="BP3148" s="9">
        <f t="shared" si="449"/>
        <v>102.05</v>
      </c>
    </row>
    <row r="3149" spans="1:68">
      <c r="A3149" s="6">
        <v>45113</v>
      </c>
      <c r="B3149" s="7">
        <v>3136</v>
      </c>
      <c r="C3149" s="8">
        <v>1237.53</v>
      </c>
      <c r="D3149" s="8"/>
      <c r="E3149" s="8"/>
      <c r="F3149" s="8"/>
      <c r="G3149" s="8"/>
      <c r="H3149" s="8">
        <v>513.35</v>
      </c>
      <c r="I3149" s="8"/>
      <c r="J3149" s="8"/>
      <c r="K3149" s="8"/>
      <c r="L3149" s="8"/>
      <c r="M3149" s="8">
        <v>2.2799999999999998</v>
      </c>
      <c r="N3149" s="8"/>
      <c r="O3149" s="8"/>
      <c r="P3149" s="8"/>
      <c r="Q3149" s="11"/>
      <c r="R3149" s="11"/>
      <c r="S3149" s="8">
        <v>6.59</v>
      </c>
      <c r="T3149" s="8"/>
      <c r="U3149" s="8">
        <v>19.809999999999999</v>
      </c>
      <c r="V3149" s="8"/>
      <c r="W3149" s="8"/>
      <c r="X3149" s="8"/>
      <c r="Y3149" s="8"/>
      <c r="Z3149" s="8"/>
      <c r="AA3149" s="8"/>
      <c r="AB3149" s="8"/>
      <c r="AC3149" s="8">
        <v>6.09</v>
      </c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11"/>
      <c r="AQ3149" s="8"/>
      <c r="AR3149" s="8"/>
      <c r="AS3149" s="8"/>
      <c r="AT3149" s="8">
        <v>990.19</v>
      </c>
      <c r="AU3149" s="8"/>
      <c r="AV3149" s="8"/>
      <c r="AW3149" s="8"/>
      <c r="AX3149" s="8"/>
      <c r="AY3149" s="8"/>
      <c r="AZ3149" s="8"/>
      <c r="BA3149" s="8">
        <v>15.07</v>
      </c>
      <c r="BB3149" s="8"/>
      <c r="BC3149" s="8"/>
      <c r="BD3149" s="8"/>
      <c r="BE3149" s="8"/>
      <c r="BF3149" s="8">
        <v>61</v>
      </c>
      <c r="BG3149" s="8">
        <v>74.7</v>
      </c>
      <c r="BH3149" s="9">
        <f t="shared" si="441"/>
        <v>1750.88</v>
      </c>
      <c r="BI3149" s="9">
        <f t="shared" si="442"/>
        <v>2.2799999999999998</v>
      </c>
      <c r="BJ3149" s="9">
        <f t="shared" si="443"/>
        <v>6.59</v>
      </c>
      <c r="BK3149" s="9">
        <f t="shared" si="444"/>
        <v>19.809999999999999</v>
      </c>
      <c r="BL3149" s="9">
        <f t="shared" si="445"/>
        <v>0</v>
      </c>
      <c r="BM3149" s="9">
        <f t="shared" si="446"/>
        <v>6.09</v>
      </c>
      <c r="BN3149" s="9">
        <f t="shared" si="447"/>
        <v>990.19</v>
      </c>
      <c r="BO3149" s="9">
        <f t="shared" si="448"/>
        <v>15.07</v>
      </c>
      <c r="BP3149" s="9">
        <f t="shared" si="449"/>
        <v>61</v>
      </c>
    </row>
    <row r="3150" spans="1:68">
      <c r="A3150" s="6">
        <v>45113</v>
      </c>
      <c r="B3150" s="7">
        <v>3106</v>
      </c>
      <c r="C3150" s="8">
        <v>4090.68</v>
      </c>
      <c r="D3150" s="8"/>
      <c r="E3150" s="8"/>
      <c r="F3150" s="8"/>
      <c r="G3150" s="8"/>
      <c r="H3150" s="8"/>
      <c r="I3150" s="8"/>
      <c r="J3150" s="8"/>
      <c r="K3150" s="8"/>
      <c r="L3150" s="8"/>
      <c r="M3150" s="8">
        <v>11.04</v>
      </c>
      <c r="N3150" s="8"/>
      <c r="O3150" s="8"/>
      <c r="P3150" s="8"/>
      <c r="Q3150" s="11"/>
      <c r="R3150" s="11"/>
      <c r="S3150" s="8">
        <v>12.29</v>
      </c>
      <c r="T3150" s="8"/>
      <c r="U3150" s="8">
        <v>52.01</v>
      </c>
      <c r="V3150" s="8"/>
      <c r="W3150" s="8"/>
      <c r="X3150" s="8"/>
      <c r="Y3150" s="8"/>
      <c r="Z3150" s="8"/>
      <c r="AA3150" s="8"/>
      <c r="AB3150" s="8"/>
      <c r="AC3150" s="8">
        <v>10.24</v>
      </c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11"/>
      <c r="AQ3150" s="8"/>
      <c r="AR3150" s="8"/>
      <c r="AS3150" s="8"/>
      <c r="AT3150" s="8">
        <v>2333.7800000000002</v>
      </c>
      <c r="AU3150" s="8"/>
      <c r="AV3150" s="8"/>
      <c r="AW3150" s="8"/>
      <c r="AX3150" s="8">
        <v>5.12</v>
      </c>
      <c r="AY3150" s="8"/>
      <c r="AZ3150" s="8"/>
      <c r="BA3150" s="8"/>
      <c r="BB3150" s="8"/>
      <c r="BC3150" s="8"/>
      <c r="BD3150" s="8"/>
      <c r="BE3150" s="8"/>
      <c r="BF3150" s="8"/>
      <c r="BG3150" s="8">
        <v>176.53</v>
      </c>
      <c r="BH3150" s="9">
        <f t="shared" si="441"/>
        <v>4090.68</v>
      </c>
      <c r="BI3150" s="9">
        <f t="shared" si="442"/>
        <v>11.04</v>
      </c>
      <c r="BJ3150" s="9">
        <f t="shared" si="443"/>
        <v>12.29</v>
      </c>
      <c r="BK3150" s="9">
        <f t="shared" si="444"/>
        <v>52.01</v>
      </c>
      <c r="BL3150" s="9">
        <f t="shared" si="445"/>
        <v>0</v>
      </c>
      <c r="BM3150" s="9">
        <f t="shared" si="446"/>
        <v>10.24</v>
      </c>
      <c r="BN3150" s="9">
        <f t="shared" si="447"/>
        <v>2333.7800000000002</v>
      </c>
      <c r="BO3150" s="9">
        <f t="shared" si="448"/>
        <v>5.12</v>
      </c>
      <c r="BP3150" s="9">
        <f t="shared" si="449"/>
        <v>0</v>
      </c>
    </row>
    <row r="3151" spans="1:68">
      <c r="A3151" s="6">
        <v>45113</v>
      </c>
      <c r="B3151" s="7">
        <v>3121</v>
      </c>
      <c r="C3151" s="8">
        <v>2708.45</v>
      </c>
      <c r="D3151" s="8"/>
      <c r="E3151" s="8"/>
      <c r="F3151" s="8"/>
      <c r="G3151" s="8"/>
      <c r="H3151" s="8"/>
      <c r="I3151" s="8"/>
      <c r="J3151" s="8"/>
      <c r="K3151" s="8"/>
      <c r="L3151" s="8"/>
      <c r="M3151" s="8">
        <v>6.78</v>
      </c>
      <c r="N3151" s="8"/>
      <c r="O3151" s="8"/>
      <c r="P3151" s="8"/>
      <c r="Q3151" s="11"/>
      <c r="R3151" s="11"/>
      <c r="S3151" s="8">
        <v>8.69</v>
      </c>
      <c r="T3151" s="8"/>
      <c r="U3151" s="8">
        <v>27.17</v>
      </c>
      <c r="V3151" s="8"/>
      <c r="W3151" s="8"/>
      <c r="X3151" s="8"/>
      <c r="Y3151" s="8"/>
      <c r="Z3151" s="8"/>
      <c r="AA3151" s="8"/>
      <c r="AB3151" s="8"/>
      <c r="AC3151" s="8">
        <v>10.85</v>
      </c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11">
        <f>2227*12.32/1000</f>
        <v>27.436640000000001</v>
      </c>
      <c r="AQ3151" s="8"/>
      <c r="AR3151" s="8"/>
      <c r="AS3151" s="8"/>
      <c r="AT3151" s="8">
        <v>1431.72</v>
      </c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>
        <v>105.75</v>
      </c>
      <c r="BH3151" s="9">
        <f t="shared" si="441"/>
        <v>2708.45</v>
      </c>
      <c r="BI3151" s="9">
        <f t="shared" si="442"/>
        <v>6.78</v>
      </c>
      <c r="BJ3151" s="9">
        <f t="shared" si="443"/>
        <v>8.69</v>
      </c>
      <c r="BK3151" s="9">
        <f t="shared" si="444"/>
        <v>27.17</v>
      </c>
      <c r="BL3151" s="9">
        <f t="shared" si="445"/>
        <v>0</v>
      </c>
      <c r="BM3151" s="9">
        <f t="shared" si="446"/>
        <v>38.286639999999998</v>
      </c>
      <c r="BN3151" s="9">
        <f t="shared" si="447"/>
        <v>1431.72</v>
      </c>
      <c r="BO3151" s="9">
        <f t="shared" si="448"/>
        <v>0</v>
      </c>
      <c r="BP3151" s="9">
        <f t="shared" si="449"/>
        <v>0</v>
      </c>
    </row>
    <row r="3152" spans="1:68">
      <c r="A3152" s="6">
        <v>45113</v>
      </c>
      <c r="B3152" s="7">
        <v>3005</v>
      </c>
      <c r="C3152" s="8">
        <v>431.01</v>
      </c>
      <c r="D3152" s="8">
        <v>286.10000000000002</v>
      </c>
      <c r="E3152" s="8"/>
      <c r="F3152" s="8"/>
      <c r="G3152" s="8"/>
      <c r="H3152" s="8"/>
      <c r="I3152" s="8"/>
      <c r="J3152" s="8"/>
      <c r="K3152" s="8"/>
      <c r="L3152" s="8"/>
      <c r="M3152" s="8"/>
      <c r="N3152" s="8">
        <v>0.71</v>
      </c>
      <c r="O3152" s="8"/>
      <c r="P3152" s="8"/>
      <c r="Q3152" s="11"/>
      <c r="R3152" s="11"/>
      <c r="S3152" s="8">
        <v>2.5</v>
      </c>
      <c r="T3152" s="8"/>
      <c r="U3152" s="8"/>
      <c r="V3152" s="8"/>
      <c r="W3152" s="8">
        <v>7.87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11"/>
      <c r="AQ3152" s="8"/>
      <c r="AR3152" s="8"/>
      <c r="AS3152" s="8"/>
      <c r="AT3152" s="8">
        <v>349.83</v>
      </c>
      <c r="AU3152" s="8"/>
      <c r="AV3152" s="8"/>
      <c r="AW3152" s="8">
        <v>7.93</v>
      </c>
      <c r="AX3152" s="8"/>
      <c r="AY3152" s="8"/>
      <c r="AZ3152" s="8"/>
      <c r="BA3152" s="8"/>
      <c r="BB3152" s="8"/>
      <c r="BC3152" s="8"/>
      <c r="BD3152" s="8"/>
      <c r="BE3152" s="8"/>
      <c r="BF3152" s="8"/>
      <c r="BG3152" s="8">
        <v>26.03</v>
      </c>
      <c r="BH3152" s="9">
        <f t="shared" si="441"/>
        <v>717.11</v>
      </c>
      <c r="BI3152" s="9">
        <f t="shared" si="442"/>
        <v>0.71</v>
      </c>
      <c r="BJ3152" s="9">
        <f t="shared" si="443"/>
        <v>2.5</v>
      </c>
      <c r="BK3152" s="9">
        <f t="shared" si="444"/>
        <v>7.87</v>
      </c>
      <c r="BL3152" s="9">
        <f t="shared" si="445"/>
        <v>0</v>
      </c>
      <c r="BM3152" s="9">
        <f t="shared" si="446"/>
        <v>0</v>
      </c>
      <c r="BN3152" s="9">
        <f t="shared" si="447"/>
        <v>349.83</v>
      </c>
      <c r="BO3152" s="9">
        <f t="shared" si="448"/>
        <v>7.93</v>
      </c>
      <c r="BP3152" s="9">
        <f t="shared" si="449"/>
        <v>0</v>
      </c>
    </row>
    <row r="3153" spans="1:68">
      <c r="A3153" s="6">
        <v>45113</v>
      </c>
      <c r="B3153" s="7">
        <v>3020</v>
      </c>
      <c r="C3153" s="8"/>
      <c r="D3153" s="8">
        <v>177.79</v>
      </c>
      <c r="E3153" s="8"/>
      <c r="F3153" s="8"/>
      <c r="G3153" s="8"/>
      <c r="H3153" s="8"/>
      <c r="I3153" s="8">
        <v>1006.38</v>
      </c>
      <c r="J3153" s="8"/>
      <c r="K3153" s="8"/>
      <c r="L3153" s="8"/>
      <c r="M3153" s="8"/>
      <c r="N3153" s="8">
        <v>7.22</v>
      </c>
      <c r="O3153" s="8"/>
      <c r="P3153" s="8"/>
      <c r="Q3153" s="11"/>
      <c r="R3153" s="11"/>
      <c r="S3153" s="8">
        <v>2.13</v>
      </c>
      <c r="T3153" s="8"/>
      <c r="U3153" s="8"/>
      <c r="V3153" s="8"/>
      <c r="W3153" s="8">
        <v>11.85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>
        <v>11.84</v>
      </c>
      <c r="AN3153" s="8"/>
      <c r="AO3153" s="8"/>
      <c r="AP3153" s="11"/>
      <c r="AQ3153" s="8"/>
      <c r="AR3153" s="8"/>
      <c r="AS3153" s="8">
        <f>3009*9.87/1000</f>
        <v>29.698829999999997</v>
      </c>
      <c r="AT3153" s="8">
        <v>581.32000000000005</v>
      </c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>
        <v>42.62</v>
      </c>
      <c r="BH3153" s="9">
        <f t="shared" si="441"/>
        <v>1184.17</v>
      </c>
      <c r="BI3153" s="9">
        <f t="shared" si="442"/>
        <v>7.22</v>
      </c>
      <c r="BJ3153" s="9">
        <f t="shared" si="443"/>
        <v>2.13</v>
      </c>
      <c r="BK3153" s="9">
        <f t="shared" si="444"/>
        <v>11.85</v>
      </c>
      <c r="BL3153" s="9">
        <f t="shared" si="445"/>
        <v>0</v>
      </c>
      <c r="BM3153" s="9">
        <f t="shared" si="446"/>
        <v>41.538829999999997</v>
      </c>
      <c r="BN3153" s="9">
        <f t="shared" si="447"/>
        <v>581.32000000000005</v>
      </c>
      <c r="BO3153" s="9">
        <f t="shared" si="448"/>
        <v>0</v>
      </c>
      <c r="BP3153" s="9">
        <f t="shared" si="449"/>
        <v>0</v>
      </c>
    </row>
    <row r="3154" spans="1:68">
      <c r="A3154" s="6">
        <v>45113</v>
      </c>
      <c r="B3154" s="7">
        <v>3027</v>
      </c>
      <c r="C3154" s="8"/>
      <c r="D3154" s="8">
        <v>544.76</v>
      </c>
      <c r="E3154" s="8"/>
      <c r="F3154" s="8"/>
      <c r="G3154" s="8"/>
      <c r="H3154" s="8"/>
      <c r="I3154" s="8">
        <v>448.22</v>
      </c>
      <c r="J3154" s="8"/>
      <c r="K3154" s="8"/>
      <c r="L3154" s="8"/>
      <c r="M3154" s="8"/>
      <c r="N3154" s="8">
        <v>5.65</v>
      </c>
      <c r="O3154" s="8"/>
      <c r="P3154" s="8"/>
      <c r="Q3154" s="11"/>
      <c r="R3154" s="11"/>
      <c r="S3154" s="8">
        <v>1.59</v>
      </c>
      <c r="T3154" s="8"/>
      <c r="U3154" s="8"/>
      <c r="V3154" s="8"/>
      <c r="W3154" s="8">
        <v>7.47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>
        <v>9.94</v>
      </c>
      <c r="AN3154" s="8">
        <f>1237*5.68/1000</f>
        <v>7.02616</v>
      </c>
      <c r="AO3154" s="8"/>
      <c r="AP3154" s="11"/>
      <c r="AQ3154" s="8"/>
      <c r="AR3154" s="8"/>
      <c r="AS3154" s="8">
        <f>5784*5.68/1000</f>
        <v>32.853119999999997</v>
      </c>
      <c r="AT3154" s="8">
        <v>330.93</v>
      </c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>
        <v>23.26</v>
      </c>
      <c r="BH3154" s="9">
        <f t="shared" si="441"/>
        <v>992.98</v>
      </c>
      <c r="BI3154" s="9">
        <f t="shared" si="442"/>
        <v>5.65</v>
      </c>
      <c r="BJ3154" s="9">
        <f t="shared" si="443"/>
        <v>1.59</v>
      </c>
      <c r="BK3154" s="9">
        <f t="shared" si="444"/>
        <v>7.47</v>
      </c>
      <c r="BL3154" s="9">
        <f t="shared" si="445"/>
        <v>0</v>
      </c>
      <c r="BM3154" s="9">
        <f t="shared" si="446"/>
        <v>49.819279999999992</v>
      </c>
      <c r="BN3154" s="9">
        <f t="shared" si="447"/>
        <v>330.93</v>
      </c>
      <c r="BO3154" s="9">
        <f t="shared" si="448"/>
        <v>0</v>
      </c>
      <c r="BP3154" s="9">
        <f t="shared" si="449"/>
        <v>0</v>
      </c>
    </row>
    <row r="3155" spans="1:68">
      <c r="A3155" s="6">
        <v>45114</v>
      </c>
      <c r="B3155" s="7">
        <v>3113</v>
      </c>
      <c r="C3155" s="8">
        <f>1657.41+183.69</f>
        <v>1841.1000000000001</v>
      </c>
      <c r="D3155" s="8"/>
      <c r="E3155" s="8"/>
      <c r="F3155" s="8"/>
      <c r="G3155" s="8"/>
      <c r="H3155" s="8"/>
      <c r="I3155" s="8"/>
      <c r="J3155" s="8"/>
      <c r="K3155" s="8"/>
      <c r="L3155" s="8"/>
      <c r="M3155" s="8">
        <f>1.49+0.17</f>
        <v>1.66</v>
      </c>
      <c r="N3155" s="8">
        <f>0.16+1.49</f>
        <v>1.65</v>
      </c>
      <c r="O3155" s="8"/>
      <c r="P3155" s="8"/>
      <c r="Q3155" s="11"/>
      <c r="R3155" s="11"/>
      <c r="S3155" s="8">
        <f>0.55+4.98</f>
        <v>5.53</v>
      </c>
      <c r="T3155" s="8"/>
      <c r="U3155" s="8">
        <f>16.59+1.84</f>
        <v>18.43</v>
      </c>
      <c r="V3155" s="8"/>
      <c r="W3155" s="8"/>
      <c r="X3155" s="8"/>
      <c r="Y3155" s="8"/>
      <c r="Z3155" s="8"/>
      <c r="AA3155" s="8"/>
      <c r="AB3155" s="8"/>
      <c r="AC3155" s="8">
        <f>0.74+6.63</f>
        <v>7.37</v>
      </c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11"/>
      <c r="AQ3155" s="8"/>
      <c r="AR3155" s="8"/>
      <c r="AS3155" s="8"/>
      <c r="AT3155" s="8">
        <f>696.76+76.73</f>
        <v>773.49</v>
      </c>
      <c r="AU3155" s="8"/>
      <c r="AV3155" s="8">
        <f>56.38+6.25</f>
        <v>62.63</v>
      </c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>
        <f>49.7+5.5</f>
        <v>55.2</v>
      </c>
      <c r="BH3155" s="9">
        <f t="shared" si="441"/>
        <v>1841.1000000000001</v>
      </c>
      <c r="BI3155" s="9">
        <f t="shared" si="442"/>
        <v>3.3099999999999996</v>
      </c>
      <c r="BJ3155" s="9">
        <f t="shared" si="443"/>
        <v>5.53</v>
      </c>
      <c r="BK3155" s="9">
        <f t="shared" si="444"/>
        <v>18.43</v>
      </c>
      <c r="BL3155" s="9">
        <f t="shared" si="445"/>
        <v>0</v>
      </c>
      <c r="BM3155" s="9">
        <f t="shared" si="446"/>
        <v>7.37</v>
      </c>
      <c r="BN3155" s="9">
        <f t="shared" si="447"/>
        <v>773.49</v>
      </c>
      <c r="BO3155" s="9">
        <f t="shared" si="448"/>
        <v>62.63</v>
      </c>
      <c r="BP3155" s="9">
        <f t="shared" si="449"/>
        <v>0</v>
      </c>
    </row>
    <row r="3156" spans="1:68">
      <c r="A3156" s="6">
        <v>45114</v>
      </c>
      <c r="B3156" s="7">
        <v>3116</v>
      </c>
      <c r="C3156" s="8">
        <v>1503.82</v>
      </c>
      <c r="D3156" s="8"/>
      <c r="E3156" s="8"/>
      <c r="F3156" s="8"/>
      <c r="G3156" s="8"/>
      <c r="H3156" s="8"/>
      <c r="I3156" s="8"/>
      <c r="J3156" s="8"/>
      <c r="K3156" s="8"/>
      <c r="L3156" s="8"/>
      <c r="M3156" s="8">
        <v>3.22</v>
      </c>
      <c r="N3156" s="8"/>
      <c r="O3156" s="8"/>
      <c r="P3156" s="8"/>
      <c r="Q3156" s="11"/>
      <c r="R3156" s="11"/>
      <c r="S3156" s="8">
        <v>6.02</v>
      </c>
      <c r="T3156" s="8"/>
      <c r="U3156" s="8">
        <v>22.14</v>
      </c>
      <c r="V3156" s="8"/>
      <c r="W3156" s="8"/>
      <c r="X3156" s="8"/>
      <c r="Y3156" s="8"/>
      <c r="Z3156" s="8"/>
      <c r="AA3156" s="8"/>
      <c r="AB3156" s="8"/>
      <c r="AC3156" s="8">
        <v>6.02</v>
      </c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11"/>
      <c r="AQ3156" s="8">
        <f>1429*10.73/1000</f>
        <v>15.333170000000001</v>
      </c>
      <c r="AR3156" s="8"/>
      <c r="AS3156" s="8"/>
      <c r="AT3156" s="8">
        <v>918.76</v>
      </c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>
        <v>60.16</v>
      </c>
      <c r="BG3156" s="8">
        <v>68.58</v>
      </c>
      <c r="BH3156" s="9">
        <f t="shared" si="441"/>
        <v>1503.82</v>
      </c>
      <c r="BI3156" s="9">
        <f t="shared" si="442"/>
        <v>3.22</v>
      </c>
      <c r="BJ3156" s="9">
        <f t="shared" si="443"/>
        <v>6.02</v>
      </c>
      <c r="BK3156" s="9">
        <f t="shared" si="444"/>
        <v>22.14</v>
      </c>
      <c r="BL3156" s="9">
        <f t="shared" si="445"/>
        <v>0</v>
      </c>
      <c r="BM3156" s="9">
        <f t="shared" si="446"/>
        <v>21.353169999999999</v>
      </c>
      <c r="BN3156" s="9">
        <f t="shared" si="447"/>
        <v>918.76</v>
      </c>
      <c r="BO3156" s="9">
        <f t="shared" si="448"/>
        <v>0</v>
      </c>
      <c r="BP3156" s="9">
        <f t="shared" si="449"/>
        <v>60.16</v>
      </c>
    </row>
    <row r="3157" spans="1:68">
      <c r="A3157" s="6">
        <v>45114</v>
      </c>
      <c r="B3157" s="7">
        <v>3200</v>
      </c>
      <c r="C3157" s="8">
        <v>2332.4499999999998</v>
      </c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>
        <v>5.86</v>
      </c>
      <c r="P3157" s="8"/>
      <c r="Q3157" s="11"/>
      <c r="R3157" s="11"/>
      <c r="S3157" s="8">
        <v>9.11</v>
      </c>
      <c r="T3157" s="8"/>
      <c r="U3157" s="8">
        <v>34.97</v>
      </c>
      <c r="V3157" s="8"/>
      <c r="W3157" s="8"/>
      <c r="X3157" s="8"/>
      <c r="Y3157" s="8"/>
      <c r="Z3157" s="8">
        <v>490.07</v>
      </c>
      <c r="AA3157" s="8"/>
      <c r="AB3157" s="8"/>
      <c r="AC3157" s="8"/>
      <c r="AD3157" s="8"/>
      <c r="AE3157" s="8"/>
      <c r="AF3157" s="8">
        <v>116.64</v>
      </c>
      <c r="AG3157" s="8"/>
      <c r="AH3157" s="8"/>
      <c r="AI3157" s="8"/>
      <c r="AJ3157" s="8"/>
      <c r="AK3157" s="8"/>
      <c r="AL3157" s="8"/>
      <c r="AM3157" s="8"/>
      <c r="AN3157" s="8"/>
      <c r="AO3157" s="8"/>
      <c r="AP3157" s="11"/>
      <c r="AQ3157" s="8">
        <f>1527*23.33/1000</f>
        <v>35.624909999999993</v>
      </c>
      <c r="AR3157" s="8"/>
      <c r="AS3157" s="8"/>
      <c r="AT3157" s="8">
        <v>1598.35</v>
      </c>
      <c r="AU3157" s="8"/>
      <c r="AV3157" s="8"/>
      <c r="AW3157" s="8">
        <v>6.83</v>
      </c>
      <c r="AX3157" s="8"/>
      <c r="AY3157" s="8"/>
      <c r="AZ3157" s="8"/>
      <c r="BA3157" s="8"/>
      <c r="BB3157" s="8"/>
      <c r="BC3157" s="8"/>
      <c r="BD3157" s="8"/>
      <c r="BE3157" s="8"/>
      <c r="BF3157" s="8">
        <v>111.94</v>
      </c>
      <c r="BG3157" s="8">
        <v>115.62</v>
      </c>
      <c r="BH3157" s="9">
        <f t="shared" si="441"/>
        <v>2332.4499999999998</v>
      </c>
      <c r="BI3157" s="9">
        <f t="shared" si="442"/>
        <v>5.86</v>
      </c>
      <c r="BJ3157" s="9">
        <f t="shared" si="443"/>
        <v>9.11</v>
      </c>
      <c r="BK3157" s="9">
        <f t="shared" si="444"/>
        <v>34.97</v>
      </c>
      <c r="BL3157" s="9">
        <f t="shared" si="445"/>
        <v>490.07</v>
      </c>
      <c r="BM3157" s="9">
        <f t="shared" si="446"/>
        <v>152.26490999999999</v>
      </c>
      <c r="BN3157" s="9">
        <f t="shared" si="447"/>
        <v>1598.35</v>
      </c>
      <c r="BO3157" s="9">
        <f t="shared" si="448"/>
        <v>6.83</v>
      </c>
      <c r="BP3157" s="9">
        <f t="shared" si="449"/>
        <v>111.94</v>
      </c>
    </row>
    <row r="3158" spans="1:68">
      <c r="A3158" s="6">
        <v>45114</v>
      </c>
      <c r="B3158" s="7">
        <v>3203</v>
      </c>
      <c r="C3158" s="8">
        <v>944.49</v>
      </c>
      <c r="D3158" s="8"/>
      <c r="E3158" s="8">
        <v>404.59</v>
      </c>
      <c r="F3158" s="8"/>
      <c r="G3158" s="8"/>
      <c r="H3158" s="8"/>
      <c r="I3158" s="8"/>
      <c r="J3158" s="8"/>
      <c r="K3158" s="8"/>
      <c r="L3158" s="8"/>
      <c r="M3158" s="8"/>
      <c r="N3158" s="8"/>
      <c r="O3158" s="8">
        <v>4.04</v>
      </c>
      <c r="P3158" s="8"/>
      <c r="Q3158" s="11"/>
      <c r="R3158" s="11"/>
      <c r="S3158" s="8">
        <v>5.27</v>
      </c>
      <c r="T3158" s="8"/>
      <c r="U3158" s="8">
        <v>16.73</v>
      </c>
      <c r="V3158" s="8"/>
      <c r="W3158" s="8"/>
      <c r="X3158" s="8"/>
      <c r="Y3158" s="8"/>
      <c r="Z3158" s="8">
        <v>212.64</v>
      </c>
      <c r="AA3158" s="8">
        <f>10517*15.88/1000</f>
        <v>167.00996000000004</v>
      </c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11"/>
      <c r="AQ3158" s="8"/>
      <c r="AR3158" s="8"/>
      <c r="AS3158" s="8"/>
      <c r="AT3158" s="8">
        <v>504.75</v>
      </c>
      <c r="AU3158" s="8">
        <v>252.21</v>
      </c>
      <c r="AV3158" s="8"/>
      <c r="AW3158" s="8"/>
      <c r="AX3158" s="8"/>
      <c r="AY3158" s="8"/>
      <c r="AZ3158" s="8"/>
      <c r="BA3158" s="8"/>
      <c r="BB3158" s="8"/>
      <c r="BC3158" s="8">
        <v>3.51</v>
      </c>
      <c r="BD3158" s="8"/>
      <c r="BE3158" s="8"/>
      <c r="BF3158" s="8"/>
      <c r="BG3158" s="8">
        <v>49.22</v>
      </c>
      <c r="BH3158" s="9">
        <f t="shared" si="441"/>
        <v>1349.08</v>
      </c>
      <c r="BI3158" s="9">
        <f t="shared" si="442"/>
        <v>4.04</v>
      </c>
      <c r="BJ3158" s="9">
        <f t="shared" si="443"/>
        <v>5.27</v>
      </c>
      <c r="BK3158" s="9">
        <f t="shared" si="444"/>
        <v>16.73</v>
      </c>
      <c r="BL3158" s="9">
        <f t="shared" si="445"/>
        <v>379.64996000000002</v>
      </c>
      <c r="BM3158" s="9">
        <f t="shared" si="446"/>
        <v>0</v>
      </c>
      <c r="BN3158" s="9">
        <f t="shared" si="447"/>
        <v>756.96</v>
      </c>
      <c r="BO3158" s="9">
        <f t="shared" si="448"/>
        <v>3.51</v>
      </c>
      <c r="BP3158" s="9">
        <f t="shared" si="449"/>
        <v>0</v>
      </c>
    </row>
    <row r="3159" spans="1:68">
      <c r="A3159" s="6">
        <v>45114</v>
      </c>
      <c r="B3159" s="7">
        <v>3021</v>
      </c>
      <c r="C3159" s="8"/>
      <c r="D3159" s="8">
        <v>207.98</v>
      </c>
      <c r="E3159" s="8"/>
      <c r="F3159" s="8"/>
      <c r="G3159" s="8"/>
      <c r="H3159" s="8"/>
      <c r="I3159" s="8">
        <v>384.18</v>
      </c>
      <c r="J3159" s="8"/>
      <c r="K3159" s="8"/>
      <c r="L3159" s="8"/>
      <c r="M3159" s="8"/>
      <c r="N3159" s="8">
        <v>3.13</v>
      </c>
      <c r="O3159" s="8"/>
      <c r="P3159" s="8"/>
      <c r="Q3159" s="11"/>
      <c r="R3159" s="11"/>
      <c r="S3159" s="8">
        <v>1.06</v>
      </c>
      <c r="T3159" s="8"/>
      <c r="U3159" s="8"/>
      <c r="V3159" s="8"/>
      <c r="W3159" s="8">
        <v>5.91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>
        <v>5.92</v>
      </c>
      <c r="AN3159" s="8"/>
      <c r="AO3159" s="8"/>
      <c r="AP3159" s="11"/>
      <c r="AQ3159" s="8"/>
      <c r="AR3159" s="8"/>
      <c r="AS3159" s="8">
        <f>2638*5.63/1000</f>
        <v>14.851940000000001</v>
      </c>
      <c r="AT3159" s="8">
        <v>278.76</v>
      </c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>
        <v>21.25</v>
      </c>
      <c r="BH3159" s="9">
        <f t="shared" si="441"/>
        <v>592.16</v>
      </c>
      <c r="BI3159" s="9">
        <f t="shared" si="442"/>
        <v>3.13</v>
      </c>
      <c r="BJ3159" s="9">
        <f t="shared" si="443"/>
        <v>1.06</v>
      </c>
      <c r="BK3159" s="9">
        <f t="shared" si="444"/>
        <v>5.91</v>
      </c>
      <c r="BL3159" s="9">
        <f t="shared" si="445"/>
        <v>0</v>
      </c>
      <c r="BM3159" s="9">
        <f t="shared" si="446"/>
        <v>20.771940000000001</v>
      </c>
      <c r="BN3159" s="9">
        <f t="shared" si="447"/>
        <v>278.76</v>
      </c>
      <c r="BO3159" s="9">
        <f t="shared" si="448"/>
        <v>0</v>
      </c>
      <c r="BP3159" s="9">
        <f t="shared" si="449"/>
        <v>0</v>
      </c>
    </row>
    <row r="3160" spans="1:68">
      <c r="A3160" s="6">
        <v>45114</v>
      </c>
      <c r="B3160" s="7">
        <v>3024</v>
      </c>
      <c r="C3160" s="8"/>
      <c r="D3160" s="8">
        <v>346.51</v>
      </c>
      <c r="E3160" s="8"/>
      <c r="F3160" s="8"/>
      <c r="G3160" s="8"/>
      <c r="H3160" s="8"/>
      <c r="I3160" s="8">
        <v>347.18</v>
      </c>
      <c r="J3160" s="8"/>
      <c r="K3160" s="8"/>
      <c r="L3160" s="8"/>
      <c r="M3160" s="8"/>
      <c r="N3160" s="8">
        <v>4.29</v>
      </c>
      <c r="O3160" s="8"/>
      <c r="P3160" s="8"/>
      <c r="Q3160" s="11"/>
      <c r="R3160" s="11"/>
      <c r="S3160" s="8">
        <v>1.1100000000000001</v>
      </c>
      <c r="T3160" s="8"/>
      <c r="U3160" s="8"/>
      <c r="V3160" s="8"/>
      <c r="W3160" s="8">
        <v>5.55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>
        <v>6.94</v>
      </c>
      <c r="AN3160" s="8">
        <f>862*5.78/1000</f>
        <v>4.9823600000000008</v>
      </c>
      <c r="AO3160" s="8"/>
      <c r="AP3160" s="11"/>
      <c r="AQ3160" s="8"/>
      <c r="AR3160" s="8"/>
      <c r="AS3160" s="8">
        <f>3963*5.78/1000</f>
        <v>22.906140000000001</v>
      </c>
      <c r="AT3160" s="8">
        <v>266.92</v>
      </c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>
        <v>19.46</v>
      </c>
      <c r="BH3160" s="9">
        <f t="shared" si="441"/>
        <v>693.69</v>
      </c>
      <c r="BI3160" s="9">
        <f t="shared" si="442"/>
        <v>4.29</v>
      </c>
      <c r="BJ3160" s="9">
        <f t="shared" si="443"/>
        <v>1.1100000000000001</v>
      </c>
      <c r="BK3160" s="9">
        <f t="shared" si="444"/>
        <v>5.55</v>
      </c>
      <c r="BL3160" s="9">
        <f t="shared" si="445"/>
        <v>0</v>
      </c>
      <c r="BM3160" s="9">
        <f t="shared" si="446"/>
        <v>34.828500000000005</v>
      </c>
      <c r="BN3160" s="9">
        <f t="shared" si="447"/>
        <v>266.92</v>
      </c>
      <c r="BO3160" s="9">
        <f t="shared" si="448"/>
        <v>0</v>
      </c>
      <c r="BP3160" s="9">
        <f t="shared" si="449"/>
        <v>0</v>
      </c>
    </row>
    <row r="3161" spans="1:68">
      <c r="A3161" s="6">
        <v>45114</v>
      </c>
      <c r="B3161" s="7">
        <v>3023</v>
      </c>
      <c r="C3161" s="8"/>
      <c r="D3161" s="8">
        <v>883.8</v>
      </c>
      <c r="E3161" s="8"/>
      <c r="F3161" s="8"/>
      <c r="G3161" s="8"/>
      <c r="H3161" s="8"/>
      <c r="I3161" s="8">
        <v>476.83</v>
      </c>
      <c r="J3161" s="8"/>
      <c r="K3161" s="8"/>
      <c r="L3161" s="8"/>
      <c r="M3161" s="8"/>
      <c r="N3161" s="8">
        <v>7.62</v>
      </c>
      <c r="O3161" s="8"/>
      <c r="P3161" s="8"/>
      <c r="Q3161" s="11"/>
      <c r="R3161" s="11"/>
      <c r="S3161" s="8">
        <v>2.1800000000000002</v>
      </c>
      <c r="T3161" s="8"/>
      <c r="U3161" s="8"/>
      <c r="V3161" s="8"/>
      <c r="W3161" s="8">
        <v>12.25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>
        <v>13.6</v>
      </c>
      <c r="AN3161" s="8">
        <f>1009*9.38/1000</f>
        <v>9.4644200000000005</v>
      </c>
      <c r="AO3161" s="8"/>
      <c r="AP3161" s="11"/>
      <c r="AQ3161" s="8"/>
      <c r="AR3161" s="8"/>
      <c r="AS3161" s="8">
        <f>4803*9.38/1000</f>
        <v>45.052140000000009</v>
      </c>
      <c r="AT3161" s="8">
        <v>558.70000000000005</v>
      </c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>
        <v>42.16</v>
      </c>
      <c r="BH3161" s="9">
        <f t="shared" si="441"/>
        <v>1360.6299999999999</v>
      </c>
      <c r="BI3161" s="9">
        <f t="shared" si="442"/>
        <v>7.62</v>
      </c>
      <c r="BJ3161" s="9">
        <f t="shared" si="443"/>
        <v>2.1800000000000002</v>
      </c>
      <c r="BK3161" s="9">
        <f t="shared" si="444"/>
        <v>12.25</v>
      </c>
      <c r="BL3161" s="9">
        <f t="shared" si="445"/>
        <v>0</v>
      </c>
      <c r="BM3161" s="9">
        <f t="shared" si="446"/>
        <v>68.116560000000007</v>
      </c>
      <c r="BN3161" s="9">
        <f t="shared" si="447"/>
        <v>558.70000000000005</v>
      </c>
      <c r="BO3161" s="9">
        <f t="shared" si="448"/>
        <v>0</v>
      </c>
      <c r="BP3161" s="9">
        <f t="shared" si="449"/>
        <v>0</v>
      </c>
    </row>
    <row r="3162" spans="1:68">
      <c r="A3162" s="6">
        <v>45114</v>
      </c>
      <c r="B3162" s="7">
        <v>3028</v>
      </c>
      <c r="C3162" s="8"/>
      <c r="D3162" s="8">
        <v>775.52</v>
      </c>
      <c r="E3162" s="8"/>
      <c r="F3162" s="8">
        <v>711.52</v>
      </c>
      <c r="G3162" s="8"/>
      <c r="H3162" s="8"/>
      <c r="I3162" s="8">
        <v>1606.37</v>
      </c>
      <c r="J3162" s="8"/>
      <c r="K3162" s="8"/>
      <c r="L3162" s="8"/>
      <c r="M3162" s="8"/>
      <c r="N3162" s="8">
        <v>23.79</v>
      </c>
      <c r="O3162" s="8"/>
      <c r="P3162" s="8"/>
      <c r="Q3162" s="11"/>
      <c r="R3162" s="11"/>
      <c r="S3162" s="8">
        <v>4.33</v>
      </c>
      <c r="T3162" s="8"/>
      <c r="U3162" s="8"/>
      <c r="V3162" s="8"/>
      <c r="W3162" s="8">
        <v>23.19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>
        <v>30.89</v>
      </c>
      <c r="AN3162" s="8">
        <f>1041*20.62/1000</f>
        <v>21.465420000000002</v>
      </c>
      <c r="AO3162" s="8"/>
      <c r="AP3162" s="11"/>
      <c r="AQ3162" s="8"/>
      <c r="AR3162" s="8"/>
      <c r="AS3162" s="8">
        <f>4937*20.62/1000</f>
        <v>101.80094</v>
      </c>
      <c r="AT3162" s="8">
        <v>1032.5999999999999</v>
      </c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>
        <v>70.239999999999995</v>
      </c>
      <c r="BH3162" s="9">
        <f t="shared" si="441"/>
        <v>3093.41</v>
      </c>
      <c r="BI3162" s="9">
        <f t="shared" si="442"/>
        <v>23.79</v>
      </c>
      <c r="BJ3162" s="9">
        <f t="shared" si="443"/>
        <v>4.33</v>
      </c>
      <c r="BK3162" s="9">
        <f t="shared" si="444"/>
        <v>23.19</v>
      </c>
      <c r="BL3162" s="9">
        <f t="shared" si="445"/>
        <v>0</v>
      </c>
      <c r="BM3162" s="9">
        <f t="shared" si="446"/>
        <v>154.15636000000001</v>
      </c>
      <c r="BN3162" s="9">
        <f t="shared" si="447"/>
        <v>1032.5999999999999</v>
      </c>
      <c r="BO3162" s="9">
        <f t="shared" si="448"/>
        <v>0</v>
      </c>
      <c r="BP3162" s="9">
        <f t="shared" si="449"/>
        <v>0</v>
      </c>
    </row>
    <row r="3163" spans="1:68">
      <c r="A3163" s="6">
        <v>45117</v>
      </c>
      <c r="B3163" s="7">
        <v>3141</v>
      </c>
      <c r="C3163" s="8">
        <v>2411.86</v>
      </c>
      <c r="D3163" s="8">
        <v>425.63</v>
      </c>
      <c r="E3163" s="8"/>
      <c r="F3163" s="8"/>
      <c r="G3163" s="8"/>
      <c r="H3163" s="8"/>
      <c r="I3163" s="8"/>
      <c r="J3163" s="8"/>
      <c r="K3163" s="8"/>
      <c r="L3163" s="8"/>
      <c r="M3163" s="8">
        <v>8.25</v>
      </c>
      <c r="N3163" s="8"/>
      <c r="O3163" s="8"/>
      <c r="P3163" s="8"/>
      <c r="Q3163" s="11"/>
      <c r="R3163" s="11"/>
      <c r="S3163" s="8">
        <v>13.35</v>
      </c>
      <c r="T3163" s="8"/>
      <c r="U3163" s="8">
        <v>42.59</v>
      </c>
      <c r="V3163" s="8"/>
      <c r="W3163" s="8"/>
      <c r="X3163" s="8"/>
      <c r="Y3163" s="8"/>
      <c r="Z3163" s="8"/>
      <c r="AA3163" s="8"/>
      <c r="AB3163" s="8"/>
      <c r="AC3163" s="8">
        <v>11.36</v>
      </c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11"/>
      <c r="AQ3163" s="8"/>
      <c r="AR3163" s="8"/>
      <c r="AS3163" s="8"/>
      <c r="AT3163" s="8">
        <v>1871.58</v>
      </c>
      <c r="AU3163" s="8"/>
      <c r="AV3163" s="8"/>
      <c r="AW3163" s="8"/>
      <c r="AX3163" s="8"/>
      <c r="AY3163" s="8"/>
      <c r="AZ3163" s="8"/>
      <c r="BA3163" s="8">
        <v>65.069999999999993</v>
      </c>
      <c r="BB3163" s="8"/>
      <c r="BC3163" s="8"/>
      <c r="BD3163" s="8"/>
      <c r="BE3163" s="8"/>
      <c r="BF3163" s="8">
        <v>198.74</v>
      </c>
      <c r="BG3163" s="8">
        <v>147.68</v>
      </c>
      <c r="BH3163" s="9">
        <f t="shared" si="441"/>
        <v>2837.4900000000002</v>
      </c>
      <c r="BI3163" s="9">
        <f t="shared" si="442"/>
        <v>8.25</v>
      </c>
      <c r="BJ3163" s="9">
        <f t="shared" si="443"/>
        <v>13.35</v>
      </c>
      <c r="BK3163" s="9">
        <f t="shared" si="444"/>
        <v>42.59</v>
      </c>
      <c r="BL3163" s="9">
        <f t="shared" si="445"/>
        <v>0</v>
      </c>
      <c r="BM3163" s="9">
        <f t="shared" si="446"/>
        <v>11.36</v>
      </c>
      <c r="BN3163" s="9">
        <f t="shared" si="447"/>
        <v>1871.58</v>
      </c>
      <c r="BO3163" s="9">
        <f t="shared" si="448"/>
        <v>65.069999999999993</v>
      </c>
      <c r="BP3163" s="9">
        <f t="shared" si="449"/>
        <v>198.74</v>
      </c>
    </row>
    <row r="3164" spans="1:68">
      <c r="A3164" s="6">
        <v>45117</v>
      </c>
      <c r="B3164" s="7">
        <v>3106</v>
      </c>
      <c r="C3164" s="8">
        <v>6150.23</v>
      </c>
      <c r="D3164" s="8"/>
      <c r="E3164" s="8"/>
      <c r="F3164" s="8"/>
      <c r="G3164" s="8"/>
      <c r="H3164" s="8"/>
      <c r="I3164" s="8"/>
      <c r="J3164" s="8"/>
      <c r="K3164" s="8"/>
      <c r="L3164" s="8"/>
      <c r="M3164" s="8">
        <v>16.62</v>
      </c>
      <c r="N3164" s="8"/>
      <c r="O3164" s="8"/>
      <c r="P3164" s="8"/>
      <c r="Q3164" s="11"/>
      <c r="R3164" s="11"/>
      <c r="S3164" s="8">
        <v>18.5</v>
      </c>
      <c r="T3164" s="8"/>
      <c r="U3164" s="8">
        <v>78.290000000000006</v>
      </c>
      <c r="V3164" s="8"/>
      <c r="W3164" s="8"/>
      <c r="X3164" s="8"/>
      <c r="Y3164" s="8"/>
      <c r="Z3164" s="8"/>
      <c r="AA3164" s="8"/>
      <c r="AB3164" s="8"/>
      <c r="AC3164" s="8">
        <v>15.39</v>
      </c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11"/>
      <c r="AQ3164" s="8"/>
      <c r="AR3164" s="8"/>
      <c r="AS3164" s="8"/>
      <c r="AT3164" s="8">
        <v>3508.41</v>
      </c>
      <c r="AU3164" s="8"/>
      <c r="AV3164" s="8"/>
      <c r="AW3164" s="8"/>
      <c r="AX3164" s="8">
        <v>7.7</v>
      </c>
      <c r="AY3164" s="8"/>
      <c r="AZ3164" s="8"/>
      <c r="BA3164" s="8"/>
      <c r="BB3164" s="8"/>
      <c r="BC3164" s="8"/>
      <c r="BD3164" s="8"/>
      <c r="BE3164" s="8"/>
      <c r="BF3164" s="8"/>
      <c r="BG3164" s="8">
        <v>265.62</v>
      </c>
      <c r="BH3164" s="9">
        <f t="shared" si="441"/>
        <v>6150.23</v>
      </c>
      <c r="BI3164" s="9">
        <f t="shared" si="442"/>
        <v>16.62</v>
      </c>
      <c r="BJ3164" s="9">
        <f t="shared" si="443"/>
        <v>18.5</v>
      </c>
      <c r="BK3164" s="9">
        <f t="shared" si="444"/>
        <v>78.290000000000006</v>
      </c>
      <c r="BL3164" s="9">
        <f t="shared" si="445"/>
        <v>0</v>
      </c>
      <c r="BM3164" s="9">
        <f t="shared" si="446"/>
        <v>15.39</v>
      </c>
      <c r="BN3164" s="9">
        <f t="shared" si="447"/>
        <v>3508.41</v>
      </c>
      <c r="BO3164" s="9">
        <f t="shared" si="448"/>
        <v>7.7</v>
      </c>
      <c r="BP3164" s="9">
        <f t="shared" si="449"/>
        <v>0</v>
      </c>
    </row>
    <row r="3165" spans="1:68">
      <c r="A3165" s="6">
        <v>45117</v>
      </c>
      <c r="B3165" s="7">
        <v>3016</v>
      </c>
      <c r="C3165" s="8"/>
      <c r="D3165" s="8">
        <v>3155.65</v>
      </c>
      <c r="E3165" s="8"/>
      <c r="F3165" s="8"/>
      <c r="G3165" s="8"/>
      <c r="H3165" s="8"/>
      <c r="I3165" s="8">
        <v>2911.5</v>
      </c>
      <c r="J3165" s="8"/>
      <c r="K3165" s="8"/>
      <c r="L3165" s="8"/>
      <c r="M3165" s="8"/>
      <c r="N3165" s="8">
        <v>37.61</v>
      </c>
      <c r="O3165" s="8"/>
      <c r="P3165" s="8"/>
      <c r="Q3165" s="11"/>
      <c r="R3165" s="11"/>
      <c r="S3165" s="8">
        <v>4.24</v>
      </c>
      <c r="T3165" s="8"/>
      <c r="U3165" s="8"/>
      <c r="V3165" s="8"/>
      <c r="W3165" s="8">
        <v>60.74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>
        <v>24.29</v>
      </c>
      <c r="AN3165" s="8">
        <f>2076*35.7/1000</f>
        <v>74.113200000000006</v>
      </c>
      <c r="AO3165" s="8"/>
      <c r="AP3165" s="11"/>
      <c r="AQ3165" s="8"/>
      <c r="AR3165" s="8">
        <f>4329*35.7/1000</f>
        <v>154.54530000000003</v>
      </c>
      <c r="AS3165" s="8"/>
      <c r="AT3165" s="8">
        <v>2253.0700000000002</v>
      </c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>
        <v>165.03</v>
      </c>
      <c r="BH3165" s="9">
        <f t="shared" si="441"/>
        <v>6067.15</v>
      </c>
      <c r="BI3165" s="9">
        <f t="shared" si="442"/>
        <v>37.61</v>
      </c>
      <c r="BJ3165" s="9">
        <f t="shared" si="443"/>
        <v>4.24</v>
      </c>
      <c r="BK3165" s="9">
        <f t="shared" si="444"/>
        <v>60.74</v>
      </c>
      <c r="BL3165" s="9">
        <f t="shared" si="445"/>
        <v>0</v>
      </c>
      <c r="BM3165" s="9">
        <f t="shared" si="446"/>
        <v>252.94850000000002</v>
      </c>
      <c r="BN3165" s="9">
        <f t="shared" si="447"/>
        <v>2253.0700000000002</v>
      </c>
      <c r="BO3165" s="9">
        <f t="shared" si="448"/>
        <v>0</v>
      </c>
      <c r="BP3165" s="9">
        <f t="shared" si="449"/>
        <v>0</v>
      </c>
    </row>
    <row r="3166" spans="1:68">
      <c r="A3166" s="6">
        <v>45117</v>
      </c>
      <c r="B3166" s="7">
        <v>3203</v>
      </c>
      <c r="C3166" s="8">
        <v>1804.44</v>
      </c>
      <c r="D3166" s="8"/>
      <c r="E3166" s="8">
        <v>774.84</v>
      </c>
      <c r="F3166" s="8"/>
      <c r="G3166" s="8"/>
      <c r="H3166" s="8"/>
      <c r="I3166" s="8"/>
      <c r="J3166" s="8"/>
      <c r="K3166" s="8"/>
      <c r="L3166" s="8"/>
      <c r="M3166" s="8"/>
      <c r="N3166" s="8"/>
      <c r="O3166" s="8">
        <v>7.78</v>
      </c>
      <c r="P3166" s="8"/>
      <c r="Q3166" s="11"/>
      <c r="R3166" s="11"/>
      <c r="S3166" s="8">
        <v>10.09</v>
      </c>
      <c r="T3166" s="8"/>
      <c r="U3166" s="8">
        <v>32.06</v>
      </c>
      <c r="V3166" s="8"/>
      <c r="W3166" s="8"/>
      <c r="X3166" s="8"/>
      <c r="Y3166" s="8"/>
      <c r="Z3166" s="8">
        <v>407.41</v>
      </c>
      <c r="AA3166" s="8">
        <f>10424*30.42/1000</f>
        <v>317.09808000000004</v>
      </c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11"/>
      <c r="AQ3166" s="8"/>
      <c r="AR3166" s="8"/>
      <c r="AS3166" s="8"/>
      <c r="AT3166" s="8">
        <v>968.35</v>
      </c>
      <c r="AU3166" s="8">
        <v>483.63</v>
      </c>
      <c r="AV3166" s="8"/>
      <c r="AW3166" s="8"/>
      <c r="AX3166" s="8"/>
      <c r="AY3166" s="8"/>
      <c r="AZ3166" s="8"/>
      <c r="BA3166" s="8"/>
      <c r="BB3166" s="8"/>
      <c r="BC3166" s="8">
        <v>6.72</v>
      </c>
      <c r="BD3166" s="8"/>
      <c r="BE3166" s="8"/>
      <c r="BF3166" s="8"/>
      <c r="BG3166" s="8">
        <v>94.46</v>
      </c>
      <c r="BH3166" s="9">
        <f t="shared" si="441"/>
        <v>2579.2800000000002</v>
      </c>
      <c r="BI3166" s="9">
        <f t="shared" si="442"/>
        <v>7.78</v>
      </c>
      <c r="BJ3166" s="9">
        <f t="shared" si="443"/>
        <v>10.09</v>
      </c>
      <c r="BK3166" s="9">
        <f t="shared" si="444"/>
        <v>32.06</v>
      </c>
      <c r="BL3166" s="9">
        <f t="shared" si="445"/>
        <v>724.50808000000006</v>
      </c>
      <c r="BM3166" s="9">
        <f t="shared" si="446"/>
        <v>0</v>
      </c>
      <c r="BN3166" s="9">
        <f t="shared" si="447"/>
        <v>1451.98</v>
      </c>
      <c r="BO3166" s="9">
        <f t="shared" si="448"/>
        <v>6.72</v>
      </c>
      <c r="BP3166" s="9">
        <f t="shared" si="449"/>
        <v>0</v>
      </c>
    </row>
    <row r="3167" spans="1:68">
      <c r="A3167" s="6">
        <v>45117</v>
      </c>
      <c r="B3167" s="7">
        <v>3601</v>
      </c>
      <c r="C3167" s="8">
        <v>289.67</v>
      </c>
      <c r="D3167" s="8"/>
      <c r="E3167" s="8"/>
      <c r="F3167" s="8"/>
      <c r="G3167" s="8">
        <v>434.35</v>
      </c>
      <c r="H3167" s="8"/>
      <c r="I3167" s="8"/>
      <c r="J3167" s="8"/>
      <c r="K3167" s="8"/>
      <c r="L3167" s="8"/>
      <c r="M3167" s="8">
        <v>0.85</v>
      </c>
      <c r="N3167" s="8"/>
      <c r="O3167" s="8"/>
      <c r="P3167" s="8"/>
      <c r="Q3167" s="11"/>
      <c r="R3167" s="11"/>
      <c r="S3167" s="8">
        <v>3.48</v>
      </c>
      <c r="T3167" s="8"/>
      <c r="U3167" s="8">
        <v>4.34</v>
      </c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11"/>
      <c r="AQ3167" s="8"/>
      <c r="AR3167" s="8"/>
      <c r="AS3167" s="8"/>
      <c r="AT3167" s="8">
        <v>354.8</v>
      </c>
      <c r="AU3167" s="8"/>
      <c r="AV3167" s="8"/>
      <c r="AW3167" s="8">
        <v>22.02</v>
      </c>
      <c r="AX3167" s="8"/>
      <c r="AY3167" s="8"/>
      <c r="AZ3167" s="8"/>
      <c r="BA3167" s="8"/>
      <c r="BB3167" s="8"/>
      <c r="BC3167" s="8"/>
      <c r="BD3167" s="8"/>
      <c r="BE3167" s="8"/>
      <c r="BF3167" s="8">
        <v>40.590000000000003</v>
      </c>
      <c r="BG3167" s="8">
        <v>25.81</v>
      </c>
      <c r="BH3167" s="9">
        <f t="shared" si="441"/>
        <v>724.02</v>
      </c>
      <c r="BI3167" s="9">
        <f t="shared" si="442"/>
        <v>0.85</v>
      </c>
      <c r="BJ3167" s="9">
        <f t="shared" si="443"/>
        <v>3.48</v>
      </c>
      <c r="BK3167" s="9">
        <f t="shared" si="444"/>
        <v>4.34</v>
      </c>
      <c r="BL3167" s="9">
        <f t="shared" si="445"/>
        <v>0</v>
      </c>
      <c r="BM3167" s="9">
        <f t="shared" si="446"/>
        <v>0</v>
      </c>
      <c r="BN3167" s="9">
        <f t="shared" si="447"/>
        <v>354.8</v>
      </c>
      <c r="BO3167" s="9">
        <f t="shared" si="448"/>
        <v>22.02</v>
      </c>
      <c r="BP3167" s="9">
        <f t="shared" si="449"/>
        <v>40.590000000000003</v>
      </c>
    </row>
    <row r="3168" spans="1:68">
      <c r="A3168" s="6">
        <v>45117</v>
      </c>
      <c r="B3168" s="7">
        <v>3602</v>
      </c>
      <c r="C3168" s="8">
        <v>571.1</v>
      </c>
      <c r="D3168" s="8"/>
      <c r="E3168" s="8"/>
      <c r="F3168" s="8"/>
      <c r="G3168" s="8">
        <v>855.95</v>
      </c>
      <c r="H3168" s="8"/>
      <c r="I3168" s="8"/>
      <c r="J3168" s="8"/>
      <c r="K3168" s="8"/>
      <c r="L3168" s="8"/>
      <c r="M3168" s="8">
        <v>1.7</v>
      </c>
      <c r="N3168" s="8"/>
      <c r="O3168" s="8"/>
      <c r="P3168" s="8"/>
      <c r="Q3168" s="11"/>
      <c r="R3168" s="11"/>
      <c r="S3168" s="8">
        <v>6.85</v>
      </c>
      <c r="T3168" s="8"/>
      <c r="U3168" s="8">
        <v>11.42</v>
      </c>
      <c r="V3168" s="8">
        <f>862*16.32/1000</f>
        <v>14.06784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11"/>
      <c r="AQ3168" s="8"/>
      <c r="AR3168" s="8"/>
      <c r="AS3168" s="8"/>
      <c r="AT3168" s="8">
        <v>575.25</v>
      </c>
      <c r="AU3168" s="8"/>
      <c r="AV3168" s="8"/>
      <c r="AW3168" s="8">
        <v>36.869999999999997</v>
      </c>
      <c r="AX3168" s="8"/>
      <c r="AY3168" s="8"/>
      <c r="AZ3168" s="8"/>
      <c r="BA3168" s="8"/>
      <c r="BB3168" s="8"/>
      <c r="BC3168" s="8"/>
      <c r="BD3168" s="8"/>
      <c r="BE3168" s="8"/>
      <c r="BF3168" s="8">
        <v>45.75</v>
      </c>
      <c r="BG3168" s="8">
        <v>42.78</v>
      </c>
      <c r="BH3168" s="9">
        <f t="shared" si="441"/>
        <v>1427.0500000000002</v>
      </c>
      <c r="BI3168" s="9">
        <f t="shared" si="442"/>
        <v>1.7</v>
      </c>
      <c r="BJ3168" s="9">
        <f t="shared" si="443"/>
        <v>6.85</v>
      </c>
      <c r="BK3168" s="9">
        <f t="shared" si="444"/>
        <v>25.487839999999998</v>
      </c>
      <c r="BL3168" s="9">
        <f t="shared" si="445"/>
        <v>0</v>
      </c>
      <c r="BM3168" s="9">
        <f t="shared" si="446"/>
        <v>0</v>
      </c>
      <c r="BN3168" s="9">
        <f t="shared" si="447"/>
        <v>575.25</v>
      </c>
      <c r="BO3168" s="9">
        <f t="shared" si="448"/>
        <v>36.869999999999997</v>
      </c>
      <c r="BP3168" s="9">
        <f t="shared" si="449"/>
        <v>45.75</v>
      </c>
    </row>
    <row r="3169" spans="1:68">
      <c r="A3169" s="6">
        <v>45117</v>
      </c>
      <c r="B3169" s="7">
        <v>3101</v>
      </c>
      <c r="C3169" s="8">
        <v>664.41</v>
      </c>
      <c r="D3169" s="8"/>
      <c r="E3169" s="8"/>
      <c r="F3169" s="8"/>
      <c r="G3169" s="8"/>
      <c r="H3169" s="8"/>
      <c r="I3169" s="8"/>
      <c r="J3169" s="8"/>
      <c r="K3169" s="8"/>
      <c r="L3169" s="8"/>
      <c r="M3169" s="8">
        <v>1.66</v>
      </c>
      <c r="N3169" s="8"/>
      <c r="O3169" s="8"/>
      <c r="P3169" s="8"/>
      <c r="Q3169" s="11"/>
      <c r="R3169" s="11"/>
      <c r="S3169" s="8">
        <v>3.85</v>
      </c>
      <c r="T3169" s="8"/>
      <c r="U3169" s="8">
        <v>10.65</v>
      </c>
      <c r="V3169" s="8"/>
      <c r="W3169" s="8"/>
      <c r="X3169" s="8"/>
      <c r="Y3169" s="8"/>
      <c r="Z3169" s="8"/>
      <c r="AA3169" s="8"/>
      <c r="AB3169" s="8"/>
      <c r="AC3169" s="8">
        <v>2.66</v>
      </c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11"/>
      <c r="AQ3169" s="8"/>
      <c r="AR3169" s="8"/>
      <c r="AS3169" s="8"/>
      <c r="AT3169" s="8">
        <v>446.06</v>
      </c>
      <c r="AU3169" s="8"/>
      <c r="AV3169" s="8"/>
      <c r="AW3169" s="8">
        <v>14.16</v>
      </c>
      <c r="AX3169" s="8"/>
      <c r="AY3169" s="8"/>
      <c r="AZ3169" s="8"/>
      <c r="BA3169" s="8"/>
      <c r="BB3169" s="8"/>
      <c r="BC3169" s="8"/>
      <c r="BD3169" s="8"/>
      <c r="BE3169" s="8"/>
      <c r="BF3169" s="8">
        <v>86.46</v>
      </c>
      <c r="BG3169" s="8">
        <v>34.200000000000003</v>
      </c>
      <c r="BH3169" s="9">
        <f t="shared" si="441"/>
        <v>664.41</v>
      </c>
      <c r="BI3169" s="9">
        <f t="shared" si="442"/>
        <v>1.66</v>
      </c>
      <c r="BJ3169" s="9">
        <f t="shared" si="443"/>
        <v>3.85</v>
      </c>
      <c r="BK3169" s="9">
        <f t="shared" si="444"/>
        <v>10.65</v>
      </c>
      <c r="BL3169" s="9">
        <f t="shared" si="445"/>
        <v>0</v>
      </c>
      <c r="BM3169" s="9">
        <f t="shared" si="446"/>
        <v>2.66</v>
      </c>
      <c r="BN3169" s="9">
        <f t="shared" si="447"/>
        <v>446.06</v>
      </c>
      <c r="BO3169" s="9">
        <f t="shared" si="448"/>
        <v>14.16</v>
      </c>
      <c r="BP3169" s="9">
        <f t="shared" si="449"/>
        <v>86.46</v>
      </c>
    </row>
    <row r="3170" spans="1:68">
      <c r="A3170" s="6">
        <v>45118</v>
      </c>
      <c r="B3170" s="7">
        <v>3704</v>
      </c>
      <c r="C3170" s="8">
        <v>364.77</v>
      </c>
      <c r="D3170" s="8">
        <v>547.24</v>
      </c>
      <c r="E3170" s="8"/>
      <c r="F3170" s="8"/>
      <c r="G3170" s="8"/>
      <c r="H3170" s="8"/>
      <c r="I3170" s="8"/>
      <c r="J3170" s="8"/>
      <c r="K3170" s="8"/>
      <c r="L3170" s="8"/>
      <c r="M3170" s="8">
        <v>2.73</v>
      </c>
      <c r="N3170" s="8"/>
      <c r="O3170" s="8"/>
      <c r="P3170" s="8"/>
      <c r="Q3170" s="11"/>
      <c r="R3170" s="11"/>
      <c r="S3170" s="8">
        <v>3.19</v>
      </c>
      <c r="T3170" s="8"/>
      <c r="U3170" s="8">
        <v>6.84</v>
      </c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>
        <v>10.92</v>
      </c>
      <c r="AN3170" s="8"/>
      <c r="AO3170" s="8"/>
      <c r="AP3170" s="11"/>
      <c r="AQ3170" s="8"/>
      <c r="AR3170" s="8"/>
      <c r="AS3170" s="8"/>
      <c r="AT3170" s="8">
        <v>158.65</v>
      </c>
      <c r="AU3170" s="8">
        <v>79.099999999999994</v>
      </c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>
        <v>14.63</v>
      </c>
      <c r="BH3170" s="9">
        <f t="shared" si="441"/>
        <v>912.01</v>
      </c>
      <c r="BI3170" s="9">
        <f t="shared" si="442"/>
        <v>2.73</v>
      </c>
      <c r="BJ3170" s="9">
        <f t="shared" si="443"/>
        <v>3.19</v>
      </c>
      <c r="BK3170" s="9">
        <f t="shared" si="444"/>
        <v>6.84</v>
      </c>
      <c r="BL3170" s="9">
        <f t="shared" si="445"/>
        <v>0</v>
      </c>
      <c r="BM3170" s="9">
        <f t="shared" si="446"/>
        <v>10.92</v>
      </c>
      <c r="BN3170" s="9">
        <f t="shared" si="447"/>
        <v>237.75</v>
      </c>
      <c r="BO3170" s="9">
        <f t="shared" si="448"/>
        <v>0</v>
      </c>
      <c r="BP3170" s="9">
        <f t="shared" si="449"/>
        <v>0</v>
      </c>
    </row>
    <row r="3171" spans="1:68">
      <c r="A3171" s="6">
        <v>45118</v>
      </c>
      <c r="B3171" s="7">
        <v>3200</v>
      </c>
      <c r="C3171" s="8">
        <v>2259.5</v>
      </c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>
        <v>5.68</v>
      </c>
      <c r="P3171" s="8"/>
      <c r="Q3171" s="11"/>
      <c r="R3171" s="11"/>
      <c r="S3171" s="8">
        <v>8.82</v>
      </c>
      <c r="T3171" s="8"/>
      <c r="U3171" s="8">
        <v>33.9</v>
      </c>
      <c r="V3171" s="8"/>
      <c r="W3171" s="8"/>
      <c r="X3171" s="8"/>
      <c r="Y3171" s="8"/>
      <c r="Z3171" s="8">
        <v>474.97</v>
      </c>
      <c r="AA3171" s="8"/>
      <c r="AB3171" s="8"/>
      <c r="AC3171" s="8"/>
      <c r="AD3171" s="8"/>
      <c r="AE3171" s="8"/>
      <c r="AF3171" s="8">
        <v>113.1</v>
      </c>
      <c r="AG3171" s="8"/>
      <c r="AH3171" s="8"/>
      <c r="AI3171" s="8"/>
      <c r="AJ3171" s="8"/>
      <c r="AK3171" s="8"/>
      <c r="AL3171" s="8"/>
      <c r="AM3171" s="8"/>
      <c r="AN3171" s="8"/>
      <c r="AO3171" s="8"/>
      <c r="AP3171" s="11"/>
      <c r="AQ3171" s="8">
        <f>1526*22.6/1000</f>
        <v>34.4876</v>
      </c>
      <c r="AR3171" s="8"/>
      <c r="AS3171" s="8"/>
      <c r="AT3171" s="8">
        <v>1547.87</v>
      </c>
      <c r="AU3171" s="8"/>
      <c r="AV3171" s="8"/>
      <c r="AW3171" s="8">
        <v>6.57</v>
      </c>
      <c r="AX3171" s="8"/>
      <c r="AY3171" s="8"/>
      <c r="AZ3171" s="8"/>
      <c r="BA3171" s="8"/>
      <c r="BB3171" s="8"/>
      <c r="BC3171" s="8"/>
      <c r="BD3171" s="8"/>
      <c r="BE3171" s="8"/>
      <c r="BF3171" s="8">
        <v>108.54</v>
      </c>
      <c r="BG3171" s="8">
        <v>112.02</v>
      </c>
      <c r="BH3171" s="9">
        <f t="shared" si="441"/>
        <v>2259.5</v>
      </c>
      <c r="BI3171" s="9">
        <f t="shared" si="442"/>
        <v>5.68</v>
      </c>
      <c r="BJ3171" s="9">
        <f t="shared" si="443"/>
        <v>8.82</v>
      </c>
      <c r="BK3171" s="9">
        <f t="shared" si="444"/>
        <v>33.9</v>
      </c>
      <c r="BL3171" s="9">
        <f t="shared" si="445"/>
        <v>474.97</v>
      </c>
      <c r="BM3171" s="9">
        <f t="shared" si="446"/>
        <v>147.58760000000001</v>
      </c>
      <c r="BN3171" s="9">
        <f t="shared" si="447"/>
        <v>1547.87</v>
      </c>
      <c r="BO3171" s="9">
        <f t="shared" si="448"/>
        <v>6.57</v>
      </c>
      <c r="BP3171" s="9">
        <f t="shared" si="449"/>
        <v>108.54</v>
      </c>
    </row>
    <row r="3172" spans="1:68">
      <c r="A3172" s="6">
        <v>45118</v>
      </c>
      <c r="B3172" s="7">
        <v>3145</v>
      </c>
      <c r="C3172" s="8">
        <v>1243.32</v>
      </c>
      <c r="D3172" s="8">
        <v>219.41</v>
      </c>
      <c r="E3172" s="8"/>
      <c r="F3172" s="8"/>
      <c r="G3172" s="8"/>
      <c r="H3172" s="8"/>
      <c r="I3172" s="8"/>
      <c r="J3172" s="8"/>
      <c r="K3172" s="8"/>
      <c r="L3172" s="8"/>
      <c r="M3172" s="8">
        <v>4.24</v>
      </c>
      <c r="N3172" s="8"/>
      <c r="O3172" s="8"/>
      <c r="P3172" s="8"/>
      <c r="Q3172" s="11"/>
      <c r="R3172" s="11"/>
      <c r="S3172" s="8">
        <v>6.88</v>
      </c>
      <c r="T3172" s="8"/>
      <c r="U3172" s="8">
        <v>21.95</v>
      </c>
      <c r="V3172" s="8"/>
      <c r="W3172" s="8"/>
      <c r="X3172" s="8"/>
      <c r="Y3172" s="8"/>
      <c r="Z3172" s="8"/>
      <c r="AA3172" s="8"/>
      <c r="AB3172" s="8"/>
      <c r="AC3172" s="8">
        <v>5.86</v>
      </c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11"/>
      <c r="AQ3172" s="8"/>
      <c r="AR3172" s="8"/>
      <c r="AS3172" s="8"/>
      <c r="AT3172" s="8">
        <v>966.11</v>
      </c>
      <c r="AU3172" s="8"/>
      <c r="AV3172" s="8"/>
      <c r="AW3172" s="8"/>
      <c r="AX3172" s="8"/>
      <c r="AY3172" s="8"/>
      <c r="AZ3172" s="8"/>
      <c r="BA3172" s="8"/>
      <c r="BB3172" s="8"/>
      <c r="BC3172" s="8"/>
      <c r="BD3172" s="8">
        <v>3.66</v>
      </c>
      <c r="BE3172" s="8">
        <f>1364*9.73/1000</f>
        <v>13.271720000000002</v>
      </c>
      <c r="BF3172" s="8">
        <v>102.46</v>
      </c>
      <c r="BG3172" s="8">
        <v>75.87</v>
      </c>
      <c r="BH3172" s="9">
        <f t="shared" si="441"/>
        <v>1462.73</v>
      </c>
      <c r="BI3172" s="9">
        <f t="shared" si="442"/>
        <v>4.24</v>
      </c>
      <c r="BJ3172" s="9">
        <f t="shared" si="443"/>
        <v>6.88</v>
      </c>
      <c r="BK3172" s="9">
        <f t="shared" si="444"/>
        <v>21.95</v>
      </c>
      <c r="BL3172" s="9">
        <f t="shared" si="445"/>
        <v>0</v>
      </c>
      <c r="BM3172" s="9">
        <f t="shared" si="446"/>
        <v>5.86</v>
      </c>
      <c r="BN3172" s="9">
        <f t="shared" si="447"/>
        <v>966.11</v>
      </c>
      <c r="BO3172" s="9">
        <f t="shared" si="448"/>
        <v>16.931720000000002</v>
      </c>
      <c r="BP3172" s="9">
        <f t="shared" si="449"/>
        <v>102.46</v>
      </c>
    </row>
    <row r="3173" spans="1:68">
      <c r="A3173" s="6">
        <v>45118</v>
      </c>
      <c r="B3173" s="7">
        <v>3106</v>
      </c>
      <c r="C3173" s="8">
        <v>6071.79</v>
      </c>
      <c r="D3173" s="8"/>
      <c r="E3173" s="8"/>
      <c r="F3173" s="8"/>
      <c r="G3173" s="8"/>
      <c r="H3173" s="8"/>
      <c r="I3173" s="8"/>
      <c r="J3173" s="8"/>
      <c r="K3173" s="8"/>
      <c r="L3173" s="8"/>
      <c r="M3173" s="8">
        <v>16.39</v>
      </c>
      <c r="N3173" s="8"/>
      <c r="O3173" s="8"/>
      <c r="P3173" s="8"/>
      <c r="Q3173" s="11"/>
      <c r="R3173" s="11"/>
      <c r="S3173" s="8">
        <v>18.260000000000002</v>
      </c>
      <c r="T3173" s="8"/>
      <c r="U3173" s="8">
        <v>77.28</v>
      </c>
      <c r="V3173" s="8"/>
      <c r="W3173" s="8"/>
      <c r="X3173" s="8"/>
      <c r="Y3173" s="8"/>
      <c r="Z3173" s="8"/>
      <c r="AA3173" s="8"/>
      <c r="AB3173" s="8"/>
      <c r="AC3173" s="8">
        <v>15.19</v>
      </c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11"/>
      <c r="AQ3173" s="8"/>
      <c r="AR3173" s="8"/>
      <c r="AS3173" s="8"/>
      <c r="AT3173" s="8">
        <v>3460.29</v>
      </c>
      <c r="AU3173" s="8"/>
      <c r="AV3173" s="8"/>
      <c r="AW3173" s="8"/>
      <c r="AX3173" s="8">
        <v>7.6</v>
      </c>
      <c r="AY3173" s="8"/>
      <c r="AZ3173" s="8"/>
      <c r="BA3173" s="8"/>
      <c r="BB3173" s="8"/>
      <c r="BC3173" s="8"/>
      <c r="BD3173" s="8"/>
      <c r="BE3173" s="8"/>
      <c r="BF3173" s="8"/>
      <c r="BG3173" s="8">
        <v>260.82</v>
      </c>
      <c r="BH3173" s="9">
        <f t="shared" si="441"/>
        <v>6071.79</v>
      </c>
      <c r="BI3173" s="9">
        <f t="shared" si="442"/>
        <v>16.39</v>
      </c>
      <c r="BJ3173" s="9">
        <f t="shared" si="443"/>
        <v>18.260000000000002</v>
      </c>
      <c r="BK3173" s="9">
        <f t="shared" si="444"/>
        <v>77.28</v>
      </c>
      <c r="BL3173" s="9">
        <f t="shared" si="445"/>
        <v>0</v>
      </c>
      <c r="BM3173" s="9">
        <f t="shared" si="446"/>
        <v>15.19</v>
      </c>
      <c r="BN3173" s="9">
        <f t="shared" si="447"/>
        <v>3460.29</v>
      </c>
      <c r="BO3173" s="9">
        <f t="shared" si="448"/>
        <v>7.6</v>
      </c>
      <c r="BP3173" s="9">
        <f t="shared" si="449"/>
        <v>0</v>
      </c>
    </row>
    <row r="3174" spans="1:68">
      <c r="A3174" s="6">
        <v>45118</v>
      </c>
      <c r="B3174" s="7">
        <v>3121</v>
      </c>
      <c r="C3174" s="8">
        <v>2246.19</v>
      </c>
      <c r="D3174" s="8"/>
      <c r="E3174" s="8"/>
      <c r="F3174" s="8"/>
      <c r="G3174" s="8"/>
      <c r="H3174" s="8"/>
      <c r="I3174" s="8"/>
      <c r="J3174" s="8"/>
      <c r="K3174" s="8"/>
      <c r="L3174" s="8"/>
      <c r="M3174" s="8">
        <v>5.62</v>
      </c>
      <c r="N3174" s="8"/>
      <c r="O3174" s="8"/>
      <c r="P3174" s="8"/>
      <c r="Q3174" s="11"/>
      <c r="R3174" s="11"/>
      <c r="S3174" s="8">
        <v>7.19</v>
      </c>
      <c r="T3174" s="8"/>
      <c r="U3174" s="8">
        <v>22.47</v>
      </c>
      <c r="V3174" s="8"/>
      <c r="W3174" s="8"/>
      <c r="X3174" s="8"/>
      <c r="Y3174" s="8"/>
      <c r="Z3174" s="8"/>
      <c r="AA3174" s="8"/>
      <c r="AB3174" s="8"/>
      <c r="AC3174" s="8">
        <v>8.98</v>
      </c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11">
        <f>2212*10.2/1000</f>
        <v>22.562399999999997</v>
      </c>
      <c r="AQ3174" s="8"/>
      <c r="AR3174" s="8"/>
      <c r="AS3174" s="8"/>
      <c r="AT3174" s="8">
        <v>1186.53</v>
      </c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>
        <v>87.53</v>
      </c>
      <c r="BH3174" s="9">
        <f t="shared" si="441"/>
        <v>2246.19</v>
      </c>
      <c r="BI3174" s="9">
        <f t="shared" si="442"/>
        <v>5.62</v>
      </c>
      <c r="BJ3174" s="9">
        <f t="shared" si="443"/>
        <v>7.19</v>
      </c>
      <c r="BK3174" s="9">
        <f t="shared" si="444"/>
        <v>22.47</v>
      </c>
      <c r="BL3174" s="9">
        <f t="shared" si="445"/>
        <v>0</v>
      </c>
      <c r="BM3174" s="9">
        <f t="shared" si="446"/>
        <v>31.542399999999997</v>
      </c>
      <c r="BN3174" s="9">
        <f t="shared" si="447"/>
        <v>1186.53</v>
      </c>
      <c r="BO3174" s="9">
        <f t="shared" si="448"/>
        <v>0</v>
      </c>
      <c r="BP3174" s="9">
        <f t="shared" si="449"/>
        <v>0</v>
      </c>
    </row>
    <row r="3175" spans="1:68">
      <c r="A3175" s="6">
        <v>45118</v>
      </c>
      <c r="B3175" s="7">
        <v>3029</v>
      </c>
      <c r="C3175" s="8"/>
      <c r="D3175" s="8">
        <v>466.79</v>
      </c>
      <c r="E3175" s="8"/>
      <c r="F3175" s="8">
        <v>329.38</v>
      </c>
      <c r="G3175" s="8"/>
      <c r="H3175" s="8"/>
      <c r="I3175" s="8">
        <v>1950.22</v>
      </c>
      <c r="J3175" s="8"/>
      <c r="K3175" s="8"/>
      <c r="L3175" s="8"/>
      <c r="M3175" s="8"/>
      <c r="N3175" s="8">
        <v>21.74</v>
      </c>
      <c r="O3175" s="8"/>
      <c r="P3175" s="8"/>
      <c r="Q3175" s="11"/>
      <c r="R3175" s="11"/>
      <c r="S3175" s="8">
        <v>1.64</v>
      </c>
      <c r="T3175" s="8"/>
      <c r="U3175" s="8"/>
      <c r="V3175" s="8"/>
      <c r="W3175" s="8">
        <v>27.5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>
        <v>9.56</v>
      </c>
      <c r="AN3175" s="8">
        <f>759*18.32/1000</f>
        <v>13.90488</v>
      </c>
      <c r="AO3175" s="8"/>
      <c r="AP3175" s="11"/>
      <c r="AQ3175" s="8"/>
      <c r="AR3175" s="8">
        <f>4507*18.32/1000</f>
        <v>82.568240000000003</v>
      </c>
      <c r="AS3175" s="8"/>
      <c r="AT3175" s="8">
        <v>1045.6099999999999</v>
      </c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>
        <v>73.25</v>
      </c>
      <c r="BH3175" s="9">
        <f t="shared" si="441"/>
        <v>2746.3900000000003</v>
      </c>
      <c r="BI3175" s="9">
        <f t="shared" si="442"/>
        <v>21.74</v>
      </c>
      <c r="BJ3175" s="9">
        <f t="shared" si="443"/>
        <v>1.64</v>
      </c>
      <c r="BK3175" s="9">
        <f t="shared" si="444"/>
        <v>27.5</v>
      </c>
      <c r="BL3175" s="9">
        <f t="shared" si="445"/>
        <v>0</v>
      </c>
      <c r="BM3175" s="9">
        <f t="shared" si="446"/>
        <v>106.03312</v>
      </c>
      <c r="BN3175" s="9">
        <f t="shared" si="447"/>
        <v>1045.6099999999999</v>
      </c>
      <c r="BO3175" s="9">
        <f t="shared" si="448"/>
        <v>0</v>
      </c>
      <c r="BP3175" s="9">
        <f t="shared" si="449"/>
        <v>0</v>
      </c>
    </row>
    <row r="3176" spans="1:68">
      <c r="A3176" s="6">
        <v>45118</v>
      </c>
      <c r="B3176" s="7">
        <v>3079</v>
      </c>
      <c r="C3176" s="8"/>
      <c r="D3176" s="8"/>
      <c r="E3176" s="8"/>
      <c r="F3176" s="8">
        <v>341.38</v>
      </c>
      <c r="G3176" s="8"/>
      <c r="H3176" s="8"/>
      <c r="I3176" s="8">
        <v>2759.43</v>
      </c>
      <c r="J3176" s="8"/>
      <c r="K3176" s="8"/>
      <c r="L3176" s="8"/>
      <c r="M3176" s="8"/>
      <c r="N3176" s="8">
        <v>22.62</v>
      </c>
      <c r="O3176" s="8"/>
      <c r="P3176" s="8"/>
      <c r="Q3176" s="11"/>
      <c r="R3176" s="11"/>
      <c r="S3176" s="8">
        <v>1.25</v>
      </c>
      <c r="T3176" s="8"/>
      <c r="U3176" s="8"/>
      <c r="V3176" s="8"/>
      <c r="W3176" s="8">
        <v>31.04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>
        <v>12.37</v>
      </c>
      <c r="AN3176" s="8">
        <f>1746*18.27/1000</f>
        <v>31.899419999999999</v>
      </c>
      <c r="AO3176" s="8"/>
      <c r="AP3176" s="11"/>
      <c r="AQ3176" s="8"/>
      <c r="AR3176" s="8">
        <f>4290*18.27/1000</f>
        <v>78.378299999999996</v>
      </c>
      <c r="AS3176" s="8"/>
      <c r="AT3176" s="8">
        <v>1196.92</v>
      </c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>
        <v>86.72</v>
      </c>
      <c r="BH3176" s="9">
        <f t="shared" si="441"/>
        <v>3100.81</v>
      </c>
      <c r="BI3176" s="9">
        <f t="shared" si="442"/>
        <v>22.62</v>
      </c>
      <c r="BJ3176" s="9">
        <f t="shared" si="443"/>
        <v>1.25</v>
      </c>
      <c r="BK3176" s="9">
        <f t="shared" si="444"/>
        <v>31.04</v>
      </c>
      <c r="BL3176" s="9">
        <f t="shared" si="445"/>
        <v>0</v>
      </c>
      <c r="BM3176" s="9">
        <f t="shared" si="446"/>
        <v>122.64771999999999</v>
      </c>
      <c r="BN3176" s="9">
        <f t="shared" si="447"/>
        <v>1196.92</v>
      </c>
      <c r="BO3176" s="9">
        <f t="shared" si="448"/>
        <v>0</v>
      </c>
      <c r="BP3176" s="9">
        <f t="shared" si="449"/>
        <v>0</v>
      </c>
    </row>
    <row r="3177" spans="1:68">
      <c r="A3177" s="6">
        <v>45118</v>
      </c>
      <c r="B3177" s="7">
        <v>3020</v>
      </c>
      <c r="C3177" s="8"/>
      <c r="D3177" s="8">
        <v>175.22</v>
      </c>
      <c r="E3177" s="8"/>
      <c r="F3177" s="8"/>
      <c r="G3177" s="8"/>
      <c r="H3177" s="8"/>
      <c r="I3177" s="8">
        <v>993.08</v>
      </c>
      <c r="J3177" s="8"/>
      <c r="K3177" s="8"/>
      <c r="L3177" s="8"/>
      <c r="M3177" s="8"/>
      <c r="N3177" s="8">
        <v>7.13</v>
      </c>
      <c r="O3177" s="8"/>
      <c r="P3177" s="8"/>
      <c r="Q3177" s="11"/>
      <c r="R3177" s="11"/>
      <c r="S3177" s="8">
        <v>2.1</v>
      </c>
      <c r="T3177" s="8"/>
      <c r="U3177" s="8"/>
      <c r="V3177" s="8"/>
      <c r="W3177" s="8">
        <v>11.69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>
        <v>11.67</v>
      </c>
      <c r="AN3177" s="8"/>
      <c r="AO3177" s="8"/>
      <c r="AP3177" s="11"/>
      <c r="AQ3177" s="8"/>
      <c r="AR3177" s="8"/>
      <c r="AS3177" s="8">
        <f>3064*9.72/1000</f>
        <v>29.782080000000001</v>
      </c>
      <c r="AT3177" s="8">
        <v>573.79999999999995</v>
      </c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>
        <v>42.02</v>
      </c>
      <c r="BH3177" s="9">
        <f t="shared" si="441"/>
        <v>1168.3</v>
      </c>
      <c r="BI3177" s="9">
        <f t="shared" si="442"/>
        <v>7.13</v>
      </c>
      <c r="BJ3177" s="9">
        <f t="shared" si="443"/>
        <v>2.1</v>
      </c>
      <c r="BK3177" s="9">
        <f t="shared" si="444"/>
        <v>11.69</v>
      </c>
      <c r="BL3177" s="9">
        <f t="shared" si="445"/>
        <v>0</v>
      </c>
      <c r="BM3177" s="9">
        <f t="shared" si="446"/>
        <v>41.452080000000002</v>
      </c>
      <c r="BN3177" s="9">
        <f t="shared" si="447"/>
        <v>573.79999999999995</v>
      </c>
      <c r="BO3177" s="9">
        <f t="shared" si="448"/>
        <v>0</v>
      </c>
      <c r="BP3177" s="9">
        <f t="shared" si="449"/>
        <v>0</v>
      </c>
    </row>
    <row r="3178" spans="1:68">
      <c r="A3178" s="6">
        <v>45118</v>
      </c>
      <c r="B3178" s="7">
        <v>3025</v>
      </c>
      <c r="C3178" s="8"/>
      <c r="D3178" s="8">
        <v>219.69</v>
      </c>
      <c r="E3178" s="8"/>
      <c r="F3178" s="8"/>
      <c r="G3178" s="8"/>
      <c r="H3178" s="8"/>
      <c r="I3178" s="8">
        <v>1241.07</v>
      </c>
      <c r="J3178" s="8"/>
      <c r="K3178" s="8"/>
      <c r="L3178" s="8"/>
      <c r="M3178" s="8"/>
      <c r="N3178" s="8">
        <v>8.17</v>
      </c>
      <c r="O3178" s="8"/>
      <c r="P3178" s="8"/>
      <c r="Q3178" s="11"/>
      <c r="R3178" s="11"/>
      <c r="S3178" s="8">
        <v>2.33</v>
      </c>
      <c r="T3178" s="8"/>
      <c r="U3178" s="8"/>
      <c r="V3178" s="8"/>
      <c r="W3178" s="8">
        <v>13.13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>
        <v>14.56</v>
      </c>
      <c r="AN3178" s="8">
        <f>716*14.6/1000</f>
        <v>10.4536</v>
      </c>
      <c r="AO3178" s="8"/>
      <c r="AP3178" s="11"/>
      <c r="AQ3178" s="8"/>
      <c r="AR3178" s="8"/>
      <c r="AS3178" s="8">
        <f>3349*14.6/1000</f>
        <v>48.895400000000002</v>
      </c>
      <c r="AT3178" s="8">
        <v>504.54</v>
      </c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>
        <v>33.450000000000003</v>
      </c>
      <c r="BH3178" s="9">
        <f t="shared" si="441"/>
        <v>1460.76</v>
      </c>
      <c r="BI3178" s="9">
        <f t="shared" si="442"/>
        <v>8.17</v>
      </c>
      <c r="BJ3178" s="9">
        <f t="shared" si="443"/>
        <v>2.33</v>
      </c>
      <c r="BK3178" s="9">
        <f t="shared" si="444"/>
        <v>13.13</v>
      </c>
      <c r="BL3178" s="9">
        <f t="shared" si="445"/>
        <v>0</v>
      </c>
      <c r="BM3178" s="9">
        <f t="shared" si="446"/>
        <v>73.909000000000006</v>
      </c>
      <c r="BN3178" s="9">
        <f t="shared" si="447"/>
        <v>504.54</v>
      </c>
      <c r="BO3178" s="9">
        <f t="shared" si="448"/>
        <v>0</v>
      </c>
      <c r="BP3178" s="9">
        <f t="shared" si="449"/>
        <v>0</v>
      </c>
    </row>
    <row r="3179" spans="1:68">
      <c r="A3179" s="6">
        <v>45119</v>
      </c>
      <c r="B3179" s="7">
        <v>3200</v>
      </c>
      <c r="C3179" s="8">
        <v>2314.36</v>
      </c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>
        <v>5.79</v>
      </c>
      <c r="P3179" s="8"/>
      <c r="Q3179" s="11"/>
      <c r="R3179" s="11"/>
      <c r="S3179" s="8">
        <v>9.0299999999999994</v>
      </c>
      <c r="T3179" s="8"/>
      <c r="U3179" s="8">
        <v>34.71</v>
      </c>
      <c r="V3179" s="8"/>
      <c r="W3179" s="8"/>
      <c r="X3179" s="8"/>
      <c r="Y3179" s="8"/>
      <c r="Z3179" s="8">
        <v>486.57</v>
      </c>
      <c r="AA3179" s="8"/>
      <c r="AB3179" s="8"/>
      <c r="AC3179" s="8"/>
      <c r="AD3179" s="8"/>
      <c r="AE3179" s="8"/>
      <c r="AF3179" s="8">
        <v>114.54</v>
      </c>
      <c r="AG3179" s="8"/>
      <c r="AH3179" s="8"/>
      <c r="AI3179" s="8"/>
      <c r="AJ3179" s="8"/>
      <c r="AK3179" s="8"/>
      <c r="AL3179" s="8"/>
      <c r="AM3179" s="8"/>
      <c r="AN3179" s="8"/>
      <c r="AO3179" s="8"/>
      <c r="AP3179" s="11"/>
      <c r="AQ3179" s="8">
        <f>1536*23.13/1000</f>
        <v>35.527680000000004</v>
      </c>
      <c r="AR3179" s="8"/>
      <c r="AS3179" s="8"/>
      <c r="AT3179" s="8">
        <v>1582.2</v>
      </c>
      <c r="AU3179" s="8"/>
      <c r="AV3179" s="8"/>
      <c r="AW3179" s="8">
        <v>6.76</v>
      </c>
      <c r="AX3179" s="8"/>
      <c r="AY3179" s="8"/>
      <c r="AZ3179" s="8"/>
      <c r="BA3179" s="8"/>
      <c r="BB3179" s="8"/>
      <c r="BC3179" s="8"/>
      <c r="BD3179" s="8"/>
      <c r="BE3179" s="8"/>
      <c r="BF3179" s="8">
        <v>111.12</v>
      </c>
      <c r="BG3179" s="8">
        <v>114.41</v>
      </c>
      <c r="BH3179" s="9">
        <f t="shared" si="441"/>
        <v>2314.36</v>
      </c>
      <c r="BI3179" s="9">
        <f t="shared" si="442"/>
        <v>5.79</v>
      </c>
      <c r="BJ3179" s="9">
        <f t="shared" si="443"/>
        <v>9.0299999999999994</v>
      </c>
      <c r="BK3179" s="9">
        <f t="shared" si="444"/>
        <v>34.71</v>
      </c>
      <c r="BL3179" s="9">
        <f t="shared" si="445"/>
        <v>486.57</v>
      </c>
      <c r="BM3179" s="9">
        <f t="shared" si="446"/>
        <v>150.06768</v>
      </c>
      <c r="BN3179" s="9">
        <f t="shared" si="447"/>
        <v>1582.2</v>
      </c>
      <c r="BO3179" s="9">
        <f t="shared" si="448"/>
        <v>6.76</v>
      </c>
      <c r="BP3179" s="9">
        <f t="shared" si="449"/>
        <v>111.12</v>
      </c>
    </row>
    <row r="3180" spans="1:68">
      <c r="A3180" s="6">
        <v>45119</v>
      </c>
      <c r="B3180" s="7">
        <v>3204</v>
      </c>
      <c r="C3180" s="8"/>
      <c r="D3180" s="8">
        <v>1028.8800000000001</v>
      </c>
      <c r="E3180" s="8">
        <v>440.75</v>
      </c>
      <c r="F3180" s="8"/>
      <c r="G3180" s="8"/>
      <c r="H3180" s="8"/>
      <c r="I3180" s="8"/>
      <c r="J3180" s="8"/>
      <c r="K3180" s="8"/>
      <c r="L3180" s="8"/>
      <c r="M3180" s="8"/>
      <c r="N3180" s="8"/>
      <c r="O3180" s="8">
        <v>7.36</v>
      </c>
      <c r="P3180" s="8"/>
      <c r="Q3180" s="11"/>
      <c r="R3180" s="11"/>
      <c r="S3180" s="8">
        <v>4.99</v>
      </c>
      <c r="T3180" s="8"/>
      <c r="U3180" s="8">
        <v>16.16</v>
      </c>
      <c r="V3180" s="8"/>
      <c r="W3180" s="8"/>
      <c r="X3180" s="8"/>
      <c r="Y3180" s="8"/>
      <c r="Z3180" s="8">
        <v>220.72</v>
      </c>
      <c r="AA3180" s="8"/>
      <c r="AB3180" s="8">
        <f>715*10.48/1000</f>
        <v>7.4932000000000007</v>
      </c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11"/>
      <c r="AQ3180" s="8"/>
      <c r="AR3180" s="8"/>
      <c r="AS3180" s="8"/>
      <c r="AT3180" s="8">
        <v>647.75</v>
      </c>
      <c r="AU3180" s="8"/>
      <c r="AV3180" s="8"/>
      <c r="AW3180" s="8">
        <v>4.71</v>
      </c>
      <c r="AX3180" s="8"/>
      <c r="AY3180" s="8"/>
      <c r="AZ3180" s="8"/>
      <c r="BA3180" s="8"/>
      <c r="BB3180" s="8"/>
      <c r="BC3180" s="8"/>
      <c r="BD3180" s="8"/>
      <c r="BE3180" s="8"/>
      <c r="BF3180" s="8"/>
      <c r="BG3180" s="8">
        <v>47.81</v>
      </c>
      <c r="BH3180" s="9">
        <f t="shared" si="441"/>
        <v>1469.63</v>
      </c>
      <c r="BI3180" s="9">
        <f t="shared" si="442"/>
        <v>7.36</v>
      </c>
      <c r="BJ3180" s="9">
        <f t="shared" si="443"/>
        <v>4.99</v>
      </c>
      <c r="BK3180" s="9">
        <f t="shared" si="444"/>
        <v>16.16</v>
      </c>
      <c r="BL3180" s="9">
        <f t="shared" si="445"/>
        <v>220.72</v>
      </c>
      <c r="BM3180" s="9">
        <f t="shared" si="446"/>
        <v>7.4932000000000007</v>
      </c>
      <c r="BN3180" s="9">
        <f t="shared" si="447"/>
        <v>647.75</v>
      </c>
      <c r="BO3180" s="9">
        <f t="shared" si="448"/>
        <v>4.71</v>
      </c>
      <c r="BP3180" s="9">
        <f t="shared" si="449"/>
        <v>0</v>
      </c>
    </row>
    <row r="3181" spans="1:68">
      <c r="A3181" s="6">
        <v>45119</v>
      </c>
      <c r="B3181" s="7">
        <v>3307</v>
      </c>
      <c r="C3181" s="8"/>
      <c r="D3181" s="8">
        <v>995.09</v>
      </c>
      <c r="E3181" s="8"/>
      <c r="F3181" s="8"/>
      <c r="G3181" s="8"/>
      <c r="H3181" s="8"/>
      <c r="I3181" s="8"/>
      <c r="J3181" s="8"/>
      <c r="K3181" s="8"/>
      <c r="L3181" s="8"/>
      <c r="M3181" s="8">
        <v>0.9</v>
      </c>
      <c r="N3181" s="8"/>
      <c r="O3181" s="8"/>
      <c r="P3181" s="8"/>
      <c r="Q3181" s="11"/>
      <c r="R3181" s="11"/>
      <c r="S3181" s="8">
        <v>6.76</v>
      </c>
      <c r="T3181" s="8"/>
      <c r="U3181" s="8">
        <v>9.9499999999999993</v>
      </c>
      <c r="V3181" s="8"/>
      <c r="W3181" s="8"/>
      <c r="X3181" s="8"/>
      <c r="Y3181" s="8"/>
      <c r="Z3181" s="8"/>
      <c r="AA3181" s="8"/>
      <c r="AB3181" s="8"/>
      <c r="AC3181" s="8">
        <v>5.97</v>
      </c>
      <c r="AD3181" s="8"/>
      <c r="AE3181" s="8"/>
      <c r="AF3181" s="8"/>
      <c r="AG3181" s="8">
        <v>9.9499999999999993</v>
      </c>
      <c r="AH3181" s="8"/>
      <c r="AI3181" s="8"/>
      <c r="AJ3181" s="8"/>
      <c r="AK3181" s="8"/>
      <c r="AL3181" s="8"/>
      <c r="AM3181" s="8"/>
      <c r="AN3181" s="8"/>
      <c r="AO3181" s="8"/>
      <c r="AP3181" s="11"/>
      <c r="AQ3181" s="8"/>
      <c r="AR3181" s="8"/>
      <c r="AS3181" s="8"/>
      <c r="AT3181" s="8"/>
      <c r="AU3181" s="8">
        <v>498.39</v>
      </c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>
        <v>35.78</v>
      </c>
      <c r="BH3181" s="9">
        <f t="shared" si="441"/>
        <v>995.09</v>
      </c>
      <c r="BI3181" s="9">
        <f t="shared" si="442"/>
        <v>0.9</v>
      </c>
      <c r="BJ3181" s="9">
        <f t="shared" si="443"/>
        <v>6.76</v>
      </c>
      <c r="BK3181" s="9">
        <f t="shared" si="444"/>
        <v>9.9499999999999993</v>
      </c>
      <c r="BL3181" s="9">
        <f t="shared" si="445"/>
        <v>0</v>
      </c>
      <c r="BM3181" s="9">
        <f t="shared" si="446"/>
        <v>15.919999999999998</v>
      </c>
      <c r="BN3181" s="9">
        <f t="shared" si="447"/>
        <v>498.39</v>
      </c>
      <c r="BO3181" s="9">
        <f t="shared" si="448"/>
        <v>0</v>
      </c>
      <c r="BP3181" s="9">
        <f t="shared" si="449"/>
        <v>0</v>
      </c>
    </row>
    <row r="3182" spans="1:68">
      <c r="A3182" s="6">
        <v>45119</v>
      </c>
      <c r="B3182" s="7">
        <v>3144</v>
      </c>
      <c r="C3182" s="8">
        <v>1216.19</v>
      </c>
      <c r="D3182" s="8">
        <v>214.7</v>
      </c>
      <c r="E3182" s="8"/>
      <c r="F3182" s="8"/>
      <c r="G3182" s="8"/>
      <c r="H3182" s="8"/>
      <c r="I3182" s="8"/>
      <c r="J3182" s="8"/>
      <c r="K3182" s="8"/>
      <c r="L3182" s="8"/>
      <c r="M3182" s="8">
        <v>4</v>
      </c>
      <c r="N3182" s="8"/>
      <c r="O3182" s="8"/>
      <c r="P3182" s="8"/>
      <c r="Q3182" s="11"/>
      <c r="R3182" s="11"/>
      <c r="S3182" s="8">
        <v>6.73</v>
      </c>
      <c r="T3182" s="8"/>
      <c r="U3182" s="8">
        <v>21.48</v>
      </c>
      <c r="V3182" s="8"/>
      <c r="W3182" s="8"/>
      <c r="X3182" s="8"/>
      <c r="Y3182" s="8"/>
      <c r="Z3182" s="8"/>
      <c r="AA3182" s="8"/>
      <c r="AB3182" s="8"/>
      <c r="AC3182" s="8">
        <v>5.73</v>
      </c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11">
        <f>1218*9.53/1000</f>
        <v>11.607539999999998</v>
      </c>
      <c r="AQ3182" s="8"/>
      <c r="AR3182" s="8"/>
      <c r="AS3182" s="8"/>
      <c r="AT3182" s="8">
        <v>947.53</v>
      </c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>
        <v>100.27</v>
      </c>
      <c r="BG3182" s="8">
        <v>74.319999999999993</v>
      </c>
      <c r="BH3182" s="9">
        <f t="shared" si="441"/>
        <v>1430.89</v>
      </c>
      <c r="BI3182" s="9">
        <f t="shared" si="442"/>
        <v>4</v>
      </c>
      <c r="BJ3182" s="9">
        <f t="shared" si="443"/>
        <v>6.73</v>
      </c>
      <c r="BK3182" s="9">
        <f t="shared" si="444"/>
        <v>21.48</v>
      </c>
      <c r="BL3182" s="9">
        <f t="shared" si="445"/>
        <v>0</v>
      </c>
      <c r="BM3182" s="9">
        <f t="shared" si="446"/>
        <v>17.337539999999997</v>
      </c>
      <c r="BN3182" s="9">
        <f t="shared" si="447"/>
        <v>947.53</v>
      </c>
      <c r="BO3182" s="9">
        <f t="shared" si="448"/>
        <v>0</v>
      </c>
      <c r="BP3182" s="9">
        <f t="shared" si="449"/>
        <v>100.27</v>
      </c>
    </row>
    <row r="3183" spans="1:68">
      <c r="A3183" s="6">
        <v>45119</v>
      </c>
      <c r="B3183" s="7">
        <v>3083</v>
      </c>
      <c r="C3183" s="8"/>
      <c r="D3183" s="8">
        <v>746.21</v>
      </c>
      <c r="E3183" s="8"/>
      <c r="F3183" s="8"/>
      <c r="G3183" s="8"/>
      <c r="H3183" s="8"/>
      <c r="I3183" s="8">
        <v>1741.12</v>
      </c>
      <c r="J3183" s="8"/>
      <c r="K3183" s="8"/>
      <c r="L3183" s="8"/>
      <c r="M3183" s="8"/>
      <c r="N3183" s="8">
        <v>16.170000000000002</v>
      </c>
      <c r="O3183" s="8"/>
      <c r="P3183" s="8"/>
      <c r="Q3183" s="11"/>
      <c r="R3183" s="11"/>
      <c r="S3183" s="8">
        <v>1.74</v>
      </c>
      <c r="T3183" s="8"/>
      <c r="U3183" s="8"/>
      <c r="V3183" s="8"/>
      <c r="W3183" s="8">
        <v>19.91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>
        <v>9.93</v>
      </c>
      <c r="AN3183" s="8">
        <f>1920*18.42/1000</f>
        <v>35.366399999999999</v>
      </c>
      <c r="AO3183" s="8"/>
      <c r="AP3183" s="11"/>
      <c r="AQ3183" s="8"/>
      <c r="AR3183" s="8">
        <f>3398*18.42/1000</f>
        <v>62.591160000000002</v>
      </c>
      <c r="AS3183" s="8"/>
      <c r="AT3183" s="8">
        <v>1170.07</v>
      </c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>
        <v>92.73</v>
      </c>
      <c r="BH3183" s="9">
        <f t="shared" si="441"/>
        <v>2487.33</v>
      </c>
      <c r="BI3183" s="9">
        <f t="shared" si="442"/>
        <v>16.170000000000002</v>
      </c>
      <c r="BJ3183" s="9">
        <f t="shared" si="443"/>
        <v>1.74</v>
      </c>
      <c r="BK3183" s="9">
        <f t="shared" si="444"/>
        <v>19.91</v>
      </c>
      <c r="BL3183" s="9">
        <f t="shared" si="445"/>
        <v>0</v>
      </c>
      <c r="BM3183" s="9">
        <f t="shared" si="446"/>
        <v>107.88756000000001</v>
      </c>
      <c r="BN3183" s="9">
        <f t="shared" si="447"/>
        <v>1170.07</v>
      </c>
      <c r="BO3183" s="9">
        <f t="shared" si="448"/>
        <v>0</v>
      </c>
      <c r="BP3183" s="9">
        <f t="shared" si="449"/>
        <v>0</v>
      </c>
    </row>
    <row r="3184" spans="1:68">
      <c r="A3184" s="6">
        <v>45119</v>
      </c>
      <c r="B3184" s="7">
        <v>3031</v>
      </c>
      <c r="C3184" s="8"/>
      <c r="D3184" s="8"/>
      <c r="E3184" s="8"/>
      <c r="F3184" s="8"/>
      <c r="G3184" s="8"/>
      <c r="H3184" s="8"/>
      <c r="I3184" s="8">
        <v>1152.53</v>
      </c>
      <c r="J3184" s="8"/>
      <c r="K3184" s="8"/>
      <c r="L3184" s="8"/>
      <c r="M3184" s="8"/>
      <c r="N3184" s="8">
        <v>7.96</v>
      </c>
      <c r="O3184" s="8"/>
      <c r="P3184" s="8"/>
      <c r="Q3184" s="11"/>
      <c r="R3184" s="11"/>
      <c r="S3184" s="8">
        <v>0.81</v>
      </c>
      <c r="T3184" s="8"/>
      <c r="U3184" s="8"/>
      <c r="V3184" s="8"/>
      <c r="W3184" s="8">
        <v>11.54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>
        <f>1757*9.6/1000</f>
        <v>16.8672</v>
      </c>
      <c r="AJ3184" s="8"/>
      <c r="AK3184" s="8"/>
      <c r="AL3184" s="8"/>
      <c r="AM3184" s="8"/>
      <c r="AN3184" s="8">
        <f>1214*9.6/1000</f>
        <v>11.654399999999999</v>
      </c>
      <c r="AO3184" s="8"/>
      <c r="AP3184" s="11"/>
      <c r="AQ3184" s="8"/>
      <c r="AR3184" s="8">
        <f>3622*9.6/1000</f>
        <v>34.7712</v>
      </c>
      <c r="AS3184" s="8"/>
      <c r="AT3184" s="8">
        <v>549.04999999999995</v>
      </c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>
        <v>37.19</v>
      </c>
      <c r="BH3184" s="9">
        <f t="shared" si="441"/>
        <v>1152.53</v>
      </c>
      <c r="BI3184" s="9">
        <f t="shared" si="442"/>
        <v>7.96</v>
      </c>
      <c r="BJ3184" s="9">
        <f t="shared" si="443"/>
        <v>0.81</v>
      </c>
      <c r="BK3184" s="9">
        <f t="shared" si="444"/>
        <v>11.54</v>
      </c>
      <c r="BL3184" s="9">
        <f t="shared" si="445"/>
        <v>0</v>
      </c>
      <c r="BM3184" s="9">
        <f t="shared" si="446"/>
        <v>63.2928</v>
      </c>
      <c r="BN3184" s="9">
        <f t="shared" si="447"/>
        <v>549.04999999999995</v>
      </c>
      <c r="BO3184" s="9">
        <f t="shared" si="448"/>
        <v>0</v>
      </c>
      <c r="BP3184" s="9">
        <f t="shared" si="449"/>
        <v>0</v>
      </c>
    </row>
    <row r="3185" spans="1:68">
      <c r="A3185" s="6">
        <v>45119</v>
      </c>
      <c r="B3185" s="7">
        <v>3139</v>
      </c>
      <c r="C3185" s="8">
        <v>1861.37</v>
      </c>
      <c r="D3185" s="8"/>
      <c r="E3185" s="8"/>
      <c r="F3185" s="8"/>
      <c r="G3185" s="8"/>
      <c r="H3185" s="8">
        <v>772.87</v>
      </c>
      <c r="I3185" s="8"/>
      <c r="J3185" s="8"/>
      <c r="K3185" s="8"/>
      <c r="L3185" s="8"/>
      <c r="M3185" s="8">
        <v>4.3499999999999996</v>
      </c>
      <c r="N3185" s="8"/>
      <c r="O3185" s="8"/>
      <c r="P3185" s="8"/>
      <c r="Q3185" s="11"/>
      <c r="R3185" s="11"/>
      <c r="S3185" s="8">
        <v>8.25</v>
      </c>
      <c r="T3185" s="8"/>
      <c r="U3185" s="8">
        <v>27.49</v>
      </c>
      <c r="V3185" s="8"/>
      <c r="W3185" s="8"/>
      <c r="X3185" s="8"/>
      <c r="Y3185" s="8"/>
      <c r="Z3185" s="8"/>
      <c r="AA3185" s="8"/>
      <c r="AB3185" s="8"/>
      <c r="AC3185" s="8">
        <v>9.17</v>
      </c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11"/>
      <c r="AQ3185" s="8"/>
      <c r="AR3185" s="8"/>
      <c r="AS3185" s="8"/>
      <c r="AT3185" s="8">
        <v>1351.14</v>
      </c>
      <c r="AU3185" s="8"/>
      <c r="AV3185" s="8">
        <v>45.76</v>
      </c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>
        <v>98.55</v>
      </c>
      <c r="BH3185" s="9">
        <f t="shared" si="441"/>
        <v>2634.24</v>
      </c>
      <c r="BI3185" s="9">
        <f t="shared" si="442"/>
        <v>4.3499999999999996</v>
      </c>
      <c r="BJ3185" s="9">
        <f t="shared" si="443"/>
        <v>8.25</v>
      </c>
      <c r="BK3185" s="9">
        <f t="shared" si="444"/>
        <v>27.49</v>
      </c>
      <c r="BL3185" s="9">
        <f t="shared" si="445"/>
        <v>0</v>
      </c>
      <c r="BM3185" s="9">
        <f t="shared" si="446"/>
        <v>9.17</v>
      </c>
      <c r="BN3185" s="9">
        <f t="shared" si="447"/>
        <v>1351.14</v>
      </c>
      <c r="BO3185" s="9">
        <f t="shared" si="448"/>
        <v>45.76</v>
      </c>
      <c r="BP3185" s="9">
        <f t="shared" si="449"/>
        <v>0</v>
      </c>
    </row>
    <row r="3186" spans="1:68">
      <c r="A3186" s="6">
        <v>45119</v>
      </c>
      <c r="B3186" s="7">
        <v>3430</v>
      </c>
      <c r="C3186" s="8">
        <v>94.11</v>
      </c>
      <c r="D3186" s="8">
        <v>141.58000000000001</v>
      </c>
      <c r="E3186" s="8"/>
      <c r="F3186" s="8"/>
      <c r="G3186" s="8"/>
      <c r="H3186" s="8"/>
      <c r="I3186" s="8"/>
      <c r="J3186" s="8"/>
      <c r="K3186" s="8"/>
      <c r="L3186" s="8"/>
      <c r="M3186" s="8"/>
      <c r="N3186" s="8">
        <v>0.42</v>
      </c>
      <c r="O3186" s="8"/>
      <c r="P3186" s="8"/>
      <c r="Q3186" s="11"/>
      <c r="R3186" s="11"/>
      <c r="S3186" s="8">
        <v>0.71</v>
      </c>
      <c r="T3186" s="8"/>
      <c r="U3186" s="8"/>
      <c r="V3186" s="8"/>
      <c r="W3186" s="8"/>
      <c r="X3186" s="8">
        <f>1106*2.6/1000</f>
        <v>2.8755999999999999</v>
      </c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11"/>
      <c r="AQ3186" s="8"/>
      <c r="AR3186" s="8"/>
      <c r="AS3186" s="8"/>
      <c r="AT3186" s="8">
        <v>95.13</v>
      </c>
      <c r="AU3186" s="8"/>
      <c r="AV3186" s="8"/>
      <c r="AW3186" s="8">
        <v>4.5999999999999996</v>
      </c>
      <c r="AX3186" s="8"/>
      <c r="AY3186" s="8"/>
      <c r="AZ3186" s="8"/>
      <c r="BA3186" s="8"/>
      <c r="BB3186" s="8"/>
      <c r="BC3186" s="8"/>
      <c r="BD3186" s="8"/>
      <c r="BE3186" s="8"/>
      <c r="BF3186" s="8"/>
      <c r="BG3186" s="8">
        <v>7.36</v>
      </c>
      <c r="BH3186" s="9">
        <f t="shared" si="441"/>
        <v>235.69</v>
      </c>
      <c r="BI3186" s="9">
        <f t="shared" si="442"/>
        <v>0.42</v>
      </c>
      <c r="BJ3186" s="9">
        <f t="shared" si="443"/>
        <v>0.71</v>
      </c>
      <c r="BK3186" s="9">
        <f t="shared" si="444"/>
        <v>2.8755999999999999</v>
      </c>
      <c r="BL3186" s="9">
        <f t="shared" si="445"/>
        <v>0</v>
      </c>
      <c r="BM3186" s="9">
        <f t="shared" si="446"/>
        <v>0</v>
      </c>
      <c r="BN3186" s="9">
        <f t="shared" si="447"/>
        <v>95.13</v>
      </c>
      <c r="BO3186" s="9">
        <f t="shared" si="448"/>
        <v>4.5999999999999996</v>
      </c>
      <c r="BP3186" s="9">
        <f t="shared" si="449"/>
        <v>0</v>
      </c>
    </row>
    <row r="3187" spans="1:68">
      <c r="A3187" s="6">
        <v>45120</v>
      </c>
      <c r="B3187" s="7">
        <v>3310</v>
      </c>
      <c r="C3187" s="8"/>
      <c r="D3187" s="8">
        <v>1024.18</v>
      </c>
      <c r="E3187" s="8"/>
      <c r="F3187" s="8"/>
      <c r="G3187" s="8"/>
      <c r="H3187" s="8"/>
      <c r="I3187" s="8"/>
      <c r="J3187" s="8"/>
      <c r="K3187" s="8"/>
      <c r="L3187" s="8"/>
      <c r="M3187" s="8">
        <v>2.0499999999999998</v>
      </c>
      <c r="N3187" s="8"/>
      <c r="O3187" s="8"/>
      <c r="P3187" s="8"/>
      <c r="Q3187" s="11"/>
      <c r="R3187" s="11"/>
      <c r="S3187" s="8">
        <v>1.53</v>
      </c>
      <c r="T3187" s="8"/>
      <c r="U3187" s="8">
        <v>9.23</v>
      </c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>
        <v>10.27</v>
      </c>
      <c r="AH3187" s="8"/>
      <c r="AI3187" s="8"/>
      <c r="AJ3187" s="8"/>
      <c r="AK3187" s="8"/>
      <c r="AL3187" s="8"/>
      <c r="AM3187" s="8"/>
      <c r="AN3187" s="8"/>
      <c r="AO3187" s="8"/>
      <c r="AP3187" s="11"/>
      <c r="AQ3187" s="8"/>
      <c r="AR3187" s="8"/>
      <c r="AS3187" s="8"/>
      <c r="AT3187" s="8">
        <v>274.57</v>
      </c>
      <c r="AU3187" s="8">
        <v>137.33000000000001</v>
      </c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>
        <v>28.49</v>
      </c>
      <c r="BH3187" s="9">
        <f t="shared" si="441"/>
        <v>1024.18</v>
      </c>
      <c r="BI3187" s="9">
        <f t="shared" si="442"/>
        <v>2.0499999999999998</v>
      </c>
      <c r="BJ3187" s="9">
        <f t="shared" si="443"/>
        <v>1.53</v>
      </c>
      <c r="BK3187" s="9">
        <f t="shared" si="444"/>
        <v>9.23</v>
      </c>
      <c r="BL3187" s="9">
        <f t="shared" si="445"/>
        <v>0</v>
      </c>
      <c r="BM3187" s="9">
        <f t="shared" si="446"/>
        <v>10.27</v>
      </c>
      <c r="BN3187" s="9">
        <f t="shared" si="447"/>
        <v>411.9</v>
      </c>
      <c r="BO3187" s="9">
        <f t="shared" si="448"/>
        <v>0</v>
      </c>
      <c r="BP3187" s="9">
        <f t="shared" si="449"/>
        <v>0</v>
      </c>
    </row>
    <row r="3188" spans="1:68">
      <c r="A3188" s="6">
        <v>45120</v>
      </c>
      <c r="B3188" s="7">
        <v>3602</v>
      </c>
      <c r="C3188" s="8">
        <v>570.12</v>
      </c>
      <c r="D3188" s="8"/>
      <c r="E3188" s="8"/>
      <c r="F3188" s="8"/>
      <c r="G3188" s="8">
        <v>855.14</v>
      </c>
      <c r="H3188" s="8"/>
      <c r="I3188" s="8"/>
      <c r="J3188" s="8"/>
      <c r="K3188" s="8"/>
      <c r="L3188" s="8"/>
      <c r="M3188" s="8">
        <v>1.73</v>
      </c>
      <c r="N3188" s="8"/>
      <c r="O3188" s="8"/>
      <c r="P3188" s="8"/>
      <c r="Q3188" s="11"/>
      <c r="R3188" s="11"/>
      <c r="S3188" s="8">
        <v>6.84</v>
      </c>
      <c r="T3188" s="8"/>
      <c r="U3188" s="8">
        <v>11.41</v>
      </c>
      <c r="V3188" s="8">
        <f>854*16.3/1000</f>
        <v>13.920200000000001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11"/>
      <c r="AQ3188" s="8"/>
      <c r="AR3188" s="8"/>
      <c r="AS3188" s="8"/>
      <c r="AT3188" s="8">
        <v>574.04999999999995</v>
      </c>
      <c r="AU3188" s="8"/>
      <c r="AV3188" s="8"/>
      <c r="AW3188" s="8">
        <v>36.869999999999997</v>
      </c>
      <c r="AX3188" s="8"/>
      <c r="AY3188" s="8"/>
      <c r="AZ3188" s="8"/>
      <c r="BA3188" s="8"/>
      <c r="BB3188" s="8"/>
      <c r="BC3188" s="8"/>
      <c r="BD3188" s="8"/>
      <c r="BE3188" s="8"/>
      <c r="BF3188" s="8">
        <v>45.68</v>
      </c>
      <c r="BG3188" s="8">
        <v>42.86</v>
      </c>
      <c r="BH3188" s="9">
        <f t="shared" si="441"/>
        <v>1425.26</v>
      </c>
      <c r="BI3188" s="9">
        <f t="shared" si="442"/>
        <v>1.73</v>
      </c>
      <c r="BJ3188" s="9">
        <f t="shared" si="443"/>
        <v>6.84</v>
      </c>
      <c r="BK3188" s="9">
        <f t="shared" si="444"/>
        <v>25.330200000000001</v>
      </c>
      <c r="BL3188" s="9">
        <f t="shared" si="445"/>
        <v>0</v>
      </c>
      <c r="BM3188" s="9">
        <f t="shared" si="446"/>
        <v>0</v>
      </c>
      <c r="BN3188" s="9">
        <f t="shared" si="447"/>
        <v>574.04999999999995</v>
      </c>
      <c r="BO3188" s="9">
        <f t="shared" si="448"/>
        <v>36.869999999999997</v>
      </c>
      <c r="BP3188" s="9">
        <f t="shared" si="449"/>
        <v>45.68</v>
      </c>
    </row>
    <row r="3189" spans="1:68">
      <c r="A3189" s="6">
        <v>45120</v>
      </c>
      <c r="B3189" s="7">
        <v>3100</v>
      </c>
      <c r="C3189" s="8">
        <v>689.27</v>
      </c>
      <c r="D3189" s="8"/>
      <c r="E3189" s="8"/>
      <c r="F3189" s="8"/>
      <c r="G3189" s="8"/>
      <c r="H3189" s="8"/>
      <c r="I3189" s="8"/>
      <c r="J3189" s="8"/>
      <c r="K3189" s="8"/>
      <c r="L3189" s="8"/>
      <c r="M3189" s="8">
        <v>1.72</v>
      </c>
      <c r="N3189" s="8"/>
      <c r="O3189" s="8"/>
      <c r="P3189" s="8"/>
      <c r="Q3189" s="11"/>
      <c r="R3189" s="11"/>
      <c r="S3189" s="8">
        <v>3.94</v>
      </c>
      <c r="T3189" s="8"/>
      <c r="U3189" s="8">
        <v>11.05</v>
      </c>
      <c r="V3189" s="8"/>
      <c r="W3189" s="8"/>
      <c r="X3189" s="8"/>
      <c r="Y3189" s="8"/>
      <c r="Z3189" s="8"/>
      <c r="AA3189" s="8"/>
      <c r="AB3189" s="8"/>
      <c r="AC3189" s="8">
        <v>2.76</v>
      </c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11"/>
      <c r="AQ3189" s="8"/>
      <c r="AR3189" s="8"/>
      <c r="AS3189" s="8"/>
      <c r="AT3189" s="8">
        <v>463.66</v>
      </c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>
        <v>35.54</v>
      </c>
      <c r="BH3189" s="9">
        <f t="shared" si="441"/>
        <v>689.27</v>
      </c>
      <c r="BI3189" s="9">
        <f t="shared" si="442"/>
        <v>1.72</v>
      </c>
      <c r="BJ3189" s="9">
        <f t="shared" si="443"/>
        <v>3.94</v>
      </c>
      <c r="BK3189" s="9">
        <f t="shared" si="444"/>
        <v>11.05</v>
      </c>
      <c r="BL3189" s="9">
        <f t="shared" si="445"/>
        <v>0</v>
      </c>
      <c r="BM3189" s="9">
        <f t="shared" si="446"/>
        <v>2.76</v>
      </c>
      <c r="BN3189" s="9">
        <f t="shared" si="447"/>
        <v>463.66</v>
      </c>
      <c r="BO3189" s="9">
        <f t="shared" si="448"/>
        <v>0</v>
      </c>
      <c r="BP3189" s="9">
        <f t="shared" si="449"/>
        <v>0</v>
      </c>
    </row>
    <row r="3190" spans="1:68">
      <c r="A3190" s="6">
        <v>45120</v>
      </c>
      <c r="B3190" s="7">
        <v>3117</v>
      </c>
      <c r="C3190" s="8">
        <v>1533.39</v>
      </c>
      <c r="D3190" s="8"/>
      <c r="E3190" s="8"/>
      <c r="F3190" s="8"/>
      <c r="G3190" s="8"/>
      <c r="H3190" s="8"/>
      <c r="I3190" s="8"/>
      <c r="J3190" s="8"/>
      <c r="K3190" s="8"/>
      <c r="L3190" s="8"/>
      <c r="M3190" s="8">
        <v>4.43</v>
      </c>
      <c r="N3190" s="8"/>
      <c r="O3190" s="8"/>
      <c r="P3190" s="8"/>
      <c r="Q3190" s="11"/>
      <c r="R3190" s="11"/>
      <c r="S3190" s="8">
        <v>6.14</v>
      </c>
      <c r="T3190" s="8"/>
      <c r="U3190" s="8">
        <v>15.34</v>
      </c>
      <c r="V3190" s="8"/>
      <c r="W3190" s="8"/>
      <c r="X3190" s="8"/>
      <c r="Y3190" s="8"/>
      <c r="Z3190" s="8"/>
      <c r="AA3190" s="8"/>
      <c r="AB3190" s="8"/>
      <c r="AC3190" s="8">
        <v>6.14</v>
      </c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11"/>
      <c r="AQ3190" s="8"/>
      <c r="AR3190" s="8"/>
      <c r="AS3190" s="8"/>
      <c r="AT3190" s="8">
        <v>966.1</v>
      </c>
      <c r="AU3190" s="8"/>
      <c r="AV3190" s="8">
        <v>38.33</v>
      </c>
      <c r="AW3190" s="8"/>
      <c r="AX3190" s="8"/>
      <c r="AY3190" s="8"/>
      <c r="AZ3190" s="8"/>
      <c r="BA3190" s="8"/>
      <c r="BB3190" s="8"/>
      <c r="BC3190" s="8"/>
      <c r="BD3190" s="8"/>
      <c r="BE3190" s="8"/>
      <c r="BF3190" s="8">
        <v>76.7</v>
      </c>
      <c r="BG3190" s="8">
        <v>73.58</v>
      </c>
      <c r="BH3190" s="9">
        <f t="shared" si="441"/>
        <v>1533.39</v>
      </c>
      <c r="BI3190" s="9">
        <f t="shared" si="442"/>
        <v>4.43</v>
      </c>
      <c r="BJ3190" s="9">
        <f t="shared" si="443"/>
        <v>6.14</v>
      </c>
      <c r="BK3190" s="9">
        <f t="shared" si="444"/>
        <v>15.34</v>
      </c>
      <c r="BL3190" s="9">
        <f t="shared" si="445"/>
        <v>0</v>
      </c>
      <c r="BM3190" s="9">
        <f t="shared" si="446"/>
        <v>6.14</v>
      </c>
      <c r="BN3190" s="9">
        <f t="shared" si="447"/>
        <v>966.1</v>
      </c>
      <c r="BO3190" s="9">
        <f t="shared" si="448"/>
        <v>38.33</v>
      </c>
      <c r="BP3190" s="9">
        <f t="shared" si="449"/>
        <v>76.7</v>
      </c>
    </row>
    <row r="3191" spans="1:68">
      <c r="A3191" s="6">
        <v>45120</v>
      </c>
      <c r="B3191" s="7">
        <v>3139</v>
      </c>
      <c r="C3191" s="8">
        <v>1159.67</v>
      </c>
      <c r="D3191" s="8"/>
      <c r="E3191" s="8"/>
      <c r="F3191" s="8"/>
      <c r="G3191" s="8"/>
      <c r="H3191" s="8">
        <v>481.42</v>
      </c>
      <c r="I3191" s="8"/>
      <c r="J3191" s="8"/>
      <c r="K3191" s="8"/>
      <c r="L3191" s="8"/>
      <c r="M3191" s="8">
        <v>2.71</v>
      </c>
      <c r="N3191" s="8"/>
      <c r="O3191" s="8"/>
      <c r="P3191" s="8"/>
      <c r="Q3191" s="11"/>
      <c r="R3191" s="11"/>
      <c r="S3191" s="8">
        <v>5.13</v>
      </c>
      <c r="T3191" s="8"/>
      <c r="U3191" s="8">
        <v>17.12</v>
      </c>
      <c r="V3191" s="8"/>
      <c r="W3191" s="8"/>
      <c r="X3191" s="8"/>
      <c r="Y3191" s="8"/>
      <c r="Z3191" s="8"/>
      <c r="AA3191" s="8"/>
      <c r="AB3191" s="8"/>
      <c r="AC3191" s="8">
        <v>5.71</v>
      </c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11"/>
      <c r="AQ3191" s="8"/>
      <c r="AR3191" s="8"/>
      <c r="AS3191" s="8"/>
      <c r="AT3191" s="8">
        <v>846</v>
      </c>
      <c r="AU3191" s="8"/>
      <c r="AV3191" s="8">
        <v>28.49</v>
      </c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>
        <v>61.36</v>
      </c>
      <c r="BH3191" s="9">
        <f t="shared" si="441"/>
        <v>1641.0900000000001</v>
      </c>
      <c r="BI3191" s="9">
        <f t="shared" si="442"/>
        <v>2.71</v>
      </c>
      <c r="BJ3191" s="9">
        <f t="shared" si="443"/>
        <v>5.13</v>
      </c>
      <c r="BK3191" s="9">
        <f t="shared" si="444"/>
        <v>17.12</v>
      </c>
      <c r="BL3191" s="9">
        <f t="shared" si="445"/>
        <v>0</v>
      </c>
      <c r="BM3191" s="9">
        <f t="shared" si="446"/>
        <v>5.71</v>
      </c>
      <c r="BN3191" s="9">
        <f t="shared" si="447"/>
        <v>846</v>
      </c>
      <c r="BO3191" s="9">
        <f t="shared" si="448"/>
        <v>28.49</v>
      </c>
      <c r="BP3191" s="9">
        <f t="shared" si="449"/>
        <v>0</v>
      </c>
    </row>
    <row r="3192" spans="1:68">
      <c r="A3192" s="6">
        <v>45120</v>
      </c>
      <c r="B3192" s="7">
        <v>3145</v>
      </c>
      <c r="C3192" s="8">
        <v>1232.44</v>
      </c>
      <c r="D3192" s="8">
        <v>217.51</v>
      </c>
      <c r="E3192" s="8"/>
      <c r="F3192" s="8"/>
      <c r="G3192" s="8"/>
      <c r="H3192" s="8"/>
      <c r="I3192" s="8"/>
      <c r="J3192" s="8"/>
      <c r="K3192" s="8"/>
      <c r="L3192" s="8"/>
      <c r="M3192" s="8">
        <v>4.13</v>
      </c>
      <c r="N3192" s="8"/>
      <c r="O3192" s="8"/>
      <c r="P3192" s="8"/>
      <c r="Q3192" s="11"/>
      <c r="R3192" s="11"/>
      <c r="S3192" s="8">
        <v>6.82</v>
      </c>
      <c r="T3192" s="8"/>
      <c r="U3192" s="8">
        <v>21.76</v>
      </c>
      <c r="V3192" s="8"/>
      <c r="W3192" s="8"/>
      <c r="X3192" s="8"/>
      <c r="Y3192" s="8"/>
      <c r="Z3192" s="8"/>
      <c r="AA3192" s="8"/>
      <c r="AB3192" s="8"/>
      <c r="AC3192" s="8">
        <v>5.8</v>
      </c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11"/>
      <c r="AQ3192" s="8"/>
      <c r="AR3192" s="8"/>
      <c r="AS3192" s="8"/>
      <c r="AT3192" s="8">
        <v>960.54</v>
      </c>
      <c r="AU3192" s="8"/>
      <c r="AV3192" s="8"/>
      <c r="AW3192" s="8"/>
      <c r="AX3192" s="8"/>
      <c r="AY3192" s="8"/>
      <c r="AZ3192" s="8"/>
      <c r="BA3192" s="8"/>
      <c r="BB3192" s="8"/>
      <c r="BC3192" s="8"/>
      <c r="BD3192" s="8">
        <v>3.63</v>
      </c>
      <c r="BE3192" s="8">
        <f>1369*9.67/1000</f>
        <v>13.23823</v>
      </c>
      <c r="BF3192" s="8">
        <v>101.57</v>
      </c>
      <c r="BG3192" s="8">
        <v>75.41</v>
      </c>
      <c r="BH3192" s="9">
        <f t="shared" si="441"/>
        <v>1449.95</v>
      </c>
      <c r="BI3192" s="9">
        <f t="shared" si="442"/>
        <v>4.13</v>
      </c>
      <c r="BJ3192" s="9">
        <f t="shared" si="443"/>
        <v>6.82</v>
      </c>
      <c r="BK3192" s="9">
        <f t="shared" si="444"/>
        <v>21.76</v>
      </c>
      <c r="BL3192" s="9">
        <f t="shared" si="445"/>
        <v>0</v>
      </c>
      <c r="BM3192" s="9">
        <f t="shared" si="446"/>
        <v>5.8</v>
      </c>
      <c r="BN3192" s="9">
        <f t="shared" si="447"/>
        <v>960.54</v>
      </c>
      <c r="BO3192" s="9">
        <f t="shared" si="448"/>
        <v>16.868230000000001</v>
      </c>
      <c r="BP3192" s="9">
        <f t="shared" si="449"/>
        <v>101.57</v>
      </c>
    </row>
    <row r="3193" spans="1:68">
      <c r="A3193" s="6">
        <v>45120</v>
      </c>
      <c r="B3193" s="7">
        <v>3141</v>
      </c>
      <c r="C3193" s="8">
        <v>2393.94</v>
      </c>
      <c r="D3193" s="8">
        <v>422.46</v>
      </c>
      <c r="E3193" s="8"/>
      <c r="F3193" s="8"/>
      <c r="G3193" s="8"/>
      <c r="H3193" s="8"/>
      <c r="I3193" s="8"/>
      <c r="J3193" s="8"/>
      <c r="K3193" s="8"/>
      <c r="L3193" s="8"/>
      <c r="M3193" s="8">
        <v>7.89</v>
      </c>
      <c r="N3193" s="8"/>
      <c r="O3193" s="8"/>
      <c r="P3193" s="8"/>
      <c r="Q3193" s="11"/>
      <c r="R3193" s="11"/>
      <c r="S3193" s="8">
        <v>13.25</v>
      </c>
      <c r="T3193" s="8"/>
      <c r="U3193" s="8">
        <v>42.26</v>
      </c>
      <c r="V3193" s="8"/>
      <c r="W3193" s="8"/>
      <c r="X3193" s="8"/>
      <c r="Y3193" s="8"/>
      <c r="Z3193" s="8"/>
      <c r="AA3193" s="8"/>
      <c r="AB3193" s="8"/>
      <c r="AC3193" s="8">
        <v>11.28</v>
      </c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11"/>
      <c r="AQ3193" s="8"/>
      <c r="AR3193" s="8"/>
      <c r="AS3193" s="8"/>
      <c r="AT3193" s="8">
        <v>1861.21</v>
      </c>
      <c r="AU3193" s="8"/>
      <c r="AV3193" s="8"/>
      <c r="AW3193" s="8"/>
      <c r="AX3193" s="8"/>
      <c r="AY3193" s="8"/>
      <c r="AZ3193" s="8"/>
      <c r="BA3193" s="8">
        <v>64.56</v>
      </c>
      <c r="BB3193" s="8"/>
      <c r="BC3193" s="8"/>
      <c r="BD3193" s="8"/>
      <c r="BE3193" s="8"/>
      <c r="BF3193" s="8">
        <v>197.23</v>
      </c>
      <c r="BG3193" s="8">
        <v>146.41999999999999</v>
      </c>
      <c r="BH3193" s="9">
        <f t="shared" si="441"/>
        <v>2816.4</v>
      </c>
      <c r="BI3193" s="9">
        <f t="shared" si="442"/>
        <v>7.89</v>
      </c>
      <c r="BJ3193" s="9">
        <f t="shared" si="443"/>
        <v>13.25</v>
      </c>
      <c r="BK3193" s="9">
        <f t="shared" si="444"/>
        <v>42.26</v>
      </c>
      <c r="BL3193" s="9">
        <f t="shared" si="445"/>
        <v>0</v>
      </c>
      <c r="BM3193" s="9">
        <f t="shared" si="446"/>
        <v>11.28</v>
      </c>
      <c r="BN3193" s="9">
        <f t="shared" si="447"/>
        <v>1861.21</v>
      </c>
      <c r="BO3193" s="9">
        <f t="shared" si="448"/>
        <v>64.56</v>
      </c>
      <c r="BP3193" s="9">
        <f t="shared" si="449"/>
        <v>197.23</v>
      </c>
    </row>
    <row r="3194" spans="1:68">
      <c r="A3194" s="6">
        <v>45120</v>
      </c>
      <c r="B3194" s="7">
        <v>3106</v>
      </c>
      <c r="C3194" s="8">
        <v>8153.18</v>
      </c>
      <c r="D3194" s="8"/>
      <c r="E3194" s="8"/>
      <c r="F3194" s="8"/>
      <c r="G3194" s="8"/>
      <c r="H3194" s="8"/>
      <c r="I3194" s="8"/>
      <c r="J3194" s="8"/>
      <c r="K3194" s="8"/>
      <c r="L3194" s="8"/>
      <c r="M3194" s="8">
        <v>21.26</v>
      </c>
      <c r="N3194" s="8"/>
      <c r="O3194" s="8"/>
      <c r="P3194" s="8"/>
      <c r="Q3194" s="11"/>
      <c r="R3194" s="11"/>
      <c r="S3194" s="8">
        <v>24.5</v>
      </c>
      <c r="T3194" s="8"/>
      <c r="U3194" s="8">
        <v>103.63</v>
      </c>
      <c r="V3194" s="8"/>
      <c r="W3194" s="8"/>
      <c r="X3194" s="8"/>
      <c r="Y3194" s="8"/>
      <c r="Z3194" s="8"/>
      <c r="AA3194" s="8"/>
      <c r="AB3194" s="8"/>
      <c r="AC3194" s="8">
        <v>20.38</v>
      </c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11"/>
      <c r="AQ3194" s="8"/>
      <c r="AR3194" s="8"/>
      <c r="AS3194" s="8"/>
      <c r="AT3194" s="8">
        <v>4648.97</v>
      </c>
      <c r="AU3194" s="8"/>
      <c r="AV3194" s="8"/>
      <c r="AW3194" s="8"/>
      <c r="AX3194" s="8">
        <v>10.199999999999999</v>
      </c>
      <c r="AY3194" s="8"/>
      <c r="AZ3194" s="8"/>
      <c r="BA3194" s="8"/>
      <c r="BB3194" s="8"/>
      <c r="BC3194" s="8"/>
      <c r="BD3194" s="8"/>
      <c r="BE3194" s="8"/>
      <c r="BF3194" s="8"/>
      <c r="BG3194" s="8">
        <v>351.29</v>
      </c>
      <c r="BH3194" s="9">
        <f t="shared" si="441"/>
        <v>8153.18</v>
      </c>
      <c r="BI3194" s="9">
        <f t="shared" si="442"/>
        <v>21.26</v>
      </c>
      <c r="BJ3194" s="9">
        <f t="shared" si="443"/>
        <v>24.5</v>
      </c>
      <c r="BK3194" s="9">
        <f t="shared" si="444"/>
        <v>103.63</v>
      </c>
      <c r="BL3194" s="9">
        <f t="shared" si="445"/>
        <v>0</v>
      </c>
      <c r="BM3194" s="9">
        <f t="shared" si="446"/>
        <v>20.38</v>
      </c>
      <c r="BN3194" s="9">
        <f t="shared" si="447"/>
        <v>4648.97</v>
      </c>
      <c r="BO3194" s="9">
        <f t="shared" si="448"/>
        <v>10.199999999999999</v>
      </c>
      <c r="BP3194" s="9">
        <f t="shared" si="449"/>
        <v>0</v>
      </c>
    </row>
    <row r="3195" spans="1:68">
      <c r="A3195" s="6">
        <v>45121</v>
      </c>
      <c r="B3195" s="7">
        <v>3141</v>
      </c>
      <c r="C3195" s="8">
        <v>3554.97</v>
      </c>
      <c r="D3195" s="8">
        <v>627.73</v>
      </c>
      <c r="E3195" s="8"/>
      <c r="F3195" s="8"/>
      <c r="G3195" s="8"/>
      <c r="H3195" s="8"/>
      <c r="I3195" s="8"/>
      <c r="J3195" s="8"/>
      <c r="K3195" s="8"/>
      <c r="L3195" s="8"/>
      <c r="M3195" s="8">
        <v>11.98</v>
      </c>
      <c r="N3195" s="8"/>
      <c r="O3195" s="8"/>
      <c r="P3195" s="8"/>
      <c r="Q3195" s="11"/>
      <c r="R3195" s="11"/>
      <c r="S3195" s="8">
        <v>19.690000000000001</v>
      </c>
      <c r="T3195" s="8"/>
      <c r="U3195" s="8">
        <v>62.81</v>
      </c>
      <c r="V3195" s="8"/>
      <c r="W3195" s="8"/>
      <c r="X3195" s="8"/>
      <c r="Y3195" s="8"/>
      <c r="Z3195" s="8"/>
      <c r="AA3195" s="8"/>
      <c r="AB3195" s="8"/>
      <c r="AC3195" s="8">
        <v>16.75</v>
      </c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11"/>
      <c r="AQ3195" s="8"/>
      <c r="AR3195" s="8"/>
      <c r="AS3195" s="8"/>
      <c r="AT3195" s="8">
        <v>2744.19</v>
      </c>
      <c r="AU3195" s="8"/>
      <c r="AV3195" s="8"/>
      <c r="AW3195" s="8"/>
      <c r="AX3195" s="8"/>
      <c r="AY3195" s="8"/>
      <c r="AZ3195" s="8"/>
      <c r="BA3195" s="8">
        <v>95.99</v>
      </c>
      <c r="BB3195" s="8"/>
      <c r="BC3195" s="8"/>
      <c r="BD3195" s="8"/>
      <c r="BE3195" s="8"/>
      <c r="BF3195" s="8">
        <v>293.17</v>
      </c>
      <c r="BG3195" s="8">
        <v>217.56</v>
      </c>
      <c r="BH3195" s="9">
        <f t="shared" si="441"/>
        <v>4182.7</v>
      </c>
      <c r="BI3195" s="9">
        <f t="shared" si="442"/>
        <v>11.98</v>
      </c>
      <c r="BJ3195" s="9">
        <f t="shared" si="443"/>
        <v>19.690000000000001</v>
      </c>
      <c r="BK3195" s="9">
        <f t="shared" si="444"/>
        <v>62.81</v>
      </c>
      <c r="BL3195" s="9">
        <f t="shared" si="445"/>
        <v>0</v>
      </c>
      <c r="BM3195" s="9">
        <f t="shared" si="446"/>
        <v>16.75</v>
      </c>
      <c r="BN3195" s="9">
        <f t="shared" si="447"/>
        <v>2744.19</v>
      </c>
      <c r="BO3195" s="9">
        <f t="shared" si="448"/>
        <v>95.99</v>
      </c>
      <c r="BP3195" s="9">
        <f t="shared" si="449"/>
        <v>293.17</v>
      </c>
    </row>
    <row r="3196" spans="1:68">
      <c r="A3196" s="6">
        <v>45121</v>
      </c>
      <c r="B3196" s="7">
        <v>3016</v>
      </c>
      <c r="C3196" s="8"/>
      <c r="D3196" s="8">
        <v>2372.48</v>
      </c>
      <c r="E3196" s="8"/>
      <c r="F3196" s="8"/>
      <c r="G3196" s="8"/>
      <c r="H3196" s="8"/>
      <c r="I3196" s="8">
        <v>2190.5500000000002</v>
      </c>
      <c r="J3196" s="8"/>
      <c r="K3196" s="8"/>
      <c r="L3196" s="8"/>
      <c r="M3196" s="8"/>
      <c r="N3196" s="8">
        <v>28.31</v>
      </c>
      <c r="O3196" s="8"/>
      <c r="P3196" s="8"/>
      <c r="Q3196" s="11"/>
      <c r="R3196" s="11"/>
      <c r="S3196" s="8">
        <v>3.19</v>
      </c>
      <c r="T3196" s="8"/>
      <c r="U3196" s="8"/>
      <c r="V3196" s="8"/>
      <c r="W3196" s="8">
        <v>45.67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>
        <v>18.22</v>
      </c>
      <c r="AN3196" s="8">
        <f>2049*26.83/1000</f>
        <v>54.974669999999996</v>
      </c>
      <c r="AO3196" s="8"/>
      <c r="AP3196" s="11"/>
      <c r="AQ3196" s="8"/>
      <c r="AR3196" s="8">
        <f>4269*26.83/1000</f>
        <v>114.53726999999999</v>
      </c>
      <c r="AS3196" s="8"/>
      <c r="AT3196" s="8">
        <v>1695.44</v>
      </c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>
        <v>124.05</v>
      </c>
      <c r="BH3196" s="9">
        <f t="shared" si="441"/>
        <v>4563.0300000000007</v>
      </c>
      <c r="BI3196" s="9">
        <f t="shared" si="442"/>
        <v>28.31</v>
      </c>
      <c r="BJ3196" s="9">
        <f t="shared" si="443"/>
        <v>3.19</v>
      </c>
      <c r="BK3196" s="9">
        <f t="shared" si="444"/>
        <v>45.67</v>
      </c>
      <c r="BL3196" s="9">
        <f t="shared" si="445"/>
        <v>0</v>
      </c>
      <c r="BM3196" s="9">
        <f t="shared" si="446"/>
        <v>187.73194000000001</v>
      </c>
      <c r="BN3196" s="9">
        <f t="shared" si="447"/>
        <v>1695.44</v>
      </c>
      <c r="BO3196" s="9">
        <f t="shared" si="448"/>
        <v>0</v>
      </c>
      <c r="BP3196" s="9">
        <f t="shared" si="449"/>
        <v>0</v>
      </c>
    </row>
    <row r="3197" spans="1:68">
      <c r="A3197" s="6">
        <v>45121</v>
      </c>
      <c r="B3197" s="7">
        <v>3200</v>
      </c>
      <c r="C3197" s="8">
        <v>2321.38</v>
      </c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>
        <v>5.81</v>
      </c>
      <c r="P3197" s="8"/>
      <c r="Q3197" s="11"/>
      <c r="R3197" s="11"/>
      <c r="S3197" s="8">
        <v>9.0500000000000007</v>
      </c>
      <c r="T3197" s="8"/>
      <c r="U3197" s="8">
        <v>34.82</v>
      </c>
      <c r="V3197" s="8"/>
      <c r="W3197" s="8"/>
      <c r="X3197" s="8"/>
      <c r="Y3197" s="8"/>
      <c r="Z3197" s="8">
        <v>488.09</v>
      </c>
      <c r="AA3197" s="8"/>
      <c r="AB3197" s="8"/>
      <c r="AC3197" s="8"/>
      <c r="AD3197" s="8"/>
      <c r="AE3197" s="8"/>
      <c r="AF3197" s="8">
        <v>115.82</v>
      </c>
      <c r="AG3197" s="8"/>
      <c r="AH3197" s="8"/>
      <c r="AI3197" s="8"/>
      <c r="AJ3197" s="8"/>
      <c r="AK3197" s="8"/>
      <c r="AL3197" s="8"/>
      <c r="AM3197" s="8"/>
      <c r="AN3197" s="8"/>
      <c r="AO3197" s="8"/>
      <c r="AP3197" s="11"/>
      <c r="AQ3197" s="8">
        <f>1507*23.2/1000</f>
        <v>34.962400000000002</v>
      </c>
      <c r="AR3197" s="8"/>
      <c r="AS3197" s="8"/>
      <c r="AT3197" s="8">
        <v>1589.62</v>
      </c>
      <c r="AU3197" s="8"/>
      <c r="AV3197" s="8"/>
      <c r="AW3197" s="8">
        <v>6.7</v>
      </c>
      <c r="AX3197" s="8"/>
      <c r="AY3197" s="8"/>
      <c r="AZ3197" s="8"/>
      <c r="BA3197" s="8"/>
      <c r="BB3197" s="8"/>
      <c r="BC3197" s="8"/>
      <c r="BD3197" s="8"/>
      <c r="BE3197" s="8"/>
      <c r="BF3197" s="8">
        <v>111.51</v>
      </c>
      <c r="BG3197" s="8">
        <v>114.79</v>
      </c>
      <c r="BH3197" s="9">
        <f t="shared" si="441"/>
        <v>2321.38</v>
      </c>
      <c r="BI3197" s="9">
        <f t="shared" si="442"/>
        <v>5.81</v>
      </c>
      <c r="BJ3197" s="9">
        <f t="shared" si="443"/>
        <v>9.0500000000000007</v>
      </c>
      <c r="BK3197" s="9">
        <f t="shared" si="444"/>
        <v>34.82</v>
      </c>
      <c r="BL3197" s="9">
        <f t="shared" si="445"/>
        <v>488.09</v>
      </c>
      <c r="BM3197" s="9">
        <f t="shared" si="446"/>
        <v>150.7824</v>
      </c>
      <c r="BN3197" s="9">
        <f t="shared" si="447"/>
        <v>1589.62</v>
      </c>
      <c r="BO3197" s="9">
        <f t="shared" si="448"/>
        <v>6.7</v>
      </c>
      <c r="BP3197" s="9">
        <f t="shared" si="449"/>
        <v>111.51</v>
      </c>
    </row>
    <row r="3198" spans="1:68">
      <c r="A3198" s="6">
        <v>45121</v>
      </c>
      <c r="B3198" s="7">
        <v>3149</v>
      </c>
      <c r="C3198" s="8">
        <v>644.61</v>
      </c>
      <c r="D3198" s="8">
        <v>112.81</v>
      </c>
      <c r="E3198" s="8"/>
      <c r="F3198" s="8"/>
      <c r="G3198" s="8"/>
      <c r="H3198" s="8"/>
      <c r="I3198" s="8"/>
      <c r="J3198" s="8"/>
      <c r="K3198" s="8"/>
      <c r="L3198" s="8"/>
      <c r="M3198" s="8">
        <v>2.5</v>
      </c>
      <c r="N3198" s="8"/>
      <c r="O3198" s="8"/>
      <c r="P3198" s="8"/>
      <c r="Q3198" s="11"/>
      <c r="R3198" s="11"/>
      <c r="S3198" s="8">
        <v>3.57</v>
      </c>
      <c r="T3198" s="8"/>
      <c r="U3198" s="8">
        <v>11.39</v>
      </c>
      <c r="V3198" s="8"/>
      <c r="W3198" s="8"/>
      <c r="X3198" s="8"/>
      <c r="Y3198" s="8"/>
      <c r="Z3198" s="8"/>
      <c r="AA3198" s="8"/>
      <c r="AB3198" s="8"/>
      <c r="AC3198" s="8">
        <v>3.04</v>
      </c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11"/>
      <c r="AQ3198" s="8"/>
      <c r="AR3198" s="8"/>
      <c r="AS3198" s="8"/>
      <c r="AT3198" s="8">
        <v>496.95</v>
      </c>
      <c r="AU3198" s="8"/>
      <c r="AV3198" s="8"/>
      <c r="AW3198" s="8">
        <v>24.52</v>
      </c>
      <c r="AX3198" s="8"/>
      <c r="AY3198" s="8"/>
      <c r="AZ3198" s="8"/>
      <c r="BA3198" s="8"/>
      <c r="BB3198" s="8"/>
      <c r="BC3198" s="8"/>
      <c r="BD3198" s="8"/>
      <c r="BE3198" s="8"/>
      <c r="BF3198" s="8">
        <v>53.18</v>
      </c>
      <c r="BG3198" s="8">
        <v>39.369999999999997</v>
      </c>
      <c r="BH3198" s="9">
        <f t="shared" si="441"/>
        <v>757.42000000000007</v>
      </c>
      <c r="BI3198" s="9">
        <f t="shared" si="442"/>
        <v>2.5</v>
      </c>
      <c r="BJ3198" s="9">
        <f t="shared" si="443"/>
        <v>3.57</v>
      </c>
      <c r="BK3198" s="9">
        <f t="shared" si="444"/>
        <v>11.39</v>
      </c>
      <c r="BL3198" s="9">
        <f t="shared" si="445"/>
        <v>0</v>
      </c>
      <c r="BM3198" s="9">
        <f t="shared" si="446"/>
        <v>3.04</v>
      </c>
      <c r="BN3198" s="9">
        <f t="shared" si="447"/>
        <v>496.95</v>
      </c>
      <c r="BO3198" s="9">
        <f t="shared" si="448"/>
        <v>24.52</v>
      </c>
      <c r="BP3198" s="9">
        <f t="shared" si="449"/>
        <v>53.18</v>
      </c>
    </row>
    <row r="3199" spans="1:68">
      <c r="A3199" s="6">
        <v>45121</v>
      </c>
      <c r="B3199" s="7">
        <v>3151</v>
      </c>
      <c r="C3199" s="8">
        <v>1385.79</v>
      </c>
      <c r="D3199" s="8"/>
      <c r="E3199" s="8"/>
      <c r="F3199" s="8"/>
      <c r="G3199" s="8"/>
      <c r="H3199" s="8"/>
      <c r="I3199" s="8"/>
      <c r="J3199" s="8"/>
      <c r="K3199" s="8"/>
      <c r="L3199" s="8"/>
      <c r="M3199" s="8">
        <v>3.87</v>
      </c>
      <c r="N3199" s="8"/>
      <c r="O3199" s="8"/>
      <c r="P3199" s="8"/>
      <c r="Q3199" s="11"/>
      <c r="R3199" s="11"/>
      <c r="S3199" s="8">
        <v>4.72</v>
      </c>
      <c r="T3199" s="8"/>
      <c r="U3199" s="8">
        <v>17.670000000000002</v>
      </c>
      <c r="V3199" s="8"/>
      <c r="W3199" s="8"/>
      <c r="X3199" s="8"/>
      <c r="Y3199" s="8"/>
      <c r="Z3199" s="8"/>
      <c r="AA3199" s="8"/>
      <c r="AB3199" s="8"/>
      <c r="AC3199" s="8">
        <v>3.47</v>
      </c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11"/>
      <c r="AQ3199" s="8"/>
      <c r="AR3199" s="8"/>
      <c r="AS3199" s="8"/>
      <c r="AT3199" s="8">
        <v>623.44000000000005</v>
      </c>
      <c r="AU3199" s="8"/>
      <c r="AV3199" s="8">
        <v>13.89</v>
      </c>
      <c r="AW3199" s="8"/>
      <c r="AX3199" s="8"/>
      <c r="AY3199" s="8"/>
      <c r="AZ3199" s="8"/>
      <c r="BA3199" s="8"/>
      <c r="BB3199" s="8"/>
      <c r="BC3199" s="8"/>
      <c r="BD3199" s="8"/>
      <c r="BE3199" s="8"/>
      <c r="BF3199" s="8">
        <v>55.58</v>
      </c>
      <c r="BG3199" s="8">
        <v>44.57</v>
      </c>
      <c r="BH3199" s="9">
        <f t="shared" si="441"/>
        <v>1385.79</v>
      </c>
      <c r="BI3199" s="9">
        <f t="shared" si="442"/>
        <v>3.87</v>
      </c>
      <c r="BJ3199" s="9">
        <f t="shared" si="443"/>
        <v>4.72</v>
      </c>
      <c r="BK3199" s="9">
        <f t="shared" si="444"/>
        <v>17.670000000000002</v>
      </c>
      <c r="BL3199" s="9">
        <f t="shared" si="445"/>
        <v>0</v>
      </c>
      <c r="BM3199" s="9">
        <f t="shared" si="446"/>
        <v>3.47</v>
      </c>
      <c r="BN3199" s="9">
        <f t="shared" si="447"/>
        <v>623.44000000000005</v>
      </c>
      <c r="BO3199" s="9">
        <f t="shared" si="448"/>
        <v>13.89</v>
      </c>
      <c r="BP3199" s="9">
        <f t="shared" si="449"/>
        <v>55.58</v>
      </c>
    </row>
    <row r="3200" spans="1:68">
      <c r="A3200" s="6">
        <v>45124</v>
      </c>
      <c r="B3200" s="7">
        <v>3206</v>
      </c>
      <c r="C3200" s="8">
        <v>231.93</v>
      </c>
      <c r="D3200" s="8">
        <v>416.85</v>
      </c>
      <c r="E3200" s="8">
        <v>276.94</v>
      </c>
      <c r="F3200" s="8"/>
      <c r="G3200" s="8"/>
      <c r="H3200" s="8"/>
      <c r="I3200" s="8"/>
      <c r="J3200" s="8"/>
      <c r="K3200" s="8"/>
      <c r="L3200" s="8"/>
      <c r="M3200" s="8"/>
      <c r="N3200" s="8"/>
      <c r="O3200" s="8">
        <v>1.85</v>
      </c>
      <c r="P3200" s="8"/>
      <c r="Q3200" s="11"/>
      <c r="R3200" s="11"/>
      <c r="S3200" s="8">
        <v>4.62</v>
      </c>
      <c r="T3200" s="8"/>
      <c r="U3200" s="8">
        <v>3.24</v>
      </c>
      <c r="V3200" s="8"/>
      <c r="W3200" s="8"/>
      <c r="X3200" s="8"/>
      <c r="Y3200" s="8"/>
      <c r="Z3200" s="8">
        <v>55.48</v>
      </c>
      <c r="AA3200" s="8"/>
      <c r="AB3200" s="8">
        <f>821*5.77/1000</f>
        <v>4.7371699999999999</v>
      </c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11"/>
      <c r="AQ3200" s="8"/>
      <c r="AR3200" s="8"/>
      <c r="AS3200" s="8"/>
      <c r="AT3200" s="8">
        <v>161.59</v>
      </c>
      <c r="AU3200" s="8">
        <v>80.64</v>
      </c>
      <c r="AV3200" s="8"/>
      <c r="AW3200" s="8">
        <v>3.51</v>
      </c>
      <c r="AX3200" s="8"/>
      <c r="AY3200" s="8"/>
      <c r="AZ3200" s="8"/>
      <c r="BA3200" s="8"/>
      <c r="BB3200" s="8"/>
      <c r="BC3200" s="8"/>
      <c r="BD3200" s="8"/>
      <c r="BE3200" s="8"/>
      <c r="BF3200" s="8"/>
      <c r="BG3200" s="8">
        <v>16.2</v>
      </c>
      <c r="BH3200" s="9">
        <f t="shared" si="441"/>
        <v>925.72</v>
      </c>
      <c r="BI3200" s="9">
        <f t="shared" si="442"/>
        <v>1.85</v>
      </c>
      <c r="BJ3200" s="9">
        <f t="shared" si="443"/>
        <v>4.62</v>
      </c>
      <c r="BK3200" s="9">
        <f t="shared" si="444"/>
        <v>3.24</v>
      </c>
      <c r="BL3200" s="9">
        <f t="shared" si="445"/>
        <v>55.48</v>
      </c>
      <c r="BM3200" s="9">
        <f t="shared" si="446"/>
        <v>4.7371699999999999</v>
      </c>
      <c r="BN3200" s="9">
        <f t="shared" si="447"/>
        <v>242.23000000000002</v>
      </c>
      <c r="BO3200" s="9">
        <f t="shared" si="448"/>
        <v>3.51</v>
      </c>
      <c r="BP3200" s="9">
        <f t="shared" si="449"/>
        <v>0</v>
      </c>
    </row>
    <row r="3201" spans="1:68">
      <c r="A3201" s="6">
        <v>45124</v>
      </c>
      <c r="B3201" s="7">
        <v>3204</v>
      </c>
      <c r="C3201" s="8"/>
      <c r="D3201" s="8">
        <v>1889.67</v>
      </c>
      <c r="E3201" s="8">
        <v>806.03</v>
      </c>
      <c r="F3201" s="8"/>
      <c r="G3201" s="8"/>
      <c r="H3201" s="8"/>
      <c r="I3201" s="8"/>
      <c r="J3201" s="8"/>
      <c r="K3201" s="8"/>
      <c r="L3201" s="8"/>
      <c r="M3201" s="8"/>
      <c r="N3201" s="8"/>
      <c r="O3201" s="8">
        <v>13.5</v>
      </c>
      <c r="P3201" s="8"/>
      <c r="Q3201" s="11"/>
      <c r="R3201" s="11"/>
      <c r="S3201" s="8">
        <v>9.18</v>
      </c>
      <c r="T3201" s="8"/>
      <c r="U3201" s="8">
        <v>29.76</v>
      </c>
      <c r="V3201" s="8"/>
      <c r="W3201" s="8"/>
      <c r="X3201" s="8"/>
      <c r="Y3201" s="8"/>
      <c r="Z3201" s="8">
        <v>405.6</v>
      </c>
      <c r="AA3201" s="8"/>
      <c r="AB3201" s="8">
        <f>708*19.3/1000</f>
        <v>13.664399999999999</v>
      </c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11"/>
      <c r="AQ3201" s="8"/>
      <c r="AR3201" s="8"/>
      <c r="AS3201" s="8"/>
      <c r="AT3201" s="8">
        <v>1189.5999999999999</v>
      </c>
      <c r="AU3201" s="8"/>
      <c r="AV3201" s="8"/>
      <c r="AW3201" s="8">
        <v>8.6999999999999993</v>
      </c>
      <c r="AX3201" s="8"/>
      <c r="AY3201" s="8"/>
      <c r="AZ3201" s="8"/>
      <c r="BA3201" s="8"/>
      <c r="BB3201" s="8"/>
      <c r="BC3201" s="8"/>
      <c r="BD3201" s="8"/>
      <c r="BE3201" s="8"/>
      <c r="BF3201" s="8"/>
      <c r="BG3201" s="8">
        <v>87.88</v>
      </c>
      <c r="BH3201" s="9">
        <f t="shared" si="441"/>
        <v>2695.7</v>
      </c>
      <c r="BI3201" s="9">
        <f t="shared" si="442"/>
        <v>13.5</v>
      </c>
      <c r="BJ3201" s="9">
        <f t="shared" si="443"/>
        <v>9.18</v>
      </c>
      <c r="BK3201" s="9">
        <f t="shared" si="444"/>
        <v>29.76</v>
      </c>
      <c r="BL3201" s="9">
        <f t="shared" si="445"/>
        <v>405.6</v>
      </c>
      <c r="BM3201" s="9">
        <f t="shared" si="446"/>
        <v>13.664399999999999</v>
      </c>
      <c r="BN3201" s="9">
        <f t="shared" si="447"/>
        <v>1189.5999999999999</v>
      </c>
      <c r="BO3201" s="9">
        <f t="shared" si="448"/>
        <v>8.6999999999999993</v>
      </c>
      <c r="BP3201" s="9">
        <f t="shared" si="449"/>
        <v>0</v>
      </c>
    </row>
    <row r="3202" spans="1:68">
      <c r="A3202" s="6">
        <v>45124</v>
      </c>
      <c r="B3202" s="7">
        <v>3028</v>
      </c>
      <c r="C3202" s="8"/>
      <c r="D3202" s="8">
        <v>778.6</v>
      </c>
      <c r="E3202" s="8"/>
      <c r="F3202" s="8">
        <v>715.9</v>
      </c>
      <c r="G3202" s="8"/>
      <c r="H3202" s="8"/>
      <c r="I3202" s="8">
        <v>1617.72</v>
      </c>
      <c r="J3202" s="8"/>
      <c r="K3202" s="8"/>
      <c r="L3202" s="8"/>
      <c r="M3202" s="8"/>
      <c r="N3202" s="8">
        <v>24</v>
      </c>
      <c r="O3202" s="8"/>
      <c r="P3202" s="8"/>
      <c r="Q3202" s="11"/>
      <c r="R3202" s="11"/>
      <c r="S3202" s="8">
        <v>4.3499999999999996</v>
      </c>
      <c r="T3202" s="8"/>
      <c r="U3202" s="8"/>
      <c r="V3202" s="8"/>
      <c r="W3202" s="8">
        <v>23.4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>
        <v>31.11</v>
      </c>
      <c r="AN3202" s="8">
        <f>1066*20.77/1000</f>
        <v>22.140819999999998</v>
      </c>
      <c r="AO3202" s="8"/>
      <c r="AP3202" s="11"/>
      <c r="AQ3202" s="8"/>
      <c r="AR3202" s="8"/>
      <c r="AS3202" s="8">
        <f>4962*20.77/1000</f>
        <v>103.06074</v>
      </c>
      <c r="AT3202" s="8">
        <v>1040.6300000000001</v>
      </c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>
        <v>70.92</v>
      </c>
      <c r="BH3202" s="9">
        <f t="shared" si="441"/>
        <v>3112.2200000000003</v>
      </c>
      <c r="BI3202" s="9">
        <f t="shared" si="442"/>
        <v>24</v>
      </c>
      <c r="BJ3202" s="9">
        <f t="shared" si="443"/>
        <v>4.3499999999999996</v>
      </c>
      <c r="BK3202" s="9">
        <f t="shared" si="444"/>
        <v>23.4</v>
      </c>
      <c r="BL3202" s="9">
        <f t="shared" si="445"/>
        <v>0</v>
      </c>
      <c r="BM3202" s="9">
        <f t="shared" si="446"/>
        <v>156.31155999999999</v>
      </c>
      <c r="BN3202" s="9">
        <f t="shared" si="447"/>
        <v>1040.6300000000001</v>
      </c>
      <c r="BO3202" s="9">
        <f t="shared" si="448"/>
        <v>0</v>
      </c>
      <c r="BP3202" s="9">
        <f t="shared" si="449"/>
        <v>0</v>
      </c>
    </row>
    <row r="3203" spans="1:68">
      <c r="A3203" s="6">
        <v>45124</v>
      </c>
      <c r="B3203" s="7">
        <v>3023</v>
      </c>
      <c r="C3203" s="8"/>
      <c r="D3203" s="8">
        <v>883.14</v>
      </c>
      <c r="E3203" s="8"/>
      <c r="F3203" s="8"/>
      <c r="G3203" s="8"/>
      <c r="H3203" s="8"/>
      <c r="I3203" s="8">
        <v>477.46</v>
      </c>
      <c r="J3203" s="8"/>
      <c r="K3203" s="8"/>
      <c r="L3203" s="8"/>
      <c r="M3203" s="8"/>
      <c r="N3203" s="8">
        <v>7.64</v>
      </c>
      <c r="O3203" s="8"/>
      <c r="P3203" s="8"/>
      <c r="Q3203" s="11"/>
      <c r="R3203" s="11"/>
      <c r="S3203" s="8">
        <v>2.1800000000000002</v>
      </c>
      <c r="T3203" s="8"/>
      <c r="U3203" s="8"/>
      <c r="V3203" s="8"/>
      <c r="W3203" s="8">
        <v>12.28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>
        <v>13.6</v>
      </c>
      <c r="AN3203" s="8">
        <f>1040*9.4/1000</f>
        <v>9.7759999999999998</v>
      </c>
      <c r="AO3203" s="8"/>
      <c r="AP3203" s="11"/>
      <c r="AQ3203" s="8"/>
      <c r="AR3203" s="8"/>
      <c r="AS3203" s="8">
        <f>4796*9.4/1000</f>
        <v>45.0824</v>
      </c>
      <c r="AT3203" s="8">
        <v>558.76</v>
      </c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>
        <v>42.21</v>
      </c>
      <c r="BH3203" s="9">
        <f t="shared" si="441"/>
        <v>1360.6</v>
      </c>
      <c r="BI3203" s="9">
        <f t="shared" si="442"/>
        <v>7.64</v>
      </c>
      <c r="BJ3203" s="9">
        <f t="shared" si="443"/>
        <v>2.1800000000000002</v>
      </c>
      <c r="BK3203" s="9">
        <f t="shared" si="444"/>
        <v>12.28</v>
      </c>
      <c r="BL3203" s="9">
        <f t="shared" si="445"/>
        <v>0</v>
      </c>
      <c r="BM3203" s="9">
        <f t="shared" si="446"/>
        <v>68.458399999999997</v>
      </c>
      <c r="BN3203" s="9">
        <f t="shared" si="447"/>
        <v>558.76</v>
      </c>
      <c r="BO3203" s="9">
        <f t="shared" si="448"/>
        <v>0</v>
      </c>
      <c r="BP3203" s="9">
        <f t="shared" si="449"/>
        <v>0</v>
      </c>
    </row>
    <row r="3204" spans="1:68">
      <c r="A3204" s="6">
        <v>45124</v>
      </c>
      <c r="B3204" s="7">
        <v>3083</v>
      </c>
      <c r="C3204" s="8"/>
      <c r="D3204" s="8">
        <v>1091.54</v>
      </c>
      <c r="E3204" s="8"/>
      <c r="F3204" s="8"/>
      <c r="G3204" s="8"/>
      <c r="H3204" s="8"/>
      <c r="I3204" s="8">
        <v>2537.59</v>
      </c>
      <c r="J3204" s="8"/>
      <c r="K3204" s="8"/>
      <c r="L3204" s="8"/>
      <c r="M3204" s="8"/>
      <c r="N3204" s="8">
        <v>23.65</v>
      </c>
      <c r="O3204" s="8"/>
      <c r="P3204" s="8"/>
      <c r="Q3204" s="11"/>
      <c r="R3204" s="11"/>
      <c r="S3204" s="8">
        <v>2.5499999999999998</v>
      </c>
      <c r="T3204" s="8"/>
      <c r="U3204" s="8"/>
      <c r="V3204" s="8"/>
      <c r="W3204" s="8">
        <v>29.14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>
        <v>14.43</v>
      </c>
      <c r="AN3204" s="8">
        <f>1915*26.95/1000</f>
        <v>51.609250000000003</v>
      </c>
      <c r="AO3204" s="8"/>
      <c r="AP3204" s="11"/>
      <c r="AQ3204" s="8"/>
      <c r="AR3204" s="8">
        <f>3385*26.95/1000</f>
        <v>91.225750000000005</v>
      </c>
      <c r="AS3204" s="8"/>
      <c r="AT3204" s="8">
        <v>1710.94</v>
      </c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>
        <v>135.55000000000001</v>
      </c>
      <c r="BH3204" s="9">
        <f t="shared" ref="BH3204:BH3267" si="450">SUM(C3204:L3204)</f>
        <v>3629.13</v>
      </c>
      <c r="BI3204" s="9">
        <f t="shared" ref="BI3204:BI3267" si="451">SUM(M3204:R3204)</f>
        <v>23.65</v>
      </c>
      <c r="BJ3204" s="9">
        <f t="shared" ref="BJ3204:BJ3267" si="452">SUM(S3204)</f>
        <v>2.5499999999999998</v>
      </c>
      <c r="BK3204" s="9">
        <f t="shared" ref="BK3204:BK3267" si="453">SUM(T3204:Y3204)</f>
        <v>29.14</v>
      </c>
      <c r="BL3204" s="9">
        <f t="shared" ref="BL3204:BL3267" si="454">SUM(Z3204:AA3204)</f>
        <v>0</v>
      </c>
      <c r="BM3204" s="9">
        <f t="shared" ref="BM3204:BM3267" si="455">SUM(AB3204:AS3204)</f>
        <v>157.26500000000001</v>
      </c>
      <c r="BN3204" s="9">
        <f t="shared" ref="BN3204:BN3267" si="456">SUM(AT3204:AU3204)</f>
        <v>1710.94</v>
      </c>
      <c r="BO3204" s="9">
        <f t="shared" ref="BO3204:BO3267" si="457">SUM(AV3204:BE3204)</f>
        <v>0</v>
      </c>
      <c r="BP3204" s="9">
        <f t="shared" ref="BP3204:BP3267" si="458">SUM(BF3204)</f>
        <v>0</v>
      </c>
    </row>
    <row r="3205" spans="1:68">
      <c r="A3205" s="6">
        <v>45125</v>
      </c>
      <c r="B3205" s="7">
        <v>3106</v>
      </c>
      <c r="C3205" s="8">
        <v>8174.49</v>
      </c>
      <c r="D3205" s="8"/>
      <c r="E3205" s="8"/>
      <c r="F3205" s="8"/>
      <c r="G3205" s="8"/>
      <c r="H3205" s="8"/>
      <c r="I3205" s="8"/>
      <c r="J3205" s="8"/>
      <c r="K3205" s="8"/>
      <c r="L3205" s="8"/>
      <c r="M3205" s="8">
        <v>22.07</v>
      </c>
      <c r="N3205" s="8"/>
      <c r="O3205" s="8"/>
      <c r="P3205" s="8"/>
      <c r="Q3205" s="11"/>
      <c r="R3205" s="11"/>
      <c r="S3205" s="8">
        <v>24.54</v>
      </c>
      <c r="T3205" s="8"/>
      <c r="U3205" s="8">
        <v>103.8</v>
      </c>
      <c r="V3205" s="8"/>
      <c r="W3205" s="8"/>
      <c r="X3205" s="8"/>
      <c r="Y3205" s="8"/>
      <c r="Z3205" s="8"/>
      <c r="AA3205" s="8"/>
      <c r="AB3205" s="8"/>
      <c r="AC3205" s="8">
        <v>20.440000000000001</v>
      </c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11"/>
      <c r="AQ3205" s="8"/>
      <c r="AR3205" s="8"/>
      <c r="AS3205" s="8"/>
      <c r="AT3205" s="8">
        <v>4656.47</v>
      </c>
      <c r="AU3205" s="8"/>
      <c r="AV3205" s="8"/>
      <c r="AW3205" s="8"/>
      <c r="AX3205" s="8">
        <v>10.220000000000001</v>
      </c>
      <c r="AY3205" s="8"/>
      <c r="AZ3205" s="8"/>
      <c r="BA3205" s="8"/>
      <c r="BB3205" s="8"/>
      <c r="BC3205" s="8"/>
      <c r="BD3205" s="8"/>
      <c r="BE3205" s="8"/>
      <c r="BF3205" s="8"/>
      <c r="BG3205" s="8">
        <v>352.74</v>
      </c>
      <c r="BH3205" s="9">
        <f t="shared" si="450"/>
        <v>8174.49</v>
      </c>
      <c r="BI3205" s="9">
        <f t="shared" si="451"/>
        <v>22.07</v>
      </c>
      <c r="BJ3205" s="9">
        <f t="shared" si="452"/>
        <v>24.54</v>
      </c>
      <c r="BK3205" s="9">
        <f t="shared" si="453"/>
        <v>103.8</v>
      </c>
      <c r="BL3205" s="9">
        <f t="shared" si="454"/>
        <v>0</v>
      </c>
      <c r="BM3205" s="9">
        <f t="shared" si="455"/>
        <v>20.440000000000001</v>
      </c>
      <c r="BN3205" s="9">
        <f t="shared" si="456"/>
        <v>4656.47</v>
      </c>
      <c r="BO3205" s="9">
        <f t="shared" si="457"/>
        <v>10.220000000000001</v>
      </c>
      <c r="BP3205" s="9">
        <f t="shared" si="458"/>
        <v>0</v>
      </c>
    </row>
    <row r="3206" spans="1:68">
      <c r="A3206" s="6">
        <v>45125</v>
      </c>
      <c r="B3206" s="7">
        <v>3081</v>
      </c>
      <c r="C3206" s="8"/>
      <c r="D3206" s="8">
        <v>289.83</v>
      </c>
      <c r="E3206" s="8"/>
      <c r="F3206" s="8">
        <v>325.11</v>
      </c>
      <c r="G3206" s="8"/>
      <c r="H3206" s="8"/>
      <c r="I3206" s="8">
        <v>1186.8699999999999</v>
      </c>
      <c r="J3206" s="8"/>
      <c r="K3206" s="8"/>
      <c r="L3206" s="8"/>
      <c r="M3206" s="8"/>
      <c r="N3206" s="8">
        <v>13.21</v>
      </c>
      <c r="O3206" s="8"/>
      <c r="P3206" s="8">
        <f>621*11.67/1000</f>
        <v>7.2470699999999999</v>
      </c>
      <c r="Q3206" s="11"/>
      <c r="R3206" s="11"/>
      <c r="S3206" s="8">
        <v>1.27</v>
      </c>
      <c r="T3206" s="8"/>
      <c r="U3206" s="8"/>
      <c r="V3206" s="8"/>
      <c r="W3206" s="8">
        <v>18.11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11"/>
      <c r="AQ3206" s="8">
        <f>1564*11.67/1000</f>
        <v>18.25188</v>
      </c>
      <c r="AR3206" s="8">
        <f>5472*11.67/1000</f>
        <v>63.858239999999995</v>
      </c>
      <c r="AS3206" s="8"/>
      <c r="AT3206" s="8">
        <v>566.36</v>
      </c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>
        <v>37.590000000000003</v>
      </c>
      <c r="BH3206" s="9">
        <f t="shared" si="450"/>
        <v>1801.81</v>
      </c>
      <c r="BI3206" s="9">
        <f t="shared" si="451"/>
        <v>20.457070000000002</v>
      </c>
      <c r="BJ3206" s="9">
        <f t="shared" si="452"/>
        <v>1.27</v>
      </c>
      <c r="BK3206" s="9">
        <f t="shared" si="453"/>
        <v>18.11</v>
      </c>
      <c r="BL3206" s="9">
        <f t="shared" si="454"/>
        <v>0</v>
      </c>
      <c r="BM3206" s="9">
        <f t="shared" si="455"/>
        <v>82.110119999999995</v>
      </c>
      <c r="BN3206" s="9">
        <f t="shared" si="456"/>
        <v>566.36</v>
      </c>
      <c r="BO3206" s="9">
        <f t="shared" si="457"/>
        <v>0</v>
      </c>
      <c r="BP3206" s="9">
        <f t="shared" si="458"/>
        <v>0</v>
      </c>
    </row>
    <row r="3207" spans="1:68">
      <c r="A3207" s="6">
        <v>45125</v>
      </c>
      <c r="B3207" s="7">
        <v>3025</v>
      </c>
      <c r="C3207" s="8"/>
      <c r="D3207" s="8">
        <v>226.35</v>
      </c>
      <c r="E3207" s="8"/>
      <c r="F3207" s="8"/>
      <c r="G3207" s="8"/>
      <c r="H3207" s="8"/>
      <c r="I3207" s="8">
        <v>1277.56</v>
      </c>
      <c r="J3207" s="8"/>
      <c r="K3207" s="8"/>
      <c r="L3207" s="8"/>
      <c r="M3207" s="8"/>
      <c r="N3207" s="8">
        <v>8.42</v>
      </c>
      <c r="O3207" s="8"/>
      <c r="P3207" s="8"/>
      <c r="Q3207" s="11"/>
      <c r="R3207" s="11"/>
      <c r="S3207" s="8">
        <v>2.4</v>
      </c>
      <c r="T3207" s="8"/>
      <c r="U3207" s="8"/>
      <c r="V3207" s="8"/>
      <c r="W3207" s="8">
        <v>13.53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>
        <v>14.97</v>
      </c>
      <c r="AN3207" s="8">
        <f>711*15.02/1000</f>
        <v>10.679219999999999</v>
      </c>
      <c r="AO3207" s="8"/>
      <c r="AP3207" s="11"/>
      <c r="AQ3207" s="8"/>
      <c r="AR3207" s="8"/>
      <c r="AS3207" s="8">
        <f>3312*15.02/1000</f>
        <v>49.74624</v>
      </c>
      <c r="AT3207" s="8">
        <v>520.1</v>
      </c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>
        <v>35.200000000000003</v>
      </c>
      <c r="BH3207" s="9">
        <f t="shared" si="450"/>
        <v>1503.9099999999999</v>
      </c>
      <c r="BI3207" s="9">
        <f t="shared" si="451"/>
        <v>8.42</v>
      </c>
      <c r="BJ3207" s="9">
        <f t="shared" si="452"/>
        <v>2.4</v>
      </c>
      <c r="BK3207" s="9">
        <f t="shared" si="453"/>
        <v>13.53</v>
      </c>
      <c r="BL3207" s="9">
        <f t="shared" si="454"/>
        <v>0</v>
      </c>
      <c r="BM3207" s="9">
        <f t="shared" si="455"/>
        <v>75.39546</v>
      </c>
      <c r="BN3207" s="9">
        <f t="shared" si="456"/>
        <v>520.1</v>
      </c>
      <c r="BO3207" s="9">
        <f t="shared" si="457"/>
        <v>0</v>
      </c>
      <c r="BP3207" s="9">
        <f t="shared" si="458"/>
        <v>0</v>
      </c>
    </row>
    <row r="3208" spans="1:68">
      <c r="A3208" s="6">
        <v>45125</v>
      </c>
      <c r="B3208" s="7">
        <v>3027</v>
      </c>
      <c r="C3208" s="8"/>
      <c r="D3208" s="8">
        <v>560.29999999999995</v>
      </c>
      <c r="E3208" s="8"/>
      <c r="F3208" s="8"/>
      <c r="G3208" s="8"/>
      <c r="H3208" s="8"/>
      <c r="I3208" s="8">
        <v>462.39</v>
      </c>
      <c r="J3208" s="8"/>
      <c r="K3208" s="8"/>
      <c r="L3208" s="8"/>
      <c r="M3208" s="8"/>
      <c r="N3208" s="8">
        <v>5.82</v>
      </c>
      <c r="O3208" s="8"/>
      <c r="P3208" s="8"/>
      <c r="Q3208" s="11"/>
      <c r="R3208" s="11"/>
      <c r="S3208" s="8">
        <v>1.64</v>
      </c>
      <c r="T3208" s="8"/>
      <c r="U3208" s="8"/>
      <c r="V3208" s="8"/>
      <c r="W3208" s="8">
        <v>7.7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>
        <v>10.199999999999999</v>
      </c>
      <c r="AN3208" s="8">
        <f>1232*5.85/1000</f>
        <v>7.2071999999999994</v>
      </c>
      <c r="AO3208" s="8"/>
      <c r="AP3208" s="11"/>
      <c r="AQ3208" s="8"/>
      <c r="AR3208" s="8"/>
      <c r="AS3208" s="8">
        <f>5776*5.85/1000</f>
        <v>33.7896</v>
      </c>
      <c r="AT3208" s="8">
        <v>340.56</v>
      </c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>
        <v>24.14</v>
      </c>
      <c r="BH3208" s="9">
        <f t="shared" si="450"/>
        <v>1022.6899999999999</v>
      </c>
      <c r="BI3208" s="9">
        <f t="shared" si="451"/>
        <v>5.82</v>
      </c>
      <c r="BJ3208" s="9">
        <f t="shared" si="452"/>
        <v>1.64</v>
      </c>
      <c r="BK3208" s="9">
        <f t="shared" si="453"/>
        <v>7.7</v>
      </c>
      <c r="BL3208" s="9">
        <f t="shared" si="454"/>
        <v>0</v>
      </c>
      <c r="BM3208" s="9">
        <f t="shared" si="455"/>
        <v>51.196799999999996</v>
      </c>
      <c r="BN3208" s="9">
        <f t="shared" si="456"/>
        <v>340.56</v>
      </c>
      <c r="BO3208" s="9">
        <f t="shared" si="457"/>
        <v>0</v>
      </c>
      <c r="BP3208" s="9">
        <f t="shared" si="458"/>
        <v>0</v>
      </c>
    </row>
    <row r="3209" spans="1:68">
      <c r="A3209" s="6">
        <v>45125</v>
      </c>
      <c r="B3209" s="7">
        <v>3203</v>
      </c>
      <c r="C3209" s="8">
        <v>931.5</v>
      </c>
      <c r="D3209" s="8"/>
      <c r="E3209" s="8">
        <v>400.72</v>
      </c>
      <c r="F3209" s="8"/>
      <c r="G3209" s="8"/>
      <c r="H3209" s="8"/>
      <c r="I3209" s="8"/>
      <c r="J3209" s="8"/>
      <c r="K3209" s="8"/>
      <c r="L3209" s="8"/>
      <c r="M3209" s="8"/>
      <c r="N3209" s="8"/>
      <c r="O3209" s="8">
        <v>4.04</v>
      </c>
      <c r="P3209" s="8"/>
      <c r="Q3209" s="11"/>
      <c r="R3209" s="11"/>
      <c r="S3209" s="8">
        <v>5.21</v>
      </c>
      <c r="T3209" s="8"/>
      <c r="U3209" s="8">
        <v>16.62</v>
      </c>
      <c r="V3209" s="8"/>
      <c r="W3209" s="8"/>
      <c r="X3209" s="8"/>
      <c r="Y3209" s="8"/>
      <c r="Z3209" s="8">
        <v>211.16</v>
      </c>
      <c r="AA3209" s="8">
        <f>10396*15.77/1000</f>
        <v>163.94492</v>
      </c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11"/>
      <c r="AQ3209" s="8"/>
      <c r="AR3209" s="8"/>
      <c r="AS3209" s="8"/>
      <c r="AT3209" s="8">
        <v>500.75</v>
      </c>
      <c r="AU3209" s="8">
        <v>250.62</v>
      </c>
      <c r="AV3209" s="8"/>
      <c r="AW3209" s="8"/>
      <c r="AX3209" s="8"/>
      <c r="AY3209" s="8"/>
      <c r="AZ3209" s="8"/>
      <c r="BA3209" s="8"/>
      <c r="BB3209" s="8"/>
      <c r="BC3209" s="8">
        <v>3.49</v>
      </c>
      <c r="BD3209" s="8"/>
      <c r="BE3209" s="8"/>
      <c r="BF3209" s="8"/>
      <c r="BG3209" s="8">
        <v>48.35</v>
      </c>
      <c r="BH3209" s="9">
        <f t="shared" si="450"/>
        <v>1332.22</v>
      </c>
      <c r="BI3209" s="9">
        <f t="shared" si="451"/>
        <v>4.04</v>
      </c>
      <c r="BJ3209" s="9">
        <f t="shared" si="452"/>
        <v>5.21</v>
      </c>
      <c r="BK3209" s="9">
        <f t="shared" si="453"/>
        <v>16.62</v>
      </c>
      <c r="BL3209" s="9">
        <f t="shared" si="454"/>
        <v>375.10491999999999</v>
      </c>
      <c r="BM3209" s="9">
        <f t="shared" si="455"/>
        <v>0</v>
      </c>
      <c r="BN3209" s="9">
        <f t="shared" si="456"/>
        <v>751.37</v>
      </c>
      <c r="BO3209" s="9">
        <f t="shared" si="457"/>
        <v>3.49</v>
      </c>
      <c r="BP3209" s="9">
        <f t="shared" si="458"/>
        <v>0</v>
      </c>
    </row>
    <row r="3210" spans="1:68">
      <c r="A3210" s="6">
        <v>45125</v>
      </c>
      <c r="B3210" s="7">
        <v>3205</v>
      </c>
      <c r="C3210" s="8">
        <v>685.69</v>
      </c>
      <c r="D3210" s="8">
        <v>381.45</v>
      </c>
      <c r="E3210" s="8">
        <v>457.57</v>
      </c>
      <c r="F3210" s="8"/>
      <c r="G3210" s="8"/>
      <c r="H3210" s="8"/>
      <c r="I3210" s="8"/>
      <c r="J3210" s="8"/>
      <c r="K3210" s="8"/>
      <c r="L3210" s="8"/>
      <c r="M3210" s="8"/>
      <c r="N3210" s="8"/>
      <c r="O3210" s="8">
        <v>6.11</v>
      </c>
      <c r="P3210" s="8"/>
      <c r="Q3210" s="11"/>
      <c r="R3210" s="11"/>
      <c r="S3210" s="8">
        <v>5.65</v>
      </c>
      <c r="T3210" s="8"/>
      <c r="U3210" s="8">
        <v>18.34</v>
      </c>
      <c r="V3210" s="8"/>
      <c r="W3210" s="8"/>
      <c r="X3210" s="8"/>
      <c r="Y3210" s="8"/>
      <c r="Z3210" s="8">
        <v>152.74</v>
      </c>
      <c r="AA3210" s="8"/>
      <c r="AB3210" s="8">
        <f>1027*15.27/1000</f>
        <v>15.682289999999998</v>
      </c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11"/>
      <c r="AQ3210" s="8">
        <f>514*15.27/1000</f>
        <v>7.8487799999999996</v>
      </c>
      <c r="AR3210" s="8"/>
      <c r="AS3210" s="8"/>
      <c r="AT3210" s="8">
        <v>396.35</v>
      </c>
      <c r="AU3210" s="8">
        <v>198.86</v>
      </c>
      <c r="AV3210" s="8"/>
      <c r="AW3210" s="8">
        <v>6.57</v>
      </c>
      <c r="AX3210" s="8"/>
      <c r="AY3210" s="8"/>
      <c r="AZ3210" s="8"/>
      <c r="BA3210" s="8"/>
      <c r="BB3210" s="8"/>
      <c r="BC3210" s="8"/>
      <c r="BD3210" s="8"/>
      <c r="BE3210" s="8"/>
      <c r="BF3210" s="8"/>
      <c r="BG3210" s="8">
        <v>35.89</v>
      </c>
      <c r="BH3210" s="9">
        <f t="shared" si="450"/>
        <v>1524.71</v>
      </c>
      <c r="BI3210" s="9">
        <f t="shared" si="451"/>
        <v>6.11</v>
      </c>
      <c r="BJ3210" s="9">
        <f t="shared" si="452"/>
        <v>5.65</v>
      </c>
      <c r="BK3210" s="9">
        <f t="shared" si="453"/>
        <v>18.34</v>
      </c>
      <c r="BL3210" s="9">
        <f t="shared" si="454"/>
        <v>152.74</v>
      </c>
      <c r="BM3210" s="9">
        <f t="shared" si="455"/>
        <v>23.53107</v>
      </c>
      <c r="BN3210" s="9">
        <f t="shared" si="456"/>
        <v>595.21</v>
      </c>
      <c r="BO3210" s="9">
        <f t="shared" si="457"/>
        <v>6.57</v>
      </c>
      <c r="BP3210" s="9">
        <f t="shared" si="458"/>
        <v>0</v>
      </c>
    </row>
    <row r="3211" spans="1:68">
      <c r="A3211" s="6">
        <v>45125</v>
      </c>
      <c r="B3211" s="7">
        <v>3150</v>
      </c>
      <c r="C3211" s="8">
        <v>1230.8499999999999</v>
      </c>
      <c r="D3211" s="8"/>
      <c r="E3211" s="8"/>
      <c r="F3211" s="8"/>
      <c r="G3211" s="8"/>
      <c r="H3211" s="8"/>
      <c r="I3211" s="8"/>
      <c r="J3211" s="8"/>
      <c r="K3211" s="8"/>
      <c r="L3211" s="8"/>
      <c r="M3211" s="8">
        <v>2.2200000000000002</v>
      </c>
      <c r="N3211" s="8"/>
      <c r="O3211" s="8"/>
      <c r="P3211" s="8"/>
      <c r="Q3211" s="11"/>
      <c r="R3211" s="11"/>
      <c r="S3211" s="8">
        <v>4.43</v>
      </c>
      <c r="T3211" s="8"/>
      <c r="U3211" s="8">
        <v>14.43</v>
      </c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11"/>
      <c r="AQ3211" s="8"/>
      <c r="AR3211" s="8"/>
      <c r="AS3211" s="8"/>
      <c r="AT3211" s="8">
        <v>689.49</v>
      </c>
      <c r="AU3211" s="8"/>
      <c r="AV3211" s="8"/>
      <c r="AW3211" s="8"/>
      <c r="AX3211" s="8"/>
      <c r="AY3211" s="8"/>
      <c r="AZ3211" s="8"/>
      <c r="BA3211" s="8"/>
      <c r="BB3211" s="8"/>
      <c r="BC3211" s="8">
        <v>1.72</v>
      </c>
      <c r="BD3211" s="8"/>
      <c r="BE3211" s="8"/>
      <c r="BF3211" s="8">
        <v>30.81</v>
      </c>
      <c r="BG3211" s="8">
        <v>49.35</v>
      </c>
      <c r="BH3211" s="9">
        <f t="shared" si="450"/>
        <v>1230.8499999999999</v>
      </c>
      <c r="BI3211" s="9">
        <f t="shared" si="451"/>
        <v>2.2200000000000002</v>
      </c>
      <c r="BJ3211" s="9">
        <f t="shared" si="452"/>
        <v>4.43</v>
      </c>
      <c r="BK3211" s="9">
        <f t="shared" si="453"/>
        <v>14.43</v>
      </c>
      <c r="BL3211" s="9">
        <f t="shared" si="454"/>
        <v>0</v>
      </c>
      <c r="BM3211" s="9">
        <f t="shared" si="455"/>
        <v>0</v>
      </c>
      <c r="BN3211" s="9">
        <f t="shared" si="456"/>
        <v>689.49</v>
      </c>
      <c r="BO3211" s="9">
        <f t="shared" si="457"/>
        <v>1.72</v>
      </c>
      <c r="BP3211" s="9">
        <f t="shared" si="458"/>
        <v>30.81</v>
      </c>
    </row>
    <row r="3212" spans="1:68">
      <c r="A3212" s="6">
        <v>45125</v>
      </c>
      <c r="B3212" s="7">
        <v>3702</v>
      </c>
      <c r="C3212" s="8">
        <v>526.57000000000005</v>
      </c>
      <c r="D3212" s="8">
        <v>353.02</v>
      </c>
      <c r="E3212" s="8"/>
      <c r="F3212" s="8"/>
      <c r="G3212" s="8"/>
      <c r="H3212" s="8"/>
      <c r="I3212" s="8"/>
      <c r="J3212" s="8"/>
      <c r="K3212" s="8"/>
      <c r="L3212" s="8"/>
      <c r="M3212" s="8">
        <v>1.77</v>
      </c>
      <c r="N3212" s="8"/>
      <c r="O3212" s="8"/>
      <c r="P3212" s="8"/>
      <c r="Q3212" s="11"/>
      <c r="R3212" s="11"/>
      <c r="S3212" s="8">
        <v>4.1500000000000004</v>
      </c>
      <c r="T3212" s="8"/>
      <c r="U3212" s="8">
        <v>6.63</v>
      </c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11"/>
      <c r="AQ3212" s="8"/>
      <c r="AR3212" s="8"/>
      <c r="AS3212" s="8"/>
      <c r="AT3212" s="8">
        <v>214.22</v>
      </c>
      <c r="AU3212" s="8">
        <v>107.45</v>
      </c>
      <c r="AV3212" s="8"/>
      <c r="AW3212" s="8">
        <v>1.95</v>
      </c>
      <c r="AX3212" s="8"/>
      <c r="AY3212" s="8"/>
      <c r="AZ3212" s="8"/>
      <c r="BA3212" s="8"/>
      <c r="BB3212" s="8"/>
      <c r="BC3212" s="8"/>
      <c r="BD3212" s="8"/>
      <c r="BE3212" s="8"/>
      <c r="BF3212" s="8"/>
      <c r="BG3212" s="8">
        <v>22.6</v>
      </c>
      <c r="BH3212" s="9">
        <f t="shared" si="450"/>
        <v>879.59</v>
      </c>
      <c r="BI3212" s="9">
        <f t="shared" si="451"/>
        <v>1.77</v>
      </c>
      <c r="BJ3212" s="9">
        <f t="shared" si="452"/>
        <v>4.1500000000000004</v>
      </c>
      <c r="BK3212" s="9">
        <f t="shared" si="453"/>
        <v>6.63</v>
      </c>
      <c r="BL3212" s="9">
        <f t="shared" si="454"/>
        <v>0</v>
      </c>
      <c r="BM3212" s="9">
        <f t="shared" si="455"/>
        <v>0</v>
      </c>
      <c r="BN3212" s="9">
        <f t="shared" si="456"/>
        <v>321.67</v>
      </c>
      <c r="BO3212" s="9">
        <f t="shared" si="457"/>
        <v>1.95</v>
      </c>
      <c r="BP3212" s="9">
        <f t="shared" si="458"/>
        <v>0</v>
      </c>
    </row>
    <row r="3213" spans="1:68">
      <c r="A3213" s="6">
        <v>45125</v>
      </c>
      <c r="B3213" s="7">
        <v>3602</v>
      </c>
      <c r="C3213" s="8">
        <v>573.89</v>
      </c>
      <c r="D3213" s="8"/>
      <c r="E3213" s="8"/>
      <c r="F3213" s="8"/>
      <c r="G3213" s="8">
        <v>860.04</v>
      </c>
      <c r="H3213" s="8"/>
      <c r="I3213" s="8"/>
      <c r="J3213" s="8"/>
      <c r="K3213" s="8"/>
      <c r="L3213" s="8"/>
      <c r="M3213" s="8">
        <v>1.75</v>
      </c>
      <c r="N3213" s="8"/>
      <c r="O3213" s="8"/>
      <c r="P3213" s="8"/>
      <c r="Q3213" s="11"/>
      <c r="R3213" s="11"/>
      <c r="S3213" s="8">
        <v>6.94</v>
      </c>
      <c r="T3213" s="8"/>
      <c r="U3213" s="8">
        <v>11.48</v>
      </c>
      <c r="V3213" s="8">
        <f>854*16.38/1000</f>
        <v>13.988519999999999</v>
      </c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11"/>
      <c r="AQ3213" s="8"/>
      <c r="AR3213" s="8"/>
      <c r="AS3213" s="8"/>
      <c r="AT3213" s="8">
        <v>577.94000000000005</v>
      </c>
      <c r="AU3213" s="8"/>
      <c r="AV3213" s="8"/>
      <c r="AW3213" s="8">
        <v>37.090000000000003</v>
      </c>
      <c r="AX3213" s="8"/>
      <c r="AY3213" s="8"/>
      <c r="AZ3213" s="8"/>
      <c r="BA3213" s="8"/>
      <c r="BB3213" s="8"/>
      <c r="BC3213" s="8"/>
      <c r="BD3213" s="8"/>
      <c r="BE3213" s="8"/>
      <c r="BF3213" s="8">
        <v>45.91</v>
      </c>
      <c r="BG3213" s="8">
        <v>43.11</v>
      </c>
      <c r="BH3213" s="9">
        <f t="shared" si="450"/>
        <v>1433.9299999999998</v>
      </c>
      <c r="BI3213" s="9">
        <f t="shared" si="451"/>
        <v>1.75</v>
      </c>
      <c r="BJ3213" s="9">
        <f t="shared" si="452"/>
        <v>6.94</v>
      </c>
      <c r="BK3213" s="9">
        <f t="shared" si="453"/>
        <v>25.468519999999998</v>
      </c>
      <c r="BL3213" s="9">
        <f t="shared" si="454"/>
        <v>0</v>
      </c>
      <c r="BM3213" s="9">
        <f t="shared" si="455"/>
        <v>0</v>
      </c>
      <c r="BN3213" s="9">
        <f t="shared" si="456"/>
        <v>577.94000000000005</v>
      </c>
      <c r="BO3213" s="9">
        <f t="shared" si="457"/>
        <v>37.090000000000003</v>
      </c>
      <c r="BP3213" s="9">
        <f t="shared" si="458"/>
        <v>45.91</v>
      </c>
    </row>
    <row r="3214" spans="1:68">
      <c r="A3214" s="6">
        <v>45127</v>
      </c>
      <c r="B3214" s="7">
        <v>3601</v>
      </c>
      <c r="C3214" s="8">
        <f>12.15+296.2</f>
        <v>308.34999999999997</v>
      </c>
      <c r="D3214" s="8"/>
      <c r="E3214" s="8"/>
      <c r="F3214" s="8"/>
      <c r="G3214" s="8">
        <f>443.99+18.13</f>
        <v>462.12</v>
      </c>
      <c r="H3214" s="8"/>
      <c r="I3214" s="8"/>
      <c r="J3214" s="8"/>
      <c r="K3214" s="8"/>
      <c r="L3214" s="8"/>
      <c r="M3214" s="8">
        <f>0.04+0.9</f>
        <v>0.94000000000000006</v>
      </c>
      <c r="N3214" s="8"/>
      <c r="O3214" s="8"/>
      <c r="P3214" s="8"/>
      <c r="Q3214" s="11"/>
      <c r="R3214" s="11"/>
      <c r="S3214" s="8">
        <f>0.15+3.55</f>
        <v>3.6999999999999997</v>
      </c>
      <c r="T3214" s="8"/>
      <c r="U3214" s="8">
        <f>4.45+0.18</f>
        <v>4.63</v>
      </c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11"/>
      <c r="AQ3214" s="8"/>
      <c r="AR3214" s="8"/>
      <c r="AS3214" s="8"/>
      <c r="AT3214" s="8">
        <f>14.76+362.21</f>
        <v>376.96999999999997</v>
      </c>
      <c r="AU3214" s="8"/>
      <c r="AV3214" s="8"/>
      <c r="AW3214" s="8">
        <f>0.92+22.51</f>
        <v>23.430000000000003</v>
      </c>
      <c r="AX3214" s="8"/>
      <c r="AY3214" s="8"/>
      <c r="AZ3214" s="8"/>
      <c r="BA3214" s="8"/>
      <c r="BB3214" s="8"/>
      <c r="BC3214" s="8"/>
      <c r="BD3214" s="8"/>
      <c r="BE3214" s="8"/>
      <c r="BF3214" s="8">
        <f>1.74+41.45</f>
        <v>43.190000000000005</v>
      </c>
      <c r="BG3214" s="8">
        <f>26.43+1.08</f>
        <v>27.509999999999998</v>
      </c>
      <c r="BH3214" s="9">
        <f t="shared" si="450"/>
        <v>770.47</v>
      </c>
      <c r="BI3214" s="9">
        <f t="shared" si="451"/>
        <v>0.94000000000000006</v>
      </c>
      <c r="BJ3214" s="9">
        <f t="shared" si="452"/>
        <v>3.6999999999999997</v>
      </c>
      <c r="BK3214" s="9">
        <f t="shared" si="453"/>
        <v>4.63</v>
      </c>
      <c r="BL3214" s="9">
        <f t="shared" si="454"/>
        <v>0</v>
      </c>
      <c r="BM3214" s="9">
        <f t="shared" si="455"/>
        <v>0</v>
      </c>
      <c r="BN3214" s="9">
        <f t="shared" si="456"/>
        <v>376.96999999999997</v>
      </c>
      <c r="BO3214" s="9">
        <f t="shared" si="457"/>
        <v>23.430000000000003</v>
      </c>
      <c r="BP3214" s="9">
        <f t="shared" si="458"/>
        <v>43.190000000000005</v>
      </c>
    </row>
    <row r="3215" spans="1:68">
      <c r="A3215" s="6">
        <v>45127</v>
      </c>
      <c r="B3215" s="7">
        <v>3122</v>
      </c>
      <c r="C3215" s="8">
        <v>754.51</v>
      </c>
      <c r="D3215" s="8"/>
      <c r="E3215" s="8"/>
      <c r="F3215" s="8"/>
      <c r="G3215" s="8"/>
      <c r="H3215" s="8"/>
      <c r="I3215" s="8"/>
      <c r="J3215" s="8"/>
      <c r="K3215" s="8"/>
      <c r="L3215" s="8"/>
      <c r="M3215" s="8">
        <v>1.36</v>
      </c>
      <c r="N3215" s="8">
        <v>1.36</v>
      </c>
      <c r="O3215" s="8"/>
      <c r="P3215" s="8"/>
      <c r="Q3215" s="11"/>
      <c r="R3215" s="11"/>
      <c r="S3215" s="8">
        <v>3.1</v>
      </c>
      <c r="T3215" s="8"/>
      <c r="U3215" s="8">
        <v>7.55</v>
      </c>
      <c r="V3215" s="8"/>
      <c r="W3215" s="8"/>
      <c r="X3215" s="8"/>
      <c r="Y3215" s="8"/>
      <c r="Z3215" s="8"/>
      <c r="AA3215" s="8"/>
      <c r="AB3215" s="8"/>
      <c r="AC3215" s="8">
        <v>3.02</v>
      </c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11"/>
      <c r="AQ3215" s="8"/>
      <c r="AR3215" s="8"/>
      <c r="AS3215" s="8"/>
      <c r="AT3215" s="8">
        <v>334.86</v>
      </c>
      <c r="AU3215" s="8"/>
      <c r="AV3215" s="8">
        <v>25.66</v>
      </c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>
        <v>24.54</v>
      </c>
      <c r="BH3215" s="9">
        <f t="shared" si="450"/>
        <v>754.51</v>
      </c>
      <c r="BI3215" s="9">
        <f t="shared" si="451"/>
        <v>2.72</v>
      </c>
      <c r="BJ3215" s="9">
        <f t="shared" si="452"/>
        <v>3.1</v>
      </c>
      <c r="BK3215" s="9">
        <f t="shared" si="453"/>
        <v>7.55</v>
      </c>
      <c r="BL3215" s="9">
        <f t="shared" si="454"/>
        <v>0</v>
      </c>
      <c r="BM3215" s="9">
        <f t="shared" si="455"/>
        <v>3.02</v>
      </c>
      <c r="BN3215" s="9">
        <f t="shared" si="456"/>
        <v>334.86</v>
      </c>
      <c r="BO3215" s="9">
        <f t="shared" si="457"/>
        <v>25.66</v>
      </c>
      <c r="BP3215" s="9">
        <f t="shared" si="458"/>
        <v>0</v>
      </c>
    </row>
    <row r="3216" spans="1:68">
      <c r="A3216" s="6">
        <v>45127</v>
      </c>
      <c r="B3216" s="7">
        <v>8308</v>
      </c>
      <c r="C3216" s="8">
        <v>1280.8900000000001</v>
      </c>
      <c r="D3216" s="8"/>
      <c r="E3216" s="8"/>
      <c r="F3216" s="8"/>
      <c r="G3216" s="8"/>
      <c r="H3216" s="8"/>
      <c r="I3216" s="8"/>
      <c r="J3216" s="8"/>
      <c r="K3216" s="8"/>
      <c r="L3216" s="8"/>
      <c r="M3216" s="8">
        <v>3.19</v>
      </c>
      <c r="N3216" s="8"/>
      <c r="O3216" s="8"/>
      <c r="P3216" s="8"/>
      <c r="Q3216" s="11"/>
      <c r="R3216" s="11"/>
      <c r="S3216" s="8">
        <v>4.62</v>
      </c>
      <c r="T3216" s="8"/>
      <c r="U3216" s="8">
        <v>16.29</v>
      </c>
      <c r="V3216" s="8"/>
      <c r="W3216" s="8"/>
      <c r="X3216" s="8"/>
      <c r="Y3216" s="8"/>
      <c r="Z3216" s="8"/>
      <c r="AA3216" s="8"/>
      <c r="AB3216" s="8"/>
      <c r="AC3216" s="8">
        <v>5.13</v>
      </c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11"/>
      <c r="AQ3216" s="8"/>
      <c r="AR3216" s="8"/>
      <c r="AS3216" s="8"/>
      <c r="AT3216" s="8">
        <v>694.04</v>
      </c>
      <c r="AU3216" s="8"/>
      <c r="AV3216" s="8"/>
      <c r="AW3216" s="8"/>
      <c r="AX3216" s="8"/>
      <c r="AY3216" s="8"/>
      <c r="AZ3216" s="8"/>
      <c r="BA3216" s="8"/>
      <c r="BB3216" s="8"/>
      <c r="BC3216" s="8">
        <v>1.54</v>
      </c>
      <c r="BD3216" s="8"/>
      <c r="BE3216" s="8"/>
      <c r="BF3216" s="8"/>
      <c r="BG3216" s="8">
        <v>51.83</v>
      </c>
      <c r="BH3216" s="9">
        <f t="shared" si="450"/>
        <v>1280.8900000000001</v>
      </c>
      <c r="BI3216" s="9">
        <f t="shared" si="451"/>
        <v>3.19</v>
      </c>
      <c r="BJ3216" s="9">
        <f t="shared" si="452"/>
        <v>4.62</v>
      </c>
      <c r="BK3216" s="9">
        <f t="shared" si="453"/>
        <v>16.29</v>
      </c>
      <c r="BL3216" s="9">
        <f t="shared" si="454"/>
        <v>0</v>
      </c>
      <c r="BM3216" s="9">
        <f t="shared" si="455"/>
        <v>5.13</v>
      </c>
      <c r="BN3216" s="9">
        <f t="shared" si="456"/>
        <v>694.04</v>
      </c>
      <c r="BO3216" s="9">
        <f t="shared" si="457"/>
        <v>1.54</v>
      </c>
      <c r="BP3216" s="9">
        <f t="shared" si="458"/>
        <v>0</v>
      </c>
    </row>
    <row r="3217" spans="1:68">
      <c r="A3217" s="6">
        <v>45127</v>
      </c>
      <c r="B3217" s="7">
        <v>3141</v>
      </c>
      <c r="C3217" s="8">
        <v>3577.14</v>
      </c>
      <c r="D3217" s="8">
        <v>631.11</v>
      </c>
      <c r="E3217" s="8"/>
      <c r="F3217" s="8"/>
      <c r="G3217" s="8"/>
      <c r="H3217" s="8"/>
      <c r="I3217" s="8"/>
      <c r="J3217" s="8"/>
      <c r="K3217" s="8"/>
      <c r="L3217" s="8"/>
      <c r="M3217" s="8">
        <v>12.23</v>
      </c>
      <c r="N3217" s="8"/>
      <c r="O3217" s="8"/>
      <c r="P3217" s="8"/>
      <c r="Q3217" s="11"/>
      <c r="R3217" s="11"/>
      <c r="S3217" s="8">
        <v>19.79</v>
      </c>
      <c r="T3217" s="8"/>
      <c r="U3217" s="8">
        <v>63.17</v>
      </c>
      <c r="V3217" s="8"/>
      <c r="W3217" s="8"/>
      <c r="X3217" s="8"/>
      <c r="Y3217" s="8"/>
      <c r="Z3217" s="8"/>
      <c r="AA3217" s="8"/>
      <c r="AB3217" s="8"/>
      <c r="AC3217" s="8">
        <v>16.84</v>
      </c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11"/>
      <c r="AQ3217" s="8"/>
      <c r="AR3217" s="8"/>
      <c r="AS3217" s="8"/>
      <c r="AT3217" s="8">
        <v>2780.55</v>
      </c>
      <c r="AU3217" s="8"/>
      <c r="AV3217" s="8"/>
      <c r="AW3217" s="8"/>
      <c r="AX3217" s="8"/>
      <c r="AY3217" s="8"/>
      <c r="AZ3217" s="8"/>
      <c r="BA3217" s="8">
        <v>96.53</v>
      </c>
      <c r="BB3217" s="8"/>
      <c r="BC3217" s="8"/>
      <c r="BD3217" s="8"/>
      <c r="BE3217" s="8"/>
      <c r="BF3217" s="8">
        <v>294.63</v>
      </c>
      <c r="BG3217" s="8">
        <v>219.35</v>
      </c>
      <c r="BH3217" s="9">
        <f t="shared" si="450"/>
        <v>4208.25</v>
      </c>
      <c r="BI3217" s="9">
        <f t="shared" si="451"/>
        <v>12.23</v>
      </c>
      <c r="BJ3217" s="9">
        <f t="shared" si="452"/>
        <v>19.79</v>
      </c>
      <c r="BK3217" s="9">
        <f t="shared" si="453"/>
        <v>63.17</v>
      </c>
      <c r="BL3217" s="9">
        <f t="shared" si="454"/>
        <v>0</v>
      </c>
      <c r="BM3217" s="9">
        <f t="shared" si="455"/>
        <v>16.84</v>
      </c>
      <c r="BN3217" s="9">
        <f t="shared" si="456"/>
        <v>2780.55</v>
      </c>
      <c r="BO3217" s="9">
        <f t="shared" si="457"/>
        <v>96.53</v>
      </c>
      <c r="BP3217" s="9">
        <f t="shared" si="458"/>
        <v>294.63</v>
      </c>
    </row>
    <row r="3218" spans="1:68">
      <c r="A3218" s="6">
        <v>45127</v>
      </c>
      <c r="B3218" s="7">
        <v>3200</v>
      </c>
      <c r="C3218" s="8">
        <v>2292.4</v>
      </c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>
        <v>5.75</v>
      </c>
      <c r="P3218" s="8"/>
      <c r="Q3218" s="11"/>
      <c r="R3218" s="11"/>
      <c r="S3218" s="8">
        <v>8.94</v>
      </c>
      <c r="T3218" s="8"/>
      <c r="U3218" s="8">
        <v>34.380000000000003</v>
      </c>
      <c r="V3218" s="8"/>
      <c r="W3218" s="8"/>
      <c r="X3218" s="8"/>
      <c r="Y3218" s="8"/>
      <c r="Z3218" s="8">
        <v>481.72</v>
      </c>
      <c r="AA3218" s="8"/>
      <c r="AB3218" s="8"/>
      <c r="AC3218" s="8"/>
      <c r="AD3218" s="8"/>
      <c r="AE3218" s="8"/>
      <c r="AF3218" s="8">
        <v>113.4</v>
      </c>
      <c r="AG3218" s="8"/>
      <c r="AH3218" s="8"/>
      <c r="AI3218" s="8"/>
      <c r="AJ3218" s="8"/>
      <c r="AK3218" s="8"/>
      <c r="AL3218" s="8"/>
      <c r="AM3218" s="8"/>
      <c r="AN3218" s="8"/>
      <c r="AO3218" s="8"/>
      <c r="AP3218" s="11"/>
      <c r="AQ3218" s="8">
        <f>1517*22.93/1000</f>
        <v>34.78481</v>
      </c>
      <c r="AR3218" s="8"/>
      <c r="AS3218" s="8"/>
      <c r="AT3218" s="8">
        <v>1566.38</v>
      </c>
      <c r="AU3218" s="8"/>
      <c r="AV3218" s="8"/>
      <c r="AW3218" s="8">
        <v>6.6</v>
      </c>
      <c r="AX3218" s="8"/>
      <c r="AY3218" s="8"/>
      <c r="AZ3218" s="8"/>
      <c r="BA3218" s="8"/>
      <c r="BB3218" s="8"/>
      <c r="BC3218" s="8"/>
      <c r="BD3218" s="8"/>
      <c r="BE3218" s="8"/>
      <c r="BF3218" s="8">
        <v>110.02</v>
      </c>
      <c r="BG3218" s="8">
        <v>113.9</v>
      </c>
      <c r="BH3218" s="9">
        <f t="shared" si="450"/>
        <v>2292.4</v>
      </c>
      <c r="BI3218" s="9">
        <f t="shared" si="451"/>
        <v>5.75</v>
      </c>
      <c r="BJ3218" s="9">
        <f t="shared" si="452"/>
        <v>8.94</v>
      </c>
      <c r="BK3218" s="9">
        <f t="shared" si="453"/>
        <v>34.380000000000003</v>
      </c>
      <c r="BL3218" s="9">
        <f t="shared" si="454"/>
        <v>481.72</v>
      </c>
      <c r="BM3218" s="9">
        <f t="shared" si="455"/>
        <v>148.18481</v>
      </c>
      <c r="BN3218" s="9">
        <f t="shared" si="456"/>
        <v>1566.38</v>
      </c>
      <c r="BO3218" s="9">
        <f t="shared" si="457"/>
        <v>6.6</v>
      </c>
      <c r="BP3218" s="9">
        <f t="shared" si="458"/>
        <v>110.02</v>
      </c>
    </row>
    <row r="3219" spans="1:68">
      <c r="A3219" s="6">
        <v>45127</v>
      </c>
      <c r="B3219" s="7">
        <v>3005</v>
      </c>
      <c r="C3219" s="8">
        <v>426.15</v>
      </c>
      <c r="D3219" s="8">
        <v>284.87</v>
      </c>
      <c r="E3219" s="8"/>
      <c r="F3219" s="8"/>
      <c r="G3219" s="8"/>
      <c r="H3219" s="8"/>
      <c r="I3219" s="8"/>
      <c r="J3219" s="8"/>
      <c r="K3219" s="8"/>
      <c r="L3219" s="8"/>
      <c r="M3219" s="8"/>
      <c r="N3219" s="8">
        <v>0.71</v>
      </c>
      <c r="O3219" s="8"/>
      <c r="P3219" s="8"/>
      <c r="Q3219" s="11"/>
      <c r="R3219" s="11"/>
      <c r="S3219" s="8">
        <v>2.4900000000000002</v>
      </c>
      <c r="T3219" s="8"/>
      <c r="U3219" s="8"/>
      <c r="V3219" s="8"/>
      <c r="W3219" s="8">
        <v>7.83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11"/>
      <c r="AQ3219" s="8"/>
      <c r="AR3219" s="8"/>
      <c r="AS3219" s="8"/>
      <c r="AT3219" s="8">
        <v>348.37</v>
      </c>
      <c r="AU3219" s="8"/>
      <c r="AV3219" s="8"/>
      <c r="AW3219" s="8">
        <v>7.9</v>
      </c>
      <c r="AX3219" s="8"/>
      <c r="AY3219" s="8"/>
      <c r="AZ3219" s="8"/>
      <c r="BA3219" s="8"/>
      <c r="BB3219" s="8"/>
      <c r="BC3219" s="8"/>
      <c r="BD3219" s="8"/>
      <c r="BE3219" s="8"/>
      <c r="BF3219" s="8"/>
      <c r="BG3219" s="8">
        <v>25.92</v>
      </c>
      <c r="BH3219" s="9">
        <f t="shared" si="450"/>
        <v>711.02</v>
      </c>
      <c r="BI3219" s="9">
        <f t="shared" si="451"/>
        <v>0.71</v>
      </c>
      <c r="BJ3219" s="9">
        <f t="shared" si="452"/>
        <v>2.4900000000000002</v>
      </c>
      <c r="BK3219" s="9">
        <f t="shared" si="453"/>
        <v>7.83</v>
      </c>
      <c r="BL3219" s="9">
        <f t="shared" si="454"/>
        <v>0</v>
      </c>
      <c r="BM3219" s="9">
        <f t="shared" si="455"/>
        <v>0</v>
      </c>
      <c r="BN3219" s="9">
        <f t="shared" si="456"/>
        <v>348.37</v>
      </c>
      <c r="BO3219" s="9">
        <f t="shared" si="457"/>
        <v>7.9</v>
      </c>
      <c r="BP3219" s="9">
        <f t="shared" si="458"/>
        <v>0</v>
      </c>
    </row>
    <row r="3220" spans="1:68">
      <c r="A3220" s="6">
        <v>45127</v>
      </c>
      <c r="B3220" s="7">
        <v>3004</v>
      </c>
      <c r="C3220" s="8">
        <v>672.91</v>
      </c>
      <c r="D3220" s="8">
        <v>361.89</v>
      </c>
      <c r="E3220" s="8"/>
      <c r="F3220" s="8"/>
      <c r="G3220" s="8"/>
      <c r="H3220" s="8"/>
      <c r="I3220" s="8"/>
      <c r="J3220" s="8"/>
      <c r="K3220" s="8"/>
      <c r="L3220" s="8"/>
      <c r="M3220" s="8"/>
      <c r="N3220" s="8">
        <v>1.56</v>
      </c>
      <c r="O3220" s="8"/>
      <c r="P3220" s="8"/>
      <c r="Q3220" s="11"/>
      <c r="R3220" s="11"/>
      <c r="S3220" s="8">
        <v>4.6399999999999997</v>
      </c>
      <c r="T3220" s="8"/>
      <c r="U3220" s="8"/>
      <c r="V3220" s="8"/>
      <c r="W3220" s="8">
        <v>7.72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11"/>
      <c r="AQ3220" s="8"/>
      <c r="AR3220" s="8"/>
      <c r="AS3220" s="8"/>
      <c r="AT3220" s="8">
        <v>358.45</v>
      </c>
      <c r="AU3220" s="8"/>
      <c r="AV3220" s="8"/>
      <c r="AW3220" s="8">
        <v>11.47</v>
      </c>
      <c r="AX3220" s="8"/>
      <c r="AY3220" s="8"/>
      <c r="AZ3220" s="8"/>
      <c r="BA3220" s="8"/>
      <c r="BB3220" s="8"/>
      <c r="BC3220" s="8"/>
      <c r="BD3220" s="8"/>
      <c r="BE3220" s="8"/>
      <c r="BF3220" s="8"/>
      <c r="BG3220" s="8">
        <v>27.7</v>
      </c>
      <c r="BH3220" s="9">
        <f t="shared" si="450"/>
        <v>1034.8</v>
      </c>
      <c r="BI3220" s="9">
        <f t="shared" si="451"/>
        <v>1.56</v>
      </c>
      <c r="BJ3220" s="9">
        <f t="shared" si="452"/>
        <v>4.6399999999999997</v>
      </c>
      <c r="BK3220" s="9">
        <f t="shared" si="453"/>
        <v>7.72</v>
      </c>
      <c r="BL3220" s="9">
        <f t="shared" si="454"/>
        <v>0</v>
      </c>
      <c r="BM3220" s="9">
        <f t="shared" si="455"/>
        <v>0</v>
      </c>
      <c r="BN3220" s="9">
        <f t="shared" si="456"/>
        <v>358.45</v>
      </c>
      <c r="BO3220" s="9">
        <f t="shared" si="457"/>
        <v>11.47</v>
      </c>
      <c r="BP3220" s="9">
        <f t="shared" si="458"/>
        <v>0</v>
      </c>
    </row>
    <row r="3221" spans="1:68">
      <c r="A3221" s="6">
        <v>45127</v>
      </c>
      <c r="B3221" s="7">
        <v>3206</v>
      </c>
      <c r="C3221" s="8">
        <v>593.29</v>
      </c>
      <c r="D3221" s="8">
        <v>1066.83</v>
      </c>
      <c r="E3221" s="8">
        <v>712.16</v>
      </c>
      <c r="F3221" s="8"/>
      <c r="G3221" s="8"/>
      <c r="H3221" s="8"/>
      <c r="I3221" s="8"/>
      <c r="J3221" s="8"/>
      <c r="K3221" s="8"/>
      <c r="L3221" s="8"/>
      <c r="M3221" s="8"/>
      <c r="N3221" s="8"/>
      <c r="O3221" s="8">
        <v>4.7699999999999996</v>
      </c>
      <c r="P3221" s="8"/>
      <c r="Q3221" s="11"/>
      <c r="R3221" s="11"/>
      <c r="S3221" s="8">
        <v>11.87</v>
      </c>
      <c r="T3221" s="8"/>
      <c r="U3221" s="8">
        <v>8.3000000000000007</v>
      </c>
      <c r="V3221" s="8"/>
      <c r="W3221" s="8"/>
      <c r="X3221" s="8"/>
      <c r="Y3221" s="8"/>
      <c r="Z3221" s="8">
        <v>142.57</v>
      </c>
      <c r="AA3221" s="8"/>
      <c r="AB3221" s="8">
        <f>811*14.85/1000</f>
        <v>12.04335</v>
      </c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11"/>
      <c r="AQ3221" s="8"/>
      <c r="AR3221" s="8"/>
      <c r="AS3221" s="8"/>
      <c r="AT3221" s="8">
        <v>413.9</v>
      </c>
      <c r="AU3221" s="8">
        <v>207.99</v>
      </c>
      <c r="AV3221" s="8"/>
      <c r="AW3221" s="8">
        <v>9.0299999999999994</v>
      </c>
      <c r="AX3221" s="8"/>
      <c r="AY3221" s="8"/>
      <c r="AZ3221" s="8"/>
      <c r="BA3221" s="8"/>
      <c r="BB3221" s="8"/>
      <c r="BC3221" s="8"/>
      <c r="BD3221" s="8"/>
      <c r="BE3221" s="8"/>
      <c r="BF3221" s="8"/>
      <c r="BG3221" s="8">
        <v>41.9</v>
      </c>
      <c r="BH3221" s="9">
        <f t="shared" si="450"/>
        <v>2372.2799999999997</v>
      </c>
      <c r="BI3221" s="9">
        <f t="shared" si="451"/>
        <v>4.7699999999999996</v>
      </c>
      <c r="BJ3221" s="9">
        <f t="shared" si="452"/>
        <v>11.87</v>
      </c>
      <c r="BK3221" s="9">
        <f t="shared" si="453"/>
        <v>8.3000000000000007</v>
      </c>
      <c r="BL3221" s="9">
        <f t="shared" si="454"/>
        <v>142.57</v>
      </c>
      <c r="BM3221" s="9">
        <f t="shared" si="455"/>
        <v>12.04335</v>
      </c>
      <c r="BN3221" s="9">
        <f t="shared" si="456"/>
        <v>621.89</v>
      </c>
      <c r="BO3221" s="9">
        <f t="shared" si="457"/>
        <v>9.0299999999999994</v>
      </c>
      <c r="BP3221" s="9">
        <f t="shared" si="458"/>
        <v>0</v>
      </c>
    </row>
    <row r="3222" spans="1:68">
      <c r="A3222" s="6">
        <v>45128</v>
      </c>
      <c r="B3222" s="7">
        <v>3106</v>
      </c>
      <c r="C3222" s="8">
        <v>8172.89</v>
      </c>
      <c r="D3222" s="8"/>
      <c r="E3222" s="8"/>
      <c r="F3222" s="8"/>
      <c r="G3222" s="8"/>
      <c r="H3222" s="8"/>
      <c r="I3222" s="8"/>
      <c r="J3222" s="8"/>
      <c r="K3222" s="8"/>
      <c r="L3222" s="8"/>
      <c r="M3222" s="8">
        <v>22.1</v>
      </c>
      <c r="N3222" s="8"/>
      <c r="O3222" s="8"/>
      <c r="P3222" s="8"/>
      <c r="Q3222" s="11"/>
      <c r="R3222" s="11"/>
      <c r="S3222" s="8">
        <v>24.56</v>
      </c>
      <c r="T3222" s="8"/>
      <c r="U3222" s="8">
        <v>103.88</v>
      </c>
      <c r="V3222" s="8"/>
      <c r="W3222" s="8"/>
      <c r="X3222" s="8"/>
      <c r="Y3222" s="8"/>
      <c r="Z3222" s="8"/>
      <c r="AA3222" s="8"/>
      <c r="AB3222" s="8"/>
      <c r="AC3222" s="8">
        <v>20.43</v>
      </c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11"/>
      <c r="AQ3222" s="8"/>
      <c r="AR3222" s="8"/>
      <c r="AS3222" s="8"/>
      <c r="AT3222" s="8">
        <v>4659.43</v>
      </c>
      <c r="AU3222" s="8"/>
      <c r="AV3222" s="8"/>
      <c r="AW3222" s="8"/>
      <c r="AX3222" s="8">
        <v>10.220000000000001</v>
      </c>
      <c r="AY3222" s="8"/>
      <c r="AZ3222" s="8"/>
      <c r="BA3222" s="8"/>
      <c r="BB3222" s="8"/>
      <c r="BC3222" s="8"/>
      <c r="BD3222" s="8"/>
      <c r="BE3222" s="8"/>
      <c r="BF3222" s="8"/>
      <c r="BG3222" s="8">
        <v>351.97</v>
      </c>
      <c r="BH3222" s="9">
        <f t="shared" si="450"/>
        <v>8172.89</v>
      </c>
      <c r="BI3222" s="9">
        <f t="shared" si="451"/>
        <v>22.1</v>
      </c>
      <c r="BJ3222" s="9">
        <f t="shared" si="452"/>
        <v>24.56</v>
      </c>
      <c r="BK3222" s="9">
        <f t="shared" si="453"/>
        <v>103.88</v>
      </c>
      <c r="BL3222" s="9">
        <f t="shared" si="454"/>
        <v>0</v>
      </c>
      <c r="BM3222" s="9">
        <f t="shared" si="455"/>
        <v>20.43</v>
      </c>
      <c r="BN3222" s="9">
        <f t="shared" si="456"/>
        <v>4659.43</v>
      </c>
      <c r="BO3222" s="9">
        <f t="shared" si="457"/>
        <v>10.220000000000001</v>
      </c>
      <c r="BP3222" s="9">
        <f t="shared" si="458"/>
        <v>0</v>
      </c>
    </row>
    <row r="3223" spans="1:68">
      <c r="A3223" s="6">
        <v>45128</v>
      </c>
      <c r="B3223" s="7">
        <v>3433</v>
      </c>
      <c r="C3223" s="8">
        <v>1253.3499999999999</v>
      </c>
      <c r="D3223" s="8"/>
      <c r="E3223" s="8"/>
      <c r="F3223" s="8"/>
      <c r="G3223" s="8"/>
      <c r="H3223" s="8"/>
      <c r="I3223" s="8"/>
      <c r="J3223" s="8"/>
      <c r="K3223" s="8"/>
      <c r="L3223" s="8"/>
      <c r="M3223" s="8">
        <v>3.34</v>
      </c>
      <c r="N3223" s="8"/>
      <c r="O3223" s="8"/>
      <c r="P3223" s="8"/>
      <c r="Q3223" s="11"/>
      <c r="R3223" s="11"/>
      <c r="S3223" s="8">
        <v>5.03</v>
      </c>
      <c r="T3223" s="8"/>
      <c r="U3223" s="8"/>
      <c r="V3223" s="8"/>
      <c r="W3223" s="8"/>
      <c r="X3223" s="8">
        <f>862*14.8/1000</f>
        <v>12.7576</v>
      </c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11"/>
      <c r="AQ3223" s="8"/>
      <c r="AR3223" s="8"/>
      <c r="AS3223" s="8"/>
      <c r="AT3223" s="8">
        <v>585.71</v>
      </c>
      <c r="AU3223" s="8"/>
      <c r="AV3223" s="8"/>
      <c r="AW3223" s="8"/>
      <c r="AX3223" s="8"/>
      <c r="AY3223" s="8"/>
      <c r="AZ3223" s="8"/>
      <c r="BA3223" s="8">
        <v>5.64</v>
      </c>
      <c r="BB3223" s="8"/>
      <c r="BC3223" s="8"/>
      <c r="BD3223" s="8"/>
      <c r="BE3223" s="8"/>
      <c r="BF3223" s="8">
        <v>62.89</v>
      </c>
      <c r="BG3223" s="8">
        <v>42.07</v>
      </c>
      <c r="BH3223" s="9">
        <f t="shared" si="450"/>
        <v>1253.3499999999999</v>
      </c>
      <c r="BI3223" s="9">
        <f t="shared" si="451"/>
        <v>3.34</v>
      </c>
      <c r="BJ3223" s="9">
        <f t="shared" si="452"/>
        <v>5.03</v>
      </c>
      <c r="BK3223" s="9">
        <f t="shared" si="453"/>
        <v>12.7576</v>
      </c>
      <c r="BL3223" s="9">
        <f t="shared" si="454"/>
        <v>0</v>
      </c>
      <c r="BM3223" s="9">
        <f t="shared" si="455"/>
        <v>0</v>
      </c>
      <c r="BN3223" s="9">
        <f t="shared" si="456"/>
        <v>585.71</v>
      </c>
      <c r="BO3223" s="9">
        <f t="shared" si="457"/>
        <v>5.64</v>
      </c>
      <c r="BP3223" s="9">
        <f t="shared" si="458"/>
        <v>62.89</v>
      </c>
    </row>
    <row r="3224" spans="1:68">
      <c r="A3224" s="6">
        <v>45128</v>
      </c>
      <c r="B3224" s="7">
        <v>3408</v>
      </c>
      <c r="C3224" s="8">
        <v>1600.01</v>
      </c>
      <c r="D3224" s="8"/>
      <c r="E3224" s="8"/>
      <c r="F3224" s="8"/>
      <c r="G3224" s="8"/>
      <c r="H3224" s="8"/>
      <c r="I3224" s="8"/>
      <c r="J3224" s="8"/>
      <c r="K3224" s="8"/>
      <c r="L3224" s="8"/>
      <c r="M3224" s="8">
        <v>4.67</v>
      </c>
      <c r="N3224" s="8"/>
      <c r="O3224" s="8"/>
      <c r="P3224" s="8"/>
      <c r="Q3224" s="11"/>
      <c r="R3224" s="11"/>
      <c r="S3224" s="8">
        <v>4.4800000000000004</v>
      </c>
      <c r="T3224" s="8"/>
      <c r="U3224" s="8"/>
      <c r="V3224" s="8"/>
      <c r="W3224" s="8"/>
      <c r="X3224" s="8">
        <f>1013*16.01/1000</f>
        <v>16.218130000000002</v>
      </c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11"/>
      <c r="AQ3224" s="8"/>
      <c r="AR3224" s="8"/>
      <c r="AS3224" s="8"/>
      <c r="AT3224" s="8">
        <v>798.05</v>
      </c>
      <c r="AU3224" s="8"/>
      <c r="AV3224" s="8"/>
      <c r="AW3224" s="8"/>
      <c r="AX3224" s="8"/>
      <c r="AY3224" s="8"/>
      <c r="AZ3224" s="8"/>
      <c r="BA3224" s="8">
        <v>7.21</v>
      </c>
      <c r="BB3224" s="8"/>
      <c r="BC3224" s="8"/>
      <c r="BD3224" s="8"/>
      <c r="BE3224" s="8"/>
      <c r="BF3224" s="8"/>
      <c r="BG3224" s="8">
        <v>54.61</v>
      </c>
      <c r="BH3224" s="9">
        <f t="shared" si="450"/>
        <v>1600.01</v>
      </c>
      <c r="BI3224" s="9">
        <f t="shared" si="451"/>
        <v>4.67</v>
      </c>
      <c r="BJ3224" s="9">
        <f t="shared" si="452"/>
        <v>4.4800000000000004</v>
      </c>
      <c r="BK3224" s="9">
        <f t="shared" si="453"/>
        <v>16.218130000000002</v>
      </c>
      <c r="BL3224" s="9">
        <f t="shared" si="454"/>
        <v>0</v>
      </c>
      <c r="BM3224" s="9">
        <f t="shared" si="455"/>
        <v>0</v>
      </c>
      <c r="BN3224" s="9">
        <f t="shared" si="456"/>
        <v>798.05</v>
      </c>
      <c r="BO3224" s="9">
        <f t="shared" si="457"/>
        <v>7.21</v>
      </c>
      <c r="BP3224" s="9">
        <f t="shared" si="458"/>
        <v>0</v>
      </c>
    </row>
    <row r="3225" spans="1:68">
      <c r="A3225" s="6">
        <v>45128</v>
      </c>
      <c r="B3225" s="7">
        <v>3403</v>
      </c>
      <c r="C3225" s="8">
        <v>371.08</v>
      </c>
      <c r="D3225" s="8">
        <v>369.87</v>
      </c>
      <c r="E3225" s="8"/>
      <c r="F3225" s="8"/>
      <c r="G3225" s="8"/>
      <c r="H3225" s="8"/>
      <c r="I3225" s="8"/>
      <c r="J3225" s="8"/>
      <c r="K3225" s="8"/>
      <c r="L3225" s="8"/>
      <c r="M3225" s="8">
        <v>1.91</v>
      </c>
      <c r="N3225" s="8"/>
      <c r="O3225" s="8"/>
      <c r="P3225" s="8"/>
      <c r="Q3225" s="11"/>
      <c r="R3225" s="11"/>
      <c r="S3225" s="8">
        <v>1.85</v>
      </c>
      <c r="T3225" s="8"/>
      <c r="U3225" s="8"/>
      <c r="V3225" s="8"/>
      <c r="W3225" s="8"/>
      <c r="X3225" s="8">
        <f>1013*7.42/1000</f>
        <v>7.5164600000000004</v>
      </c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11"/>
      <c r="AQ3225" s="8"/>
      <c r="AR3225" s="8"/>
      <c r="AS3225" s="8"/>
      <c r="AT3225" s="8">
        <v>343.67</v>
      </c>
      <c r="AU3225" s="8"/>
      <c r="AV3225" s="8">
        <v>22.19</v>
      </c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>
        <v>24.46</v>
      </c>
      <c r="BH3225" s="9">
        <f t="shared" si="450"/>
        <v>740.95</v>
      </c>
      <c r="BI3225" s="9">
        <f t="shared" si="451"/>
        <v>1.91</v>
      </c>
      <c r="BJ3225" s="9">
        <f t="shared" si="452"/>
        <v>1.85</v>
      </c>
      <c r="BK3225" s="9">
        <f t="shared" si="453"/>
        <v>7.5164600000000004</v>
      </c>
      <c r="BL3225" s="9">
        <f t="shared" si="454"/>
        <v>0</v>
      </c>
      <c r="BM3225" s="9">
        <f t="shared" si="455"/>
        <v>0</v>
      </c>
      <c r="BN3225" s="9">
        <f t="shared" si="456"/>
        <v>343.67</v>
      </c>
      <c r="BO3225" s="9">
        <f t="shared" si="457"/>
        <v>22.19</v>
      </c>
      <c r="BP3225" s="9">
        <f t="shared" si="458"/>
        <v>0</v>
      </c>
    </row>
    <row r="3226" spans="1:68">
      <c r="A3226" s="6">
        <v>45128</v>
      </c>
      <c r="B3226" s="7">
        <v>3409</v>
      </c>
      <c r="C3226" s="8">
        <v>756.78</v>
      </c>
      <c r="D3226" s="8"/>
      <c r="E3226" s="8"/>
      <c r="F3226" s="8"/>
      <c r="G3226" s="8"/>
      <c r="H3226" s="8"/>
      <c r="I3226" s="8"/>
      <c r="J3226" s="8"/>
      <c r="K3226" s="8"/>
      <c r="L3226" s="8"/>
      <c r="M3226" s="8">
        <v>2.2799999999999998</v>
      </c>
      <c r="N3226" s="8"/>
      <c r="O3226" s="8"/>
      <c r="P3226" s="8"/>
      <c r="Q3226" s="11"/>
      <c r="R3226" s="11"/>
      <c r="S3226" s="8">
        <v>1.9</v>
      </c>
      <c r="T3226" s="8"/>
      <c r="U3226" s="8"/>
      <c r="V3226" s="8"/>
      <c r="W3226" s="8"/>
      <c r="X3226" s="8">
        <f>1013*7.58/1000</f>
        <v>7.6785399999999999</v>
      </c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11"/>
      <c r="AQ3226" s="8"/>
      <c r="AR3226" s="8"/>
      <c r="AS3226" s="8"/>
      <c r="AT3226" s="8">
        <v>389.04</v>
      </c>
      <c r="AU3226" s="8"/>
      <c r="AV3226" s="8">
        <v>22.81</v>
      </c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>
        <v>26.7</v>
      </c>
      <c r="BH3226" s="9">
        <f t="shared" si="450"/>
        <v>756.78</v>
      </c>
      <c r="BI3226" s="9">
        <f t="shared" si="451"/>
        <v>2.2799999999999998</v>
      </c>
      <c r="BJ3226" s="9">
        <f t="shared" si="452"/>
        <v>1.9</v>
      </c>
      <c r="BK3226" s="9">
        <f t="shared" si="453"/>
        <v>7.6785399999999999</v>
      </c>
      <c r="BL3226" s="9">
        <f t="shared" si="454"/>
        <v>0</v>
      </c>
      <c r="BM3226" s="9">
        <f t="shared" si="455"/>
        <v>0</v>
      </c>
      <c r="BN3226" s="9">
        <f t="shared" si="456"/>
        <v>389.04</v>
      </c>
      <c r="BO3226" s="9">
        <f t="shared" si="457"/>
        <v>22.81</v>
      </c>
      <c r="BP3226" s="9">
        <f t="shared" si="458"/>
        <v>0</v>
      </c>
    </row>
    <row r="3227" spans="1:68">
      <c r="A3227" s="6">
        <v>45128</v>
      </c>
      <c r="B3227" s="7">
        <v>3023</v>
      </c>
      <c r="C3227" s="8"/>
      <c r="D3227" s="8">
        <v>900.74</v>
      </c>
      <c r="E3227" s="8"/>
      <c r="F3227" s="8"/>
      <c r="G3227" s="8"/>
      <c r="H3227" s="8"/>
      <c r="I3227" s="8">
        <v>485.13</v>
      </c>
      <c r="J3227" s="8"/>
      <c r="K3227" s="8"/>
      <c r="L3227" s="8"/>
      <c r="M3227" s="8"/>
      <c r="N3227" s="8">
        <v>7.76</v>
      </c>
      <c r="O3227" s="8"/>
      <c r="P3227" s="8"/>
      <c r="Q3227" s="11"/>
      <c r="R3227" s="11"/>
      <c r="S3227" s="8">
        <v>2.2200000000000002</v>
      </c>
      <c r="T3227" s="8"/>
      <c r="U3227" s="8"/>
      <c r="V3227" s="8"/>
      <c r="W3227" s="8">
        <v>12.49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>
        <v>13.85</v>
      </c>
      <c r="AN3227" s="8">
        <f>1017*9.55/1000</f>
        <v>9.7123500000000007</v>
      </c>
      <c r="AO3227" s="8"/>
      <c r="AP3227" s="11"/>
      <c r="AQ3227" s="8"/>
      <c r="AR3227" s="8"/>
      <c r="AS3227" s="8">
        <f>4807*9.55/1000</f>
        <v>45.906850000000006</v>
      </c>
      <c r="AT3227" s="8">
        <v>568.57000000000005</v>
      </c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>
        <v>42.96</v>
      </c>
      <c r="BH3227" s="9">
        <f t="shared" si="450"/>
        <v>1385.87</v>
      </c>
      <c r="BI3227" s="9">
        <f t="shared" si="451"/>
        <v>7.76</v>
      </c>
      <c r="BJ3227" s="9">
        <f t="shared" si="452"/>
        <v>2.2200000000000002</v>
      </c>
      <c r="BK3227" s="9">
        <f t="shared" si="453"/>
        <v>12.49</v>
      </c>
      <c r="BL3227" s="9">
        <f t="shared" si="454"/>
        <v>0</v>
      </c>
      <c r="BM3227" s="9">
        <f t="shared" si="455"/>
        <v>69.469200000000001</v>
      </c>
      <c r="BN3227" s="9">
        <f t="shared" si="456"/>
        <v>568.57000000000005</v>
      </c>
      <c r="BO3227" s="9">
        <f t="shared" si="457"/>
        <v>0</v>
      </c>
      <c r="BP3227" s="9">
        <f t="shared" si="458"/>
        <v>0</v>
      </c>
    </row>
    <row r="3228" spans="1:68">
      <c r="A3228" s="6">
        <v>45128</v>
      </c>
      <c r="B3228" s="7">
        <v>3016</v>
      </c>
      <c r="C3228" s="8"/>
      <c r="D3228" s="8">
        <v>2362.31</v>
      </c>
      <c r="E3228" s="8"/>
      <c r="F3228" s="8"/>
      <c r="G3228" s="8"/>
      <c r="H3228" s="8"/>
      <c r="I3228" s="8">
        <v>2174.0300000000002</v>
      </c>
      <c r="J3228" s="8"/>
      <c r="K3228" s="8"/>
      <c r="L3228" s="8"/>
      <c r="M3228" s="8"/>
      <c r="N3228" s="8">
        <v>28.18</v>
      </c>
      <c r="O3228" s="8"/>
      <c r="P3228" s="8"/>
      <c r="Q3228" s="11"/>
      <c r="R3228" s="11"/>
      <c r="S3228" s="8">
        <v>3.18</v>
      </c>
      <c r="T3228" s="8"/>
      <c r="U3228" s="8"/>
      <c r="V3228" s="8"/>
      <c r="W3228" s="8">
        <v>45.47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>
        <v>18.100000000000001</v>
      </c>
      <c r="AN3228" s="8">
        <f>2059*26.7/1000</f>
        <v>54.975299999999997</v>
      </c>
      <c r="AO3228" s="8"/>
      <c r="AP3228" s="11"/>
      <c r="AQ3228" s="8"/>
      <c r="AR3228" s="8">
        <f>4274*26.7/1000</f>
        <v>114.11580000000001</v>
      </c>
      <c r="AS3228" s="8"/>
      <c r="AT3228" s="8">
        <v>1690.24</v>
      </c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>
        <v>123.44</v>
      </c>
      <c r="BH3228" s="9">
        <f t="shared" si="450"/>
        <v>4536.34</v>
      </c>
      <c r="BI3228" s="9">
        <f t="shared" si="451"/>
        <v>28.18</v>
      </c>
      <c r="BJ3228" s="9">
        <f t="shared" si="452"/>
        <v>3.18</v>
      </c>
      <c r="BK3228" s="9">
        <f t="shared" si="453"/>
        <v>45.47</v>
      </c>
      <c r="BL3228" s="9">
        <f t="shared" si="454"/>
        <v>0</v>
      </c>
      <c r="BM3228" s="9">
        <f t="shared" si="455"/>
        <v>187.19110000000001</v>
      </c>
      <c r="BN3228" s="9">
        <f t="shared" si="456"/>
        <v>1690.24</v>
      </c>
      <c r="BO3228" s="9">
        <f t="shared" si="457"/>
        <v>0</v>
      </c>
      <c r="BP3228" s="9">
        <f t="shared" si="458"/>
        <v>0</v>
      </c>
    </row>
    <row r="3229" spans="1:68">
      <c r="A3229" s="6">
        <v>45128</v>
      </c>
      <c r="B3229" s="7">
        <v>3139</v>
      </c>
      <c r="C3229" s="8">
        <v>1823.11</v>
      </c>
      <c r="D3229" s="8"/>
      <c r="E3229" s="8"/>
      <c r="F3229" s="8"/>
      <c r="G3229" s="8"/>
      <c r="H3229" s="8">
        <v>755.29</v>
      </c>
      <c r="I3229" s="8"/>
      <c r="J3229" s="8"/>
      <c r="K3229" s="8"/>
      <c r="L3229" s="8"/>
      <c r="M3229" s="8">
        <v>4.2699999999999996</v>
      </c>
      <c r="N3229" s="8"/>
      <c r="O3229" s="8"/>
      <c r="P3229" s="8"/>
      <c r="Q3229" s="11"/>
      <c r="R3229" s="11"/>
      <c r="S3229" s="8">
        <v>8.08</v>
      </c>
      <c r="T3229" s="8"/>
      <c r="U3229" s="8">
        <v>26.99</v>
      </c>
      <c r="V3229" s="8"/>
      <c r="W3229" s="8"/>
      <c r="X3229" s="8"/>
      <c r="Y3229" s="8"/>
      <c r="Z3229" s="8"/>
      <c r="AA3229" s="8"/>
      <c r="AB3229" s="8"/>
      <c r="AC3229" s="8">
        <v>8.99</v>
      </c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11"/>
      <c r="AQ3229" s="8"/>
      <c r="AR3229" s="8"/>
      <c r="AS3229" s="8"/>
      <c r="AT3229" s="8">
        <v>1326.91</v>
      </c>
      <c r="AU3229" s="8"/>
      <c r="AV3229" s="8">
        <v>45.01</v>
      </c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>
        <v>96.64</v>
      </c>
      <c r="BH3229" s="9">
        <f t="shared" si="450"/>
        <v>2578.3999999999996</v>
      </c>
      <c r="BI3229" s="9">
        <f t="shared" si="451"/>
        <v>4.2699999999999996</v>
      </c>
      <c r="BJ3229" s="9">
        <f t="shared" si="452"/>
        <v>8.08</v>
      </c>
      <c r="BK3229" s="9">
        <f t="shared" si="453"/>
        <v>26.99</v>
      </c>
      <c r="BL3229" s="9">
        <f t="shared" si="454"/>
        <v>0</v>
      </c>
      <c r="BM3229" s="9">
        <f t="shared" si="455"/>
        <v>8.99</v>
      </c>
      <c r="BN3229" s="9">
        <f t="shared" si="456"/>
        <v>1326.91</v>
      </c>
      <c r="BO3229" s="9">
        <f t="shared" si="457"/>
        <v>45.01</v>
      </c>
      <c r="BP3229" s="9">
        <f t="shared" si="458"/>
        <v>0</v>
      </c>
    </row>
    <row r="3230" spans="1:68">
      <c r="A3230" s="6">
        <v>45128</v>
      </c>
      <c r="B3230" s="7">
        <v>3079</v>
      </c>
      <c r="C3230" s="8"/>
      <c r="D3230" s="8"/>
      <c r="E3230" s="8"/>
      <c r="F3230" s="8">
        <v>340.76</v>
      </c>
      <c r="G3230" s="8"/>
      <c r="H3230" s="8"/>
      <c r="I3230" s="8">
        <v>2754.01</v>
      </c>
      <c r="J3230" s="8"/>
      <c r="K3230" s="8"/>
      <c r="L3230" s="8"/>
      <c r="M3230" s="8"/>
      <c r="N3230" s="8">
        <v>22.59</v>
      </c>
      <c r="O3230" s="8"/>
      <c r="P3230" s="8"/>
      <c r="Q3230" s="11"/>
      <c r="R3230" s="11"/>
      <c r="S3230" s="8">
        <v>1.23</v>
      </c>
      <c r="T3230" s="8"/>
      <c r="U3230" s="8"/>
      <c r="V3230" s="8"/>
      <c r="W3230" s="8">
        <v>31.01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>
        <v>12.4</v>
      </c>
      <c r="AN3230" s="8">
        <f>1710*18.23/1000</f>
        <v>31.173299999999998</v>
      </c>
      <c r="AO3230" s="8"/>
      <c r="AP3230" s="11"/>
      <c r="AQ3230" s="8"/>
      <c r="AR3230" s="8">
        <f>4274*18.23/1000</f>
        <v>77.915019999999998</v>
      </c>
      <c r="AS3230" s="8"/>
      <c r="AT3230" s="8">
        <v>1194.8699999999999</v>
      </c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>
        <v>87.16</v>
      </c>
      <c r="BH3230" s="9">
        <f t="shared" si="450"/>
        <v>3094.7700000000004</v>
      </c>
      <c r="BI3230" s="9">
        <f t="shared" si="451"/>
        <v>22.59</v>
      </c>
      <c r="BJ3230" s="9">
        <f t="shared" si="452"/>
        <v>1.23</v>
      </c>
      <c r="BK3230" s="9">
        <f t="shared" si="453"/>
        <v>31.01</v>
      </c>
      <c r="BL3230" s="9">
        <f t="shared" si="454"/>
        <v>0</v>
      </c>
      <c r="BM3230" s="9">
        <f t="shared" si="455"/>
        <v>121.48831999999999</v>
      </c>
      <c r="BN3230" s="9">
        <f t="shared" si="456"/>
        <v>1194.8699999999999</v>
      </c>
      <c r="BO3230" s="9">
        <f t="shared" si="457"/>
        <v>0</v>
      </c>
      <c r="BP3230" s="9">
        <f t="shared" si="458"/>
        <v>0</v>
      </c>
    </row>
    <row r="3231" spans="1:68">
      <c r="A3231" s="6">
        <v>45131</v>
      </c>
      <c r="B3231" s="7">
        <v>3304</v>
      </c>
      <c r="C3231" s="8"/>
      <c r="D3231" s="8">
        <v>1273.47</v>
      </c>
      <c r="E3231" s="8"/>
      <c r="F3231" s="8"/>
      <c r="G3231" s="8"/>
      <c r="H3231" s="8"/>
      <c r="I3231" s="8"/>
      <c r="J3231" s="8"/>
      <c r="K3231" s="8"/>
      <c r="L3231" s="8"/>
      <c r="M3231" s="8">
        <v>2.56</v>
      </c>
      <c r="N3231" s="8"/>
      <c r="O3231" s="8"/>
      <c r="P3231" s="8"/>
      <c r="Q3231" s="11"/>
      <c r="R3231" s="11"/>
      <c r="S3231" s="8">
        <v>1.9</v>
      </c>
      <c r="T3231" s="8"/>
      <c r="U3231" s="8">
        <v>11.47</v>
      </c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>
        <v>12.76</v>
      </c>
      <c r="AH3231" s="8"/>
      <c r="AI3231" s="8"/>
      <c r="AJ3231" s="8"/>
      <c r="AK3231" s="8"/>
      <c r="AL3231" s="8"/>
      <c r="AM3231" s="8"/>
      <c r="AN3231" s="8"/>
      <c r="AO3231" s="8"/>
      <c r="AP3231" s="11"/>
      <c r="AQ3231" s="8"/>
      <c r="AR3231" s="8"/>
      <c r="AS3231" s="8"/>
      <c r="AT3231" s="8">
        <v>340.46</v>
      </c>
      <c r="AU3231" s="8">
        <v>170.39</v>
      </c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>
        <v>35.58</v>
      </c>
      <c r="BH3231" s="9">
        <f t="shared" si="450"/>
        <v>1273.47</v>
      </c>
      <c r="BI3231" s="9">
        <f t="shared" si="451"/>
        <v>2.56</v>
      </c>
      <c r="BJ3231" s="9">
        <f t="shared" si="452"/>
        <v>1.9</v>
      </c>
      <c r="BK3231" s="9">
        <f t="shared" si="453"/>
        <v>11.47</v>
      </c>
      <c r="BL3231" s="9">
        <f t="shared" si="454"/>
        <v>0</v>
      </c>
      <c r="BM3231" s="9">
        <f t="shared" si="455"/>
        <v>12.76</v>
      </c>
      <c r="BN3231" s="9">
        <f t="shared" si="456"/>
        <v>510.84999999999997</v>
      </c>
      <c r="BO3231" s="9">
        <f t="shared" si="457"/>
        <v>0</v>
      </c>
      <c r="BP3231" s="9">
        <f t="shared" si="458"/>
        <v>0</v>
      </c>
    </row>
    <row r="3232" spans="1:68">
      <c r="A3232" s="6">
        <v>45131</v>
      </c>
      <c r="B3232" s="7">
        <v>3200</v>
      </c>
      <c r="C3232" s="8">
        <v>2285.73</v>
      </c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>
        <v>5.71</v>
      </c>
      <c r="P3232" s="8"/>
      <c r="Q3232" s="11"/>
      <c r="R3232" s="11"/>
      <c r="S3232" s="8">
        <v>8.93</v>
      </c>
      <c r="T3232" s="8"/>
      <c r="U3232" s="8">
        <v>34.29</v>
      </c>
      <c r="V3232" s="8"/>
      <c r="W3232" s="8"/>
      <c r="X3232" s="8"/>
      <c r="Y3232" s="8"/>
      <c r="Z3232" s="8">
        <v>480.64</v>
      </c>
      <c r="AA3232" s="8"/>
      <c r="AB3232" s="8"/>
      <c r="AC3232" s="8"/>
      <c r="AD3232" s="8"/>
      <c r="AE3232" s="8"/>
      <c r="AF3232" s="8">
        <v>113.79</v>
      </c>
      <c r="AG3232" s="8"/>
      <c r="AH3232" s="8"/>
      <c r="AI3232" s="8"/>
      <c r="AJ3232" s="8"/>
      <c r="AK3232" s="8"/>
      <c r="AL3232" s="8"/>
      <c r="AM3232" s="8"/>
      <c r="AN3232" s="8"/>
      <c r="AO3232" s="8"/>
      <c r="AP3232" s="11"/>
      <c r="AQ3232" s="8">
        <f>1516*22.87/1000</f>
        <v>34.670919999999995</v>
      </c>
      <c r="AR3232" s="8"/>
      <c r="AS3232" s="8"/>
      <c r="AT3232" s="8">
        <v>1564.94</v>
      </c>
      <c r="AU3232" s="8"/>
      <c r="AV3232" s="8"/>
      <c r="AW3232" s="8">
        <v>6.53</v>
      </c>
      <c r="AX3232" s="8"/>
      <c r="AY3232" s="8"/>
      <c r="AZ3232" s="8"/>
      <c r="BA3232" s="8"/>
      <c r="BB3232" s="8"/>
      <c r="BC3232" s="8"/>
      <c r="BD3232" s="8"/>
      <c r="BE3232" s="8"/>
      <c r="BF3232" s="8">
        <v>109.83</v>
      </c>
      <c r="BG3232" s="8">
        <v>113.35</v>
      </c>
      <c r="BH3232" s="9">
        <f t="shared" si="450"/>
        <v>2285.73</v>
      </c>
      <c r="BI3232" s="9">
        <f t="shared" si="451"/>
        <v>5.71</v>
      </c>
      <c r="BJ3232" s="9">
        <f t="shared" si="452"/>
        <v>8.93</v>
      </c>
      <c r="BK3232" s="9">
        <f t="shared" si="453"/>
        <v>34.29</v>
      </c>
      <c r="BL3232" s="9">
        <f t="shared" si="454"/>
        <v>480.64</v>
      </c>
      <c r="BM3232" s="9">
        <f t="shared" si="455"/>
        <v>148.46091999999999</v>
      </c>
      <c r="BN3232" s="9">
        <f t="shared" si="456"/>
        <v>1564.94</v>
      </c>
      <c r="BO3232" s="9">
        <f t="shared" si="457"/>
        <v>6.53</v>
      </c>
      <c r="BP3232" s="9">
        <f t="shared" si="458"/>
        <v>109.83</v>
      </c>
    </row>
    <row r="3233" spans="1:68">
      <c r="A3233" s="6">
        <v>45131</v>
      </c>
      <c r="B3233" s="7">
        <v>3020</v>
      </c>
      <c r="C3233" s="8"/>
      <c r="D3233" s="8">
        <v>100.95</v>
      </c>
      <c r="E3233" s="8"/>
      <c r="F3233" s="8"/>
      <c r="G3233" s="8"/>
      <c r="H3233" s="8"/>
      <c r="I3233" s="8">
        <v>570.01</v>
      </c>
      <c r="J3233" s="8"/>
      <c r="K3233" s="8"/>
      <c r="L3233" s="8"/>
      <c r="M3233" s="8"/>
      <c r="N3233" s="8">
        <v>4.0999999999999996</v>
      </c>
      <c r="O3233" s="8"/>
      <c r="P3233" s="8"/>
      <c r="Q3233" s="11"/>
      <c r="R3233" s="11"/>
      <c r="S3233" s="8">
        <v>1.21</v>
      </c>
      <c r="T3233" s="8"/>
      <c r="U3233" s="8"/>
      <c r="V3233" s="8"/>
      <c r="W3233" s="8">
        <v>6.72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>
        <v>6.71</v>
      </c>
      <c r="AN3233" s="8"/>
      <c r="AO3233" s="8"/>
      <c r="AP3233" s="11"/>
      <c r="AQ3233" s="8"/>
      <c r="AR3233" s="8"/>
      <c r="AS3233" s="8">
        <f>3019*5.58/1000</f>
        <v>16.846019999999999</v>
      </c>
      <c r="AT3233" s="8">
        <v>330.36</v>
      </c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>
        <v>24.17</v>
      </c>
      <c r="BH3233" s="9">
        <f t="shared" si="450"/>
        <v>670.96</v>
      </c>
      <c r="BI3233" s="9">
        <f t="shared" si="451"/>
        <v>4.0999999999999996</v>
      </c>
      <c r="BJ3233" s="9">
        <f t="shared" si="452"/>
        <v>1.21</v>
      </c>
      <c r="BK3233" s="9">
        <f t="shared" si="453"/>
        <v>6.72</v>
      </c>
      <c r="BL3233" s="9">
        <f t="shared" si="454"/>
        <v>0</v>
      </c>
      <c r="BM3233" s="9">
        <f t="shared" si="455"/>
        <v>23.55602</v>
      </c>
      <c r="BN3233" s="9">
        <f t="shared" si="456"/>
        <v>330.36</v>
      </c>
      <c r="BO3233" s="9">
        <f t="shared" si="457"/>
        <v>0</v>
      </c>
      <c r="BP3233" s="9">
        <f t="shared" si="458"/>
        <v>0</v>
      </c>
    </row>
    <row r="3234" spans="1:68">
      <c r="A3234" s="6">
        <v>45131</v>
      </c>
      <c r="B3234" s="7">
        <v>3021</v>
      </c>
      <c r="C3234" s="8"/>
      <c r="D3234" s="8">
        <v>190.02</v>
      </c>
      <c r="E3234" s="8"/>
      <c r="F3234" s="8"/>
      <c r="G3234" s="8"/>
      <c r="H3234" s="8"/>
      <c r="I3234" s="8">
        <v>355.07</v>
      </c>
      <c r="J3234" s="8"/>
      <c r="K3234" s="8"/>
      <c r="L3234" s="8"/>
      <c r="M3234" s="8"/>
      <c r="N3234" s="8">
        <v>2.9</v>
      </c>
      <c r="O3234" s="8"/>
      <c r="P3234" s="8"/>
      <c r="Q3234" s="11"/>
      <c r="R3234" s="11"/>
      <c r="S3234" s="8">
        <v>0.98</v>
      </c>
      <c r="T3234" s="8"/>
      <c r="U3234" s="8"/>
      <c r="V3234" s="8"/>
      <c r="W3234" s="8">
        <v>5.46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>
        <v>5.46</v>
      </c>
      <c r="AN3234" s="8"/>
      <c r="AO3234" s="8"/>
      <c r="AP3234" s="11"/>
      <c r="AQ3234" s="8"/>
      <c r="AR3234" s="8"/>
      <c r="AS3234" s="8">
        <f>2653*5.2/1000</f>
        <v>13.7956</v>
      </c>
      <c r="AT3234" s="8">
        <v>257.31</v>
      </c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>
        <v>19.34</v>
      </c>
      <c r="BH3234" s="9">
        <f t="shared" si="450"/>
        <v>545.09</v>
      </c>
      <c r="BI3234" s="9">
        <f t="shared" si="451"/>
        <v>2.9</v>
      </c>
      <c r="BJ3234" s="9">
        <f t="shared" si="452"/>
        <v>0.98</v>
      </c>
      <c r="BK3234" s="9">
        <f t="shared" si="453"/>
        <v>5.46</v>
      </c>
      <c r="BL3234" s="9">
        <f t="shared" si="454"/>
        <v>0</v>
      </c>
      <c r="BM3234" s="9">
        <f t="shared" si="455"/>
        <v>19.255600000000001</v>
      </c>
      <c r="BN3234" s="9">
        <f t="shared" si="456"/>
        <v>257.31</v>
      </c>
      <c r="BO3234" s="9">
        <f t="shared" si="457"/>
        <v>0</v>
      </c>
      <c r="BP3234" s="9">
        <f t="shared" si="458"/>
        <v>0</v>
      </c>
    </row>
    <row r="3235" spans="1:68">
      <c r="A3235" s="6">
        <v>45131</v>
      </c>
      <c r="B3235" s="7">
        <v>3023</v>
      </c>
      <c r="C3235" s="8"/>
      <c r="D3235" s="8">
        <v>1666.25</v>
      </c>
      <c r="E3235" s="8"/>
      <c r="F3235" s="8"/>
      <c r="G3235" s="8"/>
      <c r="H3235" s="8"/>
      <c r="I3235" s="8">
        <v>900.35</v>
      </c>
      <c r="J3235" s="8"/>
      <c r="K3235" s="8"/>
      <c r="L3235" s="8"/>
      <c r="M3235" s="8"/>
      <c r="N3235" s="8">
        <v>14.35</v>
      </c>
      <c r="O3235" s="8"/>
      <c r="P3235" s="8"/>
      <c r="Q3235" s="11"/>
      <c r="R3235" s="11"/>
      <c r="S3235" s="8">
        <v>4.0999999999999996</v>
      </c>
      <c r="T3235" s="8"/>
      <c r="U3235" s="8"/>
      <c r="V3235" s="8"/>
      <c r="W3235" s="8">
        <v>23.12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>
        <v>25.59</v>
      </c>
      <c r="AN3235" s="8">
        <f>1026*17.7/1000</f>
        <v>18.1602</v>
      </c>
      <c r="AO3235" s="8"/>
      <c r="AP3235" s="11"/>
      <c r="AQ3235" s="8"/>
      <c r="AR3235" s="8"/>
      <c r="AS3235" s="8">
        <f>4807*17.7/1000</f>
        <v>85.0839</v>
      </c>
      <c r="AT3235" s="8">
        <v>1052.72</v>
      </c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>
        <v>79.5</v>
      </c>
      <c r="BH3235" s="9">
        <f t="shared" si="450"/>
        <v>2566.6</v>
      </c>
      <c r="BI3235" s="9">
        <f t="shared" si="451"/>
        <v>14.35</v>
      </c>
      <c r="BJ3235" s="9">
        <f t="shared" si="452"/>
        <v>4.0999999999999996</v>
      </c>
      <c r="BK3235" s="9">
        <f t="shared" si="453"/>
        <v>23.12</v>
      </c>
      <c r="BL3235" s="9">
        <f t="shared" si="454"/>
        <v>0</v>
      </c>
      <c r="BM3235" s="9">
        <f t="shared" si="455"/>
        <v>128.83410000000001</v>
      </c>
      <c r="BN3235" s="9">
        <f t="shared" si="456"/>
        <v>1052.72</v>
      </c>
      <c r="BO3235" s="9">
        <f t="shared" si="457"/>
        <v>0</v>
      </c>
      <c r="BP3235" s="9">
        <f t="shared" si="458"/>
        <v>0</v>
      </c>
    </row>
    <row r="3236" spans="1:68">
      <c r="A3236" s="6">
        <v>45131</v>
      </c>
      <c r="B3236" s="7">
        <v>3029</v>
      </c>
      <c r="C3236" s="8"/>
      <c r="D3236" s="8">
        <v>689.86</v>
      </c>
      <c r="E3236" s="8"/>
      <c r="F3236" s="8">
        <v>487.4</v>
      </c>
      <c r="G3236" s="8"/>
      <c r="H3236" s="8"/>
      <c r="I3236" s="8">
        <v>2879.99</v>
      </c>
      <c r="J3236" s="8"/>
      <c r="K3236" s="8"/>
      <c r="L3236" s="8"/>
      <c r="M3236" s="8"/>
      <c r="N3236" s="8">
        <v>32.07</v>
      </c>
      <c r="O3236" s="8"/>
      <c r="P3236" s="8"/>
      <c r="Q3236" s="11"/>
      <c r="R3236" s="11"/>
      <c r="S3236" s="8">
        <v>2.42</v>
      </c>
      <c r="T3236" s="8"/>
      <c r="U3236" s="8"/>
      <c r="V3236" s="8"/>
      <c r="W3236" s="8">
        <v>40.630000000000003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>
        <v>14.15</v>
      </c>
      <c r="AN3236" s="8">
        <f>760*27.07/1000</f>
        <v>20.5732</v>
      </c>
      <c r="AO3236" s="8"/>
      <c r="AP3236" s="11"/>
      <c r="AQ3236" s="8"/>
      <c r="AR3236" s="8">
        <f>4625*27.07/1000</f>
        <v>125.19875</v>
      </c>
      <c r="AS3236" s="8"/>
      <c r="AT3236" s="8">
        <v>1542.82</v>
      </c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>
        <v>107.57</v>
      </c>
      <c r="BH3236" s="9">
        <f t="shared" si="450"/>
        <v>4057.25</v>
      </c>
      <c r="BI3236" s="9">
        <f t="shared" si="451"/>
        <v>32.07</v>
      </c>
      <c r="BJ3236" s="9">
        <f t="shared" si="452"/>
        <v>2.42</v>
      </c>
      <c r="BK3236" s="9">
        <f t="shared" si="453"/>
        <v>40.630000000000003</v>
      </c>
      <c r="BL3236" s="9">
        <f t="shared" si="454"/>
        <v>0</v>
      </c>
      <c r="BM3236" s="9">
        <f t="shared" si="455"/>
        <v>159.92195000000001</v>
      </c>
      <c r="BN3236" s="9">
        <f t="shared" si="456"/>
        <v>1542.82</v>
      </c>
      <c r="BO3236" s="9">
        <f t="shared" si="457"/>
        <v>0</v>
      </c>
      <c r="BP3236" s="9">
        <f t="shared" si="458"/>
        <v>0</v>
      </c>
    </row>
    <row r="3237" spans="1:68">
      <c r="A3237" s="6">
        <v>45131</v>
      </c>
      <c r="B3237" s="7">
        <v>3127</v>
      </c>
      <c r="C3237" s="8">
        <v>1121.95</v>
      </c>
      <c r="D3237" s="8"/>
      <c r="E3237" s="8"/>
      <c r="F3237" s="8"/>
      <c r="G3237" s="8"/>
      <c r="H3237" s="8"/>
      <c r="I3237" s="8"/>
      <c r="J3237" s="8"/>
      <c r="K3237" s="8"/>
      <c r="L3237" s="8"/>
      <c r="M3237" s="8">
        <v>3.14</v>
      </c>
      <c r="N3237" s="8"/>
      <c r="O3237" s="8"/>
      <c r="P3237" s="8"/>
      <c r="Q3237" s="11"/>
      <c r="R3237" s="11"/>
      <c r="S3237" s="8">
        <v>5.39</v>
      </c>
      <c r="T3237" s="8"/>
      <c r="U3237" s="8">
        <v>11.24</v>
      </c>
      <c r="V3237" s="8"/>
      <c r="W3237" s="8"/>
      <c r="X3237" s="8"/>
      <c r="Y3237" s="8"/>
      <c r="Z3237" s="8">
        <v>168.43</v>
      </c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11"/>
      <c r="AQ3237" s="8"/>
      <c r="AR3237" s="8"/>
      <c r="AS3237" s="8"/>
      <c r="AT3237" s="8">
        <v>547.86</v>
      </c>
      <c r="AU3237" s="8"/>
      <c r="AV3237" s="8">
        <v>22.44</v>
      </c>
      <c r="AW3237" s="8"/>
      <c r="AX3237" s="8"/>
      <c r="AY3237" s="8"/>
      <c r="AZ3237" s="8"/>
      <c r="BA3237" s="8"/>
      <c r="BB3237" s="8"/>
      <c r="BC3237" s="8"/>
      <c r="BD3237" s="8"/>
      <c r="BE3237" s="8"/>
      <c r="BF3237" s="8">
        <v>56.16</v>
      </c>
      <c r="BG3237" s="8">
        <v>39.270000000000003</v>
      </c>
      <c r="BH3237" s="9">
        <f t="shared" si="450"/>
        <v>1121.95</v>
      </c>
      <c r="BI3237" s="9">
        <f t="shared" si="451"/>
        <v>3.14</v>
      </c>
      <c r="BJ3237" s="9">
        <f t="shared" si="452"/>
        <v>5.39</v>
      </c>
      <c r="BK3237" s="9">
        <f t="shared" si="453"/>
        <v>11.24</v>
      </c>
      <c r="BL3237" s="9">
        <f t="shared" si="454"/>
        <v>168.43</v>
      </c>
      <c r="BM3237" s="9">
        <f t="shared" si="455"/>
        <v>0</v>
      </c>
      <c r="BN3237" s="9">
        <f t="shared" si="456"/>
        <v>547.86</v>
      </c>
      <c r="BO3237" s="9">
        <f t="shared" si="457"/>
        <v>22.44</v>
      </c>
      <c r="BP3237" s="9">
        <f t="shared" si="458"/>
        <v>56.16</v>
      </c>
    </row>
    <row r="3238" spans="1:68">
      <c r="A3238" s="6">
        <v>45132</v>
      </c>
      <c r="B3238" s="7">
        <v>3141</v>
      </c>
      <c r="C3238" s="8">
        <v>2402.96</v>
      </c>
      <c r="D3238" s="8">
        <v>423.83</v>
      </c>
      <c r="E3238" s="8"/>
      <c r="F3238" s="8"/>
      <c r="G3238" s="8"/>
      <c r="H3238" s="8"/>
      <c r="I3238" s="8"/>
      <c r="J3238" s="8"/>
      <c r="K3238" s="8"/>
      <c r="L3238" s="8"/>
      <c r="M3238" s="8">
        <v>8.2100000000000009</v>
      </c>
      <c r="N3238" s="8"/>
      <c r="O3238" s="8"/>
      <c r="P3238" s="8"/>
      <c r="Q3238" s="11"/>
      <c r="R3238" s="11"/>
      <c r="S3238" s="8">
        <v>13.31</v>
      </c>
      <c r="T3238" s="8"/>
      <c r="U3238" s="8">
        <v>42.47</v>
      </c>
      <c r="V3238" s="8"/>
      <c r="W3238" s="8"/>
      <c r="X3238" s="8"/>
      <c r="Y3238" s="8"/>
      <c r="Z3238" s="8"/>
      <c r="AA3238" s="8"/>
      <c r="AB3238" s="8"/>
      <c r="AC3238" s="8">
        <v>11.33</v>
      </c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11"/>
      <c r="AQ3238" s="8"/>
      <c r="AR3238" s="8"/>
      <c r="AS3238" s="8"/>
      <c r="AT3238" s="8">
        <v>1864.84</v>
      </c>
      <c r="AU3238" s="8"/>
      <c r="AV3238" s="8"/>
      <c r="AW3238" s="8"/>
      <c r="AX3238" s="8"/>
      <c r="AY3238" s="8"/>
      <c r="AZ3238" s="8"/>
      <c r="BA3238" s="8">
        <v>64.88</v>
      </c>
      <c r="BB3238" s="8"/>
      <c r="BC3238" s="8"/>
      <c r="BD3238" s="8"/>
      <c r="BE3238" s="8"/>
      <c r="BF3238" s="8">
        <v>198.18</v>
      </c>
      <c r="BG3238" s="8">
        <v>147.09</v>
      </c>
      <c r="BH3238" s="9">
        <f t="shared" si="450"/>
        <v>2826.79</v>
      </c>
      <c r="BI3238" s="9">
        <f t="shared" si="451"/>
        <v>8.2100000000000009</v>
      </c>
      <c r="BJ3238" s="9">
        <f t="shared" si="452"/>
        <v>13.31</v>
      </c>
      <c r="BK3238" s="9">
        <f t="shared" si="453"/>
        <v>42.47</v>
      </c>
      <c r="BL3238" s="9">
        <f t="shared" si="454"/>
        <v>0</v>
      </c>
      <c r="BM3238" s="9">
        <f t="shared" si="455"/>
        <v>11.33</v>
      </c>
      <c r="BN3238" s="9">
        <f t="shared" si="456"/>
        <v>1864.84</v>
      </c>
      <c r="BO3238" s="9">
        <f t="shared" si="457"/>
        <v>64.88</v>
      </c>
      <c r="BP3238" s="9">
        <f t="shared" si="458"/>
        <v>198.18</v>
      </c>
    </row>
    <row r="3239" spans="1:68">
      <c r="A3239" s="6">
        <v>45132</v>
      </c>
      <c r="B3239" s="7">
        <v>3104</v>
      </c>
      <c r="C3239" s="8">
        <v>1492.78</v>
      </c>
      <c r="D3239" s="8"/>
      <c r="E3239" s="8"/>
      <c r="F3239" s="8"/>
      <c r="G3239" s="8"/>
      <c r="H3239" s="8">
        <v>384.37</v>
      </c>
      <c r="I3239" s="8"/>
      <c r="J3239" s="8"/>
      <c r="K3239" s="8"/>
      <c r="L3239" s="8"/>
      <c r="M3239" s="8">
        <v>4.2699999999999996</v>
      </c>
      <c r="N3239" s="8"/>
      <c r="O3239" s="8"/>
      <c r="P3239" s="8"/>
      <c r="Q3239" s="11"/>
      <c r="R3239" s="11"/>
      <c r="S3239" s="8">
        <v>7.35</v>
      </c>
      <c r="T3239" s="8"/>
      <c r="U3239" s="8">
        <v>19.64</v>
      </c>
      <c r="V3239" s="8"/>
      <c r="W3239" s="8"/>
      <c r="X3239" s="8"/>
      <c r="Y3239" s="8"/>
      <c r="Z3239" s="8"/>
      <c r="AA3239" s="8"/>
      <c r="AB3239" s="8"/>
      <c r="AC3239" s="8">
        <v>6.83</v>
      </c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11"/>
      <c r="AQ3239" s="8"/>
      <c r="AR3239" s="8"/>
      <c r="AS3239" s="8"/>
      <c r="AT3239" s="8">
        <v>1089.53</v>
      </c>
      <c r="AU3239" s="8"/>
      <c r="AV3239" s="8"/>
      <c r="AW3239" s="8"/>
      <c r="AX3239" s="8"/>
      <c r="AY3239" s="8"/>
      <c r="AZ3239" s="8"/>
      <c r="BA3239" s="8">
        <v>38.880000000000003</v>
      </c>
      <c r="BB3239" s="8"/>
      <c r="BC3239" s="8"/>
      <c r="BD3239" s="8"/>
      <c r="BE3239" s="8"/>
      <c r="BF3239" s="8">
        <v>34.22</v>
      </c>
      <c r="BG3239" s="8">
        <v>84.36</v>
      </c>
      <c r="BH3239" s="9">
        <f t="shared" si="450"/>
        <v>1877.15</v>
      </c>
      <c r="BI3239" s="9">
        <f t="shared" si="451"/>
        <v>4.2699999999999996</v>
      </c>
      <c r="BJ3239" s="9">
        <f t="shared" si="452"/>
        <v>7.35</v>
      </c>
      <c r="BK3239" s="9">
        <f t="shared" si="453"/>
        <v>19.64</v>
      </c>
      <c r="BL3239" s="9">
        <f t="shared" si="454"/>
        <v>0</v>
      </c>
      <c r="BM3239" s="9">
        <f t="shared" si="455"/>
        <v>6.83</v>
      </c>
      <c r="BN3239" s="9">
        <f t="shared" si="456"/>
        <v>1089.53</v>
      </c>
      <c r="BO3239" s="9">
        <f t="shared" si="457"/>
        <v>38.880000000000003</v>
      </c>
      <c r="BP3239" s="9">
        <f t="shared" si="458"/>
        <v>34.22</v>
      </c>
    </row>
    <row r="3240" spans="1:68">
      <c r="A3240" s="6">
        <v>45132</v>
      </c>
      <c r="B3240" s="7">
        <v>3108</v>
      </c>
      <c r="C3240" s="8">
        <v>2236.5700000000002</v>
      </c>
      <c r="D3240" s="8"/>
      <c r="E3240" s="8"/>
      <c r="F3240" s="8"/>
      <c r="G3240" s="8"/>
      <c r="H3240" s="8"/>
      <c r="I3240" s="8"/>
      <c r="J3240" s="8"/>
      <c r="K3240" s="8"/>
      <c r="L3240" s="8"/>
      <c r="M3240" s="8">
        <v>4.95</v>
      </c>
      <c r="N3240" s="8"/>
      <c r="O3240" s="8"/>
      <c r="P3240" s="8"/>
      <c r="Q3240" s="11"/>
      <c r="R3240" s="11"/>
      <c r="S3240" s="8">
        <v>7.18</v>
      </c>
      <c r="T3240" s="8"/>
      <c r="U3240" s="8">
        <v>28.42</v>
      </c>
      <c r="V3240" s="8"/>
      <c r="W3240" s="8"/>
      <c r="X3240" s="8"/>
      <c r="Y3240" s="8"/>
      <c r="Z3240" s="8"/>
      <c r="AA3240" s="8"/>
      <c r="AB3240" s="8"/>
      <c r="AC3240" s="8">
        <v>8.94</v>
      </c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11"/>
      <c r="AQ3240" s="8"/>
      <c r="AR3240" s="8"/>
      <c r="AS3240" s="8"/>
      <c r="AT3240" s="8">
        <v>1217.22</v>
      </c>
      <c r="AU3240" s="8"/>
      <c r="AV3240" s="8"/>
      <c r="AW3240" s="8"/>
      <c r="AX3240" s="8"/>
      <c r="AY3240" s="8"/>
      <c r="AZ3240" s="8"/>
      <c r="BA3240" s="8">
        <v>83.11</v>
      </c>
      <c r="BB3240" s="8"/>
      <c r="BC3240" s="8"/>
      <c r="BD3240" s="8"/>
      <c r="BE3240" s="8"/>
      <c r="BF3240" s="8"/>
      <c r="BG3240" s="8">
        <v>90.55</v>
      </c>
      <c r="BH3240" s="9">
        <f t="shared" si="450"/>
        <v>2236.5700000000002</v>
      </c>
      <c r="BI3240" s="9">
        <f t="shared" si="451"/>
        <v>4.95</v>
      </c>
      <c r="BJ3240" s="9">
        <f t="shared" si="452"/>
        <v>7.18</v>
      </c>
      <c r="BK3240" s="9">
        <f t="shared" si="453"/>
        <v>28.42</v>
      </c>
      <c r="BL3240" s="9">
        <f t="shared" si="454"/>
        <v>0</v>
      </c>
      <c r="BM3240" s="9">
        <f t="shared" si="455"/>
        <v>8.94</v>
      </c>
      <c r="BN3240" s="9">
        <f t="shared" si="456"/>
        <v>1217.22</v>
      </c>
      <c r="BO3240" s="9">
        <f t="shared" si="457"/>
        <v>83.11</v>
      </c>
      <c r="BP3240" s="9">
        <f t="shared" si="458"/>
        <v>0</v>
      </c>
    </row>
    <row r="3241" spans="1:68">
      <c r="A3241" s="6">
        <v>45132</v>
      </c>
      <c r="B3241" s="7">
        <v>3200</v>
      </c>
      <c r="C3241" s="8">
        <v>2339.3000000000002</v>
      </c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>
        <v>5.86</v>
      </c>
      <c r="P3241" s="8"/>
      <c r="Q3241" s="11"/>
      <c r="R3241" s="11"/>
      <c r="S3241" s="8">
        <v>9.14</v>
      </c>
      <c r="T3241" s="8"/>
      <c r="U3241" s="8">
        <v>35.090000000000003</v>
      </c>
      <c r="V3241" s="8"/>
      <c r="W3241" s="8"/>
      <c r="X3241" s="8"/>
      <c r="Y3241" s="8"/>
      <c r="Z3241" s="8">
        <v>491.48</v>
      </c>
      <c r="AA3241" s="8"/>
      <c r="AB3241" s="8"/>
      <c r="AC3241" s="8"/>
      <c r="AD3241" s="8"/>
      <c r="AE3241" s="8"/>
      <c r="AF3241" s="8">
        <v>117.05</v>
      </c>
      <c r="AG3241" s="8"/>
      <c r="AH3241" s="8"/>
      <c r="AI3241" s="8"/>
      <c r="AJ3241" s="8"/>
      <c r="AK3241" s="8"/>
      <c r="AL3241" s="8"/>
      <c r="AM3241" s="8"/>
      <c r="AN3241" s="8"/>
      <c r="AO3241" s="8"/>
      <c r="AP3241" s="11"/>
      <c r="AQ3241" s="8">
        <f>1523*23.4/1000</f>
        <v>35.638199999999998</v>
      </c>
      <c r="AR3241" s="8"/>
      <c r="AS3241" s="8"/>
      <c r="AT3241" s="8">
        <v>1601.21</v>
      </c>
      <c r="AU3241" s="8"/>
      <c r="AV3241" s="8"/>
      <c r="AW3241" s="8">
        <v>6.74</v>
      </c>
      <c r="AX3241" s="8"/>
      <c r="AY3241" s="8"/>
      <c r="AZ3241" s="8"/>
      <c r="BA3241" s="8"/>
      <c r="BB3241" s="8"/>
      <c r="BC3241" s="8"/>
      <c r="BD3241" s="8"/>
      <c r="BE3241" s="8"/>
      <c r="BF3241" s="8">
        <v>112.38</v>
      </c>
      <c r="BG3241" s="8">
        <v>116.03</v>
      </c>
      <c r="BH3241" s="9">
        <f t="shared" si="450"/>
        <v>2339.3000000000002</v>
      </c>
      <c r="BI3241" s="9">
        <f t="shared" si="451"/>
        <v>5.86</v>
      </c>
      <c r="BJ3241" s="9">
        <f t="shared" si="452"/>
        <v>9.14</v>
      </c>
      <c r="BK3241" s="9">
        <f t="shared" si="453"/>
        <v>35.090000000000003</v>
      </c>
      <c r="BL3241" s="9">
        <f t="shared" si="454"/>
        <v>491.48</v>
      </c>
      <c r="BM3241" s="9">
        <f t="shared" si="455"/>
        <v>152.68819999999999</v>
      </c>
      <c r="BN3241" s="9">
        <f t="shared" si="456"/>
        <v>1601.21</v>
      </c>
      <c r="BO3241" s="9">
        <f t="shared" si="457"/>
        <v>6.74</v>
      </c>
      <c r="BP3241" s="9">
        <f t="shared" si="458"/>
        <v>112.38</v>
      </c>
    </row>
    <row r="3242" spans="1:68">
      <c r="A3242" s="6">
        <v>45132</v>
      </c>
      <c r="B3242" s="7">
        <v>3203</v>
      </c>
      <c r="C3242" s="8">
        <v>1802.27</v>
      </c>
      <c r="D3242" s="8"/>
      <c r="E3242" s="8">
        <v>771.81</v>
      </c>
      <c r="F3242" s="8"/>
      <c r="G3242" s="8"/>
      <c r="H3242" s="8"/>
      <c r="I3242" s="8"/>
      <c r="J3242" s="8"/>
      <c r="K3242" s="8"/>
      <c r="L3242" s="8"/>
      <c r="M3242" s="8"/>
      <c r="N3242" s="8"/>
      <c r="O3242" s="8">
        <v>7.71</v>
      </c>
      <c r="P3242" s="8"/>
      <c r="Q3242" s="11"/>
      <c r="R3242" s="11"/>
      <c r="S3242" s="8">
        <v>10.039999999999999</v>
      </c>
      <c r="T3242" s="8"/>
      <c r="U3242" s="8">
        <v>31.91</v>
      </c>
      <c r="V3242" s="8"/>
      <c r="W3242" s="8"/>
      <c r="X3242" s="8"/>
      <c r="Y3242" s="8"/>
      <c r="Z3242" s="8">
        <v>405.49</v>
      </c>
      <c r="AA3242" s="8">
        <f>10574*30.27/1000</f>
        <v>320.07497999999998</v>
      </c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11"/>
      <c r="AQ3242" s="8"/>
      <c r="AR3242" s="8"/>
      <c r="AS3242" s="8"/>
      <c r="AT3242" s="8">
        <v>962.29</v>
      </c>
      <c r="AU3242" s="8">
        <v>481.65</v>
      </c>
      <c r="AV3242" s="8"/>
      <c r="AW3242" s="8"/>
      <c r="AX3242" s="8"/>
      <c r="AY3242" s="8"/>
      <c r="AZ3242" s="8"/>
      <c r="BA3242" s="8"/>
      <c r="BB3242" s="8"/>
      <c r="BC3242" s="8">
        <v>6.69</v>
      </c>
      <c r="BD3242" s="8"/>
      <c r="BE3242" s="8"/>
      <c r="BF3242" s="8"/>
      <c r="BG3242" s="8">
        <v>93.92</v>
      </c>
      <c r="BH3242" s="9">
        <f t="shared" si="450"/>
        <v>2574.08</v>
      </c>
      <c r="BI3242" s="9">
        <f t="shared" si="451"/>
        <v>7.71</v>
      </c>
      <c r="BJ3242" s="9">
        <f t="shared" si="452"/>
        <v>10.039999999999999</v>
      </c>
      <c r="BK3242" s="9">
        <f t="shared" si="453"/>
        <v>31.91</v>
      </c>
      <c r="BL3242" s="9">
        <f t="shared" si="454"/>
        <v>725.56497999999999</v>
      </c>
      <c r="BM3242" s="9">
        <f t="shared" si="455"/>
        <v>0</v>
      </c>
      <c r="BN3242" s="9">
        <f t="shared" si="456"/>
        <v>1443.94</v>
      </c>
      <c r="BO3242" s="9">
        <f t="shared" si="457"/>
        <v>6.69</v>
      </c>
      <c r="BP3242" s="9">
        <f t="shared" si="458"/>
        <v>0</v>
      </c>
    </row>
    <row r="3243" spans="1:68">
      <c r="A3243" s="6">
        <v>45132</v>
      </c>
      <c r="B3243" s="7">
        <v>3022</v>
      </c>
      <c r="C3243" s="8"/>
      <c r="D3243" s="8">
        <v>587.46</v>
      </c>
      <c r="E3243" s="8"/>
      <c r="F3243" s="8"/>
      <c r="G3243" s="8"/>
      <c r="H3243" s="8"/>
      <c r="I3243" s="8">
        <v>481.65</v>
      </c>
      <c r="J3243" s="8"/>
      <c r="K3243" s="8"/>
      <c r="L3243" s="8"/>
      <c r="M3243" s="8"/>
      <c r="N3243" s="8">
        <v>5.35</v>
      </c>
      <c r="O3243" s="8"/>
      <c r="P3243" s="8"/>
      <c r="Q3243" s="11"/>
      <c r="R3243" s="11"/>
      <c r="S3243" s="8">
        <v>1.93</v>
      </c>
      <c r="T3243" s="8"/>
      <c r="U3243" s="8"/>
      <c r="V3243" s="8"/>
      <c r="W3243" s="8">
        <v>10.7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>
        <v>13.87</v>
      </c>
      <c r="AN3243" s="8"/>
      <c r="AO3243" s="8"/>
      <c r="AP3243" s="11"/>
      <c r="AQ3243" s="8"/>
      <c r="AR3243" s="8"/>
      <c r="AS3243" s="8">
        <f>3846*9.72/1000</f>
        <v>37.383120000000005</v>
      </c>
      <c r="AT3243" s="8">
        <v>500.42</v>
      </c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>
        <v>38.54</v>
      </c>
      <c r="BH3243" s="9">
        <f t="shared" si="450"/>
        <v>1069.1100000000001</v>
      </c>
      <c r="BI3243" s="9">
        <f t="shared" si="451"/>
        <v>5.35</v>
      </c>
      <c r="BJ3243" s="9">
        <f t="shared" si="452"/>
        <v>1.93</v>
      </c>
      <c r="BK3243" s="9">
        <f t="shared" si="453"/>
        <v>10.7</v>
      </c>
      <c r="BL3243" s="9">
        <f t="shared" si="454"/>
        <v>0</v>
      </c>
      <c r="BM3243" s="9">
        <f t="shared" si="455"/>
        <v>51.253120000000003</v>
      </c>
      <c r="BN3243" s="9">
        <f t="shared" si="456"/>
        <v>500.42</v>
      </c>
      <c r="BO3243" s="9">
        <f t="shared" si="457"/>
        <v>0</v>
      </c>
      <c r="BP3243" s="9">
        <f t="shared" si="458"/>
        <v>0</v>
      </c>
    </row>
    <row r="3244" spans="1:68">
      <c r="A3244" s="6">
        <v>45132</v>
      </c>
      <c r="B3244" s="7">
        <v>3310</v>
      </c>
      <c r="C3244" s="8"/>
      <c r="D3244" s="8">
        <v>1023.82</v>
      </c>
      <c r="E3244" s="8"/>
      <c r="F3244" s="8"/>
      <c r="G3244" s="8"/>
      <c r="H3244" s="8"/>
      <c r="I3244" s="8"/>
      <c r="J3244" s="8"/>
      <c r="K3244" s="8"/>
      <c r="L3244" s="8"/>
      <c r="M3244" s="8">
        <v>2.0499999999999998</v>
      </c>
      <c r="N3244" s="8"/>
      <c r="O3244" s="8"/>
      <c r="P3244" s="8"/>
      <c r="Q3244" s="11"/>
      <c r="R3244" s="11"/>
      <c r="S3244" s="8">
        <v>1.54</v>
      </c>
      <c r="T3244" s="8"/>
      <c r="U3244" s="8">
        <v>9.25</v>
      </c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>
        <v>10.31</v>
      </c>
      <c r="AH3244" s="8"/>
      <c r="AI3244" s="8"/>
      <c r="AJ3244" s="8"/>
      <c r="AK3244" s="8"/>
      <c r="AL3244" s="8"/>
      <c r="AM3244" s="8"/>
      <c r="AN3244" s="8"/>
      <c r="AO3244" s="8"/>
      <c r="AP3244" s="11"/>
      <c r="AQ3244" s="8"/>
      <c r="AR3244" s="8"/>
      <c r="AS3244" s="8"/>
      <c r="AT3244" s="8">
        <v>276.29000000000002</v>
      </c>
      <c r="AU3244" s="8">
        <v>137.09</v>
      </c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>
        <v>28.58</v>
      </c>
      <c r="BH3244" s="9">
        <f t="shared" si="450"/>
        <v>1023.82</v>
      </c>
      <c r="BI3244" s="9">
        <f t="shared" si="451"/>
        <v>2.0499999999999998</v>
      </c>
      <c r="BJ3244" s="9">
        <f t="shared" si="452"/>
        <v>1.54</v>
      </c>
      <c r="BK3244" s="9">
        <f t="shared" si="453"/>
        <v>9.25</v>
      </c>
      <c r="BL3244" s="9">
        <f t="shared" si="454"/>
        <v>0</v>
      </c>
      <c r="BM3244" s="9">
        <f t="shared" si="455"/>
        <v>10.31</v>
      </c>
      <c r="BN3244" s="9">
        <f t="shared" si="456"/>
        <v>413.38</v>
      </c>
      <c r="BO3244" s="9">
        <f t="shared" si="457"/>
        <v>0</v>
      </c>
      <c r="BP3244" s="9">
        <f t="shared" si="458"/>
        <v>0</v>
      </c>
    </row>
    <row r="3245" spans="1:68">
      <c r="A3245" s="6">
        <v>45132</v>
      </c>
      <c r="B3245" s="7">
        <v>3703</v>
      </c>
      <c r="C3245" s="8">
        <v>529.79999999999995</v>
      </c>
      <c r="D3245" s="8">
        <v>352.99</v>
      </c>
      <c r="E3245" s="8"/>
      <c r="F3245" s="8"/>
      <c r="G3245" s="8"/>
      <c r="H3245" s="8"/>
      <c r="I3245" s="8"/>
      <c r="J3245" s="8"/>
      <c r="K3245" s="8"/>
      <c r="L3245" s="8"/>
      <c r="M3245" s="8">
        <v>1.76</v>
      </c>
      <c r="N3245" s="8"/>
      <c r="O3245" s="8"/>
      <c r="P3245" s="8"/>
      <c r="Q3245" s="11"/>
      <c r="R3245" s="11"/>
      <c r="S3245" s="8">
        <v>4.33</v>
      </c>
      <c r="T3245" s="8"/>
      <c r="U3245" s="8">
        <v>7.07</v>
      </c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>
        <v>8.7899999999999991</v>
      </c>
      <c r="AN3245" s="8"/>
      <c r="AO3245" s="8"/>
      <c r="AP3245" s="11"/>
      <c r="AQ3245" s="8"/>
      <c r="AR3245" s="8"/>
      <c r="AS3245" s="8"/>
      <c r="AT3245" s="8">
        <v>213.37</v>
      </c>
      <c r="AU3245" s="8">
        <v>106.99</v>
      </c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>
        <v>22.58</v>
      </c>
      <c r="BH3245" s="9">
        <f t="shared" si="450"/>
        <v>882.79</v>
      </c>
      <c r="BI3245" s="9">
        <f t="shared" si="451"/>
        <v>1.76</v>
      </c>
      <c r="BJ3245" s="9">
        <f t="shared" si="452"/>
        <v>4.33</v>
      </c>
      <c r="BK3245" s="9">
        <f t="shared" si="453"/>
        <v>7.07</v>
      </c>
      <c r="BL3245" s="9">
        <f t="shared" si="454"/>
        <v>0</v>
      </c>
      <c r="BM3245" s="9">
        <f t="shared" si="455"/>
        <v>8.7899999999999991</v>
      </c>
      <c r="BN3245" s="9">
        <f t="shared" si="456"/>
        <v>320.36</v>
      </c>
      <c r="BO3245" s="9">
        <f t="shared" si="457"/>
        <v>0</v>
      </c>
      <c r="BP3245" s="9">
        <f t="shared" si="458"/>
        <v>0</v>
      </c>
    </row>
    <row r="3246" spans="1:68">
      <c r="A3246" s="6">
        <v>45132</v>
      </c>
      <c r="B3246" s="7">
        <v>3705</v>
      </c>
      <c r="C3246" s="8"/>
      <c r="D3246" s="8">
        <v>725.08</v>
      </c>
      <c r="E3246" s="8"/>
      <c r="F3246" s="8"/>
      <c r="G3246" s="8"/>
      <c r="H3246" s="8"/>
      <c r="I3246" s="8">
        <v>158.24</v>
      </c>
      <c r="J3246" s="8"/>
      <c r="K3246" s="8"/>
      <c r="L3246" s="8"/>
      <c r="M3246" s="8">
        <v>2.65</v>
      </c>
      <c r="N3246" s="8"/>
      <c r="O3246" s="8"/>
      <c r="P3246" s="8"/>
      <c r="Q3246" s="11"/>
      <c r="R3246" s="11"/>
      <c r="S3246" s="8">
        <v>3.09</v>
      </c>
      <c r="T3246" s="8"/>
      <c r="U3246" s="8">
        <v>6.19</v>
      </c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11"/>
      <c r="AQ3246" s="8"/>
      <c r="AR3246" s="8"/>
      <c r="AS3246" s="8"/>
      <c r="AT3246" s="8">
        <v>51.82</v>
      </c>
      <c r="AU3246" s="8">
        <v>105.28</v>
      </c>
      <c r="AV3246" s="8">
        <v>1.77</v>
      </c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>
        <v>8.68</v>
      </c>
      <c r="BH3246" s="9">
        <f t="shared" si="450"/>
        <v>883.32</v>
      </c>
      <c r="BI3246" s="9">
        <f t="shared" si="451"/>
        <v>2.65</v>
      </c>
      <c r="BJ3246" s="9">
        <f t="shared" si="452"/>
        <v>3.09</v>
      </c>
      <c r="BK3246" s="9">
        <f t="shared" si="453"/>
        <v>6.19</v>
      </c>
      <c r="BL3246" s="9">
        <f t="shared" si="454"/>
        <v>0</v>
      </c>
      <c r="BM3246" s="9">
        <f t="shared" si="455"/>
        <v>0</v>
      </c>
      <c r="BN3246" s="9">
        <f t="shared" si="456"/>
        <v>157.1</v>
      </c>
      <c r="BO3246" s="9">
        <f t="shared" si="457"/>
        <v>1.77</v>
      </c>
      <c r="BP3246" s="9">
        <f t="shared" si="458"/>
        <v>0</v>
      </c>
    </row>
    <row r="3247" spans="1:68">
      <c r="A3247" s="6">
        <v>45133</v>
      </c>
      <c r="B3247" s="7">
        <v>3602</v>
      </c>
      <c r="C3247" s="8">
        <v>568.79</v>
      </c>
      <c r="D3247" s="8"/>
      <c r="E3247" s="8"/>
      <c r="F3247" s="8"/>
      <c r="G3247" s="8">
        <v>853.32</v>
      </c>
      <c r="H3247" s="8"/>
      <c r="I3247" s="8"/>
      <c r="J3247" s="8"/>
      <c r="K3247" s="8"/>
      <c r="L3247" s="8"/>
      <c r="M3247" s="8">
        <v>1.71</v>
      </c>
      <c r="N3247" s="8"/>
      <c r="O3247" s="8"/>
      <c r="P3247" s="8"/>
      <c r="Q3247" s="11"/>
      <c r="R3247" s="11"/>
      <c r="S3247" s="8">
        <v>6.83</v>
      </c>
      <c r="T3247" s="8"/>
      <c r="U3247" s="8">
        <v>11.4</v>
      </c>
      <c r="V3247" s="8">
        <f>858*16.27/1000</f>
        <v>13.95966</v>
      </c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11"/>
      <c r="AQ3247" s="8"/>
      <c r="AR3247" s="8"/>
      <c r="AS3247" s="8"/>
      <c r="AT3247" s="8">
        <v>573.48</v>
      </c>
      <c r="AU3247" s="8"/>
      <c r="AV3247" s="8"/>
      <c r="AW3247" s="8">
        <v>36.799999999999997</v>
      </c>
      <c r="AX3247" s="8"/>
      <c r="AY3247" s="8"/>
      <c r="AZ3247" s="8"/>
      <c r="BA3247" s="8"/>
      <c r="BB3247" s="8"/>
      <c r="BC3247" s="8"/>
      <c r="BD3247" s="8"/>
      <c r="BE3247" s="8"/>
      <c r="BF3247" s="8">
        <v>45.59</v>
      </c>
      <c r="BG3247" s="8">
        <v>42.5</v>
      </c>
      <c r="BH3247" s="9">
        <f t="shared" si="450"/>
        <v>1422.1100000000001</v>
      </c>
      <c r="BI3247" s="9">
        <f t="shared" si="451"/>
        <v>1.71</v>
      </c>
      <c r="BJ3247" s="9">
        <f t="shared" si="452"/>
        <v>6.83</v>
      </c>
      <c r="BK3247" s="9">
        <f t="shared" si="453"/>
        <v>25.359659999999998</v>
      </c>
      <c r="BL3247" s="9">
        <f t="shared" si="454"/>
        <v>0</v>
      </c>
      <c r="BM3247" s="9">
        <f t="shared" si="455"/>
        <v>0</v>
      </c>
      <c r="BN3247" s="9">
        <f t="shared" si="456"/>
        <v>573.48</v>
      </c>
      <c r="BO3247" s="9">
        <f t="shared" si="457"/>
        <v>36.799999999999997</v>
      </c>
      <c r="BP3247" s="9">
        <f t="shared" si="458"/>
        <v>45.59</v>
      </c>
    </row>
    <row r="3248" spans="1:68">
      <c r="A3248" s="6">
        <v>45133</v>
      </c>
      <c r="B3248" s="7">
        <v>3145</v>
      </c>
      <c r="C3248" s="8">
        <v>1237.05</v>
      </c>
      <c r="D3248" s="8">
        <v>218.36</v>
      </c>
      <c r="E3248" s="8"/>
      <c r="F3248" s="8"/>
      <c r="G3248" s="8"/>
      <c r="H3248" s="8"/>
      <c r="I3248" s="8"/>
      <c r="J3248" s="8"/>
      <c r="K3248" s="8"/>
      <c r="L3248" s="8"/>
      <c r="M3248" s="8">
        <v>4.2300000000000004</v>
      </c>
      <c r="N3248" s="8"/>
      <c r="O3248" s="8"/>
      <c r="P3248" s="8"/>
      <c r="Q3248" s="11"/>
      <c r="R3248" s="11"/>
      <c r="S3248" s="8">
        <v>6.85</v>
      </c>
      <c r="T3248" s="8"/>
      <c r="U3248" s="8">
        <v>21.85</v>
      </c>
      <c r="V3248" s="8"/>
      <c r="W3248" s="8"/>
      <c r="X3248" s="8"/>
      <c r="Y3248" s="8"/>
      <c r="Z3248" s="8"/>
      <c r="AA3248" s="8"/>
      <c r="AB3248" s="8"/>
      <c r="AC3248" s="8">
        <v>5.82</v>
      </c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11"/>
      <c r="AQ3248" s="8"/>
      <c r="AR3248" s="8"/>
      <c r="AS3248" s="8"/>
      <c r="AT3248" s="8">
        <v>965.27</v>
      </c>
      <c r="AU3248" s="8"/>
      <c r="AV3248" s="8"/>
      <c r="AW3248" s="8"/>
      <c r="AX3248" s="8"/>
      <c r="AY3248" s="8"/>
      <c r="AZ3248" s="8"/>
      <c r="BA3248" s="8"/>
      <c r="BB3248" s="8"/>
      <c r="BC3248" s="8"/>
      <c r="BD3248" s="8">
        <v>3.64</v>
      </c>
      <c r="BE3248" s="8">
        <f>1366*9.7/1000</f>
        <v>13.2502</v>
      </c>
      <c r="BF3248" s="8">
        <v>101.98</v>
      </c>
      <c r="BG3248" s="8">
        <v>75.45</v>
      </c>
      <c r="BH3248" s="9">
        <f t="shared" si="450"/>
        <v>1455.4099999999999</v>
      </c>
      <c r="BI3248" s="9">
        <f t="shared" si="451"/>
        <v>4.2300000000000004</v>
      </c>
      <c r="BJ3248" s="9">
        <f t="shared" si="452"/>
        <v>6.85</v>
      </c>
      <c r="BK3248" s="9">
        <f t="shared" si="453"/>
        <v>21.85</v>
      </c>
      <c r="BL3248" s="9">
        <f t="shared" si="454"/>
        <v>0</v>
      </c>
      <c r="BM3248" s="9">
        <f t="shared" si="455"/>
        <v>5.82</v>
      </c>
      <c r="BN3248" s="9">
        <f t="shared" si="456"/>
        <v>965.27</v>
      </c>
      <c r="BO3248" s="9">
        <f t="shared" si="457"/>
        <v>16.8902</v>
      </c>
      <c r="BP3248" s="9">
        <f t="shared" si="458"/>
        <v>101.98</v>
      </c>
    </row>
    <row r="3249" spans="1:68">
      <c r="A3249" s="6">
        <v>45133</v>
      </c>
      <c r="B3249" s="7">
        <v>3106</v>
      </c>
      <c r="C3249" s="8">
        <v>8187.16</v>
      </c>
      <c r="D3249" s="8"/>
      <c r="E3249" s="8"/>
      <c r="F3249" s="8"/>
      <c r="G3249" s="8"/>
      <c r="H3249" s="8"/>
      <c r="I3249" s="8"/>
      <c r="J3249" s="8"/>
      <c r="K3249" s="8"/>
      <c r="L3249" s="8"/>
      <c r="M3249" s="8">
        <v>20.96</v>
      </c>
      <c r="N3249" s="8"/>
      <c r="O3249" s="8"/>
      <c r="P3249" s="8"/>
      <c r="Q3249" s="11"/>
      <c r="R3249" s="11"/>
      <c r="S3249" s="8">
        <v>24.6</v>
      </c>
      <c r="T3249" s="8"/>
      <c r="U3249" s="8">
        <v>104.06</v>
      </c>
      <c r="V3249" s="8"/>
      <c r="W3249" s="8"/>
      <c r="X3249" s="8"/>
      <c r="Y3249" s="8"/>
      <c r="Z3249" s="8"/>
      <c r="AA3249" s="8"/>
      <c r="AB3249" s="8"/>
      <c r="AC3249" s="8">
        <v>20.47</v>
      </c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11"/>
      <c r="AQ3249" s="8"/>
      <c r="AR3249" s="8"/>
      <c r="AS3249" s="8"/>
      <c r="AT3249" s="8">
        <v>4665.33</v>
      </c>
      <c r="AU3249" s="8"/>
      <c r="AV3249" s="8"/>
      <c r="AW3249" s="8"/>
      <c r="AX3249" s="8">
        <v>10.24</v>
      </c>
      <c r="AY3249" s="8"/>
      <c r="AZ3249" s="8"/>
      <c r="BA3249" s="8"/>
      <c r="BB3249" s="8"/>
      <c r="BC3249" s="8"/>
      <c r="BD3249" s="8"/>
      <c r="BE3249" s="8"/>
      <c r="BF3249" s="8"/>
      <c r="BG3249" s="8">
        <v>352.33</v>
      </c>
      <c r="BH3249" s="9">
        <f t="shared" si="450"/>
        <v>8187.16</v>
      </c>
      <c r="BI3249" s="9">
        <f t="shared" si="451"/>
        <v>20.96</v>
      </c>
      <c r="BJ3249" s="9">
        <f t="shared" si="452"/>
        <v>24.6</v>
      </c>
      <c r="BK3249" s="9">
        <f t="shared" si="453"/>
        <v>104.06</v>
      </c>
      <c r="BL3249" s="9">
        <f t="shared" si="454"/>
        <v>0</v>
      </c>
      <c r="BM3249" s="9">
        <f t="shared" si="455"/>
        <v>20.47</v>
      </c>
      <c r="BN3249" s="9">
        <f t="shared" si="456"/>
        <v>4665.33</v>
      </c>
      <c r="BO3249" s="9">
        <f t="shared" si="457"/>
        <v>10.24</v>
      </c>
      <c r="BP3249" s="9">
        <f t="shared" si="458"/>
        <v>0</v>
      </c>
    </row>
    <row r="3250" spans="1:68">
      <c r="A3250" s="6">
        <v>45133</v>
      </c>
      <c r="B3250" s="7">
        <v>3408</v>
      </c>
      <c r="C3250" s="8">
        <f>124.94+1413.5+310.71</f>
        <v>1849.15</v>
      </c>
      <c r="D3250" s="8"/>
      <c r="E3250" s="8"/>
      <c r="F3250" s="8"/>
      <c r="G3250" s="8"/>
      <c r="H3250" s="8"/>
      <c r="I3250" s="8"/>
      <c r="J3250" s="8"/>
      <c r="K3250" s="8"/>
      <c r="L3250" s="8"/>
      <c r="M3250" s="8">
        <f>0.37+4.11+0.92</f>
        <v>5.4</v>
      </c>
      <c r="N3250" s="8"/>
      <c r="O3250" s="8"/>
      <c r="P3250" s="8"/>
      <c r="Q3250" s="11"/>
      <c r="R3250" s="11"/>
      <c r="S3250" s="8">
        <f>0.31+3.54+0.86</f>
        <v>4.71</v>
      </c>
      <c r="T3250" s="8"/>
      <c r="U3250" s="8"/>
      <c r="V3250" s="8"/>
      <c r="W3250" s="8"/>
      <c r="X3250" s="8">
        <f>991*18.53/1000</f>
        <v>18.363229999999998</v>
      </c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11"/>
      <c r="AQ3250" s="8"/>
      <c r="AR3250" s="8"/>
      <c r="AS3250" s="8"/>
      <c r="AT3250" s="8">
        <f>62.45+704.54+157.93</f>
        <v>924.92000000000007</v>
      </c>
      <c r="AU3250" s="8"/>
      <c r="AV3250" s="8"/>
      <c r="AW3250" s="8"/>
      <c r="AX3250" s="8"/>
      <c r="AY3250" s="8"/>
      <c r="AZ3250" s="8"/>
      <c r="BA3250" s="8">
        <f>0.56+6.33+1.39</f>
        <v>8.2800000000000011</v>
      </c>
      <c r="BB3250" s="8"/>
      <c r="BC3250" s="8"/>
      <c r="BD3250" s="8"/>
      <c r="BE3250" s="8"/>
      <c r="BF3250" s="8"/>
      <c r="BG3250" s="8">
        <f>4.27+47.95+10.65</f>
        <v>62.87</v>
      </c>
      <c r="BH3250" s="9">
        <f t="shared" si="450"/>
        <v>1849.15</v>
      </c>
      <c r="BI3250" s="9">
        <f t="shared" si="451"/>
        <v>5.4</v>
      </c>
      <c r="BJ3250" s="9">
        <f t="shared" si="452"/>
        <v>4.71</v>
      </c>
      <c r="BK3250" s="9">
        <f t="shared" si="453"/>
        <v>18.363229999999998</v>
      </c>
      <c r="BL3250" s="9">
        <f t="shared" si="454"/>
        <v>0</v>
      </c>
      <c r="BM3250" s="9">
        <f t="shared" si="455"/>
        <v>0</v>
      </c>
      <c r="BN3250" s="9">
        <f t="shared" si="456"/>
        <v>924.92000000000007</v>
      </c>
      <c r="BO3250" s="9">
        <f t="shared" si="457"/>
        <v>8.2800000000000011</v>
      </c>
      <c r="BP3250" s="9">
        <f t="shared" si="458"/>
        <v>0</v>
      </c>
    </row>
    <row r="3251" spans="1:68">
      <c r="A3251" s="6">
        <v>45133</v>
      </c>
      <c r="B3251" s="7">
        <v>3021</v>
      </c>
      <c r="C3251" s="8"/>
      <c r="D3251" s="8">
        <v>354.99</v>
      </c>
      <c r="E3251" s="8"/>
      <c r="F3251" s="8"/>
      <c r="G3251" s="8"/>
      <c r="H3251" s="8"/>
      <c r="I3251" s="8">
        <v>657.45</v>
      </c>
      <c r="J3251" s="8"/>
      <c r="K3251" s="8"/>
      <c r="L3251" s="8"/>
      <c r="M3251" s="8"/>
      <c r="N3251" s="8">
        <v>5.38</v>
      </c>
      <c r="O3251" s="8"/>
      <c r="P3251" s="8"/>
      <c r="Q3251" s="11"/>
      <c r="R3251" s="11"/>
      <c r="S3251" s="8">
        <v>1.82</v>
      </c>
      <c r="T3251" s="8"/>
      <c r="U3251" s="8"/>
      <c r="V3251" s="8"/>
      <c r="W3251" s="8">
        <v>10.17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>
        <v>10.09</v>
      </c>
      <c r="AN3251" s="8"/>
      <c r="AO3251" s="8"/>
      <c r="AP3251" s="11"/>
      <c r="AQ3251" s="8"/>
      <c r="AR3251" s="8"/>
      <c r="AS3251" s="8">
        <f>2686*9.68/1000</f>
        <v>26.00048</v>
      </c>
      <c r="AT3251" s="8">
        <v>479.39</v>
      </c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>
        <v>36</v>
      </c>
      <c r="BH3251" s="9">
        <f t="shared" si="450"/>
        <v>1012.44</v>
      </c>
      <c r="BI3251" s="9">
        <f t="shared" si="451"/>
        <v>5.38</v>
      </c>
      <c r="BJ3251" s="9">
        <f t="shared" si="452"/>
        <v>1.82</v>
      </c>
      <c r="BK3251" s="9">
        <f t="shared" si="453"/>
        <v>10.17</v>
      </c>
      <c r="BL3251" s="9">
        <f t="shared" si="454"/>
        <v>0</v>
      </c>
      <c r="BM3251" s="9">
        <f t="shared" si="455"/>
        <v>36.090479999999999</v>
      </c>
      <c r="BN3251" s="9">
        <f t="shared" si="456"/>
        <v>479.39</v>
      </c>
      <c r="BO3251" s="9">
        <f t="shared" si="457"/>
        <v>0</v>
      </c>
      <c r="BP3251" s="9">
        <f t="shared" si="458"/>
        <v>0</v>
      </c>
    </row>
    <row r="3252" spans="1:68">
      <c r="A3252" s="6">
        <v>45133</v>
      </c>
      <c r="B3252" s="7">
        <v>3027</v>
      </c>
      <c r="C3252" s="8"/>
      <c r="D3252" s="8">
        <v>983.62</v>
      </c>
      <c r="E3252" s="8"/>
      <c r="F3252" s="8"/>
      <c r="G3252" s="8"/>
      <c r="H3252" s="8"/>
      <c r="I3252" s="8">
        <v>814.65</v>
      </c>
      <c r="J3252" s="8"/>
      <c r="K3252" s="8"/>
      <c r="L3252" s="8"/>
      <c r="M3252" s="8"/>
      <c r="N3252" s="8">
        <v>10.18</v>
      </c>
      <c r="O3252" s="8"/>
      <c r="P3252" s="8"/>
      <c r="Q3252" s="11"/>
      <c r="R3252" s="11"/>
      <c r="S3252" s="8">
        <v>2.87</v>
      </c>
      <c r="T3252" s="8"/>
      <c r="U3252" s="8"/>
      <c r="V3252" s="8"/>
      <c r="W3252" s="8">
        <v>13.5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>
        <v>17.850000000000001</v>
      </c>
      <c r="AN3252" s="8">
        <f>1230*10.22/1000</f>
        <v>12.570600000000001</v>
      </c>
      <c r="AO3252" s="8"/>
      <c r="AP3252" s="11"/>
      <c r="AQ3252" s="8"/>
      <c r="AR3252" s="8"/>
      <c r="AS3252" s="8">
        <f>5772*10.22/1000</f>
        <v>58.989840000000001</v>
      </c>
      <c r="AT3252" s="8">
        <v>596.22</v>
      </c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>
        <v>42.24</v>
      </c>
      <c r="BH3252" s="9">
        <f t="shared" si="450"/>
        <v>1798.27</v>
      </c>
      <c r="BI3252" s="9">
        <f t="shared" si="451"/>
        <v>10.18</v>
      </c>
      <c r="BJ3252" s="9">
        <f t="shared" si="452"/>
        <v>2.87</v>
      </c>
      <c r="BK3252" s="9">
        <f t="shared" si="453"/>
        <v>13.5</v>
      </c>
      <c r="BL3252" s="9">
        <f t="shared" si="454"/>
        <v>0</v>
      </c>
      <c r="BM3252" s="9">
        <f t="shared" si="455"/>
        <v>89.410439999999994</v>
      </c>
      <c r="BN3252" s="9">
        <f t="shared" si="456"/>
        <v>596.22</v>
      </c>
      <c r="BO3252" s="9">
        <f t="shared" si="457"/>
        <v>0</v>
      </c>
      <c r="BP3252" s="9">
        <f t="shared" si="458"/>
        <v>0</v>
      </c>
    </row>
    <row r="3253" spans="1:68">
      <c r="A3253" s="6">
        <v>45133</v>
      </c>
      <c r="B3253" s="7">
        <v>3078</v>
      </c>
      <c r="C3253" s="8"/>
      <c r="D3253" s="8"/>
      <c r="E3253" s="8"/>
      <c r="F3253" s="8">
        <v>155.65</v>
      </c>
      <c r="G3253" s="8"/>
      <c r="H3253" s="8"/>
      <c r="I3253" s="8">
        <v>545.88</v>
      </c>
      <c r="J3253" s="8"/>
      <c r="K3253" s="8">
        <f>8040*9.75/1000</f>
        <v>78.39</v>
      </c>
      <c r="L3253" s="8"/>
      <c r="M3253" s="8"/>
      <c r="N3253" s="8">
        <v>6.16</v>
      </c>
      <c r="O3253" s="8"/>
      <c r="P3253" s="8"/>
      <c r="Q3253" s="11"/>
      <c r="R3253" s="11"/>
      <c r="S3253" s="8">
        <v>1.56</v>
      </c>
      <c r="T3253" s="8"/>
      <c r="U3253" s="8"/>
      <c r="V3253" s="8"/>
      <c r="W3253" s="8">
        <v>11.71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>
        <v>7.76</v>
      </c>
      <c r="AN3253" s="8"/>
      <c r="AO3253" s="8"/>
      <c r="AP3253" s="11"/>
      <c r="AQ3253" s="8"/>
      <c r="AR3253" s="8"/>
      <c r="AS3253" s="8">
        <f>2016*9.75/1000</f>
        <v>19.655999999999999</v>
      </c>
      <c r="AT3253" s="8">
        <v>375.17</v>
      </c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>
        <v>39.020000000000003</v>
      </c>
      <c r="BG3253" s="8">
        <v>26.51</v>
      </c>
      <c r="BH3253" s="9">
        <f t="shared" si="450"/>
        <v>779.92</v>
      </c>
      <c r="BI3253" s="9">
        <f t="shared" si="451"/>
        <v>6.16</v>
      </c>
      <c r="BJ3253" s="9">
        <f t="shared" si="452"/>
        <v>1.56</v>
      </c>
      <c r="BK3253" s="9">
        <f t="shared" si="453"/>
        <v>11.71</v>
      </c>
      <c r="BL3253" s="9">
        <f t="shared" si="454"/>
        <v>0</v>
      </c>
      <c r="BM3253" s="9">
        <f t="shared" si="455"/>
        <v>27.415999999999997</v>
      </c>
      <c r="BN3253" s="9">
        <f t="shared" si="456"/>
        <v>375.17</v>
      </c>
      <c r="BO3253" s="9">
        <f t="shared" si="457"/>
        <v>0</v>
      </c>
      <c r="BP3253" s="9">
        <f t="shared" si="458"/>
        <v>39.020000000000003</v>
      </c>
    </row>
    <row r="3254" spans="1:68">
      <c r="A3254" s="6">
        <v>45133</v>
      </c>
      <c r="B3254" s="7">
        <v>3016</v>
      </c>
      <c r="C3254" s="8"/>
      <c r="D3254" s="8">
        <v>2365.64</v>
      </c>
      <c r="E3254" s="8"/>
      <c r="F3254" s="8"/>
      <c r="G3254" s="8"/>
      <c r="H3254" s="8"/>
      <c r="I3254" s="8">
        <v>2182.4699999999998</v>
      </c>
      <c r="J3254" s="8"/>
      <c r="K3254" s="8"/>
      <c r="L3254" s="8"/>
      <c r="M3254" s="8"/>
      <c r="N3254" s="8">
        <v>28.19</v>
      </c>
      <c r="O3254" s="8"/>
      <c r="P3254" s="8"/>
      <c r="Q3254" s="11"/>
      <c r="R3254" s="11"/>
      <c r="S3254" s="8">
        <v>3.17</v>
      </c>
      <c r="T3254" s="8"/>
      <c r="U3254" s="8"/>
      <c r="V3254" s="8"/>
      <c r="W3254" s="8">
        <v>45.48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>
        <v>18.11</v>
      </c>
      <c r="AN3254" s="8">
        <f>2057*26.73/1000</f>
        <v>54.983609999999999</v>
      </c>
      <c r="AO3254" s="8"/>
      <c r="AP3254" s="11"/>
      <c r="AQ3254" s="8"/>
      <c r="AR3254" s="8">
        <f>4269*26.73/1000</f>
        <v>114.11036999999999</v>
      </c>
      <c r="AS3254" s="8"/>
      <c r="AT3254" s="8">
        <v>1686.6</v>
      </c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>
        <v>123.67</v>
      </c>
      <c r="BH3254" s="9">
        <f t="shared" si="450"/>
        <v>4548.1099999999997</v>
      </c>
      <c r="BI3254" s="9">
        <f t="shared" si="451"/>
        <v>28.19</v>
      </c>
      <c r="BJ3254" s="9">
        <f t="shared" si="452"/>
        <v>3.17</v>
      </c>
      <c r="BK3254" s="9">
        <f t="shared" si="453"/>
        <v>45.48</v>
      </c>
      <c r="BL3254" s="9">
        <f t="shared" si="454"/>
        <v>0</v>
      </c>
      <c r="BM3254" s="9">
        <f t="shared" si="455"/>
        <v>187.20398</v>
      </c>
      <c r="BN3254" s="9">
        <f t="shared" si="456"/>
        <v>1686.6</v>
      </c>
      <c r="BO3254" s="9">
        <f t="shared" si="457"/>
        <v>0</v>
      </c>
      <c r="BP3254" s="9">
        <f t="shared" si="458"/>
        <v>0</v>
      </c>
    </row>
    <row r="3255" spans="1:68">
      <c r="A3255" s="6">
        <v>45134</v>
      </c>
      <c r="B3255" s="7">
        <v>3307</v>
      </c>
      <c r="C3255" s="8"/>
      <c r="D3255" s="8">
        <v>998.67</v>
      </c>
      <c r="E3255" s="8"/>
      <c r="F3255" s="8"/>
      <c r="G3255" s="8"/>
      <c r="H3255" s="8"/>
      <c r="I3255" s="8"/>
      <c r="J3255" s="8"/>
      <c r="K3255" s="8"/>
      <c r="L3255" s="8"/>
      <c r="M3255" s="8">
        <v>0.89</v>
      </c>
      <c r="N3255" s="8"/>
      <c r="O3255" s="8"/>
      <c r="P3255" s="8"/>
      <c r="Q3255" s="11"/>
      <c r="R3255" s="11"/>
      <c r="S3255" s="8">
        <v>6.78</v>
      </c>
      <c r="T3255" s="8"/>
      <c r="U3255" s="8">
        <v>10</v>
      </c>
      <c r="V3255" s="8"/>
      <c r="W3255" s="8"/>
      <c r="X3255" s="8"/>
      <c r="Y3255" s="8"/>
      <c r="Z3255" s="8"/>
      <c r="AA3255" s="8"/>
      <c r="AB3255" s="8"/>
      <c r="AC3255" s="8">
        <v>5.99</v>
      </c>
      <c r="AD3255" s="8"/>
      <c r="AE3255" s="8"/>
      <c r="AF3255" s="8"/>
      <c r="AG3255" s="8">
        <v>10</v>
      </c>
      <c r="AH3255" s="8"/>
      <c r="AI3255" s="8"/>
      <c r="AJ3255" s="8"/>
      <c r="AK3255" s="8"/>
      <c r="AL3255" s="8"/>
      <c r="AM3255" s="8"/>
      <c r="AN3255" s="8"/>
      <c r="AO3255" s="8"/>
      <c r="AP3255" s="11"/>
      <c r="AQ3255" s="8"/>
      <c r="AR3255" s="8"/>
      <c r="AS3255" s="8"/>
      <c r="AT3255" s="8"/>
      <c r="AU3255" s="8">
        <v>500.31</v>
      </c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>
        <v>35.93</v>
      </c>
      <c r="BH3255" s="9">
        <f t="shared" si="450"/>
        <v>998.67</v>
      </c>
      <c r="BI3255" s="9">
        <f t="shared" si="451"/>
        <v>0.89</v>
      </c>
      <c r="BJ3255" s="9">
        <f t="shared" si="452"/>
        <v>6.78</v>
      </c>
      <c r="BK3255" s="9">
        <f t="shared" si="453"/>
        <v>10</v>
      </c>
      <c r="BL3255" s="9">
        <f t="shared" si="454"/>
        <v>0</v>
      </c>
      <c r="BM3255" s="9">
        <f t="shared" si="455"/>
        <v>15.99</v>
      </c>
      <c r="BN3255" s="9">
        <f t="shared" si="456"/>
        <v>500.31</v>
      </c>
      <c r="BO3255" s="9">
        <f t="shared" si="457"/>
        <v>0</v>
      </c>
      <c r="BP3255" s="9">
        <f t="shared" si="458"/>
        <v>0</v>
      </c>
    </row>
    <row r="3256" spans="1:68">
      <c r="A3256" s="6">
        <v>45134</v>
      </c>
      <c r="B3256" s="7">
        <v>3010</v>
      </c>
      <c r="C3256" s="8">
        <v>1174.32</v>
      </c>
      <c r="D3256" s="8">
        <v>781.93</v>
      </c>
      <c r="E3256" s="8"/>
      <c r="F3256" s="8"/>
      <c r="G3256" s="8"/>
      <c r="H3256" s="8"/>
      <c r="I3256" s="8"/>
      <c r="J3256" s="8"/>
      <c r="K3256" s="8"/>
      <c r="L3256" s="8"/>
      <c r="M3256" s="8"/>
      <c r="N3256" s="8">
        <v>3.91</v>
      </c>
      <c r="O3256" s="8"/>
      <c r="P3256" s="8"/>
      <c r="Q3256" s="11"/>
      <c r="R3256" s="11"/>
      <c r="S3256" s="8">
        <v>5.28</v>
      </c>
      <c r="T3256" s="8"/>
      <c r="U3256" s="8"/>
      <c r="V3256" s="8"/>
      <c r="W3256" s="8">
        <v>19.57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11"/>
      <c r="AQ3256" s="8"/>
      <c r="AR3256" s="8"/>
      <c r="AS3256" s="8"/>
      <c r="AT3256" s="8">
        <v>653.46</v>
      </c>
      <c r="AU3256" s="8"/>
      <c r="AV3256" s="8"/>
      <c r="AW3256" s="8">
        <v>21.72</v>
      </c>
      <c r="AX3256" s="8"/>
      <c r="AY3256" s="8"/>
      <c r="AZ3256" s="8"/>
      <c r="BA3256" s="8"/>
      <c r="BB3256" s="8"/>
      <c r="BC3256" s="8"/>
      <c r="BD3256" s="8"/>
      <c r="BE3256" s="8"/>
      <c r="BF3256" s="8"/>
      <c r="BG3256" s="8">
        <v>43.09</v>
      </c>
      <c r="BH3256" s="9">
        <f t="shared" si="450"/>
        <v>1956.25</v>
      </c>
      <c r="BI3256" s="9">
        <f t="shared" si="451"/>
        <v>3.91</v>
      </c>
      <c r="BJ3256" s="9">
        <f t="shared" si="452"/>
        <v>5.28</v>
      </c>
      <c r="BK3256" s="9">
        <f t="shared" si="453"/>
        <v>19.57</v>
      </c>
      <c r="BL3256" s="9">
        <f t="shared" si="454"/>
        <v>0</v>
      </c>
      <c r="BM3256" s="9">
        <f t="shared" si="455"/>
        <v>0</v>
      </c>
      <c r="BN3256" s="9">
        <f t="shared" si="456"/>
        <v>653.46</v>
      </c>
      <c r="BO3256" s="9">
        <f t="shared" si="457"/>
        <v>21.72</v>
      </c>
      <c r="BP3256" s="9">
        <f t="shared" si="458"/>
        <v>0</v>
      </c>
    </row>
    <row r="3257" spans="1:68">
      <c r="A3257" s="6">
        <v>45134</v>
      </c>
      <c r="B3257" s="7">
        <v>3200</v>
      </c>
      <c r="C3257" s="8">
        <v>2260.4499999999998</v>
      </c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>
        <v>5.66</v>
      </c>
      <c r="P3257" s="8"/>
      <c r="Q3257" s="11"/>
      <c r="R3257" s="11"/>
      <c r="S3257" s="8">
        <v>8.82</v>
      </c>
      <c r="T3257" s="8"/>
      <c r="U3257" s="8">
        <v>33.92</v>
      </c>
      <c r="V3257" s="8"/>
      <c r="W3257" s="8"/>
      <c r="X3257" s="8"/>
      <c r="Y3257" s="8"/>
      <c r="Z3257" s="8">
        <v>475.44</v>
      </c>
      <c r="AA3257" s="8"/>
      <c r="AB3257" s="8"/>
      <c r="AC3257" s="8"/>
      <c r="AD3257" s="8"/>
      <c r="AE3257" s="8"/>
      <c r="AF3257" s="8">
        <v>112.55</v>
      </c>
      <c r="AG3257" s="8"/>
      <c r="AH3257" s="8"/>
      <c r="AI3257" s="8"/>
      <c r="AJ3257" s="8"/>
      <c r="AK3257" s="8"/>
      <c r="AL3257" s="8"/>
      <c r="AM3257" s="8"/>
      <c r="AN3257" s="8"/>
      <c r="AO3257" s="8"/>
      <c r="AP3257" s="11"/>
      <c r="AQ3257" s="8">
        <f>1511*22.6/1000</f>
        <v>34.148600000000002</v>
      </c>
      <c r="AR3257" s="8"/>
      <c r="AS3257" s="8"/>
      <c r="AT3257" s="8">
        <v>1549.55</v>
      </c>
      <c r="AU3257" s="8"/>
      <c r="AV3257" s="8"/>
      <c r="AW3257" s="8">
        <v>6.63</v>
      </c>
      <c r="AX3257" s="8"/>
      <c r="AY3257" s="8"/>
      <c r="AZ3257" s="8"/>
      <c r="BA3257" s="8"/>
      <c r="BB3257" s="8"/>
      <c r="BC3257" s="8"/>
      <c r="BD3257" s="8"/>
      <c r="BE3257" s="8"/>
      <c r="BF3257" s="8"/>
      <c r="BG3257" s="8">
        <v>112.07</v>
      </c>
      <c r="BH3257" s="9">
        <f t="shared" si="450"/>
        <v>2260.4499999999998</v>
      </c>
      <c r="BI3257" s="9">
        <f t="shared" si="451"/>
        <v>5.66</v>
      </c>
      <c r="BJ3257" s="9">
        <f t="shared" si="452"/>
        <v>8.82</v>
      </c>
      <c r="BK3257" s="9">
        <f t="shared" si="453"/>
        <v>33.92</v>
      </c>
      <c r="BL3257" s="9">
        <f t="shared" si="454"/>
        <v>475.44</v>
      </c>
      <c r="BM3257" s="9">
        <f t="shared" si="455"/>
        <v>146.6986</v>
      </c>
      <c r="BN3257" s="9">
        <f t="shared" si="456"/>
        <v>1549.55</v>
      </c>
      <c r="BO3257" s="9">
        <f t="shared" si="457"/>
        <v>6.63</v>
      </c>
      <c r="BP3257" s="9">
        <f t="shared" si="458"/>
        <v>0</v>
      </c>
    </row>
    <row r="3258" spans="1:68">
      <c r="A3258" s="6">
        <v>45134</v>
      </c>
      <c r="B3258" s="7">
        <v>3141</v>
      </c>
      <c r="C3258" s="8">
        <v>3541.65</v>
      </c>
      <c r="D3258" s="8">
        <v>624.45000000000005</v>
      </c>
      <c r="E3258" s="8"/>
      <c r="F3258" s="8"/>
      <c r="G3258" s="8"/>
      <c r="H3258" s="8"/>
      <c r="I3258" s="8"/>
      <c r="J3258" s="8"/>
      <c r="K3258" s="8"/>
      <c r="L3258" s="8"/>
      <c r="M3258" s="8">
        <v>12.09</v>
      </c>
      <c r="N3258" s="8"/>
      <c r="O3258" s="8"/>
      <c r="P3258" s="8"/>
      <c r="Q3258" s="11"/>
      <c r="R3258" s="11"/>
      <c r="S3258" s="8">
        <v>19.600000000000001</v>
      </c>
      <c r="T3258" s="8"/>
      <c r="U3258" s="8">
        <v>62.53</v>
      </c>
      <c r="V3258" s="8"/>
      <c r="W3258" s="8"/>
      <c r="X3258" s="8"/>
      <c r="Y3258" s="8"/>
      <c r="Z3258" s="8"/>
      <c r="AA3258" s="8"/>
      <c r="AB3258" s="8"/>
      <c r="AC3258" s="8">
        <v>16.670000000000002</v>
      </c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11"/>
      <c r="AQ3258" s="8"/>
      <c r="AR3258" s="8"/>
      <c r="AS3258" s="8"/>
      <c r="AT3258" s="8">
        <v>2767.98</v>
      </c>
      <c r="AU3258" s="8"/>
      <c r="AV3258" s="8"/>
      <c r="AW3258" s="8"/>
      <c r="AX3258" s="8"/>
      <c r="AY3258" s="8"/>
      <c r="AZ3258" s="8"/>
      <c r="BA3258" s="8">
        <v>95.47</v>
      </c>
      <c r="BB3258" s="8"/>
      <c r="BC3258" s="8"/>
      <c r="BD3258" s="8"/>
      <c r="BE3258" s="8"/>
      <c r="BF3258" s="8">
        <v>291.64</v>
      </c>
      <c r="BG3258" s="8">
        <v>216.85</v>
      </c>
      <c r="BH3258" s="9">
        <f t="shared" si="450"/>
        <v>4166.1000000000004</v>
      </c>
      <c r="BI3258" s="9">
        <f t="shared" si="451"/>
        <v>12.09</v>
      </c>
      <c r="BJ3258" s="9">
        <f t="shared" si="452"/>
        <v>19.600000000000001</v>
      </c>
      <c r="BK3258" s="9">
        <f t="shared" si="453"/>
        <v>62.53</v>
      </c>
      <c r="BL3258" s="9">
        <f t="shared" si="454"/>
        <v>0</v>
      </c>
      <c r="BM3258" s="9">
        <f t="shared" si="455"/>
        <v>16.670000000000002</v>
      </c>
      <c r="BN3258" s="9">
        <f t="shared" si="456"/>
        <v>2767.98</v>
      </c>
      <c r="BO3258" s="9">
        <f t="shared" si="457"/>
        <v>95.47</v>
      </c>
      <c r="BP3258" s="9">
        <f t="shared" si="458"/>
        <v>291.64</v>
      </c>
    </row>
    <row r="3259" spans="1:68">
      <c r="A3259" s="6">
        <v>45134</v>
      </c>
      <c r="B3259" s="7">
        <v>3083</v>
      </c>
      <c r="C3259" s="8"/>
      <c r="D3259" s="8">
        <v>1101.97</v>
      </c>
      <c r="E3259" s="8"/>
      <c r="F3259" s="8"/>
      <c r="G3259" s="8"/>
      <c r="H3259" s="8"/>
      <c r="I3259" s="8">
        <v>2575.58</v>
      </c>
      <c r="J3259" s="8"/>
      <c r="K3259" s="8"/>
      <c r="L3259" s="8"/>
      <c r="M3259" s="8"/>
      <c r="N3259" s="8">
        <v>23.93</v>
      </c>
      <c r="O3259" s="8"/>
      <c r="P3259" s="8"/>
      <c r="Q3259" s="11"/>
      <c r="R3259" s="11"/>
      <c r="S3259" s="8">
        <v>2.57</v>
      </c>
      <c r="T3259" s="8"/>
      <c r="U3259" s="8"/>
      <c r="V3259" s="8"/>
      <c r="W3259" s="8">
        <v>29.45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>
        <v>14.59</v>
      </c>
      <c r="AN3259" s="8">
        <f>1918*27.25/1000</f>
        <v>52.265500000000003</v>
      </c>
      <c r="AO3259" s="8"/>
      <c r="AP3259" s="11"/>
      <c r="AQ3259" s="8"/>
      <c r="AR3259" s="8">
        <f>3453*27.25/1000</f>
        <v>94.094250000000002</v>
      </c>
      <c r="AS3259" s="8"/>
      <c r="AT3259" s="8">
        <v>1731.63</v>
      </c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>
        <v>137.34</v>
      </c>
      <c r="BH3259" s="9">
        <f t="shared" si="450"/>
        <v>3677.55</v>
      </c>
      <c r="BI3259" s="9">
        <f t="shared" si="451"/>
        <v>23.93</v>
      </c>
      <c r="BJ3259" s="9">
        <f t="shared" si="452"/>
        <v>2.57</v>
      </c>
      <c r="BK3259" s="9">
        <f t="shared" si="453"/>
        <v>29.45</v>
      </c>
      <c r="BL3259" s="9">
        <f t="shared" si="454"/>
        <v>0</v>
      </c>
      <c r="BM3259" s="9">
        <f t="shared" si="455"/>
        <v>160.94974999999999</v>
      </c>
      <c r="BN3259" s="9">
        <f t="shared" si="456"/>
        <v>1731.63</v>
      </c>
      <c r="BO3259" s="9">
        <f t="shared" si="457"/>
        <v>0</v>
      </c>
      <c r="BP3259" s="9">
        <f t="shared" si="458"/>
        <v>0</v>
      </c>
    </row>
    <row r="3260" spans="1:68">
      <c r="A3260" s="6">
        <v>45134</v>
      </c>
      <c r="B3260" s="7">
        <v>3704</v>
      </c>
      <c r="C3260" s="8">
        <v>653.66999999999996</v>
      </c>
      <c r="D3260" s="8">
        <v>981.06</v>
      </c>
      <c r="E3260" s="8"/>
      <c r="F3260" s="8"/>
      <c r="G3260" s="8"/>
      <c r="H3260" s="8"/>
      <c r="I3260" s="8"/>
      <c r="J3260" s="8"/>
      <c r="K3260" s="8"/>
      <c r="L3260" s="8"/>
      <c r="M3260" s="8">
        <v>4.9000000000000004</v>
      </c>
      <c r="N3260" s="8"/>
      <c r="O3260" s="8"/>
      <c r="P3260" s="8"/>
      <c r="Q3260" s="11"/>
      <c r="R3260" s="11"/>
      <c r="S3260" s="8">
        <v>5.71</v>
      </c>
      <c r="T3260" s="8"/>
      <c r="U3260" s="8">
        <v>12.25</v>
      </c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>
        <v>19.52</v>
      </c>
      <c r="AN3260" s="8"/>
      <c r="AO3260" s="8"/>
      <c r="AP3260" s="11"/>
      <c r="AQ3260" s="8"/>
      <c r="AR3260" s="8"/>
      <c r="AS3260" s="8"/>
      <c r="AT3260" s="8">
        <v>284.87</v>
      </c>
      <c r="AU3260" s="8">
        <v>141.97</v>
      </c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>
        <v>26.02</v>
      </c>
      <c r="BH3260" s="9">
        <f t="shared" si="450"/>
        <v>1634.73</v>
      </c>
      <c r="BI3260" s="9">
        <f t="shared" si="451"/>
        <v>4.9000000000000004</v>
      </c>
      <c r="BJ3260" s="9">
        <f t="shared" si="452"/>
        <v>5.71</v>
      </c>
      <c r="BK3260" s="9">
        <f t="shared" si="453"/>
        <v>12.25</v>
      </c>
      <c r="BL3260" s="9">
        <f t="shared" si="454"/>
        <v>0</v>
      </c>
      <c r="BM3260" s="9">
        <f t="shared" si="455"/>
        <v>19.52</v>
      </c>
      <c r="BN3260" s="9">
        <f t="shared" si="456"/>
        <v>426.84000000000003</v>
      </c>
      <c r="BO3260" s="9">
        <f t="shared" si="457"/>
        <v>0</v>
      </c>
      <c r="BP3260" s="9">
        <f t="shared" si="458"/>
        <v>0</v>
      </c>
    </row>
    <row r="3261" spans="1:68">
      <c r="A3261" s="6">
        <v>45135</v>
      </c>
      <c r="B3261" s="7">
        <v>3601</v>
      </c>
      <c r="C3261" s="8">
        <v>298.83999999999997</v>
      </c>
      <c r="D3261" s="8"/>
      <c r="E3261" s="8"/>
      <c r="F3261" s="8"/>
      <c r="G3261" s="8">
        <v>447.87</v>
      </c>
      <c r="H3261" s="8"/>
      <c r="I3261" s="8"/>
      <c r="J3261" s="8"/>
      <c r="K3261" s="8"/>
      <c r="L3261" s="8"/>
      <c r="M3261" s="8">
        <v>0.88</v>
      </c>
      <c r="N3261" s="8"/>
      <c r="O3261" s="8"/>
      <c r="P3261" s="8"/>
      <c r="Q3261" s="11"/>
      <c r="R3261" s="11"/>
      <c r="S3261" s="8">
        <v>3.58</v>
      </c>
      <c r="T3261" s="8"/>
      <c r="U3261" s="8">
        <v>4.4800000000000004</v>
      </c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11"/>
      <c r="AQ3261" s="8"/>
      <c r="AR3261" s="8"/>
      <c r="AS3261" s="8"/>
      <c r="AT3261" s="8">
        <v>366.4</v>
      </c>
      <c r="AU3261" s="8"/>
      <c r="AV3261" s="8"/>
      <c r="AW3261" s="8">
        <v>22.72</v>
      </c>
      <c r="AX3261" s="8"/>
      <c r="AY3261" s="8"/>
      <c r="AZ3261" s="8"/>
      <c r="BA3261" s="8"/>
      <c r="BB3261" s="8"/>
      <c r="BC3261" s="8"/>
      <c r="BD3261" s="8"/>
      <c r="BE3261" s="8"/>
      <c r="BF3261" s="8">
        <v>41.86</v>
      </c>
      <c r="BG3261" s="8">
        <v>26.65</v>
      </c>
      <c r="BH3261" s="9">
        <f t="shared" si="450"/>
        <v>746.71</v>
      </c>
      <c r="BI3261" s="9">
        <f t="shared" si="451"/>
        <v>0.88</v>
      </c>
      <c r="BJ3261" s="9">
        <f t="shared" si="452"/>
        <v>3.58</v>
      </c>
      <c r="BK3261" s="9">
        <f t="shared" si="453"/>
        <v>4.4800000000000004</v>
      </c>
      <c r="BL3261" s="9">
        <f t="shared" si="454"/>
        <v>0</v>
      </c>
      <c r="BM3261" s="9">
        <f t="shared" si="455"/>
        <v>0</v>
      </c>
      <c r="BN3261" s="9">
        <f t="shared" si="456"/>
        <v>366.4</v>
      </c>
      <c r="BO3261" s="9">
        <f t="shared" si="457"/>
        <v>22.72</v>
      </c>
      <c r="BP3261" s="9">
        <f t="shared" si="458"/>
        <v>41.86</v>
      </c>
    </row>
    <row r="3262" spans="1:68">
      <c r="A3262" s="6">
        <v>45135</v>
      </c>
      <c r="B3262" s="7">
        <v>3117</v>
      </c>
      <c r="C3262" s="8">
        <v>813.35</v>
      </c>
      <c r="D3262" s="8"/>
      <c r="E3262" s="8"/>
      <c r="F3262" s="8"/>
      <c r="G3262" s="8"/>
      <c r="H3262" s="8"/>
      <c r="I3262" s="8"/>
      <c r="J3262" s="8"/>
      <c r="K3262" s="8"/>
      <c r="L3262" s="8"/>
      <c r="M3262" s="8">
        <v>2.37</v>
      </c>
      <c r="N3262" s="8"/>
      <c r="O3262" s="8"/>
      <c r="P3262" s="8"/>
      <c r="Q3262" s="11"/>
      <c r="R3262" s="11"/>
      <c r="S3262" s="8">
        <v>3.26</v>
      </c>
      <c r="T3262" s="8"/>
      <c r="U3262" s="8">
        <v>8.14</v>
      </c>
      <c r="V3262" s="8"/>
      <c r="W3262" s="8"/>
      <c r="X3262" s="8"/>
      <c r="Y3262" s="8"/>
      <c r="Z3262" s="8"/>
      <c r="AA3262" s="8"/>
      <c r="AB3262" s="8"/>
      <c r="AC3262" s="8">
        <v>3.26</v>
      </c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11"/>
      <c r="AQ3262" s="8"/>
      <c r="AR3262" s="8"/>
      <c r="AS3262" s="8"/>
      <c r="AT3262" s="8">
        <v>512.46</v>
      </c>
      <c r="AU3262" s="8"/>
      <c r="AV3262" s="8">
        <v>20.41</v>
      </c>
      <c r="AW3262" s="8"/>
      <c r="AX3262" s="8"/>
      <c r="AY3262" s="8"/>
      <c r="AZ3262" s="8"/>
      <c r="BA3262" s="8"/>
      <c r="BB3262" s="8"/>
      <c r="BC3262" s="8"/>
      <c r="BD3262" s="8"/>
      <c r="BE3262" s="8"/>
      <c r="BF3262" s="8">
        <v>40.67</v>
      </c>
      <c r="BG3262" s="8">
        <v>39.04</v>
      </c>
      <c r="BH3262" s="9">
        <f t="shared" si="450"/>
        <v>813.35</v>
      </c>
      <c r="BI3262" s="9">
        <f t="shared" si="451"/>
        <v>2.37</v>
      </c>
      <c r="BJ3262" s="9">
        <f t="shared" si="452"/>
        <v>3.26</v>
      </c>
      <c r="BK3262" s="9">
        <f t="shared" si="453"/>
        <v>8.14</v>
      </c>
      <c r="BL3262" s="9">
        <f t="shared" si="454"/>
        <v>0</v>
      </c>
      <c r="BM3262" s="9">
        <f t="shared" si="455"/>
        <v>3.26</v>
      </c>
      <c r="BN3262" s="9">
        <f t="shared" si="456"/>
        <v>512.46</v>
      </c>
      <c r="BO3262" s="9">
        <f t="shared" si="457"/>
        <v>20.41</v>
      </c>
      <c r="BP3262" s="9">
        <f t="shared" si="458"/>
        <v>40.67</v>
      </c>
    </row>
    <row r="3263" spans="1:68">
      <c r="A3263" s="6">
        <v>45135</v>
      </c>
      <c r="B3263" s="7">
        <v>3139</v>
      </c>
      <c r="C3263" s="8">
        <v>1816.07</v>
      </c>
      <c r="D3263" s="8"/>
      <c r="E3263" s="8"/>
      <c r="F3263" s="8"/>
      <c r="G3263" s="8"/>
      <c r="H3263" s="8">
        <v>755.44</v>
      </c>
      <c r="I3263" s="8"/>
      <c r="J3263" s="8"/>
      <c r="K3263" s="8"/>
      <c r="L3263" s="8"/>
      <c r="M3263" s="8">
        <v>4.22</v>
      </c>
      <c r="N3263" s="8"/>
      <c r="O3263" s="8"/>
      <c r="P3263" s="8"/>
      <c r="Q3263" s="11"/>
      <c r="R3263" s="11"/>
      <c r="S3263" s="8">
        <v>8.0299999999999994</v>
      </c>
      <c r="T3263" s="8"/>
      <c r="U3263" s="8">
        <v>26.84</v>
      </c>
      <c r="V3263" s="8"/>
      <c r="W3263" s="8"/>
      <c r="X3263" s="8"/>
      <c r="Y3263" s="8"/>
      <c r="Z3263" s="8"/>
      <c r="AA3263" s="8"/>
      <c r="AB3263" s="8"/>
      <c r="AC3263" s="8">
        <v>8.93</v>
      </c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11"/>
      <c r="AQ3263" s="8"/>
      <c r="AR3263" s="8"/>
      <c r="AS3263" s="8"/>
      <c r="AT3263" s="8">
        <v>1316.68</v>
      </c>
      <c r="AU3263" s="8"/>
      <c r="AV3263" s="8">
        <v>44.65</v>
      </c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>
        <v>96.06</v>
      </c>
      <c r="BH3263" s="9">
        <f t="shared" si="450"/>
        <v>2571.5100000000002</v>
      </c>
      <c r="BI3263" s="9">
        <f t="shared" si="451"/>
        <v>4.22</v>
      </c>
      <c r="BJ3263" s="9">
        <f t="shared" si="452"/>
        <v>8.0299999999999994</v>
      </c>
      <c r="BK3263" s="9">
        <f t="shared" si="453"/>
        <v>26.84</v>
      </c>
      <c r="BL3263" s="9">
        <f t="shared" si="454"/>
        <v>0</v>
      </c>
      <c r="BM3263" s="9">
        <f t="shared" si="455"/>
        <v>8.93</v>
      </c>
      <c r="BN3263" s="9">
        <f t="shared" si="456"/>
        <v>1316.68</v>
      </c>
      <c r="BO3263" s="9">
        <f t="shared" si="457"/>
        <v>44.65</v>
      </c>
      <c r="BP3263" s="9">
        <f t="shared" si="458"/>
        <v>0</v>
      </c>
    </row>
    <row r="3264" spans="1:68">
      <c r="A3264" s="6">
        <v>45135</v>
      </c>
      <c r="B3264" s="7">
        <v>3106</v>
      </c>
      <c r="C3264" s="8">
        <v>6078.52</v>
      </c>
      <c r="D3264" s="8"/>
      <c r="E3264" s="8"/>
      <c r="F3264" s="8"/>
      <c r="G3264" s="8"/>
      <c r="H3264" s="8"/>
      <c r="I3264" s="8"/>
      <c r="J3264" s="8"/>
      <c r="K3264" s="8"/>
      <c r="L3264" s="8"/>
      <c r="M3264" s="8">
        <v>15.42</v>
      </c>
      <c r="N3264" s="8"/>
      <c r="O3264" s="8"/>
      <c r="P3264" s="8"/>
      <c r="Q3264" s="11"/>
      <c r="R3264" s="11"/>
      <c r="S3264" s="8">
        <v>18.34</v>
      </c>
      <c r="T3264" s="8"/>
      <c r="U3264" s="8">
        <v>77.64</v>
      </c>
      <c r="V3264" s="8"/>
      <c r="W3264" s="8"/>
      <c r="X3264" s="8"/>
      <c r="Y3264" s="8"/>
      <c r="Z3264" s="8"/>
      <c r="AA3264" s="8"/>
      <c r="AB3264" s="8"/>
      <c r="AC3264" s="8">
        <v>15.26</v>
      </c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11"/>
      <c r="AQ3264" s="8"/>
      <c r="AR3264" s="8"/>
      <c r="AS3264" s="8"/>
      <c r="AT3264" s="8">
        <v>3467.26</v>
      </c>
      <c r="AU3264" s="8"/>
      <c r="AV3264" s="8"/>
      <c r="AW3264" s="8"/>
      <c r="AX3264" s="8">
        <v>7.64</v>
      </c>
      <c r="AY3264" s="8"/>
      <c r="AZ3264" s="8"/>
      <c r="BA3264" s="8"/>
      <c r="BB3264" s="8"/>
      <c r="BC3264" s="8"/>
      <c r="BD3264" s="8"/>
      <c r="BE3264" s="8"/>
      <c r="BF3264" s="8"/>
      <c r="BG3264" s="8">
        <v>261.95</v>
      </c>
      <c r="BH3264" s="9">
        <f t="shared" si="450"/>
        <v>6078.52</v>
      </c>
      <c r="BI3264" s="9">
        <f t="shared" si="451"/>
        <v>15.42</v>
      </c>
      <c r="BJ3264" s="9">
        <f t="shared" si="452"/>
        <v>18.34</v>
      </c>
      <c r="BK3264" s="9">
        <f t="shared" si="453"/>
        <v>77.64</v>
      </c>
      <c r="BL3264" s="9">
        <f t="shared" si="454"/>
        <v>0</v>
      </c>
      <c r="BM3264" s="9">
        <f t="shared" si="455"/>
        <v>15.26</v>
      </c>
      <c r="BN3264" s="9">
        <f t="shared" si="456"/>
        <v>3467.26</v>
      </c>
      <c r="BO3264" s="9">
        <f t="shared" si="457"/>
        <v>7.64</v>
      </c>
      <c r="BP3264" s="9">
        <f t="shared" si="458"/>
        <v>0</v>
      </c>
    </row>
    <row r="3265" spans="1:68">
      <c r="A3265" s="6">
        <v>45135</v>
      </c>
      <c r="B3265" s="7">
        <v>3145</v>
      </c>
      <c r="C3265" s="8">
        <v>1248.32</v>
      </c>
      <c r="D3265" s="8">
        <v>220.41</v>
      </c>
      <c r="E3265" s="8"/>
      <c r="F3265" s="8"/>
      <c r="G3265" s="8"/>
      <c r="H3265" s="8"/>
      <c r="I3265" s="8"/>
      <c r="J3265" s="8"/>
      <c r="K3265" s="8"/>
      <c r="L3265" s="8"/>
      <c r="M3265" s="8">
        <v>4.26</v>
      </c>
      <c r="N3265" s="8"/>
      <c r="O3265" s="8"/>
      <c r="P3265" s="8"/>
      <c r="Q3265" s="11"/>
      <c r="R3265" s="11"/>
      <c r="S3265" s="8">
        <v>6.91</v>
      </c>
      <c r="T3265" s="8"/>
      <c r="U3265" s="8">
        <v>22.05</v>
      </c>
      <c r="V3265" s="8"/>
      <c r="W3265" s="8"/>
      <c r="X3265" s="8"/>
      <c r="Y3265" s="8"/>
      <c r="Z3265" s="8"/>
      <c r="AA3265" s="8"/>
      <c r="AB3265" s="8"/>
      <c r="AC3265" s="8">
        <v>5.88</v>
      </c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11"/>
      <c r="AQ3265" s="8"/>
      <c r="AR3265" s="8"/>
      <c r="AS3265" s="8"/>
      <c r="AT3265" s="8">
        <v>961.12</v>
      </c>
      <c r="AU3265" s="8"/>
      <c r="AV3265" s="8"/>
      <c r="AW3265" s="8"/>
      <c r="AX3265" s="8"/>
      <c r="AY3265" s="8"/>
      <c r="AZ3265" s="8"/>
      <c r="BA3265" s="8"/>
      <c r="BB3265" s="8"/>
      <c r="BC3265" s="8"/>
      <c r="BD3265" s="8">
        <v>3.68</v>
      </c>
      <c r="BE3265" s="8">
        <f>1369*9.8/1000</f>
        <v>13.4162</v>
      </c>
      <c r="BF3265" s="8">
        <v>102.96</v>
      </c>
      <c r="BG3265" s="8">
        <v>76.31</v>
      </c>
      <c r="BH3265" s="9">
        <f t="shared" si="450"/>
        <v>1468.73</v>
      </c>
      <c r="BI3265" s="9">
        <f t="shared" si="451"/>
        <v>4.26</v>
      </c>
      <c r="BJ3265" s="9">
        <f t="shared" si="452"/>
        <v>6.91</v>
      </c>
      <c r="BK3265" s="9">
        <f t="shared" si="453"/>
        <v>22.05</v>
      </c>
      <c r="BL3265" s="9">
        <f t="shared" si="454"/>
        <v>0</v>
      </c>
      <c r="BM3265" s="9">
        <f t="shared" si="455"/>
        <v>5.88</v>
      </c>
      <c r="BN3265" s="9">
        <f t="shared" si="456"/>
        <v>961.12</v>
      </c>
      <c r="BO3265" s="9">
        <f t="shared" si="457"/>
        <v>17.0962</v>
      </c>
      <c r="BP3265" s="9">
        <f t="shared" si="458"/>
        <v>102.96</v>
      </c>
    </row>
    <row r="3266" spans="1:68">
      <c r="A3266" s="6">
        <v>45135</v>
      </c>
      <c r="B3266" s="7">
        <v>3141</v>
      </c>
      <c r="C3266" s="8">
        <v>1214.33</v>
      </c>
      <c r="D3266" s="8">
        <v>214.3</v>
      </c>
      <c r="E3266" s="8"/>
      <c r="F3266" s="8"/>
      <c r="G3266" s="8"/>
      <c r="H3266" s="8"/>
      <c r="I3266" s="8"/>
      <c r="J3266" s="8"/>
      <c r="K3266" s="8"/>
      <c r="L3266" s="8"/>
      <c r="M3266" s="8">
        <v>4.1500000000000004</v>
      </c>
      <c r="N3266" s="8"/>
      <c r="O3266" s="8"/>
      <c r="P3266" s="8"/>
      <c r="Q3266" s="11"/>
      <c r="R3266" s="11"/>
      <c r="S3266" s="8">
        <v>6.72</v>
      </c>
      <c r="T3266" s="8"/>
      <c r="U3266" s="8">
        <v>21.44</v>
      </c>
      <c r="V3266" s="8"/>
      <c r="W3266" s="8"/>
      <c r="X3266" s="8"/>
      <c r="Y3266" s="8"/>
      <c r="Z3266" s="8"/>
      <c r="AA3266" s="8"/>
      <c r="AB3266" s="8"/>
      <c r="AC3266" s="8">
        <v>5.72</v>
      </c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11"/>
      <c r="AQ3266" s="8"/>
      <c r="AR3266" s="8"/>
      <c r="AS3266" s="8"/>
      <c r="AT3266" s="8">
        <v>940.66</v>
      </c>
      <c r="AU3266" s="8"/>
      <c r="AV3266" s="8"/>
      <c r="AW3266" s="8"/>
      <c r="AX3266" s="8"/>
      <c r="AY3266" s="8"/>
      <c r="AZ3266" s="8"/>
      <c r="BA3266" s="8">
        <v>32.75</v>
      </c>
      <c r="BB3266" s="8"/>
      <c r="BC3266" s="8"/>
      <c r="BD3266" s="8"/>
      <c r="BE3266" s="8"/>
      <c r="BF3266" s="8">
        <v>100.05</v>
      </c>
      <c r="BG3266" s="8">
        <v>74.44</v>
      </c>
      <c r="BH3266" s="9">
        <f t="shared" si="450"/>
        <v>1428.6299999999999</v>
      </c>
      <c r="BI3266" s="9">
        <f t="shared" si="451"/>
        <v>4.1500000000000004</v>
      </c>
      <c r="BJ3266" s="9">
        <f t="shared" si="452"/>
        <v>6.72</v>
      </c>
      <c r="BK3266" s="9">
        <f t="shared" si="453"/>
        <v>21.44</v>
      </c>
      <c r="BL3266" s="9">
        <f t="shared" si="454"/>
        <v>0</v>
      </c>
      <c r="BM3266" s="9">
        <f t="shared" si="455"/>
        <v>5.72</v>
      </c>
      <c r="BN3266" s="9">
        <f t="shared" si="456"/>
        <v>940.66</v>
      </c>
      <c r="BO3266" s="9">
        <f t="shared" si="457"/>
        <v>32.75</v>
      </c>
      <c r="BP3266" s="9">
        <f t="shared" si="458"/>
        <v>100.05</v>
      </c>
    </row>
    <row r="3267" spans="1:68">
      <c r="A3267" s="6">
        <v>45135</v>
      </c>
      <c r="B3267" s="7">
        <v>3079</v>
      </c>
      <c r="C3267" s="8"/>
      <c r="D3267" s="8"/>
      <c r="E3267" s="8"/>
      <c r="F3267" s="8">
        <v>503.51</v>
      </c>
      <c r="G3267" s="8"/>
      <c r="H3267" s="8"/>
      <c r="I3267" s="8">
        <v>4073.03</v>
      </c>
      <c r="J3267" s="8"/>
      <c r="K3267" s="8"/>
      <c r="L3267" s="8"/>
      <c r="M3267" s="8"/>
      <c r="N3267" s="8">
        <v>33.409999999999997</v>
      </c>
      <c r="O3267" s="8"/>
      <c r="P3267" s="8"/>
      <c r="Q3267" s="11"/>
      <c r="R3267" s="11"/>
      <c r="S3267" s="8">
        <v>1.84</v>
      </c>
      <c r="T3267" s="8"/>
      <c r="U3267" s="8"/>
      <c r="V3267" s="8"/>
      <c r="W3267" s="8">
        <v>45.79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>
        <v>18.32</v>
      </c>
      <c r="AN3267" s="8">
        <f>1739*26.92/1000</f>
        <v>46.813880000000005</v>
      </c>
      <c r="AO3267" s="8"/>
      <c r="AP3267" s="11"/>
      <c r="AQ3267" s="8"/>
      <c r="AR3267" s="8">
        <f>4304*26.92/1000</f>
        <v>115.86368</v>
      </c>
      <c r="AS3267" s="8"/>
      <c r="AT3267" s="8">
        <v>1768.61</v>
      </c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>
        <v>128.28</v>
      </c>
      <c r="BH3267" s="9">
        <f t="shared" si="450"/>
        <v>4576.54</v>
      </c>
      <c r="BI3267" s="9">
        <f t="shared" si="451"/>
        <v>33.409999999999997</v>
      </c>
      <c r="BJ3267" s="9">
        <f t="shared" si="452"/>
        <v>1.84</v>
      </c>
      <c r="BK3267" s="9">
        <f t="shared" si="453"/>
        <v>45.79</v>
      </c>
      <c r="BL3267" s="9">
        <f t="shared" si="454"/>
        <v>0</v>
      </c>
      <c r="BM3267" s="9">
        <f t="shared" si="455"/>
        <v>180.99756000000002</v>
      </c>
      <c r="BN3267" s="9">
        <f t="shared" si="456"/>
        <v>1768.61</v>
      </c>
      <c r="BO3267" s="9">
        <f t="shared" si="457"/>
        <v>0</v>
      </c>
      <c r="BP3267" s="9">
        <f t="shared" si="458"/>
        <v>0</v>
      </c>
    </row>
    <row r="3268" spans="1:68">
      <c r="A3268" s="6">
        <v>45139</v>
      </c>
      <c r="B3268" s="7">
        <v>3106</v>
      </c>
      <c r="C3268" s="8">
        <v>12111.08</v>
      </c>
      <c r="D3268" s="8"/>
      <c r="E3268" s="8"/>
      <c r="F3268" s="8"/>
      <c r="G3268" s="8"/>
      <c r="H3268" s="8"/>
      <c r="I3268" s="8"/>
      <c r="J3268" s="8"/>
      <c r="K3268" s="8"/>
      <c r="L3268" s="8"/>
      <c r="M3268" s="8">
        <v>32.619999999999997</v>
      </c>
      <c r="N3268" s="8"/>
      <c r="O3268" s="8"/>
      <c r="P3268" s="8"/>
      <c r="Q3268" s="11"/>
      <c r="R3268" s="11"/>
      <c r="S3268" s="8">
        <v>36.36</v>
      </c>
      <c r="T3268" s="8"/>
      <c r="U3268" s="8">
        <v>153.91999999999999</v>
      </c>
      <c r="V3268" s="8"/>
      <c r="W3268" s="8"/>
      <c r="X3268" s="8"/>
      <c r="Y3268" s="8"/>
      <c r="Z3268" s="8"/>
      <c r="AA3268" s="8"/>
      <c r="AB3268" s="8"/>
      <c r="AC3268" s="8">
        <v>30.25</v>
      </c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11"/>
      <c r="AQ3268" s="8"/>
      <c r="AR3268" s="8"/>
      <c r="AS3268" s="8"/>
      <c r="AT3268" s="8">
        <v>6897.03</v>
      </c>
      <c r="AU3268" s="8"/>
      <c r="AV3268" s="8"/>
      <c r="AW3268" s="8"/>
      <c r="AX3268" s="8">
        <v>15.14</v>
      </c>
      <c r="AY3268" s="8"/>
      <c r="AZ3268" s="8"/>
      <c r="BA3268" s="8"/>
      <c r="BB3268" s="8"/>
      <c r="BC3268" s="8"/>
      <c r="BD3268" s="8"/>
      <c r="BE3268" s="8"/>
      <c r="BF3268" s="8"/>
      <c r="BG3268" s="8">
        <v>520.51</v>
      </c>
      <c r="BH3268" s="9">
        <f t="shared" ref="BH3268:BH3331" si="459">SUM(C3268:L3268)</f>
        <v>12111.08</v>
      </c>
      <c r="BI3268" s="9">
        <f t="shared" ref="BI3268:BI3331" si="460">SUM(M3268:R3268)</f>
        <v>32.619999999999997</v>
      </c>
      <c r="BJ3268" s="9">
        <f t="shared" ref="BJ3268:BJ3331" si="461">SUM(S3268)</f>
        <v>36.36</v>
      </c>
      <c r="BK3268" s="9">
        <f t="shared" ref="BK3268:BK3331" si="462">SUM(T3268:Y3268)</f>
        <v>153.91999999999999</v>
      </c>
      <c r="BL3268" s="9">
        <f t="shared" ref="BL3268:BL3331" si="463">SUM(Z3268:AA3268)</f>
        <v>0</v>
      </c>
      <c r="BM3268" s="9">
        <f t="shared" ref="BM3268:BM3331" si="464">SUM(AB3268:AS3268)</f>
        <v>30.25</v>
      </c>
      <c r="BN3268" s="9">
        <f t="shared" ref="BN3268:BN3331" si="465">SUM(AT3268:AU3268)</f>
        <v>6897.03</v>
      </c>
      <c r="BO3268" s="9">
        <f t="shared" ref="BO3268:BO3331" si="466">SUM(AV3268:BE3268)</f>
        <v>15.14</v>
      </c>
      <c r="BP3268" s="9">
        <f t="shared" ref="BP3268:BP3331" si="467">SUM(BF3268)</f>
        <v>0</v>
      </c>
    </row>
    <row r="3269" spans="1:68">
      <c r="A3269" s="6">
        <v>45139</v>
      </c>
      <c r="B3269" s="7">
        <v>3706</v>
      </c>
      <c r="C3269" s="8">
        <v>1500.53</v>
      </c>
      <c r="D3269" s="8">
        <v>1000.8</v>
      </c>
      <c r="E3269" s="8"/>
      <c r="F3269" s="8"/>
      <c r="G3269" s="8"/>
      <c r="H3269" s="8"/>
      <c r="I3269" s="8"/>
      <c r="J3269" s="8"/>
      <c r="K3269" s="8"/>
      <c r="L3269" s="8"/>
      <c r="M3269" s="8">
        <v>5.01</v>
      </c>
      <c r="N3269" s="8"/>
      <c r="O3269" s="8"/>
      <c r="P3269" s="8"/>
      <c r="Q3269" s="11"/>
      <c r="R3269" s="11"/>
      <c r="S3269" s="8">
        <v>14.72</v>
      </c>
      <c r="T3269" s="8"/>
      <c r="U3269" s="8">
        <v>20.03</v>
      </c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>
        <v>24.96</v>
      </c>
      <c r="AN3269" s="8"/>
      <c r="AO3269" s="8"/>
      <c r="AP3269" s="11"/>
      <c r="AQ3269" s="8"/>
      <c r="AR3269" s="8"/>
      <c r="AS3269" s="8"/>
      <c r="AT3269" s="8">
        <v>608.97</v>
      </c>
      <c r="AU3269" s="8">
        <v>305.10000000000002</v>
      </c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>
        <v>63.88</v>
      </c>
      <c r="BH3269" s="9">
        <f t="shared" si="459"/>
        <v>2501.33</v>
      </c>
      <c r="BI3269" s="9">
        <f t="shared" si="460"/>
        <v>5.01</v>
      </c>
      <c r="BJ3269" s="9">
        <f t="shared" si="461"/>
        <v>14.72</v>
      </c>
      <c r="BK3269" s="9">
        <f t="shared" si="462"/>
        <v>20.03</v>
      </c>
      <c r="BL3269" s="9">
        <f t="shared" si="463"/>
        <v>0</v>
      </c>
      <c r="BM3269" s="9">
        <f t="shared" si="464"/>
        <v>24.96</v>
      </c>
      <c r="BN3269" s="9">
        <f t="shared" si="465"/>
        <v>914.07</v>
      </c>
      <c r="BO3269" s="9">
        <f t="shared" si="466"/>
        <v>0</v>
      </c>
      <c r="BP3269" s="9">
        <f t="shared" si="467"/>
        <v>0</v>
      </c>
    </row>
    <row r="3270" spans="1:68">
      <c r="A3270" s="6">
        <v>45139</v>
      </c>
      <c r="B3270" s="7">
        <v>3016</v>
      </c>
      <c r="C3270" s="8"/>
      <c r="D3270" s="8">
        <v>2392.54</v>
      </c>
      <c r="E3270" s="8"/>
      <c r="F3270" s="8"/>
      <c r="G3270" s="8"/>
      <c r="H3270" s="8"/>
      <c r="I3270" s="8">
        <v>2202.7800000000002</v>
      </c>
      <c r="J3270" s="8"/>
      <c r="K3270" s="8"/>
      <c r="L3270" s="8"/>
      <c r="M3270" s="8"/>
      <c r="N3270" s="8">
        <v>28.51</v>
      </c>
      <c r="O3270" s="8"/>
      <c r="P3270" s="8"/>
      <c r="Q3270" s="11"/>
      <c r="R3270" s="11"/>
      <c r="S3270" s="8">
        <v>3.23</v>
      </c>
      <c r="T3270" s="8"/>
      <c r="U3270" s="8"/>
      <c r="V3270" s="8"/>
      <c r="W3270" s="8">
        <v>45.99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>
        <v>18.27</v>
      </c>
      <c r="AN3270" s="8">
        <f>2059*27.05/1000</f>
        <v>55.695950000000003</v>
      </c>
      <c r="AO3270" s="8"/>
      <c r="AP3270" s="11"/>
      <c r="AQ3270" s="8"/>
      <c r="AR3270" s="8">
        <f>4284*27.05/1000</f>
        <v>115.8822</v>
      </c>
      <c r="AS3270" s="8"/>
      <c r="AT3270" s="8">
        <v>1707.64</v>
      </c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>
        <v>125.18</v>
      </c>
      <c r="BH3270" s="9">
        <f t="shared" si="459"/>
        <v>4595.32</v>
      </c>
      <c r="BI3270" s="9">
        <f t="shared" si="460"/>
        <v>28.51</v>
      </c>
      <c r="BJ3270" s="9">
        <f t="shared" si="461"/>
        <v>3.23</v>
      </c>
      <c r="BK3270" s="9">
        <f t="shared" si="462"/>
        <v>45.99</v>
      </c>
      <c r="BL3270" s="9">
        <f t="shared" si="463"/>
        <v>0</v>
      </c>
      <c r="BM3270" s="9">
        <f t="shared" si="464"/>
        <v>189.84815</v>
      </c>
      <c r="BN3270" s="9">
        <f t="shared" si="465"/>
        <v>1707.64</v>
      </c>
      <c r="BO3270" s="9">
        <f t="shared" si="466"/>
        <v>0</v>
      </c>
      <c r="BP3270" s="9">
        <f t="shared" si="467"/>
        <v>0</v>
      </c>
    </row>
    <row r="3271" spans="1:68">
      <c r="A3271" s="6">
        <v>45139</v>
      </c>
      <c r="B3271" s="7">
        <v>3009</v>
      </c>
      <c r="C3271" s="8"/>
      <c r="D3271" s="8">
        <v>384.58</v>
      </c>
      <c r="E3271" s="8"/>
      <c r="F3271" s="8">
        <v>215.66</v>
      </c>
      <c r="G3271" s="8"/>
      <c r="H3271" s="8"/>
      <c r="I3271" s="8">
        <v>200.84</v>
      </c>
      <c r="J3271" s="8"/>
      <c r="K3271" s="8"/>
      <c r="L3271" s="8"/>
      <c r="M3271" s="8"/>
      <c r="N3271" s="8">
        <v>5.75</v>
      </c>
      <c r="O3271" s="8"/>
      <c r="P3271" s="8"/>
      <c r="Q3271" s="11"/>
      <c r="R3271" s="11"/>
      <c r="S3271" s="8">
        <v>0.48</v>
      </c>
      <c r="T3271" s="8"/>
      <c r="U3271" s="8"/>
      <c r="V3271" s="8"/>
      <c r="W3271" s="8">
        <v>6.49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>
        <v>2.8</v>
      </c>
      <c r="AN3271" s="8">
        <f>1517*5.32/1000</f>
        <v>8.0704400000000014</v>
      </c>
      <c r="AO3271" s="8"/>
      <c r="AP3271" s="11"/>
      <c r="AQ3271" s="8"/>
      <c r="AR3271" s="8">
        <f>5260*5.32/1000</f>
        <v>27.9832</v>
      </c>
      <c r="AS3271" s="8"/>
      <c r="AT3271" s="8">
        <v>300.66000000000003</v>
      </c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>
        <v>22.02</v>
      </c>
      <c r="BH3271" s="9">
        <f t="shared" si="459"/>
        <v>801.08</v>
      </c>
      <c r="BI3271" s="9">
        <f t="shared" si="460"/>
        <v>5.75</v>
      </c>
      <c r="BJ3271" s="9">
        <f t="shared" si="461"/>
        <v>0.48</v>
      </c>
      <c r="BK3271" s="9">
        <f t="shared" si="462"/>
        <v>6.49</v>
      </c>
      <c r="BL3271" s="9">
        <f t="shared" si="463"/>
        <v>0</v>
      </c>
      <c r="BM3271" s="9">
        <f t="shared" si="464"/>
        <v>38.853639999999999</v>
      </c>
      <c r="BN3271" s="9">
        <f t="shared" si="465"/>
        <v>300.66000000000003</v>
      </c>
      <c r="BO3271" s="9">
        <f t="shared" si="466"/>
        <v>0</v>
      </c>
      <c r="BP3271" s="9">
        <f t="shared" si="467"/>
        <v>0</v>
      </c>
    </row>
    <row r="3272" spans="1:68">
      <c r="A3272" s="6">
        <v>45139</v>
      </c>
      <c r="B3272" s="7">
        <v>3200</v>
      </c>
      <c r="C3272" s="8">
        <v>2282.5700000000002</v>
      </c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>
        <v>5.72</v>
      </c>
      <c r="P3272" s="8"/>
      <c r="Q3272" s="11"/>
      <c r="R3272" s="11"/>
      <c r="S3272" s="8">
        <v>8.91</v>
      </c>
      <c r="T3272" s="8"/>
      <c r="U3272" s="8">
        <v>34.299999999999997</v>
      </c>
      <c r="V3272" s="8"/>
      <c r="W3272" s="8"/>
      <c r="X3272" s="8"/>
      <c r="Y3272" s="8"/>
      <c r="Z3272" s="8">
        <v>480.05</v>
      </c>
      <c r="AA3272" s="8"/>
      <c r="AB3272" s="8"/>
      <c r="AC3272" s="8"/>
      <c r="AD3272" s="8"/>
      <c r="AE3272" s="8"/>
      <c r="AF3272" s="8">
        <v>113.37</v>
      </c>
      <c r="AG3272" s="8"/>
      <c r="AH3272" s="8"/>
      <c r="AI3272" s="8"/>
      <c r="AJ3272" s="8"/>
      <c r="AK3272" s="8"/>
      <c r="AL3272" s="8"/>
      <c r="AM3272" s="8"/>
      <c r="AN3272" s="8"/>
      <c r="AO3272" s="8"/>
      <c r="AP3272" s="11"/>
      <c r="AQ3272" s="8">
        <f>1526*22.85/1000</f>
        <v>34.869099999999996</v>
      </c>
      <c r="AR3272" s="8"/>
      <c r="AS3272" s="8"/>
      <c r="AT3272" s="8">
        <v>1563.66</v>
      </c>
      <c r="AU3272" s="8"/>
      <c r="AV3272" s="8"/>
      <c r="AW3272" s="8">
        <v>6.52</v>
      </c>
      <c r="AX3272" s="8"/>
      <c r="AY3272" s="8"/>
      <c r="AZ3272" s="8"/>
      <c r="BA3272" s="8"/>
      <c r="BB3272" s="8"/>
      <c r="BC3272" s="8"/>
      <c r="BD3272" s="8"/>
      <c r="BE3272" s="8"/>
      <c r="BF3272" s="8">
        <v>109.73</v>
      </c>
      <c r="BG3272" s="8">
        <v>113.57</v>
      </c>
      <c r="BH3272" s="9">
        <f t="shared" si="459"/>
        <v>2282.5700000000002</v>
      </c>
      <c r="BI3272" s="9">
        <f t="shared" si="460"/>
        <v>5.72</v>
      </c>
      <c r="BJ3272" s="9">
        <f t="shared" si="461"/>
        <v>8.91</v>
      </c>
      <c r="BK3272" s="9">
        <f t="shared" si="462"/>
        <v>34.299999999999997</v>
      </c>
      <c r="BL3272" s="9">
        <f t="shared" si="463"/>
        <v>480.05</v>
      </c>
      <c r="BM3272" s="9">
        <f t="shared" si="464"/>
        <v>148.23910000000001</v>
      </c>
      <c r="BN3272" s="9">
        <f t="shared" si="465"/>
        <v>1563.66</v>
      </c>
      <c r="BO3272" s="9">
        <f t="shared" si="466"/>
        <v>6.52</v>
      </c>
      <c r="BP3272" s="9">
        <f t="shared" si="467"/>
        <v>109.73</v>
      </c>
    </row>
    <row r="3273" spans="1:68">
      <c r="A3273" s="6">
        <v>45139</v>
      </c>
      <c r="B3273" s="7">
        <v>3601</v>
      </c>
      <c r="C3273" s="8">
        <v>300.98</v>
      </c>
      <c r="D3273" s="8"/>
      <c r="E3273" s="8"/>
      <c r="F3273" s="8"/>
      <c r="G3273" s="8">
        <v>450.7</v>
      </c>
      <c r="H3273" s="8"/>
      <c r="I3273" s="8"/>
      <c r="J3273" s="8"/>
      <c r="K3273" s="8"/>
      <c r="L3273" s="8"/>
      <c r="M3273" s="8">
        <v>0.91</v>
      </c>
      <c r="N3273" s="8"/>
      <c r="O3273" s="8"/>
      <c r="P3273" s="8"/>
      <c r="Q3273" s="11"/>
      <c r="R3273" s="11"/>
      <c r="S3273" s="8">
        <v>3.6</v>
      </c>
      <c r="T3273" s="8"/>
      <c r="U3273" s="8">
        <v>4.5</v>
      </c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11"/>
      <c r="AQ3273" s="8"/>
      <c r="AR3273" s="8"/>
      <c r="AS3273" s="8"/>
      <c r="AT3273" s="8">
        <v>368.11</v>
      </c>
      <c r="AU3273" s="8"/>
      <c r="AV3273" s="8"/>
      <c r="AW3273" s="8">
        <v>22.82</v>
      </c>
      <c r="AX3273" s="8"/>
      <c r="AY3273" s="8"/>
      <c r="AZ3273" s="8"/>
      <c r="BA3273" s="8"/>
      <c r="BB3273" s="8"/>
      <c r="BC3273" s="8"/>
      <c r="BD3273" s="8"/>
      <c r="BE3273" s="8"/>
      <c r="BF3273" s="8">
        <v>42.06</v>
      </c>
      <c r="BG3273" s="8">
        <v>26.62</v>
      </c>
      <c r="BH3273" s="9">
        <f t="shared" si="459"/>
        <v>751.68000000000006</v>
      </c>
      <c r="BI3273" s="9">
        <f t="shared" si="460"/>
        <v>0.91</v>
      </c>
      <c r="BJ3273" s="9">
        <f t="shared" si="461"/>
        <v>3.6</v>
      </c>
      <c r="BK3273" s="9">
        <f t="shared" si="462"/>
        <v>4.5</v>
      </c>
      <c r="BL3273" s="9">
        <f t="shared" si="463"/>
        <v>0</v>
      </c>
      <c r="BM3273" s="9">
        <f t="shared" si="464"/>
        <v>0</v>
      </c>
      <c r="BN3273" s="9">
        <f t="shared" si="465"/>
        <v>368.11</v>
      </c>
      <c r="BO3273" s="9">
        <f t="shared" si="466"/>
        <v>22.82</v>
      </c>
      <c r="BP3273" s="9">
        <f t="shared" si="467"/>
        <v>42.06</v>
      </c>
    </row>
    <row r="3274" spans="1:68">
      <c r="A3274" s="6">
        <v>45139</v>
      </c>
      <c r="B3274" s="7">
        <v>3602</v>
      </c>
      <c r="C3274" s="8">
        <v>287.42</v>
      </c>
      <c r="D3274" s="8"/>
      <c r="E3274" s="8"/>
      <c r="F3274" s="8"/>
      <c r="G3274" s="8">
        <v>431.09</v>
      </c>
      <c r="H3274" s="8"/>
      <c r="I3274" s="8"/>
      <c r="J3274" s="8"/>
      <c r="K3274" s="8"/>
      <c r="L3274" s="8"/>
      <c r="M3274" s="8">
        <v>0.76</v>
      </c>
      <c r="N3274" s="8"/>
      <c r="O3274" s="8"/>
      <c r="P3274" s="8"/>
      <c r="Q3274" s="11"/>
      <c r="R3274" s="11"/>
      <c r="S3274" s="8">
        <v>3.45</v>
      </c>
      <c r="T3274" s="8"/>
      <c r="U3274" s="8">
        <v>5.75</v>
      </c>
      <c r="V3274" s="8">
        <f>859*8.22/1000</f>
        <v>7.0609800000000007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11"/>
      <c r="AQ3274" s="8"/>
      <c r="AR3274" s="8"/>
      <c r="AS3274" s="8"/>
      <c r="AT3274" s="8">
        <v>289.95999999999998</v>
      </c>
      <c r="AU3274" s="8"/>
      <c r="AV3274" s="8"/>
      <c r="AW3274" s="8">
        <v>18.579999999999998</v>
      </c>
      <c r="AX3274" s="8"/>
      <c r="AY3274" s="8"/>
      <c r="AZ3274" s="8"/>
      <c r="BA3274" s="8"/>
      <c r="BB3274" s="8"/>
      <c r="BC3274" s="8"/>
      <c r="BD3274" s="8"/>
      <c r="BE3274" s="8"/>
      <c r="BF3274" s="8">
        <v>23.06</v>
      </c>
      <c r="BG3274" s="8">
        <v>21.52</v>
      </c>
      <c r="BH3274" s="9">
        <f t="shared" si="459"/>
        <v>718.51</v>
      </c>
      <c r="BI3274" s="9">
        <f t="shared" si="460"/>
        <v>0.76</v>
      </c>
      <c r="BJ3274" s="9">
        <f t="shared" si="461"/>
        <v>3.45</v>
      </c>
      <c r="BK3274" s="9">
        <f t="shared" si="462"/>
        <v>12.810980000000001</v>
      </c>
      <c r="BL3274" s="9">
        <f t="shared" si="463"/>
        <v>0</v>
      </c>
      <c r="BM3274" s="9">
        <f t="shared" si="464"/>
        <v>0</v>
      </c>
      <c r="BN3274" s="9">
        <f t="shared" si="465"/>
        <v>289.95999999999998</v>
      </c>
      <c r="BO3274" s="9">
        <f t="shared" si="466"/>
        <v>18.579999999999998</v>
      </c>
      <c r="BP3274" s="9">
        <f t="shared" si="467"/>
        <v>23.06</v>
      </c>
    </row>
    <row r="3275" spans="1:68">
      <c r="A3275" s="6">
        <v>45140</v>
      </c>
      <c r="B3275" s="7">
        <v>3028</v>
      </c>
      <c r="C3275" s="8"/>
      <c r="D3275" s="8">
        <f>904.16+274.22</f>
        <v>1178.3800000000001</v>
      </c>
      <c r="E3275" s="8"/>
      <c r="F3275" s="8">
        <f>830.96+252.89</f>
        <v>1083.8499999999999</v>
      </c>
      <c r="G3275" s="8"/>
      <c r="H3275" s="8"/>
      <c r="I3275" s="8">
        <f>1878.65+571.89</f>
        <v>2450.54</v>
      </c>
      <c r="J3275" s="8"/>
      <c r="K3275" s="8"/>
      <c r="L3275" s="8"/>
      <c r="M3275" s="8"/>
      <c r="N3275" s="8">
        <f>27.84+8.44</f>
        <v>36.28</v>
      </c>
      <c r="O3275" s="8"/>
      <c r="P3275" s="8"/>
      <c r="Q3275" s="11"/>
      <c r="R3275" s="11"/>
      <c r="S3275" s="8">
        <f>5.06+1.53</f>
        <v>6.59</v>
      </c>
      <c r="T3275" s="8"/>
      <c r="U3275" s="8"/>
      <c r="V3275" s="8"/>
      <c r="W3275" s="8">
        <f>27.13+8.24</f>
        <v>35.369999999999997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>
        <f>36.06+10.95</f>
        <v>47.010000000000005</v>
      </c>
      <c r="AN3275" s="8">
        <f>1072*31.41/1000</f>
        <v>33.671519999999994</v>
      </c>
      <c r="AO3275" s="8"/>
      <c r="AP3275" s="11"/>
      <c r="AQ3275" s="8"/>
      <c r="AR3275" s="8"/>
      <c r="AS3275" s="8">
        <f>4962*31.41/1000</f>
        <v>155.85642000000001</v>
      </c>
      <c r="AT3275" s="8">
        <f>1205.92+366.39</f>
        <v>1572.31</v>
      </c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>
        <f>82.34+25.03</f>
        <v>107.37</v>
      </c>
      <c r="BH3275" s="9">
        <f t="shared" si="459"/>
        <v>4712.7700000000004</v>
      </c>
      <c r="BI3275" s="9">
        <f t="shared" si="460"/>
        <v>36.28</v>
      </c>
      <c r="BJ3275" s="9">
        <f t="shared" si="461"/>
        <v>6.59</v>
      </c>
      <c r="BK3275" s="9">
        <f t="shared" si="462"/>
        <v>35.369999999999997</v>
      </c>
      <c r="BL3275" s="9">
        <f t="shared" si="463"/>
        <v>0</v>
      </c>
      <c r="BM3275" s="9">
        <f t="shared" si="464"/>
        <v>236.53794000000002</v>
      </c>
      <c r="BN3275" s="9">
        <f t="shared" si="465"/>
        <v>1572.31</v>
      </c>
      <c r="BO3275" s="9">
        <f t="shared" si="466"/>
        <v>0</v>
      </c>
      <c r="BP3275" s="9">
        <f t="shared" si="467"/>
        <v>0</v>
      </c>
    </row>
    <row r="3276" spans="1:68">
      <c r="A3276" s="6">
        <v>45140</v>
      </c>
      <c r="B3276" s="7">
        <v>3149</v>
      </c>
      <c r="C3276" s="8">
        <v>648.49</v>
      </c>
      <c r="D3276" s="8">
        <v>113.82</v>
      </c>
      <c r="E3276" s="8"/>
      <c r="F3276" s="8"/>
      <c r="G3276" s="8"/>
      <c r="H3276" s="8"/>
      <c r="I3276" s="8"/>
      <c r="J3276" s="8"/>
      <c r="K3276" s="8"/>
      <c r="L3276" s="8"/>
      <c r="M3276" s="8">
        <v>2.5099999999999998</v>
      </c>
      <c r="N3276" s="8"/>
      <c r="O3276" s="8"/>
      <c r="P3276" s="8"/>
      <c r="Q3276" s="11"/>
      <c r="R3276" s="11"/>
      <c r="S3276" s="8">
        <v>3.59</v>
      </c>
      <c r="T3276" s="8"/>
      <c r="U3276" s="8">
        <v>11.44</v>
      </c>
      <c r="V3276" s="8"/>
      <c r="W3276" s="8"/>
      <c r="X3276" s="8"/>
      <c r="Y3276" s="8"/>
      <c r="Z3276" s="8"/>
      <c r="AA3276" s="8"/>
      <c r="AB3276" s="8"/>
      <c r="AC3276" s="8">
        <v>3.05</v>
      </c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11"/>
      <c r="AQ3276" s="8"/>
      <c r="AR3276" s="8"/>
      <c r="AS3276" s="8"/>
      <c r="AT3276" s="8">
        <v>499.45</v>
      </c>
      <c r="AU3276" s="8"/>
      <c r="AV3276" s="8"/>
      <c r="AW3276" s="8">
        <v>24.64</v>
      </c>
      <c r="AX3276" s="8"/>
      <c r="AY3276" s="8"/>
      <c r="AZ3276" s="8"/>
      <c r="BA3276" s="8"/>
      <c r="BB3276" s="8"/>
      <c r="BC3276" s="8"/>
      <c r="BD3276" s="8"/>
      <c r="BE3276" s="8"/>
      <c r="BF3276" s="8">
        <v>53.42</v>
      </c>
      <c r="BG3276" s="8">
        <v>39.78</v>
      </c>
      <c r="BH3276" s="9">
        <f t="shared" si="459"/>
        <v>762.31</v>
      </c>
      <c r="BI3276" s="9">
        <f t="shared" si="460"/>
        <v>2.5099999999999998</v>
      </c>
      <c r="BJ3276" s="9">
        <f t="shared" si="461"/>
        <v>3.59</v>
      </c>
      <c r="BK3276" s="9">
        <f t="shared" si="462"/>
        <v>11.44</v>
      </c>
      <c r="BL3276" s="9">
        <f t="shared" si="463"/>
        <v>0</v>
      </c>
      <c r="BM3276" s="9">
        <f t="shared" si="464"/>
        <v>3.05</v>
      </c>
      <c r="BN3276" s="9">
        <f t="shared" si="465"/>
        <v>499.45</v>
      </c>
      <c r="BO3276" s="9">
        <f t="shared" si="466"/>
        <v>24.64</v>
      </c>
      <c r="BP3276" s="9">
        <f t="shared" si="467"/>
        <v>53.42</v>
      </c>
    </row>
    <row r="3277" spans="1:68">
      <c r="A3277" s="6">
        <v>45140</v>
      </c>
      <c r="B3277" s="7">
        <v>8301</v>
      </c>
      <c r="C3277" s="8">
        <v>1176.43</v>
      </c>
      <c r="D3277" s="8"/>
      <c r="E3277" s="8"/>
      <c r="F3277" s="8"/>
      <c r="G3277" s="8"/>
      <c r="H3277" s="8"/>
      <c r="I3277" s="8"/>
      <c r="J3277" s="8"/>
      <c r="K3277" s="8"/>
      <c r="L3277" s="8"/>
      <c r="M3277" s="8">
        <v>2.13</v>
      </c>
      <c r="N3277" s="8"/>
      <c r="O3277" s="8"/>
      <c r="P3277" s="8"/>
      <c r="Q3277" s="11"/>
      <c r="R3277" s="11"/>
      <c r="S3277" s="8">
        <v>4.24</v>
      </c>
      <c r="T3277" s="8"/>
      <c r="U3277" s="8">
        <v>13.8</v>
      </c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11"/>
      <c r="AQ3277" s="8"/>
      <c r="AR3277" s="8"/>
      <c r="AS3277" s="8"/>
      <c r="AT3277" s="8">
        <v>659.95</v>
      </c>
      <c r="AU3277" s="8"/>
      <c r="AV3277" s="8">
        <v>23.63</v>
      </c>
      <c r="AW3277" s="8"/>
      <c r="AX3277" s="8"/>
      <c r="AY3277" s="8"/>
      <c r="AZ3277" s="8"/>
      <c r="BA3277" s="8"/>
      <c r="BB3277" s="8"/>
      <c r="BC3277" s="8"/>
      <c r="BD3277" s="8"/>
      <c r="BE3277" s="8"/>
      <c r="BF3277" s="8">
        <v>29.45</v>
      </c>
      <c r="BG3277" s="8">
        <v>47.08</v>
      </c>
      <c r="BH3277" s="9">
        <f t="shared" si="459"/>
        <v>1176.43</v>
      </c>
      <c r="BI3277" s="9">
        <f t="shared" si="460"/>
        <v>2.13</v>
      </c>
      <c r="BJ3277" s="9">
        <f t="shared" si="461"/>
        <v>4.24</v>
      </c>
      <c r="BK3277" s="9">
        <f t="shared" si="462"/>
        <v>13.8</v>
      </c>
      <c r="BL3277" s="9">
        <f t="shared" si="463"/>
        <v>0</v>
      </c>
      <c r="BM3277" s="9">
        <f t="shared" si="464"/>
        <v>0</v>
      </c>
      <c r="BN3277" s="9">
        <f t="shared" si="465"/>
        <v>659.95</v>
      </c>
      <c r="BO3277" s="9">
        <f t="shared" si="466"/>
        <v>23.63</v>
      </c>
      <c r="BP3277" s="9">
        <f t="shared" si="467"/>
        <v>29.45</v>
      </c>
    </row>
    <row r="3278" spans="1:68">
      <c r="A3278" s="6">
        <v>45140</v>
      </c>
      <c r="B3278" s="7">
        <v>3701</v>
      </c>
      <c r="C3278" s="8">
        <v>372.74</v>
      </c>
      <c r="D3278" s="8"/>
      <c r="E3278" s="8"/>
      <c r="F3278" s="8"/>
      <c r="G3278" s="8"/>
      <c r="H3278" s="8"/>
      <c r="I3278" s="8"/>
      <c r="J3278" s="8">
        <f>48465*12.65/1000</f>
        <v>613.08225000000004</v>
      </c>
      <c r="K3278" s="8"/>
      <c r="L3278" s="8"/>
      <c r="M3278" s="8"/>
      <c r="N3278" s="8">
        <v>2.3199999999999998</v>
      </c>
      <c r="O3278" s="8"/>
      <c r="P3278" s="8"/>
      <c r="Q3278" s="11"/>
      <c r="R3278" s="11"/>
      <c r="S3278" s="8">
        <v>2.73</v>
      </c>
      <c r="T3278" s="8"/>
      <c r="U3278" s="8">
        <v>6.08</v>
      </c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>
        <v>20.260000000000002</v>
      </c>
      <c r="AH3278" s="8"/>
      <c r="AI3278" s="8"/>
      <c r="AJ3278" s="8">
        <f>2410*12.65/1000</f>
        <v>30.486499999999999</v>
      </c>
      <c r="AK3278" s="8"/>
      <c r="AL3278" s="8"/>
      <c r="AM3278" s="8"/>
      <c r="AN3278" s="8"/>
      <c r="AO3278" s="8"/>
      <c r="AP3278" s="11"/>
      <c r="AQ3278" s="8"/>
      <c r="AR3278" s="8"/>
      <c r="AS3278" s="8"/>
      <c r="AT3278" s="8"/>
      <c r="AU3278" s="8">
        <v>357.05</v>
      </c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>
        <v>24.4</v>
      </c>
      <c r="BH3278" s="9">
        <f t="shared" si="459"/>
        <v>985.82225000000005</v>
      </c>
      <c r="BI3278" s="9">
        <f t="shared" si="460"/>
        <v>2.3199999999999998</v>
      </c>
      <c r="BJ3278" s="9">
        <f t="shared" si="461"/>
        <v>2.73</v>
      </c>
      <c r="BK3278" s="9">
        <f t="shared" si="462"/>
        <v>6.08</v>
      </c>
      <c r="BL3278" s="9">
        <f t="shared" si="463"/>
        <v>0</v>
      </c>
      <c r="BM3278" s="9">
        <f t="shared" si="464"/>
        <v>50.746499999999997</v>
      </c>
      <c r="BN3278" s="9">
        <f t="shared" si="465"/>
        <v>357.05</v>
      </c>
      <c r="BO3278" s="9">
        <f t="shared" si="466"/>
        <v>0</v>
      </c>
      <c r="BP3278" s="9">
        <f t="shared" si="467"/>
        <v>0</v>
      </c>
    </row>
    <row r="3279" spans="1:68">
      <c r="A3279" s="6">
        <v>45140</v>
      </c>
      <c r="B3279" s="7">
        <v>3307</v>
      </c>
      <c r="C3279" s="8"/>
      <c r="D3279" s="8">
        <v>535.72</v>
      </c>
      <c r="E3279" s="8"/>
      <c r="F3279" s="8"/>
      <c r="G3279" s="8"/>
      <c r="H3279" s="8"/>
      <c r="I3279" s="8"/>
      <c r="J3279" s="8"/>
      <c r="K3279" s="8"/>
      <c r="L3279" s="8"/>
      <c r="M3279" s="8">
        <v>0.48</v>
      </c>
      <c r="N3279" s="8"/>
      <c r="O3279" s="8"/>
      <c r="P3279" s="8"/>
      <c r="Q3279" s="11"/>
      <c r="R3279" s="11"/>
      <c r="S3279" s="8">
        <v>3.54</v>
      </c>
      <c r="T3279" s="8"/>
      <c r="U3279" s="8">
        <v>5.39</v>
      </c>
      <c r="V3279" s="8"/>
      <c r="W3279" s="8"/>
      <c r="X3279" s="8"/>
      <c r="Y3279" s="8"/>
      <c r="Z3279" s="8"/>
      <c r="AA3279" s="8"/>
      <c r="AB3279" s="8"/>
      <c r="AC3279" s="8">
        <v>3.23</v>
      </c>
      <c r="AD3279" s="8"/>
      <c r="AE3279" s="8"/>
      <c r="AF3279" s="8"/>
      <c r="AG3279" s="8">
        <v>5.43</v>
      </c>
      <c r="AH3279" s="8"/>
      <c r="AI3279" s="8"/>
      <c r="AJ3279" s="8"/>
      <c r="AK3279" s="8"/>
      <c r="AL3279" s="8"/>
      <c r="AM3279" s="8"/>
      <c r="AN3279" s="8"/>
      <c r="AO3279" s="8"/>
      <c r="AP3279" s="11"/>
      <c r="AQ3279" s="8"/>
      <c r="AR3279" s="8"/>
      <c r="AS3279" s="8"/>
      <c r="AT3279" s="8"/>
      <c r="AU3279" s="8">
        <v>269.37</v>
      </c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>
        <v>19.309999999999999</v>
      </c>
      <c r="BH3279" s="9">
        <f t="shared" si="459"/>
        <v>535.72</v>
      </c>
      <c r="BI3279" s="9">
        <f t="shared" si="460"/>
        <v>0.48</v>
      </c>
      <c r="BJ3279" s="9">
        <f t="shared" si="461"/>
        <v>3.54</v>
      </c>
      <c r="BK3279" s="9">
        <f t="shared" si="462"/>
        <v>5.39</v>
      </c>
      <c r="BL3279" s="9">
        <f t="shared" si="463"/>
        <v>0</v>
      </c>
      <c r="BM3279" s="9">
        <f t="shared" si="464"/>
        <v>8.66</v>
      </c>
      <c r="BN3279" s="9">
        <f t="shared" si="465"/>
        <v>269.37</v>
      </c>
      <c r="BO3279" s="9">
        <f t="shared" si="466"/>
        <v>0</v>
      </c>
      <c r="BP3279" s="9">
        <f t="shared" si="467"/>
        <v>0</v>
      </c>
    </row>
    <row r="3280" spans="1:68">
      <c r="A3280" s="6">
        <v>45140</v>
      </c>
      <c r="B3280" s="7">
        <v>3113</v>
      </c>
      <c r="C3280" s="8">
        <v>3044.82</v>
      </c>
      <c r="D3280" s="8"/>
      <c r="E3280" s="8"/>
      <c r="F3280" s="8"/>
      <c r="G3280" s="8"/>
      <c r="H3280" s="8"/>
      <c r="I3280" s="8"/>
      <c r="J3280" s="8"/>
      <c r="K3280" s="8"/>
      <c r="L3280" s="8"/>
      <c r="M3280" s="8">
        <v>2.74</v>
      </c>
      <c r="N3280" s="8">
        <v>2.73</v>
      </c>
      <c r="O3280" s="8"/>
      <c r="P3280" s="8"/>
      <c r="Q3280" s="11"/>
      <c r="R3280" s="11"/>
      <c r="S3280" s="8">
        <v>9.18</v>
      </c>
      <c r="T3280" s="8"/>
      <c r="U3280" s="8">
        <v>30.62</v>
      </c>
      <c r="V3280" s="8"/>
      <c r="W3280" s="8"/>
      <c r="X3280" s="8"/>
      <c r="Y3280" s="8"/>
      <c r="Z3280" s="8"/>
      <c r="AA3280" s="8"/>
      <c r="AB3280" s="8"/>
      <c r="AC3280" s="8">
        <v>12.22</v>
      </c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11"/>
      <c r="AQ3280" s="8"/>
      <c r="AR3280" s="8"/>
      <c r="AS3280" s="8"/>
      <c r="AT3280" s="8">
        <v>1276.45</v>
      </c>
      <c r="AU3280" s="8"/>
      <c r="AV3280" s="8">
        <v>104</v>
      </c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>
        <v>92.21</v>
      </c>
      <c r="BH3280" s="9">
        <f t="shared" si="459"/>
        <v>3044.82</v>
      </c>
      <c r="BI3280" s="9">
        <f t="shared" si="460"/>
        <v>5.4700000000000006</v>
      </c>
      <c r="BJ3280" s="9">
        <f t="shared" si="461"/>
        <v>9.18</v>
      </c>
      <c r="BK3280" s="9">
        <f t="shared" si="462"/>
        <v>30.62</v>
      </c>
      <c r="BL3280" s="9">
        <f t="shared" si="463"/>
        <v>0</v>
      </c>
      <c r="BM3280" s="9">
        <f t="shared" si="464"/>
        <v>12.22</v>
      </c>
      <c r="BN3280" s="9">
        <f t="shared" si="465"/>
        <v>1276.45</v>
      </c>
      <c r="BO3280" s="9">
        <f t="shared" si="466"/>
        <v>104</v>
      </c>
      <c r="BP3280" s="9">
        <f t="shared" si="467"/>
        <v>0</v>
      </c>
    </row>
    <row r="3281" spans="1:68">
      <c r="A3281" s="6">
        <v>45140</v>
      </c>
      <c r="B3281" s="7">
        <v>3110</v>
      </c>
      <c r="C3281" s="8">
        <v>1234.5999999999999</v>
      </c>
      <c r="D3281" s="8"/>
      <c r="E3281" s="8"/>
      <c r="F3281" s="8"/>
      <c r="G3281" s="8"/>
      <c r="H3281" s="8"/>
      <c r="I3281" s="8"/>
      <c r="J3281" s="8"/>
      <c r="K3281" s="8"/>
      <c r="L3281" s="8"/>
      <c r="M3281" s="8">
        <v>2.4700000000000002</v>
      </c>
      <c r="N3281" s="8"/>
      <c r="O3281" s="8"/>
      <c r="P3281" s="8"/>
      <c r="Q3281" s="11"/>
      <c r="R3281" s="11"/>
      <c r="S3281" s="8">
        <v>4.2</v>
      </c>
      <c r="T3281" s="8"/>
      <c r="U3281" s="8">
        <v>12.36</v>
      </c>
      <c r="V3281" s="8"/>
      <c r="W3281" s="8"/>
      <c r="X3281" s="8"/>
      <c r="Y3281" s="8"/>
      <c r="Z3281" s="8"/>
      <c r="AA3281" s="8"/>
      <c r="AB3281" s="8"/>
      <c r="AC3281" s="8">
        <v>4.9400000000000004</v>
      </c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11"/>
      <c r="AQ3281" s="8"/>
      <c r="AR3281" s="8"/>
      <c r="AS3281" s="8"/>
      <c r="AT3281" s="8">
        <v>645.29</v>
      </c>
      <c r="AU3281" s="8"/>
      <c r="AV3281" s="8">
        <v>21</v>
      </c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>
        <v>47.59</v>
      </c>
      <c r="BH3281" s="9">
        <f t="shared" si="459"/>
        <v>1234.5999999999999</v>
      </c>
      <c r="BI3281" s="9">
        <f t="shared" si="460"/>
        <v>2.4700000000000002</v>
      </c>
      <c r="BJ3281" s="9">
        <f t="shared" si="461"/>
        <v>4.2</v>
      </c>
      <c r="BK3281" s="9">
        <f t="shared" si="462"/>
        <v>12.36</v>
      </c>
      <c r="BL3281" s="9">
        <f t="shared" si="463"/>
        <v>0</v>
      </c>
      <c r="BM3281" s="9">
        <f t="shared" si="464"/>
        <v>4.9400000000000004</v>
      </c>
      <c r="BN3281" s="9">
        <f t="shared" si="465"/>
        <v>645.29</v>
      </c>
      <c r="BO3281" s="9">
        <f t="shared" si="466"/>
        <v>21</v>
      </c>
      <c r="BP3281" s="9">
        <f t="shared" si="467"/>
        <v>0</v>
      </c>
    </row>
    <row r="3282" spans="1:68">
      <c r="A3282" s="6">
        <v>45140</v>
      </c>
      <c r="B3282" s="7">
        <v>3141</v>
      </c>
      <c r="C3282" s="8">
        <v>3536.83</v>
      </c>
      <c r="D3282" s="8">
        <v>623.09</v>
      </c>
      <c r="E3282" s="8"/>
      <c r="F3282" s="8"/>
      <c r="G3282" s="8"/>
      <c r="H3282" s="8"/>
      <c r="I3282" s="8"/>
      <c r="J3282" s="8"/>
      <c r="K3282" s="8"/>
      <c r="L3282" s="8"/>
      <c r="M3282" s="8">
        <v>11.95</v>
      </c>
      <c r="N3282" s="8"/>
      <c r="O3282" s="8"/>
      <c r="P3282" s="8"/>
      <c r="Q3282" s="11"/>
      <c r="R3282" s="11"/>
      <c r="S3282" s="8">
        <v>19.54</v>
      </c>
      <c r="T3282" s="8"/>
      <c r="U3282" s="8">
        <v>62.34</v>
      </c>
      <c r="V3282" s="8"/>
      <c r="W3282" s="8"/>
      <c r="X3282" s="8"/>
      <c r="Y3282" s="8"/>
      <c r="Z3282" s="8"/>
      <c r="AA3282" s="8"/>
      <c r="AB3282" s="8"/>
      <c r="AC3282" s="8">
        <v>16.649999999999999</v>
      </c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11"/>
      <c r="AQ3282" s="8"/>
      <c r="AR3282" s="8"/>
      <c r="AS3282" s="8"/>
      <c r="AT3282" s="8">
        <v>2734.09</v>
      </c>
      <c r="AU3282" s="8"/>
      <c r="AV3282" s="8"/>
      <c r="AW3282" s="8"/>
      <c r="AX3282" s="8"/>
      <c r="AY3282" s="8"/>
      <c r="AZ3282" s="8"/>
      <c r="BA3282" s="8">
        <v>95.16</v>
      </c>
      <c r="BB3282" s="8"/>
      <c r="BC3282" s="8"/>
      <c r="BD3282" s="8"/>
      <c r="BE3282" s="8"/>
      <c r="BF3282" s="8">
        <v>290.95999999999998</v>
      </c>
      <c r="BG3282" s="8">
        <v>216.56</v>
      </c>
      <c r="BH3282" s="9">
        <f t="shared" si="459"/>
        <v>4159.92</v>
      </c>
      <c r="BI3282" s="9">
        <f t="shared" si="460"/>
        <v>11.95</v>
      </c>
      <c r="BJ3282" s="9">
        <f t="shared" si="461"/>
        <v>19.54</v>
      </c>
      <c r="BK3282" s="9">
        <f t="shared" si="462"/>
        <v>62.34</v>
      </c>
      <c r="BL3282" s="9">
        <f t="shared" si="463"/>
        <v>0</v>
      </c>
      <c r="BM3282" s="9">
        <f t="shared" si="464"/>
        <v>16.649999999999999</v>
      </c>
      <c r="BN3282" s="9">
        <f t="shared" si="465"/>
        <v>2734.09</v>
      </c>
      <c r="BO3282" s="9">
        <f t="shared" si="466"/>
        <v>95.16</v>
      </c>
      <c r="BP3282" s="9">
        <f t="shared" si="467"/>
        <v>290.95999999999998</v>
      </c>
    </row>
    <row r="3283" spans="1:68">
      <c r="A3283" s="6">
        <v>45140</v>
      </c>
      <c r="B3283" s="7">
        <v>3502</v>
      </c>
      <c r="C3283" s="8">
        <v>377.36</v>
      </c>
      <c r="D3283" s="8">
        <v>252</v>
      </c>
      <c r="E3283" s="8"/>
      <c r="F3283" s="8"/>
      <c r="G3283" s="8"/>
      <c r="H3283" s="8"/>
      <c r="I3283" s="8"/>
      <c r="J3283" s="8"/>
      <c r="K3283" s="8"/>
      <c r="L3283" s="8"/>
      <c r="M3283" s="8">
        <v>0.94</v>
      </c>
      <c r="N3283" s="8">
        <v>0.94</v>
      </c>
      <c r="O3283" s="8"/>
      <c r="P3283" s="8"/>
      <c r="Q3283" s="11"/>
      <c r="R3283" s="11"/>
      <c r="S3283" s="8">
        <v>2.4</v>
      </c>
      <c r="T3283" s="8"/>
      <c r="U3283" s="8">
        <v>6.31</v>
      </c>
      <c r="V3283" s="8"/>
      <c r="W3283" s="8"/>
      <c r="X3283" s="8"/>
      <c r="Y3283" s="8"/>
      <c r="Z3283" s="8">
        <v>126.12</v>
      </c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11"/>
      <c r="AQ3283" s="8"/>
      <c r="AR3283" s="8"/>
      <c r="AS3283" s="8"/>
      <c r="AT3283" s="8">
        <v>260.51</v>
      </c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>
        <v>20.53</v>
      </c>
      <c r="BH3283" s="9">
        <f t="shared" si="459"/>
        <v>629.36</v>
      </c>
      <c r="BI3283" s="9">
        <f t="shared" si="460"/>
        <v>1.88</v>
      </c>
      <c r="BJ3283" s="9">
        <f t="shared" si="461"/>
        <v>2.4</v>
      </c>
      <c r="BK3283" s="9">
        <f t="shared" si="462"/>
        <v>6.31</v>
      </c>
      <c r="BL3283" s="9">
        <f t="shared" si="463"/>
        <v>126.12</v>
      </c>
      <c r="BM3283" s="9">
        <f t="shared" si="464"/>
        <v>0</v>
      </c>
      <c r="BN3283" s="9">
        <f t="shared" si="465"/>
        <v>260.51</v>
      </c>
      <c r="BO3283" s="9">
        <f t="shared" si="466"/>
        <v>0</v>
      </c>
      <c r="BP3283" s="9">
        <f t="shared" si="467"/>
        <v>0</v>
      </c>
    </row>
    <row r="3284" spans="1:68">
      <c r="A3284" s="6">
        <v>45140</v>
      </c>
      <c r="B3284" s="7">
        <v>3201</v>
      </c>
      <c r="C3284" s="8">
        <v>1166.74</v>
      </c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>
        <v>2.92</v>
      </c>
      <c r="P3284" s="8"/>
      <c r="Q3284" s="11"/>
      <c r="R3284" s="11"/>
      <c r="S3284" s="8">
        <v>4.43</v>
      </c>
      <c r="T3284" s="8"/>
      <c r="U3284" s="8">
        <v>17.5</v>
      </c>
      <c r="V3284" s="8"/>
      <c r="W3284" s="8"/>
      <c r="X3284" s="8"/>
      <c r="Y3284" s="8"/>
      <c r="Z3284" s="8">
        <v>245.22</v>
      </c>
      <c r="AA3284" s="8"/>
      <c r="AB3284" s="8"/>
      <c r="AC3284" s="8"/>
      <c r="AD3284" s="8"/>
      <c r="AE3284" s="8"/>
      <c r="AF3284" s="8">
        <v>58.44</v>
      </c>
      <c r="AG3284" s="8"/>
      <c r="AH3284" s="8"/>
      <c r="AI3284" s="8"/>
      <c r="AJ3284" s="8"/>
      <c r="AK3284" s="8"/>
      <c r="AL3284" s="8"/>
      <c r="AM3284" s="8"/>
      <c r="AN3284" s="8"/>
      <c r="AO3284" s="8"/>
      <c r="AP3284" s="11"/>
      <c r="AQ3284" s="8">
        <f>1511*11.67/1000</f>
        <v>17.633369999999999</v>
      </c>
      <c r="AR3284" s="8"/>
      <c r="AS3284" s="8"/>
      <c r="AT3284" s="8">
        <v>801.83</v>
      </c>
      <c r="AU3284" s="8"/>
      <c r="AV3284" s="8"/>
      <c r="AW3284" s="8"/>
      <c r="AX3284" s="8"/>
      <c r="AY3284" s="8"/>
      <c r="AZ3284" s="8"/>
      <c r="BA3284" s="8"/>
      <c r="BB3284" s="8"/>
      <c r="BC3284" s="8">
        <v>3.04</v>
      </c>
      <c r="BD3284" s="8"/>
      <c r="BE3284" s="8"/>
      <c r="BF3284" s="8">
        <v>56.07</v>
      </c>
      <c r="BG3284" s="8">
        <v>57.95</v>
      </c>
      <c r="BH3284" s="9">
        <f t="shared" si="459"/>
        <v>1166.74</v>
      </c>
      <c r="BI3284" s="9">
        <f t="shared" si="460"/>
        <v>2.92</v>
      </c>
      <c r="BJ3284" s="9">
        <f t="shared" si="461"/>
        <v>4.43</v>
      </c>
      <c r="BK3284" s="9">
        <f t="shared" si="462"/>
        <v>17.5</v>
      </c>
      <c r="BL3284" s="9">
        <f t="shared" si="463"/>
        <v>245.22</v>
      </c>
      <c r="BM3284" s="9">
        <f t="shared" si="464"/>
        <v>76.073369999999997</v>
      </c>
      <c r="BN3284" s="9">
        <f t="shared" si="465"/>
        <v>801.83</v>
      </c>
      <c r="BO3284" s="9">
        <f t="shared" si="466"/>
        <v>3.04</v>
      </c>
      <c r="BP3284" s="9">
        <f t="shared" si="467"/>
        <v>56.07</v>
      </c>
    </row>
    <row r="3285" spans="1:68">
      <c r="A3285" s="6">
        <v>45140</v>
      </c>
      <c r="B3285" s="7">
        <v>3020</v>
      </c>
      <c r="C3285" s="8"/>
      <c r="D3285" s="8">
        <v>102.11</v>
      </c>
      <c r="E3285" s="8"/>
      <c r="F3285" s="8"/>
      <c r="G3285" s="8"/>
      <c r="H3285" s="8"/>
      <c r="I3285" s="8">
        <v>576.9</v>
      </c>
      <c r="J3285" s="8"/>
      <c r="K3285" s="8"/>
      <c r="L3285" s="8"/>
      <c r="M3285" s="8"/>
      <c r="N3285" s="8">
        <v>4.1399999999999997</v>
      </c>
      <c r="O3285" s="8"/>
      <c r="P3285" s="8"/>
      <c r="Q3285" s="11"/>
      <c r="R3285" s="11"/>
      <c r="S3285" s="8">
        <v>1.22</v>
      </c>
      <c r="T3285" s="8"/>
      <c r="U3285" s="8"/>
      <c r="V3285" s="8"/>
      <c r="W3285" s="8">
        <v>6.79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>
        <v>6.76</v>
      </c>
      <c r="AN3285" s="8"/>
      <c r="AO3285" s="8"/>
      <c r="AP3285" s="11"/>
      <c r="AQ3285" s="8"/>
      <c r="AR3285" s="8"/>
      <c r="AS3285" s="8">
        <f>3029*5.65/1000</f>
        <v>17.113850000000003</v>
      </c>
      <c r="AT3285" s="8">
        <v>333.74</v>
      </c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>
        <v>24.42</v>
      </c>
      <c r="BH3285" s="9">
        <f t="shared" si="459"/>
        <v>679.01</v>
      </c>
      <c r="BI3285" s="9">
        <f t="shared" si="460"/>
        <v>4.1399999999999997</v>
      </c>
      <c r="BJ3285" s="9">
        <f t="shared" si="461"/>
        <v>1.22</v>
      </c>
      <c r="BK3285" s="9">
        <f t="shared" si="462"/>
        <v>6.79</v>
      </c>
      <c r="BL3285" s="9">
        <f t="shared" si="463"/>
        <v>0</v>
      </c>
      <c r="BM3285" s="9">
        <f t="shared" si="464"/>
        <v>23.873850000000004</v>
      </c>
      <c r="BN3285" s="9">
        <f t="shared" si="465"/>
        <v>333.74</v>
      </c>
      <c r="BO3285" s="9">
        <f t="shared" si="466"/>
        <v>0</v>
      </c>
      <c r="BP3285" s="9">
        <f t="shared" si="467"/>
        <v>0</v>
      </c>
    </row>
    <row r="3286" spans="1:68">
      <c r="A3286" s="6">
        <v>45140</v>
      </c>
      <c r="B3286" s="7">
        <v>3025</v>
      </c>
      <c r="C3286" s="8"/>
      <c r="D3286" s="8">
        <v>119.66</v>
      </c>
      <c r="E3286" s="8"/>
      <c r="F3286" s="8"/>
      <c r="G3286" s="8"/>
      <c r="H3286" s="8"/>
      <c r="I3286" s="8">
        <v>676.76</v>
      </c>
      <c r="J3286" s="8"/>
      <c r="K3286" s="8"/>
      <c r="L3286" s="8"/>
      <c r="M3286" s="8"/>
      <c r="N3286" s="8">
        <v>4.45</v>
      </c>
      <c r="O3286" s="8"/>
      <c r="P3286" s="8"/>
      <c r="Q3286" s="11"/>
      <c r="R3286" s="11"/>
      <c r="S3286" s="8">
        <v>1.27</v>
      </c>
      <c r="T3286" s="8"/>
      <c r="U3286" s="8"/>
      <c r="V3286" s="8"/>
      <c r="W3286" s="8">
        <v>7.16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>
        <v>7.95</v>
      </c>
      <c r="AN3286" s="8">
        <f>711*7.95/1000</f>
        <v>5.65245</v>
      </c>
      <c r="AO3286" s="8"/>
      <c r="AP3286" s="11"/>
      <c r="AQ3286" s="8"/>
      <c r="AR3286" s="8"/>
      <c r="AS3286" s="8">
        <f>3344*7.95/1000</f>
        <v>26.584799999999998</v>
      </c>
      <c r="AT3286" s="8">
        <v>275.66000000000003</v>
      </c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>
        <v>18.28</v>
      </c>
      <c r="BH3286" s="9">
        <f t="shared" si="459"/>
        <v>796.42</v>
      </c>
      <c r="BI3286" s="9">
        <f t="shared" si="460"/>
        <v>4.45</v>
      </c>
      <c r="BJ3286" s="9">
        <f t="shared" si="461"/>
        <v>1.27</v>
      </c>
      <c r="BK3286" s="9">
        <f t="shared" si="462"/>
        <v>7.16</v>
      </c>
      <c r="BL3286" s="9">
        <f t="shared" si="463"/>
        <v>0</v>
      </c>
      <c r="BM3286" s="9">
        <f t="shared" si="464"/>
        <v>40.187249999999999</v>
      </c>
      <c r="BN3286" s="9">
        <f t="shared" si="465"/>
        <v>275.66000000000003</v>
      </c>
      <c r="BO3286" s="9">
        <f t="shared" si="466"/>
        <v>0</v>
      </c>
      <c r="BP3286" s="9">
        <f t="shared" si="467"/>
        <v>0</v>
      </c>
    </row>
    <row r="3287" spans="1:68">
      <c r="A3287" s="6">
        <v>45141</v>
      </c>
      <c r="B3287" s="7">
        <v>3200</v>
      </c>
      <c r="C3287" s="8">
        <v>2228.77</v>
      </c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>
        <v>5.6</v>
      </c>
      <c r="P3287" s="8"/>
      <c r="Q3287" s="11"/>
      <c r="R3287" s="11"/>
      <c r="S3287" s="8">
        <v>8.7100000000000009</v>
      </c>
      <c r="T3287" s="8"/>
      <c r="U3287" s="8">
        <v>33.51</v>
      </c>
      <c r="V3287" s="8"/>
      <c r="W3287" s="8"/>
      <c r="X3287" s="8"/>
      <c r="Y3287" s="8"/>
      <c r="Z3287" s="8">
        <v>469.2</v>
      </c>
      <c r="AA3287" s="8"/>
      <c r="AB3287" s="8"/>
      <c r="AC3287" s="8"/>
      <c r="AD3287" s="8"/>
      <c r="AE3287" s="8"/>
      <c r="AF3287" s="8">
        <v>110.15</v>
      </c>
      <c r="AG3287" s="8"/>
      <c r="AH3287" s="8"/>
      <c r="AI3287" s="8"/>
      <c r="AJ3287" s="8"/>
      <c r="AK3287" s="8"/>
      <c r="AL3287" s="8"/>
      <c r="AM3287" s="8"/>
      <c r="AN3287" s="8"/>
      <c r="AO3287" s="8"/>
      <c r="AP3287" s="11"/>
      <c r="AQ3287" s="8">
        <f>1516*22.33/1000</f>
        <v>33.85228</v>
      </c>
      <c r="AR3287" s="8"/>
      <c r="AS3287" s="8"/>
      <c r="AT3287" s="8">
        <v>1526.94</v>
      </c>
      <c r="AU3287" s="8"/>
      <c r="AV3287" s="8"/>
      <c r="AW3287" s="8">
        <v>6.39</v>
      </c>
      <c r="AX3287" s="8"/>
      <c r="AY3287" s="8"/>
      <c r="AZ3287" s="8"/>
      <c r="BA3287" s="8"/>
      <c r="BB3287" s="8"/>
      <c r="BC3287" s="8"/>
      <c r="BD3287" s="8"/>
      <c r="BE3287" s="8"/>
      <c r="BF3287" s="8">
        <v>107.28</v>
      </c>
      <c r="BG3287" s="8">
        <v>111.01</v>
      </c>
      <c r="BH3287" s="9">
        <f t="shared" si="459"/>
        <v>2228.77</v>
      </c>
      <c r="BI3287" s="9">
        <f t="shared" si="460"/>
        <v>5.6</v>
      </c>
      <c r="BJ3287" s="9">
        <f t="shared" si="461"/>
        <v>8.7100000000000009</v>
      </c>
      <c r="BK3287" s="9">
        <f t="shared" si="462"/>
        <v>33.51</v>
      </c>
      <c r="BL3287" s="9">
        <f t="shared" si="463"/>
        <v>469.2</v>
      </c>
      <c r="BM3287" s="9">
        <f t="shared" si="464"/>
        <v>144.00228000000001</v>
      </c>
      <c r="BN3287" s="9">
        <f t="shared" si="465"/>
        <v>1526.94</v>
      </c>
      <c r="BO3287" s="9">
        <f t="shared" si="466"/>
        <v>6.39</v>
      </c>
      <c r="BP3287" s="9">
        <f t="shared" si="467"/>
        <v>107.28</v>
      </c>
    </row>
    <row r="3288" spans="1:68">
      <c r="A3288" s="6">
        <v>45141</v>
      </c>
      <c r="B3288" s="7">
        <v>3203</v>
      </c>
      <c r="C3288" s="8">
        <v>1781.48</v>
      </c>
      <c r="D3288" s="8"/>
      <c r="E3288" s="8">
        <v>766.91</v>
      </c>
      <c r="F3288" s="8"/>
      <c r="G3288" s="8"/>
      <c r="H3288" s="8"/>
      <c r="I3288" s="8"/>
      <c r="J3288" s="8"/>
      <c r="K3288" s="8"/>
      <c r="L3288" s="8"/>
      <c r="M3288" s="8"/>
      <c r="N3288" s="8"/>
      <c r="O3288" s="8">
        <v>7.64</v>
      </c>
      <c r="P3288" s="8"/>
      <c r="Q3288" s="11"/>
      <c r="R3288" s="11"/>
      <c r="S3288" s="8">
        <v>9.9600000000000009</v>
      </c>
      <c r="T3288" s="8"/>
      <c r="U3288" s="8">
        <v>31.61</v>
      </c>
      <c r="V3288" s="8"/>
      <c r="W3288" s="8"/>
      <c r="X3288" s="8"/>
      <c r="Y3288" s="8"/>
      <c r="Z3288" s="8">
        <v>401.67</v>
      </c>
      <c r="AA3288" s="8">
        <f>10447*30/1000</f>
        <v>313.41000000000003</v>
      </c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11"/>
      <c r="AQ3288" s="8"/>
      <c r="AR3288" s="8"/>
      <c r="AS3288" s="8"/>
      <c r="AT3288" s="8">
        <v>955.3</v>
      </c>
      <c r="AU3288" s="8">
        <v>478.32</v>
      </c>
      <c r="AV3288" s="8"/>
      <c r="AW3288" s="8"/>
      <c r="AX3288" s="8"/>
      <c r="AY3288" s="8"/>
      <c r="AZ3288" s="8"/>
      <c r="BA3288" s="8"/>
      <c r="BB3288" s="8"/>
      <c r="BC3288" s="8">
        <v>6.63</v>
      </c>
      <c r="BD3288" s="8"/>
      <c r="BE3288" s="8"/>
      <c r="BF3288" s="8"/>
      <c r="BG3288" s="8">
        <v>93.59</v>
      </c>
      <c r="BH3288" s="9">
        <f t="shared" si="459"/>
        <v>2548.39</v>
      </c>
      <c r="BI3288" s="9">
        <f t="shared" si="460"/>
        <v>7.64</v>
      </c>
      <c r="BJ3288" s="9">
        <f t="shared" si="461"/>
        <v>9.9600000000000009</v>
      </c>
      <c r="BK3288" s="9">
        <f t="shared" si="462"/>
        <v>31.61</v>
      </c>
      <c r="BL3288" s="9">
        <f t="shared" si="463"/>
        <v>715.08</v>
      </c>
      <c r="BM3288" s="9">
        <f t="shared" si="464"/>
        <v>0</v>
      </c>
      <c r="BN3288" s="9">
        <f t="shared" si="465"/>
        <v>1433.62</v>
      </c>
      <c r="BO3288" s="9">
        <f t="shared" si="466"/>
        <v>6.63</v>
      </c>
      <c r="BP3288" s="9">
        <f t="shared" si="467"/>
        <v>0</v>
      </c>
    </row>
    <row r="3289" spans="1:68">
      <c r="A3289" s="6">
        <v>45141</v>
      </c>
      <c r="B3289" s="7">
        <v>3409</v>
      </c>
      <c r="C3289" s="8">
        <v>784.09</v>
      </c>
      <c r="D3289" s="8"/>
      <c r="E3289" s="8"/>
      <c r="F3289" s="8"/>
      <c r="G3289" s="8"/>
      <c r="H3289" s="8"/>
      <c r="I3289" s="8"/>
      <c r="J3289" s="8"/>
      <c r="K3289" s="8"/>
      <c r="L3289" s="8"/>
      <c r="M3289" s="8">
        <v>2.36</v>
      </c>
      <c r="N3289" s="8"/>
      <c r="O3289" s="8"/>
      <c r="P3289" s="8"/>
      <c r="Q3289" s="11"/>
      <c r="R3289" s="11"/>
      <c r="S3289" s="8">
        <v>1.96</v>
      </c>
      <c r="T3289" s="8"/>
      <c r="U3289" s="8"/>
      <c r="V3289" s="8"/>
      <c r="W3289" s="8"/>
      <c r="X3289" s="8">
        <f>1019*7.85/1000</f>
        <v>7.9991499999999993</v>
      </c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11"/>
      <c r="AQ3289" s="8"/>
      <c r="AR3289" s="8"/>
      <c r="AS3289" s="8"/>
      <c r="AT3289" s="8">
        <v>401.91</v>
      </c>
      <c r="AU3289" s="8"/>
      <c r="AV3289" s="8">
        <v>23.58</v>
      </c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>
        <v>27.41</v>
      </c>
      <c r="BH3289" s="9">
        <f t="shared" si="459"/>
        <v>784.09</v>
      </c>
      <c r="BI3289" s="9">
        <f t="shared" si="460"/>
        <v>2.36</v>
      </c>
      <c r="BJ3289" s="9">
        <f t="shared" si="461"/>
        <v>1.96</v>
      </c>
      <c r="BK3289" s="9">
        <f t="shared" si="462"/>
        <v>7.9991499999999993</v>
      </c>
      <c r="BL3289" s="9">
        <f t="shared" si="463"/>
        <v>0</v>
      </c>
      <c r="BM3289" s="9">
        <f t="shared" si="464"/>
        <v>0</v>
      </c>
      <c r="BN3289" s="9">
        <f t="shared" si="465"/>
        <v>401.91</v>
      </c>
      <c r="BO3289" s="9">
        <f t="shared" si="466"/>
        <v>23.58</v>
      </c>
      <c r="BP3289" s="9">
        <f t="shared" si="467"/>
        <v>0</v>
      </c>
    </row>
    <row r="3290" spans="1:68">
      <c r="A3290" s="6">
        <v>45141</v>
      </c>
      <c r="B3290" s="7">
        <v>3703</v>
      </c>
      <c r="C3290" s="8">
        <v>531.99</v>
      </c>
      <c r="D3290" s="8">
        <v>354.55</v>
      </c>
      <c r="E3290" s="8"/>
      <c r="F3290" s="8"/>
      <c r="G3290" s="8"/>
      <c r="H3290" s="8"/>
      <c r="I3290" s="8"/>
      <c r="J3290" s="8"/>
      <c r="K3290" s="8"/>
      <c r="L3290" s="8"/>
      <c r="M3290" s="8">
        <v>1.77</v>
      </c>
      <c r="N3290" s="8"/>
      <c r="O3290" s="8"/>
      <c r="P3290" s="8"/>
      <c r="Q3290" s="11"/>
      <c r="R3290" s="11"/>
      <c r="S3290" s="8">
        <v>4.3499999999999996</v>
      </c>
      <c r="T3290" s="8"/>
      <c r="U3290" s="8">
        <v>7.1</v>
      </c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>
        <v>8.86</v>
      </c>
      <c r="AN3290" s="8"/>
      <c r="AO3290" s="8"/>
      <c r="AP3290" s="11"/>
      <c r="AQ3290" s="8"/>
      <c r="AR3290" s="8"/>
      <c r="AS3290" s="8"/>
      <c r="AT3290" s="8">
        <v>214.62</v>
      </c>
      <c r="AU3290" s="8">
        <v>107.64</v>
      </c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>
        <v>22.7</v>
      </c>
      <c r="BH3290" s="9">
        <f t="shared" si="459"/>
        <v>886.54</v>
      </c>
      <c r="BI3290" s="9">
        <f t="shared" si="460"/>
        <v>1.77</v>
      </c>
      <c r="BJ3290" s="9">
        <f t="shared" si="461"/>
        <v>4.3499999999999996</v>
      </c>
      <c r="BK3290" s="9">
        <f t="shared" si="462"/>
        <v>7.1</v>
      </c>
      <c r="BL3290" s="9">
        <f t="shared" si="463"/>
        <v>0</v>
      </c>
      <c r="BM3290" s="9">
        <f t="shared" si="464"/>
        <v>8.86</v>
      </c>
      <c r="BN3290" s="9">
        <f t="shared" si="465"/>
        <v>322.26</v>
      </c>
      <c r="BO3290" s="9">
        <f t="shared" si="466"/>
        <v>0</v>
      </c>
      <c r="BP3290" s="9">
        <f t="shared" si="467"/>
        <v>0</v>
      </c>
    </row>
    <row r="3291" spans="1:68">
      <c r="A3291" s="6">
        <v>45141</v>
      </c>
      <c r="B3291" s="7">
        <v>3100</v>
      </c>
      <c r="C3291" s="8">
        <v>676.21</v>
      </c>
      <c r="D3291" s="8"/>
      <c r="E3291" s="8"/>
      <c r="F3291" s="8"/>
      <c r="G3291" s="8"/>
      <c r="H3291" s="8"/>
      <c r="I3291" s="8"/>
      <c r="J3291" s="8"/>
      <c r="K3291" s="8"/>
      <c r="L3291" s="8"/>
      <c r="M3291" s="8">
        <v>1.7</v>
      </c>
      <c r="N3291" s="8"/>
      <c r="O3291" s="8"/>
      <c r="P3291" s="8"/>
      <c r="Q3291" s="8"/>
      <c r="R3291" s="11"/>
      <c r="S3291" s="8">
        <v>3.86</v>
      </c>
      <c r="T3291" s="8"/>
      <c r="U3291" s="8">
        <v>10.84</v>
      </c>
      <c r="V3291" s="8"/>
      <c r="W3291" s="8"/>
      <c r="X3291" s="8"/>
      <c r="Y3291" s="8"/>
      <c r="Z3291" s="8"/>
      <c r="AA3291" s="8"/>
      <c r="AB3291" s="8"/>
      <c r="AC3291" s="8">
        <v>2.7</v>
      </c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11"/>
      <c r="AQ3291" s="8"/>
      <c r="AR3291" s="8"/>
      <c r="AS3291" s="8"/>
      <c r="AT3291" s="8">
        <v>455.99</v>
      </c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>
        <v>88.04</v>
      </c>
      <c r="BG3291" s="8">
        <v>34.82</v>
      </c>
      <c r="BH3291" s="9">
        <f t="shared" si="459"/>
        <v>676.21</v>
      </c>
      <c r="BI3291" s="9">
        <f t="shared" si="460"/>
        <v>1.7</v>
      </c>
      <c r="BJ3291" s="9">
        <f t="shared" si="461"/>
        <v>3.86</v>
      </c>
      <c r="BK3291" s="9">
        <f t="shared" si="462"/>
        <v>10.84</v>
      </c>
      <c r="BL3291" s="9">
        <f t="shared" si="463"/>
        <v>0</v>
      </c>
      <c r="BM3291" s="9">
        <f t="shared" si="464"/>
        <v>2.7</v>
      </c>
      <c r="BN3291" s="9">
        <f t="shared" si="465"/>
        <v>455.99</v>
      </c>
      <c r="BO3291" s="9">
        <f t="shared" si="466"/>
        <v>0</v>
      </c>
      <c r="BP3291" s="9">
        <f t="shared" si="467"/>
        <v>88.04</v>
      </c>
    </row>
    <row r="3292" spans="1:68">
      <c r="A3292" s="6">
        <v>45141</v>
      </c>
      <c r="B3292" s="7">
        <v>3101</v>
      </c>
      <c r="C3292" s="8">
        <v>665.55</v>
      </c>
      <c r="D3292" s="8"/>
      <c r="E3292" s="8"/>
      <c r="F3292" s="8"/>
      <c r="G3292" s="8"/>
      <c r="H3292" s="8"/>
      <c r="I3292" s="8"/>
      <c r="J3292" s="8"/>
      <c r="K3292" s="8"/>
      <c r="L3292" s="8"/>
      <c r="M3292" s="8">
        <v>1.68</v>
      </c>
      <c r="N3292" s="8"/>
      <c r="O3292" s="8"/>
      <c r="P3292" s="8"/>
      <c r="Q3292" s="8"/>
      <c r="R3292" s="11"/>
      <c r="S3292" s="8">
        <v>3.87</v>
      </c>
      <c r="T3292" s="8"/>
      <c r="U3292" s="8">
        <v>10.7</v>
      </c>
      <c r="V3292" s="8"/>
      <c r="W3292" s="8"/>
      <c r="X3292" s="8"/>
      <c r="Y3292" s="8"/>
      <c r="Z3292" s="8"/>
      <c r="AA3292" s="8"/>
      <c r="AB3292" s="8"/>
      <c r="AC3292" s="8">
        <v>2.67</v>
      </c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11"/>
      <c r="AQ3292" s="8"/>
      <c r="AR3292" s="8"/>
      <c r="AS3292" s="8"/>
      <c r="AT3292" s="8">
        <v>447.08</v>
      </c>
      <c r="AU3292" s="8"/>
      <c r="AV3292" s="8"/>
      <c r="AW3292" s="8">
        <v>14.23</v>
      </c>
      <c r="AX3292" s="8"/>
      <c r="AY3292" s="8"/>
      <c r="AZ3292" s="8"/>
      <c r="BA3292" s="8"/>
      <c r="BB3292" s="8"/>
      <c r="BC3292" s="8"/>
      <c r="BD3292" s="8"/>
      <c r="BE3292" s="8"/>
      <c r="BF3292" s="8">
        <v>86.69</v>
      </c>
      <c r="BG3292" s="8">
        <v>34.33</v>
      </c>
      <c r="BH3292" s="9">
        <f t="shared" si="459"/>
        <v>665.55</v>
      </c>
      <c r="BI3292" s="9">
        <f t="shared" si="460"/>
        <v>1.68</v>
      </c>
      <c r="BJ3292" s="9">
        <f t="shared" si="461"/>
        <v>3.87</v>
      </c>
      <c r="BK3292" s="9">
        <f t="shared" si="462"/>
        <v>10.7</v>
      </c>
      <c r="BL3292" s="9">
        <f t="shared" si="463"/>
        <v>0</v>
      </c>
      <c r="BM3292" s="9">
        <f t="shared" si="464"/>
        <v>2.67</v>
      </c>
      <c r="BN3292" s="9">
        <f t="shared" si="465"/>
        <v>447.08</v>
      </c>
      <c r="BO3292" s="9">
        <f t="shared" si="466"/>
        <v>14.23</v>
      </c>
      <c r="BP3292" s="9">
        <f t="shared" si="467"/>
        <v>86.69</v>
      </c>
    </row>
    <row r="3293" spans="1:68">
      <c r="A3293" s="6">
        <v>45141</v>
      </c>
      <c r="B3293" s="7">
        <v>3602</v>
      </c>
      <c r="C3293" s="8">
        <v>571.34</v>
      </c>
      <c r="D3293" s="8"/>
      <c r="E3293" s="8"/>
      <c r="F3293" s="8"/>
      <c r="G3293" s="8">
        <v>856.87</v>
      </c>
      <c r="H3293" s="8"/>
      <c r="I3293" s="8"/>
      <c r="J3293" s="8"/>
      <c r="K3293" s="8"/>
      <c r="L3293" s="8"/>
      <c r="M3293" s="8">
        <v>1.72</v>
      </c>
      <c r="N3293" s="8"/>
      <c r="O3293" s="8"/>
      <c r="P3293" s="8"/>
      <c r="Q3293" s="8"/>
      <c r="R3293" s="11"/>
      <c r="S3293" s="8">
        <v>6.86</v>
      </c>
      <c r="T3293" s="8"/>
      <c r="U3293" s="8">
        <v>11.45</v>
      </c>
      <c r="V3293" s="8">
        <f>859*16.33/1000</f>
        <v>14.027469999999999</v>
      </c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11"/>
      <c r="AQ3293" s="8"/>
      <c r="AR3293" s="8"/>
      <c r="AS3293" s="8"/>
      <c r="AT3293" s="8">
        <v>576.09</v>
      </c>
      <c r="AU3293" s="8"/>
      <c r="AV3293" s="8"/>
      <c r="AW3293" s="8">
        <v>36.96</v>
      </c>
      <c r="AX3293" s="8"/>
      <c r="AY3293" s="8"/>
      <c r="AZ3293" s="8"/>
      <c r="BA3293" s="8"/>
      <c r="BB3293" s="8"/>
      <c r="BC3293" s="8"/>
      <c r="BD3293" s="8"/>
      <c r="BE3293" s="8"/>
      <c r="BF3293" s="8">
        <v>45.78</v>
      </c>
      <c r="BG3293" s="8">
        <v>42.86</v>
      </c>
      <c r="BH3293" s="9">
        <f t="shared" si="459"/>
        <v>1428.21</v>
      </c>
      <c r="BI3293" s="9">
        <f t="shared" si="460"/>
        <v>1.72</v>
      </c>
      <c r="BJ3293" s="9">
        <f t="shared" si="461"/>
        <v>6.86</v>
      </c>
      <c r="BK3293" s="9">
        <f t="shared" si="462"/>
        <v>25.477469999999997</v>
      </c>
      <c r="BL3293" s="9">
        <f t="shared" si="463"/>
        <v>0</v>
      </c>
      <c r="BM3293" s="9">
        <f t="shared" si="464"/>
        <v>0</v>
      </c>
      <c r="BN3293" s="9">
        <f t="shared" si="465"/>
        <v>576.09</v>
      </c>
      <c r="BO3293" s="9">
        <f t="shared" si="466"/>
        <v>36.96</v>
      </c>
      <c r="BP3293" s="9">
        <f t="shared" si="467"/>
        <v>45.78</v>
      </c>
    </row>
    <row r="3294" spans="1:68">
      <c r="A3294" s="6">
        <v>45141</v>
      </c>
      <c r="B3294" s="7">
        <v>3152</v>
      </c>
      <c r="C3294" s="8">
        <v>1463.25</v>
      </c>
      <c r="D3294" s="8"/>
      <c r="E3294" s="8"/>
      <c r="F3294" s="8"/>
      <c r="G3294" s="8"/>
      <c r="H3294" s="8"/>
      <c r="I3294" s="8"/>
      <c r="J3294" s="8"/>
      <c r="K3294" s="8"/>
      <c r="L3294" s="8"/>
      <c r="M3294" s="8">
        <v>2.64</v>
      </c>
      <c r="N3294" s="8"/>
      <c r="O3294" s="8"/>
      <c r="P3294" s="8"/>
      <c r="Q3294" s="8"/>
      <c r="R3294" s="11"/>
      <c r="S3294" s="8">
        <v>5.24</v>
      </c>
      <c r="T3294" s="8"/>
      <c r="U3294" s="8">
        <v>17.07</v>
      </c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11"/>
      <c r="AQ3294" s="8"/>
      <c r="AR3294" s="8"/>
      <c r="AS3294" s="8"/>
      <c r="AT3294" s="8">
        <v>815.2</v>
      </c>
      <c r="AU3294" s="8"/>
      <c r="AV3294" s="8">
        <v>29.13</v>
      </c>
      <c r="AW3294" s="8"/>
      <c r="AX3294" s="8"/>
      <c r="AY3294" s="8"/>
      <c r="AZ3294" s="8"/>
      <c r="BA3294" s="8"/>
      <c r="BB3294" s="8"/>
      <c r="BC3294" s="8"/>
      <c r="BD3294" s="8"/>
      <c r="BE3294" s="8"/>
      <c r="BF3294" s="8">
        <v>36.380000000000003</v>
      </c>
      <c r="BG3294" s="8">
        <v>58.33</v>
      </c>
      <c r="BH3294" s="9">
        <f t="shared" si="459"/>
        <v>1463.25</v>
      </c>
      <c r="BI3294" s="9">
        <f t="shared" si="460"/>
        <v>2.64</v>
      </c>
      <c r="BJ3294" s="9">
        <f t="shared" si="461"/>
        <v>5.24</v>
      </c>
      <c r="BK3294" s="9">
        <f t="shared" si="462"/>
        <v>17.07</v>
      </c>
      <c r="BL3294" s="9">
        <f t="shared" si="463"/>
        <v>0</v>
      </c>
      <c r="BM3294" s="9">
        <f t="shared" si="464"/>
        <v>0</v>
      </c>
      <c r="BN3294" s="9">
        <f t="shared" si="465"/>
        <v>815.2</v>
      </c>
      <c r="BO3294" s="9">
        <f t="shared" si="466"/>
        <v>29.13</v>
      </c>
      <c r="BP3294" s="9">
        <f t="shared" si="467"/>
        <v>36.380000000000003</v>
      </c>
    </row>
    <row r="3295" spans="1:68">
      <c r="A3295" s="6">
        <v>45142</v>
      </c>
      <c r="B3295" s="7">
        <v>3307</v>
      </c>
      <c r="C3295" s="8"/>
      <c r="D3295" s="8">
        <f>583.18+523.88</f>
        <v>1107.06</v>
      </c>
      <c r="E3295" s="8"/>
      <c r="F3295" s="8"/>
      <c r="G3295" s="8"/>
      <c r="H3295" s="8"/>
      <c r="I3295" s="8"/>
      <c r="J3295" s="8"/>
      <c r="K3295" s="8"/>
      <c r="L3295" s="8"/>
      <c r="M3295" s="8">
        <f>0.47+0.52</f>
        <v>0.99</v>
      </c>
      <c r="N3295" s="8"/>
      <c r="O3295" s="8"/>
      <c r="P3295" s="8"/>
      <c r="Q3295" s="8"/>
      <c r="R3295" s="11"/>
      <c r="S3295" s="8">
        <f>3.97+3.46</f>
        <v>7.43</v>
      </c>
      <c r="T3295" s="8"/>
      <c r="U3295" s="8">
        <f>5.87+5.25</f>
        <v>11.120000000000001</v>
      </c>
      <c r="V3295" s="8"/>
      <c r="W3295" s="8"/>
      <c r="X3295" s="8"/>
      <c r="Y3295" s="8"/>
      <c r="Z3295" s="8"/>
      <c r="AA3295" s="8"/>
      <c r="AB3295" s="8"/>
      <c r="AC3295" s="8">
        <f>3.51+3.15</f>
        <v>6.66</v>
      </c>
      <c r="AD3295" s="8"/>
      <c r="AE3295" s="8"/>
      <c r="AF3295" s="8"/>
      <c r="AG3295" s="8">
        <f>5.89+5.26</f>
        <v>11.149999999999999</v>
      </c>
      <c r="AH3295" s="8"/>
      <c r="AI3295" s="8"/>
      <c r="AJ3295" s="8"/>
      <c r="AK3295" s="8"/>
      <c r="AL3295" s="8"/>
      <c r="AM3295" s="8"/>
      <c r="AN3295" s="8"/>
      <c r="AO3295" s="8"/>
      <c r="AP3295" s="11"/>
      <c r="AQ3295" s="8"/>
      <c r="AR3295" s="8"/>
      <c r="AS3295" s="8"/>
      <c r="AT3295" s="8"/>
      <c r="AU3295" s="8">
        <f>293.23+262.91</f>
        <v>556.1400000000001</v>
      </c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>
        <f>21.03+18.86</f>
        <v>39.89</v>
      </c>
      <c r="BH3295" s="9">
        <f t="shared" si="459"/>
        <v>1107.06</v>
      </c>
      <c r="BI3295" s="9">
        <f t="shared" si="460"/>
        <v>0.99</v>
      </c>
      <c r="BJ3295" s="9">
        <f t="shared" si="461"/>
        <v>7.43</v>
      </c>
      <c r="BK3295" s="9">
        <f t="shared" si="462"/>
        <v>11.120000000000001</v>
      </c>
      <c r="BL3295" s="9">
        <f t="shared" si="463"/>
        <v>0</v>
      </c>
      <c r="BM3295" s="9">
        <f t="shared" si="464"/>
        <v>17.809999999999999</v>
      </c>
      <c r="BN3295" s="9">
        <f t="shared" si="465"/>
        <v>556.1400000000001</v>
      </c>
      <c r="BO3295" s="9">
        <f t="shared" si="466"/>
        <v>0</v>
      </c>
      <c r="BP3295" s="9">
        <f t="shared" si="467"/>
        <v>0</v>
      </c>
    </row>
    <row r="3296" spans="1:68">
      <c r="A3296" s="6">
        <v>45142</v>
      </c>
      <c r="B3296" s="7">
        <v>3106</v>
      </c>
      <c r="C3296" s="8">
        <v>6062.53</v>
      </c>
      <c r="D3296" s="8"/>
      <c r="E3296" s="8"/>
      <c r="F3296" s="8"/>
      <c r="G3296" s="8"/>
      <c r="H3296" s="8"/>
      <c r="I3296" s="8"/>
      <c r="J3296" s="8"/>
      <c r="K3296" s="8"/>
      <c r="L3296" s="8"/>
      <c r="M3296" s="8">
        <v>16.3</v>
      </c>
      <c r="N3296" s="8"/>
      <c r="O3296" s="8"/>
      <c r="P3296" s="8"/>
      <c r="Q3296" s="8"/>
      <c r="R3296" s="11"/>
      <c r="S3296" s="8">
        <v>18.239999999999998</v>
      </c>
      <c r="T3296" s="8"/>
      <c r="U3296" s="8">
        <v>77.44</v>
      </c>
      <c r="V3296" s="8"/>
      <c r="W3296" s="8"/>
      <c r="X3296" s="8"/>
      <c r="Y3296" s="8"/>
      <c r="Z3296" s="8"/>
      <c r="AA3296" s="8"/>
      <c r="AB3296" s="8"/>
      <c r="AC3296" s="8">
        <v>15.18</v>
      </c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11"/>
      <c r="AQ3296" s="8"/>
      <c r="AR3296" s="8"/>
      <c r="AS3296" s="8"/>
      <c r="AT3296" s="8">
        <v>3455.8</v>
      </c>
      <c r="AU3296" s="8"/>
      <c r="AV3296" s="8"/>
      <c r="AW3296" s="8"/>
      <c r="AX3296" s="8">
        <v>7.58</v>
      </c>
      <c r="AY3296" s="8"/>
      <c r="AZ3296" s="8"/>
      <c r="BA3296" s="8"/>
      <c r="BB3296" s="8"/>
      <c r="BC3296" s="8"/>
      <c r="BD3296" s="8"/>
      <c r="BE3296" s="8"/>
      <c r="BF3296" s="8"/>
      <c r="BG3296" s="8">
        <v>260.60000000000002</v>
      </c>
      <c r="BH3296" s="9">
        <f t="shared" si="459"/>
        <v>6062.53</v>
      </c>
      <c r="BI3296" s="9">
        <f t="shared" si="460"/>
        <v>16.3</v>
      </c>
      <c r="BJ3296" s="9">
        <f t="shared" si="461"/>
        <v>18.239999999999998</v>
      </c>
      <c r="BK3296" s="9">
        <f t="shared" si="462"/>
        <v>77.44</v>
      </c>
      <c r="BL3296" s="9">
        <f t="shared" si="463"/>
        <v>0</v>
      </c>
      <c r="BM3296" s="9">
        <f t="shared" si="464"/>
        <v>15.18</v>
      </c>
      <c r="BN3296" s="9">
        <f t="shared" si="465"/>
        <v>3455.8</v>
      </c>
      <c r="BO3296" s="9">
        <f t="shared" si="466"/>
        <v>7.58</v>
      </c>
      <c r="BP3296" s="9">
        <f t="shared" si="467"/>
        <v>0</v>
      </c>
    </row>
    <row r="3297" spans="1:68">
      <c r="A3297" s="6">
        <v>45142</v>
      </c>
      <c r="B3297" s="7">
        <v>3144</v>
      </c>
      <c r="C3297" s="8">
        <v>1218.7</v>
      </c>
      <c r="D3297" s="8">
        <v>213</v>
      </c>
      <c r="E3297" s="8"/>
      <c r="F3297" s="8"/>
      <c r="G3297" s="8"/>
      <c r="H3297" s="8"/>
      <c r="I3297" s="8"/>
      <c r="J3297" s="8"/>
      <c r="K3297" s="8"/>
      <c r="L3297" s="8"/>
      <c r="M3297" s="8">
        <v>3.89</v>
      </c>
      <c r="N3297" s="8"/>
      <c r="O3297" s="8"/>
      <c r="P3297" s="8"/>
      <c r="Q3297" s="8"/>
      <c r="R3297" s="11"/>
      <c r="S3297" s="8">
        <v>6.79</v>
      </c>
      <c r="T3297" s="8"/>
      <c r="U3297" s="8">
        <v>21.7</v>
      </c>
      <c r="V3297" s="8"/>
      <c r="W3297" s="8"/>
      <c r="X3297" s="8"/>
      <c r="Y3297" s="8"/>
      <c r="Z3297" s="8"/>
      <c r="AA3297" s="8"/>
      <c r="AB3297" s="8"/>
      <c r="AC3297" s="8">
        <v>5.79</v>
      </c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11">
        <f>1229*9.62/1000</f>
        <v>11.822979999999999</v>
      </c>
      <c r="AQ3297" s="8"/>
      <c r="AR3297" s="8"/>
      <c r="AS3297" s="8"/>
      <c r="AT3297" s="8">
        <v>952.26</v>
      </c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>
        <v>101.14</v>
      </c>
      <c r="BG3297" s="8">
        <v>74.959999999999994</v>
      </c>
      <c r="BH3297" s="9">
        <f t="shared" si="459"/>
        <v>1431.7</v>
      </c>
      <c r="BI3297" s="9">
        <f t="shared" si="460"/>
        <v>3.89</v>
      </c>
      <c r="BJ3297" s="9">
        <f t="shared" si="461"/>
        <v>6.79</v>
      </c>
      <c r="BK3297" s="9">
        <f t="shared" si="462"/>
        <v>21.7</v>
      </c>
      <c r="BL3297" s="9">
        <f t="shared" si="463"/>
        <v>0</v>
      </c>
      <c r="BM3297" s="9">
        <f t="shared" si="464"/>
        <v>17.61298</v>
      </c>
      <c r="BN3297" s="9">
        <f t="shared" si="465"/>
        <v>952.26</v>
      </c>
      <c r="BO3297" s="9">
        <f t="shared" si="466"/>
        <v>0</v>
      </c>
      <c r="BP3297" s="9">
        <f t="shared" si="467"/>
        <v>101.14</v>
      </c>
    </row>
    <row r="3298" spans="1:68">
      <c r="A3298" s="6">
        <v>45142</v>
      </c>
      <c r="B3298" s="7">
        <v>3433</v>
      </c>
      <c r="C3298" s="8">
        <v>1225.25</v>
      </c>
      <c r="D3298" s="8"/>
      <c r="E3298" s="8"/>
      <c r="F3298" s="8"/>
      <c r="G3298" s="8"/>
      <c r="H3298" s="8"/>
      <c r="I3298" s="8"/>
      <c r="J3298" s="8"/>
      <c r="K3298" s="8"/>
      <c r="L3298" s="8"/>
      <c r="M3298" s="8">
        <v>3.32</v>
      </c>
      <c r="N3298" s="8"/>
      <c r="O3298" s="8"/>
      <c r="P3298" s="8"/>
      <c r="Q3298" s="8"/>
      <c r="R3298" s="11"/>
      <c r="S3298" s="8">
        <v>4.9000000000000004</v>
      </c>
      <c r="T3298" s="8"/>
      <c r="U3298" s="8"/>
      <c r="V3298" s="8"/>
      <c r="W3298" s="8"/>
      <c r="X3298" s="8">
        <f>847*14.4/1000</f>
        <v>12.196800000000001</v>
      </c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11"/>
      <c r="AQ3298" s="8"/>
      <c r="AR3298" s="8"/>
      <c r="AS3298" s="8"/>
      <c r="AT3298" s="8">
        <v>569.82000000000005</v>
      </c>
      <c r="AU3298" s="8"/>
      <c r="AV3298" s="8"/>
      <c r="AW3298" s="8"/>
      <c r="AX3298" s="8"/>
      <c r="AY3298" s="8"/>
      <c r="AZ3298" s="8"/>
      <c r="BA3298" s="8">
        <v>5.46</v>
      </c>
      <c r="BB3298" s="8"/>
      <c r="BC3298" s="8"/>
      <c r="BD3298" s="8"/>
      <c r="BE3298" s="8"/>
      <c r="BF3298" s="8">
        <v>61.25</v>
      </c>
      <c r="BG3298" s="8">
        <v>41.02</v>
      </c>
      <c r="BH3298" s="9">
        <f t="shared" si="459"/>
        <v>1225.25</v>
      </c>
      <c r="BI3298" s="9">
        <f t="shared" si="460"/>
        <v>3.32</v>
      </c>
      <c r="BJ3298" s="9">
        <f t="shared" si="461"/>
        <v>4.9000000000000004</v>
      </c>
      <c r="BK3298" s="9">
        <f t="shared" si="462"/>
        <v>12.196800000000001</v>
      </c>
      <c r="BL3298" s="9">
        <f t="shared" si="463"/>
        <v>0</v>
      </c>
      <c r="BM3298" s="9">
        <f t="shared" si="464"/>
        <v>0</v>
      </c>
      <c r="BN3298" s="9">
        <f t="shared" si="465"/>
        <v>569.82000000000005</v>
      </c>
      <c r="BO3298" s="9">
        <f t="shared" si="466"/>
        <v>5.46</v>
      </c>
      <c r="BP3298" s="9">
        <f t="shared" si="467"/>
        <v>61.25</v>
      </c>
    </row>
    <row r="3299" spans="1:68">
      <c r="A3299" s="6">
        <v>45142</v>
      </c>
      <c r="B3299" s="7">
        <v>3020</v>
      </c>
      <c r="C3299" s="8"/>
      <c r="D3299" s="8">
        <v>99.62</v>
      </c>
      <c r="E3299" s="8"/>
      <c r="F3299" s="8"/>
      <c r="G3299" s="8"/>
      <c r="H3299" s="8"/>
      <c r="I3299" s="8">
        <v>564.41</v>
      </c>
      <c r="J3299" s="8"/>
      <c r="K3299" s="8"/>
      <c r="L3299" s="8"/>
      <c r="M3299" s="8"/>
      <c r="N3299" s="8">
        <v>4.04</v>
      </c>
      <c r="O3299" s="8"/>
      <c r="P3299" s="8"/>
      <c r="Q3299" s="8"/>
      <c r="R3299" s="11"/>
      <c r="S3299" s="8">
        <v>1.2</v>
      </c>
      <c r="T3299" s="8"/>
      <c r="U3299" s="8"/>
      <c r="V3299" s="8"/>
      <c r="W3299" s="8">
        <v>6.63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>
        <v>6.6</v>
      </c>
      <c r="AN3299" s="8"/>
      <c r="AO3299" s="8"/>
      <c r="AP3299" s="11"/>
      <c r="AQ3299" s="8"/>
      <c r="AR3299" s="8"/>
      <c r="AS3299" s="8">
        <f>3046*5.52/1000</f>
        <v>16.81392</v>
      </c>
      <c r="AT3299" s="8">
        <v>325.49</v>
      </c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>
        <v>23.83</v>
      </c>
      <c r="BH3299" s="9">
        <f t="shared" si="459"/>
        <v>664.03</v>
      </c>
      <c r="BI3299" s="9">
        <f t="shared" si="460"/>
        <v>4.04</v>
      </c>
      <c r="BJ3299" s="9">
        <f t="shared" si="461"/>
        <v>1.2</v>
      </c>
      <c r="BK3299" s="9">
        <f t="shared" si="462"/>
        <v>6.63</v>
      </c>
      <c r="BL3299" s="9">
        <f t="shared" si="463"/>
        <v>0</v>
      </c>
      <c r="BM3299" s="9">
        <f t="shared" si="464"/>
        <v>23.413919999999997</v>
      </c>
      <c r="BN3299" s="9">
        <f t="shared" si="465"/>
        <v>325.49</v>
      </c>
      <c r="BO3299" s="9">
        <f t="shared" si="466"/>
        <v>0</v>
      </c>
      <c r="BP3299" s="9">
        <f t="shared" si="467"/>
        <v>0</v>
      </c>
    </row>
    <row r="3300" spans="1:68">
      <c r="A3300" s="6">
        <v>45142</v>
      </c>
      <c r="B3300" s="7">
        <v>3028</v>
      </c>
      <c r="C3300" s="8"/>
      <c r="D3300" s="8">
        <v>777.85</v>
      </c>
      <c r="E3300" s="8"/>
      <c r="F3300" s="8">
        <v>714.78</v>
      </c>
      <c r="G3300" s="8"/>
      <c r="H3300" s="8"/>
      <c r="I3300" s="8">
        <v>1617.23</v>
      </c>
      <c r="J3300" s="8"/>
      <c r="K3300" s="8"/>
      <c r="L3300" s="8"/>
      <c r="M3300" s="8"/>
      <c r="N3300" s="8">
        <v>23.86</v>
      </c>
      <c r="O3300" s="8"/>
      <c r="P3300" s="8"/>
      <c r="Q3300" s="8"/>
      <c r="R3300" s="11"/>
      <c r="S3300" s="8">
        <v>4.3600000000000003</v>
      </c>
      <c r="T3300" s="8"/>
      <c r="U3300" s="8"/>
      <c r="V3300" s="8"/>
      <c r="W3300" s="8">
        <v>23.28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>
        <v>30.95</v>
      </c>
      <c r="AN3300" s="8">
        <f>1077*20.7/1000</f>
        <v>22.293899999999997</v>
      </c>
      <c r="AO3300" s="8"/>
      <c r="AP3300" s="11"/>
      <c r="AQ3300" s="8"/>
      <c r="AR3300" s="8"/>
      <c r="AS3300" s="8">
        <f>4986*20.7/1000</f>
        <v>103.2102</v>
      </c>
      <c r="AT3300" s="8">
        <v>1035.51</v>
      </c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>
        <v>70.73</v>
      </c>
      <c r="BH3300" s="9">
        <f t="shared" si="459"/>
        <v>3109.86</v>
      </c>
      <c r="BI3300" s="9">
        <f t="shared" si="460"/>
        <v>23.86</v>
      </c>
      <c r="BJ3300" s="9">
        <f t="shared" si="461"/>
        <v>4.3600000000000003</v>
      </c>
      <c r="BK3300" s="9">
        <f t="shared" si="462"/>
        <v>23.28</v>
      </c>
      <c r="BL3300" s="9">
        <f t="shared" si="463"/>
        <v>0</v>
      </c>
      <c r="BM3300" s="9">
        <f t="shared" si="464"/>
        <v>156.45409999999998</v>
      </c>
      <c r="BN3300" s="9">
        <f t="shared" si="465"/>
        <v>1035.51</v>
      </c>
      <c r="BO3300" s="9">
        <f t="shared" si="466"/>
        <v>0</v>
      </c>
      <c r="BP3300" s="9">
        <f t="shared" si="467"/>
        <v>0</v>
      </c>
    </row>
    <row r="3301" spans="1:68">
      <c r="A3301" s="6">
        <v>45142</v>
      </c>
      <c r="B3301" s="7">
        <v>3083</v>
      </c>
      <c r="C3301" s="8"/>
      <c r="D3301" s="8">
        <v>1079.06</v>
      </c>
      <c r="E3301" s="8"/>
      <c r="F3301" s="8"/>
      <c r="G3301" s="8"/>
      <c r="H3301" s="8"/>
      <c r="I3301" s="8">
        <v>2517.63</v>
      </c>
      <c r="J3301" s="8"/>
      <c r="K3301" s="8"/>
      <c r="L3301" s="8"/>
      <c r="M3301" s="8"/>
      <c r="N3301" s="8">
        <v>23.38</v>
      </c>
      <c r="O3301" s="8"/>
      <c r="P3301" s="8"/>
      <c r="Q3301" s="8"/>
      <c r="R3301" s="11"/>
      <c r="S3301" s="8">
        <v>2.52</v>
      </c>
      <c r="T3301" s="8"/>
      <c r="U3301" s="8"/>
      <c r="V3301" s="8"/>
      <c r="W3301" s="8">
        <v>28.8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>
        <v>14.38</v>
      </c>
      <c r="AN3301" s="8">
        <f>1912*26.65/1000</f>
        <v>50.954799999999999</v>
      </c>
      <c r="AO3301" s="8"/>
      <c r="AP3301" s="11"/>
      <c r="AQ3301" s="8"/>
      <c r="AR3301" s="8">
        <f>3420*26.65/1000</f>
        <v>91.143000000000001</v>
      </c>
      <c r="AS3301" s="8"/>
      <c r="AT3301" s="8">
        <v>1691.55</v>
      </c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>
        <v>134.26</v>
      </c>
      <c r="BH3301" s="9">
        <f t="shared" si="459"/>
        <v>3596.69</v>
      </c>
      <c r="BI3301" s="9">
        <f t="shared" si="460"/>
        <v>23.38</v>
      </c>
      <c r="BJ3301" s="9">
        <f t="shared" si="461"/>
        <v>2.52</v>
      </c>
      <c r="BK3301" s="9">
        <f t="shared" si="462"/>
        <v>28.8</v>
      </c>
      <c r="BL3301" s="9">
        <f t="shared" si="463"/>
        <v>0</v>
      </c>
      <c r="BM3301" s="9">
        <f t="shared" si="464"/>
        <v>156.4778</v>
      </c>
      <c r="BN3301" s="9">
        <f t="shared" si="465"/>
        <v>1691.55</v>
      </c>
      <c r="BO3301" s="9">
        <f t="shared" si="466"/>
        <v>0</v>
      </c>
      <c r="BP3301" s="9">
        <f t="shared" si="467"/>
        <v>0</v>
      </c>
    </row>
    <row r="3302" spans="1:68">
      <c r="A3302" s="6">
        <v>45142</v>
      </c>
      <c r="B3302" s="7">
        <v>3145</v>
      </c>
      <c r="C3302" s="8">
        <v>652.37</v>
      </c>
      <c r="D3302" s="8">
        <v>115.22</v>
      </c>
      <c r="E3302" s="8"/>
      <c r="F3302" s="8"/>
      <c r="G3302" s="8"/>
      <c r="H3302" s="8"/>
      <c r="I3302" s="8"/>
      <c r="J3302" s="8"/>
      <c r="K3302" s="8"/>
      <c r="L3302" s="8"/>
      <c r="M3302" s="8">
        <v>2.2200000000000002</v>
      </c>
      <c r="N3302" s="8"/>
      <c r="O3302" s="8"/>
      <c r="P3302" s="8"/>
      <c r="Q3302" s="8"/>
      <c r="R3302" s="11"/>
      <c r="S3302" s="8">
        <v>3.61</v>
      </c>
      <c r="T3302" s="8"/>
      <c r="U3302" s="8">
        <v>11.53</v>
      </c>
      <c r="V3302" s="8"/>
      <c r="W3302" s="8"/>
      <c r="X3302" s="8"/>
      <c r="Y3302" s="8"/>
      <c r="Z3302" s="8"/>
      <c r="AA3302" s="8"/>
      <c r="AB3302" s="8"/>
      <c r="AC3302" s="8">
        <v>3.07</v>
      </c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11"/>
      <c r="AQ3302" s="8"/>
      <c r="AR3302" s="8"/>
      <c r="AS3302" s="8"/>
      <c r="AT3302" s="8">
        <v>508.4</v>
      </c>
      <c r="AU3302" s="8"/>
      <c r="AV3302" s="8"/>
      <c r="AW3302" s="8"/>
      <c r="AX3302" s="8"/>
      <c r="AY3302" s="8"/>
      <c r="AZ3302" s="8"/>
      <c r="BA3302" s="8"/>
      <c r="BB3302" s="8"/>
      <c r="BC3302" s="8"/>
      <c r="BD3302" s="8">
        <v>1.92</v>
      </c>
      <c r="BE3302" s="8">
        <f>1326*5.12/1000</f>
        <v>6.7891199999999996</v>
      </c>
      <c r="BF3302" s="8">
        <v>53.77</v>
      </c>
      <c r="BG3302" s="8">
        <v>39.86</v>
      </c>
      <c r="BH3302" s="9">
        <f t="shared" si="459"/>
        <v>767.59</v>
      </c>
      <c r="BI3302" s="9">
        <f t="shared" si="460"/>
        <v>2.2200000000000002</v>
      </c>
      <c r="BJ3302" s="9">
        <f t="shared" si="461"/>
        <v>3.61</v>
      </c>
      <c r="BK3302" s="9">
        <f t="shared" si="462"/>
        <v>11.53</v>
      </c>
      <c r="BL3302" s="9">
        <f t="shared" si="463"/>
        <v>0</v>
      </c>
      <c r="BM3302" s="9">
        <f t="shared" si="464"/>
        <v>3.07</v>
      </c>
      <c r="BN3302" s="9">
        <f t="shared" si="465"/>
        <v>508.4</v>
      </c>
      <c r="BO3302" s="9">
        <f t="shared" si="466"/>
        <v>8.7091199999999986</v>
      </c>
      <c r="BP3302" s="9">
        <f t="shared" si="467"/>
        <v>53.77</v>
      </c>
    </row>
    <row r="3303" spans="1:68">
      <c r="A3303" s="6">
        <v>45145</v>
      </c>
      <c r="B3303" s="7">
        <v>3144</v>
      </c>
      <c r="C3303" s="8">
        <v>1248.45</v>
      </c>
      <c r="D3303" s="8">
        <v>223.28</v>
      </c>
      <c r="E3303" s="8"/>
      <c r="F3303" s="8"/>
      <c r="G3303" s="8"/>
      <c r="H3303" s="8"/>
      <c r="I3303" s="8"/>
      <c r="J3303" s="8"/>
      <c r="K3303" s="8"/>
      <c r="L3303" s="8"/>
      <c r="M3303" s="8">
        <v>4.26</v>
      </c>
      <c r="N3303" s="8"/>
      <c r="O3303" s="8"/>
      <c r="P3303" s="8"/>
      <c r="Q3303" s="8"/>
      <c r="R3303" s="11"/>
      <c r="S3303" s="8">
        <v>6.93</v>
      </c>
      <c r="T3303" s="8"/>
      <c r="U3303" s="8">
        <v>22.13</v>
      </c>
      <c r="V3303" s="8"/>
      <c r="W3303" s="8"/>
      <c r="X3303" s="8"/>
      <c r="Y3303" s="8"/>
      <c r="Z3303" s="8"/>
      <c r="AA3303" s="8"/>
      <c r="AB3303" s="8"/>
      <c r="AC3303" s="8">
        <v>5.9</v>
      </c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11">
        <f>1214*9.8/1000</f>
        <v>11.897200000000002</v>
      </c>
      <c r="AQ3303" s="8"/>
      <c r="AR3303" s="8"/>
      <c r="AS3303" s="8"/>
      <c r="AT3303" s="8">
        <v>964.48</v>
      </c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>
        <v>103.17</v>
      </c>
      <c r="BG3303" s="8">
        <v>76.459999999999994</v>
      </c>
      <c r="BH3303" s="9">
        <f t="shared" si="459"/>
        <v>1471.73</v>
      </c>
      <c r="BI3303" s="9">
        <f t="shared" si="460"/>
        <v>4.26</v>
      </c>
      <c r="BJ3303" s="9">
        <f t="shared" si="461"/>
        <v>6.93</v>
      </c>
      <c r="BK3303" s="9">
        <f t="shared" si="462"/>
        <v>22.13</v>
      </c>
      <c r="BL3303" s="9">
        <f t="shared" si="463"/>
        <v>0</v>
      </c>
      <c r="BM3303" s="9">
        <f t="shared" si="464"/>
        <v>17.797200000000004</v>
      </c>
      <c r="BN3303" s="9">
        <f t="shared" si="465"/>
        <v>964.48</v>
      </c>
      <c r="BO3303" s="9">
        <f t="shared" si="466"/>
        <v>0</v>
      </c>
      <c r="BP3303" s="9">
        <f t="shared" si="467"/>
        <v>103.17</v>
      </c>
    </row>
    <row r="3304" spans="1:68">
      <c r="A3304" s="6">
        <v>45145</v>
      </c>
      <c r="B3304" s="7">
        <v>3121</v>
      </c>
      <c r="C3304" s="8">
        <v>2252.13</v>
      </c>
      <c r="D3304" s="8"/>
      <c r="E3304" s="8"/>
      <c r="F3304" s="8"/>
      <c r="G3304" s="8"/>
      <c r="H3304" s="8"/>
      <c r="I3304" s="8"/>
      <c r="J3304" s="8"/>
      <c r="K3304" s="8"/>
      <c r="L3304" s="8"/>
      <c r="M3304" s="8">
        <v>5.62</v>
      </c>
      <c r="N3304" s="8"/>
      <c r="O3304" s="8"/>
      <c r="P3304" s="8"/>
      <c r="Q3304" s="8"/>
      <c r="R3304" s="11"/>
      <c r="S3304" s="8">
        <v>7.21</v>
      </c>
      <c r="T3304" s="8"/>
      <c r="U3304" s="8">
        <v>22.57</v>
      </c>
      <c r="V3304" s="8"/>
      <c r="W3304" s="8"/>
      <c r="X3304" s="8"/>
      <c r="Y3304" s="8"/>
      <c r="Z3304" s="8"/>
      <c r="AA3304" s="8"/>
      <c r="AB3304" s="8"/>
      <c r="AC3304" s="8">
        <v>9.01</v>
      </c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11">
        <f>2216*10.23/1000</f>
        <v>22.66968</v>
      </c>
      <c r="AQ3304" s="8"/>
      <c r="AR3304" s="8"/>
      <c r="AS3304" s="8"/>
      <c r="AT3304" s="8">
        <v>1185.1500000000001</v>
      </c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>
        <v>87.76</v>
      </c>
      <c r="BH3304" s="9">
        <f t="shared" si="459"/>
        <v>2252.13</v>
      </c>
      <c r="BI3304" s="9">
        <f t="shared" si="460"/>
        <v>5.62</v>
      </c>
      <c r="BJ3304" s="9">
        <f t="shared" si="461"/>
        <v>7.21</v>
      </c>
      <c r="BK3304" s="9">
        <f t="shared" si="462"/>
        <v>22.57</v>
      </c>
      <c r="BL3304" s="9">
        <f t="shared" si="463"/>
        <v>0</v>
      </c>
      <c r="BM3304" s="9">
        <f t="shared" si="464"/>
        <v>31.679679999999998</v>
      </c>
      <c r="BN3304" s="9">
        <f t="shared" si="465"/>
        <v>1185.1500000000001</v>
      </c>
      <c r="BO3304" s="9">
        <f t="shared" si="466"/>
        <v>0</v>
      </c>
      <c r="BP3304" s="9">
        <f t="shared" si="467"/>
        <v>0</v>
      </c>
    </row>
    <row r="3305" spans="1:68">
      <c r="A3305" s="6">
        <v>45145</v>
      </c>
      <c r="B3305" s="7">
        <v>3200</v>
      </c>
      <c r="C3305" s="8">
        <v>2297.35</v>
      </c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>
        <v>5.83</v>
      </c>
      <c r="P3305" s="8"/>
      <c r="Q3305" s="8"/>
      <c r="R3305" s="11"/>
      <c r="S3305" s="8">
        <v>9.0299999999999994</v>
      </c>
      <c r="T3305" s="8"/>
      <c r="U3305" s="8">
        <v>34.86</v>
      </c>
      <c r="V3305" s="8"/>
      <c r="W3305" s="8"/>
      <c r="X3305" s="8"/>
      <c r="Y3305" s="8"/>
      <c r="Z3305" s="8">
        <v>486.97</v>
      </c>
      <c r="AA3305" s="8"/>
      <c r="AB3305" s="8"/>
      <c r="AC3305" s="8"/>
      <c r="AD3305" s="8"/>
      <c r="AE3305" s="8"/>
      <c r="AF3305" s="8">
        <v>115.13</v>
      </c>
      <c r="AG3305" s="8"/>
      <c r="AH3305" s="8"/>
      <c r="AI3305" s="8"/>
      <c r="AJ3305" s="8"/>
      <c r="AK3305" s="8"/>
      <c r="AL3305" s="8"/>
      <c r="AM3305" s="8"/>
      <c r="AN3305" s="8"/>
      <c r="AO3305" s="8"/>
      <c r="AP3305" s="11"/>
      <c r="AQ3305" s="8">
        <f>1529*23.18/1000</f>
        <v>35.442219999999999</v>
      </c>
      <c r="AR3305" s="8"/>
      <c r="AS3305" s="8"/>
      <c r="AT3305" s="8">
        <v>1580</v>
      </c>
      <c r="AU3305" s="8"/>
      <c r="AV3305" s="8"/>
      <c r="AW3305" s="8">
        <v>6.65</v>
      </c>
      <c r="AX3305" s="8"/>
      <c r="AY3305" s="8"/>
      <c r="AZ3305" s="8"/>
      <c r="BA3305" s="8"/>
      <c r="BB3305" s="8"/>
      <c r="BC3305" s="8"/>
      <c r="BD3305" s="8"/>
      <c r="BE3305" s="8"/>
      <c r="BF3305" s="8">
        <v>111.32</v>
      </c>
      <c r="BG3305" s="8">
        <v>114.68</v>
      </c>
      <c r="BH3305" s="9">
        <f t="shared" si="459"/>
        <v>2297.35</v>
      </c>
      <c r="BI3305" s="9">
        <f t="shared" si="460"/>
        <v>5.83</v>
      </c>
      <c r="BJ3305" s="9">
        <f t="shared" si="461"/>
        <v>9.0299999999999994</v>
      </c>
      <c r="BK3305" s="9">
        <f t="shared" si="462"/>
        <v>34.86</v>
      </c>
      <c r="BL3305" s="9">
        <f t="shared" si="463"/>
        <v>486.97</v>
      </c>
      <c r="BM3305" s="9">
        <f t="shared" si="464"/>
        <v>150.57221999999999</v>
      </c>
      <c r="BN3305" s="9">
        <f t="shared" si="465"/>
        <v>1580</v>
      </c>
      <c r="BO3305" s="9">
        <f t="shared" si="466"/>
        <v>6.65</v>
      </c>
      <c r="BP3305" s="9">
        <f t="shared" si="467"/>
        <v>111.32</v>
      </c>
    </row>
    <row r="3306" spans="1:68">
      <c r="A3306" s="6">
        <v>45145</v>
      </c>
      <c r="B3306" s="7">
        <v>3203</v>
      </c>
      <c r="C3306" s="8">
        <f>633.28+358.11</f>
        <v>991.39</v>
      </c>
      <c r="D3306" s="8"/>
      <c r="E3306" s="8">
        <f>271.77+154.44</f>
        <v>426.21</v>
      </c>
      <c r="F3306" s="8"/>
      <c r="G3306" s="8"/>
      <c r="H3306" s="8"/>
      <c r="I3306" s="8"/>
      <c r="J3306" s="8"/>
      <c r="K3306" s="8"/>
      <c r="L3306" s="8"/>
      <c r="M3306" s="8"/>
      <c r="N3306" s="8"/>
      <c r="O3306" s="8">
        <f>2.72+1.55</f>
        <v>4.2700000000000005</v>
      </c>
      <c r="P3306" s="8"/>
      <c r="Q3306" s="8"/>
      <c r="R3306" s="11"/>
      <c r="S3306" s="8">
        <f>3.54+2.03</f>
        <v>5.57</v>
      </c>
      <c r="T3306" s="8"/>
      <c r="U3306" s="8">
        <f>11.28+6.46</f>
        <v>17.739999999999998</v>
      </c>
      <c r="V3306" s="8"/>
      <c r="W3306" s="8"/>
      <c r="X3306" s="8"/>
      <c r="Y3306" s="8"/>
      <c r="Z3306" s="8">
        <f>143.2+81.9</f>
        <v>225.1</v>
      </c>
      <c r="AA3306" s="8">
        <f>10529*16.78/1000</f>
        <v>176.67662000000001</v>
      </c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11"/>
      <c r="AQ3306" s="8"/>
      <c r="AR3306" s="8"/>
      <c r="AS3306" s="8"/>
      <c r="AT3306" s="8">
        <f>339.21+193.69</f>
        <v>532.9</v>
      </c>
      <c r="AU3306" s="8">
        <f>170.22+97.35</f>
        <v>267.57</v>
      </c>
      <c r="AV3306" s="8"/>
      <c r="AW3306" s="8"/>
      <c r="AX3306" s="8"/>
      <c r="AY3306" s="8"/>
      <c r="AZ3306" s="8"/>
      <c r="BA3306" s="8"/>
      <c r="BB3306" s="8"/>
      <c r="BC3306" s="8">
        <f>2.36+1.35</f>
        <v>3.71</v>
      </c>
      <c r="BD3306" s="8"/>
      <c r="BE3306" s="8"/>
      <c r="BF3306" s="8"/>
      <c r="BG3306" s="8">
        <f>33.09+19.1</f>
        <v>52.190000000000005</v>
      </c>
      <c r="BH3306" s="9">
        <f t="shared" si="459"/>
        <v>1417.6</v>
      </c>
      <c r="BI3306" s="9">
        <f t="shared" si="460"/>
        <v>4.2700000000000005</v>
      </c>
      <c r="BJ3306" s="9">
        <f t="shared" si="461"/>
        <v>5.57</v>
      </c>
      <c r="BK3306" s="9">
        <f t="shared" si="462"/>
        <v>17.739999999999998</v>
      </c>
      <c r="BL3306" s="9">
        <f t="shared" si="463"/>
        <v>401.77661999999998</v>
      </c>
      <c r="BM3306" s="9">
        <f t="shared" si="464"/>
        <v>0</v>
      </c>
      <c r="BN3306" s="9">
        <f t="shared" si="465"/>
        <v>800.47</v>
      </c>
      <c r="BO3306" s="9">
        <f t="shared" si="466"/>
        <v>3.71</v>
      </c>
      <c r="BP3306" s="9">
        <f t="shared" si="467"/>
        <v>0</v>
      </c>
    </row>
    <row r="3307" spans="1:68">
      <c r="A3307" s="6">
        <v>45145</v>
      </c>
      <c r="B3307" s="7">
        <v>3139</v>
      </c>
      <c r="C3307" s="8">
        <v>929.85</v>
      </c>
      <c r="D3307" s="8"/>
      <c r="E3307" s="8"/>
      <c r="F3307" s="8"/>
      <c r="G3307" s="8"/>
      <c r="H3307" s="8">
        <v>386.91</v>
      </c>
      <c r="I3307" s="8"/>
      <c r="J3307" s="8"/>
      <c r="K3307" s="8"/>
      <c r="L3307" s="8"/>
      <c r="M3307" s="8">
        <v>2.1800000000000002</v>
      </c>
      <c r="N3307" s="8"/>
      <c r="O3307" s="8"/>
      <c r="P3307" s="8"/>
      <c r="Q3307" s="11"/>
      <c r="R3307" s="11"/>
      <c r="S3307" s="8">
        <v>4.12</v>
      </c>
      <c r="T3307" s="8"/>
      <c r="U3307" s="8">
        <v>13.74</v>
      </c>
      <c r="V3307" s="8"/>
      <c r="W3307" s="8"/>
      <c r="X3307" s="8"/>
      <c r="Y3307" s="8"/>
      <c r="Z3307" s="8"/>
      <c r="AA3307" s="8"/>
      <c r="AB3307" s="8"/>
      <c r="AC3307" s="8">
        <v>4.58</v>
      </c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11"/>
      <c r="AQ3307" s="8"/>
      <c r="AR3307" s="8"/>
      <c r="AS3307" s="8"/>
      <c r="AT3307" s="8">
        <v>676.26</v>
      </c>
      <c r="AU3307" s="8"/>
      <c r="AV3307" s="8">
        <v>22.85</v>
      </c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>
        <v>49.2</v>
      </c>
      <c r="BH3307" s="9">
        <f t="shared" si="459"/>
        <v>1316.76</v>
      </c>
      <c r="BI3307" s="9">
        <f t="shared" si="460"/>
        <v>2.1800000000000002</v>
      </c>
      <c r="BJ3307" s="9">
        <f t="shared" si="461"/>
        <v>4.12</v>
      </c>
      <c r="BK3307" s="9">
        <f t="shared" si="462"/>
        <v>13.74</v>
      </c>
      <c r="BL3307" s="9">
        <f t="shared" si="463"/>
        <v>0</v>
      </c>
      <c r="BM3307" s="9">
        <f t="shared" si="464"/>
        <v>4.58</v>
      </c>
      <c r="BN3307" s="9">
        <f t="shared" si="465"/>
        <v>676.26</v>
      </c>
      <c r="BO3307" s="9">
        <f t="shared" si="466"/>
        <v>22.85</v>
      </c>
      <c r="BP3307" s="9">
        <f t="shared" si="467"/>
        <v>0</v>
      </c>
    </row>
    <row r="3308" spans="1:68">
      <c r="A3308" s="6">
        <v>45145</v>
      </c>
      <c r="B3308" s="7">
        <v>3704</v>
      </c>
      <c r="C3308" s="8">
        <v>636.73</v>
      </c>
      <c r="D3308" s="8">
        <v>955.44</v>
      </c>
      <c r="E3308" s="8"/>
      <c r="F3308" s="8"/>
      <c r="G3308" s="8"/>
      <c r="H3308" s="8"/>
      <c r="I3308" s="8"/>
      <c r="J3308" s="8"/>
      <c r="K3308" s="8"/>
      <c r="L3308" s="8"/>
      <c r="M3308" s="8">
        <v>4.8</v>
      </c>
      <c r="N3308" s="8"/>
      <c r="O3308" s="8"/>
      <c r="P3308" s="8"/>
      <c r="Q3308" s="11"/>
      <c r="R3308" s="11"/>
      <c r="S3308" s="8">
        <v>5.58</v>
      </c>
      <c r="T3308" s="8"/>
      <c r="U3308" s="8">
        <v>11.99</v>
      </c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>
        <v>19.07</v>
      </c>
      <c r="AN3308" s="8"/>
      <c r="AO3308" s="8"/>
      <c r="AP3308" s="11"/>
      <c r="AQ3308" s="8"/>
      <c r="AR3308" s="8"/>
      <c r="AS3308" s="8"/>
      <c r="AT3308" s="8">
        <v>276.87</v>
      </c>
      <c r="AU3308" s="8">
        <v>138.55000000000001</v>
      </c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>
        <v>25.22</v>
      </c>
      <c r="BH3308" s="9">
        <f t="shared" si="459"/>
        <v>1592.17</v>
      </c>
      <c r="BI3308" s="9">
        <f t="shared" si="460"/>
        <v>4.8</v>
      </c>
      <c r="BJ3308" s="9">
        <f t="shared" si="461"/>
        <v>5.58</v>
      </c>
      <c r="BK3308" s="9">
        <f t="shared" si="462"/>
        <v>11.99</v>
      </c>
      <c r="BL3308" s="9">
        <f t="shared" si="463"/>
        <v>0</v>
      </c>
      <c r="BM3308" s="9">
        <f t="shared" si="464"/>
        <v>19.07</v>
      </c>
      <c r="BN3308" s="9">
        <f t="shared" si="465"/>
        <v>415.42</v>
      </c>
      <c r="BO3308" s="9">
        <f t="shared" si="466"/>
        <v>0</v>
      </c>
      <c r="BP3308" s="9">
        <f t="shared" si="467"/>
        <v>0</v>
      </c>
    </row>
    <row r="3309" spans="1:68">
      <c r="A3309" s="6">
        <v>45146</v>
      </c>
      <c r="B3309" s="7">
        <v>3602</v>
      </c>
      <c r="C3309" s="8">
        <v>563.94000000000005</v>
      </c>
      <c r="D3309" s="8"/>
      <c r="E3309" s="8"/>
      <c r="F3309" s="8"/>
      <c r="G3309" s="8">
        <v>848.75</v>
      </c>
      <c r="H3309" s="8"/>
      <c r="I3309" s="8"/>
      <c r="J3309" s="8"/>
      <c r="K3309" s="8"/>
      <c r="L3309" s="8"/>
      <c r="M3309" s="8">
        <v>1.71</v>
      </c>
      <c r="N3309" s="8"/>
      <c r="O3309" s="8"/>
      <c r="P3309" s="8"/>
      <c r="Q3309" s="11"/>
      <c r="R3309" s="11"/>
      <c r="S3309" s="8">
        <v>6.81</v>
      </c>
      <c r="T3309" s="8"/>
      <c r="U3309" s="8">
        <v>11.36</v>
      </c>
      <c r="V3309" s="8">
        <f>848*16.22/1000</f>
        <v>13.75456</v>
      </c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11"/>
      <c r="AQ3309" s="8"/>
      <c r="AR3309" s="8"/>
      <c r="AS3309" s="8"/>
      <c r="AT3309" s="8">
        <v>570.95000000000005</v>
      </c>
      <c r="AU3309" s="8"/>
      <c r="AV3309" s="8"/>
      <c r="AW3309" s="8">
        <v>36.69</v>
      </c>
      <c r="AX3309" s="8"/>
      <c r="AY3309" s="8"/>
      <c r="AZ3309" s="8"/>
      <c r="BA3309" s="8"/>
      <c r="BB3309" s="8"/>
      <c r="BC3309" s="8"/>
      <c r="BD3309" s="8"/>
      <c r="BE3309" s="8"/>
      <c r="BF3309" s="8">
        <v>45.4</v>
      </c>
      <c r="BG3309" s="8">
        <v>42.57</v>
      </c>
      <c r="BH3309" s="9">
        <f t="shared" si="459"/>
        <v>1412.69</v>
      </c>
      <c r="BI3309" s="9">
        <f t="shared" si="460"/>
        <v>1.71</v>
      </c>
      <c r="BJ3309" s="9">
        <f t="shared" si="461"/>
        <v>6.81</v>
      </c>
      <c r="BK3309" s="9">
        <f t="shared" si="462"/>
        <v>25.114559999999997</v>
      </c>
      <c r="BL3309" s="9">
        <f t="shared" si="463"/>
        <v>0</v>
      </c>
      <c r="BM3309" s="9">
        <f t="shared" si="464"/>
        <v>0</v>
      </c>
      <c r="BN3309" s="9">
        <f t="shared" si="465"/>
        <v>570.95000000000005</v>
      </c>
      <c r="BO3309" s="9">
        <f t="shared" si="466"/>
        <v>36.69</v>
      </c>
      <c r="BP3309" s="9">
        <f t="shared" si="467"/>
        <v>45.4</v>
      </c>
    </row>
    <row r="3310" spans="1:68">
      <c r="A3310" s="6">
        <v>45146</v>
      </c>
      <c r="B3310" s="7">
        <v>8290</v>
      </c>
      <c r="C3310" s="8">
        <v>518.36</v>
      </c>
      <c r="D3310" s="8">
        <v>517.66</v>
      </c>
      <c r="E3310" s="8"/>
      <c r="F3310" s="8"/>
      <c r="G3310" s="8"/>
      <c r="H3310" s="8"/>
      <c r="I3310" s="8"/>
      <c r="J3310" s="8"/>
      <c r="K3310" s="8"/>
      <c r="L3310" s="8"/>
      <c r="M3310" s="8">
        <v>2.78</v>
      </c>
      <c r="N3310" s="8"/>
      <c r="O3310" s="8"/>
      <c r="P3310" s="8"/>
      <c r="Q3310" s="8"/>
      <c r="R3310" s="11"/>
      <c r="S3310" s="8">
        <v>5.19</v>
      </c>
      <c r="T3310" s="8"/>
      <c r="U3310" s="8">
        <v>16.600000000000001</v>
      </c>
      <c r="V3310" s="8"/>
      <c r="W3310" s="8"/>
      <c r="X3310" s="8"/>
      <c r="Y3310" s="8"/>
      <c r="Z3310" s="8"/>
      <c r="AA3310" s="8"/>
      <c r="AB3310" s="8"/>
      <c r="AC3310" s="8">
        <v>4.1399999999999997</v>
      </c>
      <c r="AD3310" s="8"/>
      <c r="AE3310" s="8"/>
      <c r="AF3310" s="8"/>
      <c r="AG3310" s="8">
        <v>5.18</v>
      </c>
      <c r="AH3310" s="8"/>
      <c r="AI3310" s="8"/>
      <c r="AJ3310" s="8"/>
      <c r="AK3310" s="8"/>
      <c r="AL3310" s="8"/>
      <c r="AM3310" s="8"/>
      <c r="AN3310" s="8"/>
      <c r="AO3310" s="8"/>
      <c r="AP3310" s="11"/>
      <c r="AQ3310" s="8"/>
      <c r="AR3310" s="8"/>
      <c r="AS3310" s="8"/>
      <c r="AT3310" s="8">
        <v>665.31</v>
      </c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>
        <v>134.57</v>
      </c>
      <c r="BG3310" s="8">
        <v>53.85</v>
      </c>
      <c r="BH3310" s="9">
        <f t="shared" si="459"/>
        <v>1036.02</v>
      </c>
      <c r="BI3310" s="9">
        <f t="shared" si="460"/>
        <v>2.78</v>
      </c>
      <c r="BJ3310" s="9">
        <f t="shared" si="461"/>
        <v>5.19</v>
      </c>
      <c r="BK3310" s="9">
        <f t="shared" si="462"/>
        <v>16.600000000000001</v>
      </c>
      <c r="BL3310" s="9">
        <f t="shared" si="463"/>
        <v>0</v>
      </c>
      <c r="BM3310" s="9">
        <f t="shared" si="464"/>
        <v>9.32</v>
      </c>
      <c r="BN3310" s="9">
        <f t="shared" si="465"/>
        <v>665.31</v>
      </c>
      <c r="BO3310" s="9">
        <f t="shared" si="466"/>
        <v>0</v>
      </c>
      <c r="BP3310" s="9">
        <f t="shared" si="467"/>
        <v>134.57</v>
      </c>
    </row>
    <row r="3311" spans="1:68">
      <c r="A3311" s="6">
        <v>45146</v>
      </c>
      <c r="B3311" s="7">
        <v>3204</v>
      </c>
      <c r="C3311" s="8"/>
      <c r="D3311" s="8">
        <v>1005.03</v>
      </c>
      <c r="E3311" s="8">
        <v>430.33</v>
      </c>
      <c r="F3311" s="8"/>
      <c r="G3311" s="8"/>
      <c r="H3311" s="8"/>
      <c r="I3311" s="8"/>
      <c r="J3311" s="8"/>
      <c r="K3311" s="8"/>
      <c r="L3311" s="8"/>
      <c r="M3311" s="8"/>
      <c r="N3311" s="8"/>
      <c r="O3311" s="8">
        <v>7.19</v>
      </c>
      <c r="P3311" s="8"/>
      <c r="Q3311" s="8"/>
      <c r="R3311" s="11"/>
      <c r="S3311" s="8">
        <v>4.88</v>
      </c>
      <c r="T3311" s="8"/>
      <c r="U3311" s="8">
        <v>15.8</v>
      </c>
      <c r="V3311" s="8"/>
      <c r="W3311" s="8"/>
      <c r="X3311" s="8"/>
      <c r="Y3311" s="8"/>
      <c r="Z3311" s="8">
        <v>215.52</v>
      </c>
      <c r="AA3311" s="8"/>
      <c r="AB3311" s="8">
        <f>714*10.25/1000</f>
        <v>7.3185000000000002</v>
      </c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11"/>
      <c r="AQ3311" s="8"/>
      <c r="AR3311" s="8"/>
      <c r="AS3311" s="8"/>
      <c r="AT3311" s="8">
        <v>631.76</v>
      </c>
      <c r="AU3311" s="8"/>
      <c r="AV3311" s="8"/>
      <c r="AW3311" s="8">
        <v>4.58</v>
      </c>
      <c r="AX3311" s="8"/>
      <c r="AY3311" s="8"/>
      <c r="AZ3311" s="8"/>
      <c r="BA3311" s="8"/>
      <c r="BB3311" s="8"/>
      <c r="BC3311" s="8"/>
      <c r="BD3311" s="8"/>
      <c r="BE3311" s="8"/>
      <c r="BF3311" s="8"/>
      <c r="BG3311" s="8">
        <v>46.68</v>
      </c>
      <c r="BH3311" s="9">
        <f t="shared" si="459"/>
        <v>1435.36</v>
      </c>
      <c r="BI3311" s="9">
        <f t="shared" si="460"/>
        <v>7.19</v>
      </c>
      <c r="BJ3311" s="9">
        <f t="shared" si="461"/>
        <v>4.88</v>
      </c>
      <c r="BK3311" s="9">
        <f t="shared" si="462"/>
        <v>15.8</v>
      </c>
      <c r="BL3311" s="9">
        <f t="shared" si="463"/>
        <v>215.52</v>
      </c>
      <c r="BM3311" s="9">
        <f t="shared" si="464"/>
        <v>7.3185000000000002</v>
      </c>
      <c r="BN3311" s="9">
        <f t="shared" si="465"/>
        <v>631.76</v>
      </c>
      <c r="BO3311" s="9">
        <f t="shared" si="466"/>
        <v>4.58</v>
      </c>
      <c r="BP3311" s="9">
        <f t="shared" si="467"/>
        <v>0</v>
      </c>
    </row>
    <row r="3312" spans="1:68">
      <c r="A3312" s="6">
        <v>45146</v>
      </c>
      <c r="B3312" s="7">
        <v>3021</v>
      </c>
      <c r="C3312" s="8"/>
      <c r="D3312" s="8">
        <v>203.8</v>
      </c>
      <c r="E3312" s="8"/>
      <c r="F3312" s="8"/>
      <c r="G3312" s="8"/>
      <c r="H3312" s="8"/>
      <c r="I3312" s="8">
        <v>376.92</v>
      </c>
      <c r="J3312" s="8"/>
      <c r="K3312" s="8"/>
      <c r="L3312" s="8"/>
      <c r="M3312" s="8"/>
      <c r="N3312" s="8">
        <v>3.08</v>
      </c>
      <c r="O3312" s="8"/>
      <c r="P3312" s="8"/>
      <c r="Q3312" s="8"/>
      <c r="R3312" s="11"/>
      <c r="S3312" s="8">
        <v>1.05</v>
      </c>
      <c r="T3312" s="8"/>
      <c r="U3312" s="8"/>
      <c r="V3312" s="8"/>
      <c r="W3312" s="8">
        <v>5.81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>
        <v>5.79</v>
      </c>
      <c r="AN3312" s="8"/>
      <c r="AO3312" s="8"/>
      <c r="AP3312" s="11"/>
      <c r="AQ3312" s="8"/>
      <c r="AR3312" s="8"/>
      <c r="AS3312" s="8">
        <f>2630*5.52/1000</f>
        <v>14.517599999999998</v>
      </c>
      <c r="AT3312" s="8">
        <v>273.02999999999997</v>
      </c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>
        <v>20.8</v>
      </c>
      <c r="BH3312" s="9">
        <f t="shared" si="459"/>
        <v>580.72</v>
      </c>
      <c r="BI3312" s="9">
        <f t="shared" si="460"/>
        <v>3.08</v>
      </c>
      <c r="BJ3312" s="9">
        <f t="shared" si="461"/>
        <v>1.05</v>
      </c>
      <c r="BK3312" s="9">
        <f t="shared" si="462"/>
        <v>5.81</v>
      </c>
      <c r="BL3312" s="9">
        <f t="shared" si="463"/>
        <v>0</v>
      </c>
      <c r="BM3312" s="9">
        <f t="shared" si="464"/>
        <v>20.307599999999997</v>
      </c>
      <c r="BN3312" s="9">
        <f t="shared" si="465"/>
        <v>273.02999999999997</v>
      </c>
      <c r="BO3312" s="9">
        <f t="shared" si="466"/>
        <v>0</v>
      </c>
      <c r="BP3312" s="9">
        <f t="shared" si="467"/>
        <v>0</v>
      </c>
    </row>
    <row r="3313" spans="1:68">
      <c r="A3313" s="6">
        <v>45146</v>
      </c>
      <c r="B3313" s="7">
        <v>3022</v>
      </c>
      <c r="C3313" s="8"/>
      <c r="D3313" s="8">
        <v>581.27</v>
      </c>
      <c r="E3313" s="8"/>
      <c r="F3313" s="8"/>
      <c r="G3313" s="8"/>
      <c r="H3313" s="8"/>
      <c r="I3313" s="8">
        <v>476.76</v>
      </c>
      <c r="J3313" s="8"/>
      <c r="K3313" s="8"/>
      <c r="L3313" s="8"/>
      <c r="M3313" s="8"/>
      <c r="N3313" s="8">
        <v>5.3</v>
      </c>
      <c r="O3313" s="8"/>
      <c r="P3313" s="8"/>
      <c r="Q3313" s="8"/>
      <c r="R3313" s="11"/>
      <c r="S3313" s="8">
        <v>1.9</v>
      </c>
      <c r="T3313" s="8"/>
      <c r="U3313" s="8"/>
      <c r="V3313" s="8"/>
      <c r="W3313" s="8">
        <v>10.59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>
        <v>13.73</v>
      </c>
      <c r="AN3313" s="8"/>
      <c r="AO3313" s="8"/>
      <c r="AP3313" s="11"/>
      <c r="AQ3313" s="8"/>
      <c r="AR3313" s="8"/>
      <c r="AS3313" s="8">
        <f>3864*9.63/1000</f>
        <v>37.210320000000003</v>
      </c>
      <c r="AT3313" s="8">
        <v>494.19</v>
      </c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>
        <v>38.090000000000003</v>
      </c>
      <c r="BH3313" s="9">
        <f t="shared" si="459"/>
        <v>1058.03</v>
      </c>
      <c r="BI3313" s="9">
        <f t="shared" si="460"/>
        <v>5.3</v>
      </c>
      <c r="BJ3313" s="9">
        <f t="shared" si="461"/>
        <v>1.9</v>
      </c>
      <c r="BK3313" s="9">
        <f t="shared" si="462"/>
        <v>10.59</v>
      </c>
      <c r="BL3313" s="9">
        <f t="shared" si="463"/>
        <v>0</v>
      </c>
      <c r="BM3313" s="9">
        <f t="shared" si="464"/>
        <v>50.94032</v>
      </c>
      <c r="BN3313" s="9">
        <f t="shared" si="465"/>
        <v>494.19</v>
      </c>
      <c r="BO3313" s="9">
        <f t="shared" si="466"/>
        <v>0</v>
      </c>
      <c r="BP3313" s="9">
        <f t="shared" si="467"/>
        <v>0</v>
      </c>
    </row>
    <row r="3314" spans="1:68">
      <c r="A3314" s="6">
        <v>45146</v>
      </c>
      <c r="B3314" s="7">
        <v>3023</v>
      </c>
      <c r="C3314" s="8"/>
      <c r="D3314" s="8">
        <v>880</v>
      </c>
      <c r="E3314" s="8"/>
      <c r="F3314" s="8"/>
      <c r="G3314" s="8"/>
      <c r="H3314" s="8"/>
      <c r="I3314" s="8">
        <v>474.38</v>
      </c>
      <c r="J3314" s="8"/>
      <c r="K3314" s="8"/>
      <c r="L3314" s="8"/>
      <c r="M3314" s="8"/>
      <c r="N3314" s="8">
        <v>7.58</v>
      </c>
      <c r="O3314" s="8"/>
      <c r="P3314" s="8"/>
      <c r="Q3314" s="8"/>
      <c r="R3314" s="11"/>
      <c r="S3314" s="8">
        <v>2.17</v>
      </c>
      <c r="T3314" s="8"/>
      <c r="U3314" s="8"/>
      <c r="V3314" s="8"/>
      <c r="W3314" s="8">
        <v>12.2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>
        <v>13.56</v>
      </c>
      <c r="AN3314" s="8">
        <f>1033*9.33/1000</f>
        <v>9.6378899999999987</v>
      </c>
      <c r="AO3314" s="8"/>
      <c r="AP3314" s="11"/>
      <c r="AQ3314" s="8"/>
      <c r="AR3314" s="8"/>
      <c r="AS3314" s="8">
        <f>4792*9.33/1000</f>
        <v>44.709360000000004</v>
      </c>
      <c r="AT3314" s="8">
        <v>555.23</v>
      </c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>
        <v>41.96</v>
      </c>
      <c r="BH3314" s="9">
        <f t="shared" si="459"/>
        <v>1354.38</v>
      </c>
      <c r="BI3314" s="9">
        <f t="shared" si="460"/>
        <v>7.58</v>
      </c>
      <c r="BJ3314" s="9">
        <f t="shared" si="461"/>
        <v>2.17</v>
      </c>
      <c r="BK3314" s="9">
        <f t="shared" si="462"/>
        <v>12.2</v>
      </c>
      <c r="BL3314" s="9">
        <f t="shared" si="463"/>
        <v>0</v>
      </c>
      <c r="BM3314" s="9">
        <f t="shared" si="464"/>
        <v>67.907250000000005</v>
      </c>
      <c r="BN3314" s="9">
        <f t="shared" si="465"/>
        <v>555.23</v>
      </c>
      <c r="BO3314" s="9">
        <f t="shared" si="466"/>
        <v>0</v>
      </c>
      <c r="BP3314" s="9">
        <f t="shared" si="467"/>
        <v>0</v>
      </c>
    </row>
    <row r="3315" spans="1:68">
      <c r="A3315" s="6">
        <v>45146</v>
      </c>
      <c r="B3315" s="7">
        <v>3083</v>
      </c>
      <c r="C3315" s="8"/>
      <c r="D3315" s="8">
        <f>1079.57+35.34</f>
        <v>1114.9099999999999</v>
      </c>
      <c r="E3315" s="8"/>
      <c r="F3315" s="8"/>
      <c r="G3315" s="8"/>
      <c r="H3315" s="8"/>
      <c r="I3315" s="8">
        <f>2514.27+82.31</f>
        <v>2596.58</v>
      </c>
      <c r="J3315" s="8"/>
      <c r="K3315" s="8"/>
      <c r="L3315" s="8"/>
      <c r="M3315" s="8"/>
      <c r="N3315" s="8">
        <f>23.37+0.77</f>
        <v>24.14</v>
      </c>
      <c r="O3315" s="8"/>
      <c r="P3315" s="8"/>
      <c r="Q3315" s="8"/>
      <c r="R3315" s="11"/>
      <c r="S3315" s="8">
        <f>2.5+0.08</f>
        <v>2.58</v>
      </c>
      <c r="T3315" s="8"/>
      <c r="U3315" s="8"/>
      <c r="V3315" s="8"/>
      <c r="W3315" s="8">
        <f>28.74+0.94</f>
        <v>29.68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>
        <f>14.32+0.47</f>
        <v>14.790000000000001</v>
      </c>
      <c r="AN3315" s="8">
        <f>1914*27.47/1000</f>
        <v>52.577579999999998</v>
      </c>
      <c r="AO3315" s="8"/>
      <c r="AP3315" s="11"/>
      <c r="AQ3315" s="8"/>
      <c r="AR3315" s="8">
        <f>3465*27.47/1000</f>
        <v>95.183549999999997</v>
      </c>
      <c r="AS3315" s="8"/>
      <c r="AT3315" s="8">
        <f>1687.92+55.37</f>
        <v>1743.29</v>
      </c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>
        <f>134.03+4.39</f>
        <v>138.41999999999999</v>
      </c>
      <c r="BH3315" s="9">
        <f t="shared" si="459"/>
        <v>3711.49</v>
      </c>
      <c r="BI3315" s="9">
        <f t="shared" si="460"/>
        <v>24.14</v>
      </c>
      <c r="BJ3315" s="9">
        <f t="shared" si="461"/>
        <v>2.58</v>
      </c>
      <c r="BK3315" s="9">
        <f t="shared" si="462"/>
        <v>29.68</v>
      </c>
      <c r="BL3315" s="9">
        <f t="shared" si="463"/>
        <v>0</v>
      </c>
      <c r="BM3315" s="9">
        <f t="shared" si="464"/>
        <v>162.55113</v>
      </c>
      <c r="BN3315" s="9">
        <f t="shared" si="465"/>
        <v>1743.29</v>
      </c>
      <c r="BO3315" s="9">
        <f t="shared" si="466"/>
        <v>0</v>
      </c>
      <c r="BP3315" s="9">
        <f t="shared" si="467"/>
        <v>0</v>
      </c>
    </row>
    <row r="3316" spans="1:68">
      <c r="A3316" s="6">
        <v>45146</v>
      </c>
      <c r="B3316" s="7">
        <v>3029</v>
      </c>
      <c r="C3316" s="8"/>
      <c r="D3316" s="8">
        <v>467.44</v>
      </c>
      <c r="E3316" s="8"/>
      <c r="F3316" s="8">
        <v>330.03</v>
      </c>
      <c r="G3316" s="8"/>
      <c r="H3316" s="8"/>
      <c r="I3316" s="8">
        <v>1952.36</v>
      </c>
      <c r="J3316" s="8"/>
      <c r="K3316" s="8"/>
      <c r="L3316" s="8"/>
      <c r="M3316" s="8"/>
      <c r="N3316" s="8">
        <v>21.72</v>
      </c>
      <c r="O3316" s="8"/>
      <c r="P3316" s="8"/>
      <c r="Q3316" s="8"/>
      <c r="R3316" s="11"/>
      <c r="S3316" s="8">
        <v>1.64</v>
      </c>
      <c r="T3316" s="8"/>
      <c r="U3316" s="8"/>
      <c r="V3316" s="8"/>
      <c r="W3316" s="8">
        <v>27.55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>
        <v>9.6199999999999992</v>
      </c>
      <c r="AN3316" s="8">
        <f>762*18.35/1000</f>
        <v>13.982700000000001</v>
      </c>
      <c r="AO3316" s="8"/>
      <c r="AP3316" s="11"/>
      <c r="AQ3316" s="8"/>
      <c r="AR3316" s="8">
        <f>4625*18.35/1000</f>
        <v>84.868750000000006</v>
      </c>
      <c r="AS3316" s="8"/>
      <c r="AT3316" s="8">
        <v>1045.49</v>
      </c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>
        <v>73.08</v>
      </c>
      <c r="BH3316" s="9">
        <f t="shared" si="459"/>
        <v>2749.83</v>
      </c>
      <c r="BI3316" s="9">
        <f t="shared" si="460"/>
        <v>21.72</v>
      </c>
      <c r="BJ3316" s="9">
        <f t="shared" si="461"/>
        <v>1.64</v>
      </c>
      <c r="BK3316" s="9">
        <f t="shared" si="462"/>
        <v>27.55</v>
      </c>
      <c r="BL3316" s="9">
        <f t="shared" si="463"/>
        <v>0</v>
      </c>
      <c r="BM3316" s="9">
        <f t="shared" si="464"/>
        <v>108.47145</v>
      </c>
      <c r="BN3316" s="9">
        <f t="shared" si="465"/>
        <v>1045.49</v>
      </c>
      <c r="BO3316" s="9">
        <f t="shared" si="466"/>
        <v>0</v>
      </c>
      <c r="BP3316" s="9">
        <f t="shared" si="467"/>
        <v>0</v>
      </c>
    </row>
    <row r="3317" spans="1:68">
      <c r="A3317" s="6">
        <v>45146</v>
      </c>
      <c r="B3317" s="7">
        <v>3081</v>
      </c>
      <c r="C3317" s="8"/>
      <c r="D3317" s="8">
        <v>290.79000000000002</v>
      </c>
      <c r="E3317" s="8"/>
      <c r="F3317" s="8">
        <v>328</v>
      </c>
      <c r="G3317" s="8"/>
      <c r="H3317" s="8"/>
      <c r="I3317" s="8">
        <v>1196.5899999999999</v>
      </c>
      <c r="J3317" s="8"/>
      <c r="K3317" s="8"/>
      <c r="L3317" s="8"/>
      <c r="M3317" s="8"/>
      <c r="N3317" s="8">
        <v>13.32</v>
      </c>
      <c r="O3317" s="8"/>
      <c r="P3317" s="8">
        <f>632*11.75/1000</f>
        <v>7.4260000000000002</v>
      </c>
      <c r="Q3317" s="8"/>
      <c r="R3317" s="11"/>
      <c r="S3317" s="8">
        <v>1.27</v>
      </c>
      <c r="T3317" s="8"/>
      <c r="U3317" s="8"/>
      <c r="V3317" s="8"/>
      <c r="W3317" s="8">
        <v>18.239999999999998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11"/>
      <c r="AQ3317" s="8">
        <f>1555*11.75/1000</f>
        <v>18.271249999999998</v>
      </c>
      <c r="AR3317" s="8">
        <f>5433*11.75/1000</f>
        <v>63.83775</v>
      </c>
      <c r="AS3317" s="8"/>
      <c r="AT3317" s="8">
        <v>571.29999999999995</v>
      </c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>
        <v>38.03</v>
      </c>
      <c r="BH3317" s="9">
        <f t="shared" si="459"/>
        <v>1815.3799999999999</v>
      </c>
      <c r="BI3317" s="9">
        <f t="shared" si="460"/>
        <v>20.746000000000002</v>
      </c>
      <c r="BJ3317" s="9">
        <f t="shared" si="461"/>
        <v>1.27</v>
      </c>
      <c r="BK3317" s="9">
        <f t="shared" si="462"/>
        <v>18.239999999999998</v>
      </c>
      <c r="BL3317" s="9">
        <f t="shared" si="463"/>
        <v>0</v>
      </c>
      <c r="BM3317" s="9">
        <f t="shared" si="464"/>
        <v>82.108999999999995</v>
      </c>
      <c r="BN3317" s="9">
        <f t="shared" si="465"/>
        <v>571.29999999999995</v>
      </c>
      <c r="BO3317" s="9">
        <f t="shared" si="466"/>
        <v>0</v>
      </c>
      <c r="BP3317" s="9">
        <f t="shared" si="467"/>
        <v>0</v>
      </c>
    </row>
    <row r="3318" spans="1:68">
      <c r="A3318" s="6">
        <v>45147</v>
      </c>
      <c r="B3318" s="7">
        <v>3141</v>
      </c>
      <c r="C3318" s="8">
        <v>2380.4699999999998</v>
      </c>
      <c r="D3318" s="8">
        <v>420.51</v>
      </c>
      <c r="E3318" s="8"/>
      <c r="F3318" s="8"/>
      <c r="G3318" s="8"/>
      <c r="H3318" s="8"/>
      <c r="I3318" s="8"/>
      <c r="J3318" s="8"/>
      <c r="K3318" s="8"/>
      <c r="L3318" s="8"/>
      <c r="M3318" s="8">
        <v>8.1199999999999992</v>
      </c>
      <c r="N3318" s="8"/>
      <c r="O3318" s="8"/>
      <c r="P3318" s="8"/>
      <c r="Q3318" s="8"/>
      <c r="R3318" s="11"/>
      <c r="S3318" s="8">
        <v>13.19</v>
      </c>
      <c r="T3318" s="8"/>
      <c r="U3318" s="8">
        <v>42.08</v>
      </c>
      <c r="V3318" s="8"/>
      <c r="W3318" s="8"/>
      <c r="X3318" s="8"/>
      <c r="Y3318" s="8"/>
      <c r="Z3318" s="8"/>
      <c r="AA3318" s="8"/>
      <c r="AB3318" s="8"/>
      <c r="AC3318" s="8">
        <v>11.21</v>
      </c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11"/>
      <c r="AQ3318" s="8"/>
      <c r="AR3318" s="8"/>
      <c r="AS3318" s="8"/>
      <c r="AT3318" s="8">
        <v>1857.26</v>
      </c>
      <c r="AU3318" s="8"/>
      <c r="AV3318" s="8"/>
      <c r="AW3318" s="8"/>
      <c r="AX3318" s="8"/>
      <c r="AY3318" s="8"/>
      <c r="AZ3318" s="8"/>
      <c r="BA3318" s="8">
        <v>64.3</v>
      </c>
      <c r="BB3318" s="8"/>
      <c r="BC3318" s="8"/>
      <c r="BD3318" s="8"/>
      <c r="BE3318" s="8"/>
      <c r="BF3318" s="8">
        <v>196.31</v>
      </c>
      <c r="BG3318" s="8">
        <v>146.11000000000001</v>
      </c>
      <c r="BH3318" s="9">
        <f t="shared" si="459"/>
        <v>2800.9799999999996</v>
      </c>
      <c r="BI3318" s="9">
        <f t="shared" si="460"/>
        <v>8.1199999999999992</v>
      </c>
      <c r="BJ3318" s="9">
        <f t="shared" si="461"/>
        <v>13.19</v>
      </c>
      <c r="BK3318" s="9">
        <f t="shared" si="462"/>
        <v>42.08</v>
      </c>
      <c r="BL3318" s="9">
        <f t="shared" si="463"/>
        <v>0</v>
      </c>
      <c r="BM3318" s="9">
        <f t="shared" si="464"/>
        <v>11.21</v>
      </c>
      <c r="BN3318" s="9">
        <f t="shared" si="465"/>
        <v>1857.26</v>
      </c>
      <c r="BO3318" s="9">
        <f t="shared" si="466"/>
        <v>64.3</v>
      </c>
      <c r="BP3318" s="9">
        <f t="shared" si="467"/>
        <v>196.31</v>
      </c>
    </row>
    <row r="3319" spans="1:68">
      <c r="A3319" s="6">
        <v>45147</v>
      </c>
      <c r="B3319" s="7">
        <v>3221</v>
      </c>
      <c r="C3319" s="8">
        <v>607.72</v>
      </c>
      <c r="D3319" s="8">
        <v>101.78</v>
      </c>
      <c r="E3319" s="8">
        <v>303.95</v>
      </c>
      <c r="F3319" s="8"/>
      <c r="G3319" s="8"/>
      <c r="H3319" s="8"/>
      <c r="I3319" s="8"/>
      <c r="J3319" s="8"/>
      <c r="K3319" s="8"/>
      <c r="L3319" s="8"/>
      <c r="M3319" s="8"/>
      <c r="N3319" s="8"/>
      <c r="O3319" s="8">
        <v>2.0299999999999998</v>
      </c>
      <c r="P3319" s="8"/>
      <c r="Q3319" s="8"/>
      <c r="R3319" s="11"/>
      <c r="S3319" s="8">
        <v>4.5599999999999996</v>
      </c>
      <c r="T3319" s="8"/>
      <c r="U3319" s="8">
        <v>15.24</v>
      </c>
      <c r="V3319" s="8"/>
      <c r="W3319" s="8"/>
      <c r="X3319" s="8"/>
      <c r="Y3319" s="8"/>
      <c r="Z3319" s="8"/>
      <c r="AA3319" s="8"/>
      <c r="AB3319" s="8">
        <f>409*12.68/1000</f>
        <v>5.1861199999999998</v>
      </c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11"/>
      <c r="AQ3319" s="8">
        <f>1220*12.68/1000</f>
        <v>15.4696</v>
      </c>
      <c r="AR3319" s="8"/>
      <c r="AS3319" s="8"/>
      <c r="AT3319" s="8">
        <v>577.04</v>
      </c>
      <c r="AU3319" s="8"/>
      <c r="AV3319" s="8"/>
      <c r="AW3319" s="8">
        <v>34.51</v>
      </c>
      <c r="AX3319" s="8"/>
      <c r="AY3319" s="8"/>
      <c r="AZ3319" s="8"/>
      <c r="BA3319" s="8"/>
      <c r="BB3319" s="8"/>
      <c r="BC3319" s="8"/>
      <c r="BD3319" s="8"/>
      <c r="BE3319" s="8"/>
      <c r="BF3319" s="8">
        <v>45.69</v>
      </c>
      <c r="BG3319" s="8">
        <v>42.66</v>
      </c>
      <c r="BH3319" s="9">
        <f t="shared" si="459"/>
        <v>1013.45</v>
      </c>
      <c r="BI3319" s="9">
        <f t="shared" si="460"/>
        <v>2.0299999999999998</v>
      </c>
      <c r="BJ3319" s="9">
        <f t="shared" si="461"/>
        <v>4.5599999999999996</v>
      </c>
      <c r="BK3319" s="9">
        <f t="shared" si="462"/>
        <v>15.24</v>
      </c>
      <c r="BL3319" s="9">
        <f t="shared" si="463"/>
        <v>0</v>
      </c>
      <c r="BM3319" s="9">
        <f t="shared" si="464"/>
        <v>20.655719999999999</v>
      </c>
      <c r="BN3319" s="9">
        <f t="shared" si="465"/>
        <v>577.04</v>
      </c>
      <c r="BO3319" s="9">
        <f t="shared" si="466"/>
        <v>34.51</v>
      </c>
      <c r="BP3319" s="9">
        <f t="shared" si="467"/>
        <v>45.69</v>
      </c>
    </row>
    <row r="3320" spans="1:68">
      <c r="A3320" s="6">
        <v>45147</v>
      </c>
      <c r="B3320" s="7">
        <v>3028</v>
      </c>
      <c r="C3320" s="8"/>
      <c r="D3320" s="8">
        <v>1152.3699999999999</v>
      </c>
      <c r="E3320" s="8"/>
      <c r="F3320" s="8">
        <v>1059.25</v>
      </c>
      <c r="G3320" s="8"/>
      <c r="H3320" s="8"/>
      <c r="I3320" s="8">
        <v>2393.11</v>
      </c>
      <c r="J3320" s="8"/>
      <c r="K3320" s="8"/>
      <c r="L3320" s="8"/>
      <c r="M3320" s="8"/>
      <c r="N3320" s="8">
        <v>35.47</v>
      </c>
      <c r="O3320" s="8"/>
      <c r="P3320" s="8"/>
      <c r="Q3320" s="8"/>
      <c r="R3320" s="11"/>
      <c r="S3320" s="8">
        <v>6.44</v>
      </c>
      <c r="T3320" s="8"/>
      <c r="U3320" s="8"/>
      <c r="V3320" s="8"/>
      <c r="W3320" s="8">
        <v>34.549999999999997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>
        <v>45.95</v>
      </c>
      <c r="AN3320" s="8">
        <f>1079*30.67/1000</f>
        <v>33.092930000000003</v>
      </c>
      <c r="AO3320" s="8"/>
      <c r="AP3320" s="11"/>
      <c r="AQ3320" s="8"/>
      <c r="AR3320" s="8"/>
      <c r="AS3320" s="8">
        <f>4993*30.67/1000</f>
        <v>153.13531</v>
      </c>
      <c r="AT3320" s="8">
        <v>1538.42</v>
      </c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>
        <v>104.36</v>
      </c>
      <c r="BH3320" s="9">
        <f t="shared" si="459"/>
        <v>4604.7299999999996</v>
      </c>
      <c r="BI3320" s="9">
        <f t="shared" si="460"/>
        <v>35.47</v>
      </c>
      <c r="BJ3320" s="9">
        <f t="shared" si="461"/>
        <v>6.44</v>
      </c>
      <c r="BK3320" s="9">
        <f t="shared" si="462"/>
        <v>34.549999999999997</v>
      </c>
      <c r="BL3320" s="9">
        <f t="shared" si="463"/>
        <v>0</v>
      </c>
      <c r="BM3320" s="9">
        <f t="shared" si="464"/>
        <v>232.17824000000002</v>
      </c>
      <c r="BN3320" s="9">
        <f t="shared" si="465"/>
        <v>1538.42</v>
      </c>
      <c r="BO3320" s="9">
        <f t="shared" si="466"/>
        <v>0</v>
      </c>
      <c r="BP3320" s="9">
        <f t="shared" si="467"/>
        <v>0</v>
      </c>
    </row>
    <row r="3321" spans="1:68">
      <c r="A3321" s="6">
        <v>45147</v>
      </c>
      <c r="B3321" s="7">
        <v>3031</v>
      </c>
      <c r="C3321" s="8"/>
      <c r="D3321" s="8"/>
      <c r="E3321" s="8"/>
      <c r="F3321" s="8"/>
      <c r="G3321" s="8"/>
      <c r="H3321" s="8"/>
      <c r="I3321" s="8">
        <v>1172.47</v>
      </c>
      <c r="J3321" s="8"/>
      <c r="K3321" s="8"/>
      <c r="L3321" s="8"/>
      <c r="M3321" s="8"/>
      <c r="N3321" s="8">
        <v>8.1</v>
      </c>
      <c r="O3321" s="8"/>
      <c r="P3321" s="8"/>
      <c r="Q3321" s="8"/>
      <c r="R3321" s="11"/>
      <c r="S3321" s="8">
        <v>0.82</v>
      </c>
      <c r="T3321" s="8"/>
      <c r="U3321" s="8"/>
      <c r="V3321" s="8"/>
      <c r="W3321" s="8">
        <v>11.74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>
        <f>1807*9.77/1000</f>
        <v>17.654389999999999</v>
      </c>
      <c r="AJ3321" s="8"/>
      <c r="AK3321" s="8"/>
      <c r="AL3321" s="8"/>
      <c r="AM3321" s="8"/>
      <c r="AN3321" s="8">
        <f>1212*9.77/1000</f>
        <v>11.841239999999999</v>
      </c>
      <c r="AO3321" s="8"/>
      <c r="AP3321" s="11"/>
      <c r="AQ3321" s="8"/>
      <c r="AR3321" s="8">
        <f>3679*9.77/1000</f>
        <v>35.943829999999998</v>
      </c>
      <c r="AS3321" s="8"/>
      <c r="AT3321" s="8">
        <v>558.36</v>
      </c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>
        <v>37.94</v>
      </c>
      <c r="BH3321" s="9">
        <f t="shared" si="459"/>
        <v>1172.47</v>
      </c>
      <c r="BI3321" s="9">
        <f t="shared" si="460"/>
        <v>8.1</v>
      </c>
      <c r="BJ3321" s="9">
        <f t="shared" si="461"/>
        <v>0.82</v>
      </c>
      <c r="BK3321" s="9">
        <f t="shared" si="462"/>
        <v>11.74</v>
      </c>
      <c r="BL3321" s="9">
        <f t="shared" si="463"/>
        <v>0</v>
      </c>
      <c r="BM3321" s="9">
        <f t="shared" si="464"/>
        <v>65.439459999999997</v>
      </c>
      <c r="BN3321" s="9">
        <f t="shared" si="465"/>
        <v>558.36</v>
      </c>
      <c r="BO3321" s="9">
        <f t="shared" si="466"/>
        <v>0</v>
      </c>
      <c r="BP3321" s="9">
        <f t="shared" si="467"/>
        <v>0</v>
      </c>
    </row>
    <row r="3322" spans="1:68">
      <c r="A3322" s="6">
        <v>45147</v>
      </c>
      <c r="B3322" s="7">
        <v>3153</v>
      </c>
      <c r="C3322" s="8">
        <v>1407.17</v>
      </c>
      <c r="D3322" s="8"/>
      <c r="E3322" s="8"/>
      <c r="F3322" s="8"/>
      <c r="G3322" s="8"/>
      <c r="H3322" s="8"/>
      <c r="I3322" s="8"/>
      <c r="J3322" s="8"/>
      <c r="K3322" s="8"/>
      <c r="L3322" s="8"/>
      <c r="M3322" s="8">
        <v>2.5299999999999998</v>
      </c>
      <c r="N3322" s="8">
        <v>2.5299999999999998</v>
      </c>
      <c r="O3322" s="8"/>
      <c r="P3322" s="8"/>
      <c r="Q3322" s="8"/>
      <c r="R3322" s="11"/>
      <c r="S3322" s="8">
        <v>5.77</v>
      </c>
      <c r="T3322" s="8"/>
      <c r="U3322" s="8">
        <v>14.06</v>
      </c>
      <c r="V3322" s="8"/>
      <c r="W3322" s="8"/>
      <c r="X3322" s="8"/>
      <c r="Y3322" s="8"/>
      <c r="Z3322" s="8"/>
      <c r="AA3322" s="8"/>
      <c r="AB3322" s="8"/>
      <c r="AC3322" s="8">
        <v>5.62</v>
      </c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11"/>
      <c r="AQ3322" s="8"/>
      <c r="AR3322" s="8"/>
      <c r="AS3322" s="8"/>
      <c r="AT3322" s="8">
        <v>623.94000000000005</v>
      </c>
      <c r="AU3322" s="8"/>
      <c r="AV3322" s="8"/>
      <c r="AW3322" s="8"/>
      <c r="AX3322" s="8"/>
      <c r="AY3322" s="8"/>
      <c r="AZ3322" s="8"/>
      <c r="BA3322" s="8"/>
      <c r="BB3322" s="8"/>
      <c r="BC3322" s="8">
        <v>1.4</v>
      </c>
      <c r="BD3322" s="8"/>
      <c r="BE3322" s="8"/>
      <c r="BF3322" s="8"/>
      <c r="BG3322" s="8">
        <v>45.7</v>
      </c>
      <c r="BH3322" s="9">
        <f t="shared" si="459"/>
        <v>1407.17</v>
      </c>
      <c r="BI3322" s="9">
        <f t="shared" si="460"/>
        <v>5.0599999999999996</v>
      </c>
      <c r="BJ3322" s="9">
        <f t="shared" si="461"/>
        <v>5.77</v>
      </c>
      <c r="BK3322" s="9">
        <f t="shared" si="462"/>
        <v>14.06</v>
      </c>
      <c r="BL3322" s="9">
        <f t="shared" si="463"/>
        <v>0</v>
      </c>
      <c r="BM3322" s="9">
        <f t="shared" si="464"/>
        <v>5.62</v>
      </c>
      <c r="BN3322" s="9">
        <f t="shared" si="465"/>
        <v>623.94000000000005</v>
      </c>
      <c r="BO3322" s="9">
        <f t="shared" si="466"/>
        <v>1.4</v>
      </c>
      <c r="BP3322" s="9">
        <f t="shared" si="467"/>
        <v>0</v>
      </c>
    </row>
    <row r="3323" spans="1:68">
      <c r="A3323" s="6">
        <v>45148</v>
      </c>
      <c r="B3323" s="7">
        <v>3122</v>
      </c>
      <c r="C3323" s="8">
        <v>1413.48</v>
      </c>
      <c r="D3323" s="8"/>
      <c r="E3323" s="8"/>
      <c r="F3323" s="8"/>
      <c r="G3323" s="8"/>
      <c r="H3323" s="8"/>
      <c r="I3323" s="8"/>
      <c r="J3323" s="8"/>
      <c r="K3323" s="8"/>
      <c r="L3323" s="8"/>
      <c r="M3323" s="8">
        <v>2.5499999999999998</v>
      </c>
      <c r="N3323" s="8">
        <v>2.54</v>
      </c>
      <c r="O3323" s="8"/>
      <c r="P3323" s="8"/>
      <c r="Q3323" s="8"/>
      <c r="R3323" s="11"/>
      <c r="S3323" s="8">
        <v>5.8</v>
      </c>
      <c r="T3323" s="8"/>
      <c r="U3323" s="8">
        <v>14.16</v>
      </c>
      <c r="V3323" s="8"/>
      <c r="W3323" s="8"/>
      <c r="X3323" s="8"/>
      <c r="Y3323" s="8"/>
      <c r="Z3323" s="8"/>
      <c r="AA3323" s="8"/>
      <c r="AB3323" s="8"/>
      <c r="AC3323" s="8">
        <v>5.66</v>
      </c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11"/>
      <c r="AQ3323" s="8"/>
      <c r="AR3323" s="8"/>
      <c r="AS3323" s="8"/>
      <c r="AT3323" s="8">
        <v>626.17999999999995</v>
      </c>
      <c r="AU3323" s="8"/>
      <c r="AV3323" s="8">
        <v>48.11</v>
      </c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>
        <v>45.99</v>
      </c>
      <c r="BH3323" s="9">
        <f t="shared" si="459"/>
        <v>1413.48</v>
      </c>
      <c r="BI3323" s="9">
        <f t="shared" si="460"/>
        <v>5.09</v>
      </c>
      <c r="BJ3323" s="9">
        <f t="shared" si="461"/>
        <v>5.8</v>
      </c>
      <c r="BK3323" s="9">
        <f t="shared" si="462"/>
        <v>14.16</v>
      </c>
      <c r="BL3323" s="9">
        <f t="shared" si="463"/>
        <v>0</v>
      </c>
      <c r="BM3323" s="9">
        <f t="shared" si="464"/>
        <v>5.66</v>
      </c>
      <c r="BN3323" s="9">
        <f t="shared" si="465"/>
        <v>626.17999999999995</v>
      </c>
      <c r="BO3323" s="9">
        <f t="shared" si="466"/>
        <v>48.11</v>
      </c>
      <c r="BP3323" s="9">
        <f t="shared" si="467"/>
        <v>0</v>
      </c>
    </row>
    <row r="3324" spans="1:68">
      <c r="A3324" s="6">
        <v>45148</v>
      </c>
      <c r="B3324" s="7">
        <v>3304</v>
      </c>
      <c r="C3324" s="8"/>
      <c r="D3324" s="8">
        <v>1102.56</v>
      </c>
      <c r="E3324" s="8"/>
      <c r="F3324" s="8"/>
      <c r="G3324" s="8"/>
      <c r="H3324" s="8"/>
      <c r="I3324" s="8"/>
      <c r="J3324" s="8"/>
      <c r="K3324" s="8"/>
      <c r="L3324" s="8"/>
      <c r="M3324" s="8">
        <v>2.2000000000000002</v>
      </c>
      <c r="N3324" s="8"/>
      <c r="O3324" s="8"/>
      <c r="P3324" s="8"/>
      <c r="Q3324" s="8"/>
      <c r="R3324" s="11"/>
      <c r="S3324" s="8">
        <v>1.66</v>
      </c>
      <c r="T3324" s="8"/>
      <c r="U3324" s="8">
        <v>9.93</v>
      </c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>
        <v>11.1</v>
      </c>
      <c r="AH3324" s="8"/>
      <c r="AI3324" s="8"/>
      <c r="AJ3324" s="8"/>
      <c r="AK3324" s="8"/>
      <c r="AL3324" s="8"/>
      <c r="AM3324" s="8"/>
      <c r="AN3324" s="8"/>
      <c r="AO3324" s="8"/>
      <c r="AP3324" s="11"/>
      <c r="AQ3324" s="8"/>
      <c r="AR3324" s="8"/>
      <c r="AS3324" s="8"/>
      <c r="AT3324" s="8">
        <v>292.89</v>
      </c>
      <c r="AU3324" s="8">
        <v>147.19</v>
      </c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>
        <v>30.87</v>
      </c>
      <c r="BH3324" s="9">
        <f t="shared" si="459"/>
        <v>1102.56</v>
      </c>
      <c r="BI3324" s="9">
        <f t="shared" si="460"/>
        <v>2.2000000000000002</v>
      </c>
      <c r="BJ3324" s="9">
        <f t="shared" si="461"/>
        <v>1.66</v>
      </c>
      <c r="BK3324" s="9">
        <f t="shared" si="462"/>
        <v>9.93</v>
      </c>
      <c r="BL3324" s="9">
        <f t="shared" si="463"/>
        <v>0</v>
      </c>
      <c r="BM3324" s="9">
        <f t="shared" si="464"/>
        <v>11.1</v>
      </c>
      <c r="BN3324" s="9">
        <f t="shared" si="465"/>
        <v>440.08</v>
      </c>
      <c r="BO3324" s="9">
        <f t="shared" si="466"/>
        <v>0</v>
      </c>
      <c r="BP3324" s="9">
        <f t="shared" si="467"/>
        <v>0</v>
      </c>
    </row>
    <row r="3325" spans="1:68">
      <c r="A3325" s="6">
        <v>45148</v>
      </c>
      <c r="B3325" s="7">
        <v>3309</v>
      </c>
      <c r="C3325" s="8"/>
      <c r="D3325" s="8">
        <v>1061.8499999999999</v>
      </c>
      <c r="E3325" s="8"/>
      <c r="F3325" s="8"/>
      <c r="G3325" s="8"/>
      <c r="H3325" s="8"/>
      <c r="I3325" s="8"/>
      <c r="J3325" s="8"/>
      <c r="K3325" s="8"/>
      <c r="L3325" s="8"/>
      <c r="M3325" s="8">
        <v>2.12</v>
      </c>
      <c r="N3325" s="8"/>
      <c r="O3325" s="8"/>
      <c r="P3325" s="8"/>
      <c r="Q3325" s="8"/>
      <c r="R3325" s="11"/>
      <c r="S3325" s="8">
        <v>1.59</v>
      </c>
      <c r="T3325" s="8"/>
      <c r="U3325" s="8">
        <v>9.56</v>
      </c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>
        <v>10.61</v>
      </c>
      <c r="AH3325" s="8"/>
      <c r="AI3325" s="8"/>
      <c r="AJ3325" s="8"/>
      <c r="AK3325" s="8"/>
      <c r="AL3325" s="8"/>
      <c r="AM3325" s="8"/>
      <c r="AN3325" s="8"/>
      <c r="AO3325" s="8"/>
      <c r="AP3325" s="11"/>
      <c r="AQ3325" s="8"/>
      <c r="AR3325" s="8"/>
      <c r="AS3325" s="8"/>
      <c r="AT3325" s="8">
        <v>284.12</v>
      </c>
      <c r="AU3325" s="8">
        <v>141.88</v>
      </c>
      <c r="AV3325" s="8"/>
      <c r="AW3325" s="8"/>
      <c r="AX3325" s="8"/>
      <c r="AY3325" s="8"/>
      <c r="AZ3325" s="8"/>
      <c r="BA3325" s="8"/>
      <c r="BB3325" s="8"/>
      <c r="BC3325" s="8">
        <v>0.99</v>
      </c>
      <c r="BD3325" s="8"/>
      <c r="BE3325" s="8"/>
      <c r="BF3325" s="8"/>
      <c r="BG3325" s="8">
        <v>29.59</v>
      </c>
      <c r="BH3325" s="9">
        <f t="shared" si="459"/>
        <v>1061.8499999999999</v>
      </c>
      <c r="BI3325" s="9">
        <f t="shared" si="460"/>
        <v>2.12</v>
      </c>
      <c r="BJ3325" s="9">
        <f t="shared" si="461"/>
        <v>1.59</v>
      </c>
      <c r="BK3325" s="9">
        <f t="shared" si="462"/>
        <v>9.56</v>
      </c>
      <c r="BL3325" s="9">
        <f t="shared" si="463"/>
        <v>0</v>
      </c>
      <c r="BM3325" s="9">
        <f t="shared" si="464"/>
        <v>10.61</v>
      </c>
      <c r="BN3325" s="9">
        <f t="shared" si="465"/>
        <v>426</v>
      </c>
      <c r="BO3325" s="9">
        <f t="shared" si="466"/>
        <v>0.99</v>
      </c>
      <c r="BP3325" s="9">
        <f t="shared" si="467"/>
        <v>0</v>
      </c>
    </row>
    <row r="3326" spans="1:68">
      <c r="A3326" s="6">
        <v>45148</v>
      </c>
      <c r="B3326" s="7">
        <v>3200</v>
      </c>
      <c r="C3326" s="8">
        <v>3397.74</v>
      </c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>
        <v>8.5500000000000007</v>
      </c>
      <c r="P3326" s="8"/>
      <c r="Q3326" s="8"/>
      <c r="R3326" s="11"/>
      <c r="S3326" s="8">
        <v>13.3</v>
      </c>
      <c r="T3326" s="8"/>
      <c r="U3326" s="8">
        <v>51.13</v>
      </c>
      <c r="V3326" s="8"/>
      <c r="W3326" s="8"/>
      <c r="X3326" s="8"/>
      <c r="Y3326" s="8"/>
      <c r="Z3326" s="8">
        <v>716.33</v>
      </c>
      <c r="AA3326" s="8"/>
      <c r="AB3326" s="8"/>
      <c r="AC3326" s="8"/>
      <c r="AD3326" s="8"/>
      <c r="AE3326" s="8"/>
      <c r="AF3326" s="8">
        <v>169.94</v>
      </c>
      <c r="AG3326" s="8"/>
      <c r="AH3326" s="8"/>
      <c r="AI3326" s="8"/>
      <c r="AJ3326" s="8"/>
      <c r="AK3326" s="8"/>
      <c r="AL3326" s="8"/>
      <c r="AM3326" s="8"/>
      <c r="AN3326" s="8"/>
      <c r="AO3326" s="8"/>
      <c r="AP3326" s="11"/>
      <c r="AQ3326" s="8">
        <f>1530*34.1/1000</f>
        <v>52.173000000000002</v>
      </c>
      <c r="AR3326" s="8"/>
      <c r="AS3326" s="8"/>
      <c r="AT3326" s="8">
        <v>2329.98</v>
      </c>
      <c r="AU3326" s="8"/>
      <c r="AV3326" s="8"/>
      <c r="AW3326" s="8">
        <v>9.8800000000000008</v>
      </c>
      <c r="AX3326" s="8"/>
      <c r="AY3326" s="8"/>
      <c r="AZ3326" s="8"/>
      <c r="BA3326" s="8"/>
      <c r="BB3326" s="8"/>
      <c r="BC3326" s="8"/>
      <c r="BD3326" s="8"/>
      <c r="BE3326" s="8"/>
      <c r="BF3326" s="8">
        <v>163.63999999999999</v>
      </c>
      <c r="BG3326" s="8">
        <v>169.33</v>
      </c>
      <c r="BH3326" s="9">
        <f t="shared" si="459"/>
        <v>3397.74</v>
      </c>
      <c r="BI3326" s="9">
        <f t="shared" si="460"/>
        <v>8.5500000000000007</v>
      </c>
      <c r="BJ3326" s="9">
        <f t="shared" si="461"/>
        <v>13.3</v>
      </c>
      <c r="BK3326" s="9">
        <f t="shared" si="462"/>
        <v>51.13</v>
      </c>
      <c r="BL3326" s="9">
        <f t="shared" si="463"/>
        <v>716.33</v>
      </c>
      <c r="BM3326" s="9">
        <f t="shared" si="464"/>
        <v>222.113</v>
      </c>
      <c r="BN3326" s="9">
        <f t="shared" si="465"/>
        <v>2329.98</v>
      </c>
      <c r="BO3326" s="9">
        <f t="shared" si="466"/>
        <v>9.8800000000000008</v>
      </c>
      <c r="BP3326" s="9">
        <f t="shared" si="467"/>
        <v>163.63999999999999</v>
      </c>
    </row>
    <row r="3327" spans="1:68">
      <c r="A3327" s="6">
        <v>45148</v>
      </c>
      <c r="B3327" s="7">
        <v>3139</v>
      </c>
      <c r="C3327" s="8">
        <v>1123.56</v>
      </c>
      <c r="D3327" s="8"/>
      <c r="E3327" s="8"/>
      <c r="F3327" s="8"/>
      <c r="G3327" s="8"/>
      <c r="H3327" s="8">
        <v>466.03</v>
      </c>
      <c r="I3327" s="8"/>
      <c r="J3327" s="8"/>
      <c r="K3327" s="8"/>
      <c r="L3327" s="8"/>
      <c r="M3327" s="8">
        <v>2.64</v>
      </c>
      <c r="N3327" s="8"/>
      <c r="O3327" s="8"/>
      <c r="P3327" s="8"/>
      <c r="Q3327" s="8"/>
      <c r="R3327" s="11"/>
      <c r="S3327" s="8">
        <v>4.9800000000000004</v>
      </c>
      <c r="T3327" s="8"/>
      <c r="U3327" s="8">
        <v>16.600000000000001</v>
      </c>
      <c r="V3327" s="8"/>
      <c r="W3327" s="8"/>
      <c r="X3327" s="8"/>
      <c r="Y3327" s="8"/>
      <c r="Z3327" s="8"/>
      <c r="AA3327" s="8"/>
      <c r="AB3327" s="8"/>
      <c r="AC3327" s="8">
        <v>5.53</v>
      </c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11"/>
      <c r="AQ3327" s="8"/>
      <c r="AR3327" s="8"/>
      <c r="AS3327" s="8"/>
      <c r="AT3327" s="8">
        <v>813.53</v>
      </c>
      <c r="AU3327" s="8"/>
      <c r="AV3327" s="8">
        <v>27.73</v>
      </c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>
        <v>59.49</v>
      </c>
      <c r="BH3327" s="9">
        <f t="shared" si="459"/>
        <v>1589.59</v>
      </c>
      <c r="BI3327" s="9">
        <f t="shared" si="460"/>
        <v>2.64</v>
      </c>
      <c r="BJ3327" s="9">
        <f t="shared" si="461"/>
        <v>4.9800000000000004</v>
      </c>
      <c r="BK3327" s="9">
        <f t="shared" si="462"/>
        <v>16.600000000000001</v>
      </c>
      <c r="BL3327" s="9">
        <f t="shared" si="463"/>
        <v>0</v>
      </c>
      <c r="BM3327" s="9">
        <f t="shared" si="464"/>
        <v>5.53</v>
      </c>
      <c r="BN3327" s="9">
        <f t="shared" si="465"/>
        <v>813.53</v>
      </c>
      <c r="BO3327" s="9">
        <f t="shared" si="466"/>
        <v>27.73</v>
      </c>
      <c r="BP3327" s="9">
        <f t="shared" si="467"/>
        <v>0</v>
      </c>
    </row>
    <row r="3328" spans="1:68">
      <c r="A3328" s="6">
        <v>45149</v>
      </c>
      <c r="B3328" s="7">
        <v>3106</v>
      </c>
      <c r="C3328" s="8">
        <v>8133.64</v>
      </c>
      <c r="D3328" s="8"/>
      <c r="E3328" s="8"/>
      <c r="F3328" s="8"/>
      <c r="G3328" s="8"/>
      <c r="H3328" s="8"/>
      <c r="I3328" s="8"/>
      <c r="J3328" s="8"/>
      <c r="K3328" s="8"/>
      <c r="L3328" s="8"/>
      <c r="M3328" s="8">
        <v>21.96</v>
      </c>
      <c r="N3328" s="8"/>
      <c r="O3328" s="8"/>
      <c r="P3328" s="8"/>
      <c r="Q3328" s="8"/>
      <c r="R3328" s="11"/>
      <c r="S3328" s="8">
        <v>24.44</v>
      </c>
      <c r="T3328" s="8"/>
      <c r="U3328" s="8">
        <v>103.37</v>
      </c>
      <c r="V3328" s="8"/>
      <c r="W3328" s="8"/>
      <c r="X3328" s="8"/>
      <c r="Y3328" s="8"/>
      <c r="Z3328" s="8"/>
      <c r="AA3328" s="8"/>
      <c r="AB3328" s="8"/>
      <c r="AC3328" s="8">
        <v>20.329999999999998</v>
      </c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11"/>
      <c r="AQ3328" s="8"/>
      <c r="AR3328" s="8"/>
      <c r="AS3328" s="8"/>
      <c r="AT3328" s="8">
        <v>4633.38</v>
      </c>
      <c r="AU3328" s="8"/>
      <c r="AV3328" s="8"/>
      <c r="AW3328" s="8"/>
      <c r="AX3328" s="8">
        <v>10.17</v>
      </c>
      <c r="AY3328" s="8"/>
      <c r="AZ3328" s="8"/>
      <c r="BA3328" s="8"/>
      <c r="BB3328" s="8"/>
      <c r="BC3328" s="8"/>
      <c r="BD3328" s="8"/>
      <c r="BE3328" s="8"/>
      <c r="BF3328" s="8"/>
      <c r="BG3328" s="8">
        <v>349.66</v>
      </c>
      <c r="BH3328" s="9">
        <f t="shared" si="459"/>
        <v>8133.64</v>
      </c>
      <c r="BI3328" s="9">
        <f t="shared" si="460"/>
        <v>21.96</v>
      </c>
      <c r="BJ3328" s="9">
        <f t="shared" si="461"/>
        <v>24.44</v>
      </c>
      <c r="BK3328" s="9">
        <f t="shared" si="462"/>
        <v>103.37</v>
      </c>
      <c r="BL3328" s="9">
        <f t="shared" si="463"/>
        <v>0</v>
      </c>
      <c r="BM3328" s="9">
        <f t="shared" si="464"/>
        <v>20.329999999999998</v>
      </c>
      <c r="BN3328" s="9">
        <f t="shared" si="465"/>
        <v>4633.38</v>
      </c>
      <c r="BO3328" s="9">
        <f t="shared" si="466"/>
        <v>10.17</v>
      </c>
      <c r="BP3328" s="9">
        <f t="shared" si="467"/>
        <v>0</v>
      </c>
    </row>
    <row r="3329" spans="1:68">
      <c r="A3329" s="6">
        <v>45149</v>
      </c>
      <c r="B3329" s="7">
        <v>3083</v>
      </c>
      <c r="C3329" s="8"/>
      <c r="D3329" s="8">
        <v>1084.26</v>
      </c>
      <c r="E3329" s="8"/>
      <c r="F3329" s="8"/>
      <c r="G3329" s="8"/>
      <c r="H3329" s="8"/>
      <c r="I3329" s="8">
        <v>2528.7600000000002</v>
      </c>
      <c r="J3329" s="8"/>
      <c r="K3329" s="8"/>
      <c r="L3329" s="8"/>
      <c r="M3329" s="8"/>
      <c r="N3329" s="8">
        <v>23.48</v>
      </c>
      <c r="O3329" s="8"/>
      <c r="P3329" s="8"/>
      <c r="Q3329" s="8"/>
      <c r="R3329" s="11"/>
      <c r="S3329" s="8">
        <v>2.52</v>
      </c>
      <c r="T3329" s="8"/>
      <c r="U3329" s="8"/>
      <c r="V3329" s="8"/>
      <c r="W3329" s="8">
        <v>28.91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>
        <v>14.42</v>
      </c>
      <c r="AN3329" s="8">
        <f>1899*26.73/1000</f>
        <v>50.760270000000006</v>
      </c>
      <c r="AO3329" s="8"/>
      <c r="AP3329" s="11"/>
      <c r="AQ3329" s="8"/>
      <c r="AR3329" s="8">
        <f>3462*26.73/1000</f>
        <v>92.539259999999999</v>
      </c>
      <c r="AS3329" s="8"/>
      <c r="AT3329" s="8">
        <v>1696.47</v>
      </c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>
        <v>134.55000000000001</v>
      </c>
      <c r="BH3329" s="9">
        <f t="shared" si="459"/>
        <v>3613.0200000000004</v>
      </c>
      <c r="BI3329" s="9">
        <f t="shared" si="460"/>
        <v>23.48</v>
      </c>
      <c r="BJ3329" s="9">
        <f t="shared" si="461"/>
        <v>2.52</v>
      </c>
      <c r="BK3329" s="9">
        <f t="shared" si="462"/>
        <v>28.91</v>
      </c>
      <c r="BL3329" s="9">
        <f t="shared" si="463"/>
        <v>0</v>
      </c>
      <c r="BM3329" s="9">
        <f t="shared" si="464"/>
        <v>157.71953000000002</v>
      </c>
      <c r="BN3329" s="9">
        <f t="shared" si="465"/>
        <v>1696.47</v>
      </c>
      <c r="BO3329" s="9">
        <f t="shared" si="466"/>
        <v>0</v>
      </c>
      <c r="BP3329" s="9">
        <f t="shared" si="467"/>
        <v>0</v>
      </c>
    </row>
    <row r="3330" spans="1:68">
      <c r="A3330" s="6">
        <v>45149</v>
      </c>
      <c r="B3330" s="7">
        <v>3031</v>
      </c>
      <c r="C3330" s="8"/>
      <c r="D3330" s="8"/>
      <c r="E3330" s="8"/>
      <c r="F3330" s="8"/>
      <c r="G3330" s="8"/>
      <c r="H3330" s="8"/>
      <c r="I3330" s="8">
        <v>1162.79</v>
      </c>
      <c r="J3330" s="8"/>
      <c r="K3330" s="8"/>
      <c r="L3330" s="8"/>
      <c r="M3330" s="8"/>
      <c r="N3330" s="8">
        <v>8.0299999999999994</v>
      </c>
      <c r="O3330" s="8"/>
      <c r="P3330" s="8"/>
      <c r="Q3330" s="8"/>
      <c r="R3330" s="11"/>
      <c r="S3330" s="8">
        <v>0.82</v>
      </c>
      <c r="T3330" s="8"/>
      <c r="U3330" s="8"/>
      <c r="V3330" s="8"/>
      <c r="W3330" s="8">
        <v>11.64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>
        <f>1823*9.68/1000</f>
        <v>17.646639999999998</v>
      </c>
      <c r="AJ3330" s="8"/>
      <c r="AK3330" s="8"/>
      <c r="AL3330" s="8"/>
      <c r="AM3330" s="8"/>
      <c r="AN3330" s="8">
        <f>1206*9.68/1000</f>
        <v>11.67408</v>
      </c>
      <c r="AO3330" s="8"/>
      <c r="AP3330" s="11"/>
      <c r="AQ3330" s="8"/>
      <c r="AR3330" s="8">
        <f>3612*9.68/1000</f>
        <v>34.96416</v>
      </c>
      <c r="AS3330" s="8"/>
      <c r="AT3330" s="8">
        <v>552.5</v>
      </c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>
        <v>37.549999999999997</v>
      </c>
      <c r="BH3330" s="9">
        <f t="shared" si="459"/>
        <v>1162.79</v>
      </c>
      <c r="BI3330" s="9">
        <f t="shared" si="460"/>
        <v>8.0299999999999994</v>
      </c>
      <c r="BJ3330" s="9">
        <f t="shared" si="461"/>
        <v>0.82</v>
      </c>
      <c r="BK3330" s="9">
        <f t="shared" si="462"/>
        <v>11.64</v>
      </c>
      <c r="BL3330" s="9">
        <f t="shared" si="463"/>
        <v>0</v>
      </c>
      <c r="BM3330" s="9">
        <f t="shared" si="464"/>
        <v>64.284880000000001</v>
      </c>
      <c r="BN3330" s="9">
        <f t="shared" si="465"/>
        <v>552.5</v>
      </c>
      <c r="BO3330" s="9">
        <f t="shared" si="466"/>
        <v>0</v>
      </c>
      <c r="BP3330" s="9">
        <f t="shared" si="467"/>
        <v>0</v>
      </c>
    </row>
    <row r="3331" spans="1:68">
      <c r="A3331" s="6">
        <v>45149</v>
      </c>
      <c r="B3331" s="7">
        <v>3080</v>
      </c>
      <c r="C3331" s="8"/>
      <c r="D3331" s="8"/>
      <c r="E3331" s="8"/>
      <c r="F3331" s="8">
        <v>438.07</v>
      </c>
      <c r="G3331" s="8"/>
      <c r="H3331" s="8"/>
      <c r="I3331" s="8">
        <v>657.1</v>
      </c>
      <c r="J3331" s="8"/>
      <c r="K3331" s="8"/>
      <c r="L3331" s="8"/>
      <c r="M3331" s="8"/>
      <c r="N3331" s="8">
        <v>7.45</v>
      </c>
      <c r="O3331" s="8"/>
      <c r="P3331" s="8">
        <f>637*7.05/1000</f>
        <v>4.4908499999999991</v>
      </c>
      <c r="Q3331" s="8"/>
      <c r="R3331" s="11"/>
      <c r="S3331" s="8">
        <v>0.66</v>
      </c>
      <c r="T3331" s="8"/>
      <c r="U3331" s="8"/>
      <c r="V3331" s="8"/>
      <c r="W3331" s="8">
        <v>10.97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>
        <f>2331*7.05/1000</f>
        <v>16.43355</v>
      </c>
      <c r="AJ3331" s="8"/>
      <c r="AK3331" s="8"/>
      <c r="AL3331" s="8"/>
      <c r="AM3331" s="8"/>
      <c r="AN3331" s="8"/>
      <c r="AO3331" s="8"/>
      <c r="AP3331" s="11"/>
      <c r="AQ3331" s="8">
        <f>1594*7.05/1000</f>
        <v>11.237699999999998</v>
      </c>
      <c r="AR3331" s="8">
        <f>5433*7.05/1000</f>
        <v>38.30265</v>
      </c>
      <c r="AS3331" s="8"/>
      <c r="AT3331" s="8">
        <v>383.73</v>
      </c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>
        <v>20.77</v>
      </c>
      <c r="BH3331" s="9">
        <f t="shared" si="459"/>
        <v>1095.17</v>
      </c>
      <c r="BI3331" s="9">
        <f t="shared" si="460"/>
        <v>11.940849999999999</v>
      </c>
      <c r="BJ3331" s="9">
        <f t="shared" si="461"/>
        <v>0.66</v>
      </c>
      <c r="BK3331" s="9">
        <f t="shared" si="462"/>
        <v>10.97</v>
      </c>
      <c r="BL3331" s="9">
        <f t="shared" si="463"/>
        <v>0</v>
      </c>
      <c r="BM3331" s="9">
        <f t="shared" si="464"/>
        <v>65.9739</v>
      </c>
      <c r="BN3331" s="9">
        <f t="shared" si="465"/>
        <v>383.73</v>
      </c>
      <c r="BO3331" s="9">
        <f t="shared" si="466"/>
        <v>0</v>
      </c>
      <c r="BP3331" s="9">
        <f t="shared" si="467"/>
        <v>0</v>
      </c>
    </row>
    <row r="3332" spans="1:68">
      <c r="A3332" s="6">
        <v>45149</v>
      </c>
      <c r="B3332" s="7">
        <v>3020</v>
      </c>
      <c r="C3332" s="8"/>
      <c r="D3332" s="8">
        <v>105.21</v>
      </c>
      <c r="E3332" s="8"/>
      <c r="F3332" s="8"/>
      <c r="G3332" s="8"/>
      <c r="H3332" s="8"/>
      <c r="I3332" s="8">
        <v>590.62</v>
      </c>
      <c r="J3332" s="8"/>
      <c r="K3332" s="8"/>
      <c r="L3332" s="8"/>
      <c r="M3332" s="8"/>
      <c r="N3332" s="8">
        <v>4.2699999999999996</v>
      </c>
      <c r="O3332" s="8"/>
      <c r="P3332" s="8"/>
      <c r="Q3332" s="8"/>
      <c r="R3332" s="11"/>
      <c r="S3332" s="8">
        <v>1.26</v>
      </c>
      <c r="T3332" s="8"/>
      <c r="U3332" s="8"/>
      <c r="V3332" s="8"/>
      <c r="W3332" s="8">
        <v>7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>
        <v>6.96</v>
      </c>
      <c r="AN3332" s="8"/>
      <c r="AO3332" s="8"/>
      <c r="AP3332" s="11"/>
      <c r="AQ3332" s="8"/>
      <c r="AR3332" s="8"/>
      <c r="AS3332" s="8">
        <f>3022*5.83/1000</f>
        <v>17.618259999999999</v>
      </c>
      <c r="AT3332" s="8">
        <v>344.36</v>
      </c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>
        <v>25.16</v>
      </c>
      <c r="BH3332" s="9">
        <f t="shared" ref="BH3332:BH3395" si="468">SUM(C3332:L3332)</f>
        <v>695.83</v>
      </c>
      <c r="BI3332" s="9">
        <f t="shared" ref="BI3332:BI3395" si="469">SUM(M3332:R3332)</f>
        <v>4.2699999999999996</v>
      </c>
      <c r="BJ3332" s="9">
        <f t="shared" ref="BJ3332:BJ3395" si="470">SUM(S3332)</f>
        <v>1.26</v>
      </c>
      <c r="BK3332" s="9">
        <f t="shared" ref="BK3332:BK3395" si="471">SUM(T3332:Y3332)</f>
        <v>7</v>
      </c>
      <c r="BL3332" s="9">
        <f t="shared" ref="BL3332:BL3395" si="472">SUM(Z3332:AA3332)</f>
        <v>0</v>
      </c>
      <c r="BM3332" s="9">
        <f t="shared" ref="BM3332:BM3395" si="473">SUM(AB3332:AS3332)</f>
        <v>24.57826</v>
      </c>
      <c r="BN3332" s="9">
        <f t="shared" ref="BN3332:BN3395" si="474">SUM(AT3332:AU3332)</f>
        <v>344.36</v>
      </c>
      <c r="BO3332" s="9">
        <f t="shared" ref="BO3332:BO3395" si="475">SUM(AV3332:BE3332)</f>
        <v>0</v>
      </c>
      <c r="BP3332" s="9">
        <f t="shared" ref="BP3332:BP3395" si="476">SUM(BF3332)</f>
        <v>0</v>
      </c>
    </row>
    <row r="3333" spans="1:68">
      <c r="A3333" s="6">
        <v>45149</v>
      </c>
      <c r="B3333" s="7">
        <v>3023</v>
      </c>
      <c r="C3333" s="8"/>
      <c r="D3333" s="8">
        <v>889.95</v>
      </c>
      <c r="E3333" s="8"/>
      <c r="F3333" s="8"/>
      <c r="G3333" s="8"/>
      <c r="H3333" s="8"/>
      <c r="I3333" s="8">
        <v>481.79</v>
      </c>
      <c r="J3333" s="8"/>
      <c r="K3333" s="8"/>
      <c r="L3333" s="8"/>
      <c r="M3333" s="8"/>
      <c r="N3333" s="8">
        <v>7.67</v>
      </c>
      <c r="O3333" s="8"/>
      <c r="P3333" s="8"/>
      <c r="Q3333" s="8"/>
      <c r="R3333" s="11"/>
      <c r="S3333" s="8">
        <v>2.19</v>
      </c>
      <c r="T3333" s="8"/>
      <c r="U3333" s="8"/>
      <c r="V3333" s="8"/>
      <c r="W3333" s="8">
        <v>12.34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>
        <v>13.67</v>
      </c>
      <c r="AN3333" s="8">
        <f>1044*9.45/1000</f>
        <v>9.8658000000000001</v>
      </c>
      <c r="AO3333" s="8"/>
      <c r="AP3333" s="11"/>
      <c r="AQ3333" s="8"/>
      <c r="AR3333" s="8"/>
      <c r="AS3333" s="8">
        <f>4786*9.45/1000</f>
        <v>45.227699999999999</v>
      </c>
      <c r="AT3333" s="8">
        <v>561.77</v>
      </c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>
        <v>42.46</v>
      </c>
      <c r="BH3333" s="9">
        <f t="shared" si="468"/>
        <v>1371.74</v>
      </c>
      <c r="BI3333" s="9">
        <f t="shared" si="469"/>
        <v>7.67</v>
      </c>
      <c r="BJ3333" s="9">
        <f t="shared" si="470"/>
        <v>2.19</v>
      </c>
      <c r="BK3333" s="9">
        <f t="shared" si="471"/>
        <v>12.34</v>
      </c>
      <c r="BL3333" s="9">
        <f t="shared" si="472"/>
        <v>0</v>
      </c>
      <c r="BM3333" s="9">
        <f t="shared" si="473"/>
        <v>68.763499999999993</v>
      </c>
      <c r="BN3333" s="9">
        <f t="shared" si="474"/>
        <v>561.77</v>
      </c>
      <c r="BO3333" s="9">
        <f t="shared" si="475"/>
        <v>0</v>
      </c>
      <c r="BP3333" s="9">
        <f t="shared" si="476"/>
        <v>0</v>
      </c>
    </row>
    <row r="3334" spans="1:68">
      <c r="A3334" s="6">
        <v>45149</v>
      </c>
      <c r="B3334" s="7">
        <v>3601</v>
      </c>
      <c r="C3334" s="8">
        <v>298.70999999999998</v>
      </c>
      <c r="D3334" s="8"/>
      <c r="E3334" s="8"/>
      <c r="F3334" s="8"/>
      <c r="G3334" s="8">
        <v>448.12</v>
      </c>
      <c r="H3334" s="8"/>
      <c r="I3334" s="8"/>
      <c r="J3334" s="8"/>
      <c r="K3334" s="8"/>
      <c r="L3334" s="8"/>
      <c r="M3334" s="8">
        <v>0.9</v>
      </c>
      <c r="N3334" s="8"/>
      <c r="O3334" s="8"/>
      <c r="P3334" s="8"/>
      <c r="Q3334" s="8"/>
      <c r="R3334" s="11"/>
      <c r="S3334" s="8">
        <v>3.59</v>
      </c>
      <c r="T3334" s="8"/>
      <c r="U3334" s="8">
        <v>4.4800000000000004</v>
      </c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11"/>
      <c r="AQ3334" s="8"/>
      <c r="AR3334" s="8"/>
      <c r="AS3334" s="8"/>
      <c r="AT3334" s="8">
        <v>366.04</v>
      </c>
      <c r="AU3334" s="8"/>
      <c r="AV3334" s="8"/>
      <c r="AW3334" s="8">
        <v>22.73</v>
      </c>
      <c r="AX3334" s="8"/>
      <c r="AY3334" s="8"/>
      <c r="AZ3334" s="8"/>
      <c r="BA3334" s="8"/>
      <c r="BB3334" s="8"/>
      <c r="BC3334" s="8"/>
      <c r="BD3334" s="8"/>
      <c r="BE3334" s="8"/>
      <c r="BF3334" s="8">
        <v>41.9</v>
      </c>
      <c r="BG3334" s="8">
        <v>26.5</v>
      </c>
      <c r="BH3334" s="9">
        <f t="shared" si="468"/>
        <v>746.82999999999993</v>
      </c>
      <c r="BI3334" s="9">
        <f t="shared" si="469"/>
        <v>0.9</v>
      </c>
      <c r="BJ3334" s="9">
        <f t="shared" si="470"/>
        <v>3.59</v>
      </c>
      <c r="BK3334" s="9">
        <f t="shared" si="471"/>
        <v>4.4800000000000004</v>
      </c>
      <c r="BL3334" s="9">
        <f t="shared" si="472"/>
        <v>0</v>
      </c>
      <c r="BM3334" s="9">
        <f t="shared" si="473"/>
        <v>0</v>
      </c>
      <c r="BN3334" s="9">
        <f t="shared" si="474"/>
        <v>366.04</v>
      </c>
      <c r="BO3334" s="9">
        <f t="shared" si="475"/>
        <v>22.73</v>
      </c>
      <c r="BP3334" s="9">
        <f t="shared" si="476"/>
        <v>41.9</v>
      </c>
    </row>
    <row r="3335" spans="1:68">
      <c r="A3335" s="6">
        <v>45149</v>
      </c>
      <c r="B3335" s="7">
        <v>3602</v>
      </c>
      <c r="C3335" s="8">
        <v>575.75</v>
      </c>
      <c r="D3335" s="8"/>
      <c r="E3335" s="8"/>
      <c r="F3335" s="8"/>
      <c r="G3335" s="8">
        <v>863.59</v>
      </c>
      <c r="H3335" s="8"/>
      <c r="I3335" s="8"/>
      <c r="J3335" s="8"/>
      <c r="K3335" s="8"/>
      <c r="L3335" s="8"/>
      <c r="M3335" s="8">
        <v>1.74</v>
      </c>
      <c r="N3335" s="8"/>
      <c r="O3335" s="8"/>
      <c r="P3335" s="8"/>
      <c r="Q3335" s="8"/>
      <c r="R3335" s="11"/>
      <c r="S3335" s="8">
        <v>6.91</v>
      </c>
      <c r="T3335" s="8"/>
      <c r="U3335" s="8">
        <v>11.51</v>
      </c>
      <c r="V3335" s="8">
        <f>857*16.47/1000</f>
        <v>14.114789999999999</v>
      </c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11"/>
      <c r="AQ3335" s="8"/>
      <c r="AR3335" s="8"/>
      <c r="AS3335" s="8"/>
      <c r="AT3335" s="8">
        <v>580.51</v>
      </c>
      <c r="AU3335" s="8"/>
      <c r="AV3335" s="8"/>
      <c r="AW3335" s="8">
        <v>37.229999999999997</v>
      </c>
      <c r="AX3335" s="8"/>
      <c r="AY3335" s="8"/>
      <c r="AZ3335" s="8"/>
      <c r="BA3335" s="8"/>
      <c r="BB3335" s="8"/>
      <c r="BC3335" s="8"/>
      <c r="BD3335" s="8"/>
      <c r="BE3335" s="8"/>
      <c r="BF3335" s="8">
        <v>46.14</v>
      </c>
      <c r="BG3335" s="8">
        <v>43.22</v>
      </c>
      <c r="BH3335" s="9">
        <f t="shared" si="468"/>
        <v>1439.3400000000001</v>
      </c>
      <c r="BI3335" s="9">
        <f t="shared" si="469"/>
        <v>1.74</v>
      </c>
      <c r="BJ3335" s="9">
        <f t="shared" si="470"/>
        <v>6.91</v>
      </c>
      <c r="BK3335" s="9">
        <f t="shared" si="471"/>
        <v>25.624789999999997</v>
      </c>
      <c r="BL3335" s="9">
        <f t="shared" si="472"/>
        <v>0</v>
      </c>
      <c r="BM3335" s="9">
        <f t="shared" si="473"/>
        <v>0</v>
      </c>
      <c r="BN3335" s="9">
        <f t="shared" si="474"/>
        <v>580.51</v>
      </c>
      <c r="BO3335" s="9">
        <f t="shared" si="475"/>
        <v>37.229999999999997</v>
      </c>
      <c r="BP3335" s="9">
        <f t="shared" si="476"/>
        <v>46.14</v>
      </c>
    </row>
    <row r="3336" spans="1:68">
      <c r="A3336" s="6">
        <v>45152</v>
      </c>
      <c r="B3336" s="7">
        <v>3205</v>
      </c>
      <c r="C3336" s="8">
        <v>677.65</v>
      </c>
      <c r="D3336" s="8">
        <v>378.02</v>
      </c>
      <c r="E3336" s="8">
        <v>453.4</v>
      </c>
      <c r="F3336" s="8"/>
      <c r="G3336" s="8"/>
      <c r="H3336" s="8"/>
      <c r="I3336" s="8"/>
      <c r="J3336" s="8"/>
      <c r="K3336" s="8"/>
      <c r="L3336" s="8"/>
      <c r="M3336" s="8"/>
      <c r="N3336" s="8"/>
      <c r="O3336" s="8">
        <v>6.06</v>
      </c>
      <c r="P3336" s="8"/>
      <c r="Q3336" s="8"/>
      <c r="R3336" s="11"/>
      <c r="S3336" s="8">
        <v>5.6</v>
      </c>
      <c r="T3336" s="8"/>
      <c r="U3336" s="8">
        <v>18.16</v>
      </c>
      <c r="V3336" s="8"/>
      <c r="W3336" s="8"/>
      <c r="X3336" s="8"/>
      <c r="Y3336" s="8"/>
      <c r="Z3336" s="8">
        <v>151.4</v>
      </c>
      <c r="AA3336" s="8"/>
      <c r="AB3336" s="8">
        <f>1022*15.12/1000</f>
        <v>15.452639999999999</v>
      </c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11"/>
      <c r="AQ3336" s="8">
        <f>506*15.12/1000</f>
        <v>7.6507199999999997</v>
      </c>
      <c r="AR3336" s="8"/>
      <c r="AS3336" s="8"/>
      <c r="AT3336" s="8">
        <v>393.11</v>
      </c>
      <c r="AU3336" s="8">
        <v>196.77</v>
      </c>
      <c r="AV3336" s="8"/>
      <c r="AW3336" s="8">
        <v>6.49</v>
      </c>
      <c r="AX3336" s="8"/>
      <c r="AY3336" s="8"/>
      <c r="AZ3336" s="8"/>
      <c r="BA3336" s="8"/>
      <c r="BB3336" s="8"/>
      <c r="BC3336" s="8"/>
      <c r="BD3336" s="8"/>
      <c r="BE3336" s="8"/>
      <c r="BF3336" s="8"/>
      <c r="BG3336" s="8">
        <v>35.51</v>
      </c>
      <c r="BH3336" s="9">
        <f t="shared" si="468"/>
        <v>1509.0700000000002</v>
      </c>
      <c r="BI3336" s="9">
        <f t="shared" si="469"/>
        <v>6.06</v>
      </c>
      <c r="BJ3336" s="9">
        <f t="shared" si="470"/>
        <v>5.6</v>
      </c>
      <c r="BK3336" s="9">
        <f t="shared" si="471"/>
        <v>18.16</v>
      </c>
      <c r="BL3336" s="9">
        <f t="shared" si="472"/>
        <v>151.4</v>
      </c>
      <c r="BM3336" s="9">
        <f t="shared" si="473"/>
        <v>23.103359999999999</v>
      </c>
      <c r="BN3336" s="9">
        <f t="shared" si="474"/>
        <v>589.88</v>
      </c>
      <c r="BO3336" s="9">
        <f t="shared" si="475"/>
        <v>6.49</v>
      </c>
      <c r="BP3336" s="9">
        <f t="shared" si="476"/>
        <v>0</v>
      </c>
    </row>
    <row r="3337" spans="1:68">
      <c r="A3337" s="6">
        <v>45152</v>
      </c>
      <c r="B3337" s="7">
        <v>3200</v>
      </c>
      <c r="C3337" s="8">
        <v>2329.7199999999998</v>
      </c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>
        <v>5.84</v>
      </c>
      <c r="P3337" s="8"/>
      <c r="Q3337" s="8"/>
      <c r="R3337" s="11"/>
      <c r="S3337" s="8">
        <v>9.09</v>
      </c>
      <c r="T3337" s="8"/>
      <c r="U3337" s="8">
        <v>34.94</v>
      </c>
      <c r="V3337" s="8"/>
      <c r="W3337" s="8"/>
      <c r="X3337" s="8"/>
      <c r="Y3337" s="8"/>
      <c r="Z3337" s="8">
        <v>489.62</v>
      </c>
      <c r="AA3337" s="8"/>
      <c r="AB3337" s="8"/>
      <c r="AC3337" s="8"/>
      <c r="AD3337" s="8"/>
      <c r="AE3337" s="8"/>
      <c r="AF3337" s="8">
        <v>116.13</v>
      </c>
      <c r="AG3337" s="8"/>
      <c r="AH3337" s="8"/>
      <c r="AI3337" s="8"/>
      <c r="AJ3337" s="8"/>
      <c r="AK3337" s="8"/>
      <c r="AL3337" s="8"/>
      <c r="AM3337" s="8"/>
      <c r="AN3337" s="8"/>
      <c r="AO3337" s="8"/>
      <c r="AP3337" s="11"/>
      <c r="AQ3337" s="8">
        <f>1511*23.28/1000</f>
        <v>35.176079999999999</v>
      </c>
      <c r="AR3337" s="8"/>
      <c r="AS3337" s="8"/>
      <c r="AT3337" s="8">
        <v>1595.01</v>
      </c>
      <c r="AU3337" s="8"/>
      <c r="AV3337" s="8"/>
      <c r="AW3337" s="8">
        <v>6.72</v>
      </c>
      <c r="AX3337" s="8"/>
      <c r="AY3337" s="8"/>
      <c r="AZ3337" s="8"/>
      <c r="BA3337" s="8"/>
      <c r="BB3337" s="8"/>
      <c r="BC3337" s="8"/>
      <c r="BD3337" s="8"/>
      <c r="BE3337" s="8"/>
      <c r="BF3337" s="8">
        <v>111.88</v>
      </c>
      <c r="BG3337" s="8">
        <v>115.45</v>
      </c>
      <c r="BH3337" s="9">
        <f t="shared" si="468"/>
        <v>2329.7199999999998</v>
      </c>
      <c r="BI3337" s="9">
        <f t="shared" si="469"/>
        <v>5.84</v>
      </c>
      <c r="BJ3337" s="9">
        <f t="shared" si="470"/>
        <v>9.09</v>
      </c>
      <c r="BK3337" s="9">
        <f t="shared" si="471"/>
        <v>34.94</v>
      </c>
      <c r="BL3337" s="9">
        <f t="shared" si="472"/>
        <v>489.62</v>
      </c>
      <c r="BM3337" s="9">
        <f t="shared" si="473"/>
        <v>151.30608000000001</v>
      </c>
      <c r="BN3337" s="9">
        <f t="shared" si="474"/>
        <v>1595.01</v>
      </c>
      <c r="BO3337" s="9">
        <f t="shared" si="475"/>
        <v>6.72</v>
      </c>
      <c r="BP3337" s="9">
        <f t="shared" si="476"/>
        <v>111.88</v>
      </c>
    </row>
    <row r="3338" spans="1:68">
      <c r="A3338" s="6">
        <v>45152</v>
      </c>
      <c r="B3338" s="7">
        <v>3145</v>
      </c>
      <c r="C3338" s="8">
        <v>653.64</v>
      </c>
      <c r="D3338" s="8">
        <v>115.53</v>
      </c>
      <c r="E3338" s="8"/>
      <c r="F3338" s="8"/>
      <c r="G3338" s="8"/>
      <c r="H3338" s="8"/>
      <c r="I3338" s="8"/>
      <c r="J3338" s="8"/>
      <c r="K3338" s="8"/>
      <c r="L3338" s="8"/>
      <c r="M3338" s="8">
        <v>2.2400000000000002</v>
      </c>
      <c r="N3338" s="8"/>
      <c r="O3338" s="8"/>
      <c r="P3338" s="8"/>
      <c r="Q3338" s="8"/>
      <c r="R3338" s="11"/>
      <c r="S3338" s="8">
        <v>3.62</v>
      </c>
      <c r="T3338" s="8"/>
      <c r="U3338" s="8">
        <v>11.57</v>
      </c>
      <c r="V3338" s="8"/>
      <c r="W3338" s="8"/>
      <c r="X3338" s="8"/>
      <c r="Y3338" s="8"/>
      <c r="Z3338" s="8"/>
      <c r="AA3338" s="8"/>
      <c r="AB3338" s="8"/>
      <c r="AC3338" s="8">
        <v>3.09</v>
      </c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11"/>
      <c r="AQ3338" s="8"/>
      <c r="AR3338" s="8"/>
      <c r="AS3338" s="8"/>
      <c r="AT3338" s="8">
        <v>506.33</v>
      </c>
      <c r="AU3338" s="8"/>
      <c r="AV3338" s="8"/>
      <c r="AW3338" s="8"/>
      <c r="AX3338" s="8"/>
      <c r="AY3338" s="8"/>
      <c r="AZ3338" s="8"/>
      <c r="BA3338" s="8"/>
      <c r="BB3338" s="8"/>
      <c r="BC3338" s="8"/>
      <c r="BD3338" s="8">
        <v>1.93</v>
      </c>
      <c r="BE3338" s="8">
        <f>1369*5.13/1000</f>
        <v>7.0229699999999999</v>
      </c>
      <c r="BF3338" s="8">
        <v>53.96</v>
      </c>
      <c r="BG3338" s="8">
        <v>40.020000000000003</v>
      </c>
      <c r="BH3338" s="9">
        <f t="shared" si="468"/>
        <v>769.17</v>
      </c>
      <c r="BI3338" s="9">
        <f t="shared" si="469"/>
        <v>2.2400000000000002</v>
      </c>
      <c r="BJ3338" s="9">
        <f t="shared" si="470"/>
        <v>3.62</v>
      </c>
      <c r="BK3338" s="9">
        <f t="shared" si="471"/>
        <v>11.57</v>
      </c>
      <c r="BL3338" s="9">
        <f t="shared" si="472"/>
        <v>0</v>
      </c>
      <c r="BM3338" s="9">
        <f t="shared" si="473"/>
        <v>3.09</v>
      </c>
      <c r="BN3338" s="9">
        <f t="shared" si="474"/>
        <v>506.33</v>
      </c>
      <c r="BO3338" s="9">
        <f t="shared" si="475"/>
        <v>8.9529700000000005</v>
      </c>
      <c r="BP3338" s="9">
        <f t="shared" si="476"/>
        <v>53.96</v>
      </c>
    </row>
    <row r="3339" spans="1:68">
      <c r="A3339" s="6">
        <v>45152</v>
      </c>
      <c r="B3339" s="7">
        <v>3141</v>
      </c>
      <c r="C3339" s="8">
        <v>2365.6</v>
      </c>
      <c r="D3339" s="8">
        <v>417.46</v>
      </c>
      <c r="E3339" s="8"/>
      <c r="F3339" s="8"/>
      <c r="G3339" s="8"/>
      <c r="H3339" s="8"/>
      <c r="I3339" s="8"/>
      <c r="J3339" s="8"/>
      <c r="K3339" s="8"/>
      <c r="L3339" s="8"/>
      <c r="M3339" s="8">
        <v>8.07</v>
      </c>
      <c r="N3339" s="8"/>
      <c r="O3339" s="8"/>
      <c r="P3339" s="8"/>
      <c r="Q3339" s="8"/>
      <c r="R3339" s="11"/>
      <c r="S3339" s="8">
        <v>13.09</v>
      </c>
      <c r="T3339" s="8"/>
      <c r="U3339" s="8">
        <v>41.76</v>
      </c>
      <c r="V3339" s="8"/>
      <c r="W3339" s="8"/>
      <c r="X3339" s="8"/>
      <c r="Y3339" s="8"/>
      <c r="Z3339" s="8"/>
      <c r="AA3339" s="8"/>
      <c r="AB3339" s="8"/>
      <c r="AC3339" s="8">
        <v>11.13</v>
      </c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11"/>
      <c r="AQ3339" s="8"/>
      <c r="AR3339" s="8"/>
      <c r="AS3339" s="8"/>
      <c r="AT3339" s="8">
        <v>1840.69</v>
      </c>
      <c r="AU3339" s="8"/>
      <c r="AV3339" s="8"/>
      <c r="AW3339" s="8"/>
      <c r="AX3339" s="8"/>
      <c r="AY3339" s="8"/>
      <c r="AZ3339" s="8"/>
      <c r="BA3339" s="8">
        <v>63.81</v>
      </c>
      <c r="BB3339" s="8"/>
      <c r="BC3339" s="8"/>
      <c r="BD3339" s="8"/>
      <c r="BE3339" s="8"/>
      <c r="BF3339" s="8">
        <v>195.05</v>
      </c>
      <c r="BG3339" s="8">
        <v>144.63</v>
      </c>
      <c r="BH3339" s="9">
        <f t="shared" si="468"/>
        <v>2783.06</v>
      </c>
      <c r="BI3339" s="9">
        <f t="shared" si="469"/>
        <v>8.07</v>
      </c>
      <c r="BJ3339" s="9">
        <f t="shared" si="470"/>
        <v>13.09</v>
      </c>
      <c r="BK3339" s="9">
        <f t="shared" si="471"/>
        <v>41.76</v>
      </c>
      <c r="BL3339" s="9">
        <f t="shared" si="472"/>
        <v>0</v>
      </c>
      <c r="BM3339" s="9">
        <f t="shared" si="473"/>
        <v>11.13</v>
      </c>
      <c r="BN3339" s="9">
        <f t="shared" si="474"/>
        <v>1840.69</v>
      </c>
      <c r="BO3339" s="9">
        <f t="shared" si="475"/>
        <v>63.81</v>
      </c>
      <c r="BP3339" s="9">
        <f t="shared" si="476"/>
        <v>195.05</v>
      </c>
    </row>
    <row r="3340" spans="1:68">
      <c r="A3340" s="6">
        <v>45152</v>
      </c>
      <c r="B3340" s="7">
        <v>3116</v>
      </c>
      <c r="C3340" s="8">
        <v>1491.52</v>
      </c>
      <c r="D3340" s="8"/>
      <c r="E3340" s="8"/>
      <c r="F3340" s="8"/>
      <c r="G3340" s="8"/>
      <c r="H3340" s="8"/>
      <c r="I3340" s="8"/>
      <c r="J3340" s="8"/>
      <c r="K3340" s="8"/>
      <c r="L3340" s="8"/>
      <c r="M3340" s="8">
        <v>3.28</v>
      </c>
      <c r="N3340" s="8"/>
      <c r="O3340" s="8"/>
      <c r="P3340" s="8"/>
      <c r="Q3340" s="8"/>
      <c r="R3340" s="11"/>
      <c r="S3340" s="8">
        <v>5.97</v>
      </c>
      <c r="T3340" s="8"/>
      <c r="U3340" s="8">
        <v>21.95</v>
      </c>
      <c r="V3340" s="8"/>
      <c r="W3340" s="8"/>
      <c r="X3340" s="8"/>
      <c r="Y3340" s="8"/>
      <c r="Z3340" s="8"/>
      <c r="AA3340" s="8"/>
      <c r="AB3340" s="8"/>
      <c r="AC3340" s="8">
        <v>5.97</v>
      </c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11"/>
      <c r="AQ3340" s="8">
        <f>1438*10.67/1000</f>
        <v>15.343459999999999</v>
      </c>
      <c r="AR3340" s="8"/>
      <c r="AS3340" s="8"/>
      <c r="AT3340" s="8">
        <v>911.11</v>
      </c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>
        <v>59.71</v>
      </c>
      <c r="BG3340" s="8">
        <v>68.069999999999993</v>
      </c>
      <c r="BH3340" s="9">
        <f t="shared" si="468"/>
        <v>1491.52</v>
      </c>
      <c r="BI3340" s="9">
        <f t="shared" si="469"/>
        <v>3.28</v>
      </c>
      <c r="BJ3340" s="9">
        <f t="shared" si="470"/>
        <v>5.97</v>
      </c>
      <c r="BK3340" s="9">
        <f t="shared" si="471"/>
        <v>21.95</v>
      </c>
      <c r="BL3340" s="9">
        <f t="shared" si="472"/>
        <v>0</v>
      </c>
      <c r="BM3340" s="9">
        <f t="shared" si="473"/>
        <v>21.313459999999999</v>
      </c>
      <c r="BN3340" s="9">
        <f t="shared" si="474"/>
        <v>911.11</v>
      </c>
      <c r="BO3340" s="9">
        <f t="shared" si="475"/>
        <v>0</v>
      </c>
      <c r="BP3340" s="9">
        <f t="shared" si="476"/>
        <v>59.71</v>
      </c>
    </row>
    <row r="3341" spans="1:68">
      <c r="A3341" s="6">
        <v>45152</v>
      </c>
      <c r="B3341" s="7">
        <v>3016</v>
      </c>
      <c r="C3341" s="8"/>
      <c r="D3341" s="8">
        <v>2395.0500000000002</v>
      </c>
      <c r="E3341" s="8"/>
      <c r="F3341" s="8"/>
      <c r="G3341" s="8"/>
      <c r="H3341" s="8"/>
      <c r="I3341" s="8">
        <v>2209.87</v>
      </c>
      <c r="J3341" s="8"/>
      <c r="K3341" s="8"/>
      <c r="L3341" s="8"/>
      <c r="M3341" s="8"/>
      <c r="N3341" s="8">
        <v>28.56</v>
      </c>
      <c r="O3341" s="8"/>
      <c r="P3341" s="8"/>
      <c r="Q3341" s="8"/>
      <c r="R3341" s="11"/>
      <c r="S3341" s="8">
        <v>3.22</v>
      </c>
      <c r="T3341" s="8"/>
      <c r="U3341" s="8"/>
      <c r="V3341" s="8"/>
      <c r="W3341" s="8">
        <v>46.07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>
        <v>18.39</v>
      </c>
      <c r="AN3341" s="8">
        <f>2049*27.08/1000</f>
        <v>55.486919999999998</v>
      </c>
      <c r="AO3341" s="8"/>
      <c r="AP3341" s="11"/>
      <c r="AQ3341" s="8"/>
      <c r="AR3341" s="8">
        <f>4277*27.08/1000</f>
        <v>115.82115999999999</v>
      </c>
      <c r="AS3341" s="8"/>
      <c r="AT3341" s="8">
        <v>1711.1</v>
      </c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>
        <v>125.34</v>
      </c>
      <c r="BH3341" s="9">
        <f t="shared" si="468"/>
        <v>4604.92</v>
      </c>
      <c r="BI3341" s="9">
        <f t="shared" si="469"/>
        <v>28.56</v>
      </c>
      <c r="BJ3341" s="9">
        <f t="shared" si="470"/>
        <v>3.22</v>
      </c>
      <c r="BK3341" s="9">
        <f t="shared" si="471"/>
        <v>46.07</v>
      </c>
      <c r="BL3341" s="9">
        <f t="shared" si="472"/>
        <v>0</v>
      </c>
      <c r="BM3341" s="9">
        <f t="shared" si="473"/>
        <v>189.69808</v>
      </c>
      <c r="BN3341" s="9">
        <f t="shared" si="474"/>
        <v>1711.1</v>
      </c>
      <c r="BO3341" s="9">
        <f t="shared" si="475"/>
        <v>0</v>
      </c>
      <c r="BP3341" s="9">
        <f t="shared" si="476"/>
        <v>0</v>
      </c>
    </row>
    <row r="3342" spans="1:68">
      <c r="A3342" s="6">
        <v>45152</v>
      </c>
      <c r="B3342" s="7">
        <v>3028</v>
      </c>
      <c r="C3342" s="8"/>
      <c r="D3342" s="8">
        <v>773.87</v>
      </c>
      <c r="E3342" s="8"/>
      <c r="F3342" s="8">
        <v>712.16</v>
      </c>
      <c r="G3342" s="8"/>
      <c r="H3342" s="8"/>
      <c r="I3342" s="8">
        <v>1608.79</v>
      </c>
      <c r="J3342" s="8"/>
      <c r="K3342" s="8"/>
      <c r="L3342" s="8"/>
      <c r="M3342" s="8"/>
      <c r="N3342" s="8">
        <v>23.83</v>
      </c>
      <c r="O3342" s="8"/>
      <c r="P3342" s="8"/>
      <c r="Q3342" s="8"/>
      <c r="R3342" s="11"/>
      <c r="S3342" s="8">
        <v>4.33</v>
      </c>
      <c r="T3342" s="8"/>
      <c r="U3342" s="8"/>
      <c r="V3342" s="8"/>
      <c r="W3342" s="8">
        <v>23.21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>
        <v>30.92</v>
      </c>
      <c r="AN3342" s="8">
        <f>1056*20.62/1000</f>
        <v>21.774720000000002</v>
      </c>
      <c r="AO3342" s="8"/>
      <c r="AP3342" s="11"/>
      <c r="AQ3342" s="8"/>
      <c r="AR3342" s="8"/>
      <c r="AS3342" s="8">
        <f>4960*20.62/1000</f>
        <v>102.27520000000001</v>
      </c>
      <c r="AT3342" s="8">
        <v>1033.28</v>
      </c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>
        <v>70.37</v>
      </c>
      <c r="BH3342" s="9">
        <f t="shared" si="468"/>
        <v>3094.8199999999997</v>
      </c>
      <c r="BI3342" s="9">
        <f t="shared" si="469"/>
        <v>23.83</v>
      </c>
      <c r="BJ3342" s="9">
        <f t="shared" si="470"/>
        <v>4.33</v>
      </c>
      <c r="BK3342" s="9">
        <f t="shared" si="471"/>
        <v>23.21</v>
      </c>
      <c r="BL3342" s="9">
        <f t="shared" si="472"/>
        <v>0</v>
      </c>
      <c r="BM3342" s="9">
        <f t="shared" si="473"/>
        <v>154.96992</v>
      </c>
      <c r="BN3342" s="9">
        <f t="shared" si="474"/>
        <v>1033.28</v>
      </c>
      <c r="BO3342" s="9">
        <f t="shared" si="475"/>
        <v>0</v>
      </c>
      <c r="BP3342" s="9">
        <f t="shared" si="476"/>
        <v>0</v>
      </c>
    </row>
    <row r="3343" spans="1:68">
      <c r="A3343" s="6">
        <v>45152</v>
      </c>
      <c r="B3343" s="7">
        <v>3022</v>
      </c>
      <c r="C3343" s="8"/>
      <c r="D3343" s="8">
        <v>323.72000000000003</v>
      </c>
      <c r="E3343" s="8"/>
      <c r="F3343" s="8"/>
      <c r="G3343" s="8"/>
      <c r="H3343" s="8"/>
      <c r="I3343" s="8">
        <v>265.77999999999997</v>
      </c>
      <c r="J3343" s="8"/>
      <c r="K3343" s="8"/>
      <c r="L3343" s="8"/>
      <c r="M3343" s="8"/>
      <c r="N3343" s="8">
        <v>2.96</v>
      </c>
      <c r="O3343" s="8"/>
      <c r="P3343" s="8"/>
      <c r="Q3343" s="8"/>
      <c r="R3343" s="11"/>
      <c r="S3343" s="8">
        <v>1.06</v>
      </c>
      <c r="T3343" s="8"/>
      <c r="U3343" s="8"/>
      <c r="V3343" s="8"/>
      <c r="W3343" s="8">
        <v>5.89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>
        <v>7.64</v>
      </c>
      <c r="AN3343" s="8"/>
      <c r="AO3343" s="8"/>
      <c r="AP3343" s="11"/>
      <c r="AQ3343" s="8"/>
      <c r="AR3343" s="8"/>
      <c r="AS3343" s="8">
        <f>3888*5.37/1000</f>
        <v>20.87856</v>
      </c>
      <c r="AT3343" s="8">
        <v>275.57</v>
      </c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>
        <v>21.25</v>
      </c>
      <c r="BH3343" s="9">
        <f t="shared" si="468"/>
        <v>589.5</v>
      </c>
      <c r="BI3343" s="9">
        <f t="shared" si="469"/>
        <v>2.96</v>
      </c>
      <c r="BJ3343" s="9">
        <f t="shared" si="470"/>
        <v>1.06</v>
      </c>
      <c r="BK3343" s="9">
        <f t="shared" si="471"/>
        <v>5.89</v>
      </c>
      <c r="BL3343" s="9">
        <f t="shared" si="472"/>
        <v>0</v>
      </c>
      <c r="BM3343" s="9">
        <f t="shared" si="473"/>
        <v>28.518560000000001</v>
      </c>
      <c r="BN3343" s="9">
        <f t="shared" si="474"/>
        <v>275.57</v>
      </c>
      <c r="BO3343" s="9">
        <f t="shared" si="475"/>
        <v>0</v>
      </c>
      <c r="BP3343" s="9">
        <f t="shared" si="476"/>
        <v>0</v>
      </c>
    </row>
    <row r="3344" spans="1:68">
      <c r="A3344" s="6">
        <v>45152</v>
      </c>
      <c r="B3344" s="7">
        <v>3005</v>
      </c>
      <c r="C3344" s="8">
        <v>436.51</v>
      </c>
      <c r="D3344" s="8">
        <v>290.72000000000003</v>
      </c>
      <c r="E3344" s="8"/>
      <c r="F3344" s="8"/>
      <c r="G3344" s="8"/>
      <c r="H3344" s="8"/>
      <c r="I3344" s="8"/>
      <c r="J3344" s="8"/>
      <c r="K3344" s="8"/>
      <c r="L3344" s="8"/>
      <c r="M3344" s="8"/>
      <c r="N3344" s="8">
        <v>0.73</v>
      </c>
      <c r="O3344" s="8"/>
      <c r="P3344" s="8"/>
      <c r="Q3344" s="8"/>
      <c r="R3344" s="11"/>
      <c r="S3344" s="8">
        <v>2.54</v>
      </c>
      <c r="T3344" s="8"/>
      <c r="U3344" s="8"/>
      <c r="V3344" s="8"/>
      <c r="W3344" s="8">
        <v>8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11"/>
      <c r="AQ3344" s="8"/>
      <c r="AR3344" s="8"/>
      <c r="AS3344" s="8"/>
      <c r="AT3344" s="8">
        <v>355.88</v>
      </c>
      <c r="AU3344" s="8"/>
      <c r="AV3344" s="8"/>
      <c r="AW3344" s="8">
        <v>8.07</v>
      </c>
      <c r="AX3344" s="8"/>
      <c r="AY3344" s="8"/>
      <c r="AZ3344" s="8"/>
      <c r="BA3344" s="8"/>
      <c r="BB3344" s="8"/>
      <c r="BC3344" s="8"/>
      <c r="BD3344" s="8"/>
      <c r="BE3344" s="8"/>
      <c r="BF3344" s="8"/>
      <c r="BG3344" s="8">
        <v>26.62</v>
      </c>
      <c r="BH3344" s="9">
        <f t="shared" si="468"/>
        <v>727.23</v>
      </c>
      <c r="BI3344" s="9">
        <f t="shared" si="469"/>
        <v>0.73</v>
      </c>
      <c r="BJ3344" s="9">
        <f t="shared" si="470"/>
        <v>2.54</v>
      </c>
      <c r="BK3344" s="9">
        <f t="shared" si="471"/>
        <v>8</v>
      </c>
      <c r="BL3344" s="9">
        <f t="shared" si="472"/>
        <v>0</v>
      </c>
      <c r="BM3344" s="9">
        <f t="shared" si="473"/>
        <v>0</v>
      </c>
      <c r="BN3344" s="9">
        <f t="shared" si="474"/>
        <v>355.88</v>
      </c>
      <c r="BO3344" s="9">
        <f t="shared" si="475"/>
        <v>8.07</v>
      </c>
      <c r="BP3344" s="9">
        <f t="shared" si="476"/>
        <v>0</v>
      </c>
    </row>
    <row r="3345" spans="1:68">
      <c r="A3345" s="6">
        <v>45153</v>
      </c>
      <c r="B3345" s="7">
        <v>3106</v>
      </c>
      <c r="C3345" s="8">
        <v>4135.05</v>
      </c>
      <c r="D3345" s="8"/>
      <c r="E3345" s="8"/>
      <c r="F3345" s="8"/>
      <c r="G3345" s="8"/>
      <c r="H3345" s="8"/>
      <c r="I3345" s="8"/>
      <c r="J3345" s="8"/>
      <c r="K3345" s="8"/>
      <c r="L3345" s="8"/>
      <c r="M3345" s="8">
        <v>10.93</v>
      </c>
      <c r="N3345" s="8"/>
      <c r="O3345" s="8"/>
      <c r="P3345" s="8"/>
      <c r="Q3345" s="8"/>
      <c r="R3345" s="11"/>
      <c r="S3345" s="8">
        <v>12.43</v>
      </c>
      <c r="T3345" s="8"/>
      <c r="U3345" s="8">
        <v>52.59</v>
      </c>
      <c r="V3345" s="8"/>
      <c r="W3345" s="8"/>
      <c r="X3345" s="8"/>
      <c r="Y3345" s="8"/>
      <c r="Z3345" s="8"/>
      <c r="AA3345" s="8"/>
      <c r="AB3345" s="8"/>
      <c r="AC3345" s="8">
        <v>10.34</v>
      </c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11"/>
      <c r="AQ3345" s="8"/>
      <c r="AR3345" s="8"/>
      <c r="AS3345" s="8"/>
      <c r="AT3345" s="8">
        <v>2359.54</v>
      </c>
      <c r="AU3345" s="8"/>
      <c r="AV3345" s="8"/>
      <c r="AW3345" s="8"/>
      <c r="AX3345" s="8">
        <v>5.17</v>
      </c>
      <c r="AY3345" s="8"/>
      <c r="AZ3345" s="8"/>
      <c r="BA3345" s="8"/>
      <c r="BB3345" s="8"/>
      <c r="BC3345" s="8"/>
      <c r="BD3345" s="8"/>
      <c r="BE3345" s="8"/>
      <c r="BF3345" s="8"/>
      <c r="BG3345" s="8">
        <v>178.62</v>
      </c>
      <c r="BH3345" s="9">
        <f t="shared" si="468"/>
        <v>4135.05</v>
      </c>
      <c r="BI3345" s="9">
        <f t="shared" si="469"/>
        <v>10.93</v>
      </c>
      <c r="BJ3345" s="9">
        <f t="shared" si="470"/>
        <v>12.43</v>
      </c>
      <c r="BK3345" s="9">
        <f t="shared" si="471"/>
        <v>52.59</v>
      </c>
      <c r="BL3345" s="9">
        <f t="shared" si="472"/>
        <v>0</v>
      </c>
      <c r="BM3345" s="9">
        <f t="shared" si="473"/>
        <v>10.34</v>
      </c>
      <c r="BN3345" s="9">
        <f t="shared" si="474"/>
        <v>2359.54</v>
      </c>
      <c r="BO3345" s="9">
        <f t="shared" si="475"/>
        <v>5.17</v>
      </c>
      <c r="BP3345" s="9">
        <f t="shared" si="476"/>
        <v>0</v>
      </c>
    </row>
    <row r="3346" spans="1:68">
      <c r="A3346" s="6">
        <v>45153</v>
      </c>
      <c r="B3346" s="7">
        <v>3113</v>
      </c>
      <c r="C3346" s="8">
        <v>1570.44</v>
      </c>
      <c r="D3346" s="8"/>
      <c r="E3346" s="8"/>
      <c r="F3346" s="8"/>
      <c r="G3346" s="8"/>
      <c r="H3346" s="8"/>
      <c r="I3346" s="8"/>
      <c r="J3346" s="8"/>
      <c r="K3346" s="8"/>
      <c r="L3346" s="8"/>
      <c r="M3346" s="8">
        <v>1.43</v>
      </c>
      <c r="N3346" s="8">
        <v>1.42</v>
      </c>
      <c r="O3346" s="8"/>
      <c r="P3346" s="8"/>
      <c r="Q3346" s="8"/>
      <c r="R3346" s="11"/>
      <c r="S3346" s="8">
        <v>4.7300000000000004</v>
      </c>
      <c r="T3346" s="8"/>
      <c r="U3346" s="8">
        <v>15.71</v>
      </c>
      <c r="V3346" s="8"/>
      <c r="W3346" s="8"/>
      <c r="X3346" s="8"/>
      <c r="Y3346" s="8"/>
      <c r="Z3346" s="8"/>
      <c r="AA3346" s="8"/>
      <c r="AB3346" s="8"/>
      <c r="AC3346" s="8">
        <v>6.28</v>
      </c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11"/>
      <c r="AQ3346" s="8"/>
      <c r="AR3346" s="8"/>
      <c r="AS3346" s="8"/>
      <c r="AT3346" s="8">
        <v>660.81</v>
      </c>
      <c r="AU3346" s="8"/>
      <c r="AV3346" s="8">
        <v>53.43</v>
      </c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>
        <v>47.2</v>
      </c>
      <c r="BH3346" s="9">
        <f t="shared" si="468"/>
        <v>1570.44</v>
      </c>
      <c r="BI3346" s="9">
        <f t="shared" si="469"/>
        <v>2.8499999999999996</v>
      </c>
      <c r="BJ3346" s="9">
        <f t="shared" si="470"/>
        <v>4.7300000000000004</v>
      </c>
      <c r="BK3346" s="9">
        <f t="shared" si="471"/>
        <v>15.71</v>
      </c>
      <c r="BL3346" s="9">
        <f t="shared" si="472"/>
        <v>0</v>
      </c>
      <c r="BM3346" s="9">
        <f t="shared" si="473"/>
        <v>6.28</v>
      </c>
      <c r="BN3346" s="9">
        <f t="shared" si="474"/>
        <v>660.81</v>
      </c>
      <c r="BO3346" s="9">
        <f t="shared" si="475"/>
        <v>53.43</v>
      </c>
      <c r="BP3346" s="9">
        <f t="shared" si="476"/>
        <v>0</v>
      </c>
    </row>
    <row r="3347" spans="1:68">
      <c r="A3347" s="6">
        <v>45153</v>
      </c>
      <c r="B3347" s="7">
        <v>3127</v>
      </c>
      <c r="C3347" s="8">
        <v>1098.75</v>
      </c>
      <c r="D3347" s="8"/>
      <c r="E3347" s="8"/>
      <c r="F3347" s="8"/>
      <c r="G3347" s="8"/>
      <c r="H3347" s="8"/>
      <c r="I3347" s="8"/>
      <c r="J3347" s="8"/>
      <c r="K3347" s="8"/>
      <c r="L3347" s="8"/>
      <c r="M3347" s="8">
        <v>3.06</v>
      </c>
      <c r="N3347" s="8"/>
      <c r="O3347" s="8"/>
      <c r="P3347" s="8"/>
      <c r="Q3347" s="8"/>
      <c r="R3347" s="11"/>
      <c r="S3347" s="8">
        <v>5.27</v>
      </c>
      <c r="T3347" s="8"/>
      <c r="U3347" s="8">
        <v>10.99</v>
      </c>
      <c r="V3347" s="8"/>
      <c r="W3347" s="8"/>
      <c r="X3347" s="8"/>
      <c r="Y3347" s="8"/>
      <c r="Z3347" s="8">
        <v>165.04</v>
      </c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11"/>
      <c r="AQ3347" s="8"/>
      <c r="AR3347" s="8"/>
      <c r="AS3347" s="8"/>
      <c r="AT3347" s="8">
        <v>539.03</v>
      </c>
      <c r="AU3347" s="8"/>
      <c r="AV3347" s="8">
        <v>22.02</v>
      </c>
      <c r="AW3347" s="8"/>
      <c r="AX3347" s="8"/>
      <c r="AY3347" s="8"/>
      <c r="AZ3347" s="8"/>
      <c r="BA3347" s="8"/>
      <c r="BB3347" s="8"/>
      <c r="BC3347" s="8"/>
      <c r="BD3347" s="8"/>
      <c r="BE3347" s="8"/>
      <c r="BF3347" s="8">
        <v>54.97</v>
      </c>
      <c r="BG3347" s="8">
        <v>38.43</v>
      </c>
      <c r="BH3347" s="9">
        <f t="shared" si="468"/>
        <v>1098.75</v>
      </c>
      <c r="BI3347" s="9">
        <f t="shared" si="469"/>
        <v>3.06</v>
      </c>
      <c r="BJ3347" s="9">
        <f t="shared" si="470"/>
        <v>5.27</v>
      </c>
      <c r="BK3347" s="9">
        <f t="shared" si="471"/>
        <v>10.99</v>
      </c>
      <c r="BL3347" s="9">
        <f t="shared" si="472"/>
        <v>165.04</v>
      </c>
      <c r="BM3347" s="9">
        <f t="shared" si="473"/>
        <v>0</v>
      </c>
      <c r="BN3347" s="9">
        <f t="shared" si="474"/>
        <v>539.03</v>
      </c>
      <c r="BO3347" s="9">
        <f t="shared" si="475"/>
        <v>22.02</v>
      </c>
      <c r="BP3347" s="9">
        <f t="shared" si="476"/>
        <v>54.97</v>
      </c>
    </row>
    <row r="3348" spans="1:68">
      <c r="A3348" s="6">
        <v>45153</v>
      </c>
      <c r="B3348" s="7">
        <v>3200</v>
      </c>
      <c r="C3348" s="8">
        <v>2337.56</v>
      </c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>
        <v>5.84</v>
      </c>
      <c r="P3348" s="8"/>
      <c r="Q3348" s="8"/>
      <c r="R3348" s="11"/>
      <c r="S3348" s="8">
        <v>9.11</v>
      </c>
      <c r="T3348" s="8"/>
      <c r="U3348" s="8">
        <v>35.06</v>
      </c>
      <c r="V3348" s="8"/>
      <c r="W3348" s="8"/>
      <c r="X3348" s="8"/>
      <c r="Y3348" s="8"/>
      <c r="Z3348" s="8">
        <v>491.35</v>
      </c>
      <c r="AA3348" s="8"/>
      <c r="AB3348" s="8"/>
      <c r="AC3348" s="8"/>
      <c r="AD3348" s="8"/>
      <c r="AE3348" s="8"/>
      <c r="AF3348" s="8">
        <v>116.59</v>
      </c>
      <c r="AG3348" s="8"/>
      <c r="AH3348" s="8"/>
      <c r="AI3348" s="8"/>
      <c r="AJ3348" s="8"/>
      <c r="AK3348" s="8"/>
      <c r="AL3348" s="8"/>
      <c r="AM3348" s="8"/>
      <c r="AN3348" s="8"/>
      <c r="AO3348" s="8"/>
      <c r="AP3348" s="11"/>
      <c r="AQ3348" s="8">
        <f>1530*23.38/1000</f>
        <v>35.7714</v>
      </c>
      <c r="AR3348" s="8"/>
      <c r="AS3348" s="8"/>
      <c r="AT3348" s="8">
        <v>1601.04</v>
      </c>
      <c r="AU3348" s="8"/>
      <c r="AV3348" s="8"/>
      <c r="AW3348" s="8">
        <v>6.78</v>
      </c>
      <c r="AX3348" s="8"/>
      <c r="AY3348" s="8"/>
      <c r="AZ3348" s="8"/>
      <c r="BA3348" s="8"/>
      <c r="BB3348" s="8"/>
      <c r="BC3348" s="8"/>
      <c r="BD3348" s="8"/>
      <c r="BE3348" s="8"/>
      <c r="BF3348" s="8">
        <v>112.25</v>
      </c>
      <c r="BG3348" s="8">
        <v>115.68</v>
      </c>
      <c r="BH3348" s="9">
        <f t="shared" si="468"/>
        <v>2337.56</v>
      </c>
      <c r="BI3348" s="9">
        <f t="shared" si="469"/>
        <v>5.84</v>
      </c>
      <c r="BJ3348" s="9">
        <f t="shared" si="470"/>
        <v>9.11</v>
      </c>
      <c r="BK3348" s="9">
        <f t="shared" si="471"/>
        <v>35.06</v>
      </c>
      <c r="BL3348" s="9">
        <f t="shared" si="472"/>
        <v>491.35</v>
      </c>
      <c r="BM3348" s="9">
        <f t="shared" si="473"/>
        <v>152.3614</v>
      </c>
      <c r="BN3348" s="9">
        <f t="shared" si="474"/>
        <v>1601.04</v>
      </c>
      <c r="BO3348" s="9">
        <f t="shared" si="475"/>
        <v>6.78</v>
      </c>
      <c r="BP3348" s="9">
        <f t="shared" si="476"/>
        <v>112.25</v>
      </c>
    </row>
    <row r="3349" spans="1:68">
      <c r="A3349" s="6">
        <v>45153</v>
      </c>
      <c r="B3349" s="7">
        <v>3206</v>
      </c>
      <c r="C3349" s="8">
        <v>595.25</v>
      </c>
      <c r="D3349" s="8">
        <v>1070.19</v>
      </c>
      <c r="E3349" s="8">
        <v>714.08</v>
      </c>
      <c r="F3349" s="8"/>
      <c r="G3349" s="8"/>
      <c r="H3349" s="8"/>
      <c r="I3349" s="8"/>
      <c r="J3349" s="8"/>
      <c r="K3349" s="8"/>
      <c r="L3349" s="8"/>
      <c r="M3349" s="8"/>
      <c r="N3349" s="8"/>
      <c r="O3349" s="8">
        <v>4.78</v>
      </c>
      <c r="P3349" s="8"/>
      <c r="Q3349" s="8"/>
      <c r="R3349" s="11"/>
      <c r="S3349" s="8">
        <v>11.91</v>
      </c>
      <c r="T3349" s="8"/>
      <c r="U3349" s="8">
        <v>8.34</v>
      </c>
      <c r="V3349" s="8"/>
      <c r="W3349" s="8"/>
      <c r="X3349" s="8"/>
      <c r="Y3349" s="8"/>
      <c r="Z3349" s="8">
        <v>142.94999999999999</v>
      </c>
      <c r="AA3349" s="8"/>
      <c r="AB3349" s="8">
        <f>801*14.88/1000</f>
        <v>11.918880000000001</v>
      </c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11"/>
      <c r="AQ3349" s="8"/>
      <c r="AR3349" s="8"/>
      <c r="AS3349" s="8"/>
      <c r="AT3349" s="8">
        <v>418.29</v>
      </c>
      <c r="AU3349" s="8">
        <v>208.55</v>
      </c>
      <c r="AV3349" s="8"/>
      <c r="AW3349" s="8">
        <v>9.06</v>
      </c>
      <c r="AX3349" s="8"/>
      <c r="AY3349" s="8"/>
      <c r="AZ3349" s="8"/>
      <c r="BA3349" s="8"/>
      <c r="BB3349" s="8"/>
      <c r="BC3349" s="8"/>
      <c r="BD3349" s="8"/>
      <c r="BE3349" s="8"/>
      <c r="BF3349" s="8"/>
      <c r="BG3349" s="8">
        <v>41.72</v>
      </c>
      <c r="BH3349" s="9">
        <f t="shared" si="468"/>
        <v>2379.52</v>
      </c>
      <c r="BI3349" s="9">
        <f t="shared" si="469"/>
        <v>4.78</v>
      </c>
      <c r="BJ3349" s="9">
        <f t="shared" si="470"/>
        <v>11.91</v>
      </c>
      <c r="BK3349" s="9">
        <f t="shared" si="471"/>
        <v>8.34</v>
      </c>
      <c r="BL3349" s="9">
        <f t="shared" si="472"/>
        <v>142.94999999999999</v>
      </c>
      <c r="BM3349" s="9">
        <f t="shared" si="473"/>
        <v>11.918880000000001</v>
      </c>
      <c r="BN3349" s="9">
        <f t="shared" si="474"/>
        <v>626.84</v>
      </c>
      <c r="BO3349" s="9">
        <f t="shared" si="475"/>
        <v>9.06</v>
      </c>
      <c r="BP3349" s="9">
        <f t="shared" si="476"/>
        <v>0</v>
      </c>
    </row>
    <row r="3350" spans="1:68">
      <c r="A3350" s="6">
        <v>45153</v>
      </c>
      <c r="B3350" s="7">
        <v>3307</v>
      </c>
      <c r="C3350" s="8"/>
      <c r="D3350" s="8">
        <v>540.67999999999995</v>
      </c>
      <c r="E3350" s="8"/>
      <c r="F3350" s="8"/>
      <c r="G3350" s="8"/>
      <c r="H3350" s="8"/>
      <c r="I3350" s="8"/>
      <c r="J3350" s="8"/>
      <c r="K3350" s="8"/>
      <c r="L3350" s="8"/>
      <c r="M3350" s="8">
        <v>0.49</v>
      </c>
      <c r="N3350" s="8"/>
      <c r="O3350" s="8"/>
      <c r="P3350" s="8"/>
      <c r="Q3350" s="8"/>
      <c r="R3350" s="11"/>
      <c r="S3350" s="8">
        <v>3.57</v>
      </c>
      <c r="T3350" s="8"/>
      <c r="U3350" s="8">
        <v>5.41</v>
      </c>
      <c r="V3350" s="8"/>
      <c r="W3350" s="8"/>
      <c r="X3350" s="8"/>
      <c r="Y3350" s="8"/>
      <c r="Z3350" s="8"/>
      <c r="AA3350" s="8"/>
      <c r="AB3350" s="8"/>
      <c r="AC3350" s="8">
        <v>3.25</v>
      </c>
      <c r="AD3350" s="8"/>
      <c r="AE3350" s="8"/>
      <c r="AF3350" s="8"/>
      <c r="AG3350" s="8">
        <v>5.43</v>
      </c>
      <c r="AH3350" s="8"/>
      <c r="AI3350" s="8"/>
      <c r="AJ3350" s="8"/>
      <c r="AK3350" s="8"/>
      <c r="AL3350" s="8"/>
      <c r="AM3350" s="8"/>
      <c r="AN3350" s="8"/>
      <c r="AO3350" s="8"/>
      <c r="AP3350" s="11"/>
      <c r="AQ3350" s="8"/>
      <c r="AR3350" s="8"/>
      <c r="AS3350" s="8"/>
      <c r="AT3350" s="8"/>
      <c r="AU3350" s="8">
        <v>271.3</v>
      </c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>
        <v>19.579999999999998</v>
      </c>
      <c r="BH3350" s="9">
        <f t="shared" si="468"/>
        <v>540.67999999999995</v>
      </c>
      <c r="BI3350" s="9">
        <f t="shared" si="469"/>
        <v>0.49</v>
      </c>
      <c r="BJ3350" s="9">
        <f t="shared" si="470"/>
        <v>3.57</v>
      </c>
      <c r="BK3350" s="9">
        <f t="shared" si="471"/>
        <v>5.41</v>
      </c>
      <c r="BL3350" s="9">
        <f t="shared" si="472"/>
        <v>0</v>
      </c>
      <c r="BM3350" s="9">
        <f t="shared" si="473"/>
        <v>8.68</v>
      </c>
      <c r="BN3350" s="9">
        <f t="shared" si="474"/>
        <v>271.3</v>
      </c>
      <c r="BO3350" s="9">
        <f t="shared" si="475"/>
        <v>0</v>
      </c>
      <c r="BP3350" s="9">
        <f t="shared" si="476"/>
        <v>0</v>
      </c>
    </row>
    <row r="3351" spans="1:68">
      <c r="A3351" s="6">
        <v>45153</v>
      </c>
      <c r="B3351" s="7">
        <v>3151</v>
      </c>
      <c r="C3351" s="8">
        <v>1396.36</v>
      </c>
      <c r="D3351" s="8"/>
      <c r="E3351" s="8"/>
      <c r="F3351" s="8"/>
      <c r="G3351" s="8"/>
      <c r="H3351" s="8"/>
      <c r="I3351" s="8"/>
      <c r="J3351" s="8"/>
      <c r="K3351" s="8"/>
      <c r="L3351" s="8"/>
      <c r="M3351" s="8">
        <v>3.91</v>
      </c>
      <c r="N3351" s="8"/>
      <c r="O3351" s="8"/>
      <c r="P3351" s="8"/>
      <c r="Q3351" s="8"/>
      <c r="R3351" s="11"/>
      <c r="S3351" s="8">
        <v>4.75</v>
      </c>
      <c r="T3351" s="8"/>
      <c r="U3351" s="8">
        <v>17.75</v>
      </c>
      <c r="V3351" s="8"/>
      <c r="W3351" s="8"/>
      <c r="X3351" s="8"/>
      <c r="Y3351" s="8"/>
      <c r="Z3351" s="8"/>
      <c r="AA3351" s="8"/>
      <c r="AB3351" s="8"/>
      <c r="AC3351" s="8">
        <v>3.49</v>
      </c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11"/>
      <c r="AQ3351" s="8"/>
      <c r="AR3351" s="8"/>
      <c r="AS3351" s="8"/>
      <c r="AT3351" s="8">
        <v>626.97</v>
      </c>
      <c r="AU3351" s="8"/>
      <c r="AV3351" s="8">
        <v>13.97</v>
      </c>
      <c r="AW3351" s="8"/>
      <c r="AX3351" s="8"/>
      <c r="AY3351" s="8"/>
      <c r="AZ3351" s="8"/>
      <c r="BA3351" s="8"/>
      <c r="BB3351" s="8"/>
      <c r="BC3351" s="8"/>
      <c r="BD3351" s="8"/>
      <c r="BE3351" s="8"/>
      <c r="BF3351" s="8">
        <v>55.87</v>
      </c>
      <c r="BG3351" s="8">
        <v>44.55</v>
      </c>
      <c r="BH3351" s="9">
        <f t="shared" si="468"/>
        <v>1396.36</v>
      </c>
      <c r="BI3351" s="9">
        <f t="shared" si="469"/>
        <v>3.91</v>
      </c>
      <c r="BJ3351" s="9">
        <f t="shared" si="470"/>
        <v>4.75</v>
      </c>
      <c r="BK3351" s="9">
        <f t="shared" si="471"/>
        <v>17.75</v>
      </c>
      <c r="BL3351" s="9">
        <f t="shared" si="472"/>
        <v>0</v>
      </c>
      <c r="BM3351" s="9">
        <f t="shared" si="473"/>
        <v>3.49</v>
      </c>
      <c r="BN3351" s="9">
        <f t="shared" si="474"/>
        <v>626.97</v>
      </c>
      <c r="BO3351" s="9">
        <f t="shared" si="475"/>
        <v>13.97</v>
      </c>
      <c r="BP3351" s="9">
        <f t="shared" si="476"/>
        <v>55.87</v>
      </c>
    </row>
    <row r="3352" spans="1:68">
      <c r="A3352" s="6">
        <v>45153</v>
      </c>
      <c r="B3352" s="7">
        <v>3117</v>
      </c>
      <c r="C3352" s="8">
        <v>792.86</v>
      </c>
      <c r="D3352" s="8"/>
      <c r="E3352" s="8"/>
      <c r="F3352" s="8"/>
      <c r="G3352" s="8"/>
      <c r="H3352" s="8"/>
      <c r="I3352" s="8"/>
      <c r="J3352" s="8"/>
      <c r="K3352" s="8"/>
      <c r="L3352" s="8"/>
      <c r="M3352" s="8">
        <v>2.2799999999999998</v>
      </c>
      <c r="N3352" s="8"/>
      <c r="O3352" s="8"/>
      <c r="P3352" s="8"/>
      <c r="Q3352" s="8"/>
      <c r="R3352" s="11"/>
      <c r="S3352" s="8">
        <v>3.17</v>
      </c>
      <c r="T3352" s="8"/>
      <c r="U3352" s="8">
        <v>7.94</v>
      </c>
      <c r="V3352" s="8"/>
      <c r="W3352" s="8"/>
      <c r="X3352" s="8"/>
      <c r="Y3352" s="8"/>
      <c r="Z3352" s="8"/>
      <c r="AA3352" s="8"/>
      <c r="AB3352" s="8"/>
      <c r="AC3352" s="8">
        <v>3.17</v>
      </c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11"/>
      <c r="AQ3352" s="8"/>
      <c r="AR3352" s="8"/>
      <c r="AS3352" s="8"/>
      <c r="AT3352" s="8">
        <v>500.5</v>
      </c>
      <c r="AU3352" s="8"/>
      <c r="AV3352" s="8">
        <v>19.829999999999998</v>
      </c>
      <c r="AW3352" s="8"/>
      <c r="AX3352" s="8"/>
      <c r="AY3352" s="8"/>
      <c r="AZ3352" s="8"/>
      <c r="BA3352" s="8"/>
      <c r="BB3352" s="8"/>
      <c r="BC3352" s="8"/>
      <c r="BD3352" s="8"/>
      <c r="BE3352" s="8"/>
      <c r="BF3352" s="8">
        <v>39.64</v>
      </c>
      <c r="BG3352" s="8">
        <v>38.03</v>
      </c>
      <c r="BH3352" s="9">
        <f t="shared" si="468"/>
        <v>792.86</v>
      </c>
      <c r="BI3352" s="9">
        <f t="shared" si="469"/>
        <v>2.2799999999999998</v>
      </c>
      <c r="BJ3352" s="9">
        <f t="shared" si="470"/>
        <v>3.17</v>
      </c>
      <c r="BK3352" s="9">
        <f t="shared" si="471"/>
        <v>7.94</v>
      </c>
      <c r="BL3352" s="9">
        <f t="shared" si="472"/>
        <v>0</v>
      </c>
      <c r="BM3352" s="9">
        <f t="shared" si="473"/>
        <v>3.17</v>
      </c>
      <c r="BN3352" s="9">
        <f t="shared" si="474"/>
        <v>500.5</v>
      </c>
      <c r="BO3352" s="9">
        <f t="shared" si="475"/>
        <v>19.829999999999998</v>
      </c>
      <c r="BP3352" s="9">
        <f t="shared" si="476"/>
        <v>39.64</v>
      </c>
    </row>
    <row r="3353" spans="1:68">
      <c r="A3353" s="6">
        <v>45153</v>
      </c>
      <c r="B3353" s="7">
        <v>3139</v>
      </c>
      <c r="C3353" s="8">
        <v>1792.37</v>
      </c>
      <c r="D3353" s="8"/>
      <c r="E3353" s="8"/>
      <c r="F3353" s="8"/>
      <c r="G3353" s="8"/>
      <c r="H3353" s="8">
        <v>744.64</v>
      </c>
      <c r="I3353" s="8"/>
      <c r="J3353" s="8"/>
      <c r="K3353" s="8"/>
      <c r="L3353" s="8"/>
      <c r="M3353" s="8">
        <v>4.16</v>
      </c>
      <c r="N3353" s="8"/>
      <c r="O3353" s="8"/>
      <c r="P3353" s="8"/>
      <c r="Q3353" s="8"/>
      <c r="R3353" s="11"/>
      <c r="S3353" s="8">
        <v>7.93</v>
      </c>
      <c r="T3353" s="8"/>
      <c r="U3353" s="8">
        <v>26.45</v>
      </c>
      <c r="V3353" s="8"/>
      <c r="W3353" s="8"/>
      <c r="X3353" s="8"/>
      <c r="Y3353" s="8"/>
      <c r="Z3353" s="8"/>
      <c r="AA3353" s="8"/>
      <c r="AB3353" s="8"/>
      <c r="AC3353" s="8">
        <v>8.82</v>
      </c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11"/>
      <c r="AQ3353" s="8"/>
      <c r="AR3353" s="8"/>
      <c r="AS3353" s="8"/>
      <c r="AT3353" s="8">
        <v>1312.84</v>
      </c>
      <c r="AU3353" s="8"/>
      <c r="AV3353" s="8">
        <v>44.07</v>
      </c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>
        <v>94.86</v>
      </c>
      <c r="BH3353" s="9">
        <f t="shared" si="468"/>
        <v>2537.0099999999998</v>
      </c>
      <c r="BI3353" s="9">
        <f t="shared" si="469"/>
        <v>4.16</v>
      </c>
      <c r="BJ3353" s="9">
        <f t="shared" si="470"/>
        <v>7.93</v>
      </c>
      <c r="BK3353" s="9">
        <f t="shared" si="471"/>
        <v>26.45</v>
      </c>
      <c r="BL3353" s="9">
        <f t="shared" si="472"/>
        <v>0</v>
      </c>
      <c r="BM3353" s="9">
        <f t="shared" si="473"/>
        <v>8.82</v>
      </c>
      <c r="BN3353" s="9">
        <f t="shared" si="474"/>
        <v>1312.84</v>
      </c>
      <c r="BO3353" s="9">
        <f t="shared" si="475"/>
        <v>44.07</v>
      </c>
      <c r="BP3353" s="9">
        <f t="shared" si="476"/>
        <v>0</v>
      </c>
    </row>
    <row r="3354" spans="1:68">
      <c r="A3354" s="6">
        <v>45154</v>
      </c>
      <c r="B3354" s="7">
        <v>3601</v>
      </c>
      <c r="C3354" s="8">
        <v>297.85000000000002</v>
      </c>
      <c r="D3354" s="8"/>
      <c r="E3354" s="8"/>
      <c r="F3354" s="8"/>
      <c r="G3354" s="8">
        <v>447.06</v>
      </c>
      <c r="H3354" s="8"/>
      <c r="I3354" s="8"/>
      <c r="J3354" s="8"/>
      <c r="K3354" s="8"/>
      <c r="L3354" s="8"/>
      <c r="M3354" s="8">
        <v>0.89</v>
      </c>
      <c r="N3354" s="8"/>
      <c r="O3354" s="8"/>
      <c r="P3354" s="8"/>
      <c r="Q3354" s="8"/>
      <c r="R3354" s="11"/>
      <c r="S3354" s="8">
        <v>3.59</v>
      </c>
      <c r="T3354" s="8"/>
      <c r="U3354" s="8">
        <v>4.5</v>
      </c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11"/>
      <c r="AQ3354" s="8"/>
      <c r="AR3354" s="8"/>
      <c r="AS3354" s="8"/>
      <c r="AT3354" s="8">
        <v>366.19</v>
      </c>
      <c r="AU3354" s="8"/>
      <c r="AV3354" s="8"/>
      <c r="AW3354" s="8">
        <v>22.72</v>
      </c>
      <c r="AX3354" s="8"/>
      <c r="AY3354" s="8"/>
      <c r="AZ3354" s="8"/>
      <c r="BA3354" s="8"/>
      <c r="BB3354" s="8"/>
      <c r="BC3354" s="8"/>
      <c r="BD3354" s="8"/>
      <c r="BE3354" s="8"/>
      <c r="BF3354" s="8">
        <v>41.9</v>
      </c>
      <c r="BG3354" s="8">
        <v>26.69</v>
      </c>
      <c r="BH3354" s="9">
        <f t="shared" si="468"/>
        <v>744.91000000000008</v>
      </c>
      <c r="BI3354" s="9">
        <f t="shared" si="469"/>
        <v>0.89</v>
      </c>
      <c r="BJ3354" s="9">
        <f t="shared" si="470"/>
        <v>3.59</v>
      </c>
      <c r="BK3354" s="9">
        <f t="shared" si="471"/>
        <v>4.5</v>
      </c>
      <c r="BL3354" s="9">
        <f t="shared" si="472"/>
        <v>0</v>
      </c>
      <c r="BM3354" s="9">
        <f t="shared" si="473"/>
        <v>0</v>
      </c>
      <c r="BN3354" s="9">
        <f t="shared" si="474"/>
        <v>366.19</v>
      </c>
      <c r="BO3354" s="9">
        <f t="shared" si="475"/>
        <v>22.72</v>
      </c>
      <c r="BP3354" s="9">
        <f t="shared" si="476"/>
        <v>41.9</v>
      </c>
    </row>
    <row r="3355" spans="1:68">
      <c r="A3355" s="6">
        <v>45154</v>
      </c>
      <c r="B3355" s="7">
        <v>3602</v>
      </c>
      <c r="C3355" s="8">
        <v>560.44000000000005</v>
      </c>
      <c r="D3355" s="8"/>
      <c r="E3355" s="8"/>
      <c r="F3355" s="8"/>
      <c r="G3355" s="8">
        <v>841.04</v>
      </c>
      <c r="H3355" s="8"/>
      <c r="I3355" s="8"/>
      <c r="J3355" s="8"/>
      <c r="K3355" s="8"/>
      <c r="L3355" s="8"/>
      <c r="M3355" s="8">
        <v>1.68</v>
      </c>
      <c r="N3355" s="8"/>
      <c r="O3355" s="8"/>
      <c r="P3355" s="8"/>
      <c r="Q3355" s="8"/>
      <c r="R3355" s="11"/>
      <c r="S3355" s="8">
        <v>6.73</v>
      </c>
      <c r="T3355" s="8"/>
      <c r="U3355" s="8">
        <v>11.22</v>
      </c>
      <c r="V3355" s="8">
        <f>848*16.03/1000</f>
        <v>13.593440000000001</v>
      </c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11"/>
      <c r="AQ3355" s="8"/>
      <c r="AR3355" s="8"/>
      <c r="AS3355" s="8"/>
      <c r="AT3355" s="8">
        <v>566.49</v>
      </c>
      <c r="AU3355" s="8"/>
      <c r="AV3355" s="8"/>
      <c r="AW3355" s="8">
        <v>36.26</v>
      </c>
      <c r="AX3355" s="8"/>
      <c r="AY3355" s="8"/>
      <c r="AZ3355" s="8"/>
      <c r="BA3355" s="8"/>
      <c r="BB3355" s="8"/>
      <c r="BC3355" s="8"/>
      <c r="BD3355" s="8"/>
      <c r="BE3355" s="8"/>
      <c r="BF3355" s="8">
        <v>44.93</v>
      </c>
      <c r="BG3355" s="8">
        <v>41.93</v>
      </c>
      <c r="BH3355" s="9">
        <f t="shared" si="468"/>
        <v>1401.48</v>
      </c>
      <c r="BI3355" s="9">
        <f t="shared" si="469"/>
        <v>1.68</v>
      </c>
      <c r="BJ3355" s="9">
        <f t="shared" si="470"/>
        <v>6.73</v>
      </c>
      <c r="BK3355" s="9">
        <f t="shared" si="471"/>
        <v>24.81344</v>
      </c>
      <c r="BL3355" s="9">
        <f t="shared" si="472"/>
        <v>0</v>
      </c>
      <c r="BM3355" s="9">
        <f t="shared" si="473"/>
        <v>0</v>
      </c>
      <c r="BN3355" s="9">
        <f t="shared" si="474"/>
        <v>566.49</v>
      </c>
      <c r="BO3355" s="9">
        <f t="shared" si="475"/>
        <v>36.26</v>
      </c>
      <c r="BP3355" s="9">
        <f t="shared" si="476"/>
        <v>44.93</v>
      </c>
    </row>
    <row r="3356" spans="1:68">
      <c r="A3356" s="6">
        <v>45154</v>
      </c>
      <c r="B3356" s="7">
        <v>3204</v>
      </c>
      <c r="C3356" s="8"/>
      <c r="D3356" s="8">
        <v>991.47</v>
      </c>
      <c r="E3356" s="8">
        <v>425.24</v>
      </c>
      <c r="F3356" s="8"/>
      <c r="G3356" s="8"/>
      <c r="H3356" s="8"/>
      <c r="I3356" s="8"/>
      <c r="J3356" s="8"/>
      <c r="K3356" s="8"/>
      <c r="L3356" s="8"/>
      <c r="M3356" s="8"/>
      <c r="N3356" s="8"/>
      <c r="O3356" s="8">
        <v>7.11</v>
      </c>
      <c r="P3356" s="8"/>
      <c r="Q3356" s="8"/>
      <c r="R3356" s="11"/>
      <c r="S3356" s="8">
        <v>4.84</v>
      </c>
      <c r="T3356" s="8"/>
      <c r="U3356" s="8">
        <v>15.62</v>
      </c>
      <c r="V3356" s="8"/>
      <c r="W3356" s="8"/>
      <c r="X3356" s="8"/>
      <c r="Y3356" s="8"/>
      <c r="Z3356" s="8">
        <v>212.88</v>
      </c>
      <c r="AA3356" s="8"/>
      <c r="AB3356" s="8">
        <f>710*10.12/1000</f>
        <v>7.1852</v>
      </c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11"/>
      <c r="AQ3356" s="8"/>
      <c r="AR3356" s="8"/>
      <c r="AS3356" s="8"/>
      <c r="AT3356" s="8">
        <v>624.89</v>
      </c>
      <c r="AU3356" s="8"/>
      <c r="AV3356" s="8"/>
      <c r="AW3356" s="8">
        <v>4.55</v>
      </c>
      <c r="AX3356" s="8"/>
      <c r="AY3356" s="8"/>
      <c r="AZ3356" s="8"/>
      <c r="BA3356" s="8"/>
      <c r="BB3356" s="8"/>
      <c r="BC3356" s="8"/>
      <c r="BD3356" s="8"/>
      <c r="BE3356" s="8"/>
      <c r="BF3356" s="8"/>
      <c r="BG3356" s="8">
        <v>46.14</v>
      </c>
      <c r="BH3356" s="9">
        <f t="shared" si="468"/>
        <v>1416.71</v>
      </c>
      <c r="BI3356" s="9">
        <f t="shared" si="469"/>
        <v>7.11</v>
      </c>
      <c r="BJ3356" s="9">
        <f t="shared" si="470"/>
        <v>4.84</v>
      </c>
      <c r="BK3356" s="9">
        <f t="shared" si="471"/>
        <v>15.62</v>
      </c>
      <c r="BL3356" s="9">
        <f t="shared" si="472"/>
        <v>212.88</v>
      </c>
      <c r="BM3356" s="9">
        <f t="shared" si="473"/>
        <v>7.1852</v>
      </c>
      <c r="BN3356" s="9">
        <f t="shared" si="474"/>
        <v>624.89</v>
      </c>
      <c r="BO3356" s="9">
        <f t="shared" si="475"/>
        <v>4.55</v>
      </c>
      <c r="BP3356" s="9">
        <f t="shared" si="476"/>
        <v>0</v>
      </c>
    </row>
    <row r="3357" spans="1:68">
      <c r="A3357" s="6">
        <v>45154</v>
      </c>
      <c r="B3357" s="7">
        <v>3200</v>
      </c>
      <c r="C3357" s="8">
        <v>2294.1</v>
      </c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>
        <v>5.76</v>
      </c>
      <c r="P3357" s="8"/>
      <c r="Q3357" s="8"/>
      <c r="R3357" s="11"/>
      <c r="S3357" s="8">
        <v>8.9499999999999993</v>
      </c>
      <c r="T3357" s="8"/>
      <c r="U3357" s="8">
        <v>34.44</v>
      </c>
      <c r="V3357" s="8"/>
      <c r="W3357" s="8"/>
      <c r="X3357" s="8"/>
      <c r="Y3357" s="8"/>
      <c r="Z3357" s="8">
        <v>482.32</v>
      </c>
      <c r="AA3357" s="8"/>
      <c r="AB3357" s="8"/>
      <c r="AC3357" s="8"/>
      <c r="AD3357" s="8"/>
      <c r="AE3357" s="8"/>
      <c r="AF3357" s="8">
        <v>115.15</v>
      </c>
      <c r="AG3357" s="8"/>
      <c r="AH3357" s="8"/>
      <c r="AI3357" s="8"/>
      <c r="AJ3357" s="8"/>
      <c r="AK3357" s="8"/>
      <c r="AL3357" s="8"/>
      <c r="AM3357" s="8"/>
      <c r="AN3357" s="8"/>
      <c r="AO3357" s="8"/>
      <c r="AP3357" s="11"/>
      <c r="AQ3357" s="8">
        <f>1523*22.95/1000</f>
        <v>34.952849999999998</v>
      </c>
      <c r="AR3357" s="8"/>
      <c r="AS3357" s="8"/>
      <c r="AT3357" s="8">
        <v>1571.78</v>
      </c>
      <c r="AU3357" s="8"/>
      <c r="AV3357" s="8"/>
      <c r="AW3357" s="8">
        <v>6.74</v>
      </c>
      <c r="AX3357" s="8"/>
      <c r="AY3357" s="8"/>
      <c r="AZ3357" s="8"/>
      <c r="BA3357" s="8"/>
      <c r="BB3357" s="8"/>
      <c r="BC3357" s="8"/>
      <c r="BD3357" s="8"/>
      <c r="BE3357" s="8"/>
      <c r="BF3357" s="8">
        <v>110.21</v>
      </c>
      <c r="BG3357" s="8">
        <v>113.76</v>
      </c>
      <c r="BH3357" s="9">
        <f t="shared" si="468"/>
        <v>2294.1</v>
      </c>
      <c r="BI3357" s="9">
        <f t="shared" si="469"/>
        <v>5.76</v>
      </c>
      <c r="BJ3357" s="9">
        <f t="shared" si="470"/>
        <v>8.9499999999999993</v>
      </c>
      <c r="BK3357" s="9">
        <f t="shared" si="471"/>
        <v>34.44</v>
      </c>
      <c r="BL3357" s="9">
        <f t="shared" si="472"/>
        <v>482.32</v>
      </c>
      <c r="BM3357" s="9">
        <f t="shared" si="473"/>
        <v>150.10284999999999</v>
      </c>
      <c r="BN3357" s="9">
        <f t="shared" si="474"/>
        <v>1571.78</v>
      </c>
      <c r="BO3357" s="9">
        <f t="shared" si="475"/>
        <v>6.74</v>
      </c>
      <c r="BP3357" s="9">
        <f t="shared" si="476"/>
        <v>110.21</v>
      </c>
    </row>
    <row r="3358" spans="1:68">
      <c r="A3358" s="6">
        <v>45154</v>
      </c>
      <c r="B3358" s="7">
        <v>3203</v>
      </c>
      <c r="C3358" s="8">
        <v>1770.89</v>
      </c>
      <c r="D3358" s="8"/>
      <c r="E3358" s="8">
        <v>758.34</v>
      </c>
      <c r="F3358" s="8"/>
      <c r="G3358" s="8"/>
      <c r="H3358" s="8"/>
      <c r="I3358" s="8"/>
      <c r="J3358" s="8"/>
      <c r="K3358" s="8"/>
      <c r="L3358" s="8"/>
      <c r="M3358" s="8"/>
      <c r="N3358" s="8"/>
      <c r="O3358" s="8">
        <v>7.61</v>
      </c>
      <c r="P3358" s="8"/>
      <c r="Q3358" s="8"/>
      <c r="R3358" s="11"/>
      <c r="S3358" s="8">
        <v>9.8699999999999992</v>
      </c>
      <c r="T3358" s="8"/>
      <c r="U3358" s="8">
        <v>31.42</v>
      </c>
      <c r="V3358" s="8"/>
      <c r="W3358" s="8"/>
      <c r="X3358" s="8"/>
      <c r="Y3358" s="8"/>
      <c r="Z3358" s="8">
        <v>399.06</v>
      </c>
      <c r="AA3358" s="8">
        <f>10465*29.8/1000</f>
        <v>311.85700000000003</v>
      </c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11"/>
      <c r="AQ3358" s="8"/>
      <c r="AR3358" s="8"/>
      <c r="AS3358" s="8"/>
      <c r="AT3358" s="8">
        <v>948.49</v>
      </c>
      <c r="AU3358" s="8">
        <v>474.21</v>
      </c>
      <c r="AV3358" s="8"/>
      <c r="AW3358" s="8"/>
      <c r="AX3358" s="8"/>
      <c r="AY3358" s="8"/>
      <c r="AZ3358" s="8"/>
      <c r="BA3358" s="8"/>
      <c r="BB3358" s="8"/>
      <c r="BC3358" s="8">
        <v>6.59</v>
      </c>
      <c r="BD3358" s="8"/>
      <c r="BE3358" s="8"/>
      <c r="BF3358" s="8"/>
      <c r="BG3358" s="8">
        <v>92.84</v>
      </c>
      <c r="BH3358" s="9">
        <f t="shared" si="468"/>
        <v>2529.23</v>
      </c>
      <c r="BI3358" s="9">
        <f t="shared" si="469"/>
        <v>7.61</v>
      </c>
      <c r="BJ3358" s="9">
        <f t="shared" si="470"/>
        <v>9.8699999999999992</v>
      </c>
      <c r="BK3358" s="9">
        <f t="shared" si="471"/>
        <v>31.42</v>
      </c>
      <c r="BL3358" s="9">
        <f t="shared" si="472"/>
        <v>710.91700000000003</v>
      </c>
      <c r="BM3358" s="9">
        <f t="shared" si="473"/>
        <v>0</v>
      </c>
      <c r="BN3358" s="9">
        <f t="shared" si="474"/>
        <v>1422.7</v>
      </c>
      <c r="BO3358" s="9">
        <f t="shared" si="475"/>
        <v>6.59</v>
      </c>
      <c r="BP3358" s="9">
        <f t="shared" si="476"/>
        <v>0</v>
      </c>
    </row>
    <row r="3359" spans="1:68">
      <c r="A3359" s="6">
        <v>45154</v>
      </c>
      <c r="B3359" s="7">
        <v>3083</v>
      </c>
      <c r="C3359" s="8"/>
      <c r="D3359" s="8">
        <v>1083.94</v>
      </c>
      <c r="E3359" s="8"/>
      <c r="F3359" s="8"/>
      <c r="G3359" s="8"/>
      <c r="H3359" s="8"/>
      <c r="I3359" s="8">
        <v>2528.0700000000002</v>
      </c>
      <c r="J3359" s="8"/>
      <c r="K3359" s="8"/>
      <c r="L3359" s="8"/>
      <c r="M3359" s="8"/>
      <c r="N3359" s="8">
        <v>23.49</v>
      </c>
      <c r="O3359" s="8"/>
      <c r="P3359" s="8"/>
      <c r="Q3359" s="8"/>
      <c r="R3359" s="11"/>
      <c r="S3359" s="8">
        <v>2.52</v>
      </c>
      <c r="T3359" s="8"/>
      <c r="U3359" s="8"/>
      <c r="V3359" s="8"/>
      <c r="W3359" s="8">
        <v>28.92</v>
      </c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>
        <v>14.44</v>
      </c>
      <c r="AN3359" s="8">
        <f>1924*26.77/1000</f>
        <v>51.505479999999999</v>
      </c>
      <c r="AO3359" s="8"/>
      <c r="AP3359" s="11"/>
      <c r="AQ3359" s="8"/>
      <c r="AR3359" s="8">
        <f>3391*26.77/1000</f>
        <v>90.777069999999995</v>
      </c>
      <c r="AS3359" s="8"/>
      <c r="AT3359" s="8">
        <v>1700.82</v>
      </c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>
        <v>134.81</v>
      </c>
      <c r="BH3359" s="9">
        <f t="shared" si="468"/>
        <v>3612.01</v>
      </c>
      <c r="BI3359" s="9">
        <f t="shared" si="469"/>
        <v>23.49</v>
      </c>
      <c r="BJ3359" s="9">
        <f t="shared" si="470"/>
        <v>2.52</v>
      </c>
      <c r="BK3359" s="9">
        <f t="shared" si="471"/>
        <v>28.92</v>
      </c>
      <c r="BL3359" s="9">
        <f t="shared" si="472"/>
        <v>0</v>
      </c>
      <c r="BM3359" s="9">
        <f t="shared" si="473"/>
        <v>156.72255000000001</v>
      </c>
      <c r="BN3359" s="9">
        <f t="shared" si="474"/>
        <v>1700.82</v>
      </c>
      <c r="BO3359" s="9">
        <f t="shared" si="475"/>
        <v>0</v>
      </c>
      <c r="BP3359" s="9">
        <f t="shared" si="476"/>
        <v>0</v>
      </c>
    </row>
    <row r="3360" spans="1:68">
      <c r="A3360" s="6">
        <v>45154</v>
      </c>
      <c r="B3360" s="7">
        <v>8290</v>
      </c>
      <c r="C3360" s="8">
        <f>236.62+51.42+48.61</f>
        <v>336.65000000000003</v>
      </c>
      <c r="D3360" s="8">
        <f>237.81+51.48+49.21</f>
        <v>338.5</v>
      </c>
      <c r="E3360" s="8"/>
      <c r="F3360" s="8"/>
      <c r="G3360" s="8"/>
      <c r="H3360" s="8"/>
      <c r="I3360" s="8"/>
      <c r="J3360" s="8"/>
      <c r="K3360" s="8"/>
      <c r="L3360" s="8"/>
      <c r="M3360" s="8">
        <f>1.37+0.3+0.29</f>
        <v>1.9600000000000002</v>
      </c>
      <c r="N3360" s="8"/>
      <c r="O3360" s="8"/>
      <c r="P3360" s="8"/>
      <c r="Q3360" s="8"/>
      <c r="R3360" s="11"/>
      <c r="S3360" s="8">
        <f>2.37+0.52+0.49</f>
        <v>3.38</v>
      </c>
      <c r="T3360" s="8"/>
      <c r="U3360" s="8">
        <f>7.59+1.65+1.58</f>
        <v>10.82</v>
      </c>
      <c r="V3360" s="8"/>
      <c r="W3360" s="8"/>
      <c r="X3360" s="8"/>
      <c r="Y3360" s="8"/>
      <c r="Z3360" s="8"/>
      <c r="AA3360" s="8"/>
      <c r="AB3360" s="8"/>
      <c r="AC3360" s="8">
        <f>1.9+0.41+0.39</f>
        <v>2.7</v>
      </c>
      <c r="AD3360" s="8"/>
      <c r="AE3360" s="8"/>
      <c r="AF3360" s="8"/>
      <c r="AG3360" s="8">
        <f>2.38+0.68+0.78</f>
        <v>3.84</v>
      </c>
      <c r="AH3360" s="8"/>
      <c r="AI3360" s="8"/>
      <c r="AJ3360" s="8"/>
      <c r="AK3360" s="8"/>
      <c r="AL3360" s="8"/>
      <c r="AM3360" s="8"/>
      <c r="AN3360" s="8"/>
      <c r="AO3360" s="8"/>
      <c r="AP3360" s="11"/>
      <c r="AQ3360" s="8"/>
      <c r="AR3360" s="8"/>
      <c r="AS3360" s="8"/>
      <c r="AT3360" s="8">
        <f>64.32+66.76+304.49</f>
        <v>435.57</v>
      </c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  <c r="BF3360" s="8">
        <f>12.81+13.37+61.66</f>
        <v>87.84</v>
      </c>
      <c r="BG3360" s="8">
        <f>5.16+5.36+24.69</f>
        <v>35.21</v>
      </c>
      <c r="BH3360" s="9">
        <f t="shared" si="468"/>
        <v>675.15000000000009</v>
      </c>
      <c r="BI3360" s="9">
        <f t="shared" si="469"/>
        <v>1.9600000000000002</v>
      </c>
      <c r="BJ3360" s="9">
        <f t="shared" si="470"/>
        <v>3.38</v>
      </c>
      <c r="BK3360" s="9">
        <f t="shared" si="471"/>
        <v>10.82</v>
      </c>
      <c r="BL3360" s="9">
        <f t="shared" si="472"/>
        <v>0</v>
      </c>
      <c r="BM3360" s="9">
        <f t="shared" si="473"/>
        <v>6.54</v>
      </c>
      <c r="BN3360" s="9">
        <f t="shared" si="474"/>
        <v>435.57</v>
      </c>
      <c r="BO3360" s="9">
        <f t="shared" si="475"/>
        <v>0</v>
      </c>
      <c r="BP3360" s="9">
        <f t="shared" si="476"/>
        <v>87.84</v>
      </c>
    </row>
    <row r="3361" spans="1:68">
      <c r="A3361" s="6">
        <v>45156</v>
      </c>
      <c r="B3361" s="7">
        <v>3141</v>
      </c>
      <c r="C3361" s="8">
        <v>2415.42</v>
      </c>
      <c r="D3361" s="8">
        <v>424.51</v>
      </c>
      <c r="E3361" s="8"/>
      <c r="F3361" s="8"/>
      <c r="G3361" s="8"/>
      <c r="H3361" s="8"/>
      <c r="I3361" s="8"/>
      <c r="J3361" s="8"/>
      <c r="K3361" s="8"/>
      <c r="L3361" s="8"/>
      <c r="M3361" s="8">
        <v>8.2899999999999991</v>
      </c>
      <c r="N3361" s="8"/>
      <c r="O3361" s="8"/>
      <c r="P3361" s="8"/>
      <c r="Q3361" s="8"/>
      <c r="R3361" s="11"/>
      <c r="S3361" s="8">
        <v>13.45</v>
      </c>
      <c r="T3361" s="8"/>
      <c r="U3361" s="8">
        <v>42.94</v>
      </c>
      <c r="V3361" s="8"/>
      <c r="W3361" s="8"/>
      <c r="X3361" s="8"/>
      <c r="Y3361" s="8"/>
      <c r="Z3361" s="8"/>
      <c r="AA3361" s="8"/>
      <c r="AB3361" s="8"/>
      <c r="AC3361" s="8">
        <v>11.45</v>
      </c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11"/>
      <c r="AQ3361" s="8"/>
      <c r="AR3361" s="8"/>
      <c r="AS3361" s="8"/>
      <c r="AT3361" s="8">
        <v>1884.71</v>
      </c>
      <c r="AU3361" s="8"/>
      <c r="AV3361" s="8"/>
      <c r="AW3361" s="8"/>
      <c r="AX3361" s="8"/>
      <c r="AY3361" s="8"/>
      <c r="AZ3361" s="8"/>
      <c r="BA3361" s="8">
        <v>65.56</v>
      </c>
      <c r="BB3361" s="8"/>
      <c r="BC3361" s="8"/>
      <c r="BD3361" s="8"/>
      <c r="BE3361" s="8"/>
      <c r="BF3361" s="8">
        <v>200.32</v>
      </c>
      <c r="BG3361" s="8">
        <v>148.96</v>
      </c>
      <c r="BH3361" s="9">
        <f t="shared" si="468"/>
        <v>2839.9300000000003</v>
      </c>
      <c r="BI3361" s="9">
        <f t="shared" si="469"/>
        <v>8.2899999999999991</v>
      </c>
      <c r="BJ3361" s="9">
        <f t="shared" si="470"/>
        <v>13.45</v>
      </c>
      <c r="BK3361" s="9">
        <f t="shared" si="471"/>
        <v>42.94</v>
      </c>
      <c r="BL3361" s="9">
        <f t="shared" si="472"/>
        <v>0</v>
      </c>
      <c r="BM3361" s="9">
        <f t="shared" si="473"/>
        <v>11.45</v>
      </c>
      <c r="BN3361" s="9">
        <f t="shared" si="474"/>
        <v>1884.71</v>
      </c>
      <c r="BO3361" s="9">
        <f t="shared" si="475"/>
        <v>65.56</v>
      </c>
      <c r="BP3361" s="9">
        <f t="shared" si="476"/>
        <v>200.32</v>
      </c>
    </row>
    <row r="3362" spans="1:68">
      <c r="A3362" s="6">
        <v>45156</v>
      </c>
      <c r="B3362" s="7">
        <v>3106</v>
      </c>
      <c r="C3362" s="8">
        <v>4096.1400000000003</v>
      </c>
      <c r="D3362" s="8"/>
      <c r="E3362" s="8"/>
      <c r="F3362" s="8"/>
      <c r="G3362" s="8"/>
      <c r="H3362" s="8"/>
      <c r="I3362" s="8"/>
      <c r="J3362" s="8"/>
      <c r="K3362" s="8"/>
      <c r="L3362" s="8"/>
      <c r="M3362" s="8">
        <v>11.03</v>
      </c>
      <c r="N3362" s="8"/>
      <c r="O3362" s="8"/>
      <c r="P3362" s="8"/>
      <c r="Q3362" s="8"/>
      <c r="R3362" s="11"/>
      <c r="S3362" s="8">
        <v>12.33</v>
      </c>
      <c r="T3362" s="8"/>
      <c r="U3362" s="8">
        <v>52.13</v>
      </c>
      <c r="V3362" s="8"/>
      <c r="W3362" s="8"/>
      <c r="X3362" s="8"/>
      <c r="Y3362" s="8"/>
      <c r="Z3362" s="8"/>
      <c r="AA3362" s="8"/>
      <c r="AB3362" s="8"/>
      <c r="AC3362" s="8">
        <v>10.26</v>
      </c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11"/>
      <c r="AQ3362" s="8"/>
      <c r="AR3362" s="8"/>
      <c r="AS3362" s="8"/>
      <c r="AT3362" s="8">
        <v>2335.23</v>
      </c>
      <c r="AU3362" s="8"/>
      <c r="AV3362" s="8"/>
      <c r="AW3362" s="8"/>
      <c r="AX3362" s="8">
        <v>5.13</v>
      </c>
      <c r="AY3362" s="8"/>
      <c r="AZ3362" s="8"/>
      <c r="BA3362" s="8"/>
      <c r="BB3362" s="8"/>
      <c r="BC3362" s="8"/>
      <c r="BD3362" s="8"/>
      <c r="BE3362" s="8"/>
      <c r="BF3362" s="8"/>
      <c r="BG3362" s="8">
        <v>176.41</v>
      </c>
      <c r="BH3362" s="9">
        <f t="shared" si="468"/>
        <v>4096.1400000000003</v>
      </c>
      <c r="BI3362" s="9">
        <f t="shared" si="469"/>
        <v>11.03</v>
      </c>
      <c r="BJ3362" s="9">
        <f t="shared" si="470"/>
        <v>12.33</v>
      </c>
      <c r="BK3362" s="9">
        <f t="shared" si="471"/>
        <v>52.13</v>
      </c>
      <c r="BL3362" s="9">
        <f t="shared" si="472"/>
        <v>0</v>
      </c>
      <c r="BM3362" s="9">
        <f t="shared" si="473"/>
        <v>10.26</v>
      </c>
      <c r="BN3362" s="9">
        <f t="shared" si="474"/>
        <v>2335.23</v>
      </c>
      <c r="BO3362" s="9">
        <f t="shared" si="475"/>
        <v>5.13</v>
      </c>
      <c r="BP3362" s="9">
        <f t="shared" si="476"/>
        <v>0</v>
      </c>
    </row>
    <row r="3363" spans="1:68">
      <c r="A3363" s="6">
        <v>45156</v>
      </c>
      <c r="B3363" s="7">
        <v>3409</v>
      </c>
      <c r="C3363" s="8">
        <v>761.92</v>
      </c>
      <c r="D3363" s="8"/>
      <c r="E3363" s="8"/>
      <c r="F3363" s="8"/>
      <c r="G3363" s="8"/>
      <c r="H3363" s="8"/>
      <c r="I3363" s="8"/>
      <c r="J3363" s="8"/>
      <c r="K3363" s="8"/>
      <c r="L3363" s="8"/>
      <c r="M3363" s="8">
        <v>2.33</v>
      </c>
      <c r="N3363" s="8"/>
      <c r="O3363" s="8"/>
      <c r="P3363" s="8"/>
      <c r="Q3363" s="8"/>
      <c r="R3363" s="11"/>
      <c r="S3363" s="8">
        <v>1.94</v>
      </c>
      <c r="T3363" s="8"/>
      <c r="U3363" s="8"/>
      <c r="V3363" s="8"/>
      <c r="W3363" s="8"/>
      <c r="X3363" s="8">
        <f>1018*7.77/1000</f>
        <v>7.9098600000000001</v>
      </c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11"/>
      <c r="AQ3363" s="8"/>
      <c r="AR3363" s="8"/>
      <c r="AS3363" s="8"/>
      <c r="AT3363" s="8">
        <v>398.23</v>
      </c>
      <c r="AU3363" s="8"/>
      <c r="AV3363" s="8">
        <v>23.28</v>
      </c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>
        <v>27.48</v>
      </c>
      <c r="BH3363" s="9">
        <f t="shared" si="468"/>
        <v>761.92</v>
      </c>
      <c r="BI3363" s="9">
        <f t="shared" si="469"/>
        <v>2.33</v>
      </c>
      <c r="BJ3363" s="9">
        <f t="shared" si="470"/>
        <v>1.94</v>
      </c>
      <c r="BK3363" s="9">
        <f t="shared" si="471"/>
        <v>7.9098600000000001</v>
      </c>
      <c r="BL3363" s="9">
        <f t="shared" si="472"/>
        <v>0</v>
      </c>
      <c r="BM3363" s="9">
        <f t="shared" si="473"/>
        <v>0</v>
      </c>
      <c r="BN3363" s="9">
        <f t="shared" si="474"/>
        <v>398.23</v>
      </c>
      <c r="BO3363" s="9">
        <f t="shared" si="475"/>
        <v>23.28</v>
      </c>
      <c r="BP3363" s="9">
        <f t="shared" si="476"/>
        <v>0</v>
      </c>
    </row>
    <row r="3364" spans="1:68">
      <c r="A3364" s="6">
        <v>45156</v>
      </c>
      <c r="B3364" s="7">
        <v>3031</v>
      </c>
      <c r="C3364" s="8"/>
      <c r="D3364" s="8"/>
      <c r="E3364" s="8"/>
      <c r="F3364" s="8"/>
      <c r="G3364" s="8"/>
      <c r="H3364" s="8"/>
      <c r="I3364" s="8">
        <v>1178.53</v>
      </c>
      <c r="J3364" s="8"/>
      <c r="K3364" s="8"/>
      <c r="L3364" s="8"/>
      <c r="M3364" s="8"/>
      <c r="N3364" s="8">
        <v>8.17</v>
      </c>
      <c r="O3364" s="8"/>
      <c r="P3364" s="8"/>
      <c r="Q3364" s="8"/>
      <c r="R3364" s="11"/>
      <c r="S3364" s="8">
        <v>0.83</v>
      </c>
      <c r="T3364" s="8"/>
      <c r="U3364" s="8"/>
      <c r="V3364" s="8"/>
      <c r="W3364" s="8">
        <v>11.86</v>
      </c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>
        <f>1800*9.87/1000</f>
        <v>17.765999999999998</v>
      </c>
      <c r="AJ3364" s="8"/>
      <c r="AK3364" s="8"/>
      <c r="AL3364" s="8"/>
      <c r="AM3364" s="8"/>
      <c r="AN3364" s="8">
        <f>1216*9.87/1000</f>
        <v>12.001919999999998</v>
      </c>
      <c r="AO3364" s="8"/>
      <c r="AP3364" s="11"/>
      <c r="AQ3364" s="8"/>
      <c r="AR3364" s="8">
        <f>3696*9.87/1000</f>
        <v>36.479519999999994</v>
      </c>
      <c r="AS3364" s="8"/>
      <c r="AT3364" s="8">
        <v>562.34</v>
      </c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  <c r="BF3364" s="8"/>
      <c r="BG3364" s="8">
        <v>38.19</v>
      </c>
      <c r="BH3364" s="9">
        <f t="shared" si="468"/>
        <v>1178.53</v>
      </c>
      <c r="BI3364" s="9">
        <f t="shared" si="469"/>
        <v>8.17</v>
      </c>
      <c r="BJ3364" s="9">
        <f t="shared" si="470"/>
        <v>0.83</v>
      </c>
      <c r="BK3364" s="9">
        <f t="shared" si="471"/>
        <v>11.86</v>
      </c>
      <c r="BL3364" s="9">
        <f t="shared" si="472"/>
        <v>0</v>
      </c>
      <c r="BM3364" s="9">
        <f t="shared" si="473"/>
        <v>66.247439999999983</v>
      </c>
      <c r="BN3364" s="9">
        <f t="shared" si="474"/>
        <v>562.34</v>
      </c>
      <c r="BO3364" s="9">
        <f t="shared" si="475"/>
        <v>0</v>
      </c>
      <c r="BP3364" s="9">
        <f t="shared" si="476"/>
        <v>0</v>
      </c>
    </row>
    <row r="3365" spans="1:68">
      <c r="A3365" s="6">
        <v>45156</v>
      </c>
      <c r="B3365" s="7">
        <v>3028</v>
      </c>
      <c r="C3365" s="8"/>
      <c r="D3365" s="8">
        <v>1495.4</v>
      </c>
      <c r="E3365" s="8"/>
      <c r="F3365" s="8">
        <v>1376.42</v>
      </c>
      <c r="G3365" s="8"/>
      <c r="H3365" s="8"/>
      <c r="I3365" s="8">
        <v>3117.45</v>
      </c>
      <c r="J3365" s="8"/>
      <c r="K3365" s="8"/>
      <c r="L3365" s="8"/>
      <c r="M3365" s="8"/>
      <c r="N3365" s="8">
        <v>46.01</v>
      </c>
      <c r="O3365" s="8"/>
      <c r="P3365" s="8"/>
      <c r="Q3365" s="8"/>
      <c r="R3365" s="11"/>
      <c r="S3365" s="8">
        <v>8.35</v>
      </c>
      <c r="T3365" s="8"/>
      <c r="U3365" s="8"/>
      <c r="V3365" s="8"/>
      <c r="W3365" s="8">
        <v>44.86</v>
      </c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>
        <v>59.6</v>
      </c>
      <c r="AN3365" s="8">
        <f>1079*39.82/1000</f>
        <v>42.965780000000002</v>
      </c>
      <c r="AO3365" s="8"/>
      <c r="AP3365" s="11"/>
      <c r="AQ3365" s="8"/>
      <c r="AR3365" s="8"/>
      <c r="AS3365" s="8">
        <f>4998*39.82/1000</f>
        <v>199.02036000000001</v>
      </c>
      <c r="AT3365" s="8">
        <v>1993.53</v>
      </c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>
        <v>135.72999999999999</v>
      </c>
      <c r="BH3365" s="9">
        <f t="shared" si="468"/>
        <v>5989.27</v>
      </c>
      <c r="BI3365" s="9">
        <f t="shared" si="469"/>
        <v>46.01</v>
      </c>
      <c r="BJ3365" s="9">
        <f t="shared" si="470"/>
        <v>8.35</v>
      </c>
      <c r="BK3365" s="9">
        <f t="shared" si="471"/>
        <v>44.86</v>
      </c>
      <c r="BL3365" s="9">
        <f t="shared" si="472"/>
        <v>0</v>
      </c>
      <c r="BM3365" s="9">
        <f t="shared" si="473"/>
        <v>301.58614</v>
      </c>
      <c r="BN3365" s="9">
        <f t="shared" si="474"/>
        <v>1993.53</v>
      </c>
      <c r="BO3365" s="9">
        <f t="shared" si="475"/>
        <v>0</v>
      </c>
      <c r="BP3365" s="9">
        <f t="shared" si="476"/>
        <v>0</v>
      </c>
    </row>
    <row r="3366" spans="1:68">
      <c r="A3366" s="6">
        <v>45156</v>
      </c>
      <c r="B3366" s="7">
        <v>3023</v>
      </c>
      <c r="C3366" s="8"/>
      <c r="D3366" s="8">
        <v>893.81</v>
      </c>
      <c r="E3366" s="8"/>
      <c r="F3366" s="8"/>
      <c r="G3366" s="8"/>
      <c r="H3366" s="8"/>
      <c r="I3366" s="8">
        <v>481.49</v>
      </c>
      <c r="J3366" s="8"/>
      <c r="K3366" s="8"/>
      <c r="L3366" s="8"/>
      <c r="M3366" s="8"/>
      <c r="N3366" s="8">
        <v>7.72</v>
      </c>
      <c r="O3366" s="8"/>
      <c r="P3366" s="8"/>
      <c r="Q3366" s="8"/>
      <c r="R3366" s="11"/>
      <c r="S3366" s="8">
        <v>2.2000000000000002</v>
      </c>
      <c r="T3366" s="8"/>
      <c r="U3366" s="8"/>
      <c r="V3366" s="8"/>
      <c r="W3366" s="8">
        <v>12.41</v>
      </c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>
        <v>13.76</v>
      </c>
      <c r="AN3366" s="8">
        <f>1009*9.48/1000</f>
        <v>9.5653199999999998</v>
      </c>
      <c r="AO3366" s="8"/>
      <c r="AP3366" s="11"/>
      <c r="AQ3366" s="8"/>
      <c r="AR3366" s="8"/>
      <c r="AS3366" s="8">
        <f>4803*9.48/1000</f>
        <v>45.532440000000001</v>
      </c>
      <c r="AT3366" s="8">
        <v>564.91</v>
      </c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>
        <v>42.61</v>
      </c>
      <c r="BH3366" s="9">
        <f t="shared" si="468"/>
        <v>1375.3</v>
      </c>
      <c r="BI3366" s="9">
        <f t="shared" si="469"/>
        <v>7.72</v>
      </c>
      <c r="BJ3366" s="9">
        <f t="shared" si="470"/>
        <v>2.2000000000000002</v>
      </c>
      <c r="BK3366" s="9">
        <f t="shared" si="471"/>
        <v>12.41</v>
      </c>
      <c r="BL3366" s="9">
        <f t="shared" si="472"/>
        <v>0</v>
      </c>
      <c r="BM3366" s="9">
        <f t="shared" si="473"/>
        <v>68.857759999999999</v>
      </c>
      <c r="BN3366" s="9">
        <f t="shared" si="474"/>
        <v>564.91</v>
      </c>
      <c r="BO3366" s="9">
        <f t="shared" si="475"/>
        <v>0</v>
      </c>
      <c r="BP3366" s="9">
        <f t="shared" si="476"/>
        <v>0</v>
      </c>
    </row>
    <row r="3367" spans="1:68">
      <c r="A3367" s="6">
        <v>45156</v>
      </c>
      <c r="B3367" s="7">
        <v>3206</v>
      </c>
      <c r="C3367" s="8">
        <v>142.4</v>
      </c>
      <c r="D3367" s="8">
        <v>258.8</v>
      </c>
      <c r="E3367" s="8">
        <v>172.22</v>
      </c>
      <c r="F3367" s="8"/>
      <c r="G3367" s="8"/>
      <c r="H3367" s="8"/>
      <c r="I3367" s="8"/>
      <c r="J3367" s="8"/>
      <c r="K3367" s="8"/>
      <c r="L3367" s="8"/>
      <c r="M3367" s="8"/>
      <c r="N3367" s="8"/>
      <c r="O3367" s="8">
        <v>1.1499999999999999</v>
      </c>
      <c r="P3367" s="8"/>
      <c r="Q3367" s="8"/>
      <c r="R3367" s="11"/>
      <c r="S3367" s="8">
        <v>2.88</v>
      </c>
      <c r="T3367" s="8"/>
      <c r="U3367" s="8">
        <v>2.02</v>
      </c>
      <c r="V3367" s="8"/>
      <c r="W3367" s="8"/>
      <c r="X3367" s="8"/>
      <c r="Y3367" s="8"/>
      <c r="Z3367" s="8">
        <v>34.61</v>
      </c>
      <c r="AA3367" s="8"/>
      <c r="AB3367" s="8">
        <f>812*3.58/1000</f>
        <v>2.9069600000000002</v>
      </c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11"/>
      <c r="AQ3367" s="8"/>
      <c r="AR3367" s="8"/>
      <c r="AS3367" s="8"/>
      <c r="AT3367" s="8">
        <v>100.72</v>
      </c>
      <c r="AU3367" s="8">
        <v>50.33</v>
      </c>
      <c r="AV3367" s="8"/>
      <c r="AW3367" s="8">
        <v>2.2000000000000002</v>
      </c>
      <c r="AX3367" s="8"/>
      <c r="AY3367" s="8"/>
      <c r="AZ3367" s="8"/>
      <c r="BA3367" s="8"/>
      <c r="BB3367" s="8"/>
      <c r="BC3367" s="8"/>
      <c r="BD3367" s="8"/>
      <c r="BE3367" s="8"/>
      <c r="BF3367" s="8"/>
      <c r="BG3367" s="8">
        <v>10.02</v>
      </c>
      <c r="BH3367" s="9">
        <f t="shared" si="468"/>
        <v>573.42000000000007</v>
      </c>
      <c r="BI3367" s="9">
        <f t="shared" si="469"/>
        <v>1.1499999999999999</v>
      </c>
      <c r="BJ3367" s="9">
        <f t="shared" si="470"/>
        <v>2.88</v>
      </c>
      <c r="BK3367" s="9">
        <f t="shared" si="471"/>
        <v>2.02</v>
      </c>
      <c r="BL3367" s="9">
        <f t="shared" si="472"/>
        <v>34.61</v>
      </c>
      <c r="BM3367" s="9">
        <f t="shared" si="473"/>
        <v>2.9069600000000002</v>
      </c>
      <c r="BN3367" s="9">
        <f t="shared" si="474"/>
        <v>151.05000000000001</v>
      </c>
      <c r="BO3367" s="9">
        <f t="shared" si="475"/>
        <v>2.2000000000000002</v>
      </c>
      <c r="BP3367" s="9">
        <f t="shared" si="476"/>
        <v>0</v>
      </c>
    </row>
    <row r="3368" spans="1:68">
      <c r="A3368" s="6">
        <v>45156</v>
      </c>
      <c r="B3368" s="7">
        <v>3801</v>
      </c>
      <c r="C3368" s="8">
        <v>65.86</v>
      </c>
      <c r="D3368" s="8"/>
      <c r="E3368" s="8"/>
      <c r="F3368" s="8"/>
      <c r="G3368" s="8"/>
      <c r="H3368" s="8"/>
      <c r="I3368" s="8"/>
      <c r="J3368" s="8"/>
      <c r="K3368" s="8"/>
      <c r="L3368" s="8">
        <f>42760*1.25/1000</f>
        <v>53.45</v>
      </c>
      <c r="M3368" s="8"/>
      <c r="N3368" s="8">
        <v>0.13</v>
      </c>
      <c r="O3368" s="8"/>
      <c r="P3368" s="8"/>
      <c r="Q3368" s="8"/>
      <c r="R3368" s="11"/>
      <c r="S3368" s="8">
        <v>0.52</v>
      </c>
      <c r="T3368" s="8"/>
      <c r="U3368" s="8">
        <v>0.56999999999999995</v>
      </c>
      <c r="V3368" s="8"/>
      <c r="W3368" s="8"/>
      <c r="X3368" s="8"/>
      <c r="Y3368" s="8"/>
      <c r="Z3368" s="8">
        <v>9.41</v>
      </c>
      <c r="AA3368" s="8">
        <f>3029*1.25/1000</f>
        <v>3.7862499999999999</v>
      </c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11"/>
      <c r="AQ3368" s="8">
        <f>271*1.25/1000</f>
        <v>0.33875</v>
      </c>
      <c r="AR3368" s="8"/>
      <c r="AS3368" s="8"/>
      <c r="AT3368" s="8">
        <v>45.82</v>
      </c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>
        <v>3.47</v>
      </c>
      <c r="BH3368" s="9">
        <f t="shared" si="468"/>
        <v>119.31</v>
      </c>
      <c r="BI3368" s="9">
        <f t="shared" si="469"/>
        <v>0.13</v>
      </c>
      <c r="BJ3368" s="9">
        <f t="shared" si="470"/>
        <v>0.52</v>
      </c>
      <c r="BK3368" s="9">
        <f t="shared" si="471"/>
        <v>0.56999999999999995</v>
      </c>
      <c r="BL3368" s="9">
        <f t="shared" si="472"/>
        <v>13.196249999999999</v>
      </c>
      <c r="BM3368" s="9">
        <f t="shared" si="473"/>
        <v>0.33875</v>
      </c>
      <c r="BN3368" s="9">
        <f t="shared" si="474"/>
        <v>45.82</v>
      </c>
      <c r="BO3368" s="9">
        <f t="shared" si="475"/>
        <v>0</v>
      </c>
      <c r="BP3368" s="9">
        <f t="shared" si="476"/>
        <v>0</v>
      </c>
    </row>
    <row r="3369" spans="1:68">
      <c r="A3369" s="6">
        <v>45159</v>
      </c>
      <c r="B3369" s="7">
        <v>3100</v>
      </c>
      <c r="C3369" s="8">
        <v>675.34</v>
      </c>
      <c r="D3369" s="8"/>
      <c r="E3369" s="8"/>
      <c r="F3369" s="8"/>
      <c r="G3369" s="8"/>
      <c r="H3369" s="8"/>
      <c r="I3369" s="8"/>
      <c r="J3369" s="8"/>
      <c r="K3369" s="8"/>
      <c r="L3369" s="8"/>
      <c r="M3369" s="8">
        <v>1.7</v>
      </c>
      <c r="N3369" s="8"/>
      <c r="O3369" s="8"/>
      <c r="P3369" s="8"/>
      <c r="Q3369" s="8"/>
      <c r="R3369" s="11"/>
      <c r="S3369" s="8">
        <v>3.86</v>
      </c>
      <c r="T3369" s="8"/>
      <c r="U3369" s="8">
        <v>10.82</v>
      </c>
      <c r="V3369" s="8"/>
      <c r="W3369" s="8"/>
      <c r="X3369" s="8"/>
      <c r="Y3369" s="8"/>
      <c r="Z3369" s="8"/>
      <c r="AA3369" s="8"/>
      <c r="AB3369" s="8"/>
      <c r="AC3369" s="8">
        <v>2.71</v>
      </c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11"/>
      <c r="AQ3369" s="8"/>
      <c r="AR3369" s="8"/>
      <c r="AS3369" s="8"/>
      <c r="AT3369" s="8">
        <v>455.28</v>
      </c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>
        <v>87.97</v>
      </c>
      <c r="BG3369" s="8">
        <v>34.79</v>
      </c>
      <c r="BH3369" s="9">
        <f t="shared" si="468"/>
        <v>675.34</v>
      </c>
      <c r="BI3369" s="9">
        <f t="shared" si="469"/>
        <v>1.7</v>
      </c>
      <c r="BJ3369" s="9">
        <f t="shared" si="470"/>
        <v>3.86</v>
      </c>
      <c r="BK3369" s="9">
        <f t="shared" si="471"/>
        <v>10.82</v>
      </c>
      <c r="BL3369" s="9">
        <f t="shared" si="472"/>
        <v>0</v>
      </c>
      <c r="BM3369" s="9">
        <f t="shared" si="473"/>
        <v>2.71</v>
      </c>
      <c r="BN3369" s="9">
        <f t="shared" si="474"/>
        <v>455.28</v>
      </c>
      <c r="BO3369" s="9">
        <f t="shared" si="475"/>
        <v>0</v>
      </c>
      <c r="BP3369" s="9">
        <f t="shared" si="476"/>
        <v>87.97</v>
      </c>
    </row>
    <row r="3370" spans="1:68">
      <c r="A3370" s="6">
        <v>45159</v>
      </c>
      <c r="B3370" s="7">
        <v>3602</v>
      </c>
      <c r="C3370" s="8">
        <v>567.71</v>
      </c>
      <c r="D3370" s="8"/>
      <c r="E3370" s="8"/>
      <c r="F3370" s="8"/>
      <c r="G3370" s="8">
        <v>850.04</v>
      </c>
      <c r="H3370" s="8"/>
      <c r="I3370" s="8"/>
      <c r="J3370" s="8"/>
      <c r="K3370" s="8"/>
      <c r="L3370" s="8"/>
      <c r="M3370" s="8">
        <v>1.7</v>
      </c>
      <c r="N3370" s="8"/>
      <c r="O3370" s="8"/>
      <c r="P3370" s="8"/>
      <c r="Q3370" s="8"/>
      <c r="R3370" s="11"/>
      <c r="S3370" s="8">
        <v>6.81</v>
      </c>
      <c r="T3370" s="8"/>
      <c r="U3370" s="8">
        <v>11.36</v>
      </c>
      <c r="V3370" s="8">
        <f>866*16.2/1000</f>
        <v>14.029199999999999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11"/>
      <c r="AQ3370" s="8"/>
      <c r="AR3370" s="8"/>
      <c r="AS3370" s="8"/>
      <c r="AT3370" s="8">
        <v>572.66999999999996</v>
      </c>
      <c r="AU3370" s="8"/>
      <c r="AV3370" s="8"/>
      <c r="AW3370" s="8">
        <v>36.65</v>
      </c>
      <c r="AX3370" s="8"/>
      <c r="AY3370" s="8"/>
      <c r="AZ3370" s="8"/>
      <c r="BA3370" s="8"/>
      <c r="BB3370" s="8"/>
      <c r="BC3370" s="8"/>
      <c r="BD3370" s="8"/>
      <c r="BE3370" s="8"/>
      <c r="BF3370" s="8">
        <v>45.38</v>
      </c>
      <c r="BG3370" s="8">
        <v>42.38</v>
      </c>
      <c r="BH3370" s="9">
        <f t="shared" si="468"/>
        <v>1417.75</v>
      </c>
      <c r="BI3370" s="9">
        <f t="shared" si="469"/>
        <v>1.7</v>
      </c>
      <c r="BJ3370" s="9">
        <f t="shared" si="470"/>
        <v>6.81</v>
      </c>
      <c r="BK3370" s="9">
        <f t="shared" si="471"/>
        <v>25.389199999999999</v>
      </c>
      <c r="BL3370" s="9">
        <f t="shared" si="472"/>
        <v>0</v>
      </c>
      <c r="BM3370" s="9">
        <f t="shared" si="473"/>
        <v>0</v>
      </c>
      <c r="BN3370" s="9">
        <f t="shared" si="474"/>
        <v>572.66999999999996</v>
      </c>
      <c r="BO3370" s="9">
        <f t="shared" si="475"/>
        <v>36.65</v>
      </c>
      <c r="BP3370" s="9">
        <f t="shared" si="476"/>
        <v>45.38</v>
      </c>
    </row>
    <row r="3371" spans="1:68">
      <c r="A3371" s="6">
        <v>45159</v>
      </c>
      <c r="B3371" s="7">
        <v>3801</v>
      </c>
      <c r="C3371" s="8">
        <v>364.47</v>
      </c>
      <c r="D3371" s="8"/>
      <c r="E3371" s="8"/>
      <c r="F3371" s="8"/>
      <c r="G3371" s="8"/>
      <c r="H3371" s="8"/>
      <c r="I3371" s="8"/>
      <c r="J3371" s="8"/>
      <c r="K3371" s="8"/>
      <c r="L3371" s="8">
        <f>43126*7.05/1000</f>
        <v>304.03829999999999</v>
      </c>
      <c r="M3371" s="8"/>
      <c r="N3371" s="8">
        <v>0.74</v>
      </c>
      <c r="O3371" s="8"/>
      <c r="P3371" s="8"/>
      <c r="Q3371" s="8"/>
      <c r="R3371" s="11"/>
      <c r="S3371" s="8">
        <v>2.92</v>
      </c>
      <c r="T3371" s="8"/>
      <c r="U3371" s="8">
        <v>3.18</v>
      </c>
      <c r="V3371" s="8"/>
      <c r="W3371" s="8"/>
      <c r="X3371" s="8"/>
      <c r="Y3371" s="8"/>
      <c r="Z3371" s="8">
        <v>53.04</v>
      </c>
      <c r="AA3371" s="8">
        <f>3030*7.05/1000</f>
        <v>21.361499999999999</v>
      </c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11"/>
      <c r="AQ3371" s="8">
        <f>269*7.05/1000</f>
        <v>1.89645</v>
      </c>
      <c r="AR3371" s="8"/>
      <c r="AS3371" s="8"/>
      <c r="AT3371" s="8">
        <v>258.73</v>
      </c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>
        <v>19.579999999999998</v>
      </c>
      <c r="BH3371" s="9">
        <f t="shared" si="468"/>
        <v>668.50829999999996</v>
      </c>
      <c r="BI3371" s="9">
        <f t="shared" si="469"/>
        <v>0.74</v>
      </c>
      <c r="BJ3371" s="9">
        <f t="shared" si="470"/>
        <v>2.92</v>
      </c>
      <c r="BK3371" s="9">
        <f t="shared" si="471"/>
        <v>3.18</v>
      </c>
      <c r="BL3371" s="9">
        <f t="shared" si="472"/>
        <v>74.401499999999999</v>
      </c>
      <c r="BM3371" s="9">
        <f t="shared" si="473"/>
        <v>1.89645</v>
      </c>
      <c r="BN3371" s="9">
        <f t="shared" si="474"/>
        <v>258.73</v>
      </c>
      <c r="BO3371" s="9">
        <f t="shared" si="475"/>
        <v>0</v>
      </c>
      <c r="BP3371" s="9">
        <f t="shared" si="476"/>
        <v>0</v>
      </c>
    </row>
    <row r="3372" spans="1:68">
      <c r="A3372" s="6">
        <v>45159</v>
      </c>
      <c r="B3372" s="7">
        <v>3020</v>
      </c>
      <c r="C3372" s="8"/>
      <c r="D3372" s="8">
        <v>173.85</v>
      </c>
      <c r="E3372" s="8"/>
      <c r="F3372" s="8"/>
      <c r="G3372" s="8"/>
      <c r="H3372" s="8"/>
      <c r="I3372" s="8">
        <v>985.02</v>
      </c>
      <c r="J3372" s="8"/>
      <c r="K3372" s="8"/>
      <c r="L3372" s="8"/>
      <c r="M3372" s="8"/>
      <c r="N3372" s="8">
        <v>7.07</v>
      </c>
      <c r="O3372" s="8"/>
      <c r="P3372" s="8"/>
      <c r="Q3372" s="8"/>
      <c r="R3372" s="11"/>
      <c r="S3372" s="8">
        <v>2.08</v>
      </c>
      <c r="T3372" s="8"/>
      <c r="U3372" s="8"/>
      <c r="V3372" s="8"/>
      <c r="W3372" s="8">
        <v>11.58</v>
      </c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>
        <v>11.56</v>
      </c>
      <c r="AN3372" s="8"/>
      <c r="AO3372" s="8"/>
      <c r="AP3372" s="11"/>
      <c r="AQ3372" s="8"/>
      <c r="AR3372" s="8"/>
      <c r="AS3372" s="8">
        <f>3054*9.65/1000</f>
        <v>29.471100000000003</v>
      </c>
      <c r="AT3372" s="8">
        <v>569.37</v>
      </c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>
        <v>41.66</v>
      </c>
      <c r="BH3372" s="9">
        <f t="shared" si="468"/>
        <v>1158.8699999999999</v>
      </c>
      <c r="BI3372" s="9">
        <f t="shared" si="469"/>
        <v>7.07</v>
      </c>
      <c r="BJ3372" s="9">
        <f t="shared" si="470"/>
        <v>2.08</v>
      </c>
      <c r="BK3372" s="9">
        <f t="shared" si="471"/>
        <v>11.58</v>
      </c>
      <c r="BL3372" s="9">
        <f t="shared" si="472"/>
        <v>0</v>
      </c>
      <c r="BM3372" s="9">
        <f t="shared" si="473"/>
        <v>41.031100000000002</v>
      </c>
      <c r="BN3372" s="9">
        <f t="shared" si="474"/>
        <v>569.37</v>
      </c>
      <c r="BO3372" s="9">
        <f t="shared" si="475"/>
        <v>0</v>
      </c>
      <c r="BP3372" s="9">
        <f t="shared" si="476"/>
        <v>0</v>
      </c>
    </row>
    <row r="3373" spans="1:68">
      <c r="A3373" s="6">
        <v>45159</v>
      </c>
      <c r="B3373" s="7">
        <v>3022</v>
      </c>
      <c r="C3373" s="8"/>
      <c r="D3373" s="8">
        <v>576.73</v>
      </c>
      <c r="E3373" s="8"/>
      <c r="F3373" s="8"/>
      <c r="G3373" s="8"/>
      <c r="H3373" s="8"/>
      <c r="I3373" s="8">
        <v>475.25</v>
      </c>
      <c r="J3373" s="8"/>
      <c r="K3373" s="8"/>
      <c r="L3373" s="8"/>
      <c r="M3373" s="8"/>
      <c r="N3373" s="8">
        <v>5.26</v>
      </c>
      <c r="O3373" s="8"/>
      <c r="P3373" s="8"/>
      <c r="Q3373" s="8"/>
      <c r="R3373" s="11"/>
      <c r="S3373" s="8">
        <v>1.89</v>
      </c>
      <c r="T3373" s="8"/>
      <c r="U3373" s="8"/>
      <c r="V3373" s="8"/>
      <c r="W3373" s="8">
        <v>10.51</v>
      </c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>
        <v>13.68</v>
      </c>
      <c r="AN3373" s="8"/>
      <c r="AO3373" s="8"/>
      <c r="AP3373" s="11"/>
      <c r="AQ3373" s="8"/>
      <c r="AR3373" s="8"/>
      <c r="AS3373" s="8">
        <f>3857*9.57/1000</f>
        <v>36.911490000000001</v>
      </c>
      <c r="AT3373" s="8">
        <v>493.09</v>
      </c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>
        <v>37.85</v>
      </c>
      <c r="BH3373" s="9">
        <f t="shared" si="468"/>
        <v>1051.98</v>
      </c>
      <c r="BI3373" s="9">
        <f t="shared" si="469"/>
        <v>5.26</v>
      </c>
      <c r="BJ3373" s="9">
        <f t="shared" si="470"/>
        <v>1.89</v>
      </c>
      <c r="BK3373" s="9">
        <f t="shared" si="471"/>
        <v>10.51</v>
      </c>
      <c r="BL3373" s="9">
        <f t="shared" si="472"/>
        <v>0</v>
      </c>
      <c r="BM3373" s="9">
        <f t="shared" si="473"/>
        <v>50.59149</v>
      </c>
      <c r="BN3373" s="9">
        <f t="shared" si="474"/>
        <v>493.09</v>
      </c>
      <c r="BO3373" s="9">
        <f t="shared" si="475"/>
        <v>0</v>
      </c>
      <c r="BP3373" s="9">
        <f t="shared" si="476"/>
        <v>0</v>
      </c>
    </row>
    <row r="3374" spans="1:68">
      <c r="A3374" s="6">
        <v>45159</v>
      </c>
      <c r="B3374" s="7">
        <v>3016</v>
      </c>
      <c r="C3374" s="8"/>
      <c r="D3374" s="8">
        <v>2380.41</v>
      </c>
      <c r="E3374" s="8"/>
      <c r="F3374" s="8"/>
      <c r="G3374" s="8"/>
      <c r="H3374" s="8"/>
      <c r="I3374" s="8">
        <v>2197.0500000000002</v>
      </c>
      <c r="J3374" s="8"/>
      <c r="K3374" s="8"/>
      <c r="L3374" s="8"/>
      <c r="M3374" s="8"/>
      <c r="N3374" s="8">
        <v>28.42</v>
      </c>
      <c r="O3374" s="8"/>
      <c r="P3374" s="8"/>
      <c r="Q3374" s="8"/>
      <c r="R3374" s="11"/>
      <c r="S3374" s="8">
        <v>3.2</v>
      </c>
      <c r="T3374" s="8"/>
      <c r="U3374" s="8"/>
      <c r="V3374" s="8"/>
      <c r="W3374" s="8">
        <v>45.81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>
        <v>18.3</v>
      </c>
      <c r="AN3374" s="8">
        <f>2067*26.93/1000</f>
        <v>55.66431</v>
      </c>
      <c r="AO3374" s="8"/>
      <c r="AP3374" s="11"/>
      <c r="AQ3374" s="8"/>
      <c r="AR3374" s="8">
        <f>4315*26.93/1000</f>
        <v>116.20295</v>
      </c>
      <c r="AS3374" s="8"/>
      <c r="AT3374" s="8">
        <v>1702.89</v>
      </c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>
        <v>124.27</v>
      </c>
      <c r="BH3374" s="9">
        <f t="shared" si="468"/>
        <v>4577.46</v>
      </c>
      <c r="BI3374" s="9">
        <f t="shared" si="469"/>
        <v>28.42</v>
      </c>
      <c r="BJ3374" s="9">
        <f t="shared" si="470"/>
        <v>3.2</v>
      </c>
      <c r="BK3374" s="9">
        <f t="shared" si="471"/>
        <v>45.81</v>
      </c>
      <c r="BL3374" s="9">
        <f t="shared" si="472"/>
        <v>0</v>
      </c>
      <c r="BM3374" s="9">
        <f t="shared" si="473"/>
        <v>190.16726</v>
      </c>
      <c r="BN3374" s="9">
        <f t="shared" si="474"/>
        <v>1702.89</v>
      </c>
      <c r="BO3374" s="9">
        <f t="shared" si="475"/>
        <v>0</v>
      </c>
      <c r="BP3374" s="9">
        <f t="shared" si="476"/>
        <v>0</v>
      </c>
    </row>
    <row r="3375" spans="1:68">
      <c r="A3375" s="6">
        <v>45160</v>
      </c>
      <c r="B3375" s="7">
        <v>3145</v>
      </c>
      <c r="C3375" s="8">
        <v>1226.81</v>
      </c>
      <c r="D3375" s="8">
        <v>217.01</v>
      </c>
      <c r="E3375" s="8"/>
      <c r="F3375" s="8"/>
      <c r="G3375" s="8"/>
      <c r="H3375" s="8"/>
      <c r="I3375" s="8"/>
      <c r="J3375" s="8"/>
      <c r="K3375" s="8"/>
      <c r="L3375" s="8"/>
      <c r="M3375" s="8">
        <v>4.4800000000000004</v>
      </c>
      <c r="N3375" s="8"/>
      <c r="O3375" s="8"/>
      <c r="P3375" s="8"/>
      <c r="Q3375" s="8"/>
      <c r="R3375" s="11"/>
      <c r="S3375" s="8">
        <v>6.81</v>
      </c>
      <c r="T3375" s="8"/>
      <c r="U3375" s="8">
        <v>21.72</v>
      </c>
      <c r="V3375" s="8"/>
      <c r="W3375" s="8"/>
      <c r="X3375" s="8"/>
      <c r="Y3375" s="8"/>
      <c r="Z3375" s="8"/>
      <c r="AA3375" s="8"/>
      <c r="AB3375" s="8"/>
      <c r="AC3375" s="8">
        <v>5.79</v>
      </c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11"/>
      <c r="AQ3375" s="8"/>
      <c r="AR3375" s="8"/>
      <c r="AS3375" s="8"/>
      <c r="AT3375" s="8">
        <v>957.93</v>
      </c>
      <c r="AU3375" s="8"/>
      <c r="AV3375" s="8"/>
      <c r="AW3375" s="8"/>
      <c r="AX3375" s="8"/>
      <c r="AY3375" s="8"/>
      <c r="AZ3375" s="8"/>
      <c r="BA3375" s="8"/>
      <c r="BB3375" s="8"/>
      <c r="BC3375" s="8"/>
      <c r="BD3375" s="8">
        <v>3.62</v>
      </c>
      <c r="BE3375" s="8">
        <f>1373*9.63/1000</f>
        <v>13.221990000000002</v>
      </c>
      <c r="BF3375" s="8">
        <v>101.29</v>
      </c>
      <c r="BG3375" s="8">
        <v>75.5</v>
      </c>
      <c r="BH3375" s="9">
        <f t="shared" si="468"/>
        <v>1443.82</v>
      </c>
      <c r="BI3375" s="9">
        <f t="shared" si="469"/>
        <v>4.4800000000000004</v>
      </c>
      <c r="BJ3375" s="9">
        <f t="shared" si="470"/>
        <v>6.81</v>
      </c>
      <c r="BK3375" s="9">
        <f t="shared" si="471"/>
        <v>21.72</v>
      </c>
      <c r="BL3375" s="9">
        <f t="shared" si="472"/>
        <v>0</v>
      </c>
      <c r="BM3375" s="9">
        <f t="shared" si="473"/>
        <v>5.79</v>
      </c>
      <c r="BN3375" s="9">
        <f t="shared" si="474"/>
        <v>957.93</v>
      </c>
      <c r="BO3375" s="9">
        <f t="shared" si="475"/>
        <v>16.841990000000003</v>
      </c>
      <c r="BP3375" s="9">
        <f t="shared" si="476"/>
        <v>101.29</v>
      </c>
    </row>
    <row r="3376" spans="1:68">
      <c r="A3376" s="6">
        <v>45160</v>
      </c>
      <c r="B3376" s="7">
        <v>3108</v>
      </c>
      <c r="C3376" s="8">
        <v>2216.7600000000002</v>
      </c>
      <c r="D3376" s="8"/>
      <c r="E3376" s="8"/>
      <c r="F3376" s="8"/>
      <c r="G3376" s="8"/>
      <c r="H3376" s="8"/>
      <c r="I3376" s="8"/>
      <c r="J3376" s="8"/>
      <c r="K3376" s="8"/>
      <c r="L3376" s="8"/>
      <c r="M3376" s="8">
        <v>5.54</v>
      </c>
      <c r="N3376" s="8"/>
      <c r="O3376" s="8"/>
      <c r="P3376" s="8"/>
      <c r="Q3376" s="8"/>
      <c r="R3376" s="11"/>
      <c r="S3376" s="8">
        <v>7.15</v>
      </c>
      <c r="T3376" s="8"/>
      <c r="U3376" s="8">
        <v>28.28</v>
      </c>
      <c r="V3376" s="8"/>
      <c r="W3376" s="8"/>
      <c r="X3376" s="8"/>
      <c r="Y3376" s="8"/>
      <c r="Z3376" s="8"/>
      <c r="AA3376" s="8"/>
      <c r="AB3376" s="8"/>
      <c r="AC3376" s="8">
        <v>8.8800000000000008</v>
      </c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11"/>
      <c r="AQ3376" s="8"/>
      <c r="AR3376" s="8"/>
      <c r="AS3376" s="8"/>
      <c r="AT3376" s="8">
        <v>1207.0999999999999</v>
      </c>
      <c r="AU3376" s="8"/>
      <c r="AV3376" s="8"/>
      <c r="AW3376" s="8"/>
      <c r="AX3376" s="8"/>
      <c r="AY3376" s="8"/>
      <c r="AZ3376" s="8"/>
      <c r="BA3376" s="8">
        <v>82.71</v>
      </c>
      <c r="BB3376" s="8"/>
      <c r="BC3376" s="8"/>
      <c r="BD3376" s="8"/>
      <c r="BE3376" s="8"/>
      <c r="BF3376" s="8"/>
      <c r="BG3376" s="8">
        <v>90.01</v>
      </c>
      <c r="BH3376" s="9">
        <f t="shared" si="468"/>
        <v>2216.7600000000002</v>
      </c>
      <c r="BI3376" s="9">
        <f t="shared" si="469"/>
        <v>5.54</v>
      </c>
      <c r="BJ3376" s="9">
        <f t="shared" si="470"/>
        <v>7.15</v>
      </c>
      <c r="BK3376" s="9">
        <f t="shared" si="471"/>
        <v>28.28</v>
      </c>
      <c r="BL3376" s="9">
        <f t="shared" si="472"/>
        <v>0</v>
      </c>
      <c r="BM3376" s="9">
        <f t="shared" si="473"/>
        <v>8.8800000000000008</v>
      </c>
      <c r="BN3376" s="9">
        <f t="shared" si="474"/>
        <v>1207.0999999999999</v>
      </c>
      <c r="BO3376" s="9">
        <f t="shared" si="475"/>
        <v>82.71</v>
      </c>
      <c r="BP3376" s="9">
        <f t="shared" si="476"/>
        <v>0</v>
      </c>
    </row>
    <row r="3377" spans="1:68">
      <c r="A3377" s="6">
        <v>45160</v>
      </c>
      <c r="B3377" s="7">
        <v>3116</v>
      </c>
      <c r="C3377" s="8">
        <v>1486.86</v>
      </c>
      <c r="D3377" s="8"/>
      <c r="E3377" s="8"/>
      <c r="F3377" s="8"/>
      <c r="G3377" s="8"/>
      <c r="H3377" s="8"/>
      <c r="I3377" s="8"/>
      <c r="J3377" s="8"/>
      <c r="K3377" s="8"/>
      <c r="L3377" s="8"/>
      <c r="M3377" s="8">
        <v>3.57</v>
      </c>
      <c r="N3377" s="8"/>
      <c r="O3377" s="8"/>
      <c r="P3377" s="8"/>
      <c r="Q3377" s="8"/>
      <c r="R3377" s="11"/>
      <c r="S3377" s="8">
        <v>5.99</v>
      </c>
      <c r="T3377" s="8"/>
      <c r="U3377" s="8">
        <v>22.05</v>
      </c>
      <c r="V3377" s="8"/>
      <c r="W3377" s="8"/>
      <c r="X3377" s="8"/>
      <c r="Y3377" s="8"/>
      <c r="Z3377" s="8"/>
      <c r="AA3377" s="8"/>
      <c r="AB3377" s="8"/>
      <c r="AC3377" s="8">
        <v>5.99</v>
      </c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11"/>
      <c r="AQ3377" s="8">
        <f>1435*10.7/1000</f>
        <v>15.354499999999998</v>
      </c>
      <c r="AR3377" s="8"/>
      <c r="AS3377" s="8"/>
      <c r="AT3377" s="8">
        <v>916.22</v>
      </c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>
        <v>59.96</v>
      </c>
      <c r="BG3377" s="8">
        <v>67.84</v>
      </c>
      <c r="BH3377" s="9">
        <f t="shared" si="468"/>
        <v>1486.86</v>
      </c>
      <c r="BI3377" s="9">
        <f t="shared" si="469"/>
        <v>3.57</v>
      </c>
      <c r="BJ3377" s="9">
        <f t="shared" si="470"/>
        <v>5.99</v>
      </c>
      <c r="BK3377" s="9">
        <f t="shared" si="471"/>
        <v>22.05</v>
      </c>
      <c r="BL3377" s="9">
        <f t="shared" si="472"/>
        <v>0</v>
      </c>
      <c r="BM3377" s="9">
        <f t="shared" si="473"/>
        <v>21.344499999999996</v>
      </c>
      <c r="BN3377" s="9">
        <f t="shared" si="474"/>
        <v>916.22</v>
      </c>
      <c r="BO3377" s="9">
        <f t="shared" si="475"/>
        <v>0</v>
      </c>
      <c r="BP3377" s="9">
        <f t="shared" si="476"/>
        <v>59.96</v>
      </c>
    </row>
    <row r="3378" spans="1:68">
      <c r="A3378" s="6">
        <v>45160</v>
      </c>
      <c r="B3378" s="7">
        <v>3029</v>
      </c>
      <c r="C3378" s="8"/>
      <c r="D3378" s="8">
        <v>472.29</v>
      </c>
      <c r="E3378" s="8"/>
      <c r="F3378" s="8">
        <v>332.37</v>
      </c>
      <c r="G3378" s="8"/>
      <c r="H3378" s="8"/>
      <c r="I3378" s="8">
        <v>1968.23</v>
      </c>
      <c r="J3378" s="8"/>
      <c r="K3378" s="8"/>
      <c r="L3378" s="8"/>
      <c r="M3378" s="8"/>
      <c r="N3378" s="8">
        <v>21.92</v>
      </c>
      <c r="O3378" s="8"/>
      <c r="P3378" s="8"/>
      <c r="Q3378" s="8"/>
      <c r="R3378" s="11"/>
      <c r="S3378" s="8">
        <v>1.65</v>
      </c>
      <c r="T3378" s="8"/>
      <c r="U3378" s="8"/>
      <c r="V3378" s="8"/>
      <c r="W3378" s="8">
        <v>27.77</v>
      </c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>
        <v>9.6300000000000008</v>
      </c>
      <c r="AN3378" s="8">
        <f>758*18.48/1000</f>
        <v>14.00784</v>
      </c>
      <c r="AO3378" s="8"/>
      <c r="AP3378" s="11"/>
      <c r="AQ3378" s="8"/>
      <c r="AR3378" s="8">
        <f>4610*18.48/1000</f>
        <v>85.192800000000005</v>
      </c>
      <c r="AS3378" s="8"/>
      <c r="AT3378" s="8">
        <v>1053.1400000000001</v>
      </c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>
        <v>73.42</v>
      </c>
      <c r="BH3378" s="9">
        <f t="shared" si="468"/>
        <v>2772.8900000000003</v>
      </c>
      <c r="BI3378" s="9">
        <f t="shared" si="469"/>
        <v>21.92</v>
      </c>
      <c r="BJ3378" s="9">
        <f t="shared" si="470"/>
        <v>1.65</v>
      </c>
      <c r="BK3378" s="9">
        <f t="shared" si="471"/>
        <v>27.77</v>
      </c>
      <c r="BL3378" s="9">
        <f t="shared" si="472"/>
        <v>0</v>
      </c>
      <c r="BM3378" s="9">
        <f t="shared" si="473"/>
        <v>108.83064</v>
      </c>
      <c r="BN3378" s="9">
        <f t="shared" si="474"/>
        <v>1053.1400000000001</v>
      </c>
      <c r="BO3378" s="9">
        <f t="shared" si="475"/>
        <v>0</v>
      </c>
      <c r="BP3378" s="9">
        <f t="shared" si="476"/>
        <v>0</v>
      </c>
    </row>
    <row r="3379" spans="1:68">
      <c r="A3379" s="6">
        <v>45160</v>
      </c>
      <c r="B3379" s="7">
        <v>3079</v>
      </c>
      <c r="C3379" s="8"/>
      <c r="D3379" s="8"/>
      <c r="E3379" s="8"/>
      <c r="F3379" s="8">
        <v>340.28</v>
      </c>
      <c r="G3379" s="8"/>
      <c r="H3379" s="8"/>
      <c r="I3379" s="8">
        <v>2750.11</v>
      </c>
      <c r="J3379" s="8"/>
      <c r="K3379" s="8"/>
      <c r="L3379" s="8"/>
      <c r="M3379" s="8"/>
      <c r="N3379" s="8">
        <v>22.51</v>
      </c>
      <c r="O3379" s="8"/>
      <c r="P3379" s="8"/>
      <c r="Q3379" s="8"/>
      <c r="R3379" s="11"/>
      <c r="S3379" s="8">
        <v>1.25</v>
      </c>
      <c r="T3379" s="8"/>
      <c r="U3379" s="8"/>
      <c r="V3379" s="8"/>
      <c r="W3379" s="8">
        <v>30.95</v>
      </c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>
        <v>12.36</v>
      </c>
      <c r="AN3379" s="8">
        <f>1732*18.18/1000</f>
        <v>31.487759999999998</v>
      </c>
      <c r="AO3379" s="8"/>
      <c r="AP3379" s="11"/>
      <c r="AQ3379" s="8"/>
      <c r="AR3379" s="8">
        <f>4334*18.18/1000</f>
        <v>78.792119999999997</v>
      </c>
      <c r="AS3379" s="8"/>
      <c r="AT3379" s="8">
        <v>1194.06</v>
      </c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>
        <v>86.13</v>
      </c>
      <c r="BH3379" s="9">
        <f t="shared" si="468"/>
        <v>3090.3900000000003</v>
      </c>
      <c r="BI3379" s="9">
        <f t="shared" si="469"/>
        <v>22.51</v>
      </c>
      <c r="BJ3379" s="9">
        <f t="shared" si="470"/>
        <v>1.25</v>
      </c>
      <c r="BK3379" s="9">
        <f t="shared" si="471"/>
        <v>30.95</v>
      </c>
      <c r="BL3379" s="9">
        <f t="shared" si="472"/>
        <v>0</v>
      </c>
      <c r="BM3379" s="9">
        <f t="shared" si="473"/>
        <v>122.63987999999999</v>
      </c>
      <c r="BN3379" s="9">
        <f t="shared" si="474"/>
        <v>1194.06</v>
      </c>
      <c r="BO3379" s="9">
        <f t="shared" si="475"/>
        <v>0</v>
      </c>
      <c r="BP3379" s="9">
        <f t="shared" si="476"/>
        <v>0</v>
      </c>
    </row>
    <row r="3380" spans="1:68">
      <c r="A3380" s="6">
        <v>45160</v>
      </c>
      <c r="B3380" s="7">
        <v>3503</v>
      </c>
      <c r="C3380" s="8">
        <v>628.73</v>
      </c>
      <c r="D3380" s="8">
        <v>943.56</v>
      </c>
      <c r="E3380" s="8"/>
      <c r="F3380" s="8"/>
      <c r="G3380" s="8"/>
      <c r="H3380" s="8"/>
      <c r="I3380" s="8"/>
      <c r="J3380" s="8"/>
      <c r="K3380" s="8"/>
      <c r="L3380" s="8"/>
      <c r="M3380" s="8">
        <v>2.35</v>
      </c>
      <c r="N3380" s="8">
        <v>2.34</v>
      </c>
      <c r="O3380" s="8"/>
      <c r="P3380" s="8"/>
      <c r="Q3380" s="8"/>
      <c r="R3380" s="11"/>
      <c r="S3380" s="8">
        <v>6.45</v>
      </c>
      <c r="T3380" s="8"/>
      <c r="U3380" s="8">
        <v>15.72</v>
      </c>
      <c r="V3380" s="8"/>
      <c r="W3380" s="8"/>
      <c r="X3380" s="8"/>
      <c r="Y3380" s="8"/>
      <c r="Z3380" s="8">
        <v>298.82</v>
      </c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11"/>
      <c r="AQ3380" s="8"/>
      <c r="AR3380" s="8"/>
      <c r="AS3380" s="8"/>
      <c r="AT3380" s="8">
        <v>515.48</v>
      </c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>
        <v>39.270000000000003</v>
      </c>
      <c r="BH3380" s="9">
        <f t="shared" si="468"/>
        <v>1572.29</v>
      </c>
      <c r="BI3380" s="9">
        <f t="shared" si="469"/>
        <v>4.6899999999999995</v>
      </c>
      <c r="BJ3380" s="9">
        <f t="shared" si="470"/>
        <v>6.45</v>
      </c>
      <c r="BK3380" s="9">
        <f t="shared" si="471"/>
        <v>15.72</v>
      </c>
      <c r="BL3380" s="9">
        <f t="shared" si="472"/>
        <v>298.82</v>
      </c>
      <c r="BM3380" s="9">
        <f t="shared" si="473"/>
        <v>0</v>
      </c>
      <c r="BN3380" s="9">
        <f t="shared" si="474"/>
        <v>515.48</v>
      </c>
      <c r="BO3380" s="9">
        <f t="shared" si="475"/>
        <v>0</v>
      </c>
      <c r="BP3380" s="9">
        <f t="shared" si="476"/>
        <v>0</v>
      </c>
    </row>
    <row r="3381" spans="1:68">
      <c r="A3381" s="6">
        <v>45161</v>
      </c>
      <c r="B3381" s="7">
        <v>3150</v>
      </c>
      <c r="C3381" s="8">
        <v>738.78</v>
      </c>
      <c r="D3381" s="8"/>
      <c r="E3381" s="8"/>
      <c r="F3381" s="8"/>
      <c r="G3381" s="8"/>
      <c r="H3381" s="8"/>
      <c r="I3381" s="8"/>
      <c r="J3381" s="8"/>
      <c r="K3381" s="8"/>
      <c r="L3381" s="8"/>
      <c r="M3381" s="8">
        <v>1.34</v>
      </c>
      <c r="N3381" s="8"/>
      <c r="O3381" s="8"/>
      <c r="P3381" s="8"/>
      <c r="Q3381" s="8"/>
      <c r="R3381" s="11"/>
      <c r="S3381" s="8">
        <v>2.66</v>
      </c>
      <c r="T3381" s="8"/>
      <c r="U3381" s="8">
        <v>8.67</v>
      </c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11"/>
      <c r="AQ3381" s="8"/>
      <c r="AR3381" s="8"/>
      <c r="AS3381" s="8"/>
      <c r="AT3381" s="8">
        <v>414.28</v>
      </c>
      <c r="AU3381" s="8"/>
      <c r="AV3381" s="8"/>
      <c r="AW3381" s="8"/>
      <c r="AX3381" s="8"/>
      <c r="AY3381" s="8"/>
      <c r="AZ3381" s="8"/>
      <c r="BA3381" s="8"/>
      <c r="BB3381" s="8"/>
      <c r="BC3381" s="8">
        <v>1.04</v>
      </c>
      <c r="BD3381" s="8"/>
      <c r="BE3381" s="8"/>
      <c r="BF3381" s="8"/>
      <c r="BG3381" s="8">
        <v>29.74</v>
      </c>
      <c r="BH3381" s="9">
        <f t="shared" si="468"/>
        <v>738.78</v>
      </c>
      <c r="BI3381" s="9">
        <f t="shared" si="469"/>
        <v>1.34</v>
      </c>
      <c r="BJ3381" s="9">
        <f t="shared" si="470"/>
        <v>2.66</v>
      </c>
      <c r="BK3381" s="9">
        <f t="shared" si="471"/>
        <v>8.67</v>
      </c>
      <c r="BL3381" s="9">
        <f t="shared" si="472"/>
        <v>0</v>
      </c>
      <c r="BM3381" s="9">
        <f t="shared" si="473"/>
        <v>0</v>
      </c>
      <c r="BN3381" s="9">
        <f t="shared" si="474"/>
        <v>414.28</v>
      </c>
      <c r="BO3381" s="9">
        <f t="shared" si="475"/>
        <v>1.04</v>
      </c>
      <c r="BP3381" s="9">
        <f t="shared" si="476"/>
        <v>0</v>
      </c>
    </row>
    <row r="3382" spans="1:68">
      <c r="A3382" s="6">
        <v>45161</v>
      </c>
      <c r="B3382" s="7">
        <v>3154</v>
      </c>
      <c r="C3382" s="8">
        <v>689.13</v>
      </c>
      <c r="D3382" s="8"/>
      <c r="E3382" s="8"/>
      <c r="F3382" s="8"/>
      <c r="G3382" s="8"/>
      <c r="H3382" s="8"/>
      <c r="I3382" s="8"/>
      <c r="J3382" s="8"/>
      <c r="K3382" s="8"/>
      <c r="L3382" s="8"/>
      <c r="M3382" s="8">
        <v>1.71</v>
      </c>
      <c r="N3382" s="8"/>
      <c r="O3382" s="8"/>
      <c r="P3382" s="8"/>
      <c r="Q3382" s="8"/>
      <c r="R3382" s="11"/>
      <c r="S3382" s="8">
        <v>2.48</v>
      </c>
      <c r="T3382" s="8"/>
      <c r="U3382" s="8">
        <v>8.77</v>
      </c>
      <c r="V3382" s="8"/>
      <c r="W3382" s="8"/>
      <c r="X3382" s="8"/>
      <c r="Y3382" s="8"/>
      <c r="Z3382" s="8"/>
      <c r="AA3382" s="8"/>
      <c r="AB3382" s="8"/>
      <c r="AC3382" s="8">
        <v>2.76</v>
      </c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11"/>
      <c r="AQ3382" s="8"/>
      <c r="AR3382" s="8"/>
      <c r="AS3382" s="8"/>
      <c r="AT3382" s="8">
        <v>374.17</v>
      </c>
      <c r="AU3382" s="8"/>
      <c r="AV3382" s="8"/>
      <c r="AW3382" s="8"/>
      <c r="AX3382" s="8"/>
      <c r="AY3382" s="8"/>
      <c r="AZ3382" s="8"/>
      <c r="BA3382" s="8"/>
      <c r="BB3382" s="8"/>
      <c r="BC3382" s="8">
        <v>0.83</v>
      </c>
      <c r="BD3382" s="8"/>
      <c r="BE3382" s="8"/>
      <c r="BF3382" s="8"/>
      <c r="BG3382" s="8">
        <v>28.22</v>
      </c>
      <c r="BH3382" s="9">
        <f t="shared" si="468"/>
        <v>689.13</v>
      </c>
      <c r="BI3382" s="9">
        <f t="shared" si="469"/>
        <v>1.71</v>
      </c>
      <c r="BJ3382" s="9">
        <f t="shared" si="470"/>
        <v>2.48</v>
      </c>
      <c r="BK3382" s="9">
        <f t="shared" si="471"/>
        <v>8.77</v>
      </c>
      <c r="BL3382" s="9">
        <f t="shared" si="472"/>
        <v>0</v>
      </c>
      <c r="BM3382" s="9">
        <f t="shared" si="473"/>
        <v>2.76</v>
      </c>
      <c r="BN3382" s="9">
        <f t="shared" si="474"/>
        <v>374.17</v>
      </c>
      <c r="BO3382" s="9">
        <f t="shared" si="475"/>
        <v>0.83</v>
      </c>
      <c r="BP3382" s="9">
        <f t="shared" si="476"/>
        <v>0</v>
      </c>
    </row>
    <row r="3383" spans="1:68">
      <c r="A3383" s="6">
        <v>45161</v>
      </c>
      <c r="B3383" s="7">
        <v>3141</v>
      </c>
      <c r="C3383" s="8">
        <v>2402.3000000000002</v>
      </c>
      <c r="D3383" s="8">
        <v>424</v>
      </c>
      <c r="E3383" s="8"/>
      <c r="F3383" s="8"/>
      <c r="G3383" s="8"/>
      <c r="H3383" s="8"/>
      <c r="I3383" s="8"/>
      <c r="J3383" s="8"/>
      <c r="K3383" s="8"/>
      <c r="L3383" s="8"/>
      <c r="M3383" s="8">
        <v>8.2100000000000009</v>
      </c>
      <c r="N3383" s="8"/>
      <c r="O3383" s="8"/>
      <c r="P3383" s="8"/>
      <c r="Q3383" s="8"/>
      <c r="R3383" s="11"/>
      <c r="S3383" s="8">
        <v>13.3</v>
      </c>
      <c r="T3383" s="8"/>
      <c r="U3383" s="8">
        <v>42.42</v>
      </c>
      <c r="V3383" s="8"/>
      <c r="W3383" s="8"/>
      <c r="X3383" s="8"/>
      <c r="Y3383" s="8"/>
      <c r="Z3383" s="8"/>
      <c r="AA3383" s="8"/>
      <c r="AB3383" s="8"/>
      <c r="AC3383" s="8">
        <v>11.32</v>
      </c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11"/>
      <c r="AQ3383" s="8"/>
      <c r="AR3383" s="8"/>
      <c r="AS3383" s="8"/>
      <c r="AT3383" s="8">
        <v>1860.56</v>
      </c>
      <c r="AU3383" s="8"/>
      <c r="AV3383" s="8"/>
      <c r="AW3383" s="8"/>
      <c r="AX3383" s="8"/>
      <c r="AY3383" s="8"/>
      <c r="AZ3383" s="8"/>
      <c r="BA3383" s="8">
        <v>64.8</v>
      </c>
      <c r="BB3383" s="8"/>
      <c r="BC3383" s="8"/>
      <c r="BD3383" s="8"/>
      <c r="BE3383" s="8"/>
      <c r="BF3383" s="8">
        <v>197.92</v>
      </c>
      <c r="BG3383" s="8">
        <v>146.85</v>
      </c>
      <c r="BH3383" s="9">
        <f t="shared" si="468"/>
        <v>2826.3</v>
      </c>
      <c r="BI3383" s="9">
        <f t="shared" si="469"/>
        <v>8.2100000000000009</v>
      </c>
      <c r="BJ3383" s="9">
        <f t="shared" si="470"/>
        <v>13.3</v>
      </c>
      <c r="BK3383" s="9">
        <f t="shared" si="471"/>
        <v>42.42</v>
      </c>
      <c r="BL3383" s="9">
        <f t="shared" si="472"/>
        <v>0</v>
      </c>
      <c r="BM3383" s="9">
        <f t="shared" si="473"/>
        <v>11.32</v>
      </c>
      <c r="BN3383" s="9">
        <f t="shared" si="474"/>
        <v>1860.56</v>
      </c>
      <c r="BO3383" s="9">
        <f t="shared" si="475"/>
        <v>64.8</v>
      </c>
      <c r="BP3383" s="9">
        <f t="shared" si="476"/>
        <v>197.92</v>
      </c>
    </row>
    <row r="3384" spans="1:68">
      <c r="A3384" s="6">
        <v>45161</v>
      </c>
      <c r="B3384" s="7">
        <v>3106</v>
      </c>
      <c r="C3384" s="8">
        <v>8082.15</v>
      </c>
      <c r="D3384" s="8"/>
      <c r="E3384" s="8"/>
      <c r="F3384" s="8"/>
      <c r="G3384" s="8"/>
      <c r="H3384" s="8"/>
      <c r="I3384" s="8"/>
      <c r="J3384" s="8"/>
      <c r="K3384" s="8"/>
      <c r="L3384" s="8"/>
      <c r="M3384" s="8">
        <v>21.83</v>
      </c>
      <c r="N3384" s="8"/>
      <c r="O3384" s="8"/>
      <c r="P3384" s="8"/>
      <c r="Q3384" s="8"/>
      <c r="R3384" s="11"/>
      <c r="S3384" s="8">
        <v>24.3</v>
      </c>
      <c r="T3384" s="8"/>
      <c r="U3384" s="8">
        <v>102.83</v>
      </c>
      <c r="V3384" s="8"/>
      <c r="W3384" s="8"/>
      <c r="X3384" s="8"/>
      <c r="Y3384" s="8"/>
      <c r="Z3384" s="8"/>
      <c r="AA3384" s="8"/>
      <c r="AB3384" s="8"/>
      <c r="AC3384" s="8">
        <v>20.21</v>
      </c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11"/>
      <c r="AQ3384" s="8"/>
      <c r="AR3384" s="8"/>
      <c r="AS3384" s="8"/>
      <c r="AT3384" s="8">
        <v>4608.95</v>
      </c>
      <c r="AU3384" s="8"/>
      <c r="AV3384" s="8"/>
      <c r="AW3384" s="8"/>
      <c r="AX3384" s="8">
        <v>10.11</v>
      </c>
      <c r="AY3384" s="8"/>
      <c r="AZ3384" s="8"/>
      <c r="BA3384" s="8"/>
      <c r="BB3384" s="8"/>
      <c r="BC3384" s="8"/>
      <c r="BD3384" s="8"/>
      <c r="BE3384" s="8"/>
      <c r="BF3384" s="8"/>
      <c r="BG3384" s="8">
        <v>347.88</v>
      </c>
      <c r="BH3384" s="9">
        <f t="shared" si="468"/>
        <v>8082.15</v>
      </c>
      <c r="BI3384" s="9">
        <f t="shared" si="469"/>
        <v>21.83</v>
      </c>
      <c r="BJ3384" s="9">
        <f t="shared" si="470"/>
        <v>24.3</v>
      </c>
      <c r="BK3384" s="9">
        <f t="shared" si="471"/>
        <v>102.83</v>
      </c>
      <c r="BL3384" s="9">
        <f t="shared" si="472"/>
        <v>0</v>
      </c>
      <c r="BM3384" s="9">
        <f t="shared" si="473"/>
        <v>20.21</v>
      </c>
      <c r="BN3384" s="9">
        <f t="shared" si="474"/>
        <v>4608.95</v>
      </c>
      <c r="BO3384" s="9">
        <f t="shared" si="475"/>
        <v>10.11</v>
      </c>
      <c r="BP3384" s="9">
        <f t="shared" si="476"/>
        <v>0</v>
      </c>
    </row>
    <row r="3385" spans="1:68">
      <c r="A3385" s="6">
        <v>45161</v>
      </c>
      <c r="B3385" s="7">
        <v>3200</v>
      </c>
      <c r="C3385" s="8">
        <v>2264.27</v>
      </c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>
        <v>5.67</v>
      </c>
      <c r="P3385" s="8"/>
      <c r="Q3385" s="8"/>
      <c r="R3385" s="11"/>
      <c r="S3385" s="8">
        <v>8.83</v>
      </c>
      <c r="T3385" s="8"/>
      <c r="U3385" s="8">
        <v>33.97</v>
      </c>
      <c r="V3385" s="8"/>
      <c r="W3385" s="8"/>
      <c r="X3385" s="8"/>
      <c r="Y3385" s="8"/>
      <c r="Z3385" s="8">
        <v>476.22</v>
      </c>
      <c r="AA3385" s="8"/>
      <c r="AB3385" s="8"/>
      <c r="AC3385" s="8"/>
      <c r="AD3385" s="8"/>
      <c r="AE3385" s="8"/>
      <c r="AF3385" s="8">
        <v>113.07</v>
      </c>
      <c r="AG3385" s="8"/>
      <c r="AH3385" s="8"/>
      <c r="AI3385" s="8"/>
      <c r="AJ3385" s="8"/>
      <c r="AK3385" s="8"/>
      <c r="AL3385" s="8"/>
      <c r="AM3385" s="8"/>
      <c r="AN3385" s="8"/>
      <c r="AO3385" s="8"/>
      <c r="AP3385" s="11"/>
      <c r="AQ3385" s="8">
        <f>1521*22.65/1000</f>
        <v>34.450650000000003</v>
      </c>
      <c r="AR3385" s="8"/>
      <c r="AS3385" s="8"/>
      <c r="AT3385" s="8">
        <v>1549.93</v>
      </c>
      <c r="AU3385" s="8"/>
      <c r="AV3385" s="8"/>
      <c r="AW3385" s="8">
        <v>6.68</v>
      </c>
      <c r="AX3385" s="8"/>
      <c r="AY3385" s="8"/>
      <c r="AZ3385" s="8"/>
      <c r="BA3385" s="8"/>
      <c r="BB3385" s="8"/>
      <c r="BC3385" s="8"/>
      <c r="BD3385" s="8"/>
      <c r="BE3385" s="8"/>
      <c r="BF3385" s="8">
        <v>108.74</v>
      </c>
      <c r="BG3385" s="8">
        <v>112.22</v>
      </c>
      <c r="BH3385" s="9">
        <f t="shared" si="468"/>
        <v>2264.27</v>
      </c>
      <c r="BI3385" s="9">
        <f t="shared" si="469"/>
        <v>5.67</v>
      </c>
      <c r="BJ3385" s="9">
        <f t="shared" si="470"/>
        <v>8.83</v>
      </c>
      <c r="BK3385" s="9">
        <f t="shared" si="471"/>
        <v>33.97</v>
      </c>
      <c r="BL3385" s="9">
        <f t="shared" si="472"/>
        <v>476.22</v>
      </c>
      <c r="BM3385" s="9">
        <f t="shared" si="473"/>
        <v>147.52064999999999</v>
      </c>
      <c r="BN3385" s="9">
        <f t="shared" si="474"/>
        <v>1549.93</v>
      </c>
      <c r="BO3385" s="9">
        <f t="shared" si="475"/>
        <v>6.68</v>
      </c>
      <c r="BP3385" s="9">
        <f t="shared" si="476"/>
        <v>108.74</v>
      </c>
    </row>
    <row r="3386" spans="1:68">
      <c r="A3386" s="6">
        <v>45161</v>
      </c>
      <c r="B3386" s="7">
        <v>3028</v>
      </c>
      <c r="C3386" s="8"/>
      <c r="D3386" s="8">
        <v>1101.43</v>
      </c>
      <c r="E3386" s="8"/>
      <c r="F3386" s="8">
        <v>1013.75</v>
      </c>
      <c r="G3386" s="8"/>
      <c r="H3386" s="8"/>
      <c r="I3386" s="8">
        <v>2290.46</v>
      </c>
      <c r="J3386" s="8"/>
      <c r="K3386" s="8"/>
      <c r="L3386" s="8"/>
      <c r="M3386" s="8"/>
      <c r="N3386" s="8">
        <v>33.93</v>
      </c>
      <c r="O3386" s="8"/>
      <c r="P3386" s="8"/>
      <c r="Q3386" s="8"/>
      <c r="R3386" s="11"/>
      <c r="S3386" s="8">
        <v>6.17</v>
      </c>
      <c r="T3386" s="8"/>
      <c r="U3386" s="8"/>
      <c r="V3386" s="8"/>
      <c r="W3386" s="8">
        <v>33.07</v>
      </c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>
        <v>44.01</v>
      </c>
      <c r="AN3386" s="8">
        <f>1073*29.37/1000</f>
        <v>31.514010000000003</v>
      </c>
      <c r="AO3386" s="8"/>
      <c r="AP3386" s="11"/>
      <c r="AQ3386" s="8"/>
      <c r="AR3386" s="8"/>
      <c r="AS3386" s="8">
        <f>4994*29.25/1000</f>
        <v>146.0745</v>
      </c>
      <c r="AT3386" s="8">
        <v>1471.15</v>
      </c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  <c r="BF3386" s="8"/>
      <c r="BG3386" s="8">
        <v>100.03</v>
      </c>
      <c r="BH3386" s="9">
        <f t="shared" si="468"/>
        <v>4405.6400000000003</v>
      </c>
      <c r="BI3386" s="9">
        <f t="shared" si="469"/>
        <v>33.93</v>
      </c>
      <c r="BJ3386" s="9">
        <f t="shared" si="470"/>
        <v>6.17</v>
      </c>
      <c r="BK3386" s="9">
        <f t="shared" si="471"/>
        <v>33.07</v>
      </c>
      <c r="BL3386" s="9">
        <f t="shared" si="472"/>
        <v>0</v>
      </c>
      <c r="BM3386" s="9">
        <f t="shared" si="473"/>
        <v>221.59851</v>
      </c>
      <c r="BN3386" s="9">
        <f t="shared" si="474"/>
        <v>1471.15</v>
      </c>
      <c r="BO3386" s="9">
        <f t="shared" si="475"/>
        <v>0</v>
      </c>
      <c r="BP3386" s="9">
        <f t="shared" si="476"/>
        <v>0</v>
      </c>
    </row>
    <row r="3387" spans="1:68">
      <c r="A3387" s="6">
        <v>45162</v>
      </c>
      <c r="B3387" s="7">
        <v>3136</v>
      </c>
      <c r="C3387" s="8">
        <v>1291.6099999999999</v>
      </c>
      <c r="D3387" s="8"/>
      <c r="E3387" s="8"/>
      <c r="F3387" s="8"/>
      <c r="G3387" s="8"/>
      <c r="H3387" s="8">
        <v>535.74</v>
      </c>
      <c r="I3387" s="8"/>
      <c r="J3387" s="8"/>
      <c r="K3387" s="8"/>
      <c r="L3387" s="8"/>
      <c r="M3387" s="8">
        <v>2.4</v>
      </c>
      <c r="N3387" s="8"/>
      <c r="O3387" s="8"/>
      <c r="P3387" s="8"/>
      <c r="Q3387" s="8"/>
      <c r="R3387" s="11"/>
      <c r="S3387" s="8">
        <v>6.87</v>
      </c>
      <c r="T3387" s="8"/>
      <c r="U3387" s="8">
        <v>20.81</v>
      </c>
      <c r="V3387" s="8"/>
      <c r="W3387" s="8"/>
      <c r="X3387" s="8"/>
      <c r="Y3387" s="8"/>
      <c r="Z3387" s="8"/>
      <c r="AA3387" s="8"/>
      <c r="AB3387" s="8"/>
      <c r="AC3387" s="8">
        <v>6.4</v>
      </c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11"/>
      <c r="AQ3387" s="8"/>
      <c r="AR3387" s="8"/>
      <c r="AS3387" s="8"/>
      <c r="AT3387" s="8">
        <v>1037.97</v>
      </c>
      <c r="AU3387" s="8"/>
      <c r="AV3387" s="8"/>
      <c r="AW3387" s="8"/>
      <c r="AX3387" s="8"/>
      <c r="AY3387" s="8"/>
      <c r="AZ3387" s="8"/>
      <c r="BA3387" s="8">
        <v>15.76</v>
      </c>
      <c r="BB3387" s="8"/>
      <c r="BC3387" s="8"/>
      <c r="BD3387" s="8"/>
      <c r="BE3387" s="8"/>
      <c r="BF3387" s="8">
        <v>63.89</v>
      </c>
      <c r="BG3387" s="8">
        <v>78.510000000000005</v>
      </c>
      <c r="BH3387" s="9">
        <f t="shared" si="468"/>
        <v>1827.35</v>
      </c>
      <c r="BI3387" s="9">
        <f t="shared" si="469"/>
        <v>2.4</v>
      </c>
      <c r="BJ3387" s="9">
        <f t="shared" si="470"/>
        <v>6.87</v>
      </c>
      <c r="BK3387" s="9">
        <f t="shared" si="471"/>
        <v>20.81</v>
      </c>
      <c r="BL3387" s="9">
        <f t="shared" si="472"/>
        <v>0</v>
      </c>
      <c r="BM3387" s="9">
        <f t="shared" si="473"/>
        <v>6.4</v>
      </c>
      <c r="BN3387" s="9">
        <f t="shared" si="474"/>
        <v>1037.97</v>
      </c>
      <c r="BO3387" s="9">
        <f t="shared" si="475"/>
        <v>15.76</v>
      </c>
      <c r="BP3387" s="9">
        <f t="shared" si="476"/>
        <v>63.89</v>
      </c>
    </row>
    <row r="3388" spans="1:68">
      <c r="A3388" s="6">
        <v>45162</v>
      </c>
      <c r="B3388" s="7">
        <v>3113</v>
      </c>
      <c r="C3388" s="8">
        <v>1600.74</v>
      </c>
      <c r="D3388" s="8"/>
      <c r="E3388" s="8"/>
      <c r="F3388" s="8"/>
      <c r="G3388" s="8"/>
      <c r="H3388" s="8"/>
      <c r="I3388" s="8"/>
      <c r="J3388" s="8"/>
      <c r="K3388" s="8"/>
      <c r="L3388" s="8"/>
      <c r="M3388" s="8">
        <v>1.45</v>
      </c>
      <c r="N3388" s="8">
        <v>1.45</v>
      </c>
      <c r="O3388" s="8"/>
      <c r="P3388" s="8"/>
      <c r="Q3388" s="8"/>
      <c r="R3388" s="11"/>
      <c r="S3388" s="8">
        <v>4.83</v>
      </c>
      <c r="T3388" s="8"/>
      <c r="U3388" s="8">
        <v>16.11</v>
      </c>
      <c r="V3388" s="8"/>
      <c r="W3388" s="8"/>
      <c r="X3388" s="8"/>
      <c r="Y3388" s="8"/>
      <c r="Z3388" s="8"/>
      <c r="AA3388" s="8"/>
      <c r="AB3388" s="8"/>
      <c r="AC3388" s="8">
        <v>6.41</v>
      </c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11"/>
      <c r="AQ3388" s="8"/>
      <c r="AR3388" s="8"/>
      <c r="AS3388" s="8"/>
      <c r="AT3388" s="8">
        <v>673.43</v>
      </c>
      <c r="AU3388" s="8"/>
      <c r="AV3388" s="8">
        <v>54.6</v>
      </c>
      <c r="AW3388" s="8"/>
      <c r="AX3388" s="8"/>
      <c r="AY3388" s="8"/>
      <c r="AZ3388" s="8"/>
      <c r="BA3388" s="8"/>
      <c r="BB3388" s="8"/>
      <c r="BC3388" s="8"/>
      <c r="BD3388" s="8"/>
      <c r="BE3388" s="8"/>
      <c r="BF3388" s="8"/>
      <c r="BG3388" s="8">
        <v>48.08</v>
      </c>
      <c r="BH3388" s="9">
        <f t="shared" si="468"/>
        <v>1600.74</v>
      </c>
      <c r="BI3388" s="9">
        <f t="shared" si="469"/>
        <v>2.9</v>
      </c>
      <c r="BJ3388" s="9">
        <f t="shared" si="470"/>
        <v>4.83</v>
      </c>
      <c r="BK3388" s="9">
        <f t="shared" si="471"/>
        <v>16.11</v>
      </c>
      <c r="BL3388" s="9">
        <f t="shared" si="472"/>
        <v>0</v>
      </c>
      <c r="BM3388" s="9">
        <f t="shared" si="473"/>
        <v>6.41</v>
      </c>
      <c r="BN3388" s="9">
        <f t="shared" si="474"/>
        <v>673.43</v>
      </c>
      <c r="BO3388" s="9">
        <f t="shared" si="475"/>
        <v>54.6</v>
      </c>
      <c r="BP3388" s="9">
        <f t="shared" si="476"/>
        <v>0</v>
      </c>
    </row>
    <row r="3389" spans="1:68">
      <c r="A3389" s="6">
        <v>45162</v>
      </c>
      <c r="B3389" s="7">
        <v>3083</v>
      </c>
      <c r="C3389" s="8"/>
      <c r="D3389" s="8">
        <v>1086.1199999999999</v>
      </c>
      <c r="E3389" s="8"/>
      <c r="F3389" s="8"/>
      <c r="G3389" s="8"/>
      <c r="H3389" s="8"/>
      <c r="I3389" s="8">
        <v>2531.69</v>
      </c>
      <c r="J3389" s="8"/>
      <c r="K3389" s="8"/>
      <c r="L3389" s="8"/>
      <c r="M3389" s="8"/>
      <c r="N3389" s="8">
        <v>23.52</v>
      </c>
      <c r="O3389" s="8"/>
      <c r="P3389" s="8"/>
      <c r="Q3389" s="8"/>
      <c r="R3389" s="11"/>
      <c r="S3389" s="8">
        <v>2.5299999999999998</v>
      </c>
      <c r="T3389" s="8"/>
      <c r="U3389" s="8"/>
      <c r="V3389" s="8"/>
      <c r="W3389" s="8">
        <v>2.5299999999999998</v>
      </c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>
        <v>14.42</v>
      </c>
      <c r="AN3389" s="8">
        <f>1908*26.78/1000</f>
        <v>51.096240000000009</v>
      </c>
      <c r="AO3389" s="8"/>
      <c r="AP3389" s="11"/>
      <c r="AQ3389" s="8"/>
      <c r="AR3389" s="8">
        <f>3461*26.78/1000</f>
        <v>92.685580000000002</v>
      </c>
      <c r="AS3389" s="8"/>
      <c r="AT3389" s="8">
        <v>1699.58</v>
      </c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  <c r="BF3389" s="8"/>
      <c r="BG3389" s="8">
        <v>134.84</v>
      </c>
      <c r="BH3389" s="9">
        <f t="shared" si="468"/>
        <v>3617.81</v>
      </c>
      <c r="BI3389" s="9">
        <f t="shared" si="469"/>
        <v>23.52</v>
      </c>
      <c r="BJ3389" s="9">
        <f t="shared" si="470"/>
        <v>2.5299999999999998</v>
      </c>
      <c r="BK3389" s="9">
        <f t="shared" si="471"/>
        <v>2.5299999999999998</v>
      </c>
      <c r="BL3389" s="9">
        <f t="shared" si="472"/>
        <v>0</v>
      </c>
      <c r="BM3389" s="9">
        <f t="shared" si="473"/>
        <v>158.20182</v>
      </c>
      <c r="BN3389" s="9">
        <f t="shared" si="474"/>
        <v>1699.58</v>
      </c>
      <c r="BO3389" s="9">
        <f t="shared" si="475"/>
        <v>0</v>
      </c>
      <c r="BP3389" s="9">
        <f t="shared" si="476"/>
        <v>0</v>
      </c>
    </row>
    <row r="3390" spans="1:68">
      <c r="A3390" s="6">
        <v>45162</v>
      </c>
      <c r="B3390" s="7">
        <v>3200</v>
      </c>
      <c r="C3390" s="8">
        <v>2293.54</v>
      </c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>
        <v>5.75</v>
      </c>
      <c r="P3390" s="8"/>
      <c r="Q3390" s="8"/>
      <c r="R3390" s="11"/>
      <c r="S3390" s="8">
        <v>8.94</v>
      </c>
      <c r="T3390" s="8"/>
      <c r="U3390" s="8">
        <v>34.39</v>
      </c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>
        <v>114.44</v>
      </c>
      <c r="AG3390" s="8"/>
      <c r="AH3390" s="8"/>
      <c r="AI3390" s="8"/>
      <c r="AJ3390" s="8"/>
      <c r="AK3390" s="8"/>
      <c r="AL3390" s="8"/>
      <c r="AM3390" s="8"/>
      <c r="AN3390" s="8"/>
      <c r="AO3390" s="8"/>
      <c r="AP3390" s="11"/>
      <c r="AQ3390" s="8"/>
      <c r="AR3390" s="8"/>
      <c r="AS3390" s="8"/>
      <c r="AT3390" s="8">
        <v>1571.08</v>
      </c>
      <c r="AU3390" s="8"/>
      <c r="AV3390" s="8"/>
      <c r="AW3390" s="8">
        <v>6.58</v>
      </c>
      <c r="AX3390" s="8"/>
      <c r="AY3390" s="8"/>
      <c r="AZ3390" s="8"/>
      <c r="BA3390" s="8"/>
      <c r="BB3390" s="8"/>
      <c r="BC3390" s="8"/>
      <c r="BD3390" s="8"/>
      <c r="BE3390" s="8"/>
      <c r="BF3390" s="8">
        <v>110.13</v>
      </c>
      <c r="BG3390" s="8">
        <v>113.89</v>
      </c>
      <c r="BH3390" s="9">
        <f t="shared" si="468"/>
        <v>2293.54</v>
      </c>
      <c r="BI3390" s="9">
        <f t="shared" si="469"/>
        <v>5.75</v>
      </c>
      <c r="BJ3390" s="9">
        <f t="shared" si="470"/>
        <v>8.94</v>
      </c>
      <c r="BK3390" s="9">
        <f t="shared" si="471"/>
        <v>34.39</v>
      </c>
      <c r="BL3390" s="9">
        <f t="shared" si="472"/>
        <v>0</v>
      </c>
      <c r="BM3390" s="9">
        <f t="shared" si="473"/>
        <v>114.44</v>
      </c>
      <c r="BN3390" s="9">
        <f t="shared" si="474"/>
        <v>1571.08</v>
      </c>
      <c r="BO3390" s="9">
        <f t="shared" si="475"/>
        <v>6.58</v>
      </c>
      <c r="BP3390" s="9">
        <f t="shared" si="476"/>
        <v>110.13</v>
      </c>
    </row>
    <row r="3391" spans="1:68">
      <c r="A3391" s="6">
        <v>45163</v>
      </c>
      <c r="B3391" s="7">
        <v>3125</v>
      </c>
      <c r="C3391" s="8">
        <v>1188.69</v>
      </c>
      <c r="D3391" s="8"/>
      <c r="E3391" s="8"/>
      <c r="F3391" s="8"/>
      <c r="G3391" s="8"/>
      <c r="H3391" s="8"/>
      <c r="I3391" s="8"/>
      <c r="J3391" s="8"/>
      <c r="K3391" s="8"/>
      <c r="L3391" s="8"/>
      <c r="M3391" s="8">
        <v>2.95</v>
      </c>
      <c r="N3391" s="8"/>
      <c r="O3391" s="8"/>
      <c r="P3391" s="8"/>
      <c r="Q3391" s="8"/>
      <c r="R3391" s="11"/>
      <c r="S3391" s="8">
        <v>3.55</v>
      </c>
      <c r="T3391" s="8"/>
      <c r="U3391" s="8">
        <v>15.04</v>
      </c>
      <c r="V3391" s="8"/>
      <c r="W3391" s="8"/>
      <c r="X3391" s="8"/>
      <c r="Y3391" s="8"/>
      <c r="Z3391" s="8"/>
      <c r="AA3391" s="8"/>
      <c r="AB3391" s="8"/>
      <c r="AC3391" s="8">
        <v>4.7300000000000004</v>
      </c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11"/>
      <c r="AQ3391" s="8"/>
      <c r="AR3391" s="8"/>
      <c r="AS3391" s="8"/>
      <c r="AT3391" s="8">
        <v>676.86</v>
      </c>
      <c r="AU3391" s="8"/>
      <c r="AV3391" s="8">
        <v>17.739999999999998</v>
      </c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>
        <v>50.8</v>
      </c>
      <c r="BH3391" s="9">
        <f t="shared" si="468"/>
        <v>1188.69</v>
      </c>
      <c r="BI3391" s="9">
        <f t="shared" si="469"/>
        <v>2.95</v>
      </c>
      <c r="BJ3391" s="9">
        <f t="shared" si="470"/>
        <v>3.55</v>
      </c>
      <c r="BK3391" s="9">
        <f t="shared" si="471"/>
        <v>15.04</v>
      </c>
      <c r="BL3391" s="9">
        <f t="shared" si="472"/>
        <v>0</v>
      </c>
      <c r="BM3391" s="9">
        <f t="shared" si="473"/>
        <v>4.7300000000000004</v>
      </c>
      <c r="BN3391" s="9">
        <f t="shared" si="474"/>
        <v>676.86</v>
      </c>
      <c r="BO3391" s="9">
        <f t="shared" si="475"/>
        <v>17.739999999999998</v>
      </c>
      <c r="BP3391" s="9">
        <f t="shared" si="476"/>
        <v>0</v>
      </c>
    </row>
    <row r="3392" spans="1:68">
      <c r="A3392" s="6">
        <v>45163</v>
      </c>
      <c r="B3392" s="7">
        <v>3307</v>
      </c>
      <c r="C3392" s="8"/>
      <c r="D3392" s="8">
        <v>530.5</v>
      </c>
      <c r="E3392" s="8"/>
      <c r="F3392" s="8"/>
      <c r="G3392" s="8"/>
      <c r="H3392" s="8"/>
      <c r="I3392" s="8"/>
      <c r="J3392" s="8"/>
      <c r="K3392" s="8"/>
      <c r="L3392" s="8"/>
      <c r="M3392" s="8">
        <v>0.48</v>
      </c>
      <c r="N3392" s="8"/>
      <c r="O3392" s="8"/>
      <c r="P3392" s="8"/>
      <c r="Q3392" s="8"/>
      <c r="R3392" s="11"/>
      <c r="S3392" s="8">
        <v>3.62</v>
      </c>
      <c r="T3392" s="8"/>
      <c r="U3392" s="8">
        <v>5.34</v>
      </c>
      <c r="V3392" s="8"/>
      <c r="W3392" s="8"/>
      <c r="X3392" s="8"/>
      <c r="Y3392" s="8"/>
      <c r="Z3392" s="8"/>
      <c r="AA3392" s="8"/>
      <c r="AB3392" s="8"/>
      <c r="AC3392" s="8">
        <v>3.19</v>
      </c>
      <c r="AD3392" s="8"/>
      <c r="AE3392" s="8"/>
      <c r="AF3392" s="8"/>
      <c r="AG3392" s="8">
        <v>5.32</v>
      </c>
      <c r="AH3392" s="8"/>
      <c r="AI3392" s="8"/>
      <c r="AJ3392" s="8"/>
      <c r="AK3392" s="8"/>
      <c r="AL3392" s="8"/>
      <c r="AM3392" s="8"/>
      <c r="AN3392" s="8"/>
      <c r="AO3392" s="8"/>
      <c r="AP3392" s="11"/>
      <c r="AQ3392" s="8"/>
      <c r="AR3392" s="8"/>
      <c r="AS3392" s="8"/>
      <c r="AT3392" s="8"/>
      <c r="AU3392" s="8">
        <v>266.51</v>
      </c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  <c r="BF3392" s="8"/>
      <c r="BG3392" s="8">
        <v>19.12</v>
      </c>
      <c r="BH3392" s="9">
        <f t="shared" si="468"/>
        <v>530.5</v>
      </c>
      <c r="BI3392" s="9">
        <f t="shared" si="469"/>
        <v>0.48</v>
      </c>
      <c r="BJ3392" s="9">
        <f t="shared" si="470"/>
        <v>3.62</v>
      </c>
      <c r="BK3392" s="9">
        <f t="shared" si="471"/>
        <v>5.34</v>
      </c>
      <c r="BL3392" s="9">
        <f t="shared" si="472"/>
        <v>0</v>
      </c>
      <c r="BM3392" s="9">
        <f t="shared" si="473"/>
        <v>8.51</v>
      </c>
      <c r="BN3392" s="9">
        <f t="shared" si="474"/>
        <v>266.51</v>
      </c>
      <c r="BO3392" s="9">
        <f t="shared" si="475"/>
        <v>0</v>
      </c>
      <c r="BP3392" s="9">
        <f t="shared" si="476"/>
        <v>0</v>
      </c>
    </row>
    <row r="3393" spans="1:68">
      <c r="A3393" s="6">
        <v>45163</v>
      </c>
      <c r="B3393" s="7">
        <v>3203</v>
      </c>
      <c r="C3393" s="8">
        <v>1816.73</v>
      </c>
      <c r="D3393" s="8"/>
      <c r="E3393" s="8">
        <v>778.95</v>
      </c>
      <c r="F3393" s="8"/>
      <c r="G3393" s="8"/>
      <c r="H3393" s="8"/>
      <c r="I3393" s="8"/>
      <c r="J3393" s="8"/>
      <c r="K3393" s="8"/>
      <c r="L3393" s="8"/>
      <c r="M3393" s="8"/>
      <c r="N3393" s="8"/>
      <c r="O3393" s="8">
        <v>7.8</v>
      </c>
      <c r="P3393" s="8"/>
      <c r="Q3393" s="8"/>
      <c r="R3393" s="11"/>
      <c r="S3393" s="8">
        <v>10.130000000000001</v>
      </c>
      <c r="T3393" s="8"/>
      <c r="U3393" s="8">
        <v>32.200000000000003</v>
      </c>
      <c r="V3393" s="8"/>
      <c r="W3393" s="8"/>
      <c r="X3393" s="8"/>
      <c r="Y3393" s="8"/>
      <c r="Z3393" s="8">
        <v>408.94</v>
      </c>
      <c r="AA3393" s="8">
        <f>10680*30.53/1000</f>
        <v>326.06040000000002</v>
      </c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11"/>
      <c r="AQ3393" s="8"/>
      <c r="AR3393" s="8"/>
      <c r="AS3393" s="8"/>
      <c r="AT3393" s="8">
        <v>972.66</v>
      </c>
      <c r="AU3393" s="8">
        <v>485.57</v>
      </c>
      <c r="AV3393" s="8"/>
      <c r="AW3393" s="8"/>
      <c r="AX3393" s="8"/>
      <c r="AY3393" s="8"/>
      <c r="AZ3393" s="8"/>
      <c r="BA3393" s="8"/>
      <c r="BB3393" s="8"/>
      <c r="BC3393" s="8">
        <v>6.75</v>
      </c>
      <c r="BD3393" s="8"/>
      <c r="BE3393" s="8"/>
      <c r="BF3393" s="8"/>
      <c r="BG3393" s="8">
        <v>94.47</v>
      </c>
      <c r="BH3393" s="9">
        <f t="shared" si="468"/>
        <v>2595.6800000000003</v>
      </c>
      <c r="BI3393" s="9">
        <f t="shared" si="469"/>
        <v>7.8</v>
      </c>
      <c r="BJ3393" s="9">
        <f t="shared" si="470"/>
        <v>10.130000000000001</v>
      </c>
      <c r="BK3393" s="9">
        <f t="shared" si="471"/>
        <v>32.200000000000003</v>
      </c>
      <c r="BL3393" s="9">
        <f t="shared" si="472"/>
        <v>735.00040000000001</v>
      </c>
      <c r="BM3393" s="9">
        <f t="shared" si="473"/>
        <v>0</v>
      </c>
      <c r="BN3393" s="9">
        <f t="shared" si="474"/>
        <v>1458.23</v>
      </c>
      <c r="BO3393" s="9">
        <f t="shared" si="475"/>
        <v>6.75</v>
      </c>
      <c r="BP3393" s="9">
        <f t="shared" si="476"/>
        <v>0</v>
      </c>
    </row>
    <row r="3394" spans="1:68">
      <c r="A3394" s="6">
        <v>45163</v>
      </c>
      <c r="B3394" s="7">
        <v>3022</v>
      </c>
      <c r="C3394" s="8"/>
      <c r="D3394" s="8">
        <v>337.44</v>
      </c>
      <c r="E3394" s="8"/>
      <c r="F3394" s="8"/>
      <c r="G3394" s="8"/>
      <c r="H3394" s="8"/>
      <c r="I3394" s="8">
        <v>276.67</v>
      </c>
      <c r="J3394" s="8"/>
      <c r="K3394" s="8"/>
      <c r="L3394" s="8"/>
      <c r="M3394" s="8"/>
      <c r="N3394" s="8">
        <v>3.07</v>
      </c>
      <c r="O3394" s="8"/>
      <c r="P3394" s="8"/>
      <c r="Q3394" s="8"/>
      <c r="R3394" s="11"/>
      <c r="S3394" s="8">
        <v>1.1100000000000001</v>
      </c>
      <c r="T3394" s="8"/>
      <c r="U3394" s="8"/>
      <c r="V3394" s="8"/>
      <c r="W3394" s="8">
        <v>6.15</v>
      </c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>
        <v>7.95</v>
      </c>
      <c r="AN3394" s="8"/>
      <c r="AO3394" s="8"/>
      <c r="AP3394" s="11"/>
      <c r="AQ3394" s="8"/>
      <c r="AR3394" s="8"/>
      <c r="AS3394" s="8">
        <f>3862*5.57/1000</f>
        <v>21.511340000000001</v>
      </c>
      <c r="AT3394" s="8">
        <v>287.10000000000002</v>
      </c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>
        <v>22.11</v>
      </c>
      <c r="BH3394" s="9">
        <f t="shared" si="468"/>
        <v>614.11</v>
      </c>
      <c r="BI3394" s="9">
        <f t="shared" si="469"/>
        <v>3.07</v>
      </c>
      <c r="BJ3394" s="9">
        <f t="shared" si="470"/>
        <v>1.1100000000000001</v>
      </c>
      <c r="BK3394" s="9">
        <f t="shared" si="471"/>
        <v>6.15</v>
      </c>
      <c r="BL3394" s="9">
        <f t="shared" si="472"/>
        <v>0</v>
      </c>
      <c r="BM3394" s="9">
        <f t="shared" si="473"/>
        <v>29.46134</v>
      </c>
      <c r="BN3394" s="9">
        <f t="shared" si="474"/>
        <v>287.10000000000002</v>
      </c>
      <c r="BO3394" s="9">
        <f t="shared" si="475"/>
        <v>0</v>
      </c>
      <c r="BP3394" s="9">
        <f t="shared" si="476"/>
        <v>0</v>
      </c>
    </row>
    <row r="3395" spans="1:68">
      <c r="A3395" s="6">
        <v>45163</v>
      </c>
      <c r="B3395" s="7">
        <v>3021</v>
      </c>
      <c r="C3395" s="8"/>
      <c r="D3395" s="8">
        <v>190.87</v>
      </c>
      <c r="E3395" s="8"/>
      <c r="F3395" s="8"/>
      <c r="G3395" s="8"/>
      <c r="H3395" s="8"/>
      <c r="I3395" s="8">
        <v>352.13</v>
      </c>
      <c r="J3395" s="8"/>
      <c r="K3395" s="8"/>
      <c r="L3395" s="8"/>
      <c r="M3395" s="8"/>
      <c r="N3395" s="8">
        <v>2.88</v>
      </c>
      <c r="O3395" s="8"/>
      <c r="P3395" s="8"/>
      <c r="Q3395" s="8"/>
      <c r="R3395" s="11"/>
      <c r="S3395" s="8">
        <v>0.98</v>
      </c>
      <c r="T3395" s="8"/>
      <c r="U3395" s="8"/>
      <c r="V3395" s="8"/>
      <c r="W3395" s="8">
        <v>5.43</v>
      </c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>
        <v>5.43</v>
      </c>
      <c r="AN3395" s="8"/>
      <c r="AO3395" s="8"/>
      <c r="AP3395" s="11"/>
      <c r="AQ3395" s="8"/>
      <c r="AR3395" s="8"/>
      <c r="AS3395" s="8">
        <f>2633*5.17/1000</f>
        <v>13.61261</v>
      </c>
      <c r="AT3395" s="8">
        <v>255.2</v>
      </c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>
        <v>19.23</v>
      </c>
      <c r="BH3395" s="9">
        <f t="shared" si="468"/>
        <v>543</v>
      </c>
      <c r="BI3395" s="9">
        <f t="shared" si="469"/>
        <v>2.88</v>
      </c>
      <c r="BJ3395" s="9">
        <f t="shared" si="470"/>
        <v>0.98</v>
      </c>
      <c r="BK3395" s="9">
        <f t="shared" si="471"/>
        <v>5.43</v>
      </c>
      <c r="BL3395" s="9">
        <f t="shared" si="472"/>
        <v>0</v>
      </c>
      <c r="BM3395" s="9">
        <f t="shared" si="473"/>
        <v>19.04261</v>
      </c>
      <c r="BN3395" s="9">
        <f t="shared" si="474"/>
        <v>255.2</v>
      </c>
      <c r="BO3395" s="9">
        <f t="shared" si="475"/>
        <v>0</v>
      </c>
      <c r="BP3395" s="9">
        <f t="shared" si="476"/>
        <v>0</v>
      </c>
    </row>
    <row r="3396" spans="1:68">
      <c r="A3396" s="6">
        <v>45163</v>
      </c>
      <c r="B3396" s="7">
        <v>3122</v>
      </c>
      <c r="C3396" s="8">
        <v>1420.72</v>
      </c>
      <c r="D3396" s="8"/>
      <c r="E3396" s="8"/>
      <c r="F3396" s="8"/>
      <c r="G3396" s="8"/>
      <c r="H3396" s="8"/>
      <c r="I3396" s="8"/>
      <c r="J3396" s="8"/>
      <c r="K3396" s="8"/>
      <c r="L3396" s="8"/>
      <c r="M3396" s="8">
        <v>2.56</v>
      </c>
      <c r="N3396" s="8">
        <v>2.56</v>
      </c>
      <c r="O3396" s="8"/>
      <c r="P3396" s="8"/>
      <c r="Q3396" s="8"/>
      <c r="R3396" s="11"/>
      <c r="S3396" s="8">
        <v>5.84</v>
      </c>
      <c r="T3396" s="8"/>
      <c r="U3396" s="8">
        <v>14.25</v>
      </c>
      <c r="V3396" s="8"/>
      <c r="W3396" s="8"/>
      <c r="X3396" s="8"/>
      <c r="Y3396" s="8"/>
      <c r="Z3396" s="8"/>
      <c r="AA3396" s="8"/>
      <c r="AB3396" s="8"/>
      <c r="AC3396" s="8">
        <v>5.68</v>
      </c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11"/>
      <c r="AQ3396" s="8"/>
      <c r="AR3396" s="8"/>
      <c r="AS3396" s="8"/>
      <c r="AT3396" s="8">
        <v>629.15</v>
      </c>
      <c r="AU3396" s="8"/>
      <c r="AV3396" s="8">
        <v>48.36</v>
      </c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>
        <v>46.24</v>
      </c>
      <c r="BH3396" s="9">
        <f t="shared" ref="BH3396:BH3459" si="477">SUM(C3396:L3396)</f>
        <v>1420.72</v>
      </c>
      <c r="BI3396" s="9">
        <f t="shared" ref="BI3396:BI3459" si="478">SUM(M3396:R3396)</f>
        <v>5.12</v>
      </c>
      <c r="BJ3396" s="9">
        <f t="shared" ref="BJ3396:BJ3459" si="479">SUM(S3396)</f>
        <v>5.84</v>
      </c>
      <c r="BK3396" s="9">
        <f t="shared" ref="BK3396:BK3459" si="480">SUM(T3396:Y3396)</f>
        <v>14.25</v>
      </c>
      <c r="BL3396" s="9">
        <f t="shared" ref="BL3396:BL3459" si="481">SUM(Z3396:AA3396)</f>
        <v>0</v>
      </c>
      <c r="BM3396" s="9">
        <f t="shared" ref="BM3396:BM3459" si="482">SUM(AB3396:AS3396)</f>
        <v>5.68</v>
      </c>
      <c r="BN3396" s="9">
        <f t="shared" ref="BN3396:BN3459" si="483">SUM(AT3396:AU3396)</f>
        <v>629.15</v>
      </c>
      <c r="BO3396" s="9">
        <f t="shared" ref="BO3396:BO3459" si="484">SUM(AV3396:BE3396)</f>
        <v>48.36</v>
      </c>
      <c r="BP3396" s="9">
        <f t="shared" ref="BP3396:BP3459" si="485">SUM(BF3396)</f>
        <v>0</v>
      </c>
    </row>
    <row r="3397" spans="1:68">
      <c r="A3397" s="6">
        <v>45163</v>
      </c>
      <c r="B3397" s="7">
        <v>3139</v>
      </c>
      <c r="C3397" s="8">
        <v>1779.2</v>
      </c>
      <c r="D3397" s="8"/>
      <c r="E3397" s="8"/>
      <c r="F3397" s="8"/>
      <c r="G3397" s="8"/>
      <c r="H3397" s="8">
        <v>737.38</v>
      </c>
      <c r="I3397" s="8"/>
      <c r="J3397" s="8"/>
      <c r="K3397" s="8"/>
      <c r="L3397" s="8"/>
      <c r="M3397" s="8">
        <v>4.0999999999999996</v>
      </c>
      <c r="N3397" s="8"/>
      <c r="O3397" s="8"/>
      <c r="P3397" s="8"/>
      <c r="Q3397" s="8"/>
      <c r="R3397" s="11"/>
      <c r="S3397" s="8">
        <v>7.88</v>
      </c>
      <c r="T3397" s="8"/>
      <c r="U3397" s="8">
        <v>26.24</v>
      </c>
      <c r="V3397" s="8"/>
      <c r="W3397" s="8"/>
      <c r="X3397" s="8"/>
      <c r="Y3397" s="8"/>
      <c r="Z3397" s="8"/>
      <c r="AA3397" s="8"/>
      <c r="AB3397" s="8"/>
      <c r="AC3397" s="8">
        <v>8.76</v>
      </c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11"/>
      <c r="AQ3397" s="8"/>
      <c r="AR3397" s="8"/>
      <c r="AS3397" s="8"/>
      <c r="AT3397" s="8">
        <v>1297.08</v>
      </c>
      <c r="AU3397" s="8"/>
      <c r="AV3397" s="8">
        <v>43.58</v>
      </c>
      <c r="AW3397" s="8"/>
      <c r="AX3397" s="8"/>
      <c r="AY3397" s="8"/>
      <c r="AZ3397" s="8"/>
      <c r="BA3397" s="8"/>
      <c r="BB3397" s="8"/>
      <c r="BC3397" s="8"/>
      <c r="BD3397" s="8"/>
      <c r="BE3397" s="8"/>
      <c r="BF3397" s="8"/>
      <c r="BG3397" s="8">
        <v>94.13</v>
      </c>
      <c r="BH3397" s="9">
        <f t="shared" si="477"/>
        <v>2516.58</v>
      </c>
      <c r="BI3397" s="9">
        <f t="shared" si="478"/>
        <v>4.0999999999999996</v>
      </c>
      <c r="BJ3397" s="9">
        <f t="shared" si="479"/>
        <v>7.88</v>
      </c>
      <c r="BK3397" s="9">
        <f t="shared" si="480"/>
        <v>26.24</v>
      </c>
      <c r="BL3397" s="9">
        <f t="shared" si="481"/>
        <v>0</v>
      </c>
      <c r="BM3397" s="9">
        <f t="shared" si="482"/>
        <v>8.76</v>
      </c>
      <c r="BN3397" s="9">
        <f t="shared" si="483"/>
        <v>1297.08</v>
      </c>
      <c r="BO3397" s="9">
        <f t="shared" si="484"/>
        <v>43.58</v>
      </c>
      <c r="BP3397" s="9">
        <f t="shared" si="485"/>
        <v>0</v>
      </c>
    </row>
    <row r="3398" spans="1:68">
      <c r="A3398" s="6">
        <v>45163</v>
      </c>
      <c r="B3398" s="7">
        <v>3304</v>
      </c>
      <c r="C3398" s="8"/>
      <c r="D3398" s="8">
        <v>1133.3399999999999</v>
      </c>
      <c r="E3398" s="8"/>
      <c r="F3398" s="8"/>
      <c r="G3398" s="8"/>
      <c r="H3398" s="8"/>
      <c r="I3398" s="8"/>
      <c r="J3398" s="8"/>
      <c r="K3398" s="8"/>
      <c r="L3398" s="8"/>
      <c r="M3398" s="8">
        <v>2.27</v>
      </c>
      <c r="N3398" s="8"/>
      <c r="O3398" s="8"/>
      <c r="P3398" s="8"/>
      <c r="Q3398" s="8"/>
      <c r="R3398" s="11"/>
      <c r="S3398" s="8">
        <v>1.7</v>
      </c>
      <c r="T3398" s="8"/>
      <c r="U3398" s="8">
        <v>10.220000000000001</v>
      </c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>
        <v>11.44</v>
      </c>
      <c r="AH3398" s="8"/>
      <c r="AI3398" s="8"/>
      <c r="AJ3398" s="8"/>
      <c r="AK3398" s="8"/>
      <c r="AL3398" s="8"/>
      <c r="AM3398" s="8"/>
      <c r="AN3398" s="8"/>
      <c r="AO3398" s="8"/>
      <c r="AP3398" s="11"/>
      <c r="AQ3398" s="8"/>
      <c r="AR3398" s="8"/>
      <c r="AS3398" s="8"/>
      <c r="AT3398" s="8">
        <v>304.7</v>
      </c>
      <c r="AU3398" s="8">
        <v>151.82</v>
      </c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>
        <v>31.18</v>
      </c>
      <c r="BH3398" s="9">
        <f t="shared" si="477"/>
        <v>1133.3399999999999</v>
      </c>
      <c r="BI3398" s="9">
        <f t="shared" si="478"/>
        <v>2.27</v>
      </c>
      <c r="BJ3398" s="9">
        <f t="shared" si="479"/>
        <v>1.7</v>
      </c>
      <c r="BK3398" s="9">
        <f t="shared" si="480"/>
        <v>10.220000000000001</v>
      </c>
      <c r="BL3398" s="9">
        <f t="shared" si="481"/>
        <v>0</v>
      </c>
      <c r="BM3398" s="9">
        <f t="shared" si="482"/>
        <v>11.44</v>
      </c>
      <c r="BN3398" s="9">
        <f t="shared" si="483"/>
        <v>456.52</v>
      </c>
      <c r="BO3398" s="9">
        <f t="shared" si="484"/>
        <v>0</v>
      </c>
      <c r="BP3398" s="9">
        <f t="shared" si="485"/>
        <v>0</v>
      </c>
    </row>
    <row r="3399" spans="1:68">
      <c r="A3399" s="6">
        <v>45166</v>
      </c>
      <c r="B3399" s="7">
        <v>3145</v>
      </c>
      <c r="C3399" s="8">
        <v>670.66</v>
      </c>
      <c r="D3399" s="8">
        <v>118.31</v>
      </c>
      <c r="E3399" s="8"/>
      <c r="F3399" s="8"/>
      <c r="G3399" s="8"/>
      <c r="H3399" s="8"/>
      <c r="I3399" s="8"/>
      <c r="J3399" s="8"/>
      <c r="K3399" s="8"/>
      <c r="L3399" s="8"/>
      <c r="M3399" s="8">
        <v>2.29</v>
      </c>
      <c r="N3399" s="8"/>
      <c r="O3399" s="8"/>
      <c r="P3399" s="8"/>
      <c r="Q3399" s="8"/>
      <c r="R3399" s="11"/>
      <c r="S3399" s="8">
        <v>3.71</v>
      </c>
      <c r="T3399" s="8"/>
      <c r="U3399" s="8">
        <v>11.84</v>
      </c>
      <c r="V3399" s="8"/>
      <c r="W3399" s="8"/>
      <c r="X3399" s="8"/>
      <c r="Y3399" s="8"/>
      <c r="Z3399" s="8"/>
      <c r="AA3399" s="8"/>
      <c r="AB3399" s="8"/>
      <c r="AC3399" s="8">
        <v>3.16</v>
      </c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11"/>
      <c r="AQ3399" s="8"/>
      <c r="AR3399" s="8"/>
      <c r="AS3399" s="8"/>
      <c r="AT3399" s="8">
        <v>523.96</v>
      </c>
      <c r="AU3399" s="8"/>
      <c r="AV3399" s="8"/>
      <c r="AW3399" s="8"/>
      <c r="AX3399" s="8"/>
      <c r="AY3399" s="8"/>
      <c r="AZ3399" s="8"/>
      <c r="BA3399" s="8"/>
      <c r="BB3399" s="8"/>
      <c r="BC3399" s="8"/>
      <c r="BD3399" s="8">
        <v>1.97</v>
      </c>
      <c r="BE3399" s="8">
        <f>1374*5.25/1000</f>
        <v>7.2134999999999998</v>
      </c>
      <c r="BF3399" s="8">
        <v>55.28</v>
      </c>
      <c r="BG3399" s="8">
        <v>41.16</v>
      </c>
      <c r="BH3399" s="9">
        <f t="shared" si="477"/>
        <v>788.97</v>
      </c>
      <c r="BI3399" s="9">
        <f t="shared" si="478"/>
        <v>2.29</v>
      </c>
      <c r="BJ3399" s="9">
        <f t="shared" si="479"/>
        <v>3.71</v>
      </c>
      <c r="BK3399" s="9">
        <f t="shared" si="480"/>
        <v>11.84</v>
      </c>
      <c r="BL3399" s="9">
        <f t="shared" si="481"/>
        <v>0</v>
      </c>
      <c r="BM3399" s="9">
        <f t="shared" si="482"/>
        <v>3.16</v>
      </c>
      <c r="BN3399" s="9">
        <f t="shared" si="483"/>
        <v>523.96</v>
      </c>
      <c r="BO3399" s="9">
        <f t="shared" si="484"/>
        <v>9.1835000000000004</v>
      </c>
      <c r="BP3399" s="9">
        <f t="shared" si="485"/>
        <v>55.28</v>
      </c>
    </row>
    <row r="3400" spans="1:68">
      <c r="A3400" s="6">
        <v>45166</v>
      </c>
      <c r="B3400" s="7">
        <v>3141</v>
      </c>
      <c r="C3400" s="8">
        <v>2360.36</v>
      </c>
      <c r="D3400" s="8">
        <v>416.66</v>
      </c>
      <c r="E3400" s="8"/>
      <c r="F3400" s="8"/>
      <c r="G3400" s="8"/>
      <c r="H3400" s="8"/>
      <c r="I3400" s="8"/>
      <c r="J3400" s="8"/>
      <c r="K3400" s="8"/>
      <c r="L3400" s="8"/>
      <c r="M3400" s="8">
        <v>8.06</v>
      </c>
      <c r="N3400" s="8"/>
      <c r="O3400" s="8"/>
      <c r="P3400" s="8"/>
      <c r="Q3400" s="8"/>
      <c r="R3400" s="11"/>
      <c r="S3400" s="8">
        <v>13.07</v>
      </c>
      <c r="T3400" s="8"/>
      <c r="U3400" s="8">
        <v>41.68</v>
      </c>
      <c r="V3400" s="8"/>
      <c r="W3400" s="8"/>
      <c r="X3400" s="8"/>
      <c r="Y3400" s="8"/>
      <c r="Z3400" s="8"/>
      <c r="AA3400" s="8"/>
      <c r="AB3400" s="8"/>
      <c r="AC3400" s="8">
        <v>11.12</v>
      </c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11"/>
      <c r="AQ3400" s="8"/>
      <c r="AR3400" s="8"/>
      <c r="AS3400" s="8"/>
      <c r="AT3400" s="8">
        <v>1837.6</v>
      </c>
      <c r="AU3400" s="8"/>
      <c r="AV3400" s="8"/>
      <c r="AW3400" s="8"/>
      <c r="AX3400" s="8"/>
      <c r="AY3400" s="8"/>
      <c r="AZ3400" s="8"/>
      <c r="BA3400" s="8">
        <v>63.68</v>
      </c>
      <c r="BB3400" s="8"/>
      <c r="BC3400" s="8"/>
      <c r="BD3400" s="8"/>
      <c r="BE3400" s="8"/>
      <c r="BF3400" s="8">
        <v>194.49</v>
      </c>
      <c r="BG3400" s="8">
        <v>144.65</v>
      </c>
      <c r="BH3400" s="9">
        <f t="shared" si="477"/>
        <v>2777.02</v>
      </c>
      <c r="BI3400" s="9">
        <f t="shared" si="478"/>
        <v>8.06</v>
      </c>
      <c r="BJ3400" s="9">
        <f t="shared" si="479"/>
        <v>13.07</v>
      </c>
      <c r="BK3400" s="9">
        <f t="shared" si="480"/>
        <v>41.68</v>
      </c>
      <c r="BL3400" s="9">
        <f t="shared" si="481"/>
        <v>0</v>
      </c>
      <c r="BM3400" s="9">
        <f t="shared" si="482"/>
        <v>11.12</v>
      </c>
      <c r="BN3400" s="9">
        <f t="shared" si="483"/>
        <v>1837.6</v>
      </c>
      <c r="BO3400" s="9">
        <f t="shared" si="484"/>
        <v>63.68</v>
      </c>
      <c r="BP3400" s="9">
        <f t="shared" si="485"/>
        <v>194.49</v>
      </c>
    </row>
    <row r="3401" spans="1:68">
      <c r="A3401" s="6">
        <v>45166</v>
      </c>
      <c r="B3401" s="7">
        <v>3104</v>
      </c>
      <c r="C3401" s="8">
        <v>1491.24</v>
      </c>
      <c r="D3401" s="8"/>
      <c r="E3401" s="8"/>
      <c r="F3401" s="8"/>
      <c r="G3401" s="8"/>
      <c r="H3401" s="8">
        <v>383.83</v>
      </c>
      <c r="I3401" s="8"/>
      <c r="J3401" s="8"/>
      <c r="K3401" s="8"/>
      <c r="L3401" s="8"/>
      <c r="M3401" s="8">
        <v>4.26</v>
      </c>
      <c r="N3401" s="8"/>
      <c r="O3401" s="8"/>
      <c r="P3401" s="8"/>
      <c r="Q3401" s="8"/>
      <c r="R3401" s="11"/>
      <c r="S3401" s="8">
        <v>7.37</v>
      </c>
      <c r="T3401" s="8"/>
      <c r="U3401" s="8">
        <v>19.62</v>
      </c>
      <c r="V3401" s="8"/>
      <c r="W3401" s="8"/>
      <c r="X3401" s="8"/>
      <c r="Y3401" s="8"/>
      <c r="Z3401" s="8"/>
      <c r="AA3401" s="8"/>
      <c r="AB3401" s="8"/>
      <c r="AC3401" s="8">
        <v>6.82</v>
      </c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11"/>
      <c r="AQ3401" s="8"/>
      <c r="AR3401" s="8"/>
      <c r="AS3401" s="8"/>
      <c r="AT3401" s="8">
        <v>1089.98</v>
      </c>
      <c r="AU3401" s="8"/>
      <c r="AV3401" s="8"/>
      <c r="AW3401" s="8"/>
      <c r="AX3401" s="8"/>
      <c r="AY3401" s="8"/>
      <c r="AZ3401" s="8"/>
      <c r="BA3401" s="8">
        <v>38.89</v>
      </c>
      <c r="BB3401" s="8"/>
      <c r="BC3401" s="8"/>
      <c r="BD3401" s="8"/>
      <c r="BE3401" s="8"/>
      <c r="BF3401" s="8">
        <v>34.22</v>
      </c>
      <c r="BG3401" s="8">
        <v>84.43</v>
      </c>
      <c r="BH3401" s="9">
        <f t="shared" si="477"/>
        <v>1875.07</v>
      </c>
      <c r="BI3401" s="9">
        <f t="shared" si="478"/>
        <v>4.26</v>
      </c>
      <c r="BJ3401" s="9">
        <f t="shared" si="479"/>
        <v>7.37</v>
      </c>
      <c r="BK3401" s="9">
        <f t="shared" si="480"/>
        <v>19.62</v>
      </c>
      <c r="BL3401" s="9">
        <f t="shared" si="481"/>
        <v>0</v>
      </c>
      <c r="BM3401" s="9">
        <f t="shared" si="482"/>
        <v>6.82</v>
      </c>
      <c r="BN3401" s="9">
        <f t="shared" si="483"/>
        <v>1089.98</v>
      </c>
      <c r="BO3401" s="9">
        <f t="shared" si="484"/>
        <v>38.89</v>
      </c>
      <c r="BP3401" s="9">
        <f t="shared" si="485"/>
        <v>34.22</v>
      </c>
    </row>
    <row r="3402" spans="1:68">
      <c r="A3402" s="6">
        <v>45166</v>
      </c>
      <c r="B3402" s="7">
        <v>3106</v>
      </c>
      <c r="C3402" s="8">
        <v>4133.3500000000004</v>
      </c>
      <c r="D3402" s="8"/>
      <c r="E3402" s="8"/>
      <c r="F3402" s="8"/>
      <c r="G3402" s="8"/>
      <c r="H3402" s="8"/>
      <c r="I3402" s="8"/>
      <c r="J3402" s="8"/>
      <c r="K3402" s="8"/>
      <c r="L3402" s="8"/>
      <c r="M3402" s="8">
        <v>11.16</v>
      </c>
      <c r="N3402" s="8"/>
      <c r="O3402" s="8"/>
      <c r="P3402" s="8"/>
      <c r="Q3402" s="8"/>
      <c r="R3402" s="11"/>
      <c r="S3402" s="8">
        <v>12.41</v>
      </c>
      <c r="T3402" s="8"/>
      <c r="U3402" s="8">
        <v>52.57</v>
      </c>
      <c r="V3402" s="8"/>
      <c r="W3402" s="8"/>
      <c r="X3402" s="8"/>
      <c r="Y3402" s="8"/>
      <c r="Z3402" s="8"/>
      <c r="AA3402" s="8"/>
      <c r="AB3402" s="8"/>
      <c r="AC3402" s="8">
        <v>10.34</v>
      </c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11"/>
      <c r="AQ3402" s="8"/>
      <c r="AR3402" s="8"/>
      <c r="AS3402" s="8"/>
      <c r="AT3402" s="8">
        <v>2357.4899999999998</v>
      </c>
      <c r="AU3402" s="8"/>
      <c r="AV3402" s="8"/>
      <c r="AW3402" s="8"/>
      <c r="AX3402" s="8">
        <v>5.17</v>
      </c>
      <c r="AY3402" s="8"/>
      <c r="AZ3402" s="8"/>
      <c r="BA3402" s="8"/>
      <c r="BB3402" s="8"/>
      <c r="BC3402" s="8"/>
      <c r="BD3402" s="8"/>
      <c r="BE3402" s="8"/>
      <c r="BF3402" s="8"/>
      <c r="BG3402" s="8">
        <v>177.95</v>
      </c>
      <c r="BH3402" s="9">
        <f t="shared" si="477"/>
        <v>4133.3500000000004</v>
      </c>
      <c r="BI3402" s="9">
        <f t="shared" si="478"/>
        <v>11.16</v>
      </c>
      <c r="BJ3402" s="9">
        <f t="shared" si="479"/>
        <v>12.41</v>
      </c>
      <c r="BK3402" s="9">
        <f t="shared" si="480"/>
        <v>52.57</v>
      </c>
      <c r="BL3402" s="9">
        <f t="shared" si="481"/>
        <v>0</v>
      </c>
      <c r="BM3402" s="9">
        <f t="shared" si="482"/>
        <v>10.34</v>
      </c>
      <c r="BN3402" s="9">
        <f t="shared" si="483"/>
        <v>2357.4899999999998</v>
      </c>
      <c r="BO3402" s="9">
        <f t="shared" si="484"/>
        <v>5.17</v>
      </c>
      <c r="BP3402" s="9">
        <f t="shared" si="485"/>
        <v>0</v>
      </c>
    </row>
    <row r="3403" spans="1:68">
      <c r="A3403" s="6">
        <v>45166</v>
      </c>
      <c r="B3403" s="7">
        <v>3112</v>
      </c>
      <c r="C3403" s="8">
        <v>3134.38</v>
      </c>
      <c r="D3403" s="8"/>
      <c r="E3403" s="8"/>
      <c r="F3403" s="8"/>
      <c r="G3403" s="8"/>
      <c r="H3403" s="8"/>
      <c r="I3403" s="8"/>
      <c r="J3403" s="8"/>
      <c r="K3403" s="8"/>
      <c r="L3403" s="8"/>
      <c r="M3403" s="8">
        <v>2.83</v>
      </c>
      <c r="N3403" s="8">
        <v>2.84</v>
      </c>
      <c r="O3403" s="8"/>
      <c r="P3403" s="8"/>
      <c r="Q3403" s="8"/>
      <c r="R3403" s="11"/>
      <c r="S3403" s="8">
        <v>9.41</v>
      </c>
      <c r="T3403" s="8"/>
      <c r="U3403" s="8">
        <v>31.35</v>
      </c>
      <c r="V3403" s="8"/>
      <c r="W3403" s="8"/>
      <c r="X3403" s="8"/>
      <c r="Y3403" s="8"/>
      <c r="Z3403" s="8"/>
      <c r="AA3403" s="8"/>
      <c r="AB3403" s="8"/>
      <c r="AC3403" s="8">
        <v>12.52</v>
      </c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11"/>
      <c r="AQ3403" s="8"/>
      <c r="AR3403" s="8"/>
      <c r="AS3403" s="8"/>
      <c r="AT3403" s="8">
        <v>1312.06</v>
      </c>
      <c r="AU3403" s="8"/>
      <c r="AV3403" s="8"/>
      <c r="AW3403" s="8"/>
      <c r="AX3403" s="8"/>
      <c r="AY3403" s="8"/>
      <c r="AZ3403" s="8"/>
      <c r="BA3403" s="8">
        <v>41.37</v>
      </c>
      <c r="BB3403" s="8"/>
      <c r="BC3403" s="8"/>
      <c r="BD3403" s="8"/>
      <c r="BE3403" s="8"/>
      <c r="BF3403" s="8"/>
      <c r="BG3403" s="8">
        <v>94.27</v>
      </c>
      <c r="BH3403" s="9">
        <f t="shared" si="477"/>
        <v>3134.38</v>
      </c>
      <c r="BI3403" s="9">
        <f t="shared" si="478"/>
        <v>5.67</v>
      </c>
      <c r="BJ3403" s="9">
        <f t="shared" si="479"/>
        <v>9.41</v>
      </c>
      <c r="BK3403" s="9">
        <f t="shared" si="480"/>
        <v>31.35</v>
      </c>
      <c r="BL3403" s="9">
        <f t="shared" si="481"/>
        <v>0</v>
      </c>
      <c r="BM3403" s="9">
        <f t="shared" si="482"/>
        <v>12.52</v>
      </c>
      <c r="BN3403" s="9">
        <f t="shared" si="483"/>
        <v>1312.06</v>
      </c>
      <c r="BO3403" s="9">
        <f t="shared" si="484"/>
        <v>41.37</v>
      </c>
      <c r="BP3403" s="9">
        <f t="shared" si="485"/>
        <v>0</v>
      </c>
    </row>
    <row r="3404" spans="1:68">
      <c r="A3404" s="6">
        <v>45166</v>
      </c>
      <c r="B3404" s="7">
        <v>3083</v>
      </c>
      <c r="C3404" s="8"/>
      <c r="D3404" s="8">
        <v>1423.16</v>
      </c>
      <c r="E3404" s="8"/>
      <c r="F3404" s="8"/>
      <c r="G3404" s="8"/>
      <c r="H3404" s="8"/>
      <c r="I3404" s="8">
        <v>3313.77</v>
      </c>
      <c r="J3404" s="8"/>
      <c r="K3404" s="8"/>
      <c r="L3404" s="8"/>
      <c r="M3404" s="8"/>
      <c r="N3404" s="8">
        <v>30.79</v>
      </c>
      <c r="O3404" s="8"/>
      <c r="P3404" s="8"/>
      <c r="Q3404" s="8"/>
      <c r="R3404" s="11"/>
      <c r="S3404" s="8">
        <v>3.31</v>
      </c>
      <c r="T3404" s="8"/>
      <c r="U3404" s="8"/>
      <c r="V3404" s="8"/>
      <c r="W3404" s="8">
        <v>37.89</v>
      </c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>
        <v>18.87</v>
      </c>
      <c r="AN3404" s="8">
        <f>1911*35.07/1000</f>
        <v>67.018770000000004</v>
      </c>
      <c r="AO3404" s="8"/>
      <c r="AP3404" s="11"/>
      <c r="AQ3404" s="8"/>
      <c r="AR3404" s="8">
        <f>3481*35.07/1000</f>
        <v>122.07867</v>
      </c>
      <c r="AS3404" s="8"/>
      <c r="AT3404" s="8">
        <v>2226.87</v>
      </c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>
        <v>176.47</v>
      </c>
      <c r="BH3404" s="9">
        <f t="shared" si="477"/>
        <v>4736.93</v>
      </c>
      <c r="BI3404" s="9">
        <f t="shared" si="478"/>
        <v>30.79</v>
      </c>
      <c r="BJ3404" s="9">
        <f t="shared" si="479"/>
        <v>3.31</v>
      </c>
      <c r="BK3404" s="9">
        <f t="shared" si="480"/>
        <v>37.89</v>
      </c>
      <c r="BL3404" s="9">
        <f t="shared" si="481"/>
        <v>0</v>
      </c>
      <c r="BM3404" s="9">
        <f t="shared" si="482"/>
        <v>207.96744000000001</v>
      </c>
      <c r="BN3404" s="9">
        <f t="shared" si="483"/>
        <v>2226.87</v>
      </c>
      <c r="BO3404" s="9">
        <f t="shared" si="484"/>
        <v>0</v>
      </c>
      <c r="BP3404" s="9">
        <f t="shared" si="485"/>
        <v>0</v>
      </c>
    </row>
    <row r="3405" spans="1:68">
      <c r="A3405" s="6">
        <v>45166</v>
      </c>
      <c r="B3405" s="7">
        <v>3031</v>
      </c>
      <c r="C3405" s="8"/>
      <c r="D3405" s="8"/>
      <c r="E3405" s="8"/>
      <c r="F3405" s="8"/>
      <c r="G3405" s="8"/>
      <c r="H3405" s="8"/>
      <c r="I3405" s="8">
        <v>1182.71</v>
      </c>
      <c r="J3405" s="8"/>
      <c r="K3405" s="8"/>
      <c r="L3405" s="8"/>
      <c r="M3405" s="8"/>
      <c r="N3405" s="8">
        <v>8.18</v>
      </c>
      <c r="O3405" s="8"/>
      <c r="P3405" s="8"/>
      <c r="Q3405" s="8"/>
      <c r="R3405" s="11"/>
      <c r="S3405" s="8">
        <v>0.82</v>
      </c>
      <c r="T3405" s="8"/>
      <c r="U3405" s="8"/>
      <c r="V3405" s="8"/>
      <c r="W3405" s="8">
        <v>11.84</v>
      </c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>
        <f>1759*9.87/1000</f>
        <v>17.361329999999999</v>
      </c>
      <c r="AJ3405" s="8"/>
      <c r="AK3405" s="8"/>
      <c r="AL3405" s="8"/>
      <c r="AM3405" s="8"/>
      <c r="AN3405" s="8">
        <f>1226*9.87/1000</f>
        <v>12.100619999999999</v>
      </c>
      <c r="AO3405" s="8"/>
      <c r="AP3405" s="11"/>
      <c r="AQ3405" s="8"/>
      <c r="AR3405" s="8">
        <f>3628*9.87/1000</f>
        <v>35.80836</v>
      </c>
      <c r="AS3405" s="8"/>
      <c r="AT3405" s="8">
        <v>563.70000000000005</v>
      </c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>
        <v>38.369999999999997</v>
      </c>
      <c r="BH3405" s="9">
        <f t="shared" si="477"/>
        <v>1182.71</v>
      </c>
      <c r="BI3405" s="9">
        <f t="shared" si="478"/>
        <v>8.18</v>
      </c>
      <c r="BJ3405" s="9">
        <f t="shared" si="479"/>
        <v>0.82</v>
      </c>
      <c r="BK3405" s="9">
        <f t="shared" si="480"/>
        <v>11.84</v>
      </c>
      <c r="BL3405" s="9">
        <f t="shared" si="481"/>
        <v>0</v>
      </c>
      <c r="BM3405" s="9">
        <f t="shared" si="482"/>
        <v>65.270309999999995</v>
      </c>
      <c r="BN3405" s="9">
        <f t="shared" si="483"/>
        <v>563.70000000000005</v>
      </c>
      <c r="BO3405" s="9">
        <f t="shared" si="484"/>
        <v>0</v>
      </c>
      <c r="BP3405" s="9">
        <f t="shared" si="485"/>
        <v>0</v>
      </c>
    </row>
    <row r="3406" spans="1:68">
      <c r="A3406" s="6">
        <v>45167</v>
      </c>
      <c r="B3406" s="7">
        <v>3208</v>
      </c>
      <c r="C3406" s="8">
        <v>397.53</v>
      </c>
      <c r="D3406" s="8">
        <v>717.35</v>
      </c>
      <c r="E3406" s="8">
        <v>477.38</v>
      </c>
      <c r="F3406" s="8"/>
      <c r="G3406" s="8"/>
      <c r="H3406" s="8"/>
      <c r="I3406" s="8"/>
      <c r="J3406" s="8"/>
      <c r="K3406" s="8"/>
      <c r="L3406" s="8"/>
      <c r="M3406" s="8"/>
      <c r="N3406" s="8"/>
      <c r="O3406" s="8">
        <v>3.19</v>
      </c>
      <c r="P3406" s="8"/>
      <c r="Q3406" s="8"/>
      <c r="R3406" s="11"/>
      <c r="S3406" s="8">
        <v>7.96</v>
      </c>
      <c r="T3406" s="8"/>
      <c r="U3406" s="8">
        <v>11.17</v>
      </c>
      <c r="V3406" s="8"/>
      <c r="W3406" s="8"/>
      <c r="X3406" s="8"/>
      <c r="Y3406" s="8"/>
      <c r="Z3406" s="8">
        <v>183.38</v>
      </c>
      <c r="AA3406" s="8">
        <f>5627*9.95/1000</f>
        <v>55.988649999999993</v>
      </c>
      <c r="AB3406" s="8">
        <f>810*9.95/1000</f>
        <v>8.0594999999999999</v>
      </c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11"/>
      <c r="AQ3406" s="8"/>
      <c r="AR3406" s="8"/>
      <c r="AS3406" s="8"/>
      <c r="AT3406" s="8">
        <v>298.33</v>
      </c>
      <c r="AU3406" s="8">
        <v>149.26</v>
      </c>
      <c r="AV3406" s="8"/>
      <c r="AW3406" s="8">
        <v>6.05</v>
      </c>
      <c r="AX3406" s="8"/>
      <c r="AY3406" s="8"/>
      <c r="AZ3406" s="8"/>
      <c r="BA3406" s="8"/>
      <c r="BB3406" s="8"/>
      <c r="BC3406" s="8"/>
      <c r="BD3406" s="8"/>
      <c r="BE3406" s="8"/>
      <c r="BF3406" s="8"/>
      <c r="BG3406" s="8">
        <v>30.53</v>
      </c>
      <c r="BH3406" s="9">
        <f t="shared" si="477"/>
        <v>1592.2600000000002</v>
      </c>
      <c r="BI3406" s="9">
        <f t="shared" si="478"/>
        <v>3.19</v>
      </c>
      <c r="BJ3406" s="9">
        <f t="shared" si="479"/>
        <v>7.96</v>
      </c>
      <c r="BK3406" s="9">
        <f t="shared" si="480"/>
        <v>11.17</v>
      </c>
      <c r="BL3406" s="9">
        <f t="shared" si="481"/>
        <v>239.36865</v>
      </c>
      <c r="BM3406" s="9">
        <f t="shared" si="482"/>
        <v>8.0594999999999999</v>
      </c>
      <c r="BN3406" s="9">
        <f t="shared" si="483"/>
        <v>447.59</v>
      </c>
      <c r="BO3406" s="9">
        <f t="shared" si="484"/>
        <v>6.05</v>
      </c>
      <c r="BP3406" s="9">
        <f t="shared" si="485"/>
        <v>0</v>
      </c>
    </row>
    <row r="3407" spans="1:68">
      <c r="A3407" s="6">
        <v>45167</v>
      </c>
      <c r="B3407" s="7">
        <v>3200</v>
      </c>
      <c r="C3407" s="8">
        <v>2293.2199999999998</v>
      </c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>
        <v>5.74</v>
      </c>
      <c r="P3407" s="8"/>
      <c r="Q3407" s="8"/>
      <c r="R3407" s="11"/>
      <c r="S3407" s="8">
        <v>8.9499999999999993</v>
      </c>
      <c r="T3407" s="8"/>
      <c r="U3407" s="8">
        <v>34.4</v>
      </c>
      <c r="V3407" s="8"/>
      <c r="W3407" s="8"/>
      <c r="X3407" s="8"/>
      <c r="Y3407" s="8"/>
      <c r="Z3407" s="8">
        <v>481.81</v>
      </c>
      <c r="AA3407" s="8"/>
      <c r="AB3407" s="8"/>
      <c r="AC3407" s="8"/>
      <c r="AD3407" s="8"/>
      <c r="AE3407" s="8"/>
      <c r="AF3407" s="8">
        <v>114.77</v>
      </c>
      <c r="AG3407" s="8"/>
      <c r="AH3407" s="8"/>
      <c r="AI3407" s="8"/>
      <c r="AJ3407" s="8"/>
      <c r="AK3407" s="8"/>
      <c r="AL3407" s="8"/>
      <c r="AM3407" s="8"/>
      <c r="AN3407" s="8"/>
      <c r="AO3407" s="8"/>
      <c r="AP3407" s="11"/>
      <c r="AQ3407" s="8">
        <f>1533*22.93/1000</f>
        <v>35.151690000000002</v>
      </c>
      <c r="AR3407" s="8"/>
      <c r="AS3407" s="8"/>
      <c r="AT3407" s="8">
        <v>1570.27</v>
      </c>
      <c r="AU3407" s="8"/>
      <c r="AV3407" s="8"/>
      <c r="AW3407" s="8">
        <v>6.58</v>
      </c>
      <c r="AX3407" s="8"/>
      <c r="AY3407" s="8"/>
      <c r="AZ3407" s="8"/>
      <c r="BA3407" s="8"/>
      <c r="BB3407" s="8"/>
      <c r="BC3407" s="8"/>
      <c r="BD3407" s="8"/>
      <c r="BE3407" s="8"/>
      <c r="BF3407" s="8">
        <v>110.17</v>
      </c>
      <c r="BG3407" s="8">
        <v>113.58</v>
      </c>
      <c r="BH3407" s="9">
        <f t="shared" si="477"/>
        <v>2293.2199999999998</v>
      </c>
      <c r="BI3407" s="9">
        <f t="shared" si="478"/>
        <v>5.74</v>
      </c>
      <c r="BJ3407" s="9">
        <f t="shared" si="479"/>
        <v>8.9499999999999993</v>
      </c>
      <c r="BK3407" s="9">
        <f t="shared" si="480"/>
        <v>34.4</v>
      </c>
      <c r="BL3407" s="9">
        <f t="shared" si="481"/>
        <v>481.81</v>
      </c>
      <c r="BM3407" s="9">
        <f t="shared" si="482"/>
        <v>149.92169000000001</v>
      </c>
      <c r="BN3407" s="9">
        <f t="shared" si="483"/>
        <v>1570.27</v>
      </c>
      <c r="BO3407" s="9">
        <f t="shared" si="484"/>
        <v>6.58</v>
      </c>
      <c r="BP3407" s="9">
        <f t="shared" si="485"/>
        <v>110.17</v>
      </c>
    </row>
    <row r="3408" spans="1:68">
      <c r="A3408" s="6">
        <v>45167</v>
      </c>
      <c r="B3408" s="7">
        <v>3022</v>
      </c>
      <c r="C3408" s="8"/>
      <c r="D3408" s="8">
        <v>337.32</v>
      </c>
      <c r="E3408" s="8"/>
      <c r="F3408" s="8"/>
      <c r="G3408" s="8"/>
      <c r="H3408" s="8"/>
      <c r="I3408" s="8">
        <v>275.75</v>
      </c>
      <c r="J3408" s="8"/>
      <c r="K3408" s="8"/>
      <c r="L3408" s="8"/>
      <c r="M3408" s="8"/>
      <c r="N3408" s="8">
        <v>3.06</v>
      </c>
      <c r="O3408" s="8"/>
      <c r="P3408" s="8"/>
      <c r="Q3408" s="8"/>
      <c r="R3408" s="11"/>
      <c r="S3408" s="8">
        <v>1.1000000000000001</v>
      </c>
      <c r="T3408" s="8"/>
      <c r="U3408" s="8"/>
      <c r="V3408" s="8"/>
      <c r="W3408" s="8">
        <v>6.14</v>
      </c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>
        <v>7.97</v>
      </c>
      <c r="AN3408" s="8"/>
      <c r="AO3408" s="8"/>
      <c r="AP3408" s="11"/>
      <c r="AQ3408" s="8"/>
      <c r="AR3408" s="8"/>
      <c r="AS3408" s="8">
        <f>3916*5.57/1000</f>
        <v>21.812120000000004</v>
      </c>
      <c r="AT3408" s="8">
        <v>287.16000000000003</v>
      </c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>
        <v>22.07</v>
      </c>
      <c r="BH3408" s="9">
        <f t="shared" si="477"/>
        <v>613.06999999999994</v>
      </c>
      <c r="BI3408" s="9">
        <f t="shared" si="478"/>
        <v>3.06</v>
      </c>
      <c r="BJ3408" s="9">
        <f t="shared" si="479"/>
        <v>1.1000000000000001</v>
      </c>
      <c r="BK3408" s="9">
        <f t="shared" si="480"/>
        <v>6.14</v>
      </c>
      <c r="BL3408" s="9">
        <f t="shared" si="481"/>
        <v>0</v>
      </c>
      <c r="BM3408" s="9">
        <f t="shared" si="482"/>
        <v>29.782120000000003</v>
      </c>
      <c r="BN3408" s="9">
        <f t="shared" si="483"/>
        <v>287.16000000000003</v>
      </c>
      <c r="BO3408" s="9">
        <f t="shared" si="484"/>
        <v>0</v>
      </c>
      <c r="BP3408" s="9">
        <f t="shared" si="485"/>
        <v>0</v>
      </c>
    </row>
    <row r="3409" spans="1:68">
      <c r="A3409" s="6">
        <v>45167</v>
      </c>
      <c r="B3409" s="7">
        <v>3028</v>
      </c>
      <c r="C3409" s="8"/>
      <c r="D3409" s="8">
        <v>748.63</v>
      </c>
      <c r="E3409" s="8"/>
      <c r="F3409" s="8">
        <v>686.39</v>
      </c>
      <c r="G3409" s="8"/>
      <c r="H3409" s="8"/>
      <c r="I3409" s="8">
        <v>1551</v>
      </c>
      <c r="J3409" s="8"/>
      <c r="K3409" s="8"/>
      <c r="L3409" s="8"/>
      <c r="M3409" s="8"/>
      <c r="N3409" s="8">
        <v>22.95</v>
      </c>
      <c r="O3409" s="8"/>
      <c r="P3409" s="8"/>
      <c r="Q3409" s="8"/>
      <c r="R3409" s="11"/>
      <c r="S3409" s="8">
        <v>4.18</v>
      </c>
      <c r="T3409" s="8"/>
      <c r="U3409" s="8"/>
      <c r="V3409" s="8"/>
      <c r="W3409" s="8">
        <v>22.38</v>
      </c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>
        <v>29.79</v>
      </c>
      <c r="AN3409" s="8">
        <f>1063*19.88/1000</f>
        <v>21.132439999999999</v>
      </c>
      <c r="AO3409" s="8"/>
      <c r="AP3409" s="11"/>
      <c r="AQ3409" s="8"/>
      <c r="AR3409" s="8"/>
      <c r="AS3409" s="8">
        <f>4903*19.88/1000</f>
        <v>97.471639999999994</v>
      </c>
      <c r="AT3409" s="8">
        <v>996.6</v>
      </c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>
        <v>67.67</v>
      </c>
      <c r="BH3409" s="9">
        <f t="shared" si="477"/>
        <v>2986.02</v>
      </c>
      <c r="BI3409" s="9">
        <f t="shared" si="478"/>
        <v>22.95</v>
      </c>
      <c r="BJ3409" s="9">
        <f t="shared" si="479"/>
        <v>4.18</v>
      </c>
      <c r="BK3409" s="9">
        <f t="shared" si="480"/>
        <v>22.38</v>
      </c>
      <c r="BL3409" s="9">
        <f t="shared" si="481"/>
        <v>0</v>
      </c>
      <c r="BM3409" s="9">
        <f t="shared" si="482"/>
        <v>148.39407999999997</v>
      </c>
      <c r="BN3409" s="9">
        <f t="shared" si="483"/>
        <v>996.6</v>
      </c>
      <c r="BO3409" s="9">
        <f t="shared" si="484"/>
        <v>0</v>
      </c>
      <c r="BP3409" s="9">
        <f t="shared" si="485"/>
        <v>0</v>
      </c>
    </row>
    <row r="3410" spans="1:68">
      <c r="A3410" s="6">
        <v>45167</v>
      </c>
      <c r="B3410" s="7">
        <v>3100</v>
      </c>
      <c r="C3410" s="8">
        <v>684.85</v>
      </c>
      <c r="D3410" s="8"/>
      <c r="E3410" s="8"/>
      <c r="F3410" s="8"/>
      <c r="G3410" s="8"/>
      <c r="H3410" s="8"/>
      <c r="I3410" s="8"/>
      <c r="J3410" s="8"/>
      <c r="K3410" s="8"/>
      <c r="L3410" s="8"/>
      <c r="M3410" s="8">
        <v>1.71</v>
      </c>
      <c r="N3410" s="8"/>
      <c r="O3410" s="8"/>
      <c r="P3410" s="8"/>
      <c r="Q3410" s="8"/>
      <c r="R3410" s="11"/>
      <c r="S3410" s="8">
        <v>3.91</v>
      </c>
      <c r="T3410" s="8"/>
      <c r="U3410" s="8">
        <v>10.98</v>
      </c>
      <c r="V3410" s="8"/>
      <c r="W3410" s="8"/>
      <c r="X3410" s="8"/>
      <c r="Y3410" s="8"/>
      <c r="Z3410" s="8"/>
      <c r="AA3410" s="8"/>
      <c r="AB3410" s="8"/>
      <c r="AC3410" s="8">
        <v>2.74</v>
      </c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11"/>
      <c r="AQ3410" s="8"/>
      <c r="AR3410" s="8"/>
      <c r="AS3410" s="8"/>
      <c r="AT3410" s="8">
        <v>461.69</v>
      </c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>
        <v>89.21</v>
      </c>
      <c r="BG3410" s="8">
        <v>35.28</v>
      </c>
      <c r="BH3410" s="9">
        <f t="shared" si="477"/>
        <v>684.85</v>
      </c>
      <c r="BI3410" s="9">
        <f t="shared" si="478"/>
        <v>1.71</v>
      </c>
      <c r="BJ3410" s="9">
        <f t="shared" si="479"/>
        <v>3.91</v>
      </c>
      <c r="BK3410" s="9">
        <f t="shared" si="480"/>
        <v>10.98</v>
      </c>
      <c r="BL3410" s="9">
        <f t="shared" si="481"/>
        <v>0</v>
      </c>
      <c r="BM3410" s="9">
        <f t="shared" si="482"/>
        <v>2.74</v>
      </c>
      <c r="BN3410" s="9">
        <f t="shared" si="483"/>
        <v>461.69</v>
      </c>
      <c r="BO3410" s="9">
        <f t="shared" si="484"/>
        <v>0</v>
      </c>
      <c r="BP3410" s="9">
        <f t="shared" si="485"/>
        <v>89.21</v>
      </c>
    </row>
    <row r="3411" spans="1:68">
      <c r="A3411" s="6">
        <v>45167</v>
      </c>
      <c r="B3411" s="7">
        <v>3703</v>
      </c>
      <c r="C3411" s="8">
        <v>515.15</v>
      </c>
      <c r="D3411" s="8">
        <v>343.63</v>
      </c>
      <c r="E3411" s="8"/>
      <c r="F3411" s="8"/>
      <c r="G3411" s="8"/>
      <c r="H3411" s="8"/>
      <c r="I3411" s="8"/>
      <c r="J3411" s="8"/>
      <c r="K3411" s="8"/>
      <c r="L3411" s="8"/>
      <c r="M3411" s="8">
        <v>1.72</v>
      </c>
      <c r="N3411" s="8"/>
      <c r="O3411" s="8"/>
      <c r="P3411" s="8"/>
      <c r="Q3411" s="8"/>
      <c r="R3411" s="11"/>
      <c r="S3411" s="8">
        <v>4.22</v>
      </c>
      <c r="T3411" s="8"/>
      <c r="U3411" s="8">
        <v>6.89</v>
      </c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>
        <v>8.58</v>
      </c>
      <c r="AN3411" s="8"/>
      <c r="AO3411" s="8"/>
      <c r="AP3411" s="11"/>
      <c r="AQ3411" s="8"/>
      <c r="AR3411" s="8"/>
      <c r="AS3411" s="8"/>
      <c r="AT3411" s="8">
        <v>208.99</v>
      </c>
      <c r="AU3411" s="8">
        <v>104.29</v>
      </c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>
        <v>21.9</v>
      </c>
      <c r="BH3411" s="9">
        <f t="shared" si="477"/>
        <v>858.78</v>
      </c>
      <c r="BI3411" s="9">
        <f t="shared" si="478"/>
        <v>1.72</v>
      </c>
      <c r="BJ3411" s="9">
        <f t="shared" si="479"/>
        <v>4.22</v>
      </c>
      <c r="BK3411" s="9">
        <f t="shared" si="480"/>
        <v>6.89</v>
      </c>
      <c r="BL3411" s="9">
        <f t="shared" si="481"/>
        <v>0</v>
      </c>
      <c r="BM3411" s="9">
        <f t="shared" si="482"/>
        <v>8.58</v>
      </c>
      <c r="BN3411" s="9">
        <f t="shared" si="483"/>
        <v>313.28000000000003</v>
      </c>
      <c r="BO3411" s="9">
        <f t="shared" si="484"/>
        <v>0</v>
      </c>
      <c r="BP3411" s="9">
        <f t="shared" si="485"/>
        <v>0</v>
      </c>
    </row>
    <row r="3412" spans="1:68">
      <c r="A3412" s="6">
        <v>45167</v>
      </c>
      <c r="B3412" s="7">
        <v>3601</v>
      </c>
      <c r="C3412" s="8">
        <v>301.02999999999997</v>
      </c>
      <c r="D3412" s="8"/>
      <c r="E3412" s="8"/>
      <c r="F3412" s="8"/>
      <c r="G3412" s="8">
        <v>451.71</v>
      </c>
      <c r="H3412" s="8"/>
      <c r="I3412" s="8"/>
      <c r="J3412" s="8"/>
      <c r="K3412" s="8"/>
      <c r="L3412" s="8"/>
      <c r="M3412" s="8">
        <v>0.91</v>
      </c>
      <c r="N3412" s="8"/>
      <c r="O3412" s="8"/>
      <c r="P3412" s="8"/>
      <c r="Q3412" s="8"/>
      <c r="R3412" s="11"/>
      <c r="S3412" s="8">
        <v>3.62</v>
      </c>
      <c r="T3412" s="8"/>
      <c r="U3412" s="8">
        <v>4.53</v>
      </c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11"/>
      <c r="AQ3412" s="8"/>
      <c r="AR3412" s="8"/>
      <c r="AS3412" s="8"/>
      <c r="AT3412" s="8">
        <v>368.47</v>
      </c>
      <c r="AU3412" s="8"/>
      <c r="AV3412" s="8"/>
      <c r="AW3412" s="8">
        <v>22.92</v>
      </c>
      <c r="AX3412" s="8"/>
      <c r="AY3412" s="8"/>
      <c r="AZ3412" s="8"/>
      <c r="BA3412" s="8"/>
      <c r="BB3412" s="8"/>
      <c r="BC3412" s="8"/>
      <c r="BD3412" s="8"/>
      <c r="BE3412" s="8"/>
      <c r="BF3412" s="8">
        <v>42.22</v>
      </c>
      <c r="BG3412" s="8">
        <v>26.83</v>
      </c>
      <c r="BH3412" s="9">
        <f t="shared" si="477"/>
        <v>752.74</v>
      </c>
      <c r="BI3412" s="9">
        <f t="shared" si="478"/>
        <v>0.91</v>
      </c>
      <c r="BJ3412" s="9">
        <f t="shared" si="479"/>
        <v>3.62</v>
      </c>
      <c r="BK3412" s="9">
        <f t="shared" si="480"/>
        <v>4.53</v>
      </c>
      <c r="BL3412" s="9">
        <f t="shared" si="481"/>
        <v>0</v>
      </c>
      <c r="BM3412" s="9">
        <f t="shared" si="482"/>
        <v>0</v>
      </c>
      <c r="BN3412" s="9">
        <f t="shared" si="483"/>
        <v>368.47</v>
      </c>
      <c r="BO3412" s="9">
        <f t="shared" si="484"/>
        <v>22.92</v>
      </c>
      <c r="BP3412" s="9">
        <f t="shared" si="485"/>
        <v>42.22</v>
      </c>
    </row>
    <row r="3413" spans="1:68">
      <c r="A3413" s="6">
        <v>45167</v>
      </c>
      <c r="B3413" s="7">
        <v>3602</v>
      </c>
      <c r="C3413" s="8">
        <v>558.12</v>
      </c>
      <c r="D3413" s="8"/>
      <c r="E3413" s="8"/>
      <c r="F3413" s="8"/>
      <c r="G3413" s="8">
        <v>836.91</v>
      </c>
      <c r="H3413" s="8"/>
      <c r="I3413" s="8"/>
      <c r="J3413" s="8"/>
      <c r="K3413" s="8"/>
      <c r="L3413" s="8"/>
      <c r="M3413" s="8">
        <v>1.67</v>
      </c>
      <c r="N3413" s="8"/>
      <c r="O3413" s="8"/>
      <c r="P3413" s="8"/>
      <c r="Q3413" s="8"/>
      <c r="R3413" s="11"/>
      <c r="S3413" s="8">
        <v>6.7</v>
      </c>
      <c r="T3413" s="8"/>
      <c r="U3413" s="8">
        <v>11.17</v>
      </c>
      <c r="V3413" s="8">
        <f>859*15.95/1000</f>
        <v>13.701049999999999</v>
      </c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11"/>
      <c r="AQ3413" s="8"/>
      <c r="AR3413" s="8"/>
      <c r="AS3413" s="8"/>
      <c r="AT3413" s="8">
        <v>562.66</v>
      </c>
      <c r="AU3413" s="8"/>
      <c r="AV3413" s="8"/>
      <c r="AW3413" s="8">
        <v>36.07</v>
      </c>
      <c r="AX3413" s="8"/>
      <c r="AY3413" s="8"/>
      <c r="AZ3413" s="8"/>
      <c r="BA3413" s="8"/>
      <c r="BB3413" s="8"/>
      <c r="BC3413" s="8"/>
      <c r="BD3413" s="8"/>
      <c r="BE3413" s="8"/>
      <c r="BF3413" s="8">
        <v>44.7</v>
      </c>
      <c r="BG3413" s="8">
        <v>41.9</v>
      </c>
      <c r="BH3413" s="9">
        <f t="shared" si="477"/>
        <v>1395.03</v>
      </c>
      <c r="BI3413" s="9">
        <f t="shared" si="478"/>
        <v>1.67</v>
      </c>
      <c r="BJ3413" s="9">
        <f t="shared" si="479"/>
        <v>6.7</v>
      </c>
      <c r="BK3413" s="9">
        <f t="shared" si="480"/>
        <v>24.871049999999997</v>
      </c>
      <c r="BL3413" s="9">
        <f t="shared" si="481"/>
        <v>0</v>
      </c>
      <c r="BM3413" s="9">
        <f t="shared" si="482"/>
        <v>0</v>
      </c>
      <c r="BN3413" s="9">
        <f t="shared" si="483"/>
        <v>562.66</v>
      </c>
      <c r="BO3413" s="9">
        <f t="shared" si="484"/>
        <v>36.07</v>
      </c>
      <c r="BP3413" s="9">
        <f t="shared" si="485"/>
        <v>44.7</v>
      </c>
    </row>
    <row r="3414" spans="1:68">
      <c r="A3414" s="6">
        <v>45168</v>
      </c>
      <c r="B3414" s="7">
        <v>3310</v>
      </c>
      <c r="C3414" s="8"/>
      <c r="D3414" s="8">
        <v>996.28</v>
      </c>
      <c r="E3414" s="8"/>
      <c r="F3414" s="8"/>
      <c r="G3414" s="8"/>
      <c r="H3414" s="8"/>
      <c r="I3414" s="8"/>
      <c r="J3414" s="8"/>
      <c r="K3414" s="8"/>
      <c r="L3414" s="8"/>
      <c r="M3414" s="8">
        <v>2</v>
      </c>
      <c r="N3414" s="8"/>
      <c r="O3414" s="8"/>
      <c r="P3414" s="8"/>
      <c r="Q3414" s="8"/>
      <c r="R3414" s="11"/>
      <c r="S3414" s="8">
        <v>1.49</v>
      </c>
      <c r="T3414" s="8"/>
      <c r="U3414" s="8">
        <v>8.98</v>
      </c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>
        <v>10.07</v>
      </c>
      <c r="AH3414" s="8"/>
      <c r="AI3414" s="8"/>
      <c r="AJ3414" s="8"/>
      <c r="AK3414" s="8"/>
      <c r="AL3414" s="8"/>
      <c r="AM3414" s="8"/>
      <c r="AN3414" s="8"/>
      <c r="AO3414" s="8"/>
      <c r="AP3414" s="11"/>
      <c r="AQ3414" s="8"/>
      <c r="AR3414" s="8"/>
      <c r="AS3414" s="8"/>
      <c r="AT3414" s="8">
        <v>264.64</v>
      </c>
      <c r="AU3414" s="8">
        <v>133.12</v>
      </c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>
        <v>27.74</v>
      </c>
      <c r="BH3414" s="9">
        <f t="shared" si="477"/>
        <v>996.28</v>
      </c>
      <c r="BI3414" s="9">
        <f t="shared" si="478"/>
        <v>2</v>
      </c>
      <c r="BJ3414" s="9">
        <f t="shared" si="479"/>
        <v>1.49</v>
      </c>
      <c r="BK3414" s="9">
        <f t="shared" si="480"/>
        <v>8.98</v>
      </c>
      <c r="BL3414" s="9">
        <f t="shared" si="481"/>
        <v>0</v>
      </c>
      <c r="BM3414" s="9">
        <f t="shared" si="482"/>
        <v>10.07</v>
      </c>
      <c r="BN3414" s="9">
        <f t="shared" si="483"/>
        <v>397.76</v>
      </c>
      <c r="BO3414" s="9">
        <f t="shared" si="484"/>
        <v>0</v>
      </c>
      <c r="BP3414" s="9">
        <f t="shared" si="485"/>
        <v>0</v>
      </c>
    </row>
    <row r="3415" spans="1:68">
      <c r="A3415" s="6">
        <v>45168</v>
      </c>
      <c r="B3415" s="7">
        <v>3141</v>
      </c>
      <c r="C3415" s="8">
        <v>2376.0300000000002</v>
      </c>
      <c r="D3415" s="8">
        <v>423.47</v>
      </c>
      <c r="E3415" s="8"/>
      <c r="F3415" s="8"/>
      <c r="G3415" s="8"/>
      <c r="H3415" s="8"/>
      <c r="I3415" s="8"/>
      <c r="J3415" s="8"/>
      <c r="K3415" s="8"/>
      <c r="L3415" s="8"/>
      <c r="M3415" s="8">
        <v>8.1999999999999993</v>
      </c>
      <c r="N3415" s="8"/>
      <c r="O3415" s="8"/>
      <c r="P3415" s="8"/>
      <c r="Q3415" s="8"/>
      <c r="R3415" s="11"/>
      <c r="S3415" s="8">
        <v>13.23</v>
      </c>
      <c r="T3415" s="8"/>
      <c r="U3415" s="8">
        <v>42.29</v>
      </c>
      <c r="V3415" s="8"/>
      <c r="W3415" s="8"/>
      <c r="X3415" s="8"/>
      <c r="Y3415" s="8"/>
      <c r="Z3415" s="8"/>
      <c r="AA3415" s="8"/>
      <c r="AB3415" s="8"/>
      <c r="AC3415" s="8">
        <v>11.27</v>
      </c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11"/>
      <c r="AQ3415" s="8"/>
      <c r="AR3415" s="8"/>
      <c r="AS3415" s="8"/>
      <c r="AT3415" s="8">
        <v>1844.74</v>
      </c>
      <c r="AU3415" s="8"/>
      <c r="AV3415" s="8"/>
      <c r="AW3415" s="8"/>
      <c r="AX3415" s="8"/>
      <c r="AY3415" s="8"/>
      <c r="AZ3415" s="8"/>
      <c r="BA3415" s="8">
        <v>64.459999999999994</v>
      </c>
      <c r="BB3415" s="8"/>
      <c r="BC3415" s="8"/>
      <c r="BD3415" s="8"/>
      <c r="BE3415" s="8"/>
      <c r="BF3415" s="8">
        <v>196.96</v>
      </c>
      <c r="BG3415" s="8">
        <v>146.30000000000001</v>
      </c>
      <c r="BH3415" s="9">
        <f t="shared" si="477"/>
        <v>2799.5</v>
      </c>
      <c r="BI3415" s="9">
        <f t="shared" si="478"/>
        <v>8.1999999999999993</v>
      </c>
      <c r="BJ3415" s="9">
        <f t="shared" si="479"/>
        <v>13.23</v>
      </c>
      <c r="BK3415" s="9">
        <f t="shared" si="480"/>
        <v>42.29</v>
      </c>
      <c r="BL3415" s="9">
        <f t="shared" si="481"/>
        <v>0</v>
      </c>
      <c r="BM3415" s="9">
        <f t="shared" si="482"/>
        <v>11.27</v>
      </c>
      <c r="BN3415" s="9">
        <f t="shared" si="483"/>
        <v>1844.74</v>
      </c>
      <c r="BO3415" s="9">
        <f t="shared" si="484"/>
        <v>64.459999999999994</v>
      </c>
      <c r="BP3415" s="9">
        <f t="shared" si="485"/>
        <v>196.96</v>
      </c>
    </row>
    <row r="3416" spans="1:68">
      <c r="A3416" s="6">
        <v>45168</v>
      </c>
      <c r="B3416" s="7">
        <v>3106</v>
      </c>
      <c r="C3416" s="8">
        <v>6094.19</v>
      </c>
      <c r="D3416" s="8"/>
      <c r="E3416" s="8"/>
      <c r="F3416" s="8"/>
      <c r="G3416" s="8"/>
      <c r="H3416" s="8"/>
      <c r="I3416" s="8"/>
      <c r="J3416" s="8"/>
      <c r="K3416" s="8"/>
      <c r="L3416" s="8"/>
      <c r="M3416" s="8">
        <v>16.43</v>
      </c>
      <c r="N3416" s="8"/>
      <c r="O3416" s="8"/>
      <c r="P3416" s="8"/>
      <c r="Q3416" s="8"/>
      <c r="R3416" s="11"/>
      <c r="S3416" s="8">
        <v>18.329999999999998</v>
      </c>
      <c r="T3416" s="8"/>
      <c r="U3416" s="8">
        <v>77.489999999999995</v>
      </c>
      <c r="V3416" s="8"/>
      <c r="W3416" s="8"/>
      <c r="X3416" s="8"/>
      <c r="Y3416" s="8"/>
      <c r="Z3416" s="8"/>
      <c r="AA3416" s="8"/>
      <c r="AB3416" s="8"/>
      <c r="AC3416" s="8">
        <v>15.24</v>
      </c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11"/>
      <c r="AQ3416" s="8"/>
      <c r="AR3416" s="8"/>
      <c r="AS3416" s="8"/>
      <c r="AT3416" s="8">
        <v>3472.25</v>
      </c>
      <c r="AU3416" s="8"/>
      <c r="AV3416" s="8"/>
      <c r="AW3416" s="8"/>
      <c r="AX3416" s="8">
        <v>7.62</v>
      </c>
      <c r="AY3416" s="8"/>
      <c r="AZ3416" s="8"/>
      <c r="BA3416" s="8"/>
      <c r="BB3416" s="8"/>
      <c r="BC3416" s="8"/>
      <c r="BD3416" s="8"/>
      <c r="BE3416" s="8"/>
      <c r="BF3416" s="8"/>
      <c r="BG3416" s="8">
        <v>262.45999999999998</v>
      </c>
      <c r="BH3416" s="9">
        <f t="shared" si="477"/>
        <v>6094.19</v>
      </c>
      <c r="BI3416" s="9">
        <f t="shared" si="478"/>
        <v>16.43</v>
      </c>
      <c r="BJ3416" s="9">
        <f t="shared" si="479"/>
        <v>18.329999999999998</v>
      </c>
      <c r="BK3416" s="9">
        <f t="shared" si="480"/>
        <v>77.489999999999995</v>
      </c>
      <c r="BL3416" s="9">
        <f t="shared" si="481"/>
        <v>0</v>
      </c>
      <c r="BM3416" s="9">
        <f t="shared" si="482"/>
        <v>15.24</v>
      </c>
      <c r="BN3416" s="9">
        <f t="shared" si="483"/>
        <v>3472.25</v>
      </c>
      <c r="BO3416" s="9">
        <f t="shared" si="484"/>
        <v>7.62</v>
      </c>
      <c r="BP3416" s="9">
        <f t="shared" si="485"/>
        <v>0</v>
      </c>
    </row>
    <row r="3417" spans="1:68">
      <c r="A3417" s="6">
        <v>45168</v>
      </c>
      <c r="B3417" s="7">
        <v>3144</v>
      </c>
      <c r="C3417" s="8">
        <v>2498.64</v>
      </c>
      <c r="D3417" s="8">
        <v>441.43</v>
      </c>
      <c r="E3417" s="8"/>
      <c r="F3417" s="8"/>
      <c r="G3417" s="8"/>
      <c r="H3417" s="8"/>
      <c r="I3417" s="8"/>
      <c r="J3417" s="8"/>
      <c r="K3417" s="8"/>
      <c r="L3417" s="8"/>
      <c r="M3417" s="8">
        <v>8.5500000000000007</v>
      </c>
      <c r="N3417" s="8"/>
      <c r="O3417" s="8"/>
      <c r="P3417" s="8"/>
      <c r="Q3417" s="8"/>
      <c r="R3417" s="11"/>
      <c r="S3417" s="8">
        <v>13.85</v>
      </c>
      <c r="T3417" s="8"/>
      <c r="U3417" s="8">
        <v>44.17</v>
      </c>
      <c r="V3417" s="8"/>
      <c r="W3417" s="8"/>
      <c r="X3417" s="8"/>
      <c r="Y3417" s="8"/>
      <c r="Z3417" s="8"/>
      <c r="AA3417" s="8"/>
      <c r="AB3417" s="8"/>
      <c r="AC3417" s="8">
        <v>11.77</v>
      </c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11">
        <f>1208*19.6/1000</f>
        <v>23.676800000000004</v>
      </c>
      <c r="AQ3417" s="8"/>
      <c r="AR3417" s="8"/>
      <c r="AS3417" s="8"/>
      <c r="AT3417" s="8">
        <v>1930.6100000000001</v>
      </c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>
        <v>153.11000000000001</v>
      </c>
      <c r="BH3417" s="9">
        <f t="shared" si="477"/>
        <v>2940.0699999999997</v>
      </c>
      <c r="BI3417" s="9">
        <f t="shared" si="478"/>
        <v>8.5500000000000007</v>
      </c>
      <c r="BJ3417" s="9">
        <f t="shared" si="479"/>
        <v>13.85</v>
      </c>
      <c r="BK3417" s="9">
        <f t="shared" si="480"/>
        <v>44.17</v>
      </c>
      <c r="BL3417" s="9">
        <f t="shared" si="481"/>
        <v>0</v>
      </c>
      <c r="BM3417" s="9">
        <f t="shared" si="482"/>
        <v>35.446800000000003</v>
      </c>
      <c r="BN3417" s="9">
        <f t="shared" si="483"/>
        <v>1930.6100000000001</v>
      </c>
      <c r="BO3417" s="9">
        <f t="shared" si="484"/>
        <v>0</v>
      </c>
      <c r="BP3417" s="9">
        <f t="shared" si="485"/>
        <v>0</v>
      </c>
    </row>
    <row r="3418" spans="1:68">
      <c r="A3418" s="6">
        <v>45168</v>
      </c>
      <c r="B3418" s="7">
        <v>3079</v>
      </c>
      <c r="C3418" s="8"/>
      <c r="D3418" s="8"/>
      <c r="E3418" s="8"/>
      <c r="F3418" s="8">
        <v>339.29</v>
      </c>
      <c r="G3418" s="8"/>
      <c r="H3418" s="8"/>
      <c r="I3418" s="8">
        <v>2753.61</v>
      </c>
      <c r="J3418" s="8"/>
      <c r="K3418" s="8"/>
      <c r="L3418" s="8"/>
      <c r="M3418" s="8"/>
      <c r="N3418" s="8">
        <v>22.65</v>
      </c>
      <c r="O3418" s="8"/>
      <c r="P3418" s="8"/>
      <c r="Q3418" s="8"/>
      <c r="R3418" s="11"/>
      <c r="S3418" s="8">
        <v>1.23</v>
      </c>
      <c r="T3418" s="8"/>
      <c r="U3418" s="8"/>
      <c r="V3418" s="8"/>
      <c r="W3418" s="8">
        <v>31.05</v>
      </c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>
        <v>12.28</v>
      </c>
      <c r="AN3418" s="8">
        <f>1723*18.23/1000</f>
        <v>31.41029</v>
      </c>
      <c r="AO3418" s="8"/>
      <c r="AP3418" s="11"/>
      <c r="AQ3418" s="8"/>
      <c r="AR3418" s="8">
        <f>4354*18.23/1000</f>
        <v>79.373419999999996</v>
      </c>
      <c r="AS3418" s="8"/>
      <c r="AT3418" s="8">
        <v>1195.8800000000001</v>
      </c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>
        <v>86.56</v>
      </c>
      <c r="BH3418" s="9">
        <f t="shared" si="477"/>
        <v>3092.9</v>
      </c>
      <c r="BI3418" s="9">
        <f t="shared" si="478"/>
        <v>22.65</v>
      </c>
      <c r="BJ3418" s="9">
        <f t="shared" si="479"/>
        <v>1.23</v>
      </c>
      <c r="BK3418" s="9">
        <f t="shared" si="480"/>
        <v>31.05</v>
      </c>
      <c r="BL3418" s="9">
        <f t="shared" si="481"/>
        <v>0</v>
      </c>
      <c r="BM3418" s="9">
        <f t="shared" si="482"/>
        <v>123.06370999999999</v>
      </c>
      <c r="BN3418" s="9">
        <f t="shared" si="483"/>
        <v>1195.8800000000001</v>
      </c>
      <c r="BO3418" s="9">
        <f t="shared" si="484"/>
        <v>0</v>
      </c>
      <c r="BP3418" s="9">
        <f t="shared" si="485"/>
        <v>0</v>
      </c>
    </row>
    <row r="3419" spans="1:68">
      <c r="A3419" s="6">
        <v>45168</v>
      </c>
      <c r="B3419" s="7">
        <v>3016</v>
      </c>
      <c r="C3419" s="8"/>
      <c r="D3419" s="8">
        <v>2387.0100000000002</v>
      </c>
      <c r="E3419" s="8"/>
      <c r="F3419" s="8"/>
      <c r="G3419" s="8"/>
      <c r="H3419" s="8"/>
      <c r="I3419" s="8">
        <v>2203.83</v>
      </c>
      <c r="J3419" s="8"/>
      <c r="K3419" s="8"/>
      <c r="L3419" s="8"/>
      <c r="M3419" s="8"/>
      <c r="N3419" s="8">
        <v>28.45</v>
      </c>
      <c r="O3419" s="8"/>
      <c r="P3419" s="8"/>
      <c r="Q3419" s="8"/>
      <c r="R3419" s="11"/>
      <c r="S3419" s="8">
        <v>3.2</v>
      </c>
      <c r="T3419" s="8"/>
      <c r="U3419" s="8"/>
      <c r="V3419" s="8"/>
      <c r="W3419" s="8">
        <v>45.91</v>
      </c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>
        <v>18.36</v>
      </c>
      <c r="AN3419" s="8">
        <f>2099*26.98/1000</f>
        <v>56.631020000000007</v>
      </c>
      <c r="AO3419" s="8"/>
      <c r="AP3419" s="11"/>
      <c r="AQ3419" s="8"/>
      <c r="AR3419" s="8">
        <f>4354*26.98/1000</f>
        <v>117.47091999999999</v>
      </c>
      <c r="AS3419" s="8"/>
      <c r="AT3419" s="8">
        <v>1703.94</v>
      </c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>
        <v>124.62</v>
      </c>
      <c r="BH3419" s="9">
        <f t="shared" si="477"/>
        <v>4590.84</v>
      </c>
      <c r="BI3419" s="9">
        <f t="shared" si="478"/>
        <v>28.45</v>
      </c>
      <c r="BJ3419" s="9">
        <f t="shared" si="479"/>
        <v>3.2</v>
      </c>
      <c r="BK3419" s="9">
        <f t="shared" si="480"/>
        <v>45.91</v>
      </c>
      <c r="BL3419" s="9">
        <f t="shared" si="481"/>
        <v>0</v>
      </c>
      <c r="BM3419" s="9">
        <f t="shared" si="482"/>
        <v>192.46194</v>
      </c>
      <c r="BN3419" s="9">
        <f t="shared" si="483"/>
        <v>1703.94</v>
      </c>
      <c r="BO3419" s="9">
        <f t="shared" si="484"/>
        <v>0</v>
      </c>
      <c r="BP3419" s="9">
        <f t="shared" si="485"/>
        <v>0</v>
      </c>
    </row>
    <row r="3420" spans="1:68">
      <c r="A3420" s="6">
        <v>45168</v>
      </c>
      <c r="B3420" s="7">
        <v>3204</v>
      </c>
      <c r="C3420" s="8"/>
      <c r="D3420" s="8">
        <v>966.97</v>
      </c>
      <c r="E3420" s="8">
        <v>409.65</v>
      </c>
      <c r="F3420" s="8"/>
      <c r="G3420" s="8"/>
      <c r="H3420" s="8"/>
      <c r="I3420" s="8"/>
      <c r="J3420" s="8"/>
      <c r="K3420" s="8"/>
      <c r="L3420" s="8"/>
      <c r="M3420" s="8"/>
      <c r="N3420" s="8"/>
      <c r="O3420" s="8">
        <v>6.91</v>
      </c>
      <c r="P3420" s="8"/>
      <c r="Q3420" s="8"/>
      <c r="R3420" s="11"/>
      <c r="S3420" s="8">
        <v>4.6900000000000004</v>
      </c>
      <c r="T3420" s="8"/>
      <c r="U3420" s="8">
        <v>15.23</v>
      </c>
      <c r="V3420" s="8"/>
      <c r="W3420" s="8"/>
      <c r="X3420" s="8"/>
      <c r="Y3420" s="8"/>
      <c r="Z3420" s="8">
        <v>207.25</v>
      </c>
      <c r="AA3420" s="8"/>
      <c r="AB3420" s="8">
        <f>707*9.87/1000</f>
        <v>6.978089999999999</v>
      </c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11"/>
      <c r="AQ3420" s="8"/>
      <c r="AR3420" s="8"/>
      <c r="AS3420" s="8"/>
      <c r="AT3420" s="8">
        <v>605.47</v>
      </c>
      <c r="AU3420" s="8"/>
      <c r="AV3420" s="8"/>
      <c r="AW3420" s="8">
        <v>4.4000000000000004</v>
      </c>
      <c r="AX3420" s="8"/>
      <c r="AY3420" s="8"/>
      <c r="AZ3420" s="8"/>
      <c r="BA3420" s="8"/>
      <c r="BB3420" s="8"/>
      <c r="BC3420" s="8"/>
      <c r="BD3420" s="8"/>
      <c r="BE3420" s="8"/>
      <c r="BF3420" s="8"/>
      <c r="BG3420" s="8">
        <v>44.91</v>
      </c>
      <c r="BH3420" s="9">
        <f t="shared" si="477"/>
        <v>1376.62</v>
      </c>
      <c r="BI3420" s="9">
        <f t="shared" si="478"/>
        <v>6.91</v>
      </c>
      <c r="BJ3420" s="9">
        <f t="shared" si="479"/>
        <v>4.6900000000000004</v>
      </c>
      <c r="BK3420" s="9">
        <f t="shared" si="480"/>
        <v>15.23</v>
      </c>
      <c r="BL3420" s="9">
        <f t="shared" si="481"/>
        <v>207.25</v>
      </c>
      <c r="BM3420" s="9">
        <f t="shared" si="482"/>
        <v>6.978089999999999</v>
      </c>
      <c r="BN3420" s="9">
        <f t="shared" si="483"/>
        <v>605.47</v>
      </c>
      <c r="BO3420" s="9">
        <f t="shared" si="484"/>
        <v>4.4000000000000004</v>
      </c>
      <c r="BP3420" s="9">
        <f t="shared" si="485"/>
        <v>0</v>
      </c>
    </row>
    <row r="3421" spans="1:68">
      <c r="A3421" s="6">
        <v>45169</v>
      </c>
      <c r="B3421" s="7">
        <v>3005</v>
      </c>
      <c r="C3421" s="8">
        <v>426.01</v>
      </c>
      <c r="D3421" s="8">
        <v>285.26</v>
      </c>
      <c r="E3421" s="8"/>
      <c r="F3421" s="8"/>
      <c r="G3421" s="8"/>
      <c r="H3421" s="8"/>
      <c r="I3421" s="8"/>
      <c r="J3421" s="8"/>
      <c r="K3421" s="8"/>
      <c r="L3421" s="8"/>
      <c r="M3421" s="8"/>
      <c r="N3421" s="8">
        <v>0.71</v>
      </c>
      <c r="O3421" s="8"/>
      <c r="P3421" s="8"/>
      <c r="Q3421" s="8"/>
      <c r="R3421" s="11"/>
      <c r="S3421" s="8">
        <v>2.4900000000000002</v>
      </c>
      <c r="T3421" s="8"/>
      <c r="U3421" s="8"/>
      <c r="V3421" s="8"/>
      <c r="W3421" s="8">
        <v>7.85</v>
      </c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11"/>
      <c r="AQ3421" s="8"/>
      <c r="AR3421" s="8"/>
      <c r="AS3421" s="8"/>
      <c r="AT3421" s="8">
        <v>349</v>
      </c>
      <c r="AU3421" s="8"/>
      <c r="AV3421" s="8"/>
      <c r="AW3421" s="8">
        <v>7.91</v>
      </c>
      <c r="AX3421" s="8"/>
      <c r="AY3421" s="8"/>
      <c r="AZ3421" s="8"/>
      <c r="BA3421" s="8"/>
      <c r="BB3421" s="8"/>
      <c r="BC3421" s="8"/>
      <c r="BD3421" s="8"/>
      <c r="BE3421" s="8"/>
      <c r="BF3421" s="8"/>
      <c r="BG3421" s="8">
        <v>25.97</v>
      </c>
      <c r="BH3421" s="9">
        <f t="shared" si="477"/>
        <v>711.27</v>
      </c>
      <c r="BI3421" s="9">
        <f t="shared" si="478"/>
        <v>0.71</v>
      </c>
      <c r="BJ3421" s="9">
        <f t="shared" si="479"/>
        <v>2.4900000000000002</v>
      </c>
      <c r="BK3421" s="9">
        <f t="shared" si="480"/>
        <v>7.85</v>
      </c>
      <c r="BL3421" s="9">
        <f t="shared" si="481"/>
        <v>0</v>
      </c>
      <c r="BM3421" s="9">
        <f t="shared" si="482"/>
        <v>0</v>
      </c>
      <c r="BN3421" s="9">
        <f t="shared" si="483"/>
        <v>349</v>
      </c>
      <c r="BO3421" s="9">
        <f t="shared" si="484"/>
        <v>7.91</v>
      </c>
      <c r="BP3421" s="9">
        <f t="shared" si="485"/>
        <v>0</v>
      </c>
    </row>
    <row r="3422" spans="1:68">
      <c r="A3422" s="6">
        <v>45169</v>
      </c>
      <c r="B3422" s="7">
        <v>3024</v>
      </c>
      <c r="C3422" s="8"/>
      <c r="D3422" s="8">
        <v>372.03</v>
      </c>
      <c r="E3422" s="8"/>
      <c r="F3422" s="8"/>
      <c r="G3422" s="8"/>
      <c r="H3422" s="8"/>
      <c r="I3422" s="8">
        <v>372.11</v>
      </c>
      <c r="J3422" s="8"/>
      <c r="K3422" s="8"/>
      <c r="L3422" s="8"/>
      <c r="M3422" s="8"/>
      <c r="N3422" s="8">
        <v>4.62</v>
      </c>
      <c r="O3422" s="8"/>
      <c r="P3422" s="8"/>
      <c r="Q3422" s="8"/>
      <c r="R3422" s="11"/>
      <c r="S3422" s="8">
        <v>1.19</v>
      </c>
      <c r="T3422" s="8"/>
      <c r="U3422" s="8"/>
      <c r="V3422" s="8"/>
      <c r="W3422" s="8">
        <v>5.96</v>
      </c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>
        <v>7.45</v>
      </c>
      <c r="AN3422" s="8">
        <f>852*6.18/1000</f>
        <v>5.2653599999999994</v>
      </c>
      <c r="AO3422" s="8"/>
      <c r="AP3422" s="11"/>
      <c r="AQ3422" s="8"/>
      <c r="AR3422" s="8"/>
      <c r="AS3422" s="8">
        <f>3986*6.18/1000</f>
        <v>24.633479999999999</v>
      </c>
      <c r="AT3422" s="8">
        <v>285.8</v>
      </c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>
        <v>20.86</v>
      </c>
      <c r="BH3422" s="9">
        <f t="shared" si="477"/>
        <v>744.14</v>
      </c>
      <c r="BI3422" s="9">
        <f t="shared" si="478"/>
        <v>4.62</v>
      </c>
      <c r="BJ3422" s="9">
        <f t="shared" si="479"/>
        <v>1.19</v>
      </c>
      <c r="BK3422" s="9">
        <f t="shared" si="480"/>
        <v>5.96</v>
      </c>
      <c r="BL3422" s="9">
        <f t="shared" si="481"/>
        <v>0</v>
      </c>
      <c r="BM3422" s="9">
        <f t="shared" si="482"/>
        <v>37.348839999999996</v>
      </c>
      <c r="BN3422" s="9">
        <f t="shared" si="483"/>
        <v>285.8</v>
      </c>
      <c r="BO3422" s="9">
        <f t="shared" si="484"/>
        <v>0</v>
      </c>
      <c r="BP3422" s="9">
        <f t="shared" si="485"/>
        <v>0</v>
      </c>
    </row>
    <row r="3423" spans="1:68">
      <c r="A3423" s="6">
        <v>45169</v>
      </c>
      <c r="B3423" s="7">
        <v>3028</v>
      </c>
      <c r="C3423" s="8"/>
      <c r="D3423" s="8">
        <v>743.95</v>
      </c>
      <c r="E3423" s="8"/>
      <c r="F3423" s="8">
        <v>683.12</v>
      </c>
      <c r="G3423" s="8"/>
      <c r="H3423" s="8"/>
      <c r="I3423" s="8">
        <v>1544</v>
      </c>
      <c r="J3423" s="8"/>
      <c r="K3423" s="8"/>
      <c r="L3423" s="8"/>
      <c r="M3423" s="8"/>
      <c r="N3423" s="8">
        <v>22.85</v>
      </c>
      <c r="O3423" s="8"/>
      <c r="P3423" s="8"/>
      <c r="Q3423" s="8"/>
      <c r="R3423" s="11"/>
      <c r="S3423" s="8">
        <v>4.16</v>
      </c>
      <c r="T3423" s="8"/>
      <c r="U3423" s="8"/>
      <c r="V3423" s="8"/>
      <c r="W3423" s="8">
        <v>22.29</v>
      </c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>
        <v>29.65</v>
      </c>
      <c r="AN3423" s="8">
        <f>1064*19.8/1000</f>
        <v>21.0672</v>
      </c>
      <c r="AO3423" s="8"/>
      <c r="AP3423" s="11"/>
      <c r="AQ3423" s="8"/>
      <c r="AR3423" s="8"/>
      <c r="AS3423" s="8">
        <f>4962*19.8/1000</f>
        <v>98.247600000000006</v>
      </c>
      <c r="AT3423" s="8">
        <v>991.79</v>
      </c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>
        <v>67.400000000000006</v>
      </c>
      <c r="BH3423" s="9">
        <f t="shared" si="477"/>
        <v>2971.07</v>
      </c>
      <c r="BI3423" s="9">
        <f t="shared" si="478"/>
        <v>22.85</v>
      </c>
      <c r="BJ3423" s="9">
        <f t="shared" si="479"/>
        <v>4.16</v>
      </c>
      <c r="BK3423" s="9">
        <f t="shared" si="480"/>
        <v>22.29</v>
      </c>
      <c r="BL3423" s="9">
        <f t="shared" si="481"/>
        <v>0</v>
      </c>
      <c r="BM3423" s="9">
        <f t="shared" si="482"/>
        <v>148.9648</v>
      </c>
      <c r="BN3423" s="9">
        <f t="shared" si="483"/>
        <v>991.79</v>
      </c>
      <c r="BO3423" s="9">
        <f t="shared" si="484"/>
        <v>0</v>
      </c>
      <c r="BP3423" s="9">
        <f t="shared" si="485"/>
        <v>0</v>
      </c>
    </row>
    <row r="3424" spans="1:68">
      <c r="A3424" s="6">
        <v>45169</v>
      </c>
      <c r="B3424" s="7">
        <v>3023</v>
      </c>
      <c r="C3424" s="8"/>
      <c r="D3424" s="8">
        <v>884.48</v>
      </c>
      <c r="E3424" s="8"/>
      <c r="F3424" s="8"/>
      <c r="G3424" s="8"/>
      <c r="H3424" s="8"/>
      <c r="I3424" s="8">
        <v>478.32</v>
      </c>
      <c r="J3424" s="8"/>
      <c r="K3424" s="8"/>
      <c r="L3424" s="8"/>
      <c r="M3424" s="8"/>
      <c r="N3424" s="8">
        <v>7.65</v>
      </c>
      <c r="O3424" s="8"/>
      <c r="P3424" s="8"/>
      <c r="Q3424" s="8"/>
      <c r="R3424" s="11"/>
      <c r="S3424" s="8">
        <v>2.1800000000000002</v>
      </c>
      <c r="T3424" s="8"/>
      <c r="U3424" s="8"/>
      <c r="V3424" s="8"/>
      <c r="W3424" s="8">
        <v>12.29</v>
      </c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>
        <v>13.65</v>
      </c>
      <c r="AN3424" s="8">
        <f>1032*9.4/1000</f>
        <v>9.700800000000001</v>
      </c>
      <c r="AO3424" s="8"/>
      <c r="AP3424" s="11"/>
      <c r="AQ3424" s="8"/>
      <c r="AR3424" s="8"/>
      <c r="AS3424" s="8">
        <f>4799*9.4/1000</f>
        <v>45.110599999999998</v>
      </c>
      <c r="AT3424" s="8">
        <v>559.16999999999996</v>
      </c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>
        <v>42.25</v>
      </c>
      <c r="BH3424" s="9">
        <f t="shared" si="477"/>
        <v>1362.8</v>
      </c>
      <c r="BI3424" s="9">
        <f t="shared" si="478"/>
        <v>7.65</v>
      </c>
      <c r="BJ3424" s="9">
        <f t="shared" si="479"/>
        <v>2.1800000000000002</v>
      </c>
      <c r="BK3424" s="9">
        <f t="shared" si="480"/>
        <v>12.29</v>
      </c>
      <c r="BL3424" s="9">
        <f t="shared" si="481"/>
        <v>0</v>
      </c>
      <c r="BM3424" s="9">
        <f t="shared" si="482"/>
        <v>68.461399999999998</v>
      </c>
      <c r="BN3424" s="9">
        <f t="shared" si="483"/>
        <v>559.16999999999996</v>
      </c>
      <c r="BO3424" s="9">
        <f t="shared" si="484"/>
        <v>0</v>
      </c>
      <c r="BP3424" s="9">
        <f t="shared" si="485"/>
        <v>0</v>
      </c>
    </row>
    <row r="3425" spans="1:68">
      <c r="A3425" s="6">
        <v>45170</v>
      </c>
      <c r="B3425" s="7">
        <v>3200</v>
      </c>
      <c r="C3425" s="8">
        <v>2299.23</v>
      </c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>
        <v>5.76</v>
      </c>
      <c r="P3425" s="8"/>
      <c r="Q3425" s="8"/>
      <c r="R3425" s="11"/>
      <c r="S3425" s="8">
        <v>8.98</v>
      </c>
      <c r="T3425" s="8"/>
      <c r="U3425" s="8">
        <v>34.49</v>
      </c>
      <c r="V3425" s="8"/>
      <c r="W3425" s="8"/>
      <c r="X3425" s="8"/>
      <c r="Y3425" s="8"/>
      <c r="Z3425" s="8">
        <v>483.35</v>
      </c>
      <c r="AA3425" s="8"/>
      <c r="AB3425" s="8"/>
      <c r="AC3425" s="8"/>
      <c r="AD3425" s="8"/>
      <c r="AE3425" s="8"/>
      <c r="AF3425" s="8">
        <v>114.71</v>
      </c>
      <c r="AG3425" s="8"/>
      <c r="AH3425" s="8"/>
      <c r="AI3425" s="8"/>
      <c r="AJ3425" s="8"/>
      <c r="AK3425" s="8"/>
      <c r="AL3425" s="8"/>
      <c r="AM3425" s="8"/>
      <c r="AN3425" s="8"/>
      <c r="AO3425" s="8"/>
      <c r="AP3425" s="11"/>
      <c r="AQ3425" s="8">
        <f>1536*0.023</f>
        <v>35.328000000000003</v>
      </c>
      <c r="AR3425" s="8"/>
      <c r="AS3425" s="8"/>
      <c r="AT3425" s="8">
        <v>1574.41</v>
      </c>
      <c r="AU3425" s="8"/>
      <c r="AV3425" s="8"/>
      <c r="AW3425" s="8">
        <v>6.57</v>
      </c>
      <c r="AX3425" s="8"/>
      <c r="AY3425" s="8"/>
      <c r="AZ3425" s="8"/>
      <c r="BA3425" s="8"/>
      <c r="BB3425" s="8"/>
      <c r="BC3425" s="8"/>
      <c r="BD3425" s="8"/>
      <c r="BE3425" s="8"/>
      <c r="BF3425" s="8">
        <v>110.44</v>
      </c>
      <c r="BG3425" s="8">
        <v>114.08</v>
      </c>
      <c r="BH3425" s="9">
        <f t="shared" si="477"/>
        <v>2299.23</v>
      </c>
      <c r="BI3425" s="9">
        <f t="shared" si="478"/>
        <v>5.76</v>
      </c>
      <c r="BJ3425" s="9">
        <f t="shared" si="479"/>
        <v>8.98</v>
      </c>
      <c r="BK3425" s="9">
        <f t="shared" si="480"/>
        <v>34.49</v>
      </c>
      <c r="BL3425" s="9">
        <f t="shared" si="481"/>
        <v>483.35</v>
      </c>
      <c r="BM3425" s="9">
        <f t="shared" si="482"/>
        <v>150.03800000000001</v>
      </c>
      <c r="BN3425" s="9">
        <f t="shared" si="483"/>
        <v>1574.41</v>
      </c>
      <c r="BO3425" s="9">
        <f t="shared" si="484"/>
        <v>6.57</v>
      </c>
      <c r="BP3425" s="9">
        <f t="shared" si="485"/>
        <v>110.44</v>
      </c>
    </row>
    <row r="3426" spans="1:68">
      <c r="A3426" s="6">
        <v>45170</v>
      </c>
      <c r="B3426" s="7">
        <v>3141</v>
      </c>
      <c r="C3426" s="8">
        <v>2397.02</v>
      </c>
      <c r="D3426" s="8">
        <v>422.45</v>
      </c>
      <c r="E3426" s="8"/>
      <c r="F3426" s="8"/>
      <c r="G3426" s="8"/>
      <c r="H3426" s="8"/>
      <c r="I3426" s="8"/>
      <c r="J3426" s="8"/>
      <c r="K3426" s="8"/>
      <c r="L3426" s="8"/>
      <c r="M3426" s="8">
        <v>8.18</v>
      </c>
      <c r="N3426" s="8"/>
      <c r="O3426" s="8"/>
      <c r="P3426" s="8"/>
      <c r="Q3426" s="8"/>
      <c r="R3426" s="11"/>
      <c r="S3426" s="8">
        <v>13.27</v>
      </c>
      <c r="T3426" s="8"/>
      <c r="U3426" s="8">
        <v>42.32</v>
      </c>
      <c r="V3426" s="8"/>
      <c r="W3426" s="8"/>
      <c r="X3426" s="8"/>
      <c r="Y3426" s="8"/>
      <c r="Z3426" s="8"/>
      <c r="AA3426" s="8"/>
      <c r="AB3426" s="8"/>
      <c r="AC3426" s="8">
        <v>11.28</v>
      </c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11"/>
      <c r="AQ3426" s="8"/>
      <c r="AR3426" s="8"/>
      <c r="AS3426" s="8"/>
      <c r="AT3426" s="8">
        <v>1872.67</v>
      </c>
      <c r="AU3426" s="8"/>
      <c r="AV3426" s="8"/>
      <c r="AW3426" s="8"/>
      <c r="AX3426" s="8"/>
      <c r="AY3426" s="8"/>
      <c r="AZ3426" s="8"/>
      <c r="BA3426" s="8">
        <v>64.66</v>
      </c>
      <c r="BB3426" s="8"/>
      <c r="BC3426" s="8"/>
      <c r="BD3426" s="8"/>
      <c r="BE3426" s="8"/>
      <c r="BF3426" s="8">
        <v>197.4</v>
      </c>
      <c r="BG3426" s="8">
        <v>146.24</v>
      </c>
      <c r="BH3426" s="9">
        <f t="shared" si="477"/>
        <v>2819.47</v>
      </c>
      <c r="BI3426" s="9">
        <f t="shared" si="478"/>
        <v>8.18</v>
      </c>
      <c r="BJ3426" s="9">
        <f t="shared" si="479"/>
        <v>13.27</v>
      </c>
      <c r="BK3426" s="9">
        <f t="shared" si="480"/>
        <v>42.32</v>
      </c>
      <c r="BL3426" s="9">
        <f t="shared" si="481"/>
        <v>0</v>
      </c>
      <c r="BM3426" s="9">
        <f t="shared" si="482"/>
        <v>11.28</v>
      </c>
      <c r="BN3426" s="9">
        <f t="shared" si="483"/>
        <v>1872.67</v>
      </c>
      <c r="BO3426" s="9">
        <f t="shared" si="484"/>
        <v>64.66</v>
      </c>
      <c r="BP3426" s="9">
        <f t="shared" si="485"/>
        <v>197.4</v>
      </c>
    </row>
    <row r="3427" spans="1:68">
      <c r="A3427" s="6">
        <v>45170</v>
      </c>
      <c r="B3427" s="7">
        <v>3106</v>
      </c>
      <c r="C3427" s="8">
        <v>6090.84</v>
      </c>
      <c r="D3427" s="8"/>
      <c r="E3427" s="8"/>
      <c r="F3427" s="8"/>
      <c r="G3427" s="8"/>
      <c r="H3427" s="8"/>
      <c r="I3427" s="8"/>
      <c r="J3427" s="8"/>
      <c r="K3427" s="8"/>
      <c r="L3427" s="8"/>
      <c r="M3427" s="8">
        <v>16.38</v>
      </c>
      <c r="N3427" s="8"/>
      <c r="O3427" s="8"/>
      <c r="P3427" s="8"/>
      <c r="Q3427" s="8"/>
      <c r="R3427" s="11"/>
      <c r="S3427" s="8">
        <v>18.3</v>
      </c>
      <c r="T3427" s="8"/>
      <c r="U3427" s="8">
        <v>77.47</v>
      </c>
      <c r="V3427" s="8"/>
      <c r="W3427" s="8"/>
      <c r="X3427" s="8"/>
      <c r="Y3427" s="8"/>
      <c r="Z3427" s="8"/>
      <c r="AA3427" s="8"/>
      <c r="AB3427" s="8"/>
      <c r="AC3427" s="8">
        <v>15.22</v>
      </c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11"/>
      <c r="AQ3427" s="8"/>
      <c r="AR3427" s="8"/>
      <c r="AS3427" s="8"/>
      <c r="AT3427" s="8">
        <v>3471.12</v>
      </c>
      <c r="AU3427" s="8"/>
      <c r="AV3427" s="8"/>
      <c r="AW3427" s="8"/>
      <c r="AX3427" s="8">
        <v>7.62</v>
      </c>
      <c r="AY3427" s="8"/>
      <c r="AZ3427" s="8"/>
      <c r="BA3427" s="8"/>
      <c r="BB3427" s="8"/>
      <c r="BC3427" s="8"/>
      <c r="BD3427" s="8"/>
      <c r="BE3427" s="8"/>
      <c r="BF3427" s="8"/>
      <c r="BG3427" s="8">
        <v>261.16000000000003</v>
      </c>
      <c r="BH3427" s="9">
        <f t="shared" si="477"/>
        <v>6090.84</v>
      </c>
      <c r="BI3427" s="9">
        <f t="shared" si="478"/>
        <v>16.38</v>
      </c>
      <c r="BJ3427" s="9">
        <f t="shared" si="479"/>
        <v>18.3</v>
      </c>
      <c r="BK3427" s="9">
        <f t="shared" si="480"/>
        <v>77.47</v>
      </c>
      <c r="BL3427" s="9">
        <f t="shared" si="481"/>
        <v>0</v>
      </c>
      <c r="BM3427" s="9">
        <f t="shared" si="482"/>
        <v>15.22</v>
      </c>
      <c r="BN3427" s="9">
        <f t="shared" si="483"/>
        <v>3471.12</v>
      </c>
      <c r="BO3427" s="9">
        <f t="shared" si="484"/>
        <v>7.62</v>
      </c>
      <c r="BP3427" s="9">
        <f t="shared" si="485"/>
        <v>0</v>
      </c>
    </row>
    <row r="3428" spans="1:68">
      <c r="A3428" s="6">
        <v>45170</v>
      </c>
      <c r="B3428" s="7">
        <v>3116</v>
      </c>
      <c r="C3428" s="8">
        <v>1522.1</v>
      </c>
      <c r="D3428" s="8"/>
      <c r="E3428" s="8"/>
      <c r="F3428" s="8"/>
      <c r="G3428" s="8"/>
      <c r="H3428" s="8"/>
      <c r="I3428" s="8"/>
      <c r="J3428" s="8"/>
      <c r="K3428" s="8"/>
      <c r="L3428" s="8"/>
      <c r="M3428" s="8">
        <v>3.65</v>
      </c>
      <c r="N3428" s="8"/>
      <c r="O3428" s="8"/>
      <c r="P3428" s="8"/>
      <c r="Q3428" s="8"/>
      <c r="R3428" s="11"/>
      <c r="S3428" s="8">
        <v>6.1</v>
      </c>
      <c r="T3428" s="8"/>
      <c r="U3428" s="8">
        <v>22.4</v>
      </c>
      <c r="V3428" s="8"/>
      <c r="W3428" s="8"/>
      <c r="X3428" s="8"/>
      <c r="Y3428" s="8"/>
      <c r="Z3428" s="8"/>
      <c r="AA3428" s="8"/>
      <c r="AB3428" s="8"/>
      <c r="AC3428" s="8">
        <v>6.09</v>
      </c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11"/>
      <c r="AQ3428" s="8">
        <f>1430*10.88/1000</f>
        <v>15.558400000000001</v>
      </c>
      <c r="AR3428" s="8"/>
      <c r="AS3428" s="8"/>
      <c r="AT3428" s="8">
        <v>928.33</v>
      </c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>
        <v>60.96</v>
      </c>
      <c r="BG3428" s="8">
        <v>69.05</v>
      </c>
      <c r="BH3428" s="9">
        <f t="shared" si="477"/>
        <v>1522.1</v>
      </c>
      <c r="BI3428" s="9">
        <f t="shared" si="478"/>
        <v>3.65</v>
      </c>
      <c r="BJ3428" s="9">
        <f t="shared" si="479"/>
        <v>6.1</v>
      </c>
      <c r="BK3428" s="9">
        <f t="shared" si="480"/>
        <v>22.4</v>
      </c>
      <c r="BL3428" s="9">
        <f t="shared" si="481"/>
        <v>0</v>
      </c>
      <c r="BM3428" s="9">
        <f t="shared" si="482"/>
        <v>21.648400000000002</v>
      </c>
      <c r="BN3428" s="9">
        <f t="shared" si="483"/>
        <v>928.33</v>
      </c>
      <c r="BO3428" s="9">
        <f t="shared" si="484"/>
        <v>0</v>
      </c>
      <c r="BP3428" s="9">
        <f t="shared" si="485"/>
        <v>60.96</v>
      </c>
    </row>
    <row r="3429" spans="1:68">
      <c r="A3429" s="6">
        <v>45170</v>
      </c>
      <c r="B3429" s="7">
        <v>3502</v>
      </c>
      <c r="C3429" s="8">
        <v>388.11</v>
      </c>
      <c r="D3429" s="8">
        <v>258.58</v>
      </c>
      <c r="E3429" s="8"/>
      <c r="F3429" s="8"/>
      <c r="G3429" s="8"/>
      <c r="H3429" s="8"/>
      <c r="I3429" s="8"/>
      <c r="J3429" s="8"/>
      <c r="K3429" s="8"/>
      <c r="L3429" s="8"/>
      <c r="M3429" s="8">
        <v>0.97</v>
      </c>
      <c r="N3429" s="8">
        <v>0.96</v>
      </c>
      <c r="O3429" s="8"/>
      <c r="P3429" s="8"/>
      <c r="Q3429" s="8"/>
      <c r="R3429" s="11"/>
      <c r="S3429" s="8">
        <v>2.46</v>
      </c>
      <c r="T3429" s="8"/>
      <c r="U3429" s="8">
        <v>6.47</v>
      </c>
      <c r="V3429" s="8"/>
      <c r="W3429" s="8"/>
      <c r="X3429" s="8"/>
      <c r="Y3429" s="8"/>
      <c r="Z3429" s="8">
        <v>129.49</v>
      </c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11"/>
      <c r="AQ3429" s="8"/>
      <c r="AR3429" s="8"/>
      <c r="AS3429" s="8"/>
      <c r="AT3429" s="8">
        <v>266.95999999999998</v>
      </c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>
        <v>20.95</v>
      </c>
      <c r="BH3429" s="9">
        <f t="shared" si="477"/>
        <v>646.69000000000005</v>
      </c>
      <c r="BI3429" s="9">
        <f t="shared" si="478"/>
        <v>1.93</v>
      </c>
      <c r="BJ3429" s="9">
        <f t="shared" si="479"/>
        <v>2.46</v>
      </c>
      <c r="BK3429" s="9">
        <f t="shared" si="480"/>
        <v>6.47</v>
      </c>
      <c r="BL3429" s="9">
        <f t="shared" si="481"/>
        <v>129.49</v>
      </c>
      <c r="BM3429" s="9">
        <f t="shared" si="482"/>
        <v>0</v>
      </c>
      <c r="BN3429" s="9">
        <f t="shared" si="483"/>
        <v>266.95999999999998</v>
      </c>
      <c r="BO3429" s="9">
        <f t="shared" si="484"/>
        <v>0</v>
      </c>
      <c r="BP3429" s="9">
        <f t="shared" si="485"/>
        <v>0</v>
      </c>
    </row>
    <row r="3430" spans="1:68">
      <c r="A3430" s="6">
        <v>45170</v>
      </c>
      <c r="B3430" s="7">
        <v>3029</v>
      </c>
      <c r="C3430" s="8"/>
      <c r="D3430" s="8">
        <v>469.18</v>
      </c>
      <c r="E3430" s="8"/>
      <c r="F3430" s="8">
        <v>328.31</v>
      </c>
      <c r="G3430" s="8"/>
      <c r="H3430" s="8"/>
      <c r="I3430" s="8">
        <v>1949.81</v>
      </c>
      <c r="J3430" s="8"/>
      <c r="K3430" s="8"/>
      <c r="L3430" s="8"/>
      <c r="M3430" s="8"/>
      <c r="N3430" s="8">
        <v>21.79</v>
      </c>
      <c r="O3430" s="8"/>
      <c r="P3430" s="8"/>
      <c r="Q3430" s="8"/>
      <c r="R3430" s="11"/>
      <c r="S3430" s="8">
        <v>1.65</v>
      </c>
      <c r="T3430" s="8"/>
      <c r="U3430" s="8"/>
      <c r="V3430" s="8"/>
      <c r="W3430" s="8">
        <v>27.57</v>
      </c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>
        <v>9.58</v>
      </c>
      <c r="AN3430" s="8">
        <f>762*18.38/1000</f>
        <v>14.005559999999999</v>
      </c>
      <c r="AO3430" s="8"/>
      <c r="AP3430" s="11"/>
      <c r="AQ3430" s="8"/>
      <c r="AR3430" s="8">
        <f>4532*18.38/1000</f>
        <v>83.298159999999996</v>
      </c>
      <c r="AS3430" s="8"/>
      <c r="AT3430" s="8">
        <v>1046.68</v>
      </c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>
        <v>72.989999999999995</v>
      </c>
      <c r="BH3430" s="9">
        <f t="shared" si="477"/>
        <v>2747.3</v>
      </c>
      <c r="BI3430" s="9">
        <f t="shared" si="478"/>
        <v>21.79</v>
      </c>
      <c r="BJ3430" s="9">
        <f t="shared" si="479"/>
        <v>1.65</v>
      </c>
      <c r="BK3430" s="9">
        <f t="shared" si="480"/>
        <v>27.57</v>
      </c>
      <c r="BL3430" s="9">
        <f t="shared" si="481"/>
        <v>0</v>
      </c>
      <c r="BM3430" s="9">
        <f t="shared" si="482"/>
        <v>106.88372</v>
      </c>
      <c r="BN3430" s="9">
        <f t="shared" si="483"/>
        <v>1046.68</v>
      </c>
      <c r="BO3430" s="9">
        <f t="shared" si="484"/>
        <v>0</v>
      </c>
      <c r="BP3430" s="9">
        <f t="shared" si="485"/>
        <v>0</v>
      </c>
    </row>
    <row r="3431" spans="1:68">
      <c r="A3431" s="6">
        <v>45170</v>
      </c>
      <c r="B3431" s="7">
        <v>3079</v>
      </c>
      <c r="C3431" s="8"/>
      <c r="D3431" s="8"/>
      <c r="E3431" s="8"/>
      <c r="F3431" s="8">
        <v>340.68</v>
      </c>
      <c r="G3431" s="8"/>
      <c r="H3431" s="8"/>
      <c r="I3431" s="8">
        <v>2753.73</v>
      </c>
      <c r="J3431" s="8"/>
      <c r="K3431" s="8"/>
      <c r="L3431" s="8"/>
      <c r="M3431" s="8"/>
      <c r="N3431" s="8">
        <v>22.6</v>
      </c>
      <c r="O3431" s="8"/>
      <c r="P3431" s="8"/>
      <c r="Q3431" s="8"/>
      <c r="R3431" s="11"/>
      <c r="S3431" s="8">
        <v>1.22</v>
      </c>
      <c r="T3431" s="8"/>
      <c r="U3431" s="8"/>
      <c r="V3431" s="8"/>
      <c r="W3431" s="8">
        <v>30.99</v>
      </c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>
        <v>12.39</v>
      </c>
      <c r="AN3431" s="8">
        <f>1721*18.22/1000</f>
        <v>31.356619999999999</v>
      </c>
      <c r="AO3431" s="8"/>
      <c r="AP3431" s="11"/>
      <c r="AQ3431" s="8"/>
      <c r="AR3431" s="8">
        <f>4328*18.22/1000</f>
        <v>78.856159999999988</v>
      </c>
      <c r="AS3431" s="8"/>
      <c r="AT3431" s="8">
        <v>1197.1400000000001</v>
      </c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>
        <v>86.57</v>
      </c>
      <c r="BH3431" s="9">
        <f t="shared" si="477"/>
        <v>3094.41</v>
      </c>
      <c r="BI3431" s="9">
        <f t="shared" si="478"/>
        <v>22.6</v>
      </c>
      <c r="BJ3431" s="9">
        <f t="shared" si="479"/>
        <v>1.22</v>
      </c>
      <c r="BK3431" s="9">
        <f t="shared" si="480"/>
        <v>30.99</v>
      </c>
      <c r="BL3431" s="9">
        <f t="shared" si="481"/>
        <v>0</v>
      </c>
      <c r="BM3431" s="9">
        <f t="shared" si="482"/>
        <v>122.60278</v>
      </c>
      <c r="BN3431" s="9">
        <f t="shared" si="483"/>
        <v>1197.1400000000001</v>
      </c>
      <c r="BO3431" s="9">
        <f t="shared" si="484"/>
        <v>0</v>
      </c>
      <c r="BP3431" s="9">
        <f t="shared" si="485"/>
        <v>0</v>
      </c>
    </row>
    <row r="3432" spans="1:68">
      <c r="A3432" s="6">
        <v>45170</v>
      </c>
      <c r="B3432" s="7">
        <v>3101</v>
      </c>
      <c r="C3432" s="8">
        <v>667.6</v>
      </c>
      <c r="D3432" s="8"/>
      <c r="E3432" s="8"/>
      <c r="F3432" s="8"/>
      <c r="G3432" s="8"/>
      <c r="H3432" s="8"/>
      <c r="I3432" s="8"/>
      <c r="J3432" s="8"/>
      <c r="K3432" s="8"/>
      <c r="L3432" s="8"/>
      <c r="M3432" s="8">
        <v>1.68</v>
      </c>
      <c r="N3432" s="8"/>
      <c r="O3432" s="8"/>
      <c r="P3432" s="8"/>
      <c r="Q3432" s="8"/>
      <c r="R3432" s="11"/>
      <c r="S3432" s="8">
        <v>3.89</v>
      </c>
      <c r="T3432" s="8"/>
      <c r="U3432" s="8">
        <v>10.71</v>
      </c>
      <c r="V3432" s="8"/>
      <c r="W3432" s="8"/>
      <c r="X3432" s="8"/>
      <c r="Y3432" s="8"/>
      <c r="Z3432" s="8"/>
      <c r="AA3432" s="8"/>
      <c r="AB3432" s="8"/>
      <c r="AC3432" s="8">
        <v>2.68</v>
      </c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11"/>
      <c r="AQ3432" s="8"/>
      <c r="AR3432" s="8"/>
      <c r="AS3432" s="8"/>
      <c r="AT3432" s="8">
        <v>448.7</v>
      </c>
      <c r="AU3432" s="8"/>
      <c r="AV3432" s="8"/>
      <c r="AW3432" s="8">
        <v>14.26</v>
      </c>
      <c r="AX3432" s="8"/>
      <c r="AY3432" s="8"/>
      <c r="AZ3432" s="8"/>
      <c r="BA3432" s="8"/>
      <c r="BB3432" s="8"/>
      <c r="BC3432" s="8"/>
      <c r="BD3432" s="8"/>
      <c r="BE3432" s="8"/>
      <c r="BF3432" s="8">
        <v>87.12</v>
      </c>
      <c r="BG3432" s="8">
        <v>34.43</v>
      </c>
      <c r="BH3432" s="9">
        <f t="shared" si="477"/>
        <v>667.6</v>
      </c>
      <c r="BI3432" s="9">
        <f t="shared" si="478"/>
        <v>1.68</v>
      </c>
      <c r="BJ3432" s="9">
        <f t="shared" si="479"/>
        <v>3.89</v>
      </c>
      <c r="BK3432" s="9">
        <f t="shared" si="480"/>
        <v>10.71</v>
      </c>
      <c r="BL3432" s="9">
        <f t="shared" si="481"/>
        <v>0</v>
      </c>
      <c r="BM3432" s="9">
        <f t="shared" si="482"/>
        <v>2.68</v>
      </c>
      <c r="BN3432" s="9">
        <f t="shared" si="483"/>
        <v>448.7</v>
      </c>
      <c r="BO3432" s="9">
        <f t="shared" si="484"/>
        <v>14.26</v>
      </c>
      <c r="BP3432" s="9">
        <f t="shared" si="485"/>
        <v>87.12</v>
      </c>
    </row>
    <row r="3433" spans="1:68">
      <c r="A3433" s="6">
        <v>45170</v>
      </c>
      <c r="B3433" s="7">
        <v>3704</v>
      </c>
      <c r="C3433" s="8">
        <v>139.16999999999999</v>
      </c>
      <c r="D3433" s="8">
        <v>208.67</v>
      </c>
      <c r="E3433" s="8"/>
      <c r="F3433" s="8"/>
      <c r="G3433" s="8"/>
      <c r="H3433" s="8"/>
      <c r="I3433" s="8"/>
      <c r="J3433" s="8"/>
      <c r="K3433" s="8"/>
      <c r="L3433" s="8"/>
      <c r="M3433" s="8">
        <v>1.04</v>
      </c>
      <c r="N3433" s="8"/>
      <c r="O3433" s="8"/>
      <c r="P3433" s="8"/>
      <c r="Q3433" s="11"/>
      <c r="R3433" s="11"/>
      <c r="S3433" s="8">
        <v>1.22</v>
      </c>
      <c r="T3433" s="8"/>
      <c r="U3433" s="8">
        <v>2.61</v>
      </c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>
        <v>4.16</v>
      </c>
      <c r="AN3433" s="8"/>
      <c r="AO3433" s="8"/>
      <c r="AP3433" s="11"/>
      <c r="AQ3433" s="8"/>
      <c r="AR3433" s="8"/>
      <c r="AS3433" s="8"/>
      <c r="AT3433" s="8">
        <v>60.28</v>
      </c>
      <c r="AU3433" s="8">
        <v>30.17</v>
      </c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>
        <v>5.55</v>
      </c>
      <c r="BH3433" s="9">
        <f t="shared" si="477"/>
        <v>347.84</v>
      </c>
      <c r="BI3433" s="9">
        <f t="shared" si="478"/>
        <v>1.04</v>
      </c>
      <c r="BJ3433" s="9">
        <f t="shared" si="479"/>
        <v>1.22</v>
      </c>
      <c r="BK3433" s="9">
        <f t="shared" si="480"/>
        <v>2.61</v>
      </c>
      <c r="BL3433" s="9">
        <f t="shared" si="481"/>
        <v>0</v>
      </c>
      <c r="BM3433" s="9">
        <f t="shared" si="482"/>
        <v>4.16</v>
      </c>
      <c r="BN3433" s="9">
        <f t="shared" si="483"/>
        <v>90.45</v>
      </c>
      <c r="BO3433" s="9">
        <f t="shared" si="484"/>
        <v>0</v>
      </c>
      <c r="BP3433" s="9">
        <f t="shared" si="485"/>
        <v>0</v>
      </c>
    </row>
    <row r="3434" spans="1:68">
      <c r="A3434" s="6">
        <v>45173</v>
      </c>
      <c r="B3434" s="7">
        <v>3016</v>
      </c>
      <c r="C3434" s="8"/>
      <c r="D3434" s="8">
        <v>1611.53</v>
      </c>
      <c r="E3434" s="8"/>
      <c r="F3434" s="8"/>
      <c r="G3434" s="8"/>
      <c r="H3434" s="8"/>
      <c r="I3434" s="8">
        <v>1490.42</v>
      </c>
      <c r="J3434" s="8"/>
      <c r="K3434" s="8"/>
      <c r="L3434" s="8"/>
      <c r="M3434" s="8"/>
      <c r="N3434" s="8">
        <v>19.22</v>
      </c>
      <c r="O3434" s="8"/>
      <c r="P3434" s="8"/>
      <c r="Q3434" s="11"/>
      <c r="R3434" s="11"/>
      <c r="S3434" s="8">
        <v>2.17</v>
      </c>
      <c r="T3434" s="8"/>
      <c r="U3434" s="8"/>
      <c r="V3434" s="8"/>
      <c r="W3434" s="8">
        <v>31.08</v>
      </c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>
        <v>12.41</v>
      </c>
      <c r="AN3434" s="8">
        <f>2049*18.27/1000</f>
        <v>37.435229999999997</v>
      </c>
      <c r="AO3434" s="8"/>
      <c r="AP3434" s="11"/>
      <c r="AQ3434" s="8"/>
      <c r="AR3434" s="8">
        <f>4312*18.27/1000</f>
        <v>78.780240000000006</v>
      </c>
      <c r="AS3434" s="8"/>
      <c r="AT3434" s="8">
        <v>1154.27</v>
      </c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>
        <v>84.26</v>
      </c>
      <c r="BH3434" s="9">
        <f t="shared" si="477"/>
        <v>3101.95</v>
      </c>
      <c r="BI3434" s="9">
        <f t="shared" si="478"/>
        <v>19.22</v>
      </c>
      <c r="BJ3434" s="9">
        <f t="shared" si="479"/>
        <v>2.17</v>
      </c>
      <c r="BK3434" s="9">
        <f t="shared" si="480"/>
        <v>31.08</v>
      </c>
      <c r="BL3434" s="9">
        <f t="shared" si="481"/>
        <v>0</v>
      </c>
      <c r="BM3434" s="9">
        <f t="shared" si="482"/>
        <v>128.62547000000001</v>
      </c>
      <c r="BN3434" s="9">
        <f t="shared" si="483"/>
        <v>1154.27</v>
      </c>
      <c r="BO3434" s="9">
        <f t="shared" si="484"/>
        <v>0</v>
      </c>
      <c r="BP3434" s="9">
        <f t="shared" si="485"/>
        <v>0</v>
      </c>
    </row>
    <row r="3435" spans="1:68">
      <c r="A3435" s="6">
        <v>45173</v>
      </c>
      <c r="B3435" s="7">
        <v>3602</v>
      </c>
      <c r="C3435" s="8">
        <v>571.24</v>
      </c>
      <c r="D3435" s="8"/>
      <c r="E3435" s="8"/>
      <c r="F3435" s="8"/>
      <c r="G3435" s="8">
        <v>855.51</v>
      </c>
      <c r="H3435" s="8"/>
      <c r="I3435" s="8"/>
      <c r="J3435" s="8"/>
      <c r="K3435" s="8"/>
      <c r="L3435" s="8"/>
      <c r="M3435" s="8">
        <v>1.72</v>
      </c>
      <c r="N3435" s="8"/>
      <c r="O3435" s="8"/>
      <c r="P3435" s="8"/>
      <c r="Q3435" s="11"/>
      <c r="R3435" s="11"/>
      <c r="S3435" s="8">
        <v>6.85</v>
      </c>
      <c r="T3435" s="8"/>
      <c r="U3435" s="8">
        <v>11.43</v>
      </c>
      <c r="V3435" s="8">
        <f>859*16.3/1000</f>
        <v>14.001700000000001</v>
      </c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11"/>
      <c r="AQ3435" s="8"/>
      <c r="AR3435" s="8"/>
      <c r="AS3435" s="8"/>
      <c r="AT3435" s="8">
        <v>575.36</v>
      </c>
      <c r="AU3435" s="8"/>
      <c r="AV3435" s="8"/>
      <c r="AW3435" s="8">
        <v>36.869999999999997</v>
      </c>
      <c r="AX3435" s="8"/>
      <c r="AY3435" s="8"/>
      <c r="AZ3435" s="8"/>
      <c r="BA3435" s="8"/>
      <c r="BB3435" s="8"/>
      <c r="BC3435" s="8"/>
      <c r="BD3435" s="8"/>
      <c r="BE3435" s="8"/>
      <c r="BF3435" s="8">
        <v>45.69</v>
      </c>
      <c r="BG3435" s="8">
        <v>42.8</v>
      </c>
      <c r="BH3435" s="9">
        <f t="shared" si="477"/>
        <v>1426.75</v>
      </c>
      <c r="BI3435" s="9">
        <f t="shared" si="478"/>
        <v>1.72</v>
      </c>
      <c r="BJ3435" s="9">
        <f t="shared" si="479"/>
        <v>6.85</v>
      </c>
      <c r="BK3435" s="9">
        <f t="shared" si="480"/>
        <v>25.431699999999999</v>
      </c>
      <c r="BL3435" s="9">
        <f t="shared" si="481"/>
        <v>0</v>
      </c>
      <c r="BM3435" s="9">
        <f t="shared" si="482"/>
        <v>0</v>
      </c>
      <c r="BN3435" s="9">
        <f t="shared" si="483"/>
        <v>575.36</v>
      </c>
      <c r="BO3435" s="9">
        <f t="shared" si="484"/>
        <v>36.869999999999997</v>
      </c>
      <c r="BP3435" s="9">
        <f t="shared" si="485"/>
        <v>45.69</v>
      </c>
    </row>
    <row r="3436" spans="1:68">
      <c r="A3436" s="6">
        <v>45173</v>
      </c>
      <c r="B3436" s="7">
        <v>8311</v>
      </c>
      <c r="C3436" s="8"/>
      <c r="D3436" s="8">
        <v>160.52000000000001</v>
      </c>
      <c r="E3436" s="8"/>
      <c r="F3436" s="8"/>
      <c r="G3436" s="8"/>
      <c r="H3436" s="8"/>
      <c r="I3436" s="8">
        <v>35.46</v>
      </c>
      <c r="J3436" s="8"/>
      <c r="K3436" s="8"/>
      <c r="L3436" s="8"/>
      <c r="M3436" s="8">
        <v>0.59</v>
      </c>
      <c r="N3436" s="8"/>
      <c r="O3436" s="8"/>
      <c r="P3436" s="8"/>
      <c r="Q3436" s="11"/>
      <c r="R3436" s="11"/>
      <c r="S3436" s="8">
        <v>0.68</v>
      </c>
      <c r="T3436" s="8"/>
      <c r="U3436" s="8">
        <v>1.37</v>
      </c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11"/>
      <c r="AQ3436" s="8"/>
      <c r="AR3436" s="8"/>
      <c r="AS3436" s="8"/>
      <c r="AT3436" s="8">
        <v>11.76</v>
      </c>
      <c r="AU3436" s="8">
        <v>23.16</v>
      </c>
      <c r="AV3436" s="8">
        <v>2.66</v>
      </c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>
        <v>1.92</v>
      </c>
      <c r="BH3436" s="9">
        <f t="shared" si="477"/>
        <v>195.98000000000002</v>
      </c>
      <c r="BI3436" s="9">
        <f t="shared" si="478"/>
        <v>0.59</v>
      </c>
      <c r="BJ3436" s="9">
        <f t="shared" si="479"/>
        <v>0.68</v>
      </c>
      <c r="BK3436" s="9">
        <f t="shared" si="480"/>
        <v>1.37</v>
      </c>
      <c r="BL3436" s="9">
        <f t="shared" si="481"/>
        <v>0</v>
      </c>
      <c r="BM3436" s="9">
        <f t="shared" si="482"/>
        <v>0</v>
      </c>
      <c r="BN3436" s="9">
        <f t="shared" si="483"/>
        <v>34.92</v>
      </c>
      <c r="BO3436" s="9">
        <f t="shared" si="484"/>
        <v>2.66</v>
      </c>
      <c r="BP3436" s="9">
        <f t="shared" si="485"/>
        <v>0</v>
      </c>
    </row>
    <row r="3437" spans="1:68">
      <c r="A3437" s="6">
        <v>45173</v>
      </c>
      <c r="B3437" s="7">
        <v>3023</v>
      </c>
      <c r="C3437" s="8"/>
      <c r="D3437" s="8">
        <v>521.05999999999995</v>
      </c>
      <c r="E3437" s="8"/>
      <c r="F3437" s="8"/>
      <c r="G3437" s="8"/>
      <c r="H3437" s="8"/>
      <c r="I3437" s="8">
        <v>280.47000000000003</v>
      </c>
      <c r="J3437" s="8"/>
      <c r="K3437" s="8"/>
      <c r="L3437" s="8"/>
      <c r="M3437" s="8"/>
      <c r="N3437" s="8">
        <v>4.5</v>
      </c>
      <c r="O3437" s="8"/>
      <c r="P3437" s="8"/>
      <c r="Q3437" s="11"/>
      <c r="R3437" s="11"/>
      <c r="S3437" s="8">
        <v>1.28</v>
      </c>
      <c r="T3437" s="8"/>
      <c r="U3437" s="8"/>
      <c r="V3437" s="8"/>
      <c r="W3437" s="8">
        <v>7.23</v>
      </c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>
        <v>8.01</v>
      </c>
      <c r="AN3437" s="8">
        <f>1040*5.52/1000</f>
        <v>5.7407999999999992</v>
      </c>
      <c r="AO3437" s="8"/>
      <c r="AP3437" s="11"/>
      <c r="AQ3437" s="8"/>
      <c r="AR3437" s="8"/>
      <c r="AS3437" s="8">
        <f>4739*5.52/1000</f>
        <v>26.159279999999999</v>
      </c>
      <c r="AT3437" s="8">
        <v>329.15</v>
      </c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>
        <v>24.87</v>
      </c>
      <c r="BH3437" s="9">
        <f t="shared" si="477"/>
        <v>801.53</v>
      </c>
      <c r="BI3437" s="9">
        <f t="shared" si="478"/>
        <v>4.5</v>
      </c>
      <c r="BJ3437" s="9">
        <f t="shared" si="479"/>
        <v>1.28</v>
      </c>
      <c r="BK3437" s="9">
        <f t="shared" si="480"/>
        <v>7.23</v>
      </c>
      <c r="BL3437" s="9">
        <f t="shared" si="481"/>
        <v>0</v>
      </c>
      <c r="BM3437" s="9">
        <f t="shared" si="482"/>
        <v>39.910079999999994</v>
      </c>
      <c r="BN3437" s="9">
        <f t="shared" si="483"/>
        <v>329.15</v>
      </c>
      <c r="BO3437" s="9">
        <f t="shared" si="484"/>
        <v>0</v>
      </c>
      <c r="BP3437" s="9">
        <f t="shared" si="485"/>
        <v>0</v>
      </c>
    </row>
    <row r="3438" spans="1:68">
      <c r="A3438" s="6">
        <v>45173</v>
      </c>
      <c r="B3438" s="7">
        <v>3022</v>
      </c>
      <c r="C3438" s="8"/>
      <c r="D3438" s="8">
        <v>315.24</v>
      </c>
      <c r="E3438" s="8"/>
      <c r="F3438" s="8"/>
      <c r="G3438" s="8"/>
      <c r="H3438" s="8"/>
      <c r="I3438" s="8">
        <v>257.13</v>
      </c>
      <c r="J3438" s="8"/>
      <c r="K3438" s="8"/>
      <c r="L3438" s="8"/>
      <c r="M3438" s="8"/>
      <c r="N3438" s="8">
        <v>2.87</v>
      </c>
      <c r="O3438" s="8"/>
      <c r="P3438" s="8"/>
      <c r="Q3438" s="11"/>
      <c r="R3438" s="11"/>
      <c r="S3438" s="8">
        <v>1.03</v>
      </c>
      <c r="T3438" s="8"/>
      <c r="U3438" s="8"/>
      <c r="V3438" s="8"/>
      <c r="W3438" s="8">
        <v>5.72</v>
      </c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>
        <v>7.43</v>
      </c>
      <c r="AN3438" s="8"/>
      <c r="AO3438" s="8"/>
      <c r="AP3438" s="11"/>
      <c r="AQ3438" s="8"/>
      <c r="AR3438" s="8"/>
      <c r="AS3438" s="8">
        <f>3866*5.2/1000</f>
        <v>20.103200000000001</v>
      </c>
      <c r="AT3438" s="8">
        <v>267.89</v>
      </c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>
        <v>20.58</v>
      </c>
      <c r="BH3438" s="9">
        <f t="shared" si="477"/>
        <v>572.37</v>
      </c>
      <c r="BI3438" s="9">
        <f t="shared" si="478"/>
        <v>2.87</v>
      </c>
      <c r="BJ3438" s="9">
        <f t="shared" si="479"/>
        <v>1.03</v>
      </c>
      <c r="BK3438" s="9">
        <f t="shared" si="480"/>
        <v>5.72</v>
      </c>
      <c r="BL3438" s="9">
        <f t="shared" si="481"/>
        <v>0</v>
      </c>
      <c r="BM3438" s="9">
        <f t="shared" si="482"/>
        <v>27.533200000000001</v>
      </c>
      <c r="BN3438" s="9">
        <f t="shared" si="483"/>
        <v>267.89</v>
      </c>
      <c r="BO3438" s="9">
        <f t="shared" si="484"/>
        <v>0</v>
      </c>
      <c r="BP3438" s="9">
        <f t="shared" si="485"/>
        <v>0</v>
      </c>
    </row>
    <row r="3439" spans="1:68">
      <c r="A3439" s="6">
        <v>45173</v>
      </c>
      <c r="B3439" s="7">
        <v>3021</v>
      </c>
      <c r="C3439" s="8"/>
      <c r="D3439" s="8">
        <v>194.54</v>
      </c>
      <c r="E3439" s="8"/>
      <c r="F3439" s="8"/>
      <c r="G3439" s="8"/>
      <c r="H3439" s="8"/>
      <c r="I3439" s="8">
        <v>360.74</v>
      </c>
      <c r="J3439" s="8"/>
      <c r="K3439" s="8"/>
      <c r="L3439" s="8"/>
      <c r="M3439" s="8"/>
      <c r="N3439" s="8">
        <v>2.94</v>
      </c>
      <c r="O3439" s="8"/>
      <c r="P3439" s="8"/>
      <c r="Q3439" s="11"/>
      <c r="R3439" s="11"/>
      <c r="S3439" s="8">
        <v>1</v>
      </c>
      <c r="T3439" s="8"/>
      <c r="U3439" s="8"/>
      <c r="V3439" s="8"/>
      <c r="W3439" s="8">
        <v>5.56</v>
      </c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>
        <v>5.56</v>
      </c>
      <c r="AN3439" s="8"/>
      <c r="AO3439" s="8"/>
      <c r="AP3439" s="11"/>
      <c r="AQ3439" s="8"/>
      <c r="AR3439" s="8"/>
      <c r="AS3439" s="8">
        <f>2639*5.3/1000</f>
        <v>13.986699999999999</v>
      </c>
      <c r="AT3439" s="8">
        <v>261.89999999999998</v>
      </c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>
        <v>19.75</v>
      </c>
      <c r="BH3439" s="9">
        <f t="shared" si="477"/>
        <v>555.28</v>
      </c>
      <c r="BI3439" s="9">
        <f t="shared" si="478"/>
        <v>2.94</v>
      </c>
      <c r="BJ3439" s="9">
        <f t="shared" si="479"/>
        <v>1</v>
      </c>
      <c r="BK3439" s="9">
        <f t="shared" si="480"/>
        <v>5.56</v>
      </c>
      <c r="BL3439" s="9">
        <f t="shared" si="481"/>
        <v>0</v>
      </c>
      <c r="BM3439" s="9">
        <f t="shared" si="482"/>
        <v>19.546699999999998</v>
      </c>
      <c r="BN3439" s="9">
        <f t="shared" si="483"/>
        <v>261.89999999999998</v>
      </c>
      <c r="BO3439" s="9">
        <f t="shared" si="484"/>
        <v>0</v>
      </c>
      <c r="BP3439" s="9">
        <f t="shared" si="485"/>
        <v>0</v>
      </c>
    </row>
    <row r="3440" spans="1:68">
      <c r="A3440" s="6">
        <v>45173</v>
      </c>
      <c r="B3440" s="7">
        <v>3083</v>
      </c>
      <c r="C3440" s="8"/>
      <c r="D3440" s="8">
        <v>735.7</v>
      </c>
      <c r="E3440" s="8"/>
      <c r="F3440" s="8"/>
      <c r="G3440" s="8"/>
      <c r="H3440" s="8"/>
      <c r="I3440" s="8">
        <v>1712.54</v>
      </c>
      <c r="J3440" s="8"/>
      <c r="K3440" s="8"/>
      <c r="L3440" s="8"/>
      <c r="M3440" s="8"/>
      <c r="N3440" s="8">
        <v>15.9</v>
      </c>
      <c r="O3440" s="8"/>
      <c r="P3440" s="8"/>
      <c r="Q3440" s="11"/>
      <c r="R3440" s="11"/>
      <c r="S3440" s="8">
        <v>1.71</v>
      </c>
      <c r="T3440" s="8"/>
      <c r="U3440" s="8"/>
      <c r="V3440" s="8"/>
      <c r="W3440" s="8">
        <v>19.59</v>
      </c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>
        <v>9.75</v>
      </c>
      <c r="AN3440" s="8">
        <f>1916*18.12/1000</f>
        <v>34.717920000000007</v>
      </c>
      <c r="AO3440" s="8"/>
      <c r="AP3440" s="11"/>
      <c r="AQ3440" s="8"/>
      <c r="AR3440" s="8">
        <f>3465*18.12/1000</f>
        <v>62.785800000000002</v>
      </c>
      <c r="AS3440" s="8"/>
      <c r="AT3440" s="8">
        <v>1151</v>
      </c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>
        <v>91.72</v>
      </c>
      <c r="BH3440" s="9">
        <f t="shared" si="477"/>
        <v>2448.2399999999998</v>
      </c>
      <c r="BI3440" s="9">
        <f t="shared" si="478"/>
        <v>15.9</v>
      </c>
      <c r="BJ3440" s="9">
        <f t="shared" si="479"/>
        <v>1.71</v>
      </c>
      <c r="BK3440" s="9">
        <f t="shared" si="480"/>
        <v>19.59</v>
      </c>
      <c r="BL3440" s="9">
        <f t="shared" si="481"/>
        <v>0</v>
      </c>
      <c r="BM3440" s="9">
        <f t="shared" si="482"/>
        <v>107.25372000000002</v>
      </c>
      <c r="BN3440" s="9">
        <f t="shared" si="483"/>
        <v>1151</v>
      </c>
      <c r="BO3440" s="9">
        <f t="shared" si="484"/>
        <v>0</v>
      </c>
      <c r="BP3440" s="9">
        <f t="shared" si="485"/>
        <v>0</v>
      </c>
    </row>
    <row r="3441" spans="1:68">
      <c r="A3441" s="6">
        <v>45174</v>
      </c>
      <c r="B3441" s="7">
        <v>3307</v>
      </c>
      <c r="C3441" s="8"/>
      <c r="D3441" s="8">
        <v>932.64</v>
      </c>
      <c r="E3441" s="8"/>
      <c r="F3441" s="8"/>
      <c r="G3441" s="8"/>
      <c r="H3441" s="8"/>
      <c r="I3441" s="8"/>
      <c r="J3441" s="8"/>
      <c r="K3441" s="8"/>
      <c r="L3441" s="8"/>
      <c r="M3441" s="8">
        <v>0.84</v>
      </c>
      <c r="N3441" s="8"/>
      <c r="O3441" s="8"/>
      <c r="P3441" s="8"/>
      <c r="Q3441" s="11"/>
      <c r="R3441" s="11"/>
      <c r="S3441" s="8">
        <v>6.34</v>
      </c>
      <c r="T3441" s="8"/>
      <c r="U3441" s="8">
        <v>9.34</v>
      </c>
      <c r="V3441" s="8"/>
      <c r="W3441" s="8"/>
      <c r="X3441" s="8"/>
      <c r="Y3441" s="8"/>
      <c r="Z3441" s="8"/>
      <c r="AA3441" s="8"/>
      <c r="AB3441" s="8"/>
      <c r="AC3441" s="8">
        <v>5.6</v>
      </c>
      <c r="AD3441" s="8"/>
      <c r="AE3441" s="8"/>
      <c r="AF3441" s="8"/>
      <c r="AG3441" s="8">
        <v>9.36</v>
      </c>
      <c r="AH3441" s="8"/>
      <c r="AI3441" s="8"/>
      <c r="AJ3441" s="8"/>
      <c r="AK3441" s="8"/>
      <c r="AL3441" s="8"/>
      <c r="AM3441" s="8"/>
      <c r="AN3441" s="8"/>
      <c r="AO3441" s="8"/>
      <c r="AP3441" s="11"/>
      <c r="AQ3441" s="8"/>
      <c r="AR3441" s="8"/>
      <c r="AS3441" s="8"/>
      <c r="AT3441" s="8"/>
      <c r="AU3441" s="8">
        <v>467.63</v>
      </c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>
        <v>33.53</v>
      </c>
      <c r="BH3441" s="9">
        <f t="shared" si="477"/>
        <v>932.64</v>
      </c>
      <c r="BI3441" s="9">
        <f t="shared" si="478"/>
        <v>0.84</v>
      </c>
      <c r="BJ3441" s="9">
        <f t="shared" si="479"/>
        <v>6.34</v>
      </c>
      <c r="BK3441" s="9">
        <f t="shared" si="480"/>
        <v>9.34</v>
      </c>
      <c r="BL3441" s="9">
        <f t="shared" si="481"/>
        <v>0</v>
      </c>
      <c r="BM3441" s="9">
        <f t="shared" si="482"/>
        <v>14.959999999999999</v>
      </c>
      <c r="BN3441" s="9">
        <f t="shared" si="483"/>
        <v>467.63</v>
      </c>
      <c r="BO3441" s="9">
        <f t="shared" si="484"/>
        <v>0</v>
      </c>
      <c r="BP3441" s="9">
        <f t="shared" si="485"/>
        <v>0</v>
      </c>
    </row>
    <row r="3442" spans="1:68">
      <c r="A3442" s="6">
        <v>45174</v>
      </c>
      <c r="B3442" s="7">
        <v>3200</v>
      </c>
      <c r="C3442" s="8">
        <v>2333.34</v>
      </c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>
        <v>5.84</v>
      </c>
      <c r="P3442" s="8"/>
      <c r="Q3442" s="11"/>
      <c r="R3442" s="11"/>
      <c r="S3442" s="8">
        <v>9.11</v>
      </c>
      <c r="T3442" s="8"/>
      <c r="U3442" s="8">
        <v>35</v>
      </c>
      <c r="V3442" s="8"/>
      <c r="W3442" s="8"/>
      <c r="X3442" s="8"/>
      <c r="Y3442" s="8"/>
      <c r="Z3442" s="8">
        <v>490.16</v>
      </c>
      <c r="AA3442" s="8"/>
      <c r="AB3442" s="8"/>
      <c r="AC3442" s="8"/>
      <c r="AD3442" s="8"/>
      <c r="AE3442" s="8"/>
      <c r="AF3442" s="8">
        <v>116.52</v>
      </c>
      <c r="AG3442" s="8"/>
      <c r="AH3442" s="8"/>
      <c r="AI3442" s="8"/>
      <c r="AJ3442" s="8"/>
      <c r="AK3442" s="8"/>
      <c r="AL3442" s="8"/>
      <c r="AM3442" s="8"/>
      <c r="AN3442" s="8"/>
      <c r="AO3442" s="8"/>
      <c r="AP3442" s="11"/>
      <c r="AQ3442" s="8">
        <f>1516*23.33/1000</f>
        <v>35.368279999999999</v>
      </c>
      <c r="AR3442" s="8"/>
      <c r="AS3442" s="8"/>
      <c r="AT3442" s="8">
        <v>1597.38</v>
      </c>
      <c r="AU3442" s="8"/>
      <c r="AV3442" s="8"/>
      <c r="AW3442" s="8">
        <v>6.66</v>
      </c>
      <c r="AX3442" s="8"/>
      <c r="AY3442" s="8"/>
      <c r="AZ3442" s="8"/>
      <c r="BA3442" s="8"/>
      <c r="BB3442" s="8"/>
      <c r="BC3442" s="8"/>
      <c r="BD3442" s="8"/>
      <c r="BE3442" s="8"/>
      <c r="BF3442" s="8">
        <v>112.07</v>
      </c>
      <c r="BG3442" s="8">
        <v>115.44</v>
      </c>
      <c r="BH3442" s="9">
        <f t="shared" si="477"/>
        <v>2333.34</v>
      </c>
      <c r="BI3442" s="9">
        <f t="shared" si="478"/>
        <v>5.84</v>
      </c>
      <c r="BJ3442" s="9">
        <f t="shared" si="479"/>
        <v>9.11</v>
      </c>
      <c r="BK3442" s="9">
        <f t="shared" si="480"/>
        <v>35</v>
      </c>
      <c r="BL3442" s="9">
        <f t="shared" si="481"/>
        <v>490.16</v>
      </c>
      <c r="BM3442" s="9">
        <f t="shared" si="482"/>
        <v>151.88828000000001</v>
      </c>
      <c r="BN3442" s="9">
        <f t="shared" si="483"/>
        <v>1597.38</v>
      </c>
      <c r="BO3442" s="9">
        <f t="shared" si="484"/>
        <v>6.66</v>
      </c>
      <c r="BP3442" s="9">
        <f t="shared" si="485"/>
        <v>112.07</v>
      </c>
    </row>
    <row r="3443" spans="1:68">
      <c r="A3443" s="6">
        <v>45174</v>
      </c>
      <c r="B3443" s="7">
        <v>3145</v>
      </c>
      <c r="C3443" s="8">
        <v>1842.98</v>
      </c>
      <c r="D3443" s="8">
        <v>324.85000000000002</v>
      </c>
      <c r="E3443" s="8"/>
      <c r="F3443" s="8"/>
      <c r="G3443" s="8"/>
      <c r="H3443" s="8"/>
      <c r="I3443" s="8"/>
      <c r="J3443" s="8"/>
      <c r="K3443" s="8"/>
      <c r="L3443" s="8"/>
      <c r="M3443" s="8">
        <v>6.31</v>
      </c>
      <c r="N3443" s="8"/>
      <c r="O3443" s="8"/>
      <c r="P3443" s="8"/>
      <c r="Q3443" s="11"/>
      <c r="R3443" s="11"/>
      <c r="S3443" s="8">
        <v>10.18</v>
      </c>
      <c r="T3443" s="8"/>
      <c r="U3443" s="8">
        <v>32.5</v>
      </c>
      <c r="V3443" s="8"/>
      <c r="W3443" s="8"/>
      <c r="X3443" s="8"/>
      <c r="Y3443" s="8"/>
      <c r="Z3443" s="8"/>
      <c r="AA3443" s="8"/>
      <c r="AB3443" s="8"/>
      <c r="AC3443" s="8">
        <v>8.67</v>
      </c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11"/>
      <c r="AQ3443" s="8"/>
      <c r="AR3443" s="8"/>
      <c r="AS3443" s="8"/>
      <c r="AT3443" s="8">
        <v>1442.51</v>
      </c>
      <c r="AU3443" s="8"/>
      <c r="AV3443" s="8"/>
      <c r="AW3443" s="8"/>
      <c r="AX3443" s="8"/>
      <c r="AY3443" s="8"/>
      <c r="AZ3443" s="8"/>
      <c r="BA3443" s="8"/>
      <c r="BB3443" s="8"/>
      <c r="BC3443" s="8"/>
      <c r="BD3443" s="8">
        <v>5.41</v>
      </c>
      <c r="BE3443" s="8">
        <f>1360*14.43/1000</f>
        <v>19.6248</v>
      </c>
      <c r="BF3443" s="8">
        <v>151.71</v>
      </c>
      <c r="BG3443" s="8">
        <v>112.87</v>
      </c>
      <c r="BH3443" s="9">
        <f t="shared" si="477"/>
        <v>2167.83</v>
      </c>
      <c r="BI3443" s="9">
        <f t="shared" si="478"/>
        <v>6.31</v>
      </c>
      <c r="BJ3443" s="9">
        <f t="shared" si="479"/>
        <v>10.18</v>
      </c>
      <c r="BK3443" s="9">
        <f t="shared" si="480"/>
        <v>32.5</v>
      </c>
      <c r="BL3443" s="9">
        <f t="shared" si="481"/>
        <v>0</v>
      </c>
      <c r="BM3443" s="9">
        <f t="shared" si="482"/>
        <v>8.67</v>
      </c>
      <c r="BN3443" s="9">
        <f t="shared" si="483"/>
        <v>1442.51</v>
      </c>
      <c r="BO3443" s="9">
        <f t="shared" si="484"/>
        <v>25.034800000000001</v>
      </c>
      <c r="BP3443" s="9">
        <f t="shared" si="485"/>
        <v>151.71</v>
      </c>
    </row>
    <row r="3444" spans="1:68">
      <c r="A3444" s="6">
        <v>45174</v>
      </c>
      <c r="B3444" s="7">
        <v>3141</v>
      </c>
      <c r="C3444" s="8">
        <v>2394.04</v>
      </c>
      <c r="D3444" s="8">
        <v>421.99</v>
      </c>
      <c r="E3444" s="8"/>
      <c r="F3444" s="8"/>
      <c r="G3444" s="8"/>
      <c r="H3444" s="8"/>
      <c r="I3444" s="8"/>
      <c r="J3444" s="8"/>
      <c r="K3444" s="8"/>
      <c r="L3444" s="8"/>
      <c r="M3444" s="8">
        <v>8.16</v>
      </c>
      <c r="N3444" s="8"/>
      <c r="O3444" s="8"/>
      <c r="P3444" s="8"/>
      <c r="Q3444" s="11"/>
      <c r="R3444" s="11"/>
      <c r="S3444" s="8">
        <v>13.23</v>
      </c>
      <c r="T3444" s="8"/>
      <c r="U3444" s="8">
        <v>42.22</v>
      </c>
      <c r="V3444" s="8"/>
      <c r="W3444" s="8"/>
      <c r="X3444" s="8"/>
      <c r="Y3444" s="8"/>
      <c r="Z3444" s="8"/>
      <c r="AA3444" s="8"/>
      <c r="AB3444" s="8"/>
      <c r="AC3444" s="8">
        <v>11.25</v>
      </c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11"/>
      <c r="AQ3444" s="8"/>
      <c r="AR3444" s="8"/>
      <c r="AS3444" s="8"/>
      <c r="AT3444" s="8">
        <v>1856.73</v>
      </c>
      <c r="AU3444" s="8"/>
      <c r="AV3444" s="8"/>
      <c r="AW3444" s="8"/>
      <c r="AX3444" s="8"/>
      <c r="AY3444" s="8"/>
      <c r="AZ3444" s="8"/>
      <c r="BA3444" s="8">
        <v>64.5</v>
      </c>
      <c r="BB3444" s="8"/>
      <c r="BC3444" s="8"/>
      <c r="BD3444" s="8"/>
      <c r="BE3444" s="8"/>
      <c r="BF3444" s="8">
        <v>197.16</v>
      </c>
      <c r="BG3444" s="8">
        <v>146.80000000000001</v>
      </c>
      <c r="BH3444" s="9">
        <f t="shared" si="477"/>
        <v>2816.0299999999997</v>
      </c>
      <c r="BI3444" s="9">
        <f t="shared" si="478"/>
        <v>8.16</v>
      </c>
      <c r="BJ3444" s="9">
        <f t="shared" si="479"/>
        <v>13.23</v>
      </c>
      <c r="BK3444" s="9">
        <f t="shared" si="480"/>
        <v>42.22</v>
      </c>
      <c r="BL3444" s="9">
        <f t="shared" si="481"/>
        <v>0</v>
      </c>
      <c r="BM3444" s="9">
        <f t="shared" si="482"/>
        <v>11.25</v>
      </c>
      <c r="BN3444" s="9">
        <f t="shared" si="483"/>
        <v>1856.73</v>
      </c>
      <c r="BO3444" s="9">
        <f t="shared" si="484"/>
        <v>64.5</v>
      </c>
      <c r="BP3444" s="9">
        <f t="shared" si="485"/>
        <v>197.16</v>
      </c>
    </row>
    <row r="3445" spans="1:68">
      <c r="A3445" s="6">
        <v>45174</v>
      </c>
      <c r="B3445" s="7">
        <v>3119</v>
      </c>
      <c r="C3445" s="8">
        <v>2564.81</v>
      </c>
      <c r="D3445" s="8"/>
      <c r="E3445" s="8"/>
      <c r="F3445" s="8"/>
      <c r="G3445" s="8"/>
      <c r="H3445" s="8"/>
      <c r="I3445" s="8"/>
      <c r="J3445" s="8"/>
      <c r="K3445" s="8"/>
      <c r="L3445" s="8"/>
      <c r="M3445" s="8">
        <v>8.09</v>
      </c>
      <c r="N3445" s="8"/>
      <c r="O3445" s="8"/>
      <c r="P3445" s="8"/>
      <c r="Q3445" s="11"/>
      <c r="R3445" s="11"/>
      <c r="S3445" s="8">
        <v>11.81</v>
      </c>
      <c r="T3445" s="8"/>
      <c r="U3445" s="8">
        <v>25.66</v>
      </c>
      <c r="V3445" s="8"/>
      <c r="W3445" s="8"/>
      <c r="X3445" s="8"/>
      <c r="Y3445" s="8"/>
      <c r="Z3445" s="8"/>
      <c r="AA3445" s="8"/>
      <c r="AB3445" s="8"/>
      <c r="AC3445" s="8">
        <v>6.41</v>
      </c>
      <c r="AD3445" s="8"/>
      <c r="AE3445" s="8"/>
      <c r="AF3445" s="8"/>
      <c r="AG3445" s="8">
        <v>7.68</v>
      </c>
      <c r="AH3445" s="8"/>
      <c r="AI3445" s="8"/>
      <c r="AJ3445" s="8"/>
      <c r="AK3445" s="8"/>
      <c r="AL3445" s="8"/>
      <c r="AM3445" s="8"/>
      <c r="AN3445" s="8"/>
      <c r="AO3445" s="8"/>
      <c r="AP3445" s="11"/>
      <c r="AQ3445" s="8"/>
      <c r="AR3445" s="8"/>
      <c r="AS3445" s="8"/>
      <c r="AT3445" s="8">
        <v>960.77</v>
      </c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>
        <v>179.53</v>
      </c>
      <c r="BG3445" s="8">
        <v>68.209999999999994</v>
      </c>
      <c r="BH3445" s="9">
        <f t="shared" si="477"/>
        <v>2564.81</v>
      </c>
      <c r="BI3445" s="9">
        <f t="shared" si="478"/>
        <v>8.09</v>
      </c>
      <c r="BJ3445" s="9">
        <f t="shared" si="479"/>
        <v>11.81</v>
      </c>
      <c r="BK3445" s="9">
        <f t="shared" si="480"/>
        <v>25.66</v>
      </c>
      <c r="BL3445" s="9">
        <f t="shared" si="481"/>
        <v>0</v>
      </c>
      <c r="BM3445" s="9">
        <f t="shared" si="482"/>
        <v>14.09</v>
      </c>
      <c r="BN3445" s="9">
        <f t="shared" si="483"/>
        <v>960.77</v>
      </c>
      <c r="BO3445" s="9">
        <f t="shared" si="484"/>
        <v>0</v>
      </c>
      <c r="BP3445" s="9">
        <f t="shared" si="485"/>
        <v>179.53</v>
      </c>
    </row>
    <row r="3446" spans="1:68">
      <c r="A3446" s="6">
        <v>45174</v>
      </c>
      <c r="B3446" s="7">
        <v>3203</v>
      </c>
      <c r="C3446" s="8">
        <v>1713.86</v>
      </c>
      <c r="D3446" s="8"/>
      <c r="E3446" s="8">
        <v>736.5</v>
      </c>
      <c r="F3446" s="8"/>
      <c r="G3446" s="8"/>
      <c r="H3446" s="8"/>
      <c r="I3446" s="8"/>
      <c r="J3446" s="8"/>
      <c r="K3446" s="8"/>
      <c r="L3446" s="8"/>
      <c r="M3446" s="8"/>
      <c r="N3446" s="8"/>
      <c r="O3446" s="8">
        <v>7.4</v>
      </c>
      <c r="P3446" s="8"/>
      <c r="Q3446" s="11"/>
      <c r="R3446" s="11"/>
      <c r="S3446" s="8">
        <v>9.57</v>
      </c>
      <c r="T3446" s="8"/>
      <c r="U3446" s="8">
        <v>30.48</v>
      </c>
      <c r="V3446" s="8"/>
      <c r="W3446" s="8"/>
      <c r="X3446" s="8"/>
      <c r="Y3446" s="8"/>
      <c r="Z3446" s="8">
        <v>386.82</v>
      </c>
      <c r="AA3446" s="8">
        <f>10566*28.88/1000</f>
        <v>305.14608000000004</v>
      </c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11"/>
      <c r="AQ3446" s="8"/>
      <c r="AR3446" s="8"/>
      <c r="AS3446" s="8"/>
      <c r="AT3446" s="8">
        <v>918.88</v>
      </c>
      <c r="AU3446" s="8">
        <v>460.02</v>
      </c>
      <c r="AV3446" s="8"/>
      <c r="AW3446" s="8"/>
      <c r="AX3446" s="8"/>
      <c r="AY3446" s="8"/>
      <c r="AZ3446" s="8"/>
      <c r="BA3446" s="8"/>
      <c r="BB3446" s="8"/>
      <c r="BC3446" s="8">
        <v>6.38</v>
      </c>
      <c r="BD3446" s="8"/>
      <c r="BE3446" s="8"/>
      <c r="BF3446" s="8"/>
      <c r="BG3446" s="8">
        <v>89.38</v>
      </c>
      <c r="BH3446" s="9">
        <f t="shared" si="477"/>
        <v>2450.3599999999997</v>
      </c>
      <c r="BI3446" s="9">
        <f t="shared" si="478"/>
        <v>7.4</v>
      </c>
      <c r="BJ3446" s="9">
        <f t="shared" si="479"/>
        <v>9.57</v>
      </c>
      <c r="BK3446" s="9">
        <f t="shared" si="480"/>
        <v>30.48</v>
      </c>
      <c r="BL3446" s="9">
        <f t="shared" si="481"/>
        <v>691.96608000000003</v>
      </c>
      <c r="BM3446" s="9">
        <f t="shared" si="482"/>
        <v>0</v>
      </c>
      <c r="BN3446" s="9">
        <f t="shared" si="483"/>
        <v>1378.9</v>
      </c>
      <c r="BO3446" s="9">
        <f t="shared" si="484"/>
        <v>6.38</v>
      </c>
      <c r="BP3446" s="9">
        <f t="shared" si="485"/>
        <v>0</v>
      </c>
    </row>
    <row r="3447" spans="1:68">
      <c r="A3447" s="6">
        <v>45174</v>
      </c>
      <c r="B3447" s="7">
        <v>3117</v>
      </c>
      <c r="C3447" s="8">
        <v>802.16</v>
      </c>
      <c r="D3447" s="8"/>
      <c r="E3447" s="8"/>
      <c r="F3447" s="8"/>
      <c r="G3447" s="8"/>
      <c r="H3447" s="8"/>
      <c r="I3447" s="8"/>
      <c r="J3447" s="8"/>
      <c r="K3447" s="8"/>
      <c r="L3447" s="8"/>
      <c r="M3447" s="8">
        <v>2.33</v>
      </c>
      <c r="N3447" s="8"/>
      <c r="O3447" s="8"/>
      <c r="P3447" s="8"/>
      <c r="Q3447" s="11"/>
      <c r="R3447" s="11"/>
      <c r="S3447" s="8">
        <v>3.22</v>
      </c>
      <c r="T3447" s="8"/>
      <c r="U3447" s="8">
        <v>8.0399999999999991</v>
      </c>
      <c r="V3447" s="8"/>
      <c r="W3447" s="8"/>
      <c r="X3447" s="8"/>
      <c r="Y3447" s="8"/>
      <c r="Z3447" s="8"/>
      <c r="AA3447" s="8"/>
      <c r="AB3447" s="8"/>
      <c r="AC3447" s="8">
        <v>3.22</v>
      </c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11"/>
      <c r="AQ3447" s="8"/>
      <c r="AR3447" s="8"/>
      <c r="AS3447" s="8"/>
      <c r="AT3447" s="8">
        <v>506.29</v>
      </c>
      <c r="AU3447" s="8"/>
      <c r="AV3447" s="8">
        <v>20.11</v>
      </c>
      <c r="AW3447" s="8"/>
      <c r="AX3447" s="8"/>
      <c r="AY3447" s="8"/>
      <c r="AZ3447" s="8"/>
      <c r="BA3447" s="8"/>
      <c r="BB3447" s="8"/>
      <c r="BC3447" s="8"/>
      <c r="BD3447" s="8"/>
      <c r="BE3447" s="8"/>
      <c r="BF3447" s="8">
        <v>40.24</v>
      </c>
      <c r="BG3447" s="8">
        <v>38.549999999999997</v>
      </c>
      <c r="BH3447" s="9">
        <f t="shared" si="477"/>
        <v>802.16</v>
      </c>
      <c r="BI3447" s="9">
        <f t="shared" si="478"/>
        <v>2.33</v>
      </c>
      <c r="BJ3447" s="9">
        <f t="shared" si="479"/>
        <v>3.22</v>
      </c>
      <c r="BK3447" s="9">
        <f t="shared" si="480"/>
        <v>8.0399999999999991</v>
      </c>
      <c r="BL3447" s="9">
        <f t="shared" si="481"/>
        <v>0</v>
      </c>
      <c r="BM3447" s="9">
        <f t="shared" si="482"/>
        <v>3.22</v>
      </c>
      <c r="BN3447" s="9">
        <f t="shared" si="483"/>
        <v>506.29</v>
      </c>
      <c r="BO3447" s="9">
        <f t="shared" si="484"/>
        <v>20.11</v>
      </c>
      <c r="BP3447" s="9">
        <f t="shared" si="485"/>
        <v>40.24</v>
      </c>
    </row>
    <row r="3448" spans="1:68">
      <c r="A3448" s="6">
        <v>45174</v>
      </c>
      <c r="B3448" s="7">
        <v>3304</v>
      </c>
      <c r="C3448" s="8"/>
      <c r="D3448" s="8">
        <v>1110.5999999999999</v>
      </c>
      <c r="E3448" s="8"/>
      <c r="F3448" s="8"/>
      <c r="G3448" s="8"/>
      <c r="H3448" s="8"/>
      <c r="I3448" s="8"/>
      <c r="J3448" s="8"/>
      <c r="K3448" s="8"/>
      <c r="L3448" s="8"/>
      <c r="M3448" s="8">
        <v>2.2200000000000002</v>
      </c>
      <c r="N3448" s="8"/>
      <c r="O3448" s="8"/>
      <c r="P3448" s="8"/>
      <c r="Q3448" s="11"/>
      <c r="R3448" s="11"/>
      <c r="S3448" s="8">
        <v>1.67</v>
      </c>
      <c r="T3448" s="8"/>
      <c r="U3448" s="8">
        <v>10</v>
      </c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>
        <v>11.12</v>
      </c>
      <c r="AH3448" s="8"/>
      <c r="AI3448" s="8"/>
      <c r="AJ3448" s="8"/>
      <c r="AK3448" s="8"/>
      <c r="AL3448" s="8"/>
      <c r="AM3448" s="8"/>
      <c r="AN3448" s="8"/>
      <c r="AO3448" s="8"/>
      <c r="AP3448" s="11"/>
      <c r="AQ3448" s="8"/>
      <c r="AR3448" s="8"/>
      <c r="AS3448" s="8"/>
      <c r="AT3448" s="8">
        <v>297.12</v>
      </c>
      <c r="AU3448" s="8">
        <v>148.56</v>
      </c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>
        <v>30.69</v>
      </c>
      <c r="BH3448" s="9">
        <f t="shared" si="477"/>
        <v>1110.5999999999999</v>
      </c>
      <c r="BI3448" s="9">
        <f t="shared" si="478"/>
        <v>2.2200000000000002</v>
      </c>
      <c r="BJ3448" s="9">
        <f t="shared" si="479"/>
        <v>1.67</v>
      </c>
      <c r="BK3448" s="9">
        <f t="shared" si="480"/>
        <v>10</v>
      </c>
      <c r="BL3448" s="9">
        <f t="shared" si="481"/>
        <v>0</v>
      </c>
      <c r="BM3448" s="9">
        <f t="shared" si="482"/>
        <v>11.12</v>
      </c>
      <c r="BN3448" s="9">
        <f t="shared" si="483"/>
        <v>445.68</v>
      </c>
      <c r="BO3448" s="9">
        <f t="shared" si="484"/>
        <v>0</v>
      </c>
      <c r="BP3448" s="9">
        <f t="shared" si="485"/>
        <v>0</v>
      </c>
    </row>
    <row r="3449" spans="1:68">
      <c r="A3449" s="6">
        <v>45175</v>
      </c>
      <c r="B3449" s="7">
        <v>3601</v>
      </c>
      <c r="C3449" s="8">
        <v>297.58999999999997</v>
      </c>
      <c r="D3449" s="8"/>
      <c r="E3449" s="8"/>
      <c r="F3449" s="8"/>
      <c r="G3449" s="8">
        <v>446.97</v>
      </c>
      <c r="H3449" s="8"/>
      <c r="I3449" s="8"/>
      <c r="J3449" s="8"/>
      <c r="K3449" s="8"/>
      <c r="L3449" s="8"/>
      <c r="M3449" s="8">
        <v>0.89</v>
      </c>
      <c r="N3449" s="8"/>
      <c r="O3449" s="8"/>
      <c r="P3449" s="8"/>
      <c r="Q3449" s="11"/>
      <c r="R3449" s="11"/>
      <c r="S3449" s="8">
        <v>3.58</v>
      </c>
      <c r="T3449" s="8"/>
      <c r="U3449" s="8">
        <v>4.47</v>
      </c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11"/>
      <c r="AQ3449" s="8"/>
      <c r="AR3449" s="8"/>
      <c r="AS3449" s="8"/>
      <c r="AT3449" s="8">
        <v>365.58</v>
      </c>
      <c r="AU3449" s="8"/>
      <c r="AV3449" s="8"/>
      <c r="AW3449" s="8">
        <v>22.67</v>
      </c>
      <c r="AX3449" s="8"/>
      <c r="AY3449" s="8"/>
      <c r="AZ3449" s="8"/>
      <c r="BA3449" s="8"/>
      <c r="BB3449" s="8"/>
      <c r="BC3449" s="8"/>
      <c r="BD3449" s="8"/>
      <c r="BE3449" s="8"/>
      <c r="BF3449" s="8">
        <v>41.75</v>
      </c>
      <c r="BG3449" s="8">
        <v>26.61</v>
      </c>
      <c r="BH3449" s="9">
        <f t="shared" si="477"/>
        <v>744.56</v>
      </c>
      <c r="BI3449" s="9">
        <f t="shared" si="478"/>
        <v>0.89</v>
      </c>
      <c r="BJ3449" s="9">
        <f t="shared" si="479"/>
        <v>3.58</v>
      </c>
      <c r="BK3449" s="9">
        <f t="shared" si="480"/>
        <v>4.47</v>
      </c>
      <c r="BL3449" s="9">
        <f t="shared" si="481"/>
        <v>0</v>
      </c>
      <c r="BM3449" s="9">
        <f t="shared" si="482"/>
        <v>0</v>
      </c>
      <c r="BN3449" s="9">
        <f t="shared" si="483"/>
        <v>365.58</v>
      </c>
      <c r="BO3449" s="9">
        <f t="shared" si="484"/>
        <v>22.67</v>
      </c>
      <c r="BP3449" s="9">
        <f t="shared" si="485"/>
        <v>41.75</v>
      </c>
    </row>
    <row r="3450" spans="1:68">
      <c r="A3450" s="6">
        <v>45175</v>
      </c>
      <c r="B3450" s="7">
        <v>3602</v>
      </c>
      <c r="C3450" s="8">
        <v>557.39</v>
      </c>
      <c r="D3450" s="8"/>
      <c r="E3450" s="8"/>
      <c r="F3450" s="8"/>
      <c r="G3450" s="8">
        <v>835.16</v>
      </c>
      <c r="H3450" s="8"/>
      <c r="I3450" s="8"/>
      <c r="J3450" s="8"/>
      <c r="K3450" s="8"/>
      <c r="L3450" s="8"/>
      <c r="M3450" s="8">
        <v>1.67</v>
      </c>
      <c r="N3450" s="8"/>
      <c r="O3450" s="8"/>
      <c r="P3450" s="8"/>
      <c r="Q3450" s="11"/>
      <c r="R3450" s="11"/>
      <c r="S3450" s="8">
        <v>6.68</v>
      </c>
      <c r="T3450" s="8"/>
      <c r="U3450" s="8">
        <v>11.14</v>
      </c>
      <c r="V3450" s="8">
        <f>849*15.92/1000</f>
        <v>13.516080000000001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11"/>
      <c r="AQ3450" s="8"/>
      <c r="AR3450" s="8"/>
      <c r="AS3450" s="8"/>
      <c r="AT3450" s="8">
        <v>562.15</v>
      </c>
      <c r="AU3450" s="8"/>
      <c r="AV3450" s="8"/>
      <c r="AW3450" s="8">
        <v>36.020000000000003</v>
      </c>
      <c r="AX3450" s="8"/>
      <c r="AY3450" s="8"/>
      <c r="AZ3450" s="8"/>
      <c r="BA3450" s="8"/>
      <c r="BB3450" s="8"/>
      <c r="BC3450" s="8"/>
      <c r="BD3450" s="8"/>
      <c r="BE3450" s="8"/>
      <c r="BF3450" s="8">
        <v>44.61</v>
      </c>
      <c r="BG3450" s="8">
        <v>41.78</v>
      </c>
      <c r="BH3450" s="9">
        <f t="shared" si="477"/>
        <v>1392.55</v>
      </c>
      <c r="BI3450" s="9">
        <f t="shared" si="478"/>
        <v>1.67</v>
      </c>
      <c r="BJ3450" s="9">
        <f t="shared" si="479"/>
        <v>6.68</v>
      </c>
      <c r="BK3450" s="9">
        <f t="shared" si="480"/>
        <v>24.656080000000003</v>
      </c>
      <c r="BL3450" s="9">
        <f t="shared" si="481"/>
        <v>0</v>
      </c>
      <c r="BM3450" s="9">
        <f t="shared" si="482"/>
        <v>0</v>
      </c>
      <c r="BN3450" s="9">
        <f t="shared" si="483"/>
        <v>562.15</v>
      </c>
      <c r="BO3450" s="9">
        <f t="shared" si="484"/>
        <v>36.020000000000003</v>
      </c>
      <c r="BP3450" s="9">
        <f t="shared" si="485"/>
        <v>44.61</v>
      </c>
    </row>
    <row r="3451" spans="1:68">
      <c r="A3451" s="6">
        <v>45175</v>
      </c>
      <c r="B3451" s="7">
        <v>3106</v>
      </c>
      <c r="C3451" s="8">
        <v>8133.15</v>
      </c>
      <c r="D3451" s="8"/>
      <c r="E3451" s="8"/>
      <c r="F3451" s="8"/>
      <c r="G3451" s="8"/>
      <c r="H3451" s="8"/>
      <c r="I3451" s="8"/>
      <c r="J3451" s="8"/>
      <c r="K3451" s="8"/>
      <c r="L3451" s="8"/>
      <c r="M3451" s="8">
        <v>21.95</v>
      </c>
      <c r="N3451" s="8"/>
      <c r="O3451" s="8"/>
      <c r="P3451" s="8"/>
      <c r="Q3451" s="11"/>
      <c r="R3451" s="11"/>
      <c r="S3451" s="8">
        <v>24.41</v>
      </c>
      <c r="T3451" s="8"/>
      <c r="U3451" s="8">
        <v>103.34</v>
      </c>
      <c r="V3451" s="8"/>
      <c r="W3451" s="8"/>
      <c r="X3451" s="8"/>
      <c r="Y3451" s="8"/>
      <c r="Z3451" s="8"/>
      <c r="AA3451" s="8"/>
      <c r="AB3451" s="8"/>
      <c r="AC3451" s="8">
        <v>20.309999999999999</v>
      </c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11"/>
      <c r="AQ3451" s="8"/>
      <c r="AR3451" s="8"/>
      <c r="AS3451" s="8"/>
      <c r="AT3451" s="8">
        <v>4630.93</v>
      </c>
      <c r="AU3451" s="8"/>
      <c r="AV3451" s="8"/>
      <c r="AW3451" s="8"/>
      <c r="AX3451" s="8">
        <v>10.16</v>
      </c>
      <c r="AY3451" s="8"/>
      <c r="AZ3451" s="8"/>
      <c r="BA3451" s="8"/>
      <c r="BB3451" s="8"/>
      <c r="BC3451" s="8"/>
      <c r="BD3451" s="8"/>
      <c r="BE3451" s="8"/>
      <c r="BF3451" s="8"/>
      <c r="BG3451" s="8">
        <v>349.39</v>
      </c>
      <c r="BH3451" s="9">
        <f t="shared" si="477"/>
        <v>8133.15</v>
      </c>
      <c r="BI3451" s="9">
        <f t="shared" si="478"/>
        <v>21.95</v>
      </c>
      <c r="BJ3451" s="9">
        <f t="shared" si="479"/>
        <v>24.41</v>
      </c>
      <c r="BK3451" s="9">
        <f t="shared" si="480"/>
        <v>103.34</v>
      </c>
      <c r="BL3451" s="9">
        <f t="shared" si="481"/>
        <v>0</v>
      </c>
      <c r="BM3451" s="9">
        <f t="shared" si="482"/>
        <v>20.309999999999999</v>
      </c>
      <c r="BN3451" s="9">
        <f t="shared" si="483"/>
        <v>4630.93</v>
      </c>
      <c r="BO3451" s="9">
        <f t="shared" si="484"/>
        <v>10.16</v>
      </c>
      <c r="BP3451" s="9">
        <f t="shared" si="485"/>
        <v>0</v>
      </c>
    </row>
    <row r="3452" spans="1:68">
      <c r="A3452" s="6">
        <v>45175</v>
      </c>
      <c r="B3452" s="7">
        <v>3126</v>
      </c>
      <c r="C3452" s="8">
        <v>660.99</v>
      </c>
      <c r="D3452" s="8">
        <v>282.45999999999998</v>
      </c>
      <c r="E3452" s="8"/>
      <c r="F3452" s="8"/>
      <c r="G3452" s="8"/>
      <c r="H3452" s="8"/>
      <c r="I3452" s="8"/>
      <c r="J3452" s="8"/>
      <c r="K3452" s="8"/>
      <c r="L3452" s="8"/>
      <c r="M3452" s="8"/>
      <c r="N3452" s="8">
        <v>1.45</v>
      </c>
      <c r="O3452" s="8"/>
      <c r="P3452" s="8"/>
      <c r="Q3452" s="11"/>
      <c r="R3452" s="11"/>
      <c r="S3452" s="8">
        <v>2.83</v>
      </c>
      <c r="T3452" s="8"/>
      <c r="U3452" s="8">
        <v>9.43</v>
      </c>
      <c r="V3452" s="8"/>
      <c r="W3452" s="8"/>
      <c r="X3452" s="8"/>
      <c r="Y3452" s="8"/>
      <c r="Z3452" s="8"/>
      <c r="AA3452" s="8"/>
      <c r="AB3452" s="8"/>
      <c r="AC3452" s="8">
        <v>2.35</v>
      </c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11"/>
      <c r="AQ3452" s="8"/>
      <c r="AR3452" s="8"/>
      <c r="AS3452" s="8"/>
      <c r="AT3452" s="8">
        <v>411.96</v>
      </c>
      <c r="AU3452" s="8"/>
      <c r="AV3452" s="8"/>
      <c r="AW3452" s="8"/>
      <c r="AX3452" s="8"/>
      <c r="AY3452" s="8"/>
      <c r="AZ3452" s="8"/>
      <c r="BA3452" s="8">
        <v>7.22</v>
      </c>
      <c r="BB3452" s="8"/>
      <c r="BC3452" s="8"/>
      <c r="BD3452" s="8"/>
      <c r="BE3452" s="8"/>
      <c r="BF3452" s="8"/>
      <c r="BG3452" s="8">
        <v>29.27</v>
      </c>
      <c r="BH3452" s="9">
        <f t="shared" si="477"/>
        <v>943.45</v>
      </c>
      <c r="BI3452" s="9">
        <f t="shared" si="478"/>
        <v>1.45</v>
      </c>
      <c r="BJ3452" s="9">
        <f t="shared" si="479"/>
        <v>2.83</v>
      </c>
      <c r="BK3452" s="9">
        <f t="shared" si="480"/>
        <v>9.43</v>
      </c>
      <c r="BL3452" s="9">
        <f t="shared" si="481"/>
        <v>0</v>
      </c>
      <c r="BM3452" s="9">
        <f t="shared" si="482"/>
        <v>2.35</v>
      </c>
      <c r="BN3452" s="9">
        <f t="shared" si="483"/>
        <v>411.96</v>
      </c>
      <c r="BO3452" s="9">
        <f t="shared" si="484"/>
        <v>7.22</v>
      </c>
      <c r="BP3452" s="9">
        <f t="shared" si="485"/>
        <v>0</v>
      </c>
    </row>
    <row r="3453" spans="1:68">
      <c r="A3453" s="6">
        <v>45175</v>
      </c>
      <c r="B3453" s="7">
        <v>3121</v>
      </c>
      <c r="C3453" s="8">
        <v>2206.1999999999998</v>
      </c>
      <c r="D3453" s="8"/>
      <c r="E3453" s="8"/>
      <c r="F3453" s="8"/>
      <c r="G3453" s="8"/>
      <c r="H3453" s="8"/>
      <c r="I3453" s="8"/>
      <c r="J3453" s="8"/>
      <c r="K3453" s="8"/>
      <c r="L3453" s="8"/>
      <c r="M3453" s="8">
        <v>5.51</v>
      </c>
      <c r="N3453" s="8"/>
      <c r="O3453" s="8"/>
      <c r="P3453" s="8"/>
      <c r="Q3453" s="11"/>
      <c r="R3453" s="11"/>
      <c r="S3453" s="8">
        <v>7.06</v>
      </c>
      <c r="T3453" s="8"/>
      <c r="U3453" s="8">
        <v>22.09</v>
      </c>
      <c r="V3453" s="8"/>
      <c r="W3453" s="8"/>
      <c r="X3453" s="8"/>
      <c r="Y3453" s="8"/>
      <c r="Z3453" s="8"/>
      <c r="AA3453" s="8"/>
      <c r="AB3453" s="8"/>
      <c r="AC3453" s="8">
        <v>8.83</v>
      </c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11">
        <f>2216*10.02/1000</f>
        <v>22.204319999999999</v>
      </c>
      <c r="AQ3453" s="8"/>
      <c r="AR3453" s="8"/>
      <c r="AS3453" s="8"/>
      <c r="AT3453" s="8">
        <v>1165.01</v>
      </c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>
        <v>86.06</v>
      </c>
      <c r="BH3453" s="9">
        <f t="shared" si="477"/>
        <v>2206.1999999999998</v>
      </c>
      <c r="BI3453" s="9">
        <f t="shared" si="478"/>
        <v>5.51</v>
      </c>
      <c r="BJ3453" s="9">
        <f t="shared" si="479"/>
        <v>7.06</v>
      </c>
      <c r="BK3453" s="9">
        <f t="shared" si="480"/>
        <v>22.09</v>
      </c>
      <c r="BL3453" s="9">
        <f t="shared" si="481"/>
        <v>0</v>
      </c>
      <c r="BM3453" s="9">
        <f t="shared" si="482"/>
        <v>31.034320000000001</v>
      </c>
      <c r="BN3453" s="9">
        <f t="shared" si="483"/>
        <v>1165.01</v>
      </c>
      <c r="BO3453" s="9">
        <f t="shared" si="484"/>
        <v>0</v>
      </c>
      <c r="BP3453" s="9">
        <f t="shared" si="485"/>
        <v>0</v>
      </c>
    </row>
    <row r="3454" spans="1:68">
      <c r="A3454" s="6">
        <v>45175</v>
      </c>
      <c r="B3454" s="7">
        <v>3079</v>
      </c>
      <c r="C3454" s="8"/>
      <c r="D3454" s="8"/>
      <c r="E3454" s="8"/>
      <c r="F3454" s="8">
        <v>508.79</v>
      </c>
      <c r="G3454" s="8"/>
      <c r="H3454" s="8"/>
      <c r="I3454" s="8">
        <v>4114</v>
      </c>
      <c r="J3454" s="8"/>
      <c r="K3454" s="8"/>
      <c r="L3454" s="8"/>
      <c r="M3454" s="8"/>
      <c r="N3454" s="8">
        <v>33.770000000000003</v>
      </c>
      <c r="O3454" s="8"/>
      <c r="P3454" s="8"/>
      <c r="Q3454" s="11"/>
      <c r="R3454" s="11"/>
      <c r="S3454" s="8">
        <v>1.84</v>
      </c>
      <c r="T3454" s="8"/>
      <c r="U3454" s="8"/>
      <c r="V3454" s="8"/>
      <c r="W3454" s="8">
        <v>46.27</v>
      </c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>
        <v>18.420000000000002</v>
      </c>
      <c r="AN3454" s="8">
        <f>1724*27.22/1000</f>
        <v>46.927279999999996</v>
      </c>
      <c r="AO3454" s="8"/>
      <c r="AP3454" s="11"/>
      <c r="AQ3454" s="8"/>
      <c r="AR3454" s="8">
        <f>4269*27.22/1000</f>
        <v>116.20218</v>
      </c>
      <c r="AS3454" s="8"/>
      <c r="AT3454" s="8">
        <v>1785.13</v>
      </c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>
        <v>129.56</v>
      </c>
      <c r="BH3454" s="9">
        <f t="shared" si="477"/>
        <v>4622.79</v>
      </c>
      <c r="BI3454" s="9">
        <f t="shared" si="478"/>
        <v>33.770000000000003</v>
      </c>
      <c r="BJ3454" s="9">
        <f t="shared" si="479"/>
        <v>1.84</v>
      </c>
      <c r="BK3454" s="9">
        <f t="shared" si="480"/>
        <v>46.27</v>
      </c>
      <c r="BL3454" s="9">
        <f t="shared" si="481"/>
        <v>0</v>
      </c>
      <c r="BM3454" s="9">
        <f t="shared" si="482"/>
        <v>181.54946000000001</v>
      </c>
      <c r="BN3454" s="9">
        <f t="shared" si="483"/>
        <v>1785.13</v>
      </c>
      <c r="BO3454" s="9">
        <f t="shared" si="484"/>
        <v>0</v>
      </c>
      <c r="BP3454" s="9">
        <f t="shared" si="485"/>
        <v>0</v>
      </c>
    </row>
    <row r="3455" spans="1:68">
      <c r="A3455" s="6">
        <v>45175</v>
      </c>
      <c r="B3455" s="7">
        <v>3083</v>
      </c>
      <c r="C3455" s="8"/>
      <c r="D3455" s="8">
        <v>1078.25</v>
      </c>
      <c r="E3455" s="8"/>
      <c r="F3455" s="8"/>
      <c r="G3455" s="8"/>
      <c r="H3455" s="8"/>
      <c r="I3455" s="8">
        <v>2512.39</v>
      </c>
      <c r="J3455" s="8"/>
      <c r="K3455" s="8"/>
      <c r="L3455" s="8"/>
      <c r="M3455" s="8"/>
      <c r="N3455" s="8">
        <v>23.34</v>
      </c>
      <c r="O3455" s="8"/>
      <c r="P3455" s="8"/>
      <c r="Q3455" s="11"/>
      <c r="R3455" s="11"/>
      <c r="S3455" s="8">
        <v>2.4900000000000002</v>
      </c>
      <c r="T3455" s="8"/>
      <c r="U3455" s="8"/>
      <c r="V3455" s="8"/>
      <c r="W3455" s="8">
        <v>28.71</v>
      </c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>
        <v>14.36</v>
      </c>
      <c r="AN3455" s="8">
        <f>1910*26.57/1000</f>
        <v>50.748699999999999</v>
      </c>
      <c r="AO3455" s="8"/>
      <c r="AP3455" s="11"/>
      <c r="AQ3455" s="8"/>
      <c r="AR3455" s="8">
        <f>3461*26.57/1000</f>
        <v>91.958770000000001</v>
      </c>
      <c r="AS3455" s="8"/>
      <c r="AT3455" s="8">
        <v>1688.5</v>
      </c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>
        <v>133.72</v>
      </c>
      <c r="BH3455" s="9">
        <f t="shared" si="477"/>
        <v>3590.64</v>
      </c>
      <c r="BI3455" s="9">
        <f t="shared" si="478"/>
        <v>23.34</v>
      </c>
      <c r="BJ3455" s="9">
        <f t="shared" si="479"/>
        <v>2.4900000000000002</v>
      </c>
      <c r="BK3455" s="9">
        <f t="shared" si="480"/>
        <v>28.71</v>
      </c>
      <c r="BL3455" s="9">
        <f t="shared" si="481"/>
        <v>0</v>
      </c>
      <c r="BM3455" s="9">
        <f t="shared" si="482"/>
        <v>157.06747000000001</v>
      </c>
      <c r="BN3455" s="9">
        <f t="shared" si="483"/>
        <v>1688.5</v>
      </c>
      <c r="BO3455" s="9">
        <f t="shared" si="484"/>
        <v>0</v>
      </c>
      <c r="BP3455" s="9">
        <f t="shared" si="485"/>
        <v>0</v>
      </c>
    </row>
    <row r="3456" spans="1:68">
      <c r="A3456" s="6">
        <v>45176</v>
      </c>
      <c r="B3456" s="7">
        <v>3307</v>
      </c>
      <c r="C3456" s="8"/>
      <c r="D3456" s="8">
        <v>519.15</v>
      </c>
      <c r="E3456" s="8"/>
      <c r="F3456" s="8"/>
      <c r="G3456" s="8"/>
      <c r="H3456" s="8"/>
      <c r="I3456" s="8"/>
      <c r="J3456" s="8"/>
      <c r="K3456" s="8"/>
      <c r="L3456" s="8"/>
      <c r="M3456" s="8">
        <v>0.47</v>
      </c>
      <c r="N3456" s="8"/>
      <c r="O3456" s="8"/>
      <c r="P3456" s="8"/>
      <c r="Q3456" s="11"/>
      <c r="R3456" s="11"/>
      <c r="S3456" s="8">
        <v>3.53</v>
      </c>
      <c r="T3456" s="8"/>
      <c r="U3456" s="8">
        <v>5.2</v>
      </c>
      <c r="V3456" s="8"/>
      <c r="W3456" s="8"/>
      <c r="X3456" s="8"/>
      <c r="Y3456" s="8"/>
      <c r="Z3456" s="8"/>
      <c r="AA3456" s="8"/>
      <c r="AB3456" s="8"/>
      <c r="AC3456" s="8">
        <v>3.12</v>
      </c>
      <c r="AD3456" s="8"/>
      <c r="AE3456" s="8"/>
      <c r="AF3456" s="8"/>
      <c r="AG3456" s="8">
        <v>5.23</v>
      </c>
      <c r="AH3456" s="8"/>
      <c r="AI3456" s="8"/>
      <c r="AJ3456" s="8"/>
      <c r="AK3456" s="8"/>
      <c r="AL3456" s="8"/>
      <c r="AM3456" s="8"/>
      <c r="AN3456" s="8"/>
      <c r="AO3456" s="8"/>
      <c r="AP3456" s="11"/>
      <c r="AQ3456" s="8"/>
      <c r="AR3456" s="8"/>
      <c r="AS3456" s="8"/>
      <c r="AT3456" s="8"/>
      <c r="AU3456" s="8">
        <v>260.32</v>
      </c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>
        <v>18.670000000000002</v>
      </c>
      <c r="BH3456" s="9">
        <f t="shared" si="477"/>
        <v>519.15</v>
      </c>
      <c r="BI3456" s="9">
        <f t="shared" si="478"/>
        <v>0.47</v>
      </c>
      <c r="BJ3456" s="9">
        <f t="shared" si="479"/>
        <v>3.53</v>
      </c>
      <c r="BK3456" s="9">
        <f t="shared" si="480"/>
        <v>5.2</v>
      </c>
      <c r="BL3456" s="9">
        <f t="shared" si="481"/>
        <v>0</v>
      </c>
      <c r="BM3456" s="9">
        <f t="shared" si="482"/>
        <v>8.3500000000000014</v>
      </c>
      <c r="BN3456" s="9">
        <f t="shared" si="483"/>
        <v>260.32</v>
      </c>
      <c r="BO3456" s="9">
        <f t="shared" si="484"/>
        <v>0</v>
      </c>
      <c r="BP3456" s="9">
        <f t="shared" si="485"/>
        <v>0</v>
      </c>
    </row>
    <row r="3457" spans="1:68">
      <c r="A3457" s="6">
        <v>45176</v>
      </c>
      <c r="B3457" s="7">
        <v>3204</v>
      </c>
      <c r="C3457" s="8"/>
      <c r="D3457" s="8">
        <v>1011.46</v>
      </c>
      <c r="E3457" s="8">
        <v>430.83</v>
      </c>
      <c r="F3457" s="8"/>
      <c r="G3457" s="8"/>
      <c r="H3457" s="8"/>
      <c r="I3457" s="8"/>
      <c r="J3457" s="8"/>
      <c r="K3457" s="8"/>
      <c r="L3457" s="8"/>
      <c r="M3457" s="8"/>
      <c r="N3457" s="8"/>
      <c r="O3457" s="8">
        <v>7.24</v>
      </c>
      <c r="P3457" s="8"/>
      <c r="Q3457" s="11"/>
      <c r="R3457" s="11"/>
      <c r="S3457" s="8">
        <v>4.91</v>
      </c>
      <c r="T3457" s="8"/>
      <c r="U3457" s="8">
        <v>15.91</v>
      </c>
      <c r="V3457" s="8"/>
      <c r="W3457" s="8"/>
      <c r="X3457" s="8"/>
      <c r="Y3457" s="8"/>
      <c r="Z3457" s="8">
        <v>216.96</v>
      </c>
      <c r="AA3457" s="8"/>
      <c r="AB3457" s="8">
        <f>718*10.32/1000</f>
        <v>7.4097600000000003</v>
      </c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11"/>
      <c r="AQ3457" s="8"/>
      <c r="AR3457" s="8"/>
      <c r="AS3457" s="8"/>
      <c r="AT3457" s="8">
        <v>635.22</v>
      </c>
      <c r="AU3457" s="8"/>
      <c r="AV3457" s="8"/>
      <c r="AW3457" s="8">
        <v>4.6500000000000004</v>
      </c>
      <c r="AX3457" s="8"/>
      <c r="AY3457" s="8"/>
      <c r="AZ3457" s="8"/>
      <c r="BA3457" s="8"/>
      <c r="BB3457" s="8"/>
      <c r="BC3457" s="8"/>
      <c r="BD3457" s="8"/>
      <c r="BE3457" s="8"/>
      <c r="BF3457" s="8"/>
      <c r="BG3457" s="8">
        <v>47.02</v>
      </c>
      <c r="BH3457" s="9">
        <f t="shared" si="477"/>
        <v>1442.29</v>
      </c>
      <c r="BI3457" s="9">
        <f t="shared" si="478"/>
        <v>7.24</v>
      </c>
      <c r="BJ3457" s="9">
        <f t="shared" si="479"/>
        <v>4.91</v>
      </c>
      <c r="BK3457" s="9">
        <f t="shared" si="480"/>
        <v>15.91</v>
      </c>
      <c r="BL3457" s="9">
        <f t="shared" si="481"/>
        <v>216.96</v>
      </c>
      <c r="BM3457" s="9">
        <f t="shared" si="482"/>
        <v>7.4097600000000003</v>
      </c>
      <c r="BN3457" s="9">
        <f t="shared" si="483"/>
        <v>635.22</v>
      </c>
      <c r="BO3457" s="9">
        <f t="shared" si="484"/>
        <v>4.6500000000000004</v>
      </c>
      <c r="BP3457" s="9">
        <f t="shared" si="485"/>
        <v>0</v>
      </c>
    </row>
    <row r="3458" spans="1:68">
      <c r="A3458" s="6">
        <v>45176</v>
      </c>
      <c r="B3458" s="7">
        <v>3200</v>
      </c>
      <c r="C3458" s="8">
        <v>2285.85</v>
      </c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>
        <v>5.71</v>
      </c>
      <c r="P3458" s="8"/>
      <c r="Q3458" s="11"/>
      <c r="R3458" s="11"/>
      <c r="S3458" s="8">
        <v>8.92</v>
      </c>
      <c r="T3458" s="8"/>
      <c r="U3458" s="8">
        <v>34.299999999999997</v>
      </c>
      <c r="V3458" s="8"/>
      <c r="W3458" s="8"/>
      <c r="X3458" s="8"/>
      <c r="Y3458" s="8"/>
      <c r="Z3458" s="8">
        <v>480.75</v>
      </c>
      <c r="AA3458" s="8"/>
      <c r="AB3458" s="8"/>
      <c r="AC3458" s="8"/>
      <c r="AD3458" s="8"/>
      <c r="AE3458" s="8"/>
      <c r="AF3458" s="8">
        <v>113.95</v>
      </c>
      <c r="AG3458" s="8"/>
      <c r="AH3458" s="8"/>
      <c r="AI3458" s="8"/>
      <c r="AJ3458" s="8"/>
      <c r="AK3458" s="8"/>
      <c r="AL3458" s="8"/>
      <c r="AM3458" s="8"/>
      <c r="AN3458" s="8"/>
      <c r="AO3458" s="8"/>
      <c r="AP3458" s="11"/>
      <c r="AQ3458" s="8">
        <f>1512*22.87/1000</f>
        <v>34.579440000000005</v>
      </c>
      <c r="AR3458" s="8"/>
      <c r="AS3458" s="8"/>
      <c r="AT3458" s="8">
        <v>1562.77</v>
      </c>
      <c r="AU3458" s="8"/>
      <c r="AV3458" s="8"/>
      <c r="AW3458" s="8">
        <v>6.7</v>
      </c>
      <c r="AX3458" s="8"/>
      <c r="AY3458" s="8"/>
      <c r="AZ3458" s="8"/>
      <c r="BA3458" s="8"/>
      <c r="BB3458" s="8"/>
      <c r="BC3458" s="8"/>
      <c r="BD3458" s="8"/>
      <c r="BE3458" s="8"/>
      <c r="BF3458" s="8">
        <v>109.85</v>
      </c>
      <c r="BG3458" s="8">
        <v>113.01</v>
      </c>
      <c r="BH3458" s="9">
        <f t="shared" si="477"/>
        <v>2285.85</v>
      </c>
      <c r="BI3458" s="9">
        <f t="shared" si="478"/>
        <v>5.71</v>
      </c>
      <c r="BJ3458" s="9">
        <f t="shared" si="479"/>
        <v>8.92</v>
      </c>
      <c r="BK3458" s="9">
        <f t="shared" si="480"/>
        <v>34.299999999999997</v>
      </c>
      <c r="BL3458" s="9">
        <f t="shared" si="481"/>
        <v>480.75</v>
      </c>
      <c r="BM3458" s="9">
        <f t="shared" si="482"/>
        <v>148.52944000000002</v>
      </c>
      <c r="BN3458" s="9">
        <f t="shared" si="483"/>
        <v>1562.77</v>
      </c>
      <c r="BO3458" s="9">
        <f t="shared" si="484"/>
        <v>6.7</v>
      </c>
      <c r="BP3458" s="9">
        <f t="shared" si="485"/>
        <v>109.85</v>
      </c>
    </row>
    <row r="3459" spans="1:68">
      <c r="A3459" s="6">
        <v>45176</v>
      </c>
      <c r="B3459" s="7">
        <v>3139</v>
      </c>
      <c r="C3459" s="8">
        <v>1111.31</v>
      </c>
      <c r="D3459" s="8"/>
      <c r="E3459" s="8"/>
      <c r="F3459" s="8"/>
      <c r="G3459" s="8"/>
      <c r="H3459" s="8">
        <v>461.59</v>
      </c>
      <c r="I3459" s="8"/>
      <c r="J3459" s="8"/>
      <c r="K3459" s="8"/>
      <c r="L3459" s="8"/>
      <c r="M3459" s="8">
        <v>2.59</v>
      </c>
      <c r="N3459" s="8"/>
      <c r="O3459" s="8"/>
      <c r="P3459" s="8"/>
      <c r="Q3459" s="11"/>
      <c r="R3459" s="11"/>
      <c r="S3459" s="8">
        <v>4.91</v>
      </c>
      <c r="T3459" s="8"/>
      <c r="U3459" s="8">
        <v>16.41</v>
      </c>
      <c r="V3459" s="8"/>
      <c r="W3459" s="8"/>
      <c r="X3459" s="8"/>
      <c r="Y3459" s="8"/>
      <c r="Z3459" s="8"/>
      <c r="AA3459" s="8"/>
      <c r="AB3459" s="8"/>
      <c r="AC3459" s="8">
        <v>5.47</v>
      </c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11"/>
      <c r="AQ3459" s="8"/>
      <c r="AR3459" s="8"/>
      <c r="AS3459" s="8"/>
      <c r="AT3459" s="8">
        <v>807.57</v>
      </c>
      <c r="AU3459" s="8"/>
      <c r="AV3459" s="8">
        <v>27.44</v>
      </c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>
        <v>58.85</v>
      </c>
      <c r="BH3459" s="9">
        <f t="shared" si="477"/>
        <v>1572.8999999999999</v>
      </c>
      <c r="BI3459" s="9">
        <f t="shared" si="478"/>
        <v>2.59</v>
      </c>
      <c r="BJ3459" s="9">
        <f t="shared" si="479"/>
        <v>4.91</v>
      </c>
      <c r="BK3459" s="9">
        <f t="shared" si="480"/>
        <v>16.41</v>
      </c>
      <c r="BL3459" s="9">
        <f t="shared" si="481"/>
        <v>0</v>
      </c>
      <c r="BM3459" s="9">
        <f t="shared" si="482"/>
        <v>5.47</v>
      </c>
      <c r="BN3459" s="9">
        <f t="shared" si="483"/>
        <v>807.57</v>
      </c>
      <c r="BO3459" s="9">
        <f t="shared" si="484"/>
        <v>27.44</v>
      </c>
      <c r="BP3459" s="9">
        <f t="shared" si="485"/>
        <v>0</v>
      </c>
    </row>
    <row r="3460" spans="1:68">
      <c r="A3460" s="6">
        <v>45176</v>
      </c>
      <c r="B3460" s="7">
        <v>3139</v>
      </c>
      <c r="C3460" s="8">
        <v>937.58</v>
      </c>
      <c r="D3460" s="8"/>
      <c r="E3460" s="8"/>
      <c r="F3460" s="8"/>
      <c r="G3460" s="8"/>
      <c r="H3460" s="8">
        <v>389.39</v>
      </c>
      <c r="I3460" s="8"/>
      <c r="J3460" s="8"/>
      <c r="K3460" s="8"/>
      <c r="L3460" s="8"/>
      <c r="M3460" s="8">
        <v>2.19</v>
      </c>
      <c r="N3460" s="8"/>
      <c r="O3460" s="8"/>
      <c r="P3460" s="8"/>
      <c r="Q3460" s="11"/>
      <c r="R3460" s="11"/>
      <c r="S3460" s="8">
        <v>4.1500000000000004</v>
      </c>
      <c r="T3460" s="8"/>
      <c r="U3460" s="8">
        <v>13.84</v>
      </c>
      <c r="V3460" s="8"/>
      <c r="W3460" s="8"/>
      <c r="X3460" s="8"/>
      <c r="Y3460" s="8"/>
      <c r="Z3460" s="8"/>
      <c r="AA3460" s="8"/>
      <c r="AB3460" s="8"/>
      <c r="AC3460" s="8">
        <v>4.62</v>
      </c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11"/>
      <c r="AQ3460" s="8"/>
      <c r="AR3460" s="8"/>
      <c r="AS3460" s="8"/>
      <c r="AT3460" s="8">
        <v>683.41</v>
      </c>
      <c r="AU3460" s="8"/>
      <c r="AV3460" s="8">
        <v>23.08</v>
      </c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>
        <v>49.63</v>
      </c>
      <c r="BH3460" s="9">
        <f t="shared" ref="BH3460:BH3523" si="486">SUM(C3460:L3460)</f>
        <v>1326.97</v>
      </c>
      <c r="BI3460" s="9">
        <f t="shared" ref="BI3460:BI3523" si="487">SUM(M3460:R3460)</f>
        <v>2.19</v>
      </c>
      <c r="BJ3460" s="9">
        <f t="shared" ref="BJ3460:BJ3523" si="488">SUM(S3460)</f>
        <v>4.1500000000000004</v>
      </c>
      <c r="BK3460" s="9">
        <f t="shared" ref="BK3460:BK3523" si="489">SUM(T3460:Y3460)</f>
        <v>13.84</v>
      </c>
      <c r="BL3460" s="9">
        <f t="shared" ref="BL3460:BL3523" si="490">SUM(Z3460:AA3460)</f>
        <v>0</v>
      </c>
      <c r="BM3460" s="9">
        <f t="shared" ref="BM3460:BM3523" si="491">SUM(AB3460:AS3460)</f>
        <v>4.62</v>
      </c>
      <c r="BN3460" s="9">
        <f t="shared" ref="BN3460:BN3523" si="492">SUM(AT3460:AU3460)</f>
        <v>683.41</v>
      </c>
      <c r="BO3460" s="9">
        <f t="shared" ref="BO3460:BO3523" si="493">SUM(AV3460:BE3460)</f>
        <v>23.08</v>
      </c>
      <c r="BP3460" s="9">
        <f t="shared" ref="BP3460:BP3523" si="494">SUM(BF3460)</f>
        <v>0</v>
      </c>
    </row>
    <row r="3461" spans="1:68">
      <c r="A3461" s="6">
        <v>45176</v>
      </c>
      <c r="B3461" s="7">
        <v>3701</v>
      </c>
      <c r="C3461" s="8">
        <v>369.15</v>
      </c>
      <c r="D3461" s="8"/>
      <c r="E3461" s="8"/>
      <c r="F3461" s="8"/>
      <c r="G3461" s="8"/>
      <c r="H3461" s="8"/>
      <c r="I3461" s="8"/>
      <c r="J3461" s="8">
        <f>48210*12.48/1000</f>
        <v>601.66079999999999</v>
      </c>
      <c r="K3461" s="8"/>
      <c r="L3461" s="8"/>
      <c r="M3461" s="8"/>
      <c r="N3461" s="8">
        <v>2.29</v>
      </c>
      <c r="O3461" s="8"/>
      <c r="P3461" s="8"/>
      <c r="Q3461" s="11"/>
      <c r="R3461" s="11"/>
      <c r="S3461" s="8">
        <v>2.7</v>
      </c>
      <c r="T3461" s="8"/>
      <c r="U3461" s="8">
        <v>6</v>
      </c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>
        <v>20.010000000000002</v>
      </c>
      <c r="AH3461" s="8"/>
      <c r="AI3461" s="8"/>
      <c r="AJ3461" s="8">
        <f>2421*12.48/1000</f>
        <v>30.214080000000003</v>
      </c>
      <c r="AK3461" s="8"/>
      <c r="AL3461" s="8"/>
      <c r="AM3461" s="8"/>
      <c r="AN3461" s="8"/>
      <c r="AO3461" s="8"/>
      <c r="AP3461" s="11"/>
      <c r="AQ3461" s="8"/>
      <c r="AR3461" s="8"/>
      <c r="AS3461" s="8"/>
      <c r="AT3461" s="8"/>
      <c r="AU3461" s="8">
        <v>352.53</v>
      </c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>
        <v>23.99</v>
      </c>
      <c r="BH3461" s="9">
        <f t="shared" si="486"/>
        <v>970.81079999999997</v>
      </c>
      <c r="BI3461" s="9">
        <f t="shared" si="487"/>
        <v>2.29</v>
      </c>
      <c r="BJ3461" s="9">
        <f t="shared" si="488"/>
        <v>2.7</v>
      </c>
      <c r="BK3461" s="9">
        <f t="shared" si="489"/>
        <v>6</v>
      </c>
      <c r="BL3461" s="9">
        <f t="shared" si="490"/>
        <v>0</v>
      </c>
      <c r="BM3461" s="9">
        <f t="shared" si="491"/>
        <v>50.224080000000001</v>
      </c>
      <c r="BN3461" s="9">
        <f t="shared" si="492"/>
        <v>352.53</v>
      </c>
      <c r="BO3461" s="9">
        <f t="shared" si="493"/>
        <v>0</v>
      </c>
      <c r="BP3461" s="9">
        <f t="shared" si="494"/>
        <v>0</v>
      </c>
    </row>
    <row r="3462" spans="1:68">
      <c r="A3462" s="6">
        <v>45176</v>
      </c>
      <c r="B3462" s="7">
        <v>8313</v>
      </c>
      <c r="C3462" s="8">
        <v>425.98</v>
      </c>
      <c r="D3462" s="8">
        <v>426.59</v>
      </c>
      <c r="E3462" s="8"/>
      <c r="F3462" s="8"/>
      <c r="G3462" s="8"/>
      <c r="H3462" s="8"/>
      <c r="I3462" s="8"/>
      <c r="J3462" s="8"/>
      <c r="K3462" s="8"/>
      <c r="L3462" s="8"/>
      <c r="M3462" s="8">
        <v>2.34</v>
      </c>
      <c r="N3462" s="8"/>
      <c r="O3462" s="8"/>
      <c r="P3462" s="8"/>
      <c r="Q3462" s="11"/>
      <c r="R3462" s="11"/>
      <c r="S3462" s="8">
        <v>4.26</v>
      </c>
      <c r="T3462" s="8"/>
      <c r="U3462" s="8">
        <v>13.63</v>
      </c>
      <c r="V3462" s="8"/>
      <c r="W3462" s="8"/>
      <c r="X3462" s="8"/>
      <c r="Y3462" s="8"/>
      <c r="Z3462" s="8"/>
      <c r="AA3462" s="8"/>
      <c r="AB3462" s="8"/>
      <c r="AC3462" s="8">
        <v>3.51</v>
      </c>
      <c r="AD3462" s="8"/>
      <c r="AE3462" s="8"/>
      <c r="AF3462" s="8"/>
      <c r="AG3462" s="8">
        <v>4.26</v>
      </c>
      <c r="AH3462" s="8"/>
      <c r="AI3462" s="8"/>
      <c r="AJ3462" s="8"/>
      <c r="AK3462" s="8"/>
      <c r="AL3462" s="8"/>
      <c r="AM3462" s="8"/>
      <c r="AN3462" s="8"/>
      <c r="AO3462" s="8"/>
      <c r="AP3462" s="11"/>
      <c r="AQ3462" s="8"/>
      <c r="AR3462" s="8"/>
      <c r="AS3462" s="8"/>
      <c r="AT3462" s="8">
        <v>547.30999999999995</v>
      </c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>
        <v>44.36</v>
      </c>
      <c r="BH3462" s="9">
        <f t="shared" si="486"/>
        <v>852.56999999999994</v>
      </c>
      <c r="BI3462" s="9">
        <f t="shared" si="487"/>
        <v>2.34</v>
      </c>
      <c r="BJ3462" s="9">
        <f t="shared" si="488"/>
        <v>4.26</v>
      </c>
      <c r="BK3462" s="9">
        <f t="shared" si="489"/>
        <v>13.63</v>
      </c>
      <c r="BL3462" s="9">
        <f t="shared" si="490"/>
        <v>0</v>
      </c>
      <c r="BM3462" s="9">
        <f t="shared" si="491"/>
        <v>7.77</v>
      </c>
      <c r="BN3462" s="9">
        <f t="shared" si="492"/>
        <v>547.30999999999995</v>
      </c>
      <c r="BO3462" s="9">
        <f t="shared" si="493"/>
        <v>0</v>
      </c>
      <c r="BP3462" s="9">
        <f t="shared" si="494"/>
        <v>0</v>
      </c>
    </row>
    <row r="3463" spans="1:68">
      <c r="A3463" s="6">
        <v>45177</v>
      </c>
      <c r="B3463" s="7">
        <v>3153</v>
      </c>
      <c r="C3463" s="8">
        <v>765.03</v>
      </c>
      <c r="D3463" s="8"/>
      <c r="E3463" s="8"/>
      <c r="F3463" s="8"/>
      <c r="G3463" s="8"/>
      <c r="H3463" s="8"/>
      <c r="I3463" s="8"/>
      <c r="J3463" s="8"/>
      <c r="K3463" s="8"/>
      <c r="L3463" s="8"/>
      <c r="M3463" s="8">
        <v>1.38</v>
      </c>
      <c r="N3463" s="8">
        <v>1.38</v>
      </c>
      <c r="O3463" s="8"/>
      <c r="P3463" s="8"/>
      <c r="Q3463" s="11"/>
      <c r="R3463" s="11"/>
      <c r="S3463" s="8">
        <v>3.14</v>
      </c>
      <c r="T3463" s="8"/>
      <c r="U3463" s="8">
        <v>7.65</v>
      </c>
      <c r="V3463" s="8"/>
      <c r="W3463" s="8"/>
      <c r="X3463" s="8"/>
      <c r="Y3463" s="8"/>
      <c r="Z3463" s="8"/>
      <c r="AA3463" s="8"/>
      <c r="AB3463" s="8"/>
      <c r="AC3463" s="8">
        <v>3.06</v>
      </c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11"/>
      <c r="AQ3463" s="8"/>
      <c r="AR3463" s="8"/>
      <c r="AS3463" s="8"/>
      <c r="AT3463" s="8">
        <v>338.83</v>
      </c>
      <c r="AU3463" s="8"/>
      <c r="AV3463" s="8"/>
      <c r="AW3463" s="8"/>
      <c r="AX3463" s="8"/>
      <c r="AY3463" s="8"/>
      <c r="AZ3463" s="8"/>
      <c r="BA3463" s="8"/>
      <c r="BB3463" s="8"/>
      <c r="BC3463" s="8">
        <v>0.76</v>
      </c>
      <c r="BD3463" s="8"/>
      <c r="BE3463" s="8"/>
      <c r="BF3463" s="8"/>
      <c r="BG3463" s="8">
        <v>24.86</v>
      </c>
      <c r="BH3463" s="9">
        <f t="shared" si="486"/>
        <v>765.03</v>
      </c>
      <c r="BI3463" s="9">
        <f t="shared" si="487"/>
        <v>2.76</v>
      </c>
      <c r="BJ3463" s="9">
        <f t="shared" si="488"/>
        <v>3.14</v>
      </c>
      <c r="BK3463" s="9">
        <f t="shared" si="489"/>
        <v>7.65</v>
      </c>
      <c r="BL3463" s="9">
        <f t="shared" si="490"/>
        <v>0</v>
      </c>
      <c r="BM3463" s="9">
        <f t="shared" si="491"/>
        <v>3.06</v>
      </c>
      <c r="BN3463" s="9">
        <f t="shared" si="492"/>
        <v>338.83</v>
      </c>
      <c r="BO3463" s="9">
        <f t="shared" si="493"/>
        <v>0.76</v>
      </c>
      <c r="BP3463" s="9">
        <f t="shared" si="494"/>
        <v>0</v>
      </c>
    </row>
    <row r="3464" spans="1:68">
      <c r="A3464" s="6">
        <v>45177</v>
      </c>
      <c r="B3464" s="7">
        <v>3150</v>
      </c>
      <c r="C3464" s="8">
        <v>631.11</v>
      </c>
      <c r="D3464" s="8"/>
      <c r="E3464" s="8"/>
      <c r="F3464" s="8"/>
      <c r="G3464" s="8"/>
      <c r="H3464" s="8"/>
      <c r="I3464" s="8"/>
      <c r="J3464" s="8"/>
      <c r="K3464" s="8"/>
      <c r="L3464" s="8"/>
      <c r="M3464" s="8">
        <v>1.1399999999999999</v>
      </c>
      <c r="N3464" s="8"/>
      <c r="O3464" s="8"/>
      <c r="P3464" s="8"/>
      <c r="Q3464" s="11"/>
      <c r="R3464" s="11"/>
      <c r="S3464" s="8">
        <v>2.27</v>
      </c>
      <c r="T3464" s="8"/>
      <c r="U3464" s="8">
        <v>7.38</v>
      </c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11"/>
      <c r="AQ3464" s="8"/>
      <c r="AR3464" s="8"/>
      <c r="AS3464" s="8"/>
      <c r="AT3464" s="8">
        <v>352.26</v>
      </c>
      <c r="AU3464" s="8"/>
      <c r="AV3464" s="8"/>
      <c r="AW3464" s="8"/>
      <c r="AX3464" s="8"/>
      <c r="AY3464" s="8"/>
      <c r="AZ3464" s="8"/>
      <c r="BA3464" s="8"/>
      <c r="BB3464" s="8"/>
      <c r="BC3464" s="8">
        <v>0.88</v>
      </c>
      <c r="BD3464" s="8"/>
      <c r="BE3464" s="8"/>
      <c r="BF3464" s="8">
        <v>15.76</v>
      </c>
      <c r="BG3464" s="8">
        <v>25.26</v>
      </c>
      <c r="BH3464" s="9">
        <f t="shared" si="486"/>
        <v>631.11</v>
      </c>
      <c r="BI3464" s="9">
        <f t="shared" si="487"/>
        <v>1.1399999999999999</v>
      </c>
      <c r="BJ3464" s="9">
        <f t="shared" si="488"/>
        <v>2.27</v>
      </c>
      <c r="BK3464" s="9">
        <f t="shared" si="489"/>
        <v>7.38</v>
      </c>
      <c r="BL3464" s="9">
        <f t="shared" si="490"/>
        <v>0</v>
      </c>
      <c r="BM3464" s="9">
        <f t="shared" si="491"/>
        <v>0</v>
      </c>
      <c r="BN3464" s="9">
        <f t="shared" si="492"/>
        <v>352.26</v>
      </c>
      <c r="BO3464" s="9">
        <f t="shared" si="493"/>
        <v>0.88</v>
      </c>
      <c r="BP3464" s="9">
        <f t="shared" si="494"/>
        <v>15.76</v>
      </c>
    </row>
    <row r="3465" spans="1:68">
      <c r="A3465" s="6">
        <v>45177</v>
      </c>
      <c r="B3465" s="7">
        <v>3145</v>
      </c>
      <c r="C3465" s="8">
        <v>1822.1</v>
      </c>
      <c r="D3465" s="8">
        <v>321.20999999999998</v>
      </c>
      <c r="E3465" s="8"/>
      <c r="F3465" s="8"/>
      <c r="G3465" s="8"/>
      <c r="H3465" s="8"/>
      <c r="I3465" s="8"/>
      <c r="J3465" s="8"/>
      <c r="K3465" s="8"/>
      <c r="L3465" s="8"/>
      <c r="M3465" s="8">
        <v>6.21</v>
      </c>
      <c r="N3465" s="8"/>
      <c r="O3465" s="8"/>
      <c r="P3465" s="8"/>
      <c r="Q3465" s="11"/>
      <c r="R3465" s="11"/>
      <c r="S3465" s="8">
        <v>10.08</v>
      </c>
      <c r="T3465" s="8"/>
      <c r="U3465" s="8">
        <v>32.14</v>
      </c>
      <c r="V3465" s="8"/>
      <c r="W3465" s="8"/>
      <c r="X3465" s="8"/>
      <c r="Y3465" s="8"/>
      <c r="Z3465" s="8"/>
      <c r="AA3465" s="8"/>
      <c r="AB3465" s="8"/>
      <c r="AC3465" s="8">
        <v>8.57</v>
      </c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11"/>
      <c r="AQ3465" s="8"/>
      <c r="AR3465" s="8"/>
      <c r="AS3465" s="8"/>
      <c r="AT3465" s="8">
        <v>1417.17</v>
      </c>
      <c r="AU3465" s="8"/>
      <c r="AV3465" s="8"/>
      <c r="AW3465" s="8"/>
      <c r="AX3465" s="8"/>
      <c r="AY3465" s="8"/>
      <c r="AZ3465" s="8"/>
      <c r="BA3465" s="8"/>
      <c r="BB3465" s="8"/>
      <c r="BC3465" s="8"/>
      <c r="BD3465" s="8">
        <v>5.36</v>
      </c>
      <c r="BE3465" s="8">
        <f>1379*14.28/1000</f>
        <v>19.692119999999999</v>
      </c>
      <c r="BF3465" s="8">
        <v>149.94</v>
      </c>
      <c r="BG3465" s="8">
        <v>111.2</v>
      </c>
      <c r="BH3465" s="9">
        <f t="shared" si="486"/>
        <v>2143.31</v>
      </c>
      <c r="BI3465" s="9">
        <f t="shared" si="487"/>
        <v>6.21</v>
      </c>
      <c r="BJ3465" s="9">
        <f t="shared" si="488"/>
        <v>10.08</v>
      </c>
      <c r="BK3465" s="9">
        <f t="shared" si="489"/>
        <v>32.14</v>
      </c>
      <c r="BL3465" s="9">
        <f t="shared" si="490"/>
        <v>0</v>
      </c>
      <c r="BM3465" s="9">
        <f t="shared" si="491"/>
        <v>8.57</v>
      </c>
      <c r="BN3465" s="9">
        <f t="shared" si="492"/>
        <v>1417.17</v>
      </c>
      <c r="BO3465" s="9">
        <f t="shared" si="493"/>
        <v>25.052119999999999</v>
      </c>
      <c r="BP3465" s="9">
        <f t="shared" si="494"/>
        <v>149.94</v>
      </c>
    </row>
    <row r="3466" spans="1:68">
      <c r="A3466" s="6">
        <v>45177</v>
      </c>
      <c r="B3466" s="7">
        <v>3106</v>
      </c>
      <c r="C3466" s="8">
        <v>6087.42</v>
      </c>
      <c r="D3466" s="8"/>
      <c r="E3466" s="8"/>
      <c r="F3466" s="8"/>
      <c r="G3466" s="8"/>
      <c r="H3466" s="8"/>
      <c r="I3466" s="8"/>
      <c r="J3466" s="8"/>
      <c r="K3466" s="8"/>
      <c r="L3466" s="8"/>
      <c r="M3466" s="8">
        <v>16.39</v>
      </c>
      <c r="N3466" s="8"/>
      <c r="O3466" s="8"/>
      <c r="P3466" s="8"/>
      <c r="Q3466" s="11"/>
      <c r="R3466" s="11"/>
      <c r="S3466" s="8">
        <v>18.329999999999998</v>
      </c>
      <c r="T3466" s="8"/>
      <c r="U3466" s="8">
        <v>77.510000000000005</v>
      </c>
      <c r="V3466" s="8"/>
      <c r="W3466" s="8"/>
      <c r="X3466" s="8"/>
      <c r="Y3466" s="8"/>
      <c r="Z3466" s="8"/>
      <c r="AA3466" s="8"/>
      <c r="AB3466" s="8"/>
      <c r="AC3466" s="8">
        <v>15.23</v>
      </c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11"/>
      <c r="AQ3466" s="8"/>
      <c r="AR3466" s="8"/>
      <c r="AS3466" s="8"/>
      <c r="AT3466" s="8">
        <v>3470.18</v>
      </c>
      <c r="AU3466" s="8"/>
      <c r="AV3466" s="8"/>
      <c r="AW3466" s="8"/>
      <c r="AX3466" s="8">
        <v>7.62</v>
      </c>
      <c r="AY3466" s="8"/>
      <c r="AZ3466" s="8"/>
      <c r="BA3466" s="8"/>
      <c r="BB3466" s="8"/>
      <c r="BC3466" s="8"/>
      <c r="BD3466" s="8"/>
      <c r="BE3466" s="8"/>
      <c r="BF3466" s="8"/>
      <c r="BG3466" s="8">
        <v>261.85000000000002</v>
      </c>
      <c r="BH3466" s="9">
        <f t="shared" si="486"/>
        <v>6087.42</v>
      </c>
      <c r="BI3466" s="9">
        <f t="shared" si="487"/>
        <v>16.39</v>
      </c>
      <c r="BJ3466" s="9">
        <f t="shared" si="488"/>
        <v>18.329999999999998</v>
      </c>
      <c r="BK3466" s="9">
        <f t="shared" si="489"/>
        <v>77.510000000000005</v>
      </c>
      <c r="BL3466" s="9">
        <f t="shared" si="490"/>
        <v>0</v>
      </c>
      <c r="BM3466" s="9">
        <f t="shared" si="491"/>
        <v>15.23</v>
      </c>
      <c r="BN3466" s="9">
        <f t="shared" si="492"/>
        <v>3470.18</v>
      </c>
      <c r="BO3466" s="9">
        <f t="shared" si="493"/>
        <v>7.62</v>
      </c>
      <c r="BP3466" s="9">
        <f t="shared" si="494"/>
        <v>0</v>
      </c>
    </row>
    <row r="3467" spans="1:68">
      <c r="A3467" s="6">
        <v>45177</v>
      </c>
      <c r="B3467" s="7">
        <v>3200</v>
      </c>
      <c r="C3467" s="8">
        <v>2270.09</v>
      </c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>
        <v>5.69</v>
      </c>
      <c r="P3467" s="8"/>
      <c r="Q3467" s="11"/>
      <c r="R3467" s="11"/>
      <c r="S3467" s="8">
        <v>8.8699999999999992</v>
      </c>
      <c r="T3467" s="8"/>
      <c r="U3467" s="8">
        <v>34.049999999999997</v>
      </c>
      <c r="V3467" s="8"/>
      <c r="W3467" s="8"/>
      <c r="X3467" s="8"/>
      <c r="Y3467" s="8"/>
      <c r="Z3467" s="8">
        <v>477.34</v>
      </c>
      <c r="AA3467" s="8"/>
      <c r="AB3467" s="8"/>
      <c r="AC3467" s="8"/>
      <c r="AD3467" s="8"/>
      <c r="AE3467" s="8"/>
      <c r="AF3467" s="8">
        <v>113.09</v>
      </c>
      <c r="AG3467" s="8"/>
      <c r="AH3467" s="8"/>
      <c r="AI3467" s="8"/>
      <c r="AJ3467" s="8"/>
      <c r="AK3467" s="8"/>
      <c r="AL3467" s="8"/>
      <c r="AM3467" s="8"/>
      <c r="AN3467" s="8"/>
      <c r="AO3467" s="8"/>
      <c r="AP3467" s="11"/>
      <c r="AQ3467" s="8">
        <f>1532*22.7/1000</f>
        <v>34.776400000000002</v>
      </c>
      <c r="AR3467" s="8"/>
      <c r="AS3467" s="8"/>
      <c r="AT3467" s="8">
        <v>1555.6</v>
      </c>
      <c r="AU3467" s="8"/>
      <c r="AV3467" s="8"/>
      <c r="AW3467" s="8">
        <v>6.7</v>
      </c>
      <c r="AX3467" s="8"/>
      <c r="AY3467" s="8"/>
      <c r="AZ3467" s="8"/>
      <c r="BA3467" s="8"/>
      <c r="BB3467" s="8"/>
      <c r="BC3467" s="8"/>
      <c r="BD3467" s="8"/>
      <c r="BE3467" s="8"/>
      <c r="BF3467" s="8">
        <v>108.99</v>
      </c>
      <c r="BG3467" s="8">
        <v>112.49</v>
      </c>
      <c r="BH3467" s="9">
        <f t="shared" si="486"/>
        <v>2270.09</v>
      </c>
      <c r="BI3467" s="9">
        <f t="shared" si="487"/>
        <v>5.69</v>
      </c>
      <c r="BJ3467" s="9">
        <f t="shared" si="488"/>
        <v>8.8699999999999992</v>
      </c>
      <c r="BK3467" s="9">
        <f t="shared" si="489"/>
        <v>34.049999999999997</v>
      </c>
      <c r="BL3467" s="9">
        <f t="shared" si="490"/>
        <v>477.34</v>
      </c>
      <c r="BM3467" s="9">
        <f t="shared" si="491"/>
        <v>147.8664</v>
      </c>
      <c r="BN3467" s="9">
        <f t="shared" si="492"/>
        <v>1555.6</v>
      </c>
      <c r="BO3467" s="9">
        <f t="shared" si="493"/>
        <v>6.7</v>
      </c>
      <c r="BP3467" s="9">
        <f t="shared" si="494"/>
        <v>108.99</v>
      </c>
    </row>
    <row r="3468" spans="1:68">
      <c r="A3468" s="6">
        <v>45177</v>
      </c>
      <c r="B3468" s="7">
        <v>3029</v>
      </c>
      <c r="C3468" s="8"/>
      <c r="D3468" s="8">
        <v>686.6</v>
      </c>
      <c r="E3468" s="8"/>
      <c r="F3468" s="8">
        <v>483.61</v>
      </c>
      <c r="G3468" s="8"/>
      <c r="H3468" s="8"/>
      <c r="I3468" s="8">
        <v>2861.8</v>
      </c>
      <c r="J3468" s="8"/>
      <c r="K3468" s="8"/>
      <c r="L3468" s="8"/>
      <c r="M3468" s="8"/>
      <c r="N3468" s="8">
        <v>31.89</v>
      </c>
      <c r="O3468" s="8"/>
      <c r="P3468" s="8"/>
      <c r="Q3468" s="11"/>
      <c r="R3468" s="11"/>
      <c r="S3468" s="8">
        <v>2.41</v>
      </c>
      <c r="T3468" s="8"/>
      <c r="U3468" s="8"/>
      <c r="V3468" s="8"/>
      <c r="W3468" s="8">
        <v>40.39</v>
      </c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>
        <v>14.04</v>
      </c>
      <c r="AN3468" s="8">
        <f>766*26.9/1000</f>
        <v>20.605399999999999</v>
      </c>
      <c r="AO3468" s="8"/>
      <c r="AP3468" s="11"/>
      <c r="AQ3468" s="8"/>
      <c r="AR3468" s="8">
        <f>4566*26.9/1000</f>
        <v>122.82539999999999</v>
      </c>
      <c r="AS3468" s="8"/>
      <c r="AT3468" s="8">
        <v>1532.76</v>
      </c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>
        <v>106.68</v>
      </c>
      <c r="BH3468" s="9">
        <f t="shared" si="486"/>
        <v>4032.01</v>
      </c>
      <c r="BI3468" s="9">
        <f t="shared" si="487"/>
        <v>31.89</v>
      </c>
      <c r="BJ3468" s="9">
        <f t="shared" si="488"/>
        <v>2.41</v>
      </c>
      <c r="BK3468" s="9">
        <f t="shared" si="489"/>
        <v>40.39</v>
      </c>
      <c r="BL3468" s="9">
        <f t="shared" si="490"/>
        <v>0</v>
      </c>
      <c r="BM3468" s="9">
        <f t="shared" si="491"/>
        <v>157.4708</v>
      </c>
      <c r="BN3468" s="9">
        <f t="shared" si="492"/>
        <v>1532.76</v>
      </c>
      <c r="BO3468" s="9">
        <f t="shared" si="493"/>
        <v>0</v>
      </c>
      <c r="BP3468" s="9">
        <f t="shared" si="494"/>
        <v>0</v>
      </c>
    </row>
    <row r="3469" spans="1:68">
      <c r="A3469" s="6">
        <v>45177</v>
      </c>
      <c r="B3469" s="7">
        <v>3022</v>
      </c>
      <c r="C3469" s="8"/>
      <c r="D3469" s="8">
        <v>1097.3699999999999</v>
      </c>
      <c r="E3469" s="8"/>
      <c r="F3469" s="8"/>
      <c r="G3469" s="8"/>
      <c r="H3469" s="8"/>
      <c r="I3469" s="8">
        <v>898.45</v>
      </c>
      <c r="J3469" s="8"/>
      <c r="K3469" s="8"/>
      <c r="L3469" s="8"/>
      <c r="M3469" s="8"/>
      <c r="N3469" s="8">
        <v>9.9700000000000006</v>
      </c>
      <c r="O3469" s="8"/>
      <c r="P3469" s="8"/>
      <c r="Q3469" s="11"/>
      <c r="R3469" s="11"/>
      <c r="S3469" s="8">
        <v>3.59</v>
      </c>
      <c r="T3469" s="8"/>
      <c r="U3469" s="8"/>
      <c r="V3469" s="8"/>
      <c r="W3469" s="8">
        <v>19.96</v>
      </c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>
        <v>25.89</v>
      </c>
      <c r="AN3469" s="8"/>
      <c r="AO3469" s="8"/>
      <c r="AP3469" s="11"/>
      <c r="AQ3469" s="8"/>
      <c r="AR3469" s="8"/>
      <c r="AS3469" s="8">
        <f>3864*18.13/1000</f>
        <v>70.05431999999999</v>
      </c>
      <c r="AT3469" s="8">
        <v>933.65</v>
      </c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>
        <v>71.77</v>
      </c>
      <c r="BH3469" s="9">
        <f t="shared" si="486"/>
        <v>1995.82</v>
      </c>
      <c r="BI3469" s="9">
        <f t="shared" si="487"/>
        <v>9.9700000000000006</v>
      </c>
      <c r="BJ3469" s="9">
        <f t="shared" si="488"/>
        <v>3.59</v>
      </c>
      <c r="BK3469" s="9">
        <f t="shared" si="489"/>
        <v>19.96</v>
      </c>
      <c r="BL3469" s="9">
        <f t="shared" si="490"/>
        <v>0</v>
      </c>
      <c r="BM3469" s="9">
        <f t="shared" si="491"/>
        <v>95.944319999999991</v>
      </c>
      <c r="BN3469" s="9">
        <f t="shared" si="492"/>
        <v>933.65</v>
      </c>
      <c r="BO3469" s="9">
        <f t="shared" si="493"/>
        <v>0</v>
      </c>
      <c r="BP3469" s="9">
        <f t="shared" si="494"/>
        <v>0</v>
      </c>
    </row>
    <row r="3470" spans="1:68">
      <c r="A3470" s="6">
        <v>45177</v>
      </c>
      <c r="B3470" s="7">
        <v>3027</v>
      </c>
      <c r="C3470" s="8"/>
      <c r="D3470" s="8">
        <v>540.13</v>
      </c>
      <c r="E3470" s="8"/>
      <c r="F3470" s="8"/>
      <c r="G3470" s="8"/>
      <c r="H3470" s="8"/>
      <c r="I3470" s="8">
        <v>441.79</v>
      </c>
      <c r="J3470" s="8"/>
      <c r="K3470" s="8"/>
      <c r="L3470" s="8"/>
      <c r="M3470" s="8"/>
      <c r="N3470" s="8">
        <v>5.59</v>
      </c>
      <c r="O3470" s="8"/>
      <c r="P3470" s="8"/>
      <c r="Q3470" s="11"/>
      <c r="R3470" s="11"/>
      <c r="S3470" s="8">
        <v>1.57</v>
      </c>
      <c r="T3470" s="8"/>
      <c r="U3470" s="8"/>
      <c r="V3470" s="8"/>
      <c r="W3470" s="8">
        <v>7.37</v>
      </c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>
        <v>9.83</v>
      </c>
      <c r="AN3470" s="8">
        <f>1238*5.62/1000</f>
        <v>6.95756</v>
      </c>
      <c r="AO3470" s="8"/>
      <c r="AP3470" s="11"/>
      <c r="AQ3470" s="8"/>
      <c r="AR3470" s="8"/>
      <c r="AS3470" s="8">
        <f>5794*5.62/1000</f>
        <v>32.562280000000001</v>
      </c>
      <c r="AT3470" s="8">
        <v>327.25</v>
      </c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>
        <v>23.02</v>
      </c>
      <c r="BH3470" s="9">
        <f t="shared" si="486"/>
        <v>981.92000000000007</v>
      </c>
      <c r="BI3470" s="9">
        <f t="shared" si="487"/>
        <v>5.59</v>
      </c>
      <c r="BJ3470" s="9">
        <f t="shared" si="488"/>
        <v>1.57</v>
      </c>
      <c r="BK3470" s="9">
        <f t="shared" si="489"/>
        <v>7.37</v>
      </c>
      <c r="BL3470" s="9">
        <f t="shared" si="490"/>
        <v>0</v>
      </c>
      <c r="BM3470" s="9">
        <f t="shared" si="491"/>
        <v>49.34984</v>
      </c>
      <c r="BN3470" s="9">
        <f t="shared" si="492"/>
        <v>327.25</v>
      </c>
      <c r="BO3470" s="9">
        <f t="shared" si="493"/>
        <v>0</v>
      </c>
      <c r="BP3470" s="9">
        <f t="shared" si="494"/>
        <v>0</v>
      </c>
    </row>
    <row r="3471" spans="1:68">
      <c r="A3471" s="6">
        <v>45177</v>
      </c>
      <c r="B3471" s="7">
        <v>3023</v>
      </c>
      <c r="C3471" s="8"/>
      <c r="D3471" s="8">
        <v>882.02</v>
      </c>
      <c r="E3471" s="8"/>
      <c r="F3471" s="8"/>
      <c r="G3471" s="8"/>
      <c r="H3471" s="8"/>
      <c r="I3471" s="8">
        <v>476.17</v>
      </c>
      <c r="J3471" s="8"/>
      <c r="K3471" s="8"/>
      <c r="L3471" s="8"/>
      <c r="M3471" s="8"/>
      <c r="N3471" s="8">
        <v>7.61</v>
      </c>
      <c r="O3471" s="8"/>
      <c r="P3471" s="8"/>
      <c r="Q3471" s="11"/>
      <c r="R3471" s="11"/>
      <c r="S3471" s="8">
        <v>2.17</v>
      </c>
      <c r="T3471" s="8"/>
      <c r="U3471" s="8"/>
      <c r="V3471" s="8"/>
      <c r="W3471" s="8">
        <v>12.24</v>
      </c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>
        <v>13.59</v>
      </c>
      <c r="AN3471" s="8">
        <f>1026*9.37/1000</f>
        <v>9.6136199999999992</v>
      </c>
      <c r="AO3471" s="8"/>
      <c r="AP3471" s="11"/>
      <c r="AQ3471" s="8"/>
      <c r="AR3471" s="8"/>
      <c r="AS3471" s="8">
        <f>4799*9.37/1000</f>
        <v>44.966629999999995</v>
      </c>
      <c r="AT3471" s="8">
        <v>558.29</v>
      </c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>
        <v>42.09</v>
      </c>
      <c r="BH3471" s="9">
        <f t="shared" si="486"/>
        <v>1358.19</v>
      </c>
      <c r="BI3471" s="9">
        <f t="shared" si="487"/>
        <v>7.61</v>
      </c>
      <c r="BJ3471" s="9">
        <f t="shared" si="488"/>
        <v>2.17</v>
      </c>
      <c r="BK3471" s="9">
        <f t="shared" si="489"/>
        <v>12.24</v>
      </c>
      <c r="BL3471" s="9">
        <f t="shared" si="490"/>
        <v>0</v>
      </c>
      <c r="BM3471" s="9">
        <f t="shared" si="491"/>
        <v>68.170249999999996</v>
      </c>
      <c r="BN3471" s="9">
        <f t="shared" si="492"/>
        <v>558.29</v>
      </c>
      <c r="BO3471" s="9">
        <f t="shared" si="493"/>
        <v>0</v>
      </c>
      <c r="BP3471" s="9">
        <f t="shared" si="494"/>
        <v>0</v>
      </c>
    </row>
    <row r="3472" spans="1:68">
      <c r="A3472" s="6">
        <v>45180</v>
      </c>
      <c r="B3472" s="7">
        <v>3141</v>
      </c>
      <c r="C3472" s="8">
        <v>3561.28</v>
      </c>
      <c r="D3472" s="8">
        <v>628.75</v>
      </c>
      <c r="E3472" s="8"/>
      <c r="F3472" s="8"/>
      <c r="G3472" s="8"/>
      <c r="H3472" s="8"/>
      <c r="I3472" s="8"/>
      <c r="J3472" s="8"/>
      <c r="K3472" s="8"/>
      <c r="L3472" s="8"/>
      <c r="M3472" s="8">
        <v>12.15</v>
      </c>
      <c r="N3472" s="8"/>
      <c r="O3472" s="8"/>
      <c r="P3472" s="8"/>
      <c r="Q3472" s="11"/>
      <c r="R3472" s="11"/>
      <c r="S3472" s="8">
        <v>19.72</v>
      </c>
      <c r="T3472" s="8"/>
      <c r="U3472" s="8">
        <v>62.91</v>
      </c>
      <c r="V3472" s="8"/>
      <c r="W3472" s="8"/>
      <c r="X3472" s="8"/>
      <c r="Y3472" s="8"/>
      <c r="Z3472" s="8"/>
      <c r="AA3472" s="8"/>
      <c r="AB3472" s="8"/>
      <c r="AC3472" s="8">
        <v>16.79</v>
      </c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11"/>
      <c r="AQ3472" s="8"/>
      <c r="AR3472" s="8"/>
      <c r="AS3472" s="8"/>
      <c r="AT3472" s="8">
        <v>2766.11</v>
      </c>
      <c r="AU3472" s="8"/>
      <c r="AV3472" s="8"/>
      <c r="AW3472" s="8"/>
      <c r="AX3472" s="8"/>
      <c r="AY3472" s="8"/>
      <c r="AZ3472" s="8"/>
      <c r="BA3472" s="8">
        <v>96.12</v>
      </c>
      <c r="BB3472" s="8"/>
      <c r="BC3472" s="8"/>
      <c r="BD3472" s="8"/>
      <c r="BE3472" s="8"/>
      <c r="BF3472" s="8">
        <v>293.39</v>
      </c>
      <c r="BG3472" s="8">
        <v>218.05</v>
      </c>
      <c r="BH3472" s="9">
        <f t="shared" si="486"/>
        <v>4190.0300000000007</v>
      </c>
      <c r="BI3472" s="9">
        <f t="shared" si="487"/>
        <v>12.15</v>
      </c>
      <c r="BJ3472" s="9">
        <f t="shared" si="488"/>
        <v>19.72</v>
      </c>
      <c r="BK3472" s="9">
        <f t="shared" si="489"/>
        <v>62.91</v>
      </c>
      <c r="BL3472" s="9">
        <f t="shared" si="490"/>
        <v>0</v>
      </c>
      <c r="BM3472" s="9">
        <f t="shared" si="491"/>
        <v>16.79</v>
      </c>
      <c r="BN3472" s="9">
        <f t="shared" si="492"/>
        <v>2766.11</v>
      </c>
      <c r="BO3472" s="9">
        <f t="shared" si="493"/>
        <v>96.12</v>
      </c>
      <c r="BP3472" s="9">
        <f t="shared" si="494"/>
        <v>293.39</v>
      </c>
    </row>
    <row r="3473" spans="1:68">
      <c r="A3473" s="6">
        <v>45180</v>
      </c>
      <c r="B3473" s="7">
        <v>3083</v>
      </c>
      <c r="C3473" s="8"/>
      <c r="D3473" s="8">
        <v>1082.72</v>
      </c>
      <c r="E3473" s="8"/>
      <c r="F3473" s="8"/>
      <c r="G3473" s="8"/>
      <c r="H3473" s="8"/>
      <c r="I3473" s="8">
        <v>2525.73</v>
      </c>
      <c r="J3473" s="8"/>
      <c r="K3473" s="8"/>
      <c r="L3473" s="8"/>
      <c r="M3473" s="8"/>
      <c r="N3473" s="8">
        <v>23.45</v>
      </c>
      <c r="O3473" s="8"/>
      <c r="P3473" s="8"/>
      <c r="Q3473" s="11"/>
      <c r="R3473" s="11"/>
      <c r="S3473" s="8">
        <v>2.5299999999999998</v>
      </c>
      <c r="T3473" s="8"/>
      <c r="U3473" s="8"/>
      <c r="V3473" s="8"/>
      <c r="W3473" s="8">
        <v>28.89</v>
      </c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>
        <v>14.35</v>
      </c>
      <c r="AN3473" s="8">
        <f>1835*26.73/1000</f>
        <v>49.049550000000004</v>
      </c>
      <c r="AO3473" s="8"/>
      <c r="AP3473" s="11"/>
      <c r="AQ3473" s="8"/>
      <c r="AR3473" s="8">
        <f>3375*26.73/1000</f>
        <v>90.213750000000005</v>
      </c>
      <c r="AS3473" s="8"/>
      <c r="AT3473" s="8">
        <v>1697.79</v>
      </c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>
        <v>134.49</v>
      </c>
      <c r="BH3473" s="9">
        <f t="shared" si="486"/>
        <v>3608.45</v>
      </c>
      <c r="BI3473" s="9">
        <f t="shared" si="487"/>
        <v>23.45</v>
      </c>
      <c r="BJ3473" s="9">
        <f t="shared" si="488"/>
        <v>2.5299999999999998</v>
      </c>
      <c r="BK3473" s="9">
        <f t="shared" si="489"/>
        <v>28.89</v>
      </c>
      <c r="BL3473" s="9">
        <f t="shared" si="490"/>
        <v>0</v>
      </c>
      <c r="BM3473" s="9">
        <f t="shared" si="491"/>
        <v>153.61330000000001</v>
      </c>
      <c r="BN3473" s="9">
        <f t="shared" si="492"/>
        <v>1697.79</v>
      </c>
      <c r="BO3473" s="9">
        <f t="shared" si="493"/>
        <v>0</v>
      </c>
      <c r="BP3473" s="9">
        <f t="shared" si="494"/>
        <v>0</v>
      </c>
    </row>
    <row r="3474" spans="1:68">
      <c r="A3474" s="6">
        <v>45180</v>
      </c>
      <c r="B3474" s="7">
        <v>3016</v>
      </c>
      <c r="C3474" s="8"/>
      <c r="D3474" s="8">
        <v>1614.15</v>
      </c>
      <c r="E3474" s="8"/>
      <c r="F3474" s="8"/>
      <c r="G3474" s="8"/>
      <c r="H3474" s="8"/>
      <c r="I3474" s="8">
        <v>1490.24</v>
      </c>
      <c r="J3474" s="8"/>
      <c r="K3474" s="8"/>
      <c r="L3474" s="8"/>
      <c r="M3474" s="8"/>
      <c r="N3474" s="8">
        <v>19.239999999999998</v>
      </c>
      <c r="O3474" s="8"/>
      <c r="P3474" s="8"/>
      <c r="Q3474" s="11"/>
      <c r="R3474" s="11"/>
      <c r="S3474" s="8">
        <v>2.17</v>
      </c>
      <c r="T3474" s="8"/>
      <c r="U3474" s="8"/>
      <c r="V3474" s="8"/>
      <c r="W3474" s="8">
        <v>31.06</v>
      </c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>
        <v>12.32</v>
      </c>
      <c r="AN3474" s="8">
        <f>2052*18.27/1000</f>
        <v>37.49004</v>
      </c>
      <c r="AO3474" s="8"/>
      <c r="AP3474" s="11"/>
      <c r="AQ3474" s="8"/>
      <c r="AR3474" s="8">
        <f>4269*18.27/1000</f>
        <v>77.994630000000001</v>
      </c>
      <c r="AS3474" s="8"/>
      <c r="AT3474" s="8">
        <v>1152.0999999999999</v>
      </c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>
        <v>84.83</v>
      </c>
      <c r="BH3474" s="9">
        <f t="shared" si="486"/>
        <v>3104.3900000000003</v>
      </c>
      <c r="BI3474" s="9">
        <f t="shared" si="487"/>
        <v>19.239999999999998</v>
      </c>
      <c r="BJ3474" s="9">
        <f t="shared" si="488"/>
        <v>2.17</v>
      </c>
      <c r="BK3474" s="9">
        <f t="shared" si="489"/>
        <v>31.06</v>
      </c>
      <c r="BL3474" s="9">
        <f t="shared" si="490"/>
        <v>0</v>
      </c>
      <c r="BM3474" s="9">
        <f t="shared" si="491"/>
        <v>127.80467</v>
      </c>
      <c r="BN3474" s="9">
        <f t="shared" si="492"/>
        <v>1152.0999999999999</v>
      </c>
      <c r="BO3474" s="9">
        <f t="shared" si="493"/>
        <v>0</v>
      </c>
      <c r="BP3474" s="9">
        <f t="shared" si="494"/>
        <v>0</v>
      </c>
    </row>
    <row r="3475" spans="1:68">
      <c r="A3475" s="6">
        <v>45180</v>
      </c>
      <c r="B3475" s="7">
        <v>3204</v>
      </c>
      <c r="C3475" s="8"/>
      <c r="D3475" s="8">
        <v>963.02</v>
      </c>
      <c r="E3475" s="8">
        <v>409.85</v>
      </c>
      <c r="F3475" s="8"/>
      <c r="G3475" s="8"/>
      <c r="H3475" s="8"/>
      <c r="I3475" s="8"/>
      <c r="J3475" s="8"/>
      <c r="K3475" s="8"/>
      <c r="L3475" s="8"/>
      <c r="M3475" s="8"/>
      <c r="N3475" s="8"/>
      <c r="O3475" s="8">
        <v>6.86</v>
      </c>
      <c r="P3475" s="8"/>
      <c r="Q3475" s="11"/>
      <c r="R3475" s="11"/>
      <c r="S3475" s="8">
        <v>4.67</v>
      </c>
      <c r="T3475" s="8"/>
      <c r="U3475" s="8">
        <v>15.15</v>
      </c>
      <c r="V3475" s="8"/>
      <c r="W3475" s="8"/>
      <c r="X3475" s="8"/>
      <c r="Y3475" s="8"/>
      <c r="Z3475" s="8">
        <v>206.38</v>
      </c>
      <c r="AA3475" s="8"/>
      <c r="AB3475" s="8">
        <f>718*9.8/1000</f>
        <v>7.0364000000000004</v>
      </c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11"/>
      <c r="AQ3475" s="8"/>
      <c r="AR3475" s="8"/>
      <c r="AS3475" s="8"/>
      <c r="AT3475" s="8">
        <v>601.11</v>
      </c>
      <c r="AU3475" s="8"/>
      <c r="AV3475" s="8"/>
      <c r="AW3475" s="8">
        <v>4.41</v>
      </c>
      <c r="AX3475" s="8"/>
      <c r="AY3475" s="8"/>
      <c r="AZ3475" s="8"/>
      <c r="BA3475" s="8"/>
      <c r="BB3475" s="8"/>
      <c r="BC3475" s="8"/>
      <c r="BD3475" s="8"/>
      <c r="BE3475" s="8"/>
      <c r="BF3475" s="8"/>
      <c r="BG3475" s="8">
        <v>44.69</v>
      </c>
      <c r="BH3475" s="9">
        <f t="shared" si="486"/>
        <v>1372.87</v>
      </c>
      <c r="BI3475" s="9">
        <f t="shared" si="487"/>
        <v>6.86</v>
      </c>
      <c r="BJ3475" s="9">
        <f t="shared" si="488"/>
        <v>4.67</v>
      </c>
      <c r="BK3475" s="9">
        <f t="shared" si="489"/>
        <v>15.15</v>
      </c>
      <c r="BL3475" s="9">
        <f t="shared" si="490"/>
        <v>206.38</v>
      </c>
      <c r="BM3475" s="9">
        <f t="shared" si="491"/>
        <v>7.0364000000000004</v>
      </c>
      <c r="BN3475" s="9">
        <f t="shared" si="492"/>
        <v>601.11</v>
      </c>
      <c r="BO3475" s="9">
        <f t="shared" si="493"/>
        <v>4.41</v>
      </c>
      <c r="BP3475" s="9">
        <f t="shared" si="494"/>
        <v>0</v>
      </c>
    </row>
    <row r="3476" spans="1:68">
      <c r="A3476" s="6">
        <v>45180</v>
      </c>
      <c r="B3476" s="7">
        <v>3117</v>
      </c>
      <c r="C3476" s="8">
        <v>1551.71</v>
      </c>
      <c r="D3476" s="8"/>
      <c r="E3476" s="8"/>
      <c r="F3476" s="8"/>
      <c r="G3476" s="8"/>
      <c r="H3476" s="8"/>
      <c r="I3476" s="8"/>
      <c r="J3476" s="8"/>
      <c r="K3476" s="8"/>
      <c r="L3476" s="8"/>
      <c r="M3476" s="8">
        <v>4.49</v>
      </c>
      <c r="N3476" s="8"/>
      <c r="O3476" s="8"/>
      <c r="P3476" s="8"/>
      <c r="Q3476" s="11"/>
      <c r="R3476" s="11"/>
      <c r="S3476" s="8">
        <v>6.21</v>
      </c>
      <c r="T3476" s="8"/>
      <c r="U3476" s="8">
        <v>15.55</v>
      </c>
      <c r="V3476" s="8"/>
      <c r="W3476" s="8"/>
      <c r="X3476" s="8"/>
      <c r="Y3476" s="8"/>
      <c r="Z3476" s="8"/>
      <c r="AA3476" s="8"/>
      <c r="AB3476" s="8"/>
      <c r="AC3476" s="8">
        <v>6.21</v>
      </c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11"/>
      <c r="AQ3476" s="8"/>
      <c r="AR3476" s="8"/>
      <c r="AS3476" s="8"/>
      <c r="AT3476" s="8">
        <v>978.3</v>
      </c>
      <c r="AU3476" s="8"/>
      <c r="AV3476" s="8">
        <v>38.71</v>
      </c>
      <c r="AW3476" s="8"/>
      <c r="AX3476" s="8"/>
      <c r="AY3476" s="8"/>
      <c r="AZ3476" s="8"/>
      <c r="BA3476" s="8"/>
      <c r="BB3476" s="8"/>
      <c r="BC3476" s="8"/>
      <c r="BD3476" s="8"/>
      <c r="BE3476" s="8"/>
      <c r="BF3476" s="8">
        <v>77.7</v>
      </c>
      <c r="BG3476" s="8">
        <v>74.61</v>
      </c>
      <c r="BH3476" s="9">
        <f t="shared" si="486"/>
        <v>1551.71</v>
      </c>
      <c r="BI3476" s="9">
        <f t="shared" si="487"/>
        <v>4.49</v>
      </c>
      <c r="BJ3476" s="9">
        <f t="shared" si="488"/>
        <v>6.21</v>
      </c>
      <c r="BK3476" s="9">
        <f t="shared" si="489"/>
        <v>15.55</v>
      </c>
      <c r="BL3476" s="9">
        <f t="shared" si="490"/>
        <v>0</v>
      </c>
      <c r="BM3476" s="9">
        <f t="shared" si="491"/>
        <v>6.21</v>
      </c>
      <c r="BN3476" s="9">
        <f t="shared" si="492"/>
        <v>978.3</v>
      </c>
      <c r="BO3476" s="9">
        <f t="shared" si="493"/>
        <v>38.71</v>
      </c>
      <c r="BP3476" s="9">
        <f t="shared" si="494"/>
        <v>77.7</v>
      </c>
    </row>
    <row r="3477" spans="1:68">
      <c r="A3477" s="6">
        <v>45180</v>
      </c>
      <c r="B3477" s="7">
        <v>3206</v>
      </c>
      <c r="C3477" s="8">
        <v>142.22999999999999</v>
      </c>
      <c r="D3477" s="8">
        <v>250.8</v>
      </c>
      <c r="E3477" s="8">
        <v>168.19</v>
      </c>
      <c r="F3477" s="8"/>
      <c r="G3477" s="8"/>
      <c r="H3477" s="8"/>
      <c r="I3477" s="8"/>
      <c r="J3477" s="8"/>
      <c r="K3477" s="8"/>
      <c r="L3477" s="8"/>
      <c r="M3477" s="8"/>
      <c r="N3477" s="8"/>
      <c r="O3477" s="8">
        <v>1.1100000000000001</v>
      </c>
      <c r="P3477" s="8"/>
      <c r="Q3477" s="11"/>
      <c r="R3477" s="11"/>
      <c r="S3477" s="8">
        <v>2.78</v>
      </c>
      <c r="T3477" s="8"/>
      <c r="U3477" s="8">
        <v>1.95</v>
      </c>
      <c r="V3477" s="8"/>
      <c r="W3477" s="8"/>
      <c r="X3477" s="8"/>
      <c r="Y3477" s="8"/>
      <c r="Z3477" s="8">
        <v>33.44</v>
      </c>
      <c r="AA3477" s="8"/>
      <c r="AB3477" s="8">
        <f>815*3.47/1000</f>
        <v>2.8280500000000002</v>
      </c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11"/>
      <c r="AQ3477" s="8"/>
      <c r="AR3477" s="8"/>
      <c r="AS3477" s="8"/>
      <c r="AT3477" s="8">
        <v>97.6</v>
      </c>
      <c r="AU3477" s="8">
        <v>48.51</v>
      </c>
      <c r="AV3477" s="8"/>
      <c r="AW3477" s="8">
        <v>2.12</v>
      </c>
      <c r="AX3477" s="8"/>
      <c r="AY3477" s="8"/>
      <c r="AZ3477" s="8"/>
      <c r="BA3477" s="8"/>
      <c r="BB3477" s="8"/>
      <c r="BC3477" s="8"/>
      <c r="BD3477" s="8"/>
      <c r="BE3477" s="8"/>
      <c r="BF3477" s="8"/>
      <c r="BG3477" s="8">
        <v>9.81</v>
      </c>
      <c r="BH3477" s="9">
        <f t="shared" si="486"/>
        <v>561.22</v>
      </c>
      <c r="BI3477" s="9">
        <f t="shared" si="487"/>
        <v>1.1100000000000001</v>
      </c>
      <c r="BJ3477" s="9">
        <f t="shared" si="488"/>
        <v>2.78</v>
      </c>
      <c r="BK3477" s="9">
        <f t="shared" si="489"/>
        <v>1.95</v>
      </c>
      <c r="BL3477" s="9">
        <f t="shared" si="490"/>
        <v>33.44</v>
      </c>
      <c r="BM3477" s="9">
        <f t="shared" si="491"/>
        <v>2.8280500000000002</v>
      </c>
      <c r="BN3477" s="9">
        <f t="shared" si="492"/>
        <v>146.10999999999999</v>
      </c>
      <c r="BO3477" s="9">
        <f t="shared" si="493"/>
        <v>2.12</v>
      </c>
      <c r="BP3477" s="9">
        <f t="shared" si="494"/>
        <v>0</v>
      </c>
    </row>
    <row r="3478" spans="1:68">
      <c r="A3478" s="6">
        <v>45181</v>
      </c>
      <c r="B3478" s="7">
        <v>3602</v>
      </c>
      <c r="C3478" s="8">
        <v>563.32000000000005</v>
      </c>
      <c r="D3478" s="8"/>
      <c r="E3478" s="8"/>
      <c r="F3478" s="8"/>
      <c r="G3478" s="8">
        <v>844.61</v>
      </c>
      <c r="H3478" s="8"/>
      <c r="I3478" s="8"/>
      <c r="J3478" s="8"/>
      <c r="K3478" s="8"/>
      <c r="L3478" s="8"/>
      <c r="M3478" s="8">
        <v>1.71</v>
      </c>
      <c r="N3478" s="8"/>
      <c r="O3478" s="8"/>
      <c r="P3478" s="8"/>
      <c r="Q3478" s="11"/>
      <c r="R3478" s="11"/>
      <c r="S3478" s="8">
        <v>6.76</v>
      </c>
      <c r="T3478" s="8"/>
      <c r="U3478" s="8">
        <v>11.27</v>
      </c>
      <c r="V3478" s="8">
        <f>861*16.1/1000</f>
        <v>13.8621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11"/>
      <c r="AQ3478" s="8"/>
      <c r="AR3478" s="8"/>
      <c r="AS3478" s="8"/>
      <c r="AT3478" s="8">
        <v>569.16999999999996</v>
      </c>
      <c r="AU3478" s="8"/>
      <c r="AV3478" s="8"/>
      <c r="AW3478" s="8">
        <v>36.43</v>
      </c>
      <c r="AX3478" s="8"/>
      <c r="AY3478" s="8"/>
      <c r="AZ3478" s="8"/>
      <c r="BA3478" s="8"/>
      <c r="BB3478" s="8"/>
      <c r="BC3478" s="8"/>
      <c r="BD3478" s="8"/>
      <c r="BE3478" s="8"/>
      <c r="BF3478" s="8">
        <v>45.12</v>
      </c>
      <c r="BG3478" s="8">
        <v>42.12</v>
      </c>
      <c r="BH3478" s="9">
        <f t="shared" si="486"/>
        <v>1407.93</v>
      </c>
      <c r="BI3478" s="9">
        <f t="shared" si="487"/>
        <v>1.71</v>
      </c>
      <c r="BJ3478" s="9">
        <f t="shared" si="488"/>
        <v>6.76</v>
      </c>
      <c r="BK3478" s="9">
        <f t="shared" si="489"/>
        <v>25.132100000000001</v>
      </c>
      <c r="BL3478" s="9">
        <f t="shared" si="490"/>
        <v>0</v>
      </c>
      <c r="BM3478" s="9">
        <f t="shared" si="491"/>
        <v>0</v>
      </c>
      <c r="BN3478" s="9">
        <f t="shared" si="492"/>
        <v>569.16999999999996</v>
      </c>
      <c r="BO3478" s="9">
        <f t="shared" si="493"/>
        <v>36.43</v>
      </c>
      <c r="BP3478" s="9">
        <f t="shared" si="494"/>
        <v>45.12</v>
      </c>
    </row>
    <row r="3479" spans="1:68">
      <c r="A3479" s="6">
        <v>45181</v>
      </c>
      <c r="B3479" s="7">
        <v>8290</v>
      </c>
      <c r="C3479" s="8">
        <v>407.43</v>
      </c>
      <c r="D3479" s="8">
        <v>406.92</v>
      </c>
      <c r="E3479" s="8"/>
      <c r="F3479" s="8"/>
      <c r="G3479" s="8"/>
      <c r="H3479" s="8"/>
      <c r="I3479" s="8"/>
      <c r="J3479" s="8"/>
      <c r="K3479" s="8"/>
      <c r="L3479" s="8"/>
      <c r="M3479" s="8">
        <v>2.38</v>
      </c>
      <c r="N3479" s="8"/>
      <c r="O3479" s="8"/>
      <c r="P3479" s="8"/>
      <c r="Q3479" s="11"/>
      <c r="R3479" s="11"/>
      <c r="S3479" s="8">
        <v>4.08</v>
      </c>
      <c r="T3479" s="8"/>
      <c r="U3479" s="8">
        <v>13.05</v>
      </c>
      <c r="V3479" s="8"/>
      <c r="W3479" s="8"/>
      <c r="X3479" s="8"/>
      <c r="Y3479" s="8"/>
      <c r="Z3479" s="8"/>
      <c r="AA3479" s="8"/>
      <c r="AB3479" s="8"/>
      <c r="AC3479" s="8">
        <v>3.26</v>
      </c>
      <c r="AD3479" s="8"/>
      <c r="AE3479" s="8"/>
      <c r="AF3479" s="8"/>
      <c r="AG3479" s="8">
        <v>4.08</v>
      </c>
      <c r="AH3479" s="8"/>
      <c r="AI3479" s="8"/>
      <c r="AJ3479" s="8"/>
      <c r="AK3479" s="8"/>
      <c r="AL3479" s="8"/>
      <c r="AM3479" s="8"/>
      <c r="AN3479" s="8"/>
      <c r="AO3479" s="8"/>
      <c r="AP3479" s="11"/>
      <c r="AQ3479" s="8"/>
      <c r="AR3479" s="8"/>
      <c r="AS3479" s="8"/>
      <c r="AT3479" s="8">
        <v>523.33000000000004</v>
      </c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>
        <v>105.96</v>
      </c>
      <c r="BG3479" s="8">
        <v>42.18</v>
      </c>
      <c r="BH3479" s="9">
        <f t="shared" si="486"/>
        <v>814.35</v>
      </c>
      <c r="BI3479" s="9">
        <f t="shared" si="487"/>
        <v>2.38</v>
      </c>
      <c r="BJ3479" s="9">
        <f t="shared" si="488"/>
        <v>4.08</v>
      </c>
      <c r="BK3479" s="9">
        <f t="shared" si="489"/>
        <v>13.05</v>
      </c>
      <c r="BL3479" s="9">
        <f t="shared" si="490"/>
        <v>0</v>
      </c>
      <c r="BM3479" s="9">
        <f t="shared" si="491"/>
        <v>7.34</v>
      </c>
      <c r="BN3479" s="9">
        <f t="shared" si="492"/>
        <v>523.33000000000004</v>
      </c>
      <c r="BO3479" s="9">
        <f t="shared" si="493"/>
        <v>0</v>
      </c>
      <c r="BP3479" s="9">
        <f t="shared" si="494"/>
        <v>105.96</v>
      </c>
    </row>
    <row r="3480" spans="1:68">
      <c r="A3480" s="6">
        <v>45181</v>
      </c>
      <c r="B3480" s="7">
        <v>3149</v>
      </c>
      <c r="C3480" s="8">
        <v>676.91</v>
      </c>
      <c r="D3480" s="8">
        <v>117.19</v>
      </c>
      <c r="E3480" s="8"/>
      <c r="F3480" s="8"/>
      <c r="G3480" s="8"/>
      <c r="H3480" s="8"/>
      <c r="I3480" s="8"/>
      <c r="J3480" s="8"/>
      <c r="K3480" s="8"/>
      <c r="L3480" s="8"/>
      <c r="M3480" s="8">
        <v>2.64</v>
      </c>
      <c r="N3480" s="8"/>
      <c r="O3480" s="8"/>
      <c r="P3480" s="8"/>
      <c r="Q3480" s="11"/>
      <c r="R3480" s="11"/>
      <c r="S3480" s="8">
        <v>3.74</v>
      </c>
      <c r="T3480" s="8"/>
      <c r="U3480" s="8">
        <v>11.98</v>
      </c>
      <c r="V3480" s="8"/>
      <c r="W3480" s="8"/>
      <c r="X3480" s="8"/>
      <c r="Y3480" s="8"/>
      <c r="Z3480" s="8"/>
      <c r="AA3480" s="8"/>
      <c r="AB3480" s="8"/>
      <c r="AC3480" s="8">
        <v>3.2</v>
      </c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11"/>
      <c r="AQ3480" s="8"/>
      <c r="AR3480" s="8"/>
      <c r="AS3480" s="8"/>
      <c r="AT3480" s="8">
        <v>520.98</v>
      </c>
      <c r="AU3480" s="8"/>
      <c r="AV3480" s="8"/>
      <c r="AW3480" s="8">
        <v>25.78</v>
      </c>
      <c r="AX3480" s="8"/>
      <c r="AY3480" s="8"/>
      <c r="AZ3480" s="8"/>
      <c r="BA3480" s="8"/>
      <c r="BB3480" s="8"/>
      <c r="BC3480" s="8"/>
      <c r="BD3480" s="8"/>
      <c r="BE3480" s="8"/>
      <c r="BF3480" s="8">
        <v>55.84</v>
      </c>
      <c r="BG3480" s="8">
        <v>41.29</v>
      </c>
      <c r="BH3480" s="9">
        <f t="shared" si="486"/>
        <v>794.09999999999991</v>
      </c>
      <c r="BI3480" s="9">
        <f t="shared" si="487"/>
        <v>2.64</v>
      </c>
      <c r="BJ3480" s="9">
        <f t="shared" si="488"/>
        <v>3.74</v>
      </c>
      <c r="BK3480" s="9">
        <f t="shared" si="489"/>
        <v>11.98</v>
      </c>
      <c r="BL3480" s="9">
        <f t="shared" si="490"/>
        <v>0</v>
      </c>
      <c r="BM3480" s="9">
        <f t="shared" si="491"/>
        <v>3.2</v>
      </c>
      <c r="BN3480" s="9">
        <f t="shared" si="492"/>
        <v>520.98</v>
      </c>
      <c r="BO3480" s="9">
        <f t="shared" si="493"/>
        <v>25.78</v>
      </c>
      <c r="BP3480" s="9">
        <f t="shared" si="494"/>
        <v>55.84</v>
      </c>
    </row>
    <row r="3481" spans="1:68">
      <c r="A3481" s="6">
        <v>45181</v>
      </c>
      <c r="B3481" s="7">
        <v>3203</v>
      </c>
      <c r="C3481" s="8">
        <v>900.04</v>
      </c>
      <c r="D3481" s="8"/>
      <c r="E3481" s="8">
        <v>386.1</v>
      </c>
      <c r="F3481" s="8"/>
      <c r="G3481" s="8"/>
      <c r="H3481" s="8"/>
      <c r="I3481" s="8"/>
      <c r="J3481" s="8"/>
      <c r="K3481" s="8"/>
      <c r="L3481" s="8"/>
      <c r="M3481" s="8"/>
      <c r="N3481" s="8"/>
      <c r="O3481" s="8">
        <v>3.88</v>
      </c>
      <c r="P3481" s="8"/>
      <c r="Q3481" s="11"/>
      <c r="R3481" s="11"/>
      <c r="S3481" s="8">
        <v>5.03</v>
      </c>
      <c r="T3481" s="8"/>
      <c r="U3481" s="8">
        <v>15.97</v>
      </c>
      <c r="V3481" s="8"/>
      <c r="W3481" s="8"/>
      <c r="X3481" s="8"/>
      <c r="Y3481" s="8"/>
      <c r="Z3481" s="8">
        <v>202.79</v>
      </c>
      <c r="AA3481" s="8">
        <f>10455*15.13/1000</f>
        <v>158.18414999999999</v>
      </c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11"/>
      <c r="AQ3481" s="8"/>
      <c r="AR3481" s="8"/>
      <c r="AS3481" s="8"/>
      <c r="AT3481" s="8">
        <v>480.34</v>
      </c>
      <c r="AU3481" s="8">
        <v>240.46</v>
      </c>
      <c r="AV3481" s="8"/>
      <c r="AW3481" s="8"/>
      <c r="AX3481" s="8"/>
      <c r="AY3481" s="8"/>
      <c r="AZ3481" s="8"/>
      <c r="BA3481" s="8"/>
      <c r="BB3481" s="8"/>
      <c r="BC3481" s="8">
        <v>3.35</v>
      </c>
      <c r="BD3481" s="8"/>
      <c r="BE3481" s="8"/>
      <c r="BF3481" s="8"/>
      <c r="BG3481" s="8">
        <v>47.07</v>
      </c>
      <c r="BH3481" s="9">
        <f t="shared" si="486"/>
        <v>1286.1399999999999</v>
      </c>
      <c r="BI3481" s="9">
        <f t="shared" si="487"/>
        <v>3.88</v>
      </c>
      <c r="BJ3481" s="9">
        <f t="shared" si="488"/>
        <v>5.03</v>
      </c>
      <c r="BK3481" s="9">
        <f t="shared" si="489"/>
        <v>15.97</v>
      </c>
      <c r="BL3481" s="9">
        <f t="shared" si="490"/>
        <v>360.97415000000001</v>
      </c>
      <c r="BM3481" s="9">
        <f t="shared" si="491"/>
        <v>0</v>
      </c>
      <c r="BN3481" s="9">
        <f t="shared" si="492"/>
        <v>720.8</v>
      </c>
      <c r="BO3481" s="9">
        <f t="shared" si="493"/>
        <v>3.35</v>
      </c>
      <c r="BP3481" s="9">
        <f t="shared" si="494"/>
        <v>0</v>
      </c>
    </row>
    <row r="3482" spans="1:68">
      <c r="A3482" s="6">
        <v>45181</v>
      </c>
      <c r="B3482" s="7">
        <v>3020</v>
      </c>
      <c r="C3482" s="8"/>
      <c r="D3482" s="8">
        <v>100.29</v>
      </c>
      <c r="E3482" s="8"/>
      <c r="F3482" s="8"/>
      <c r="G3482" s="8"/>
      <c r="H3482" s="8"/>
      <c r="I3482" s="8">
        <v>567.12</v>
      </c>
      <c r="J3482" s="8"/>
      <c r="K3482" s="8"/>
      <c r="L3482" s="8"/>
      <c r="M3482" s="8"/>
      <c r="N3482" s="8">
        <v>4.07</v>
      </c>
      <c r="O3482" s="8"/>
      <c r="P3482" s="8"/>
      <c r="Q3482" s="11"/>
      <c r="R3482" s="11"/>
      <c r="S3482" s="8">
        <v>1.2</v>
      </c>
      <c r="T3482" s="8"/>
      <c r="U3482" s="8"/>
      <c r="V3482" s="8"/>
      <c r="W3482" s="8">
        <v>6.68</v>
      </c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>
        <v>6.64</v>
      </c>
      <c r="AN3482" s="8"/>
      <c r="AO3482" s="8"/>
      <c r="AP3482" s="11"/>
      <c r="AQ3482" s="8"/>
      <c r="AR3482" s="8"/>
      <c r="AS3482" s="8">
        <f>3019*5.57/1000</f>
        <v>16.815830000000002</v>
      </c>
      <c r="AT3482" s="8">
        <v>328.06</v>
      </c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>
        <v>23.99</v>
      </c>
      <c r="BH3482" s="9">
        <f t="shared" si="486"/>
        <v>667.41</v>
      </c>
      <c r="BI3482" s="9">
        <f t="shared" si="487"/>
        <v>4.07</v>
      </c>
      <c r="BJ3482" s="9">
        <f t="shared" si="488"/>
        <v>1.2</v>
      </c>
      <c r="BK3482" s="9">
        <f t="shared" si="489"/>
        <v>6.68</v>
      </c>
      <c r="BL3482" s="9">
        <f t="shared" si="490"/>
        <v>0</v>
      </c>
      <c r="BM3482" s="9">
        <f t="shared" si="491"/>
        <v>23.455830000000002</v>
      </c>
      <c r="BN3482" s="9">
        <f t="shared" si="492"/>
        <v>328.06</v>
      </c>
      <c r="BO3482" s="9">
        <f t="shared" si="493"/>
        <v>0</v>
      </c>
      <c r="BP3482" s="9">
        <f t="shared" si="494"/>
        <v>0</v>
      </c>
    </row>
    <row r="3483" spans="1:68">
      <c r="A3483" s="6">
        <v>45181</v>
      </c>
      <c r="B3483" s="7">
        <v>3021</v>
      </c>
      <c r="C3483" s="8"/>
      <c r="D3483" s="8">
        <v>189.58</v>
      </c>
      <c r="E3483" s="8"/>
      <c r="F3483" s="8"/>
      <c r="G3483" s="8"/>
      <c r="H3483" s="8"/>
      <c r="I3483" s="8">
        <v>353.61</v>
      </c>
      <c r="J3483" s="8"/>
      <c r="K3483" s="8"/>
      <c r="L3483" s="8"/>
      <c r="M3483" s="8"/>
      <c r="N3483" s="8">
        <v>2.89</v>
      </c>
      <c r="O3483" s="8"/>
      <c r="P3483" s="8"/>
      <c r="Q3483" s="11"/>
      <c r="R3483" s="11"/>
      <c r="S3483" s="8">
        <v>0.98</v>
      </c>
      <c r="T3483" s="8"/>
      <c r="U3483" s="8"/>
      <c r="V3483" s="8"/>
      <c r="W3483" s="8">
        <v>5.44</v>
      </c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>
        <v>5.42</v>
      </c>
      <c r="AN3483" s="8"/>
      <c r="AO3483" s="8"/>
      <c r="AP3483" s="11"/>
      <c r="AQ3483" s="8"/>
      <c r="AR3483" s="8"/>
      <c r="AS3483" s="8">
        <f>2647*5.17/1000</f>
        <v>13.684989999999999</v>
      </c>
      <c r="AT3483" s="8">
        <v>256.13</v>
      </c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>
        <v>19.329999999999998</v>
      </c>
      <c r="BH3483" s="9">
        <f t="shared" si="486"/>
        <v>543.19000000000005</v>
      </c>
      <c r="BI3483" s="9">
        <f t="shared" si="487"/>
        <v>2.89</v>
      </c>
      <c r="BJ3483" s="9">
        <f t="shared" si="488"/>
        <v>0.98</v>
      </c>
      <c r="BK3483" s="9">
        <f t="shared" si="489"/>
        <v>5.44</v>
      </c>
      <c r="BL3483" s="9">
        <f t="shared" si="490"/>
        <v>0</v>
      </c>
      <c r="BM3483" s="9">
        <f t="shared" si="491"/>
        <v>19.104990000000001</v>
      </c>
      <c r="BN3483" s="9">
        <f t="shared" si="492"/>
        <v>256.13</v>
      </c>
      <c r="BO3483" s="9">
        <f t="shared" si="493"/>
        <v>0</v>
      </c>
      <c r="BP3483" s="9">
        <f t="shared" si="494"/>
        <v>0</v>
      </c>
    </row>
    <row r="3484" spans="1:68">
      <c r="A3484" s="6">
        <v>45181</v>
      </c>
      <c r="B3484" s="7">
        <v>3079</v>
      </c>
      <c r="C3484" s="8"/>
      <c r="D3484" s="8"/>
      <c r="E3484" s="8"/>
      <c r="F3484" s="8">
        <v>506.48</v>
      </c>
      <c r="G3484" s="8"/>
      <c r="H3484" s="8"/>
      <c r="I3484" s="8">
        <v>4100.93</v>
      </c>
      <c r="J3484" s="8"/>
      <c r="K3484" s="8"/>
      <c r="L3484" s="8"/>
      <c r="M3484" s="8"/>
      <c r="N3484" s="8">
        <v>33.619999999999997</v>
      </c>
      <c r="O3484" s="8"/>
      <c r="P3484" s="8"/>
      <c r="Q3484" s="11"/>
      <c r="R3484" s="11"/>
      <c r="S3484" s="8">
        <v>1.83</v>
      </c>
      <c r="T3484" s="8"/>
      <c r="U3484" s="8"/>
      <c r="V3484" s="8"/>
      <c r="W3484" s="8">
        <v>46.08</v>
      </c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>
        <v>18.27</v>
      </c>
      <c r="AN3484" s="8">
        <f>1708*27.07/1000</f>
        <v>46.23556</v>
      </c>
      <c r="AO3484" s="8"/>
      <c r="AP3484" s="11"/>
      <c r="AQ3484" s="8"/>
      <c r="AR3484" s="8">
        <f>4290*27.07/1000</f>
        <v>116.13030000000001</v>
      </c>
      <c r="AS3484" s="8"/>
      <c r="AT3484" s="8">
        <v>1774.13</v>
      </c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>
        <v>129.16</v>
      </c>
      <c r="BH3484" s="9">
        <f t="shared" si="486"/>
        <v>4607.41</v>
      </c>
      <c r="BI3484" s="9">
        <f t="shared" si="487"/>
        <v>33.619999999999997</v>
      </c>
      <c r="BJ3484" s="9">
        <f t="shared" si="488"/>
        <v>1.83</v>
      </c>
      <c r="BK3484" s="9">
        <f t="shared" si="489"/>
        <v>46.08</v>
      </c>
      <c r="BL3484" s="9">
        <f t="shared" si="490"/>
        <v>0</v>
      </c>
      <c r="BM3484" s="9">
        <f t="shared" si="491"/>
        <v>180.63586000000001</v>
      </c>
      <c r="BN3484" s="9">
        <f t="shared" si="492"/>
        <v>1774.13</v>
      </c>
      <c r="BO3484" s="9">
        <f t="shared" si="493"/>
        <v>0</v>
      </c>
      <c r="BP3484" s="9">
        <f t="shared" si="494"/>
        <v>0</v>
      </c>
    </row>
    <row r="3485" spans="1:68">
      <c r="A3485" s="6">
        <v>45181</v>
      </c>
      <c r="B3485" s="7">
        <v>3081</v>
      </c>
      <c r="C3485" s="8"/>
      <c r="D3485" s="8">
        <v>287.81</v>
      </c>
      <c r="E3485" s="8"/>
      <c r="F3485" s="8">
        <v>324.54000000000002</v>
      </c>
      <c r="G3485" s="8"/>
      <c r="H3485" s="8"/>
      <c r="I3485" s="8">
        <v>1183.93</v>
      </c>
      <c r="J3485" s="8"/>
      <c r="K3485" s="8"/>
      <c r="L3485" s="8"/>
      <c r="M3485" s="8"/>
      <c r="N3485" s="8">
        <v>13.18</v>
      </c>
      <c r="O3485" s="8"/>
      <c r="P3485" s="8">
        <f>627*11.63/1000</f>
        <v>7.2920100000000003</v>
      </c>
      <c r="Q3485" s="11"/>
      <c r="R3485" s="11"/>
      <c r="S3485" s="8">
        <v>1.26</v>
      </c>
      <c r="T3485" s="8"/>
      <c r="U3485" s="8"/>
      <c r="V3485" s="8"/>
      <c r="W3485" s="8">
        <v>18.07</v>
      </c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11"/>
      <c r="AQ3485" s="8">
        <f>1566*11.63/1000</f>
        <v>18.212580000000003</v>
      </c>
      <c r="AR3485" s="8">
        <f>5439*11.63/1000</f>
        <v>63.255570000000006</v>
      </c>
      <c r="AS3485" s="8"/>
      <c r="AT3485" s="8">
        <v>563.95000000000005</v>
      </c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>
        <v>37.68</v>
      </c>
      <c r="BH3485" s="9">
        <f t="shared" si="486"/>
        <v>1796.2800000000002</v>
      </c>
      <c r="BI3485" s="9">
        <f t="shared" si="487"/>
        <v>20.472010000000001</v>
      </c>
      <c r="BJ3485" s="9">
        <f t="shared" si="488"/>
        <v>1.26</v>
      </c>
      <c r="BK3485" s="9">
        <f t="shared" si="489"/>
        <v>18.07</v>
      </c>
      <c r="BL3485" s="9">
        <f t="shared" si="490"/>
        <v>0</v>
      </c>
      <c r="BM3485" s="9">
        <f t="shared" si="491"/>
        <v>81.468150000000009</v>
      </c>
      <c r="BN3485" s="9">
        <f t="shared" si="492"/>
        <v>563.95000000000005</v>
      </c>
      <c r="BO3485" s="9">
        <f t="shared" si="493"/>
        <v>0</v>
      </c>
      <c r="BP3485" s="9">
        <f t="shared" si="494"/>
        <v>0</v>
      </c>
    </row>
    <row r="3486" spans="1:68">
      <c r="A3486" s="6">
        <v>45181</v>
      </c>
      <c r="B3486" s="7">
        <v>8224</v>
      </c>
      <c r="C3486" s="8">
        <v>90.26</v>
      </c>
      <c r="D3486" s="8">
        <v>135.16999999999999</v>
      </c>
      <c r="E3486" s="8"/>
      <c r="F3486" s="8"/>
      <c r="G3486" s="8"/>
      <c r="H3486" s="8"/>
      <c r="I3486" s="8"/>
      <c r="J3486" s="8"/>
      <c r="K3486" s="8"/>
      <c r="L3486" s="8"/>
      <c r="M3486" s="8"/>
      <c r="N3486" s="8">
        <v>0.41</v>
      </c>
      <c r="O3486" s="8"/>
      <c r="P3486" s="8"/>
      <c r="Q3486" s="11"/>
      <c r="R3486" s="11"/>
      <c r="S3486" s="8">
        <v>0.68</v>
      </c>
      <c r="T3486" s="8"/>
      <c r="U3486" s="8"/>
      <c r="V3486" s="8"/>
      <c r="W3486" s="8"/>
      <c r="X3486" s="8">
        <f>1218*2.48/1000</f>
        <v>3.0206399999999998</v>
      </c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11"/>
      <c r="AQ3486" s="8"/>
      <c r="AR3486" s="8"/>
      <c r="AS3486" s="8"/>
      <c r="AT3486" s="8">
        <v>91.06</v>
      </c>
      <c r="AU3486" s="8"/>
      <c r="AV3486" s="8"/>
      <c r="AW3486" s="8">
        <v>4.3899999999999997</v>
      </c>
      <c r="AX3486" s="8"/>
      <c r="AY3486" s="8"/>
      <c r="AZ3486" s="8"/>
      <c r="BA3486" s="8"/>
      <c r="BB3486" s="8"/>
      <c r="BC3486" s="8"/>
      <c r="BD3486" s="8"/>
      <c r="BE3486" s="8"/>
      <c r="BF3486" s="8"/>
      <c r="BG3486" s="8">
        <v>7.06</v>
      </c>
      <c r="BH3486" s="9">
        <f t="shared" si="486"/>
        <v>225.43</v>
      </c>
      <c r="BI3486" s="9">
        <f t="shared" si="487"/>
        <v>0.41</v>
      </c>
      <c r="BJ3486" s="9">
        <f t="shared" si="488"/>
        <v>0.68</v>
      </c>
      <c r="BK3486" s="9">
        <f t="shared" si="489"/>
        <v>3.0206399999999998</v>
      </c>
      <c r="BL3486" s="9">
        <f t="shared" si="490"/>
        <v>0</v>
      </c>
      <c r="BM3486" s="9">
        <f t="shared" si="491"/>
        <v>0</v>
      </c>
      <c r="BN3486" s="9">
        <f t="shared" si="492"/>
        <v>91.06</v>
      </c>
      <c r="BO3486" s="9">
        <f t="shared" si="493"/>
        <v>4.3899999999999997</v>
      </c>
      <c r="BP3486" s="9">
        <f t="shared" si="494"/>
        <v>0</v>
      </c>
    </row>
    <row r="3487" spans="1:68">
      <c r="A3487" s="6">
        <v>45182</v>
      </c>
      <c r="B3487" s="7">
        <v>3703</v>
      </c>
      <c r="C3487" s="8">
        <v>513.74</v>
      </c>
      <c r="D3487" s="8">
        <v>342.34</v>
      </c>
      <c r="E3487" s="8"/>
      <c r="F3487" s="8"/>
      <c r="G3487" s="8"/>
      <c r="H3487" s="8"/>
      <c r="I3487" s="8"/>
      <c r="J3487" s="8"/>
      <c r="K3487" s="8"/>
      <c r="L3487" s="8"/>
      <c r="M3487" s="8">
        <v>1.72</v>
      </c>
      <c r="N3487" s="8"/>
      <c r="O3487" s="8"/>
      <c r="P3487" s="8"/>
      <c r="Q3487" s="11"/>
      <c r="R3487" s="11"/>
      <c r="S3487" s="8">
        <v>4.2</v>
      </c>
      <c r="T3487" s="8"/>
      <c r="U3487" s="8">
        <v>6.86</v>
      </c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>
        <v>8.52</v>
      </c>
      <c r="AN3487" s="8"/>
      <c r="AO3487" s="8"/>
      <c r="AP3487" s="11"/>
      <c r="AQ3487" s="8"/>
      <c r="AR3487" s="8"/>
      <c r="AS3487" s="8"/>
      <c r="AT3487" s="8">
        <v>207.3</v>
      </c>
      <c r="AU3487" s="8">
        <v>103.79</v>
      </c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>
        <v>21.9</v>
      </c>
      <c r="BH3487" s="9">
        <f t="shared" si="486"/>
        <v>856.07999999999993</v>
      </c>
      <c r="BI3487" s="9">
        <f t="shared" si="487"/>
        <v>1.72</v>
      </c>
      <c r="BJ3487" s="9">
        <f t="shared" si="488"/>
        <v>4.2</v>
      </c>
      <c r="BK3487" s="9">
        <f t="shared" si="489"/>
        <v>6.86</v>
      </c>
      <c r="BL3487" s="9">
        <f t="shared" si="490"/>
        <v>0</v>
      </c>
      <c r="BM3487" s="9">
        <f t="shared" si="491"/>
        <v>8.52</v>
      </c>
      <c r="BN3487" s="9">
        <f t="shared" si="492"/>
        <v>311.09000000000003</v>
      </c>
      <c r="BO3487" s="9">
        <f t="shared" si="493"/>
        <v>0</v>
      </c>
      <c r="BP3487" s="9">
        <f t="shared" si="494"/>
        <v>0</v>
      </c>
    </row>
    <row r="3488" spans="1:68">
      <c r="A3488" s="6">
        <v>45182</v>
      </c>
      <c r="B3488" s="7">
        <v>3304</v>
      </c>
      <c r="C3488" s="8"/>
      <c r="D3488" s="8">
        <v>1081.55</v>
      </c>
      <c r="E3488" s="8"/>
      <c r="F3488" s="8"/>
      <c r="G3488" s="8"/>
      <c r="H3488" s="8"/>
      <c r="I3488" s="8"/>
      <c r="J3488" s="8"/>
      <c r="K3488" s="8"/>
      <c r="L3488" s="8"/>
      <c r="M3488" s="8">
        <v>2.16</v>
      </c>
      <c r="N3488" s="8"/>
      <c r="O3488" s="8"/>
      <c r="P3488" s="8"/>
      <c r="Q3488" s="11"/>
      <c r="R3488" s="11"/>
      <c r="S3488" s="8">
        <v>1.62</v>
      </c>
      <c r="T3488" s="8"/>
      <c r="U3488" s="8">
        <v>9.74</v>
      </c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>
        <v>10.83</v>
      </c>
      <c r="AH3488" s="8"/>
      <c r="AI3488" s="8"/>
      <c r="AJ3488" s="8"/>
      <c r="AK3488" s="8"/>
      <c r="AL3488" s="8"/>
      <c r="AM3488" s="8"/>
      <c r="AN3488" s="8"/>
      <c r="AO3488" s="8"/>
      <c r="AP3488" s="11"/>
      <c r="AQ3488" s="8"/>
      <c r="AR3488" s="8"/>
      <c r="AS3488" s="8"/>
      <c r="AT3488" s="8">
        <v>289.87</v>
      </c>
      <c r="AU3488" s="8">
        <v>144.56</v>
      </c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>
        <v>29.9</v>
      </c>
      <c r="BH3488" s="9">
        <f t="shared" si="486"/>
        <v>1081.55</v>
      </c>
      <c r="BI3488" s="9">
        <f t="shared" si="487"/>
        <v>2.16</v>
      </c>
      <c r="BJ3488" s="9">
        <f t="shared" si="488"/>
        <v>1.62</v>
      </c>
      <c r="BK3488" s="9">
        <f t="shared" si="489"/>
        <v>9.74</v>
      </c>
      <c r="BL3488" s="9">
        <f t="shared" si="490"/>
        <v>0</v>
      </c>
      <c r="BM3488" s="9">
        <f t="shared" si="491"/>
        <v>10.83</v>
      </c>
      <c r="BN3488" s="9">
        <f t="shared" si="492"/>
        <v>434.43</v>
      </c>
      <c r="BO3488" s="9">
        <f t="shared" si="493"/>
        <v>0</v>
      </c>
      <c r="BP3488" s="9">
        <f t="shared" si="494"/>
        <v>0</v>
      </c>
    </row>
    <row r="3489" spans="1:68">
      <c r="A3489" s="6">
        <v>45182</v>
      </c>
      <c r="B3489" s="7">
        <v>3151</v>
      </c>
      <c r="C3489" s="8">
        <v>1377.61</v>
      </c>
      <c r="D3489" s="8"/>
      <c r="E3489" s="8"/>
      <c r="F3489" s="8"/>
      <c r="G3489" s="8"/>
      <c r="H3489" s="8"/>
      <c r="I3489" s="8"/>
      <c r="J3489" s="8"/>
      <c r="K3489" s="8"/>
      <c r="L3489" s="8"/>
      <c r="M3489" s="8">
        <v>3.86</v>
      </c>
      <c r="N3489" s="8"/>
      <c r="O3489" s="8"/>
      <c r="P3489" s="8"/>
      <c r="Q3489" s="11"/>
      <c r="R3489" s="11"/>
      <c r="S3489" s="8">
        <v>4.6900000000000004</v>
      </c>
      <c r="T3489" s="8"/>
      <c r="U3489" s="8">
        <v>17.52</v>
      </c>
      <c r="V3489" s="8"/>
      <c r="W3489" s="8"/>
      <c r="X3489" s="8"/>
      <c r="Y3489" s="8"/>
      <c r="Z3489" s="8"/>
      <c r="AA3489" s="8"/>
      <c r="AB3489" s="8"/>
      <c r="AC3489" s="8">
        <v>3.45</v>
      </c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11"/>
      <c r="AQ3489" s="8"/>
      <c r="AR3489" s="8"/>
      <c r="AS3489" s="8"/>
      <c r="AT3489" s="8">
        <v>619.57000000000005</v>
      </c>
      <c r="AU3489" s="8"/>
      <c r="AV3489" s="8">
        <v>13.78</v>
      </c>
      <c r="AW3489" s="8"/>
      <c r="AX3489" s="8"/>
      <c r="AY3489" s="8"/>
      <c r="AZ3489" s="8"/>
      <c r="BA3489" s="8"/>
      <c r="BB3489" s="8"/>
      <c r="BC3489" s="8"/>
      <c r="BD3489" s="8"/>
      <c r="BE3489" s="8"/>
      <c r="BF3489" s="8">
        <v>55.16</v>
      </c>
      <c r="BG3489" s="8">
        <v>44.28</v>
      </c>
      <c r="BH3489" s="9">
        <f t="shared" si="486"/>
        <v>1377.61</v>
      </c>
      <c r="BI3489" s="9">
        <f t="shared" si="487"/>
        <v>3.86</v>
      </c>
      <c r="BJ3489" s="9">
        <f t="shared" si="488"/>
        <v>4.6900000000000004</v>
      </c>
      <c r="BK3489" s="9">
        <f t="shared" si="489"/>
        <v>17.52</v>
      </c>
      <c r="BL3489" s="9">
        <f t="shared" si="490"/>
        <v>0</v>
      </c>
      <c r="BM3489" s="9">
        <f t="shared" si="491"/>
        <v>3.45</v>
      </c>
      <c r="BN3489" s="9">
        <f t="shared" si="492"/>
        <v>619.57000000000005</v>
      </c>
      <c r="BO3489" s="9">
        <f t="shared" si="493"/>
        <v>13.78</v>
      </c>
      <c r="BP3489" s="9">
        <f t="shared" si="494"/>
        <v>55.16</v>
      </c>
    </row>
    <row r="3490" spans="1:68">
      <c r="A3490" s="6">
        <v>45182</v>
      </c>
      <c r="B3490" s="7">
        <v>3136</v>
      </c>
      <c r="C3490" s="8">
        <v>1270.73</v>
      </c>
      <c r="D3490" s="8"/>
      <c r="E3490" s="8"/>
      <c r="F3490" s="8"/>
      <c r="G3490" s="8"/>
      <c r="H3490" s="8">
        <v>527.16</v>
      </c>
      <c r="I3490" s="8"/>
      <c r="J3490" s="8"/>
      <c r="K3490" s="8"/>
      <c r="L3490" s="8"/>
      <c r="M3490" s="8">
        <v>2.35</v>
      </c>
      <c r="N3490" s="8"/>
      <c r="O3490" s="8"/>
      <c r="P3490" s="8"/>
      <c r="Q3490" s="11"/>
      <c r="R3490" s="11"/>
      <c r="S3490" s="8">
        <v>6.72</v>
      </c>
      <c r="T3490" s="8"/>
      <c r="U3490" s="8">
        <v>20.36</v>
      </c>
      <c r="V3490" s="8"/>
      <c r="W3490" s="8"/>
      <c r="X3490" s="8"/>
      <c r="Y3490" s="8"/>
      <c r="Z3490" s="8"/>
      <c r="AA3490" s="8"/>
      <c r="AB3490" s="8"/>
      <c r="AC3490" s="8">
        <v>6.26</v>
      </c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11"/>
      <c r="AQ3490" s="8"/>
      <c r="AR3490" s="8"/>
      <c r="AS3490" s="8"/>
      <c r="AT3490" s="8">
        <v>1015.52</v>
      </c>
      <c r="AU3490" s="8"/>
      <c r="AV3490" s="8"/>
      <c r="AW3490" s="8"/>
      <c r="AX3490" s="8"/>
      <c r="AY3490" s="8"/>
      <c r="AZ3490" s="8"/>
      <c r="BA3490" s="8">
        <v>15.49</v>
      </c>
      <c r="BB3490" s="8"/>
      <c r="BC3490" s="8"/>
      <c r="BD3490" s="8"/>
      <c r="BE3490" s="8"/>
      <c r="BF3490" s="8">
        <v>62.57</v>
      </c>
      <c r="BG3490" s="8">
        <v>76.67</v>
      </c>
      <c r="BH3490" s="9">
        <f t="shared" si="486"/>
        <v>1797.8899999999999</v>
      </c>
      <c r="BI3490" s="9">
        <f t="shared" si="487"/>
        <v>2.35</v>
      </c>
      <c r="BJ3490" s="9">
        <f t="shared" si="488"/>
        <v>6.72</v>
      </c>
      <c r="BK3490" s="9">
        <f t="shared" si="489"/>
        <v>20.36</v>
      </c>
      <c r="BL3490" s="9">
        <f t="shared" si="490"/>
        <v>0</v>
      </c>
      <c r="BM3490" s="9">
        <f t="shared" si="491"/>
        <v>6.26</v>
      </c>
      <c r="BN3490" s="9">
        <f t="shared" si="492"/>
        <v>1015.52</v>
      </c>
      <c r="BO3490" s="9">
        <f t="shared" si="493"/>
        <v>15.49</v>
      </c>
      <c r="BP3490" s="9">
        <f t="shared" si="494"/>
        <v>62.57</v>
      </c>
    </row>
    <row r="3491" spans="1:68">
      <c r="A3491" s="6">
        <v>45182</v>
      </c>
      <c r="B3491" s="7">
        <v>3106</v>
      </c>
      <c r="C3491" s="8">
        <v>8209.41</v>
      </c>
      <c r="D3491" s="8"/>
      <c r="E3491" s="8"/>
      <c r="F3491" s="8"/>
      <c r="G3491" s="8"/>
      <c r="H3491" s="8"/>
      <c r="I3491" s="8"/>
      <c r="J3491" s="8"/>
      <c r="K3491" s="8"/>
      <c r="L3491" s="8"/>
      <c r="M3491" s="8">
        <v>22.21</v>
      </c>
      <c r="N3491" s="8"/>
      <c r="O3491" s="8"/>
      <c r="P3491" s="8"/>
      <c r="Q3491" s="11"/>
      <c r="R3491" s="11"/>
      <c r="S3491" s="8">
        <v>24.62</v>
      </c>
      <c r="T3491" s="8"/>
      <c r="U3491" s="8">
        <v>104.41</v>
      </c>
      <c r="V3491" s="8"/>
      <c r="W3491" s="8"/>
      <c r="X3491" s="8"/>
      <c r="Y3491" s="8"/>
      <c r="Z3491" s="8"/>
      <c r="AA3491" s="8"/>
      <c r="AB3491" s="8"/>
      <c r="AC3491" s="8">
        <v>20.54</v>
      </c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11"/>
      <c r="AQ3491" s="8"/>
      <c r="AR3491" s="8"/>
      <c r="AS3491" s="8"/>
      <c r="AT3491" s="8">
        <v>4682.84</v>
      </c>
      <c r="AU3491" s="8"/>
      <c r="AV3491" s="8"/>
      <c r="AW3491" s="8"/>
      <c r="AX3491" s="8">
        <v>10.28</v>
      </c>
      <c r="AY3491" s="8"/>
      <c r="AZ3491" s="8"/>
      <c r="BA3491" s="8"/>
      <c r="BB3491" s="8"/>
      <c r="BC3491" s="8"/>
      <c r="BD3491" s="8"/>
      <c r="BE3491" s="8"/>
      <c r="BF3491" s="8"/>
      <c r="BG3491" s="8">
        <v>354.34</v>
      </c>
      <c r="BH3491" s="9">
        <f t="shared" si="486"/>
        <v>8209.41</v>
      </c>
      <c r="BI3491" s="9">
        <f t="shared" si="487"/>
        <v>22.21</v>
      </c>
      <c r="BJ3491" s="9">
        <f t="shared" si="488"/>
        <v>24.62</v>
      </c>
      <c r="BK3491" s="9">
        <f t="shared" si="489"/>
        <v>104.41</v>
      </c>
      <c r="BL3491" s="9">
        <f t="shared" si="490"/>
        <v>0</v>
      </c>
      <c r="BM3491" s="9">
        <f t="shared" si="491"/>
        <v>20.54</v>
      </c>
      <c r="BN3491" s="9">
        <f t="shared" si="492"/>
        <v>4682.84</v>
      </c>
      <c r="BO3491" s="9">
        <f t="shared" si="493"/>
        <v>10.28</v>
      </c>
      <c r="BP3491" s="9">
        <f t="shared" si="494"/>
        <v>0</v>
      </c>
    </row>
    <row r="3492" spans="1:68">
      <c r="A3492" s="6">
        <v>45182</v>
      </c>
      <c r="B3492" s="7">
        <v>3200</v>
      </c>
      <c r="C3492" s="8">
        <v>2256.02</v>
      </c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>
        <v>5.64</v>
      </c>
      <c r="P3492" s="8"/>
      <c r="Q3492" s="11"/>
      <c r="R3492" s="11"/>
      <c r="S3492" s="8">
        <v>8.81</v>
      </c>
      <c r="T3492" s="8"/>
      <c r="U3492" s="8">
        <v>33.840000000000003</v>
      </c>
      <c r="V3492" s="8"/>
      <c r="W3492" s="8"/>
      <c r="X3492" s="8"/>
      <c r="Y3492" s="8"/>
      <c r="Z3492" s="8">
        <v>474.36</v>
      </c>
      <c r="AA3492" s="8"/>
      <c r="AB3492" s="8"/>
      <c r="AC3492" s="8"/>
      <c r="AD3492" s="8"/>
      <c r="AE3492" s="8"/>
      <c r="AF3492" s="8">
        <v>112.83</v>
      </c>
      <c r="AG3492" s="8"/>
      <c r="AH3492" s="8"/>
      <c r="AI3492" s="8"/>
      <c r="AJ3492" s="8"/>
      <c r="AK3492" s="8"/>
      <c r="AL3492" s="8"/>
      <c r="AM3492" s="8"/>
      <c r="AN3492" s="8"/>
      <c r="AO3492" s="8"/>
      <c r="AP3492" s="11"/>
      <c r="AQ3492" s="8">
        <f>1524*22.57/1000</f>
        <v>34.396680000000003</v>
      </c>
      <c r="AR3492" s="8"/>
      <c r="AS3492" s="8"/>
      <c r="AT3492" s="8">
        <v>1544.92</v>
      </c>
      <c r="AU3492" s="8"/>
      <c r="AV3492" s="8"/>
      <c r="AW3492" s="8">
        <v>6.44</v>
      </c>
      <c r="AX3492" s="8"/>
      <c r="AY3492" s="8"/>
      <c r="AZ3492" s="8"/>
      <c r="BA3492" s="8"/>
      <c r="BB3492" s="8"/>
      <c r="BC3492" s="8"/>
      <c r="BD3492" s="8"/>
      <c r="BE3492" s="8"/>
      <c r="BF3492" s="8">
        <v>108.38</v>
      </c>
      <c r="BG3492" s="8">
        <v>111.94</v>
      </c>
      <c r="BH3492" s="9">
        <f t="shared" si="486"/>
        <v>2256.02</v>
      </c>
      <c r="BI3492" s="9">
        <f t="shared" si="487"/>
        <v>5.64</v>
      </c>
      <c r="BJ3492" s="9">
        <f t="shared" si="488"/>
        <v>8.81</v>
      </c>
      <c r="BK3492" s="9">
        <f t="shared" si="489"/>
        <v>33.840000000000003</v>
      </c>
      <c r="BL3492" s="9">
        <f t="shared" si="490"/>
        <v>474.36</v>
      </c>
      <c r="BM3492" s="9">
        <f t="shared" si="491"/>
        <v>147.22667999999999</v>
      </c>
      <c r="BN3492" s="9">
        <f t="shared" si="492"/>
        <v>1544.92</v>
      </c>
      <c r="BO3492" s="9">
        <f t="shared" si="493"/>
        <v>6.44</v>
      </c>
      <c r="BP3492" s="9">
        <f t="shared" si="494"/>
        <v>108.38</v>
      </c>
    </row>
    <row r="3493" spans="1:68">
      <c r="A3493" s="6">
        <v>45182</v>
      </c>
      <c r="B3493" s="7">
        <v>3307</v>
      </c>
      <c r="C3493" s="8"/>
      <c r="D3493" s="8">
        <v>978.36</v>
      </c>
      <c r="E3493" s="8"/>
      <c r="F3493" s="8"/>
      <c r="G3493" s="8"/>
      <c r="H3493" s="8"/>
      <c r="I3493" s="8"/>
      <c r="J3493" s="8"/>
      <c r="K3493" s="8"/>
      <c r="L3493" s="8"/>
      <c r="M3493" s="8">
        <v>0.88</v>
      </c>
      <c r="N3493" s="8"/>
      <c r="O3493" s="8"/>
      <c r="P3493" s="8"/>
      <c r="Q3493" s="11"/>
      <c r="R3493" s="11"/>
      <c r="S3493" s="8">
        <v>6.65</v>
      </c>
      <c r="T3493" s="8"/>
      <c r="U3493" s="8">
        <v>9.7799999999999994</v>
      </c>
      <c r="V3493" s="8"/>
      <c r="W3493" s="8"/>
      <c r="X3493" s="8"/>
      <c r="Y3493" s="8"/>
      <c r="Z3493" s="8"/>
      <c r="AA3493" s="8"/>
      <c r="AB3493" s="8"/>
      <c r="AC3493" s="8">
        <v>5.87</v>
      </c>
      <c r="AD3493" s="8"/>
      <c r="AE3493" s="8"/>
      <c r="AF3493" s="8"/>
      <c r="AG3493" s="8">
        <v>9.8000000000000007</v>
      </c>
      <c r="AH3493" s="8"/>
      <c r="AI3493" s="8"/>
      <c r="AJ3493" s="8"/>
      <c r="AK3493" s="8"/>
      <c r="AL3493" s="8"/>
      <c r="AM3493" s="8"/>
      <c r="AN3493" s="8"/>
      <c r="AO3493" s="8"/>
      <c r="AP3493" s="11"/>
      <c r="AQ3493" s="8"/>
      <c r="AR3493" s="8"/>
      <c r="AS3493" s="8"/>
      <c r="AT3493" s="8"/>
      <c r="AU3493" s="8">
        <v>490.45</v>
      </c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>
        <v>35.18</v>
      </c>
      <c r="BH3493" s="9">
        <f t="shared" si="486"/>
        <v>978.36</v>
      </c>
      <c r="BI3493" s="9">
        <f t="shared" si="487"/>
        <v>0.88</v>
      </c>
      <c r="BJ3493" s="9">
        <f t="shared" si="488"/>
        <v>6.65</v>
      </c>
      <c r="BK3493" s="9">
        <f t="shared" si="489"/>
        <v>9.7799999999999994</v>
      </c>
      <c r="BL3493" s="9">
        <f t="shared" si="490"/>
        <v>0</v>
      </c>
      <c r="BM3493" s="9">
        <f t="shared" si="491"/>
        <v>15.670000000000002</v>
      </c>
      <c r="BN3493" s="9">
        <f t="shared" si="492"/>
        <v>490.45</v>
      </c>
      <c r="BO3493" s="9">
        <f t="shared" si="493"/>
        <v>0</v>
      </c>
      <c r="BP3493" s="9">
        <f t="shared" si="494"/>
        <v>0</v>
      </c>
    </row>
    <row r="3494" spans="1:68">
      <c r="A3494" s="6">
        <v>45183</v>
      </c>
      <c r="B3494" s="7">
        <v>3029</v>
      </c>
      <c r="C3494" s="8"/>
      <c r="D3494" s="8">
        <v>679.23</v>
      </c>
      <c r="E3494" s="8"/>
      <c r="F3494" s="8">
        <v>480.14</v>
      </c>
      <c r="G3494" s="8"/>
      <c r="H3494" s="8"/>
      <c r="I3494" s="8">
        <v>2839.1</v>
      </c>
      <c r="J3494" s="8"/>
      <c r="K3494" s="8"/>
      <c r="L3494" s="8"/>
      <c r="M3494" s="8"/>
      <c r="N3494" s="8">
        <v>31.61</v>
      </c>
      <c r="O3494" s="8"/>
      <c r="P3494" s="8"/>
      <c r="Q3494" s="11"/>
      <c r="R3494" s="11"/>
      <c r="S3494" s="8">
        <v>2.4</v>
      </c>
      <c r="T3494" s="8"/>
      <c r="U3494" s="8"/>
      <c r="V3494" s="8"/>
      <c r="W3494" s="8">
        <v>40.03</v>
      </c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>
        <v>13.97</v>
      </c>
      <c r="AN3494" s="8">
        <f>756*26.68/1000</f>
        <v>20.170079999999999</v>
      </c>
      <c r="AO3494" s="8"/>
      <c r="AP3494" s="11"/>
      <c r="AQ3494" s="8"/>
      <c r="AR3494" s="8">
        <f>4530*26.68/1000</f>
        <v>120.8604</v>
      </c>
      <c r="AS3494" s="8"/>
      <c r="AT3494" s="8">
        <v>1520.35</v>
      </c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>
        <v>106.26</v>
      </c>
      <c r="BH3494" s="9">
        <f t="shared" si="486"/>
        <v>3998.47</v>
      </c>
      <c r="BI3494" s="9">
        <f t="shared" si="487"/>
        <v>31.61</v>
      </c>
      <c r="BJ3494" s="9">
        <f t="shared" si="488"/>
        <v>2.4</v>
      </c>
      <c r="BK3494" s="9">
        <f t="shared" si="489"/>
        <v>40.03</v>
      </c>
      <c r="BL3494" s="9">
        <f t="shared" si="490"/>
        <v>0</v>
      </c>
      <c r="BM3494" s="9">
        <f t="shared" si="491"/>
        <v>155.00047999999998</v>
      </c>
      <c r="BN3494" s="9">
        <f t="shared" si="492"/>
        <v>1520.35</v>
      </c>
      <c r="BO3494" s="9">
        <f t="shared" si="493"/>
        <v>0</v>
      </c>
      <c r="BP3494" s="9">
        <f t="shared" si="494"/>
        <v>0</v>
      </c>
    </row>
    <row r="3495" spans="1:68">
      <c r="A3495" s="6">
        <v>45183</v>
      </c>
      <c r="B3495" s="7">
        <v>3020</v>
      </c>
      <c r="C3495" s="8"/>
      <c r="D3495" s="8">
        <v>326.20999999999998</v>
      </c>
      <c r="E3495" s="8"/>
      <c r="F3495" s="8"/>
      <c r="G3495" s="8"/>
      <c r="H3495" s="8"/>
      <c r="I3495" s="8">
        <v>1841.43</v>
      </c>
      <c r="J3495" s="8"/>
      <c r="K3495" s="8"/>
      <c r="L3495" s="8"/>
      <c r="M3495" s="8"/>
      <c r="N3495" s="8">
        <v>13.25</v>
      </c>
      <c r="O3495" s="8"/>
      <c r="P3495" s="8"/>
      <c r="Q3495" s="11"/>
      <c r="R3495" s="11"/>
      <c r="S3495" s="8">
        <v>3.9</v>
      </c>
      <c r="T3495" s="8"/>
      <c r="U3495" s="8"/>
      <c r="V3495" s="8"/>
      <c r="W3495" s="8">
        <v>21.73</v>
      </c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>
        <v>21.64</v>
      </c>
      <c r="AN3495" s="8"/>
      <c r="AO3495" s="8"/>
      <c r="AP3495" s="11"/>
      <c r="AQ3495" s="8"/>
      <c r="AR3495" s="8"/>
      <c r="AS3495" s="8">
        <f>3080*18.08/1000</f>
        <v>55.686399999999992</v>
      </c>
      <c r="AT3495" s="8">
        <v>1066.52</v>
      </c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>
        <v>78.010000000000005</v>
      </c>
      <c r="BH3495" s="9">
        <f t="shared" si="486"/>
        <v>2167.64</v>
      </c>
      <c r="BI3495" s="9">
        <f t="shared" si="487"/>
        <v>13.25</v>
      </c>
      <c r="BJ3495" s="9">
        <f t="shared" si="488"/>
        <v>3.9</v>
      </c>
      <c r="BK3495" s="9">
        <f t="shared" si="489"/>
        <v>21.73</v>
      </c>
      <c r="BL3495" s="9">
        <f t="shared" si="490"/>
        <v>0</v>
      </c>
      <c r="BM3495" s="9">
        <f t="shared" si="491"/>
        <v>77.326399999999992</v>
      </c>
      <c r="BN3495" s="9">
        <f t="shared" si="492"/>
        <v>1066.52</v>
      </c>
      <c r="BO3495" s="9">
        <f t="shared" si="493"/>
        <v>0</v>
      </c>
      <c r="BP3495" s="9">
        <f t="shared" si="494"/>
        <v>0</v>
      </c>
    </row>
    <row r="3496" spans="1:68">
      <c r="A3496" s="6">
        <v>45183</v>
      </c>
      <c r="B3496" s="7">
        <v>3308</v>
      </c>
      <c r="C3496" s="8"/>
      <c r="D3496" s="8">
        <v>851.29</v>
      </c>
      <c r="E3496" s="8"/>
      <c r="F3496" s="8"/>
      <c r="G3496" s="8"/>
      <c r="H3496" s="8"/>
      <c r="I3496" s="8"/>
      <c r="J3496" s="8"/>
      <c r="K3496" s="8"/>
      <c r="L3496" s="8"/>
      <c r="M3496" s="8">
        <v>1.29</v>
      </c>
      <c r="N3496" s="8"/>
      <c r="O3496" s="8"/>
      <c r="P3496" s="8"/>
      <c r="Q3496" s="11"/>
      <c r="R3496" s="11"/>
      <c r="S3496" s="8">
        <v>6.23</v>
      </c>
      <c r="T3496" s="8"/>
      <c r="U3496" s="8">
        <v>8.5299999999999994</v>
      </c>
      <c r="V3496" s="8"/>
      <c r="W3496" s="8"/>
      <c r="X3496" s="8"/>
      <c r="Y3496" s="8"/>
      <c r="Z3496" s="8"/>
      <c r="AA3496" s="8"/>
      <c r="AB3496" s="8"/>
      <c r="AC3496" s="8">
        <v>5.12</v>
      </c>
      <c r="AD3496" s="8"/>
      <c r="AE3496" s="8"/>
      <c r="AF3496" s="8"/>
      <c r="AG3496" s="8">
        <v>8.61</v>
      </c>
      <c r="AH3496" s="8"/>
      <c r="AI3496" s="8"/>
      <c r="AJ3496" s="8"/>
      <c r="AK3496" s="8"/>
      <c r="AL3496" s="8"/>
      <c r="AM3496" s="8"/>
      <c r="AN3496" s="8"/>
      <c r="AO3496" s="8"/>
      <c r="AP3496" s="11"/>
      <c r="AQ3496" s="8"/>
      <c r="AR3496" s="8"/>
      <c r="AS3496" s="8"/>
      <c r="AT3496" s="8"/>
      <c r="AU3496" s="8">
        <v>427.54</v>
      </c>
      <c r="AV3496" s="8"/>
      <c r="AW3496" s="8"/>
      <c r="AX3496" s="8"/>
      <c r="AY3496" s="8"/>
      <c r="AZ3496" s="8"/>
      <c r="BA3496" s="8"/>
      <c r="BB3496" s="8"/>
      <c r="BC3496" s="8">
        <v>0.8</v>
      </c>
      <c r="BD3496" s="8"/>
      <c r="BE3496" s="8"/>
      <c r="BF3496" s="8"/>
      <c r="BG3496" s="8">
        <v>30.74</v>
      </c>
      <c r="BH3496" s="9">
        <f t="shared" si="486"/>
        <v>851.29</v>
      </c>
      <c r="BI3496" s="9">
        <f t="shared" si="487"/>
        <v>1.29</v>
      </c>
      <c r="BJ3496" s="9">
        <f t="shared" si="488"/>
        <v>6.23</v>
      </c>
      <c r="BK3496" s="9">
        <f t="shared" si="489"/>
        <v>8.5299999999999994</v>
      </c>
      <c r="BL3496" s="9">
        <f t="shared" si="490"/>
        <v>0</v>
      </c>
      <c r="BM3496" s="9">
        <f t="shared" si="491"/>
        <v>13.73</v>
      </c>
      <c r="BN3496" s="9">
        <f t="shared" si="492"/>
        <v>427.54</v>
      </c>
      <c r="BO3496" s="9">
        <f t="shared" si="493"/>
        <v>0.8</v>
      </c>
      <c r="BP3496" s="9">
        <f t="shared" si="494"/>
        <v>0</v>
      </c>
    </row>
    <row r="3497" spans="1:68">
      <c r="A3497" s="6">
        <v>45183</v>
      </c>
      <c r="B3497" s="7">
        <v>3139</v>
      </c>
      <c r="C3497" s="8">
        <v>1816.84</v>
      </c>
      <c r="D3497" s="8"/>
      <c r="E3497" s="8"/>
      <c r="F3497" s="8"/>
      <c r="G3497" s="8"/>
      <c r="H3497" s="8">
        <v>755.09</v>
      </c>
      <c r="I3497" s="8"/>
      <c r="J3497" s="8"/>
      <c r="K3497" s="8"/>
      <c r="L3497" s="8"/>
      <c r="M3497" s="8">
        <v>4.25</v>
      </c>
      <c r="N3497" s="8"/>
      <c r="O3497" s="8"/>
      <c r="P3497" s="8"/>
      <c r="Q3497" s="11"/>
      <c r="R3497" s="11"/>
      <c r="S3497" s="8">
        <v>8.0399999999999991</v>
      </c>
      <c r="T3497" s="8"/>
      <c r="U3497" s="8">
        <v>26.84</v>
      </c>
      <c r="V3497" s="8"/>
      <c r="W3497" s="8"/>
      <c r="X3497" s="8"/>
      <c r="Y3497" s="8"/>
      <c r="Z3497" s="8"/>
      <c r="AA3497" s="8"/>
      <c r="AB3497" s="8"/>
      <c r="AC3497" s="8">
        <v>8.94</v>
      </c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11"/>
      <c r="AQ3497" s="8"/>
      <c r="AR3497" s="8"/>
      <c r="AS3497" s="8"/>
      <c r="AT3497" s="8">
        <v>1321.73</v>
      </c>
      <c r="AU3497" s="8"/>
      <c r="AV3497" s="8">
        <v>44.8</v>
      </c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>
        <v>96.12</v>
      </c>
      <c r="BH3497" s="9">
        <f t="shared" si="486"/>
        <v>2571.9299999999998</v>
      </c>
      <c r="BI3497" s="9">
        <f t="shared" si="487"/>
        <v>4.25</v>
      </c>
      <c r="BJ3497" s="9">
        <f t="shared" si="488"/>
        <v>8.0399999999999991</v>
      </c>
      <c r="BK3497" s="9">
        <f t="shared" si="489"/>
        <v>26.84</v>
      </c>
      <c r="BL3497" s="9">
        <f t="shared" si="490"/>
        <v>0</v>
      </c>
      <c r="BM3497" s="9">
        <f t="shared" si="491"/>
        <v>8.94</v>
      </c>
      <c r="BN3497" s="9">
        <f t="shared" si="492"/>
        <v>1321.73</v>
      </c>
      <c r="BO3497" s="9">
        <f t="shared" si="493"/>
        <v>44.8</v>
      </c>
      <c r="BP3497" s="9">
        <f t="shared" si="494"/>
        <v>0</v>
      </c>
    </row>
    <row r="3498" spans="1:68">
      <c r="A3498" s="6">
        <v>45184</v>
      </c>
      <c r="B3498" s="7">
        <v>3206</v>
      </c>
      <c r="C3498" s="8">
        <v>320.45999999999998</v>
      </c>
      <c r="D3498" s="8">
        <v>572.66999999999996</v>
      </c>
      <c r="E3498" s="8">
        <v>380.73</v>
      </c>
      <c r="F3498" s="8"/>
      <c r="G3498" s="8"/>
      <c r="H3498" s="8"/>
      <c r="I3498" s="8"/>
      <c r="J3498" s="8"/>
      <c r="K3498" s="8"/>
      <c r="L3498" s="8"/>
      <c r="M3498" s="8"/>
      <c r="N3498" s="8"/>
      <c r="O3498" s="8">
        <v>2.56</v>
      </c>
      <c r="P3498" s="8"/>
      <c r="Q3498" s="11"/>
      <c r="R3498" s="11"/>
      <c r="S3498" s="8">
        <v>6.34</v>
      </c>
      <c r="T3498" s="8"/>
      <c r="U3498" s="8">
        <v>4.45</v>
      </c>
      <c r="V3498" s="8"/>
      <c r="W3498" s="8"/>
      <c r="X3498" s="8"/>
      <c r="Y3498" s="8"/>
      <c r="Z3498" s="8">
        <v>76.14</v>
      </c>
      <c r="AA3498" s="8"/>
      <c r="AB3498" s="8">
        <f>823*7.93/1000</f>
        <v>6.5263899999999992</v>
      </c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11"/>
      <c r="AQ3498" s="8"/>
      <c r="AR3498" s="8"/>
      <c r="AS3498" s="8"/>
      <c r="AT3498" s="8">
        <v>221.25</v>
      </c>
      <c r="AU3498" s="8">
        <v>110.72</v>
      </c>
      <c r="AV3498" s="8"/>
      <c r="AW3498" s="8">
        <v>4.8499999999999996</v>
      </c>
      <c r="AX3498" s="8"/>
      <c r="AY3498" s="8"/>
      <c r="AZ3498" s="8"/>
      <c r="BA3498" s="8"/>
      <c r="BB3498" s="8"/>
      <c r="BC3498" s="8"/>
      <c r="BD3498" s="8"/>
      <c r="BE3498" s="8"/>
      <c r="BF3498" s="8"/>
      <c r="BG3498" s="8">
        <v>22.41</v>
      </c>
      <c r="BH3498" s="9">
        <f t="shared" si="486"/>
        <v>1273.8599999999999</v>
      </c>
      <c r="BI3498" s="9">
        <f t="shared" si="487"/>
        <v>2.56</v>
      </c>
      <c r="BJ3498" s="9">
        <f t="shared" si="488"/>
        <v>6.34</v>
      </c>
      <c r="BK3498" s="9">
        <f t="shared" si="489"/>
        <v>4.45</v>
      </c>
      <c r="BL3498" s="9">
        <f t="shared" si="490"/>
        <v>76.14</v>
      </c>
      <c r="BM3498" s="9">
        <f t="shared" si="491"/>
        <v>6.5263899999999992</v>
      </c>
      <c r="BN3498" s="9">
        <f t="shared" si="492"/>
        <v>331.97</v>
      </c>
      <c r="BO3498" s="9">
        <f t="shared" si="493"/>
        <v>4.8499999999999996</v>
      </c>
      <c r="BP3498" s="9">
        <f t="shared" si="494"/>
        <v>0</v>
      </c>
    </row>
    <row r="3499" spans="1:68">
      <c r="A3499" s="6">
        <v>45184</v>
      </c>
      <c r="B3499" s="7">
        <v>3204</v>
      </c>
      <c r="C3499" s="8"/>
      <c r="D3499" s="8">
        <v>953.62</v>
      </c>
      <c r="E3499" s="8">
        <v>408.37</v>
      </c>
      <c r="F3499" s="8"/>
      <c r="G3499" s="8"/>
      <c r="H3499" s="8"/>
      <c r="I3499" s="8"/>
      <c r="J3499" s="8"/>
      <c r="K3499" s="8"/>
      <c r="L3499" s="8"/>
      <c r="M3499" s="8"/>
      <c r="N3499" s="8"/>
      <c r="O3499" s="8">
        <v>6.82</v>
      </c>
      <c r="P3499" s="8"/>
      <c r="Q3499" s="11"/>
      <c r="R3499" s="11"/>
      <c r="S3499" s="8">
        <v>4.6399999999999997</v>
      </c>
      <c r="T3499" s="8"/>
      <c r="U3499" s="8">
        <v>15.02</v>
      </c>
      <c r="V3499" s="8"/>
      <c r="W3499" s="8"/>
      <c r="X3499" s="8"/>
      <c r="Y3499" s="8"/>
      <c r="Z3499" s="8">
        <v>204.84</v>
      </c>
      <c r="AA3499" s="8"/>
      <c r="AB3499" s="8">
        <f>715*9.73/1000</f>
        <v>6.9569500000000009</v>
      </c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11"/>
      <c r="AQ3499" s="8"/>
      <c r="AR3499" s="8"/>
      <c r="AS3499" s="8"/>
      <c r="AT3499" s="8">
        <v>600.55999999999995</v>
      </c>
      <c r="AU3499" s="8"/>
      <c r="AV3499" s="8"/>
      <c r="AW3499" s="8">
        <v>4.3899999999999997</v>
      </c>
      <c r="AX3499" s="8"/>
      <c r="AY3499" s="8"/>
      <c r="AZ3499" s="8"/>
      <c r="BA3499" s="8"/>
      <c r="BB3499" s="8"/>
      <c r="BC3499" s="8"/>
      <c r="BD3499" s="8"/>
      <c r="BE3499" s="8"/>
      <c r="BF3499" s="8"/>
      <c r="BG3499" s="8">
        <v>44.37</v>
      </c>
      <c r="BH3499" s="9">
        <f t="shared" si="486"/>
        <v>1361.99</v>
      </c>
      <c r="BI3499" s="9">
        <f t="shared" si="487"/>
        <v>6.82</v>
      </c>
      <c r="BJ3499" s="9">
        <f t="shared" si="488"/>
        <v>4.6399999999999997</v>
      </c>
      <c r="BK3499" s="9">
        <f t="shared" si="489"/>
        <v>15.02</v>
      </c>
      <c r="BL3499" s="9">
        <f t="shared" si="490"/>
        <v>204.84</v>
      </c>
      <c r="BM3499" s="9">
        <f t="shared" si="491"/>
        <v>6.9569500000000009</v>
      </c>
      <c r="BN3499" s="9">
        <f t="shared" si="492"/>
        <v>600.55999999999995</v>
      </c>
      <c r="BO3499" s="9">
        <f t="shared" si="493"/>
        <v>4.3899999999999997</v>
      </c>
      <c r="BP3499" s="9">
        <f t="shared" si="494"/>
        <v>0</v>
      </c>
    </row>
    <row r="3500" spans="1:68">
      <c r="A3500" s="6">
        <v>45184</v>
      </c>
      <c r="B3500" s="7">
        <v>3307</v>
      </c>
      <c r="C3500" s="8"/>
      <c r="D3500" s="8">
        <v>518.28</v>
      </c>
      <c r="E3500" s="8"/>
      <c r="F3500" s="8"/>
      <c r="G3500" s="8"/>
      <c r="H3500" s="8"/>
      <c r="I3500" s="8"/>
      <c r="J3500" s="8"/>
      <c r="K3500" s="8"/>
      <c r="L3500" s="8"/>
      <c r="M3500" s="8">
        <v>0.47</v>
      </c>
      <c r="N3500" s="8"/>
      <c r="O3500" s="8"/>
      <c r="P3500" s="8"/>
      <c r="Q3500" s="11"/>
      <c r="R3500" s="11"/>
      <c r="S3500" s="8">
        <v>3.52</v>
      </c>
      <c r="T3500" s="8"/>
      <c r="U3500" s="8">
        <v>5.19</v>
      </c>
      <c r="V3500" s="8"/>
      <c r="W3500" s="8"/>
      <c r="X3500" s="8"/>
      <c r="Y3500" s="8"/>
      <c r="Z3500" s="8"/>
      <c r="AA3500" s="8"/>
      <c r="AB3500" s="8"/>
      <c r="AC3500" s="8">
        <v>3.11</v>
      </c>
      <c r="AD3500" s="8"/>
      <c r="AE3500" s="8"/>
      <c r="AF3500" s="8"/>
      <c r="AG3500" s="8">
        <v>5.2</v>
      </c>
      <c r="AH3500" s="8"/>
      <c r="AI3500" s="8"/>
      <c r="AJ3500" s="8"/>
      <c r="AK3500" s="8"/>
      <c r="AL3500" s="8"/>
      <c r="AM3500" s="8"/>
      <c r="AN3500" s="8"/>
      <c r="AO3500" s="8"/>
      <c r="AP3500" s="11"/>
      <c r="AQ3500" s="8"/>
      <c r="AR3500" s="8"/>
      <c r="AS3500" s="8"/>
      <c r="AT3500" s="8"/>
      <c r="AU3500" s="8">
        <v>259.73</v>
      </c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>
        <v>18.649999999999999</v>
      </c>
      <c r="BH3500" s="9">
        <f t="shared" si="486"/>
        <v>518.28</v>
      </c>
      <c r="BI3500" s="9">
        <f t="shared" si="487"/>
        <v>0.47</v>
      </c>
      <c r="BJ3500" s="9">
        <f t="shared" si="488"/>
        <v>3.52</v>
      </c>
      <c r="BK3500" s="9">
        <f t="shared" si="489"/>
        <v>5.19</v>
      </c>
      <c r="BL3500" s="9">
        <f t="shared" si="490"/>
        <v>0</v>
      </c>
      <c r="BM3500" s="9">
        <f t="shared" si="491"/>
        <v>8.31</v>
      </c>
      <c r="BN3500" s="9">
        <f t="shared" si="492"/>
        <v>259.73</v>
      </c>
      <c r="BO3500" s="9">
        <f t="shared" si="493"/>
        <v>0</v>
      </c>
      <c r="BP3500" s="9">
        <f t="shared" si="494"/>
        <v>0</v>
      </c>
    </row>
    <row r="3501" spans="1:68">
      <c r="A3501" s="6">
        <v>45184</v>
      </c>
      <c r="B3501" s="7">
        <v>3145</v>
      </c>
      <c r="C3501" s="8">
        <v>1218.44</v>
      </c>
      <c r="D3501" s="8">
        <v>215.24</v>
      </c>
      <c r="E3501" s="8"/>
      <c r="F3501" s="8"/>
      <c r="G3501" s="8"/>
      <c r="H3501" s="8"/>
      <c r="I3501" s="8"/>
      <c r="J3501" s="8"/>
      <c r="K3501" s="8"/>
      <c r="L3501" s="8"/>
      <c r="M3501" s="8">
        <v>4</v>
      </c>
      <c r="N3501" s="8"/>
      <c r="O3501" s="8"/>
      <c r="P3501" s="8"/>
      <c r="Q3501" s="11"/>
      <c r="R3501" s="11"/>
      <c r="S3501" s="8">
        <v>6.74</v>
      </c>
      <c r="T3501" s="8"/>
      <c r="U3501" s="8">
        <v>21.52</v>
      </c>
      <c r="V3501" s="8"/>
      <c r="W3501" s="8"/>
      <c r="X3501" s="8"/>
      <c r="Y3501" s="8"/>
      <c r="Z3501" s="8"/>
      <c r="AA3501" s="8"/>
      <c r="AB3501" s="8"/>
      <c r="AC3501" s="8">
        <v>5.74</v>
      </c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11"/>
      <c r="AQ3501" s="8"/>
      <c r="AR3501" s="8"/>
      <c r="AS3501" s="8"/>
      <c r="AT3501" s="8">
        <v>952.93</v>
      </c>
      <c r="AU3501" s="8"/>
      <c r="AV3501" s="8"/>
      <c r="AW3501" s="8"/>
      <c r="AX3501" s="8"/>
      <c r="AY3501" s="8"/>
      <c r="AZ3501" s="8"/>
      <c r="BA3501" s="8"/>
      <c r="BB3501" s="8"/>
      <c r="BC3501" s="8"/>
      <c r="BD3501" s="8">
        <v>3.58</v>
      </c>
      <c r="BE3501" s="8">
        <f>1368*9.55/1000</f>
        <v>13.064400000000001</v>
      </c>
      <c r="BF3501" s="8">
        <v>100.44</v>
      </c>
      <c r="BG3501" s="8">
        <v>74.58</v>
      </c>
      <c r="BH3501" s="9">
        <f t="shared" si="486"/>
        <v>1433.68</v>
      </c>
      <c r="BI3501" s="9">
        <f t="shared" si="487"/>
        <v>4</v>
      </c>
      <c r="BJ3501" s="9">
        <f t="shared" si="488"/>
        <v>6.74</v>
      </c>
      <c r="BK3501" s="9">
        <f t="shared" si="489"/>
        <v>21.52</v>
      </c>
      <c r="BL3501" s="9">
        <f t="shared" si="490"/>
        <v>0</v>
      </c>
      <c r="BM3501" s="9">
        <f t="shared" si="491"/>
        <v>5.74</v>
      </c>
      <c r="BN3501" s="9">
        <f t="shared" si="492"/>
        <v>952.93</v>
      </c>
      <c r="BO3501" s="9">
        <f t="shared" si="493"/>
        <v>16.644400000000001</v>
      </c>
      <c r="BP3501" s="9">
        <f t="shared" si="494"/>
        <v>100.44</v>
      </c>
    </row>
    <row r="3502" spans="1:68">
      <c r="A3502" s="6">
        <v>45184</v>
      </c>
      <c r="B3502" s="7">
        <v>3141</v>
      </c>
      <c r="C3502" s="8">
        <v>3532.96</v>
      </c>
      <c r="D3502" s="8">
        <v>623.51</v>
      </c>
      <c r="E3502" s="8"/>
      <c r="F3502" s="8"/>
      <c r="G3502" s="8"/>
      <c r="H3502" s="8"/>
      <c r="I3502" s="8"/>
      <c r="J3502" s="8"/>
      <c r="K3502" s="8"/>
      <c r="L3502" s="8"/>
      <c r="M3502" s="8">
        <v>11.27</v>
      </c>
      <c r="N3502" s="8"/>
      <c r="O3502" s="8"/>
      <c r="P3502" s="8"/>
      <c r="Q3502" s="11"/>
      <c r="R3502" s="11"/>
      <c r="S3502" s="8">
        <v>19.55</v>
      </c>
      <c r="T3502" s="8"/>
      <c r="U3502" s="8">
        <v>62.38</v>
      </c>
      <c r="V3502" s="8"/>
      <c r="W3502" s="8"/>
      <c r="X3502" s="8"/>
      <c r="Y3502" s="8"/>
      <c r="Z3502" s="8"/>
      <c r="AA3502" s="8"/>
      <c r="AB3502" s="8"/>
      <c r="AC3502" s="8">
        <v>16.649999999999999</v>
      </c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11"/>
      <c r="AQ3502" s="8"/>
      <c r="AR3502" s="8"/>
      <c r="AS3502" s="8"/>
      <c r="AT3502" s="8">
        <v>2748.33</v>
      </c>
      <c r="AU3502" s="8"/>
      <c r="AV3502" s="8"/>
      <c r="AW3502" s="8"/>
      <c r="AX3502" s="8"/>
      <c r="AY3502" s="8"/>
      <c r="AZ3502" s="8"/>
      <c r="BA3502" s="8">
        <v>95.3</v>
      </c>
      <c r="BB3502" s="8"/>
      <c r="BC3502" s="8"/>
      <c r="BD3502" s="8"/>
      <c r="BE3502" s="8"/>
      <c r="BF3502" s="8">
        <v>291.14999999999998</v>
      </c>
      <c r="BG3502" s="8">
        <v>216.83</v>
      </c>
      <c r="BH3502" s="9">
        <f t="shared" si="486"/>
        <v>4156.47</v>
      </c>
      <c r="BI3502" s="9">
        <f t="shared" si="487"/>
        <v>11.27</v>
      </c>
      <c r="BJ3502" s="9">
        <f t="shared" si="488"/>
        <v>19.55</v>
      </c>
      <c r="BK3502" s="9">
        <f t="shared" si="489"/>
        <v>62.38</v>
      </c>
      <c r="BL3502" s="9">
        <f t="shared" si="490"/>
        <v>0</v>
      </c>
      <c r="BM3502" s="9">
        <f t="shared" si="491"/>
        <v>16.649999999999999</v>
      </c>
      <c r="BN3502" s="9">
        <f t="shared" si="492"/>
        <v>2748.33</v>
      </c>
      <c r="BO3502" s="9">
        <f t="shared" si="493"/>
        <v>95.3</v>
      </c>
      <c r="BP3502" s="9">
        <f t="shared" si="494"/>
        <v>291.14999999999998</v>
      </c>
    </row>
    <row r="3503" spans="1:68">
      <c r="A3503" s="6">
        <v>45184</v>
      </c>
      <c r="B3503" s="7">
        <v>3016</v>
      </c>
      <c r="C3503" s="8"/>
      <c r="D3503" s="8">
        <v>2389.23</v>
      </c>
      <c r="E3503" s="8"/>
      <c r="F3503" s="8"/>
      <c r="G3503" s="8"/>
      <c r="H3503" s="8"/>
      <c r="I3503" s="8">
        <v>2204.3200000000002</v>
      </c>
      <c r="J3503" s="8"/>
      <c r="K3503" s="8"/>
      <c r="L3503" s="8"/>
      <c r="M3503" s="8"/>
      <c r="N3503" s="8">
        <v>28.51</v>
      </c>
      <c r="O3503" s="8"/>
      <c r="P3503" s="8"/>
      <c r="Q3503" s="11"/>
      <c r="R3503" s="11"/>
      <c r="S3503" s="8">
        <v>3.21</v>
      </c>
      <c r="T3503" s="8"/>
      <c r="U3503" s="8"/>
      <c r="V3503" s="8"/>
      <c r="W3503" s="8">
        <v>45.96</v>
      </c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>
        <v>18.32</v>
      </c>
      <c r="AN3503" s="8">
        <f>2060*27.03/1000</f>
        <v>55.681800000000003</v>
      </c>
      <c r="AO3503" s="8"/>
      <c r="AP3503" s="11"/>
      <c r="AQ3503" s="8"/>
      <c r="AR3503" s="8">
        <f>4288*27.03/1000</f>
        <v>115.90464</v>
      </c>
      <c r="AS3503" s="8"/>
      <c r="AT3503" s="8">
        <v>1707.6</v>
      </c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>
        <v>125.25</v>
      </c>
      <c r="BH3503" s="9">
        <f t="shared" si="486"/>
        <v>4593.55</v>
      </c>
      <c r="BI3503" s="9">
        <f t="shared" si="487"/>
        <v>28.51</v>
      </c>
      <c r="BJ3503" s="9">
        <f t="shared" si="488"/>
        <v>3.21</v>
      </c>
      <c r="BK3503" s="9">
        <f t="shared" si="489"/>
        <v>45.96</v>
      </c>
      <c r="BL3503" s="9">
        <f t="shared" si="490"/>
        <v>0</v>
      </c>
      <c r="BM3503" s="9">
        <f t="shared" si="491"/>
        <v>189.90644</v>
      </c>
      <c r="BN3503" s="9">
        <f t="shared" si="492"/>
        <v>1707.6</v>
      </c>
      <c r="BO3503" s="9">
        <f t="shared" si="493"/>
        <v>0</v>
      </c>
      <c r="BP3503" s="9">
        <f t="shared" si="494"/>
        <v>0</v>
      </c>
    </row>
    <row r="3504" spans="1:68">
      <c r="A3504" s="6">
        <v>45187</v>
      </c>
      <c r="B3504" s="7">
        <v>3153</v>
      </c>
      <c r="C3504" s="8">
        <v>775.51</v>
      </c>
      <c r="D3504" s="8"/>
      <c r="E3504" s="8"/>
      <c r="F3504" s="8"/>
      <c r="G3504" s="8"/>
      <c r="H3504" s="8"/>
      <c r="I3504" s="8"/>
      <c r="J3504" s="8"/>
      <c r="K3504" s="8"/>
      <c r="L3504" s="8"/>
      <c r="M3504" s="8">
        <v>1.4</v>
      </c>
      <c r="N3504" s="8">
        <v>1.39</v>
      </c>
      <c r="O3504" s="8"/>
      <c r="P3504" s="8"/>
      <c r="Q3504" s="11"/>
      <c r="R3504" s="11"/>
      <c r="S3504" s="8">
        <v>3.19</v>
      </c>
      <c r="T3504" s="8"/>
      <c r="U3504" s="8">
        <v>7.76</v>
      </c>
      <c r="V3504" s="8"/>
      <c r="W3504" s="8"/>
      <c r="X3504" s="8"/>
      <c r="Y3504" s="8"/>
      <c r="Z3504" s="8"/>
      <c r="AA3504" s="8"/>
      <c r="AB3504" s="8"/>
      <c r="AC3504" s="8">
        <v>3.1</v>
      </c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11"/>
      <c r="AQ3504" s="8"/>
      <c r="AR3504" s="8"/>
      <c r="AS3504" s="8"/>
      <c r="AT3504" s="8">
        <v>344.37</v>
      </c>
      <c r="AU3504" s="8"/>
      <c r="AV3504" s="8"/>
      <c r="AW3504" s="8"/>
      <c r="AX3504" s="8"/>
      <c r="AY3504" s="8"/>
      <c r="AZ3504" s="8"/>
      <c r="BA3504" s="8"/>
      <c r="BB3504" s="8"/>
      <c r="BC3504" s="8">
        <v>0.78</v>
      </c>
      <c r="BD3504" s="8"/>
      <c r="BE3504" s="8"/>
      <c r="BF3504" s="8"/>
      <c r="BG3504" s="8">
        <v>25.23</v>
      </c>
      <c r="BH3504" s="9">
        <f t="shared" si="486"/>
        <v>775.51</v>
      </c>
      <c r="BI3504" s="9">
        <f t="shared" si="487"/>
        <v>2.79</v>
      </c>
      <c r="BJ3504" s="9">
        <f t="shared" si="488"/>
        <v>3.19</v>
      </c>
      <c r="BK3504" s="9">
        <f t="shared" si="489"/>
        <v>7.76</v>
      </c>
      <c r="BL3504" s="9">
        <f t="shared" si="490"/>
        <v>0</v>
      </c>
      <c r="BM3504" s="9">
        <f t="shared" si="491"/>
        <v>3.1</v>
      </c>
      <c r="BN3504" s="9">
        <f t="shared" si="492"/>
        <v>344.37</v>
      </c>
      <c r="BO3504" s="9">
        <f t="shared" si="493"/>
        <v>0.78</v>
      </c>
      <c r="BP3504" s="9">
        <f t="shared" si="494"/>
        <v>0</v>
      </c>
    </row>
    <row r="3505" spans="1:68">
      <c r="A3505" s="6">
        <v>45187</v>
      </c>
      <c r="B3505" s="7">
        <v>3704</v>
      </c>
      <c r="C3505" s="8">
        <v>157.44</v>
      </c>
      <c r="D3505" s="8">
        <v>236.44</v>
      </c>
      <c r="E3505" s="8"/>
      <c r="F3505" s="8"/>
      <c r="G3505" s="8"/>
      <c r="H3505" s="8"/>
      <c r="I3505" s="8"/>
      <c r="J3505" s="8"/>
      <c r="K3505" s="8"/>
      <c r="L3505" s="8"/>
      <c r="M3505" s="8">
        <v>1.18</v>
      </c>
      <c r="N3505" s="8"/>
      <c r="O3505" s="8"/>
      <c r="P3505" s="8"/>
      <c r="Q3505" s="11"/>
      <c r="R3505" s="11"/>
      <c r="S3505" s="8">
        <v>1.38</v>
      </c>
      <c r="T3505" s="8"/>
      <c r="U3505" s="8">
        <v>2.95</v>
      </c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>
        <v>4.71</v>
      </c>
      <c r="AN3505" s="8"/>
      <c r="AO3505" s="8"/>
      <c r="AP3505" s="11"/>
      <c r="AQ3505" s="8"/>
      <c r="AR3505" s="8"/>
      <c r="AS3505" s="8"/>
      <c r="AT3505" s="8">
        <v>68.069999999999993</v>
      </c>
      <c r="AU3505" s="8">
        <v>33.97</v>
      </c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>
        <v>6.26</v>
      </c>
      <c r="BH3505" s="9">
        <f t="shared" si="486"/>
        <v>393.88</v>
      </c>
      <c r="BI3505" s="9">
        <f t="shared" si="487"/>
        <v>1.18</v>
      </c>
      <c r="BJ3505" s="9">
        <f t="shared" si="488"/>
        <v>1.38</v>
      </c>
      <c r="BK3505" s="9">
        <f t="shared" si="489"/>
        <v>2.95</v>
      </c>
      <c r="BL3505" s="9">
        <f t="shared" si="490"/>
        <v>0</v>
      </c>
      <c r="BM3505" s="9">
        <f t="shared" si="491"/>
        <v>4.71</v>
      </c>
      <c r="BN3505" s="9">
        <f t="shared" si="492"/>
        <v>102.03999999999999</v>
      </c>
      <c r="BO3505" s="9">
        <f t="shared" si="493"/>
        <v>0</v>
      </c>
      <c r="BP3505" s="9">
        <f t="shared" si="494"/>
        <v>0</v>
      </c>
    </row>
    <row r="3506" spans="1:68">
      <c r="A3506" s="6">
        <v>45187</v>
      </c>
      <c r="B3506" s="7">
        <v>3304</v>
      </c>
      <c r="C3506" s="8"/>
      <c r="D3506" s="8">
        <v>1058.72</v>
      </c>
      <c r="E3506" s="8"/>
      <c r="F3506" s="8"/>
      <c r="G3506" s="8"/>
      <c r="H3506" s="8"/>
      <c r="I3506" s="8"/>
      <c r="J3506" s="8"/>
      <c r="K3506" s="8"/>
      <c r="L3506" s="8"/>
      <c r="M3506" s="8">
        <v>2.12</v>
      </c>
      <c r="N3506" s="8"/>
      <c r="O3506" s="8"/>
      <c r="P3506" s="8"/>
      <c r="Q3506" s="11"/>
      <c r="R3506" s="11"/>
      <c r="S3506" s="8">
        <v>1.59</v>
      </c>
      <c r="T3506" s="8"/>
      <c r="U3506" s="8">
        <v>9.5299999999999994</v>
      </c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>
        <v>10.62</v>
      </c>
      <c r="AH3506" s="8"/>
      <c r="AI3506" s="8"/>
      <c r="AJ3506" s="8"/>
      <c r="AK3506" s="8"/>
      <c r="AL3506" s="8"/>
      <c r="AM3506" s="8"/>
      <c r="AN3506" s="8"/>
      <c r="AO3506" s="8"/>
      <c r="AP3506" s="11"/>
      <c r="AQ3506" s="8"/>
      <c r="AR3506" s="8"/>
      <c r="AS3506" s="8"/>
      <c r="AT3506" s="8">
        <v>282.89999999999998</v>
      </c>
      <c r="AU3506" s="8">
        <v>141.27000000000001</v>
      </c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>
        <v>29.2</v>
      </c>
      <c r="BH3506" s="9">
        <f t="shared" si="486"/>
        <v>1058.72</v>
      </c>
      <c r="BI3506" s="9">
        <f t="shared" si="487"/>
        <v>2.12</v>
      </c>
      <c r="BJ3506" s="9">
        <f t="shared" si="488"/>
        <v>1.59</v>
      </c>
      <c r="BK3506" s="9">
        <f t="shared" si="489"/>
        <v>9.5299999999999994</v>
      </c>
      <c r="BL3506" s="9">
        <f t="shared" si="490"/>
        <v>0</v>
      </c>
      <c r="BM3506" s="9">
        <f t="shared" si="491"/>
        <v>10.62</v>
      </c>
      <c r="BN3506" s="9">
        <f t="shared" si="492"/>
        <v>424.16999999999996</v>
      </c>
      <c r="BO3506" s="9">
        <f t="shared" si="493"/>
        <v>0</v>
      </c>
      <c r="BP3506" s="9">
        <f t="shared" si="494"/>
        <v>0</v>
      </c>
    </row>
    <row r="3507" spans="1:68">
      <c r="A3507" s="6">
        <v>45187</v>
      </c>
      <c r="B3507" s="7">
        <v>3005</v>
      </c>
      <c r="C3507" s="8">
        <v>421.39</v>
      </c>
      <c r="D3507" s="8">
        <v>281.07</v>
      </c>
      <c r="E3507" s="8"/>
      <c r="F3507" s="8"/>
      <c r="G3507" s="8"/>
      <c r="H3507" s="8"/>
      <c r="I3507" s="8"/>
      <c r="J3507" s="8"/>
      <c r="K3507" s="8"/>
      <c r="L3507" s="8"/>
      <c r="M3507" s="8"/>
      <c r="N3507" s="8">
        <v>0.7</v>
      </c>
      <c r="O3507" s="8"/>
      <c r="P3507" s="8"/>
      <c r="Q3507" s="11"/>
      <c r="R3507" s="11"/>
      <c r="S3507" s="8">
        <v>2.46</v>
      </c>
      <c r="T3507" s="8"/>
      <c r="U3507" s="8"/>
      <c r="V3507" s="8"/>
      <c r="W3507" s="8">
        <v>7.73</v>
      </c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11"/>
      <c r="AQ3507" s="8"/>
      <c r="AR3507" s="8"/>
      <c r="AS3507" s="8"/>
      <c r="AT3507" s="8">
        <v>344.11</v>
      </c>
      <c r="AU3507" s="8"/>
      <c r="AV3507" s="8"/>
      <c r="AW3507" s="8">
        <v>7.8</v>
      </c>
      <c r="AX3507" s="8"/>
      <c r="AY3507" s="8"/>
      <c r="AZ3507" s="8"/>
      <c r="BA3507" s="8"/>
      <c r="BB3507" s="8"/>
      <c r="BC3507" s="8"/>
      <c r="BD3507" s="8"/>
      <c r="BE3507" s="8"/>
      <c r="BF3507" s="8"/>
      <c r="BG3507" s="8">
        <v>25.62</v>
      </c>
      <c r="BH3507" s="9">
        <f t="shared" si="486"/>
        <v>702.46</v>
      </c>
      <c r="BI3507" s="9">
        <f t="shared" si="487"/>
        <v>0.7</v>
      </c>
      <c r="BJ3507" s="9">
        <f t="shared" si="488"/>
        <v>2.46</v>
      </c>
      <c r="BK3507" s="9">
        <f t="shared" si="489"/>
        <v>7.73</v>
      </c>
      <c r="BL3507" s="9">
        <f t="shared" si="490"/>
        <v>0</v>
      </c>
      <c r="BM3507" s="9">
        <f t="shared" si="491"/>
        <v>0</v>
      </c>
      <c r="BN3507" s="9">
        <f t="shared" si="492"/>
        <v>344.11</v>
      </c>
      <c r="BO3507" s="9">
        <f t="shared" si="493"/>
        <v>7.8</v>
      </c>
      <c r="BP3507" s="9">
        <f t="shared" si="494"/>
        <v>0</v>
      </c>
    </row>
    <row r="3508" spans="1:68">
      <c r="A3508" s="6">
        <v>45187</v>
      </c>
      <c r="B3508" s="7">
        <v>3024</v>
      </c>
      <c r="C3508" s="8"/>
      <c r="D3508" s="8">
        <v>366.04</v>
      </c>
      <c r="E3508" s="8"/>
      <c r="F3508" s="8"/>
      <c r="G3508" s="8"/>
      <c r="H3508" s="8"/>
      <c r="I3508" s="8">
        <v>366.15</v>
      </c>
      <c r="J3508" s="8"/>
      <c r="K3508" s="8"/>
      <c r="L3508" s="8"/>
      <c r="M3508" s="8"/>
      <c r="N3508" s="8">
        <v>4.54</v>
      </c>
      <c r="O3508" s="8"/>
      <c r="P3508" s="8"/>
      <c r="Q3508" s="11"/>
      <c r="R3508" s="11"/>
      <c r="S3508" s="8">
        <v>1.17</v>
      </c>
      <c r="T3508" s="8"/>
      <c r="U3508" s="8"/>
      <c r="V3508" s="8"/>
      <c r="W3508" s="8">
        <v>5.87</v>
      </c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>
        <v>7.31</v>
      </c>
      <c r="AN3508" s="8">
        <f>852*6.1/1000</f>
        <v>5.1971999999999996</v>
      </c>
      <c r="AO3508" s="8"/>
      <c r="AP3508" s="11"/>
      <c r="AQ3508" s="8"/>
      <c r="AR3508" s="8"/>
      <c r="AS3508" s="8">
        <f>3985*6.1/1000</f>
        <v>24.308499999999999</v>
      </c>
      <c r="AT3508" s="8">
        <v>281.77999999999997</v>
      </c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>
        <v>20.52</v>
      </c>
      <c r="BH3508" s="9">
        <f t="shared" si="486"/>
        <v>732.19</v>
      </c>
      <c r="BI3508" s="9">
        <f t="shared" si="487"/>
        <v>4.54</v>
      </c>
      <c r="BJ3508" s="9">
        <f t="shared" si="488"/>
        <v>1.17</v>
      </c>
      <c r="BK3508" s="9">
        <f t="shared" si="489"/>
        <v>5.87</v>
      </c>
      <c r="BL3508" s="9">
        <f t="shared" si="490"/>
        <v>0</v>
      </c>
      <c r="BM3508" s="9">
        <f t="shared" si="491"/>
        <v>36.8157</v>
      </c>
      <c r="BN3508" s="9">
        <f t="shared" si="492"/>
        <v>281.77999999999997</v>
      </c>
      <c r="BO3508" s="9">
        <f t="shared" si="493"/>
        <v>0</v>
      </c>
      <c r="BP3508" s="9">
        <f t="shared" si="494"/>
        <v>0</v>
      </c>
    </row>
    <row r="3509" spans="1:68">
      <c r="A3509" s="6">
        <v>45187</v>
      </c>
      <c r="B3509" s="7">
        <v>3017</v>
      </c>
      <c r="C3509" s="8"/>
      <c r="D3509" s="8">
        <v>262.51</v>
      </c>
      <c r="E3509" s="8"/>
      <c r="F3509" s="8"/>
      <c r="G3509" s="8"/>
      <c r="H3509" s="8"/>
      <c r="I3509" s="8">
        <v>364.45</v>
      </c>
      <c r="J3509" s="8"/>
      <c r="K3509" s="8"/>
      <c r="L3509" s="8"/>
      <c r="M3509" s="8"/>
      <c r="N3509" s="8">
        <v>4.51</v>
      </c>
      <c r="O3509" s="8"/>
      <c r="P3509" s="8"/>
      <c r="Q3509" s="11"/>
      <c r="R3509" s="11"/>
      <c r="S3509" s="8">
        <v>0.44</v>
      </c>
      <c r="T3509" s="8"/>
      <c r="U3509" s="8"/>
      <c r="V3509" s="8"/>
      <c r="W3509" s="8">
        <v>4.7</v>
      </c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>
        <v>2.5</v>
      </c>
      <c r="AN3509" s="8">
        <f>1218*5.22/1000</f>
        <v>6.3579600000000003</v>
      </c>
      <c r="AO3509" s="8"/>
      <c r="AP3509" s="11"/>
      <c r="AQ3509" s="8"/>
      <c r="AR3509" s="8">
        <f>4826*5.22/1000</f>
        <v>25.191719999999997</v>
      </c>
      <c r="AS3509" s="8"/>
      <c r="AT3509" s="8">
        <v>268.75</v>
      </c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>
        <v>19.440000000000001</v>
      </c>
      <c r="BH3509" s="9">
        <f t="shared" si="486"/>
        <v>626.96</v>
      </c>
      <c r="BI3509" s="9">
        <f t="shared" si="487"/>
        <v>4.51</v>
      </c>
      <c r="BJ3509" s="9">
        <f t="shared" si="488"/>
        <v>0.44</v>
      </c>
      <c r="BK3509" s="9">
        <f t="shared" si="489"/>
        <v>4.7</v>
      </c>
      <c r="BL3509" s="9">
        <f t="shared" si="490"/>
        <v>0</v>
      </c>
      <c r="BM3509" s="9">
        <f t="shared" si="491"/>
        <v>34.049679999999995</v>
      </c>
      <c r="BN3509" s="9">
        <f t="shared" si="492"/>
        <v>268.75</v>
      </c>
      <c r="BO3509" s="9">
        <f t="shared" si="493"/>
        <v>0</v>
      </c>
      <c r="BP3509" s="9">
        <f t="shared" si="494"/>
        <v>0</v>
      </c>
    </row>
    <row r="3510" spans="1:68">
      <c r="A3510" s="6">
        <v>45187</v>
      </c>
      <c r="B3510" s="7">
        <v>3079</v>
      </c>
      <c r="C3510" s="8"/>
      <c r="D3510" s="8"/>
      <c r="E3510" s="8"/>
      <c r="F3510" s="8">
        <v>509.93</v>
      </c>
      <c r="G3510" s="8"/>
      <c r="H3510" s="8"/>
      <c r="I3510" s="8">
        <v>4123.7</v>
      </c>
      <c r="J3510" s="8"/>
      <c r="K3510" s="8"/>
      <c r="L3510" s="8"/>
      <c r="M3510" s="8"/>
      <c r="N3510" s="8">
        <v>33.840000000000003</v>
      </c>
      <c r="O3510" s="8"/>
      <c r="P3510" s="8"/>
      <c r="Q3510" s="11"/>
      <c r="R3510" s="11"/>
      <c r="S3510" s="8">
        <v>1.84</v>
      </c>
      <c r="T3510" s="8"/>
      <c r="U3510" s="8"/>
      <c r="V3510" s="8"/>
      <c r="W3510" s="8">
        <v>46.39</v>
      </c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>
        <v>18.47</v>
      </c>
      <c r="AN3510" s="8">
        <f>1727*27.27/1000</f>
        <v>47.095289999999999</v>
      </c>
      <c r="AO3510" s="8"/>
      <c r="AP3510" s="11"/>
      <c r="AQ3510" s="8"/>
      <c r="AR3510" s="8">
        <f>4284*27.27/1000</f>
        <v>116.82467999999999</v>
      </c>
      <c r="AS3510" s="8"/>
      <c r="AT3510" s="8">
        <v>1789.69</v>
      </c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>
        <v>130.12</v>
      </c>
      <c r="BH3510" s="9">
        <f t="shared" si="486"/>
        <v>4633.63</v>
      </c>
      <c r="BI3510" s="9">
        <f t="shared" si="487"/>
        <v>33.840000000000003</v>
      </c>
      <c r="BJ3510" s="9">
        <f t="shared" si="488"/>
        <v>1.84</v>
      </c>
      <c r="BK3510" s="9">
        <f t="shared" si="489"/>
        <v>46.39</v>
      </c>
      <c r="BL3510" s="9">
        <f t="shared" si="490"/>
        <v>0</v>
      </c>
      <c r="BM3510" s="9">
        <f t="shared" si="491"/>
        <v>182.38997000000001</v>
      </c>
      <c r="BN3510" s="9">
        <f t="shared" si="492"/>
        <v>1789.69</v>
      </c>
      <c r="BO3510" s="9">
        <f t="shared" si="493"/>
        <v>0</v>
      </c>
      <c r="BP3510" s="9">
        <f t="shared" si="494"/>
        <v>0</v>
      </c>
    </row>
    <row r="3511" spans="1:68">
      <c r="A3511" s="6">
        <v>45187</v>
      </c>
      <c r="B3511" s="7">
        <v>3502</v>
      </c>
      <c r="C3511" s="8">
        <v>237.41</v>
      </c>
      <c r="D3511" s="8">
        <v>158.72999999999999</v>
      </c>
      <c r="E3511" s="8"/>
      <c r="F3511" s="8"/>
      <c r="G3511" s="8"/>
      <c r="H3511" s="8"/>
      <c r="I3511" s="8"/>
      <c r="J3511" s="8"/>
      <c r="K3511" s="8"/>
      <c r="L3511" s="8"/>
      <c r="M3511" s="8">
        <v>0.6</v>
      </c>
      <c r="N3511" s="8">
        <v>0.6</v>
      </c>
      <c r="O3511" s="8"/>
      <c r="P3511" s="8"/>
      <c r="Q3511" s="11"/>
      <c r="R3511" s="11"/>
      <c r="S3511" s="8">
        <v>1.51</v>
      </c>
      <c r="T3511" s="8"/>
      <c r="U3511" s="8">
        <v>3.98</v>
      </c>
      <c r="V3511" s="8"/>
      <c r="W3511" s="8"/>
      <c r="X3511" s="8"/>
      <c r="Y3511" s="8"/>
      <c r="Z3511" s="8">
        <v>79.510000000000005</v>
      </c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11"/>
      <c r="AQ3511" s="8"/>
      <c r="AR3511" s="8"/>
      <c r="AS3511" s="8"/>
      <c r="AT3511" s="8">
        <v>163.9</v>
      </c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>
        <v>12.88</v>
      </c>
      <c r="BH3511" s="9">
        <f t="shared" si="486"/>
        <v>396.14</v>
      </c>
      <c r="BI3511" s="9">
        <f t="shared" si="487"/>
        <v>1.2</v>
      </c>
      <c r="BJ3511" s="9">
        <f t="shared" si="488"/>
        <v>1.51</v>
      </c>
      <c r="BK3511" s="9">
        <f t="shared" si="489"/>
        <v>3.98</v>
      </c>
      <c r="BL3511" s="9">
        <f t="shared" si="490"/>
        <v>79.510000000000005</v>
      </c>
      <c r="BM3511" s="9">
        <f t="shared" si="491"/>
        <v>0</v>
      </c>
      <c r="BN3511" s="9">
        <f t="shared" si="492"/>
        <v>163.9</v>
      </c>
      <c r="BO3511" s="9">
        <f t="shared" si="493"/>
        <v>0</v>
      </c>
      <c r="BP3511" s="9">
        <f t="shared" si="494"/>
        <v>0</v>
      </c>
    </row>
    <row r="3512" spans="1:68">
      <c r="A3512" s="6">
        <v>45187</v>
      </c>
      <c r="B3512" s="7">
        <v>8223</v>
      </c>
      <c r="C3512" s="8">
        <v>2691.09</v>
      </c>
      <c r="D3512" s="8"/>
      <c r="E3512" s="8"/>
      <c r="F3512" s="8"/>
      <c r="G3512" s="8"/>
      <c r="H3512" s="8"/>
      <c r="I3512" s="8"/>
      <c r="J3512" s="8"/>
      <c r="K3512" s="8"/>
      <c r="L3512" s="8"/>
      <c r="M3512" s="8">
        <v>5.24</v>
      </c>
      <c r="N3512" s="8"/>
      <c r="O3512" s="8"/>
      <c r="P3512" s="8"/>
      <c r="Q3512" s="11"/>
      <c r="R3512" s="11"/>
      <c r="S3512" s="8">
        <v>10.77</v>
      </c>
      <c r="T3512" s="8"/>
      <c r="U3512" s="8">
        <v>26.92</v>
      </c>
      <c r="V3512" s="8"/>
      <c r="W3512" s="8"/>
      <c r="X3512" s="8"/>
      <c r="Y3512" s="8"/>
      <c r="Z3512" s="8"/>
      <c r="AA3512" s="8"/>
      <c r="AB3512" s="8"/>
      <c r="AC3512" s="8">
        <v>6.72</v>
      </c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11"/>
      <c r="AQ3512" s="8"/>
      <c r="AR3512" s="8"/>
      <c r="AS3512" s="8"/>
      <c r="AT3512" s="8">
        <v>1260.43</v>
      </c>
      <c r="AU3512" s="8"/>
      <c r="AV3512" s="8"/>
      <c r="AW3512" s="8"/>
      <c r="AX3512" s="8">
        <v>5.83</v>
      </c>
      <c r="AY3512" s="8"/>
      <c r="AZ3512" s="8"/>
      <c r="BA3512" s="8"/>
      <c r="BB3512" s="8"/>
      <c r="BC3512" s="8"/>
      <c r="BD3512" s="8"/>
      <c r="BE3512" s="8"/>
      <c r="BF3512" s="8"/>
      <c r="BG3512" s="8">
        <v>98.26</v>
      </c>
      <c r="BH3512" s="9">
        <f t="shared" si="486"/>
        <v>2691.09</v>
      </c>
      <c r="BI3512" s="9">
        <f t="shared" si="487"/>
        <v>5.24</v>
      </c>
      <c r="BJ3512" s="9">
        <f t="shared" si="488"/>
        <v>10.77</v>
      </c>
      <c r="BK3512" s="9">
        <f t="shared" si="489"/>
        <v>26.92</v>
      </c>
      <c r="BL3512" s="9">
        <f t="shared" si="490"/>
        <v>0</v>
      </c>
      <c r="BM3512" s="9">
        <f t="shared" si="491"/>
        <v>6.72</v>
      </c>
      <c r="BN3512" s="9">
        <f t="shared" si="492"/>
        <v>1260.43</v>
      </c>
      <c r="BO3512" s="9">
        <f t="shared" si="493"/>
        <v>5.83</v>
      </c>
      <c r="BP3512" s="9">
        <f t="shared" si="494"/>
        <v>0</v>
      </c>
    </row>
    <row r="3513" spans="1:68">
      <c r="A3513" s="6">
        <v>45187</v>
      </c>
      <c r="B3513" s="7">
        <v>3200</v>
      </c>
      <c r="C3513" s="8">
        <v>2277.37</v>
      </c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>
        <v>5.69</v>
      </c>
      <c r="P3513" s="8"/>
      <c r="Q3513" s="11"/>
      <c r="R3513" s="11"/>
      <c r="S3513" s="8">
        <v>8.89</v>
      </c>
      <c r="T3513" s="8"/>
      <c r="U3513" s="8">
        <v>34.17</v>
      </c>
      <c r="V3513" s="8"/>
      <c r="W3513" s="8"/>
      <c r="X3513" s="8"/>
      <c r="Y3513" s="8"/>
      <c r="Z3513" s="8">
        <v>478.75</v>
      </c>
      <c r="AA3513" s="8"/>
      <c r="AB3513" s="8"/>
      <c r="AC3513" s="8"/>
      <c r="AD3513" s="8"/>
      <c r="AE3513" s="8"/>
      <c r="AF3513" s="8">
        <v>113.58</v>
      </c>
      <c r="AG3513" s="8"/>
      <c r="AH3513" s="8"/>
      <c r="AI3513" s="8"/>
      <c r="AJ3513" s="8"/>
      <c r="AK3513" s="8"/>
      <c r="AL3513" s="8"/>
      <c r="AM3513" s="8"/>
      <c r="AN3513" s="8"/>
      <c r="AO3513" s="8"/>
      <c r="AP3513" s="11"/>
      <c r="AQ3513" s="8">
        <f>1511*22.78/1000</f>
        <v>34.420580000000001</v>
      </c>
      <c r="AR3513" s="8"/>
      <c r="AS3513" s="8"/>
      <c r="AT3513" s="8">
        <v>1560.88</v>
      </c>
      <c r="AU3513" s="8"/>
      <c r="AV3513" s="8"/>
      <c r="AW3513" s="8">
        <v>6.61</v>
      </c>
      <c r="AX3513" s="8"/>
      <c r="AY3513" s="8"/>
      <c r="AZ3513" s="8"/>
      <c r="BA3513" s="8"/>
      <c r="BB3513" s="8"/>
      <c r="BC3513" s="8"/>
      <c r="BD3513" s="8"/>
      <c r="BE3513" s="8"/>
      <c r="BF3513" s="8">
        <v>109.4</v>
      </c>
      <c r="BG3513" s="8">
        <v>112.59</v>
      </c>
      <c r="BH3513" s="9">
        <f t="shared" si="486"/>
        <v>2277.37</v>
      </c>
      <c r="BI3513" s="9">
        <f t="shared" si="487"/>
        <v>5.69</v>
      </c>
      <c r="BJ3513" s="9">
        <f t="shared" si="488"/>
        <v>8.89</v>
      </c>
      <c r="BK3513" s="9">
        <f t="shared" si="489"/>
        <v>34.17</v>
      </c>
      <c r="BL3513" s="9">
        <f t="shared" si="490"/>
        <v>478.75</v>
      </c>
      <c r="BM3513" s="9">
        <f t="shared" si="491"/>
        <v>148.00058000000001</v>
      </c>
      <c r="BN3513" s="9">
        <f t="shared" si="492"/>
        <v>1560.88</v>
      </c>
      <c r="BO3513" s="9">
        <f t="shared" si="493"/>
        <v>6.61</v>
      </c>
      <c r="BP3513" s="9">
        <f t="shared" si="494"/>
        <v>109.4</v>
      </c>
    </row>
    <row r="3514" spans="1:68">
      <c r="A3514" s="6">
        <v>45188</v>
      </c>
      <c r="B3514" s="7">
        <v>3310</v>
      </c>
      <c r="C3514" s="8"/>
      <c r="D3514" s="8">
        <v>995.13</v>
      </c>
      <c r="E3514" s="8"/>
      <c r="F3514" s="8"/>
      <c r="G3514" s="8"/>
      <c r="H3514" s="8"/>
      <c r="I3514" s="8"/>
      <c r="J3514" s="8"/>
      <c r="K3514" s="8"/>
      <c r="L3514" s="8"/>
      <c r="M3514" s="8">
        <v>2</v>
      </c>
      <c r="N3514" s="8"/>
      <c r="O3514" s="8"/>
      <c r="P3514" s="8"/>
      <c r="Q3514" s="11"/>
      <c r="R3514" s="11"/>
      <c r="S3514" s="8">
        <v>1.5</v>
      </c>
      <c r="T3514" s="8"/>
      <c r="U3514" s="8">
        <v>8.99</v>
      </c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>
        <v>10.029999999999999</v>
      </c>
      <c r="AH3514" s="8"/>
      <c r="AI3514" s="8"/>
      <c r="AJ3514" s="8"/>
      <c r="AK3514" s="8"/>
      <c r="AL3514" s="8"/>
      <c r="AM3514" s="8"/>
      <c r="AN3514" s="8"/>
      <c r="AO3514" s="8"/>
      <c r="AP3514" s="11"/>
      <c r="AQ3514" s="8"/>
      <c r="AR3514" s="8"/>
      <c r="AS3514" s="8"/>
      <c r="AT3514" s="8">
        <v>269.08</v>
      </c>
      <c r="AU3514" s="8">
        <v>133.38999999999999</v>
      </c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>
        <v>27.77</v>
      </c>
      <c r="BH3514" s="9">
        <f t="shared" si="486"/>
        <v>995.13</v>
      </c>
      <c r="BI3514" s="9">
        <f t="shared" si="487"/>
        <v>2</v>
      </c>
      <c r="BJ3514" s="9">
        <f t="shared" si="488"/>
        <v>1.5</v>
      </c>
      <c r="BK3514" s="9">
        <f t="shared" si="489"/>
        <v>8.99</v>
      </c>
      <c r="BL3514" s="9">
        <f t="shared" si="490"/>
        <v>0</v>
      </c>
      <c r="BM3514" s="9">
        <f t="shared" si="491"/>
        <v>10.029999999999999</v>
      </c>
      <c r="BN3514" s="9">
        <f t="shared" si="492"/>
        <v>402.46999999999997</v>
      </c>
      <c r="BO3514" s="9">
        <f t="shared" si="493"/>
        <v>0</v>
      </c>
      <c r="BP3514" s="9">
        <f t="shared" si="494"/>
        <v>0</v>
      </c>
    </row>
    <row r="3515" spans="1:68">
      <c r="A3515" s="6">
        <v>45188</v>
      </c>
      <c r="B3515" s="7">
        <v>3602</v>
      </c>
      <c r="C3515" s="8">
        <v>551.57999999999993</v>
      </c>
      <c r="D3515" s="8"/>
      <c r="E3515" s="8"/>
      <c r="F3515" s="8"/>
      <c r="G3515" s="8">
        <v>829.86</v>
      </c>
      <c r="H3515" s="8"/>
      <c r="I3515" s="8"/>
      <c r="J3515" s="8"/>
      <c r="K3515" s="8"/>
      <c r="L3515" s="8"/>
      <c r="M3515" s="8">
        <v>1.67</v>
      </c>
      <c r="N3515" s="8"/>
      <c r="O3515" s="8"/>
      <c r="P3515" s="8"/>
      <c r="Q3515" s="11"/>
      <c r="R3515" s="11"/>
      <c r="S3515" s="8">
        <v>6.67</v>
      </c>
      <c r="T3515" s="8"/>
      <c r="U3515" s="8">
        <v>11.149999999999999</v>
      </c>
      <c r="V3515" s="8">
        <v>13.600589999999999</v>
      </c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11"/>
      <c r="AQ3515" s="8"/>
      <c r="AR3515" s="8"/>
      <c r="AS3515" s="8"/>
      <c r="AT3515" s="8">
        <v>558.24</v>
      </c>
      <c r="AU3515" s="8"/>
      <c r="AV3515" s="8"/>
      <c r="AW3515" s="8">
        <v>35.94</v>
      </c>
      <c r="AX3515" s="8"/>
      <c r="AY3515" s="8"/>
      <c r="AZ3515" s="8"/>
      <c r="BA3515" s="8"/>
      <c r="BB3515" s="8"/>
      <c r="BC3515" s="8"/>
      <c r="BD3515" s="8"/>
      <c r="BE3515" s="8"/>
      <c r="BF3515" s="8">
        <v>44.489999999999995</v>
      </c>
      <c r="BG3515" s="8">
        <v>41.66</v>
      </c>
      <c r="BH3515" s="9">
        <f t="shared" si="486"/>
        <v>1381.44</v>
      </c>
      <c r="BI3515" s="9">
        <f t="shared" si="487"/>
        <v>1.67</v>
      </c>
      <c r="BJ3515" s="9">
        <f t="shared" si="488"/>
        <v>6.67</v>
      </c>
      <c r="BK3515" s="9">
        <f t="shared" si="489"/>
        <v>24.750589999999995</v>
      </c>
      <c r="BL3515" s="9">
        <f t="shared" si="490"/>
        <v>0</v>
      </c>
      <c r="BM3515" s="9">
        <f t="shared" si="491"/>
        <v>0</v>
      </c>
      <c r="BN3515" s="9">
        <f t="shared" si="492"/>
        <v>558.24</v>
      </c>
      <c r="BO3515" s="9">
        <f t="shared" si="493"/>
        <v>35.94</v>
      </c>
      <c r="BP3515" s="9">
        <f t="shared" si="494"/>
        <v>44.489999999999995</v>
      </c>
    </row>
    <row r="3516" spans="1:68">
      <c r="A3516" s="6">
        <v>45188</v>
      </c>
      <c r="B3516" s="7">
        <v>3145</v>
      </c>
      <c r="C3516" s="8">
        <v>702.74</v>
      </c>
      <c r="D3516" s="8">
        <v>123.42</v>
      </c>
      <c r="E3516" s="8"/>
      <c r="F3516" s="8"/>
      <c r="G3516" s="8"/>
      <c r="H3516" s="8"/>
      <c r="I3516" s="8"/>
      <c r="J3516" s="8"/>
      <c r="K3516" s="8"/>
      <c r="L3516" s="8"/>
      <c r="M3516" s="8">
        <v>2.2200000000000002</v>
      </c>
      <c r="N3516" s="8"/>
      <c r="O3516" s="8"/>
      <c r="P3516" s="8"/>
      <c r="Q3516" s="11"/>
      <c r="R3516" s="11"/>
      <c r="S3516" s="8">
        <v>3.87</v>
      </c>
      <c r="T3516" s="8"/>
      <c r="U3516" s="8">
        <v>12.37</v>
      </c>
      <c r="V3516" s="8"/>
      <c r="W3516" s="8"/>
      <c r="X3516" s="8"/>
      <c r="Y3516" s="8"/>
      <c r="Z3516" s="8"/>
      <c r="AA3516" s="8"/>
      <c r="AB3516" s="8"/>
      <c r="AC3516" s="8">
        <v>3.3</v>
      </c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11"/>
      <c r="AQ3516" s="8"/>
      <c r="AR3516" s="8"/>
      <c r="AS3516" s="8"/>
      <c r="AT3516" s="8">
        <v>546.04</v>
      </c>
      <c r="AU3516" s="8"/>
      <c r="AV3516" s="8"/>
      <c r="AW3516" s="8"/>
      <c r="AX3516" s="8"/>
      <c r="AY3516" s="8"/>
      <c r="AZ3516" s="8"/>
      <c r="BA3516" s="8"/>
      <c r="BB3516" s="8"/>
      <c r="BC3516" s="8"/>
      <c r="BD3516" s="8">
        <v>2.06</v>
      </c>
      <c r="BE3516" s="8">
        <f>1382*5.48/1000</f>
        <v>7.573360000000001</v>
      </c>
      <c r="BF3516" s="8">
        <v>57.65</v>
      </c>
      <c r="BG3516" s="8">
        <v>42.65</v>
      </c>
      <c r="BH3516" s="9">
        <f t="shared" si="486"/>
        <v>826.16</v>
      </c>
      <c r="BI3516" s="9">
        <f t="shared" si="487"/>
        <v>2.2200000000000002</v>
      </c>
      <c r="BJ3516" s="9">
        <f t="shared" si="488"/>
        <v>3.87</v>
      </c>
      <c r="BK3516" s="9">
        <f t="shared" si="489"/>
        <v>12.37</v>
      </c>
      <c r="BL3516" s="9">
        <f t="shared" si="490"/>
        <v>0</v>
      </c>
      <c r="BM3516" s="9">
        <f t="shared" si="491"/>
        <v>3.3</v>
      </c>
      <c r="BN3516" s="9">
        <f t="shared" si="492"/>
        <v>546.04</v>
      </c>
      <c r="BO3516" s="9">
        <f t="shared" si="493"/>
        <v>9.6333600000000015</v>
      </c>
      <c r="BP3516" s="9">
        <f t="shared" si="494"/>
        <v>57.65</v>
      </c>
    </row>
    <row r="3517" spans="1:68">
      <c r="A3517" s="6">
        <v>45188</v>
      </c>
      <c r="B3517" s="7">
        <v>3106</v>
      </c>
      <c r="C3517" s="8">
        <v>5575.21</v>
      </c>
      <c r="D3517" s="8"/>
      <c r="E3517" s="8"/>
      <c r="F3517" s="8"/>
      <c r="G3517" s="8"/>
      <c r="H3517" s="8"/>
      <c r="I3517" s="8"/>
      <c r="J3517" s="8"/>
      <c r="K3517" s="8"/>
      <c r="L3517" s="8"/>
      <c r="M3517" s="8">
        <v>14.91</v>
      </c>
      <c r="N3517" s="8"/>
      <c r="O3517" s="8"/>
      <c r="P3517" s="8"/>
      <c r="Q3517" s="11"/>
      <c r="R3517" s="11"/>
      <c r="S3517" s="8">
        <v>16.86</v>
      </c>
      <c r="T3517" s="8"/>
      <c r="U3517" s="8">
        <v>70.95</v>
      </c>
      <c r="V3517" s="8"/>
      <c r="W3517" s="8"/>
      <c r="X3517" s="8"/>
      <c r="Y3517" s="8"/>
      <c r="Z3517" s="8"/>
      <c r="AA3517" s="8"/>
      <c r="AB3517" s="8"/>
      <c r="AC3517" s="8">
        <v>13.95</v>
      </c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11"/>
      <c r="AQ3517" s="8"/>
      <c r="AR3517" s="8"/>
      <c r="AS3517" s="8"/>
      <c r="AT3517" s="8">
        <v>3180.39</v>
      </c>
      <c r="AU3517" s="8"/>
      <c r="AV3517" s="8"/>
      <c r="AW3517" s="8"/>
      <c r="AX3517" s="8">
        <v>6.97</v>
      </c>
      <c r="AY3517" s="8"/>
      <c r="AZ3517" s="8"/>
      <c r="BA3517" s="8"/>
      <c r="BB3517" s="8"/>
      <c r="BC3517" s="8"/>
      <c r="BD3517" s="8"/>
      <c r="BE3517" s="8"/>
      <c r="BF3517" s="8"/>
      <c r="BG3517" s="8">
        <v>239.6</v>
      </c>
      <c r="BH3517" s="9">
        <f t="shared" si="486"/>
        <v>5575.21</v>
      </c>
      <c r="BI3517" s="9">
        <f t="shared" si="487"/>
        <v>14.91</v>
      </c>
      <c r="BJ3517" s="9">
        <f t="shared" si="488"/>
        <v>16.86</v>
      </c>
      <c r="BK3517" s="9">
        <f t="shared" si="489"/>
        <v>70.95</v>
      </c>
      <c r="BL3517" s="9">
        <f t="shared" si="490"/>
        <v>0</v>
      </c>
      <c r="BM3517" s="9">
        <f t="shared" si="491"/>
        <v>13.95</v>
      </c>
      <c r="BN3517" s="9">
        <f t="shared" si="492"/>
        <v>3180.39</v>
      </c>
      <c r="BO3517" s="9">
        <f t="shared" si="493"/>
        <v>6.97</v>
      </c>
      <c r="BP3517" s="9">
        <f t="shared" si="494"/>
        <v>0</v>
      </c>
    </row>
    <row r="3518" spans="1:68">
      <c r="A3518" s="6">
        <v>45188</v>
      </c>
      <c r="B3518" s="7">
        <v>3144</v>
      </c>
      <c r="C3518" s="8">
        <v>1265.8800000000001</v>
      </c>
      <c r="D3518" s="8">
        <v>223.46</v>
      </c>
      <c r="E3518" s="8"/>
      <c r="F3518" s="8"/>
      <c r="G3518" s="8"/>
      <c r="H3518" s="8"/>
      <c r="I3518" s="8"/>
      <c r="J3518" s="8"/>
      <c r="K3518" s="8"/>
      <c r="L3518" s="8"/>
      <c r="M3518" s="8">
        <v>4.33</v>
      </c>
      <c r="N3518" s="8"/>
      <c r="O3518" s="8"/>
      <c r="P3518" s="8"/>
      <c r="Q3518" s="11"/>
      <c r="R3518" s="11"/>
      <c r="S3518" s="8">
        <v>7.01</v>
      </c>
      <c r="T3518" s="8"/>
      <c r="U3518" s="8">
        <v>22.38</v>
      </c>
      <c r="V3518" s="8"/>
      <c r="W3518" s="8"/>
      <c r="X3518" s="8"/>
      <c r="Y3518" s="8"/>
      <c r="Z3518" s="8"/>
      <c r="AA3518" s="8"/>
      <c r="AB3518" s="8"/>
      <c r="AC3518" s="8">
        <v>5.97</v>
      </c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11">
        <f>1218*9.93/1000</f>
        <v>12.09474</v>
      </c>
      <c r="AQ3518" s="8"/>
      <c r="AR3518" s="8"/>
      <c r="AS3518" s="8"/>
      <c r="AT3518" s="8">
        <v>986.62</v>
      </c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>
        <v>104.38</v>
      </c>
      <c r="BG3518" s="8">
        <v>77.680000000000007</v>
      </c>
      <c r="BH3518" s="9">
        <f t="shared" si="486"/>
        <v>1489.3400000000001</v>
      </c>
      <c r="BI3518" s="9">
        <f t="shared" si="487"/>
        <v>4.33</v>
      </c>
      <c r="BJ3518" s="9">
        <f t="shared" si="488"/>
        <v>7.01</v>
      </c>
      <c r="BK3518" s="9">
        <f t="shared" si="489"/>
        <v>22.38</v>
      </c>
      <c r="BL3518" s="9">
        <f t="shared" si="490"/>
        <v>0</v>
      </c>
      <c r="BM3518" s="9">
        <f t="shared" si="491"/>
        <v>18.06474</v>
      </c>
      <c r="BN3518" s="9">
        <f t="shared" si="492"/>
        <v>986.62</v>
      </c>
      <c r="BO3518" s="9">
        <f t="shared" si="493"/>
        <v>0</v>
      </c>
      <c r="BP3518" s="9">
        <f t="shared" si="494"/>
        <v>104.38</v>
      </c>
    </row>
    <row r="3519" spans="1:68">
      <c r="A3519" s="6">
        <v>45188</v>
      </c>
      <c r="B3519" s="7">
        <v>3203</v>
      </c>
      <c r="C3519" s="8">
        <v>1687.88</v>
      </c>
      <c r="D3519" s="8"/>
      <c r="E3519" s="8">
        <v>727.81</v>
      </c>
      <c r="F3519" s="8"/>
      <c r="G3519" s="8"/>
      <c r="H3519" s="8"/>
      <c r="I3519" s="8"/>
      <c r="J3519" s="8"/>
      <c r="K3519" s="8"/>
      <c r="L3519" s="8"/>
      <c r="M3519" s="8"/>
      <c r="N3519" s="8"/>
      <c r="O3519" s="8">
        <v>7.29</v>
      </c>
      <c r="P3519" s="8"/>
      <c r="Q3519" s="11"/>
      <c r="R3519" s="11"/>
      <c r="S3519" s="8">
        <v>9.4600000000000009</v>
      </c>
      <c r="T3519" s="8"/>
      <c r="U3519" s="8">
        <v>30.18</v>
      </c>
      <c r="V3519" s="8"/>
      <c r="W3519" s="8"/>
      <c r="X3519" s="8"/>
      <c r="Y3519" s="8"/>
      <c r="Z3519" s="8">
        <v>382.63</v>
      </c>
      <c r="AA3519" s="8">
        <f>10490*28.58/1000</f>
        <v>299.80419999999998</v>
      </c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11"/>
      <c r="AQ3519" s="8"/>
      <c r="AR3519" s="8"/>
      <c r="AS3519" s="8"/>
      <c r="AT3519" s="8">
        <v>907.04</v>
      </c>
      <c r="AU3519" s="8">
        <v>454.54</v>
      </c>
      <c r="AV3519" s="8"/>
      <c r="AW3519" s="8"/>
      <c r="AX3519" s="8"/>
      <c r="AY3519" s="8"/>
      <c r="AZ3519" s="8"/>
      <c r="BA3519" s="8"/>
      <c r="BB3519" s="8"/>
      <c r="BC3519" s="8">
        <v>6.32</v>
      </c>
      <c r="BD3519" s="8"/>
      <c r="BE3519" s="8"/>
      <c r="BF3519" s="8"/>
      <c r="BG3519" s="8">
        <v>88.29</v>
      </c>
      <c r="BH3519" s="9">
        <f t="shared" si="486"/>
        <v>2415.69</v>
      </c>
      <c r="BI3519" s="9">
        <f t="shared" si="487"/>
        <v>7.29</v>
      </c>
      <c r="BJ3519" s="9">
        <f t="shared" si="488"/>
        <v>9.4600000000000009</v>
      </c>
      <c r="BK3519" s="9">
        <f t="shared" si="489"/>
        <v>30.18</v>
      </c>
      <c r="BL3519" s="9">
        <f t="shared" si="490"/>
        <v>682.43419999999992</v>
      </c>
      <c r="BM3519" s="9">
        <f t="shared" si="491"/>
        <v>0</v>
      </c>
      <c r="BN3519" s="9">
        <f t="shared" si="492"/>
        <v>1361.58</v>
      </c>
      <c r="BO3519" s="9">
        <f t="shared" si="493"/>
        <v>6.32</v>
      </c>
      <c r="BP3519" s="9">
        <f t="shared" si="494"/>
        <v>0</v>
      </c>
    </row>
    <row r="3520" spans="1:68">
      <c r="A3520" s="6">
        <v>45188</v>
      </c>
      <c r="B3520" s="7">
        <v>3200</v>
      </c>
      <c r="C3520" s="8">
        <v>4533.4699999999993</v>
      </c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>
        <v>11.39</v>
      </c>
      <c r="P3520" s="8"/>
      <c r="Q3520" s="11"/>
      <c r="R3520" s="11"/>
      <c r="S3520" s="8">
        <v>17.740000000000002</v>
      </c>
      <c r="T3520" s="8"/>
      <c r="U3520" s="8">
        <v>68.27000000000001</v>
      </c>
      <c r="V3520" s="8"/>
      <c r="W3520" s="8"/>
      <c r="X3520" s="8"/>
      <c r="Y3520" s="8"/>
      <c r="Z3520" s="8">
        <v>956.31999999999994</v>
      </c>
      <c r="AA3520" s="8"/>
      <c r="AB3520" s="8"/>
      <c r="AC3520" s="8"/>
      <c r="AD3520" s="8"/>
      <c r="AE3520" s="8"/>
      <c r="AF3520" s="8">
        <v>227.06</v>
      </c>
      <c r="AG3520" s="8"/>
      <c r="AH3520" s="8"/>
      <c r="AI3520" s="8"/>
      <c r="AJ3520" s="8"/>
      <c r="AK3520" s="8"/>
      <c r="AL3520" s="8"/>
      <c r="AM3520" s="8"/>
      <c r="AN3520" s="8"/>
      <c r="AO3520" s="8"/>
      <c r="AP3520" s="11"/>
      <c r="AQ3520" s="8">
        <v>68.5685</v>
      </c>
      <c r="AR3520" s="8"/>
      <c r="AS3520" s="8"/>
      <c r="AT3520" s="8">
        <v>3113.7200000000003</v>
      </c>
      <c r="AU3520" s="8"/>
      <c r="AV3520" s="8"/>
      <c r="AW3520" s="8">
        <v>13.24</v>
      </c>
      <c r="AX3520" s="8"/>
      <c r="AY3520" s="8"/>
      <c r="AZ3520" s="8"/>
      <c r="BA3520" s="8"/>
      <c r="BB3520" s="8"/>
      <c r="BC3520" s="8"/>
      <c r="BD3520" s="8"/>
      <c r="BE3520" s="8"/>
      <c r="BF3520" s="8">
        <v>218.34</v>
      </c>
      <c r="BG3520" s="8">
        <v>225.12</v>
      </c>
      <c r="BH3520" s="9">
        <f t="shared" si="486"/>
        <v>4533.4699999999993</v>
      </c>
      <c r="BI3520" s="9">
        <f t="shared" si="487"/>
        <v>11.39</v>
      </c>
      <c r="BJ3520" s="9">
        <f t="shared" si="488"/>
        <v>17.740000000000002</v>
      </c>
      <c r="BK3520" s="9">
        <f t="shared" si="489"/>
        <v>68.27000000000001</v>
      </c>
      <c r="BL3520" s="9">
        <f t="shared" si="490"/>
        <v>956.31999999999994</v>
      </c>
      <c r="BM3520" s="9">
        <f t="shared" si="491"/>
        <v>295.62850000000003</v>
      </c>
      <c r="BN3520" s="9">
        <f t="shared" si="492"/>
        <v>3113.7200000000003</v>
      </c>
      <c r="BO3520" s="9">
        <f t="shared" si="493"/>
        <v>13.24</v>
      </c>
      <c r="BP3520" s="9">
        <f t="shared" si="494"/>
        <v>218.34</v>
      </c>
    </row>
    <row r="3521" spans="1:68">
      <c r="A3521" s="6">
        <v>45189</v>
      </c>
      <c r="B3521" s="7">
        <v>3106</v>
      </c>
      <c r="C3521" s="8">
        <v>4135.1400000000003</v>
      </c>
      <c r="D3521" s="8"/>
      <c r="E3521" s="8"/>
      <c r="F3521" s="8"/>
      <c r="G3521" s="8"/>
      <c r="H3521" s="8"/>
      <c r="I3521" s="8"/>
      <c r="J3521" s="8"/>
      <c r="K3521" s="8"/>
      <c r="L3521" s="8"/>
      <c r="M3521" s="8">
        <v>11.16</v>
      </c>
      <c r="N3521" s="8"/>
      <c r="O3521" s="8"/>
      <c r="P3521" s="8"/>
      <c r="Q3521" s="11"/>
      <c r="R3521" s="11"/>
      <c r="S3521" s="8">
        <v>12.42</v>
      </c>
      <c r="T3521" s="8"/>
      <c r="U3521" s="8">
        <v>52.57</v>
      </c>
      <c r="V3521" s="8"/>
      <c r="W3521" s="8"/>
      <c r="X3521" s="8"/>
      <c r="Y3521" s="8"/>
      <c r="Z3521" s="8"/>
      <c r="AA3521" s="8"/>
      <c r="AB3521" s="8"/>
      <c r="AC3521" s="8">
        <v>10.33</v>
      </c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11"/>
      <c r="AQ3521" s="8"/>
      <c r="AR3521" s="8"/>
      <c r="AS3521" s="8"/>
      <c r="AT3521" s="8">
        <v>2355.89</v>
      </c>
      <c r="AU3521" s="8"/>
      <c r="AV3521" s="8"/>
      <c r="AW3521" s="8"/>
      <c r="AX3521" s="8">
        <v>5.17</v>
      </c>
      <c r="AY3521" s="8"/>
      <c r="AZ3521" s="8"/>
      <c r="BA3521" s="8"/>
      <c r="BB3521" s="8"/>
      <c r="BC3521" s="8"/>
      <c r="BD3521" s="8"/>
      <c r="BE3521" s="8"/>
      <c r="BF3521" s="8"/>
      <c r="BG3521" s="8">
        <v>177.71</v>
      </c>
      <c r="BH3521" s="9">
        <f t="shared" si="486"/>
        <v>4135.1400000000003</v>
      </c>
      <c r="BI3521" s="9">
        <f t="shared" si="487"/>
        <v>11.16</v>
      </c>
      <c r="BJ3521" s="9">
        <f t="shared" si="488"/>
        <v>12.42</v>
      </c>
      <c r="BK3521" s="9">
        <f t="shared" si="489"/>
        <v>52.57</v>
      </c>
      <c r="BL3521" s="9">
        <f t="shared" si="490"/>
        <v>0</v>
      </c>
      <c r="BM3521" s="9">
        <f t="shared" si="491"/>
        <v>10.33</v>
      </c>
      <c r="BN3521" s="9">
        <f t="shared" si="492"/>
        <v>2355.89</v>
      </c>
      <c r="BO3521" s="9">
        <f t="shared" si="493"/>
        <v>5.17</v>
      </c>
      <c r="BP3521" s="9">
        <f t="shared" si="494"/>
        <v>0</v>
      </c>
    </row>
    <row r="3522" spans="1:68">
      <c r="A3522" s="6">
        <v>45189</v>
      </c>
      <c r="B3522" s="7">
        <v>3125</v>
      </c>
      <c r="C3522" s="8">
        <v>1127.01</v>
      </c>
      <c r="D3522" s="8"/>
      <c r="E3522" s="8"/>
      <c r="F3522" s="8"/>
      <c r="G3522" s="8"/>
      <c r="H3522" s="8"/>
      <c r="I3522" s="8"/>
      <c r="J3522" s="8"/>
      <c r="K3522" s="8"/>
      <c r="L3522" s="8"/>
      <c r="M3522" s="8">
        <v>3.03</v>
      </c>
      <c r="N3522" s="8"/>
      <c r="O3522" s="8"/>
      <c r="P3522" s="8"/>
      <c r="Q3522" s="11"/>
      <c r="R3522" s="11"/>
      <c r="S3522" s="8">
        <v>3.39</v>
      </c>
      <c r="T3522" s="8"/>
      <c r="U3522" s="8">
        <v>14.33</v>
      </c>
      <c r="V3522" s="8"/>
      <c r="W3522" s="8"/>
      <c r="X3522" s="8"/>
      <c r="Y3522" s="8"/>
      <c r="Z3522" s="8"/>
      <c r="AA3522" s="8"/>
      <c r="AB3522" s="8"/>
      <c r="AC3522" s="8">
        <v>4.5</v>
      </c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11"/>
      <c r="AQ3522" s="8"/>
      <c r="AR3522" s="8"/>
      <c r="AS3522" s="8"/>
      <c r="AT3522" s="8">
        <v>644.89</v>
      </c>
      <c r="AU3522" s="8"/>
      <c r="AV3522" s="8">
        <v>16.899999999999999</v>
      </c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>
        <v>48.35</v>
      </c>
      <c r="BH3522" s="9">
        <f t="shared" si="486"/>
        <v>1127.01</v>
      </c>
      <c r="BI3522" s="9">
        <f t="shared" si="487"/>
        <v>3.03</v>
      </c>
      <c r="BJ3522" s="9">
        <f t="shared" si="488"/>
        <v>3.39</v>
      </c>
      <c r="BK3522" s="9">
        <f t="shared" si="489"/>
        <v>14.33</v>
      </c>
      <c r="BL3522" s="9">
        <f t="shared" si="490"/>
        <v>0</v>
      </c>
      <c r="BM3522" s="9">
        <f t="shared" si="491"/>
        <v>4.5</v>
      </c>
      <c r="BN3522" s="9">
        <f t="shared" si="492"/>
        <v>644.89</v>
      </c>
      <c r="BO3522" s="9">
        <f t="shared" si="493"/>
        <v>16.899999999999999</v>
      </c>
      <c r="BP3522" s="9">
        <f t="shared" si="494"/>
        <v>0</v>
      </c>
    </row>
    <row r="3523" spans="1:68">
      <c r="A3523" s="6">
        <v>45189</v>
      </c>
      <c r="B3523" s="7">
        <v>3127</v>
      </c>
      <c r="C3523" s="8">
        <v>1092.05</v>
      </c>
      <c r="D3523" s="8"/>
      <c r="E3523" s="8"/>
      <c r="F3523" s="8"/>
      <c r="G3523" s="8"/>
      <c r="H3523" s="8"/>
      <c r="I3523" s="8"/>
      <c r="J3523" s="8"/>
      <c r="K3523" s="8"/>
      <c r="L3523" s="8"/>
      <c r="M3523" s="8">
        <v>3.04</v>
      </c>
      <c r="N3523" s="8"/>
      <c r="O3523" s="8"/>
      <c r="P3523" s="8"/>
      <c r="Q3523" s="11"/>
      <c r="R3523" s="11"/>
      <c r="S3523" s="8">
        <v>5.23</v>
      </c>
      <c r="T3523" s="8"/>
      <c r="U3523" s="8">
        <v>10.89</v>
      </c>
      <c r="V3523" s="8"/>
      <c r="W3523" s="8"/>
      <c r="X3523" s="8"/>
      <c r="Y3523" s="8"/>
      <c r="Z3523" s="8">
        <v>163.86</v>
      </c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11"/>
      <c r="AQ3523" s="8"/>
      <c r="AR3523" s="8"/>
      <c r="AS3523" s="8"/>
      <c r="AT3523" s="8">
        <v>535.63</v>
      </c>
      <c r="AU3523" s="8"/>
      <c r="AV3523" s="8">
        <v>21.84</v>
      </c>
      <c r="AW3523" s="8"/>
      <c r="AX3523" s="8"/>
      <c r="AY3523" s="8"/>
      <c r="AZ3523" s="8"/>
      <c r="BA3523" s="8"/>
      <c r="BB3523" s="8"/>
      <c r="BC3523" s="8"/>
      <c r="BD3523" s="8"/>
      <c r="BE3523" s="8"/>
      <c r="BF3523" s="8">
        <v>54.6</v>
      </c>
      <c r="BG3523" s="8">
        <v>38.26</v>
      </c>
      <c r="BH3523" s="9">
        <f t="shared" si="486"/>
        <v>1092.05</v>
      </c>
      <c r="BI3523" s="9">
        <f t="shared" si="487"/>
        <v>3.04</v>
      </c>
      <c r="BJ3523" s="9">
        <f t="shared" si="488"/>
        <v>5.23</v>
      </c>
      <c r="BK3523" s="9">
        <f t="shared" si="489"/>
        <v>10.89</v>
      </c>
      <c r="BL3523" s="9">
        <f t="shared" si="490"/>
        <v>163.86</v>
      </c>
      <c r="BM3523" s="9">
        <f t="shared" si="491"/>
        <v>0</v>
      </c>
      <c r="BN3523" s="9">
        <f t="shared" si="492"/>
        <v>535.63</v>
      </c>
      <c r="BO3523" s="9">
        <f t="shared" si="493"/>
        <v>21.84</v>
      </c>
      <c r="BP3523" s="9">
        <f t="shared" si="494"/>
        <v>54.6</v>
      </c>
    </row>
    <row r="3524" spans="1:68">
      <c r="A3524" s="6">
        <v>45189</v>
      </c>
      <c r="B3524" s="7">
        <v>3083</v>
      </c>
      <c r="C3524" s="8"/>
      <c r="D3524" s="8">
        <v>1082.56</v>
      </c>
      <c r="E3524" s="8"/>
      <c r="F3524" s="8"/>
      <c r="G3524" s="8"/>
      <c r="H3524" s="8"/>
      <c r="I3524" s="8">
        <v>2517.79</v>
      </c>
      <c r="J3524" s="8"/>
      <c r="K3524" s="8"/>
      <c r="L3524" s="8"/>
      <c r="M3524" s="8"/>
      <c r="N3524" s="8">
        <v>23.41</v>
      </c>
      <c r="O3524" s="8"/>
      <c r="P3524" s="8"/>
      <c r="Q3524" s="11"/>
      <c r="R3524" s="11"/>
      <c r="S3524" s="8">
        <v>2.5</v>
      </c>
      <c r="T3524" s="8"/>
      <c r="U3524" s="8"/>
      <c r="V3524" s="8"/>
      <c r="W3524" s="8">
        <v>28.82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>
        <v>14.26</v>
      </c>
      <c r="AN3524" s="8">
        <f>1918*26.65/1000</f>
        <v>51.114699999999999</v>
      </c>
      <c r="AO3524" s="8"/>
      <c r="AP3524" s="11"/>
      <c r="AQ3524" s="8"/>
      <c r="AR3524" s="8">
        <f>3457*26.65/1000</f>
        <v>92.129049999999992</v>
      </c>
      <c r="AS3524" s="8"/>
      <c r="AT3524" s="8">
        <v>1692.32</v>
      </c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>
        <v>134.08000000000001</v>
      </c>
      <c r="BH3524" s="9">
        <f t="shared" ref="BH3524:BH3587" si="495">SUM(C3524:L3524)</f>
        <v>3600.35</v>
      </c>
      <c r="BI3524" s="9">
        <f t="shared" ref="BI3524:BI3587" si="496">SUM(M3524:R3524)</f>
        <v>23.41</v>
      </c>
      <c r="BJ3524" s="9">
        <f t="shared" ref="BJ3524:BJ3587" si="497">SUM(S3524)</f>
        <v>2.5</v>
      </c>
      <c r="BK3524" s="9">
        <f t="shared" ref="BK3524:BK3587" si="498">SUM(T3524:Y3524)</f>
        <v>28.82</v>
      </c>
      <c r="BL3524" s="9">
        <f t="shared" ref="BL3524:BL3587" si="499">SUM(Z3524:AA3524)</f>
        <v>0</v>
      </c>
      <c r="BM3524" s="9">
        <f t="shared" ref="BM3524:BM3587" si="500">SUM(AB3524:AS3524)</f>
        <v>157.50375</v>
      </c>
      <c r="BN3524" s="9">
        <f t="shared" ref="BN3524:BN3587" si="501">SUM(AT3524:AU3524)</f>
        <v>1692.32</v>
      </c>
      <c r="BO3524" s="9">
        <f t="shared" ref="BO3524:BO3587" si="502">SUM(AV3524:BE3524)</f>
        <v>0</v>
      </c>
      <c r="BP3524" s="9">
        <f t="shared" ref="BP3524:BP3587" si="503">SUM(BF3524)</f>
        <v>0</v>
      </c>
    </row>
    <row r="3525" spans="1:68">
      <c r="A3525" s="6">
        <v>45189</v>
      </c>
      <c r="B3525" s="7">
        <v>3139</v>
      </c>
      <c r="C3525" s="8">
        <v>949.15</v>
      </c>
      <c r="D3525" s="8"/>
      <c r="E3525" s="8"/>
      <c r="F3525" s="8"/>
      <c r="G3525" s="8"/>
      <c r="H3525" s="8">
        <v>393.7</v>
      </c>
      <c r="I3525" s="8"/>
      <c r="J3525" s="8"/>
      <c r="K3525" s="8"/>
      <c r="L3525" s="8"/>
      <c r="M3525" s="8">
        <v>2.23</v>
      </c>
      <c r="N3525" s="8"/>
      <c r="O3525" s="8"/>
      <c r="P3525" s="8"/>
      <c r="Q3525" s="11"/>
      <c r="R3525" s="11"/>
      <c r="S3525" s="8">
        <v>4.2</v>
      </c>
      <c r="T3525" s="8"/>
      <c r="U3525" s="8">
        <v>14.01</v>
      </c>
      <c r="V3525" s="8"/>
      <c r="W3525" s="8"/>
      <c r="X3525" s="8"/>
      <c r="Y3525" s="8"/>
      <c r="Z3525" s="8"/>
      <c r="AA3525" s="8"/>
      <c r="AB3525" s="8"/>
      <c r="AC3525" s="8">
        <v>4.67</v>
      </c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11"/>
      <c r="AQ3525" s="8"/>
      <c r="AR3525" s="8"/>
      <c r="AS3525" s="8"/>
      <c r="AT3525" s="8">
        <v>689.37</v>
      </c>
      <c r="AU3525" s="8"/>
      <c r="AV3525" s="8">
        <v>23.35</v>
      </c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>
        <v>50.25</v>
      </c>
      <c r="BH3525" s="9">
        <f t="shared" si="495"/>
        <v>1342.85</v>
      </c>
      <c r="BI3525" s="9">
        <f t="shared" si="496"/>
        <v>2.23</v>
      </c>
      <c r="BJ3525" s="9">
        <f t="shared" si="497"/>
        <v>4.2</v>
      </c>
      <c r="BK3525" s="9">
        <f t="shared" si="498"/>
        <v>14.01</v>
      </c>
      <c r="BL3525" s="9">
        <f t="shared" si="499"/>
        <v>0</v>
      </c>
      <c r="BM3525" s="9">
        <f t="shared" si="500"/>
        <v>4.67</v>
      </c>
      <c r="BN3525" s="9">
        <f t="shared" si="501"/>
        <v>689.37</v>
      </c>
      <c r="BO3525" s="9">
        <f t="shared" si="502"/>
        <v>23.35</v>
      </c>
      <c r="BP3525" s="9">
        <f t="shared" si="503"/>
        <v>0</v>
      </c>
    </row>
    <row r="3526" spans="1:68">
      <c r="A3526" s="6">
        <v>45189</v>
      </c>
      <c r="B3526" s="7">
        <v>3149</v>
      </c>
      <c r="C3526" s="8">
        <v>670.74</v>
      </c>
      <c r="D3526" s="8">
        <v>120.25</v>
      </c>
      <c r="E3526" s="8"/>
      <c r="F3526" s="8"/>
      <c r="G3526" s="8"/>
      <c r="H3526" s="8"/>
      <c r="I3526" s="8"/>
      <c r="J3526" s="8"/>
      <c r="K3526" s="8"/>
      <c r="L3526" s="8"/>
      <c r="M3526" s="8">
        <v>2.61</v>
      </c>
      <c r="N3526" s="8"/>
      <c r="O3526" s="8"/>
      <c r="P3526" s="8"/>
      <c r="Q3526" s="11"/>
      <c r="R3526" s="11"/>
      <c r="S3526" s="8">
        <v>3.73</v>
      </c>
      <c r="T3526" s="8"/>
      <c r="U3526" s="8">
        <v>11.9</v>
      </c>
      <c r="V3526" s="8"/>
      <c r="W3526" s="8"/>
      <c r="X3526" s="8"/>
      <c r="Y3526" s="8"/>
      <c r="Z3526" s="8"/>
      <c r="AA3526" s="8"/>
      <c r="AB3526" s="8"/>
      <c r="AC3526" s="8">
        <v>3.19</v>
      </c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11"/>
      <c r="AQ3526" s="8"/>
      <c r="AR3526" s="8"/>
      <c r="AS3526" s="8"/>
      <c r="AT3526" s="8">
        <v>521.77</v>
      </c>
      <c r="AU3526" s="8"/>
      <c r="AV3526" s="8"/>
      <c r="AW3526" s="8">
        <v>25.69</v>
      </c>
      <c r="AX3526" s="8"/>
      <c r="AY3526" s="8"/>
      <c r="AZ3526" s="8"/>
      <c r="BA3526" s="8"/>
      <c r="BB3526" s="8"/>
      <c r="BC3526" s="8"/>
      <c r="BD3526" s="8"/>
      <c r="BE3526" s="8"/>
      <c r="BF3526" s="8">
        <v>55.65</v>
      </c>
      <c r="BG3526" s="8">
        <v>41.29</v>
      </c>
      <c r="BH3526" s="9">
        <f t="shared" si="495"/>
        <v>790.99</v>
      </c>
      <c r="BI3526" s="9">
        <f t="shared" si="496"/>
        <v>2.61</v>
      </c>
      <c r="BJ3526" s="9">
        <f t="shared" si="497"/>
        <v>3.73</v>
      </c>
      <c r="BK3526" s="9">
        <f t="shared" si="498"/>
        <v>11.9</v>
      </c>
      <c r="BL3526" s="9">
        <f t="shared" si="499"/>
        <v>0</v>
      </c>
      <c r="BM3526" s="9">
        <f t="shared" si="500"/>
        <v>3.19</v>
      </c>
      <c r="BN3526" s="9">
        <f t="shared" si="501"/>
        <v>521.77</v>
      </c>
      <c r="BO3526" s="9">
        <f t="shared" si="502"/>
        <v>25.69</v>
      </c>
      <c r="BP3526" s="9">
        <f t="shared" si="503"/>
        <v>55.65</v>
      </c>
    </row>
    <row r="3527" spans="1:68">
      <c r="A3527" s="6">
        <v>45189</v>
      </c>
      <c r="B3527" s="7">
        <v>3154</v>
      </c>
      <c r="C3527" s="8">
        <v>700.45</v>
      </c>
      <c r="D3527" s="8"/>
      <c r="E3527" s="8"/>
      <c r="F3527" s="8"/>
      <c r="G3527" s="8"/>
      <c r="H3527" s="8"/>
      <c r="I3527" s="8"/>
      <c r="J3527" s="8"/>
      <c r="K3527" s="8"/>
      <c r="L3527" s="8"/>
      <c r="M3527" s="8">
        <v>1.76</v>
      </c>
      <c r="N3527" s="8"/>
      <c r="O3527" s="8"/>
      <c r="P3527" s="8"/>
      <c r="Q3527" s="11"/>
      <c r="R3527" s="11"/>
      <c r="S3527" s="8">
        <v>2.5299999999999998</v>
      </c>
      <c r="T3527" s="8"/>
      <c r="U3527" s="8">
        <v>8.94</v>
      </c>
      <c r="V3527" s="8"/>
      <c r="W3527" s="8"/>
      <c r="X3527" s="8"/>
      <c r="Y3527" s="8"/>
      <c r="Z3527" s="8"/>
      <c r="AA3527" s="8"/>
      <c r="AB3527" s="8"/>
      <c r="AC3527" s="8">
        <v>2.81</v>
      </c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11"/>
      <c r="AQ3527" s="8"/>
      <c r="AR3527" s="8"/>
      <c r="AS3527" s="8"/>
      <c r="AT3527" s="8">
        <v>379.69</v>
      </c>
      <c r="AU3527" s="8"/>
      <c r="AV3527" s="8"/>
      <c r="AW3527" s="8"/>
      <c r="AX3527" s="8"/>
      <c r="AY3527" s="8"/>
      <c r="AZ3527" s="8"/>
      <c r="BA3527" s="8"/>
      <c r="BB3527" s="8"/>
      <c r="BC3527" s="8">
        <v>0.84</v>
      </c>
      <c r="BD3527" s="8"/>
      <c r="BE3527" s="8"/>
      <c r="BF3527" s="8"/>
      <c r="BG3527" s="8">
        <v>28.38</v>
      </c>
      <c r="BH3527" s="9">
        <f t="shared" si="495"/>
        <v>700.45</v>
      </c>
      <c r="BI3527" s="9">
        <f t="shared" si="496"/>
        <v>1.76</v>
      </c>
      <c r="BJ3527" s="9">
        <f t="shared" si="497"/>
        <v>2.5299999999999998</v>
      </c>
      <c r="BK3527" s="9">
        <f t="shared" si="498"/>
        <v>8.94</v>
      </c>
      <c r="BL3527" s="9">
        <f t="shared" si="499"/>
        <v>0</v>
      </c>
      <c r="BM3527" s="9">
        <f t="shared" si="500"/>
        <v>2.81</v>
      </c>
      <c r="BN3527" s="9">
        <f t="shared" si="501"/>
        <v>379.69</v>
      </c>
      <c r="BO3527" s="9">
        <f t="shared" si="502"/>
        <v>0.84</v>
      </c>
      <c r="BP3527" s="9">
        <f t="shared" si="503"/>
        <v>0</v>
      </c>
    </row>
    <row r="3528" spans="1:68">
      <c r="A3528" s="6">
        <v>45189</v>
      </c>
      <c r="B3528" s="7">
        <v>3801</v>
      </c>
      <c r="C3528" s="8">
        <v>378.68</v>
      </c>
      <c r="D3528" s="8"/>
      <c r="E3528" s="8"/>
      <c r="F3528" s="8"/>
      <c r="G3528" s="8"/>
      <c r="H3528" s="8"/>
      <c r="I3528" s="8"/>
      <c r="J3528" s="8"/>
      <c r="K3528" s="8"/>
      <c r="L3528" s="8">
        <f>42737*7.38/1000</f>
        <v>315.39906000000002</v>
      </c>
      <c r="M3528" s="8"/>
      <c r="N3528" s="8">
        <v>0.77</v>
      </c>
      <c r="O3528" s="8"/>
      <c r="P3528" s="8"/>
      <c r="Q3528" s="11"/>
      <c r="R3528" s="11"/>
      <c r="S3528" s="8">
        <v>3.04</v>
      </c>
      <c r="T3528" s="8"/>
      <c r="U3528" s="8">
        <v>3.33</v>
      </c>
      <c r="V3528" s="8"/>
      <c r="W3528" s="8"/>
      <c r="X3528" s="8"/>
      <c r="Y3528" s="8"/>
      <c r="Z3528" s="8">
        <v>55.4</v>
      </c>
      <c r="AA3528" s="8">
        <f>3077*7.38/1000</f>
        <v>22.708259999999999</v>
      </c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11"/>
      <c r="AQ3528" s="8">
        <f>266*7.38/1000</f>
        <v>1.9630799999999999</v>
      </c>
      <c r="AR3528" s="8"/>
      <c r="AS3528" s="8"/>
      <c r="AT3528" s="8">
        <v>269.13</v>
      </c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>
        <v>20.440000000000001</v>
      </c>
      <c r="BH3528" s="9">
        <f t="shared" si="495"/>
        <v>694.07906000000003</v>
      </c>
      <c r="BI3528" s="9">
        <f t="shared" si="496"/>
        <v>0.77</v>
      </c>
      <c r="BJ3528" s="9">
        <f t="shared" si="497"/>
        <v>3.04</v>
      </c>
      <c r="BK3528" s="9">
        <f t="shared" si="498"/>
        <v>3.33</v>
      </c>
      <c r="BL3528" s="9">
        <f t="shared" si="499"/>
        <v>78.108260000000001</v>
      </c>
      <c r="BM3528" s="9">
        <f t="shared" si="500"/>
        <v>1.9630799999999999</v>
      </c>
      <c r="BN3528" s="9">
        <f t="shared" si="501"/>
        <v>269.13</v>
      </c>
      <c r="BO3528" s="9">
        <f t="shared" si="502"/>
        <v>0</v>
      </c>
      <c r="BP3528" s="9">
        <f t="shared" si="503"/>
        <v>0</v>
      </c>
    </row>
    <row r="3529" spans="1:68">
      <c r="A3529" s="6">
        <v>45190</v>
      </c>
      <c r="B3529" s="7">
        <v>3601</v>
      </c>
      <c r="C3529" s="8">
        <v>295.08999999999997</v>
      </c>
      <c r="D3529" s="8"/>
      <c r="E3529" s="8"/>
      <c r="F3529" s="8"/>
      <c r="G3529" s="8">
        <v>443.51</v>
      </c>
      <c r="H3529" s="8"/>
      <c r="I3529" s="8"/>
      <c r="J3529" s="8"/>
      <c r="K3529" s="8"/>
      <c r="L3529" s="8"/>
      <c r="M3529" s="8">
        <v>0.89</v>
      </c>
      <c r="N3529" s="8"/>
      <c r="O3529" s="8"/>
      <c r="P3529" s="8"/>
      <c r="Q3529" s="11"/>
      <c r="R3529" s="11"/>
      <c r="S3529" s="8">
        <v>3.55</v>
      </c>
      <c r="T3529" s="8"/>
      <c r="U3529" s="8">
        <v>4.4400000000000004</v>
      </c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11"/>
      <c r="AQ3529" s="8"/>
      <c r="AR3529" s="8"/>
      <c r="AS3529" s="8"/>
      <c r="AT3529" s="8">
        <v>363.45</v>
      </c>
      <c r="AU3529" s="8"/>
      <c r="AV3529" s="8"/>
      <c r="AW3529" s="8">
        <v>22.5</v>
      </c>
      <c r="AX3529" s="8"/>
      <c r="AY3529" s="8"/>
      <c r="AZ3529" s="8"/>
      <c r="BA3529" s="8"/>
      <c r="BB3529" s="8"/>
      <c r="BC3529" s="8"/>
      <c r="BD3529" s="8"/>
      <c r="BE3529" s="8"/>
      <c r="BF3529" s="8">
        <v>41.43</v>
      </c>
      <c r="BG3529" s="8">
        <v>26.41</v>
      </c>
      <c r="BH3529" s="9">
        <f t="shared" si="495"/>
        <v>738.59999999999991</v>
      </c>
      <c r="BI3529" s="9">
        <f t="shared" si="496"/>
        <v>0.89</v>
      </c>
      <c r="BJ3529" s="9">
        <f t="shared" si="497"/>
        <v>3.55</v>
      </c>
      <c r="BK3529" s="9">
        <f t="shared" si="498"/>
        <v>4.4400000000000004</v>
      </c>
      <c r="BL3529" s="9">
        <f t="shared" si="499"/>
        <v>0</v>
      </c>
      <c r="BM3529" s="9">
        <f t="shared" si="500"/>
        <v>0</v>
      </c>
      <c r="BN3529" s="9">
        <f t="shared" si="501"/>
        <v>363.45</v>
      </c>
      <c r="BO3529" s="9">
        <f t="shared" si="502"/>
        <v>22.5</v>
      </c>
      <c r="BP3529" s="9">
        <f t="shared" si="503"/>
        <v>41.43</v>
      </c>
    </row>
    <row r="3530" spans="1:68">
      <c r="A3530" s="6">
        <v>45190</v>
      </c>
      <c r="B3530" s="7">
        <v>3602</v>
      </c>
      <c r="C3530" s="8">
        <v>555.79</v>
      </c>
      <c r="D3530" s="8"/>
      <c r="E3530" s="8"/>
      <c r="F3530" s="8"/>
      <c r="G3530" s="8">
        <v>832.4</v>
      </c>
      <c r="H3530" s="8"/>
      <c r="I3530" s="8"/>
      <c r="J3530" s="8"/>
      <c r="K3530" s="8"/>
      <c r="L3530" s="8"/>
      <c r="M3530" s="8">
        <v>1.68</v>
      </c>
      <c r="N3530" s="8"/>
      <c r="O3530" s="8"/>
      <c r="P3530" s="8"/>
      <c r="Q3530" s="11"/>
      <c r="R3530" s="11"/>
      <c r="S3530" s="8">
        <v>6.67</v>
      </c>
      <c r="T3530" s="8"/>
      <c r="U3530" s="8">
        <v>11.14</v>
      </c>
      <c r="V3530" s="8">
        <f>851*15.9/1000</f>
        <v>13.530899999999999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11"/>
      <c r="AQ3530" s="8"/>
      <c r="AR3530" s="8"/>
      <c r="AS3530" s="8"/>
      <c r="AT3530" s="8">
        <v>561.39</v>
      </c>
      <c r="AU3530" s="8"/>
      <c r="AV3530" s="8"/>
      <c r="AW3530" s="8">
        <v>35.96</v>
      </c>
      <c r="AX3530" s="8"/>
      <c r="AY3530" s="8"/>
      <c r="AZ3530" s="8"/>
      <c r="BA3530" s="8"/>
      <c r="BB3530" s="8"/>
      <c r="BC3530" s="8"/>
      <c r="BD3530" s="8"/>
      <c r="BE3530" s="8"/>
      <c r="BF3530" s="8">
        <v>44.52</v>
      </c>
      <c r="BG3530" s="8">
        <v>41.38</v>
      </c>
      <c r="BH3530" s="9">
        <f t="shared" si="495"/>
        <v>1388.19</v>
      </c>
      <c r="BI3530" s="9">
        <f t="shared" si="496"/>
        <v>1.68</v>
      </c>
      <c r="BJ3530" s="9">
        <f t="shared" si="497"/>
        <v>6.67</v>
      </c>
      <c r="BK3530" s="9">
        <f t="shared" si="498"/>
        <v>24.6709</v>
      </c>
      <c r="BL3530" s="9">
        <f t="shared" si="499"/>
        <v>0</v>
      </c>
      <c r="BM3530" s="9">
        <f t="shared" si="500"/>
        <v>0</v>
      </c>
      <c r="BN3530" s="9">
        <f t="shared" si="501"/>
        <v>561.39</v>
      </c>
      <c r="BO3530" s="9">
        <f t="shared" si="502"/>
        <v>35.96</v>
      </c>
      <c r="BP3530" s="9">
        <f t="shared" si="503"/>
        <v>44.52</v>
      </c>
    </row>
    <row r="3531" spans="1:68">
      <c r="A3531" s="6">
        <v>45190</v>
      </c>
      <c r="B3531" s="7">
        <v>3701</v>
      </c>
      <c r="C3531" s="8">
        <f>192.46+269.34</f>
        <v>461.79999999999995</v>
      </c>
      <c r="D3531" s="8"/>
      <c r="E3531" s="8"/>
      <c r="F3531" s="8"/>
      <c r="G3531" s="8"/>
      <c r="H3531" s="8"/>
      <c r="I3531" s="8"/>
      <c r="J3531" s="8">
        <f>48228*15.78/1000</f>
        <v>761.03783999999996</v>
      </c>
      <c r="K3531" s="8"/>
      <c r="L3531" s="8"/>
      <c r="M3531" s="8"/>
      <c r="N3531" s="8">
        <f>1.21+1.7</f>
        <v>2.91</v>
      </c>
      <c r="O3531" s="8"/>
      <c r="P3531" s="8"/>
      <c r="Q3531" s="11"/>
      <c r="R3531" s="11"/>
      <c r="S3531" s="8">
        <f>1.42+2</f>
        <v>3.42</v>
      </c>
      <c r="T3531" s="8"/>
      <c r="U3531" s="8">
        <f>4.47+3.15</f>
        <v>7.6199999999999992</v>
      </c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>
        <f>10.49+14.88</f>
        <v>25.37</v>
      </c>
      <c r="AH3531" s="8"/>
      <c r="AI3531" s="8"/>
      <c r="AJ3531" s="8">
        <f>2452*15.78/1000</f>
        <v>38.69256</v>
      </c>
      <c r="AK3531" s="8"/>
      <c r="AL3531" s="8"/>
      <c r="AM3531" s="8"/>
      <c r="AN3531" s="8"/>
      <c r="AO3531" s="8"/>
      <c r="AP3531" s="11"/>
      <c r="AQ3531" s="8"/>
      <c r="AR3531" s="8"/>
      <c r="AS3531" s="8"/>
      <c r="AT3531" s="8"/>
      <c r="AU3531" s="8">
        <f>185.13+261.21</f>
        <v>446.34</v>
      </c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>
        <f>12.66+17.34</f>
        <v>30</v>
      </c>
      <c r="BH3531" s="9">
        <f t="shared" si="495"/>
        <v>1222.8378399999999</v>
      </c>
      <c r="BI3531" s="9">
        <f t="shared" si="496"/>
        <v>2.91</v>
      </c>
      <c r="BJ3531" s="9">
        <f t="shared" si="497"/>
        <v>3.42</v>
      </c>
      <c r="BK3531" s="9">
        <f t="shared" si="498"/>
        <v>7.6199999999999992</v>
      </c>
      <c r="BL3531" s="9">
        <f t="shared" si="499"/>
        <v>0</v>
      </c>
      <c r="BM3531" s="9">
        <f t="shared" si="500"/>
        <v>64.062560000000005</v>
      </c>
      <c r="BN3531" s="9">
        <f t="shared" si="501"/>
        <v>446.34</v>
      </c>
      <c r="BO3531" s="9">
        <f t="shared" si="502"/>
        <v>0</v>
      </c>
      <c r="BP3531" s="9">
        <f t="shared" si="503"/>
        <v>0</v>
      </c>
    </row>
    <row r="3532" spans="1:68">
      <c r="A3532" s="6">
        <v>45190</v>
      </c>
      <c r="B3532" s="7">
        <v>3204</v>
      </c>
      <c r="C3532" s="8"/>
      <c r="D3532" s="8">
        <v>1808.11</v>
      </c>
      <c r="E3532" s="8">
        <v>771.76</v>
      </c>
      <c r="F3532" s="8"/>
      <c r="G3532" s="8"/>
      <c r="H3532" s="8"/>
      <c r="I3532" s="8"/>
      <c r="J3532" s="8"/>
      <c r="K3532" s="8"/>
      <c r="L3532" s="8"/>
      <c r="M3532" s="8"/>
      <c r="N3532" s="8"/>
      <c r="O3532" s="8">
        <v>12.94</v>
      </c>
      <c r="P3532" s="8"/>
      <c r="Q3532" s="11"/>
      <c r="R3532" s="11"/>
      <c r="S3532" s="8">
        <v>8.77</v>
      </c>
      <c r="T3532" s="8"/>
      <c r="U3532" s="8">
        <v>28.44</v>
      </c>
      <c r="V3532" s="8"/>
      <c r="W3532" s="8"/>
      <c r="X3532" s="8"/>
      <c r="Y3532" s="8"/>
      <c r="Z3532" s="8">
        <v>387.66</v>
      </c>
      <c r="AA3532" s="8"/>
      <c r="AB3532" s="8">
        <f>713*18.43/1000</f>
        <v>13.14059</v>
      </c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11"/>
      <c r="AQ3532" s="8"/>
      <c r="AR3532" s="8"/>
      <c r="AS3532" s="8"/>
      <c r="AT3532" s="8">
        <v>1136.51</v>
      </c>
      <c r="AU3532" s="8"/>
      <c r="AV3532" s="8"/>
      <c r="AW3532" s="8">
        <v>8.26</v>
      </c>
      <c r="AX3532" s="8"/>
      <c r="AY3532" s="8"/>
      <c r="AZ3532" s="8"/>
      <c r="BA3532" s="8"/>
      <c r="BB3532" s="8"/>
      <c r="BC3532" s="8"/>
      <c r="BD3532" s="8"/>
      <c r="BE3532" s="8"/>
      <c r="BF3532" s="8"/>
      <c r="BG3532" s="8">
        <v>83.96</v>
      </c>
      <c r="BH3532" s="9">
        <f t="shared" si="495"/>
        <v>2579.87</v>
      </c>
      <c r="BI3532" s="9">
        <f t="shared" si="496"/>
        <v>12.94</v>
      </c>
      <c r="BJ3532" s="9">
        <f t="shared" si="497"/>
        <v>8.77</v>
      </c>
      <c r="BK3532" s="9">
        <f t="shared" si="498"/>
        <v>28.44</v>
      </c>
      <c r="BL3532" s="9">
        <f t="shared" si="499"/>
        <v>387.66</v>
      </c>
      <c r="BM3532" s="9">
        <f t="shared" si="500"/>
        <v>13.14059</v>
      </c>
      <c r="BN3532" s="9">
        <f t="shared" si="501"/>
        <v>1136.51</v>
      </c>
      <c r="BO3532" s="9">
        <f t="shared" si="502"/>
        <v>8.26</v>
      </c>
      <c r="BP3532" s="9">
        <f t="shared" si="503"/>
        <v>0</v>
      </c>
    </row>
    <row r="3533" spans="1:68">
      <c r="A3533" s="6">
        <v>45190</v>
      </c>
      <c r="B3533" s="7">
        <v>3200</v>
      </c>
      <c r="C3533" s="8">
        <v>2285.67</v>
      </c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>
        <v>5.73</v>
      </c>
      <c r="P3533" s="8"/>
      <c r="Q3533" s="11"/>
      <c r="R3533" s="11"/>
      <c r="S3533" s="8">
        <v>8.9600000000000009</v>
      </c>
      <c r="T3533" s="8"/>
      <c r="U3533" s="8">
        <v>34.44</v>
      </c>
      <c r="V3533" s="8"/>
      <c r="W3533" s="8"/>
      <c r="X3533" s="8"/>
      <c r="Y3533" s="8"/>
      <c r="Z3533" s="8">
        <v>482.03</v>
      </c>
      <c r="AA3533" s="8"/>
      <c r="AB3533" s="8"/>
      <c r="AC3533" s="8"/>
      <c r="AD3533" s="8"/>
      <c r="AE3533" s="8"/>
      <c r="AF3533" s="8">
        <v>114.53</v>
      </c>
      <c r="AG3533" s="8"/>
      <c r="AH3533" s="8"/>
      <c r="AI3533" s="8"/>
      <c r="AJ3533" s="8"/>
      <c r="AK3533" s="8"/>
      <c r="AL3533" s="8"/>
      <c r="AM3533" s="8"/>
      <c r="AN3533" s="8"/>
      <c r="AO3533" s="8"/>
      <c r="AP3533" s="11"/>
      <c r="AQ3533" s="8">
        <f>1515*22.93/1000</f>
        <v>34.738949999999996</v>
      </c>
      <c r="AR3533" s="8"/>
      <c r="AS3533" s="8"/>
      <c r="AT3533" s="8">
        <v>1569.76</v>
      </c>
      <c r="AU3533" s="8"/>
      <c r="AV3533" s="8"/>
      <c r="AW3533" s="8">
        <v>6.68</v>
      </c>
      <c r="AX3533" s="8"/>
      <c r="AY3533" s="8"/>
      <c r="AZ3533" s="8"/>
      <c r="BA3533" s="8"/>
      <c r="BB3533" s="8"/>
      <c r="BC3533" s="8"/>
      <c r="BD3533" s="8"/>
      <c r="BE3533" s="8"/>
      <c r="BF3533" s="8">
        <v>110.13</v>
      </c>
      <c r="BG3533" s="8">
        <v>113.7</v>
      </c>
      <c r="BH3533" s="9">
        <f t="shared" si="495"/>
        <v>2285.67</v>
      </c>
      <c r="BI3533" s="9">
        <f t="shared" si="496"/>
        <v>5.73</v>
      </c>
      <c r="BJ3533" s="9">
        <f t="shared" si="497"/>
        <v>8.9600000000000009</v>
      </c>
      <c r="BK3533" s="9">
        <f t="shared" si="498"/>
        <v>34.44</v>
      </c>
      <c r="BL3533" s="9">
        <f t="shared" si="499"/>
        <v>482.03</v>
      </c>
      <c r="BM3533" s="9">
        <f t="shared" si="500"/>
        <v>149.26894999999999</v>
      </c>
      <c r="BN3533" s="9">
        <f t="shared" si="501"/>
        <v>1569.76</v>
      </c>
      <c r="BO3533" s="9">
        <f t="shared" si="502"/>
        <v>6.68</v>
      </c>
      <c r="BP3533" s="9">
        <f t="shared" si="503"/>
        <v>110.13</v>
      </c>
    </row>
    <row r="3534" spans="1:68">
      <c r="A3534" s="6">
        <v>45190</v>
      </c>
      <c r="B3534" s="7">
        <v>3023</v>
      </c>
      <c r="C3534" s="8"/>
      <c r="D3534" s="8">
        <v>890.26</v>
      </c>
      <c r="E3534" s="8"/>
      <c r="F3534" s="8"/>
      <c r="G3534" s="8"/>
      <c r="H3534" s="8"/>
      <c r="I3534" s="8">
        <v>481.74</v>
      </c>
      <c r="J3534" s="8"/>
      <c r="K3534" s="8"/>
      <c r="L3534" s="8"/>
      <c r="M3534" s="8"/>
      <c r="N3534" s="8">
        <v>7.66</v>
      </c>
      <c r="O3534" s="8"/>
      <c r="P3534" s="8"/>
      <c r="Q3534" s="11"/>
      <c r="R3534" s="11"/>
      <c r="S3534" s="8">
        <v>2.1800000000000002</v>
      </c>
      <c r="T3534" s="8"/>
      <c r="U3534" s="8"/>
      <c r="V3534" s="8"/>
      <c r="W3534" s="8">
        <v>12.33</v>
      </c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>
        <v>13.43</v>
      </c>
      <c r="AN3534" s="8">
        <f>1021*9.42/1000</f>
        <v>9.61782</v>
      </c>
      <c r="AO3534" s="8"/>
      <c r="AP3534" s="11"/>
      <c r="AQ3534" s="8"/>
      <c r="AR3534" s="8"/>
      <c r="AS3534" s="8">
        <f>4782*9.42/1000</f>
        <v>45.046440000000004</v>
      </c>
      <c r="AT3534" s="8">
        <v>559.91999999999996</v>
      </c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>
        <v>42.06</v>
      </c>
      <c r="BH3534" s="9">
        <f t="shared" si="495"/>
        <v>1372</v>
      </c>
      <c r="BI3534" s="9">
        <f t="shared" si="496"/>
        <v>7.66</v>
      </c>
      <c r="BJ3534" s="9">
        <f t="shared" si="497"/>
        <v>2.1800000000000002</v>
      </c>
      <c r="BK3534" s="9">
        <f t="shared" si="498"/>
        <v>12.33</v>
      </c>
      <c r="BL3534" s="9">
        <f t="shared" si="499"/>
        <v>0</v>
      </c>
      <c r="BM3534" s="9">
        <f t="shared" si="500"/>
        <v>68.094260000000006</v>
      </c>
      <c r="BN3534" s="9">
        <f t="shared" si="501"/>
        <v>559.91999999999996</v>
      </c>
      <c r="BO3534" s="9">
        <f t="shared" si="502"/>
        <v>0</v>
      </c>
      <c r="BP3534" s="9">
        <f t="shared" si="503"/>
        <v>0</v>
      </c>
    </row>
    <row r="3535" spans="1:68">
      <c r="A3535" s="6">
        <v>45190</v>
      </c>
      <c r="B3535" s="7">
        <v>3022</v>
      </c>
      <c r="C3535" s="8"/>
      <c r="D3535" s="8">
        <v>580.30999999999995</v>
      </c>
      <c r="E3535" s="8"/>
      <c r="F3535" s="8"/>
      <c r="G3535" s="8"/>
      <c r="H3535" s="8"/>
      <c r="I3535" s="8">
        <v>473.44</v>
      </c>
      <c r="J3535" s="8"/>
      <c r="K3535" s="8"/>
      <c r="L3535" s="8"/>
      <c r="M3535" s="8"/>
      <c r="N3535" s="8">
        <v>5.27</v>
      </c>
      <c r="O3535" s="8"/>
      <c r="P3535" s="8"/>
      <c r="Q3535" s="11"/>
      <c r="R3535" s="11"/>
      <c r="S3535" s="8">
        <v>1.9</v>
      </c>
      <c r="T3535" s="8"/>
      <c r="U3535" s="8"/>
      <c r="V3535" s="8"/>
      <c r="W3535" s="8">
        <v>10.56</v>
      </c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>
        <v>13.68</v>
      </c>
      <c r="AN3535" s="8"/>
      <c r="AO3535" s="8"/>
      <c r="AP3535" s="11"/>
      <c r="AQ3535" s="8"/>
      <c r="AR3535" s="8"/>
      <c r="AS3535" s="8">
        <f>3891*9.57/1000</f>
        <v>37.236870000000003</v>
      </c>
      <c r="AT3535" s="8">
        <v>492.65</v>
      </c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>
        <v>37.950000000000003</v>
      </c>
      <c r="BH3535" s="9">
        <f t="shared" si="495"/>
        <v>1053.75</v>
      </c>
      <c r="BI3535" s="9">
        <f t="shared" si="496"/>
        <v>5.27</v>
      </c>
      <c r="BJ3535" s="9">
        <f t="shared" si="497"/>
        <v>1.9</v>
      </c>
      <c r="BK3535" s="9">
        <f t="shared" si="498"/>
        <v>10.56</v>
      </c>
      <c r="BL3535" s="9">
        <f t="shared" si="499"/>
        <v>0</v>
      </c>
      <c r="BM3535" s="9">
        <f t="shared" si="500"/>
        <v>50.916870000000003</v>
      </c>
      <c r="BN3535" s="9">
        <f t="shared" si="501"/>
        <v>492.65</v>
      </c>
      <c r="BO3535" s="9">
        <f t="shared" si="502"/>
        <v>0</v>
      </c>
      <c r="BP3535" s="9">
        <f t="shared" si="503"/>
        <v>0</v>
      </c>
    </row>
    <row r="3536" spans="1:68">
      <c r="A3536" s="6">
        <v>45191</v>
      </c>
      <c r="B3536" s="7">
        <v>3141</v>
      </c>
      <c r="C3536" s="8">
        <v>2409.0700000000002</v>
      </c>
      <c r="D3536" s="8">
        <v>425.54</v>
      </c>
      <c r="E3536" s="8"/>
      <c r="F3536" s="8"/>
      <c r="G3536" s="8"/>
      <c r="H3536" s="8"/>
      <c r="I3536" s="8"/>
      <c r="J3536" s="8"/>
      <c r="K3536" s="8"/>
      <c r="L3536" s="8"/>
      <c r="M3536" s="8">
        <v>8.23</v>
      </c>
      <c r="N3536" s="8"/>
      <c r="O3536" s="8"/>
      <c r="P3536" s="8"/>
      <c r="Q3536" s="11"/>
      <c r="R3536" s="11"/>
      <c r="S3536" s="8">
        <v>13.35</v>
      </c>
      <c r="T3536" s="8"/>
      <c r="U3536" s="8">
        <v>42.58</v>
      </c>
      <c r="V3536" s="8"/>
      <c r="W3536" s="8"/>
      <c r="X3536" s="8"/>
      <c r="Y3536" s="8"/>
      <c r="Z3536" s="8"/>
      <c r="AA3536" s="8"/>
      <c r="AB3536" s="8"/>
      <c r="AC3536" s="8">
        <v>11.36</v>
      </c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11"/>
      <c r="AQ3536" s="8"/>
      <c r="AR3536" s="8"/>
      <c r="AS3536" s="8"/>
      <c r="AT3536" s="8">
        <v>1868.1</v>
      </c>
      <c r="AU3536" s="8"/>
      <c r="AV3536" s="8"/>
      <c r="AW3536" s="8"/>
      <c r="AX3536" s="8"/>
      <c r="AY3536" s="8"/>
      <c r="AZ3536" s="8"/>
      <c r="BA3536" s="8">
        <v>65.069999999999993</v>
      </c>
      <c r="BB3536" s="8"/>
      <c r="BC3536" s="8"/>
      <c r="BD3536" s="8"/>
      <c r="BE3536" s="8"/>
      <c r="BF3536" s="8">
        <v>198.71</v>
      </c>
      <c r="BG3536" s="8">
        <v>147.81</v>
      </c>
      <c r="BH3536" s="9">
        <f t="shared" si="495"/>
        <v>2834.61</v>
      </c>
      <c r="BI3536" s="9">
        <f t="shared" si="496"/>
        <v>8.23</v>
      </c>
      <c r="BJ3536" s="9">
        <f t="shared" si="497"/>
        <v>13.35</v>
      </c>
      <c r="BK3536" s="9">
        <f t="shared" si="498"/>
        <v>42.58</v>
      </c>
      <c r="BL3536" s="9">
        <f t="shared" si="499"/>
        <v>0</v>
      </c>
      <c r="BM3536" s="9">
        <f t="shared" si="500"/>
        <v>11.36</v>
      </c>
      <c r="BN3536" s="9">
        <f t="shared" si="501"/>
        <v>1868.1</v>
      </c>
      <c r="BO3536" s="9">
        <f t="shared" si="502"/>
        <v>65.069999999999993</v>
      </c>
      <c r="BP3536" s="9">
        <f t="shared" si="503"/>
        <v>198.71</v>
      </c>
    </row>
    <row r="3537" spans="1:68">
      <c r="A3537" s="6">
        <v>45191</v>
      </c>
      <c r="B3537" s="7">
        <v>3106</v>
      </c>
      <c r="C3537" s="8">
        <v>6163.64</v>
      </c>
      <c r="D3537" s="8"/>
      <c r="E3537" s="8"/>
      <c r="F3537" s="8"/>
      <c r="G3537" s="8"/>
      <c r="H3537" s="8"/>
      <c r="I3537" s="8"/>
      <c r="J3537" s="8"/>
      <c r="K3537" s="8"/>
      <c r="L3537" s="8"/>
      <c r="M3537" s="8">
        <v>16.62</v>
      </c>
      <c r="N3537" s="8"/>
      <c r="O3537" s="8"/>
      <c r="P3537" s="8"/>
      <c r="Q3537" s="11"/>
      <c r="R3537" s="11"/>
      <c r="S3537" s="8">
        <v>18.54</v>
      </c>
      <c r="T3537" s="8"/>
      <c r="U3537" s="8">
        <v>78.52</v>
      </c>
      <c r="V3537" s="8"/>
      <c r="W3537" s="8"/>
      <c r="X3537" s="8"/>
      <c r="Y3537" s="8"/>
      <c r="Z3537" s="8"/>
      <c r="AA3537" s="8"/>
      <c r="AB3537" s="8"/>
      <c r="AC3537" s="8">
        <v>15.43</v>
      </c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11"/>
      <c r="AQ3537" s="8"/>
      <c r="AR3537" s="8"/>
      <c r="AS3537" s="8"/>
      <c r="AT3537" s="8">
        <v>3513.54</v>
      </c>
      <c r="AU3537" s="8"/>
      <c r="AV3537" s="8"/>
      <c r="AW3537" s="8"/>
      <c r="AX3537" s="8">
        <v>7.71</v>
      </c>
      <c r="AY3537" s="8"/>
      <c r="AZ3537" s="8"/>
      <c r="BA3537" s="8"/>
      <c r="BB3537" s="8"/>
      <c r="BC3537" s="8"/>
      <c r="BD3537" s="8"/>
      <c r="BE3537" s="8"/>
      <c r="BF3537" s="8"/>
      <c r="BG3537" s="8">
        <v>265.12</v>
      </c>
      <c r="BH3537" s="9">
        <f t="shared" si="495"/>
        <v>6163.64</v>
      </c>
      <c r="BI3537" s="9">
        <f t="shared" si="496"/>
        <v>16.62</v>
      </c>
      <c r="BJ3537" s="9">
        <f t="shared" si="497"/>
        <v>18.54</v>
      </c>
      <c r="BK3537" s="9">
        <f t="shared" si="498"/>
        <v>78.52</v>
      </c>
      <c r="BL3537" s="9">
        <f t="shared" si="499"/>
        <v>0</v>
      </c>
      <c r="BM3537" s="9">
        <f t="shared" si="500"/>
        <v>15.43</v>
      </c>
      <c r="BN3537" s="9">
        <f t="shared" si="501"/>
        <v>3513.54</v>
      </c>
      <c r="BO3537" s="9">
        <f t="shared" si="502"/>
        <v>7.71</v>
      </c>
      <c r="BP3537" s="9">
        <f t="shared" si="503"/>
        <v>0</v>
      </c>
    </row>
    <row r="3538" spans="1:68">
      <c r="A3538" s="6">
        <v>45191</v>
      </c>
      <c r="B3538" s="7">
        <v>3016</v>
      </c>
      <c r="C3538" s="8"/>
      <c r="D3538" s="8">
        <v>2428.1999999999998</v>
      </c>
      <c r="E3538" s="8"/>
      <c r="F3538" s="8"/>
      <c r="G3538" s="8"/>
      <c r="H3538" s="8"/>
      <c r="I3538" s="8">
        <v>2239.1999999999998</v>
      </c>
      <c r="J3538" s="8"/>
      <c r="K3538" s="8"/>
      <c r="L3538" s="8"/>
      <c r="M3538" s="8"/>
      <c r="N3538" s="8">
        <v>28.95</v>
      </c>
      <c r="O3538" s="8"/>
      <c r="P3538" s="8"/>
      <c r="Q3538" s="11"/>
      <c r="R3538" s="11"/>
      <c r="S3538" s="8">
        <v>3.26</v>
      </c>
      <c r="T3538" s="8"/>
      <c r="U3538" s="8"/>
      <c r="V3538" s="8"/>
      <c r="W3538" s="8">
        <v>46.71</v>
      </c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>
        <v>18.59</v>
      </c>
      <c r="AN3538" s="8">
        <f>2062*27.45/1000</f>
        <v>56.601900000000001</v>
      </c>
      <c r="AO3538" s="8"/>
      <c r="AP3538" s="11"/>
      <c r="AQ3538" s="8"/>
      <c r="AR3538" s="8">
        <f>4308*27.45/1000</f>
        <v>118.2546</v>
      </c>
      <c r="AS3538" s="8"/>
      <c r="AT3538" s="8">
        <v>1732.53</v>
      </c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>
        <v>127.16</v>
      </c>
      <c r="BH3538" s="9">
        <f t="shared" si="495"/>
        <v>4667.3999999999996</v>
      </c>
      <c r="BI3538" s="9">
        <f t="shared" si="496"/>
        <v>28.95</v>
      </c>
      <c r="BJ3538" s="9">
        <f t="shared" si="497"/>
        <v>3.26</v>
      </c>
      <c r="BK3538" s="9">
        <f t="shared" si="498"/>
        <v>46.71</v>
      </c>
      <c r="BL3538" s="9">
        <f t="shared" si="499"/>
        <v>0</v>
      </c>
      <c r="BM3538" s="9">
        <f t="shared" si="500"/>
        <v>193.44650000000001</v>
      </c>
      <c r="BN3538" s="9">
        <f t="shared" si="501"/>
        <v>1732.53</v>
      </c>
      <c r="BO3538" s="9">
        <f t="shared" si="502"/>
        <v>0</v>
      </c>
      <c r="BP3538" s="9">
        <f t="shared" si="503"/>
        <v>0</v>
      </c>
    </row>
    <row r="3539" spans="1:68">
      <c r="A3539" s="6">
        <v>45191</v>
      </c>
      <c r="B3539" s="7">
        <v>3153</v>
      </c>
      <c r="C3539" s="8">
        <v>768.76</v>
      </c>
      <c r="D3539" s="8"/>
      <c r="E3539" s="8"/>
      <c r="F3539" s="8"/>
      <c r="G3539" s="8"/>
      <c r="H3539" s="8"/>
      <c r="I3539" s="8"/>
      <c r="J3539" s="8"/>
      <c r="K3539" s="8"/>
      <c r="L3539" s="8"/>
      <c r="M3539" s="8">
        <v>1.38</v>
      </c>
      <c r="N3539" s="8">
        <v>1.38</v>
      </c>
      <c r="O3539" s="8"/>
      <c r="P3539" s="8"/>
      <c r="Q3539" s="11"/>
      <c r="R3539" s="11"/>
      <c r="S3539" s="8">
        <v>3.15</v>
      </c>
      <c r="T3539" s="8"/>
      <c r="U3539" s="8">
        <v>7.69</v>
      </c>
      <c r="V3539" s="8"/>
      <c r="W3539" s="8"/>
      <c r="X3539" s="8"/>
      <c r="Y3539" s="8"/>
      <c r="Z3539" s="8"/>
      <c r="AA3539" s="8"/>
      <c r="AB3539" s="8"/>
      <c r="AC3539" s="8">
        <v>3.07</v>
      </c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11"/>
      <c r="AQ3539" s="8"/>
      <c r="AR3539" s="8"/>
      <c r="AS3539" s="8"/>
      <c r="AT3539" s="8">
        <v>340.85</v>
      </c>
      <c r="AU3539" s="8"/>
      <c r="AV3539" s="8"/>
      <c r="AW3539" s="8"/>
      <c r="AX3539" s="8"/>
      <c r="AY3539" s="8"/>
      <c r="AZ3539" s="8"/>
      <c r="BA3539" s="8"/>
      <c r="BB3539" s="8"/>
      <c r="BC3539" s="8">
        <v>0.77</v>
      </c>
      <c r="BD3539" s="8"/>
      <c r="BE3539" s="8"/>
      <c r="BF3539" s="8"/>
      <c r="BG3539" s="8">
        <v>24.98</v>
      </c>
      <c r="BH3539" s="9">
        <f t="shared" si="495"/>
        <v>768.76</v>
      </c>
      <c r="BI3539" s="9">
        <f t="shared" si="496"/>
        <v>2.76</v>
      </c>
      <c r="BJ3539" s="9">
        <f t="shared" si="497"/>
        <v>3.15</v>
      </c>
      <c r="BK3539" s="9">
        <f t="shared" si="498"/>
        <v>7.69</v>
      </c>
      <c r="BL3539" s="9">
        <f t="shared" si="499"/>
        <v>0</v>
      </c>
      <c r="BM3539" s="9">
        <f t="shared" si="500"/>
        <v>3.07</v>
      </c>
      <c r="BN3539" s="9">
        <f t="shared" si="501"/>
        <v>340.85</v>
      </c>
      <c r="BO3539" s="9">
        <f t="shared" si="502"/>
        <v>0.77</v>
      </c>
      <c r="BP3539" s="9">
        <f t="shared" si="503"/>
        <v>0</v>
      </c>
    </row>
    <row r="3540" spans="1:68">
      <c r="A3540" s="6">
        <v>45191</v>
      </c>
      <c r="B3540" s="7">
        <v>3703</v>
      </c>
      <c r="C3540" s="8">
        <v>504.25</v>
      </c>
      <c r="D3540" s="8">
        <v>337.12</v>
      </c>
      <c r="E3540" s="8"/>
      <c r="F3540" s="8"/>
      <c r="G3540" s="8"/>
      <c r="H3540" s="8"/>
      <c r="I3540" s="8"/>
      <c r="J3540" s="8"/>
      <c r="K3540" s="8"/>
      <c r="L3540" s="8"/>
      <c r="M3540" s="8">
        <v>1.69</v>
      </c>
      <c r="N3540" s="8"/>
      <c r="O3540" s="8"/>
      <c r="P3540" s="8"/>
      <c r="Q3540" s="11"/>
      <c r="R3540" s="11"/>
      <c r="S3540" s="8">
        <v>4.1399999999999997</v>
      </c>
      <c r="T3540" s="8"/>
      <c r="U3540" s="8">
        <v>6.75</v>
      </c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>
        <v>8.3699999999999992</v>
      </c>
      <c r="AN3540" s="8"/>
      <c r="AO3540" s="8"/>
      <c r="AP3540" s="11"/>
      <c r="AQ3540" s="8"/>
      <c r="AR3540" s="8"/>
      <c r="AS3540" s="8"/>
      <c r="AT3540" s="8">
        <v>203.62</v>
      </c>
      <c r="AU3540" s="8">
        <v>102.14</v>
      </c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>
        <v>21.5</v>
      </c>
      <c r="BH3540" s="9">
        <f t="shared" si="495"/>
        <v>841.37</v>
      </c>
      <c r="BI3540" s="9">
        <f t="shared" si="496"/>
        <v>1.69</v>
      </c>
      <c r="BJ3540" s="9">
        <f t="shared" si="497"/>
        <v>4.1399999999999997</v>
      </c>
      <c r="BK3540" s="9">
        <f t="shared" si="498"/>
        <v>6.75</v>
      </c>
      <c r="BL3540" s="9">
        <f t="shared" si="499"/>
        <v>0</v>
      </c>
      <c r="BM3540" s="9">
        <f t="shared" si="500"/>
        <v>8.3699999999999992</v>
      </c>
      <c r="BN3540" s="9">
        <f t="shared" si="501"/>
        <v>305.76</v>
      </c>
      <c r="BO3540" s="9">
        <f t="shared" si="502"/>
        <v>0</v>
      </c>
      <c r="BP3540" s="9">
        <f t="shared" si="503"/>
        <v>0</v>
      </c>
    </row>
    <row r="3541" spans="1:68">
      <c r="A3541" s="6">
        <v>45191</v>
      </c>
      <c r="B3541" s="7">
        <v>3704</v>
      </c>
      <c r="C3541" s="8">
        <v>128.55000000000001</v>
      </c>
      <c r="D3541" s="8">
        <v>191.29</v>
      </c>
      <c r="E3541" s="8"/>
      <c r="F3541" s="8"/>
      <c r="G3541" s="8"/>
      <c r="H3541" s="8"/>
      <c r="I3541" s="8"/>
      <c r="J3541" s="8"/>
      <c r="K3541" s="8"/>
      <c r="L3541" s="8"/>
      <c r="M3541" s="8">
        <v>0.95</v>
      </c>
      <c r="N3541" s="8"/>
      <c r="O3541" s="8"/>
      <c r="P3541" s="8"/>
      <c r="Q3541" s="11"/>
      <c r="R3541" s="11"/>
      <c r="S3541" s="8">
        <v>1.1299999999999999</v>
      </c>
      <c r="T3541" s="8"/>
      <c r="U3541" s="8">
        <v>2.38</v>
      </c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>
        <v>3.82</v>
      </c>
      <c r="AN3541" s="8"/>
      <c r="AO3541" s="8"/>
      <c r="AP3541" s="11"/>
      <c r="AQ3541" s="8"/>
      <c r="AR3541" s="8"/>
      <c r="AS3541" s="8"/>
      <c r="AT3541" s="8">
        <v>55.83</v>
      </c>
      <c r="AU3541" s="8">
        <v>28.07</v>
      </c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>
        <v>5.15</v>
      </c>
      <c r="BH3541" s="9">
        <f t="shared" si="495"/>
        <v>319.84000000000003</v>
      </c>
      <c r="BI3541" s="9">
        <f t="shared" si="496"/>
        <v>0.95</v>
      </c>
      <c r="BJ3541" s="9">
        <f t="shared" si="497"/>
        <v>1.1299999999999999</v>
      </c>
      <c r="BK3541" s="9">
        <f t="shared" si="498"/>
        <v>2.38</v>
      </c>
      <c r="BL3541" s="9">
        <f t="shared" si="499"/>
        <v>0</v>
      </c>
      <c r="BM3541" s="9">
        <f t="shared" si="500"/>
        <v>3.82</v>
      </c>
      <c r="BN3541" s="9">
        <f t="shared" si="501"/>
        <v>83.9</v>
      </c>
      <c r="BO3541" s="9">
        <f t="shared" si="502"/>
        <v>0</v>
      </c>
      <c r="BP3541" s="9">
        <f t="shared" si="503"/>
        <v>0</v>
      </c>
    </row>
    <row r="3542" spans="1:68">
      <c r="A3542" s="6">
        <v>45194</v>
      </c>
      <c r="B3542" s="7">
        <v>3113</v>
      </c>
      <c r="C3542" s="8">
        <v>1695.84</v>
      </c>
      <c r="D3542" s="8"/>
      <c r="E3542" s="8"/>
      <c r="F3542" s="8"/>
      <c r="G3542" s="8"/>
      <c r="H3542" s="8"/>
      <c r="I3542" s="8"/>
      <c r="J3542" s="8"/>
      <c r="K3542" s="8"/>
      <c r="L3542" s="8"/>
      <c r="M3542" s="8">
        <v>1.55</v>
      </c>
      <c r="N3542" s="8">
        <v>1.55</v>
      </c>
      <c r="O3542" s="8"/>
      <c r="P3542" s="8"/>
      <c r="Q3542" s="11"/>
      <c r="R3542" s="11"/>
      <c r="S3542" s="8">
        <v>5.09</v>
      </c>
      <c r="T3542" s="8"/>
      <c r="U3542" s="8">
        <v>16.97</v>
      </c>
      <c r="V3542" s="8"/>
      <c r="W3542" s="8"/>
      <c r="X3542" s="8"/>
      <c r="Y3542" s="8"/>
      <c r="Z3542" s="8"/>
      <c r="AA3542" s="8"/>
      <c r="AB3542" s="8"/>
      <c r="AC3542" s="8">
        <v>6.78</v>
      </c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11"/>
      <c r="AQ3542" s="8"/>
      <c r="AR3542" s="8"/>
      <c r="AS3542" s="8"/>
      <c r="AT3542" s="8">
        <v>711.67</v>
      </c>
      <c r="AU3542" s="8"/>
      <c r="AV3542" s="8">
        <v>57.68</v>
      </c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>
        <v>51.09</v>
      </c>
      <c r="BH3542" s="9">
        <f t="shared" si="495"/>
        <v>1695.84</v>
      </c>
      <c r="BI3542" s="9">
        <f t="shared" si="496"/>
        <v>3.1</v>
      </c>
      <c r="BJ3542" s="9">
        <f t="shared" si="497"/>
        <v>5.09</v>
      </c>
      <c r="BK3542" s="9">
        <f t="shared" si="498"/>
        <v>16.97</v>
      </c>
      <c r="BL3542" s="9">
        <f t="shared" si="499"/>
        <v>0</v>
      </c>
      <c r="BM3542" s="9">
        <f t="shared" si="500"/>
        <v>6.78</v>
      </c>
      <c r="BN3542" s="9">
        <f t="shared" si="501"/>
        <v>711.67</v>
      </c>
      <c r="BO3542" s="9">
        <f t="shared" si="502"/>
        <v>57.68</v>
      </c>
      <c r="BP3542" s="9">
        <f t="shared" si="503"/>
        <v>0</v>
      </c>
    </row>
    <row r="3543" spans="1:68">
      <c r="A3543" s="6">
        <v>45194</v>
      </c>
      <c r="B3543" s="7">
        <v>3110</v>
      </c>
      <c r="C3543" s="8">
        <v>1296.31</v>
      </c>
      <c r="D3543" s="8"/>
      <c r="E3543" s="8"/>
      <c r="F3543" s="8"/>
      <c r="G3543" s="8"/>
      <c r="H3543" s="8"/>
      <c r="I3543" s="8"/>
      <c r="J3543" s="8"/>
      <c r="K3543" s="8"/>
      <c r="L3543" s="8"/>
      <c r="M3543" s="8">
        <v>2.58</v>
      </c>
      <c r="N3543" s="8"/>
      <c r="O3543" s="8"/>
      <c r="P3543" s="8"/>
      <c r="Q3543" s="11"/>
      <c r="R3543" s="11"/>
      <c r="S3543" s="8">
        <v>4.41</v>
      </c>
      <c r="T3543" s="8"/>
      <c r="U3543" s="8">
        <v>12.96</v>
      </c>
      <c r="V3543" s="8"/>
      <c r="W3543" s="8"/>
      <c r="X3543" s="8"/>
      <c r="Y3543" s="8"/>
      <c r="Z3543" s="8"/>
      <c r="AA3543" s="8"/>
      <c r="AB3543" s="8"/>
      <c r="AC3543" s="8">
        <v>5.18</v>
      </c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11"/>
      <c r="AQ3543" s="8"/>
      <c r="AR3543" s="8"/>
      <c r="AS3543" s="8"/>
      <c r="AT3543" s="8">
        <v>676.47</v>
      </c>
      <c r="AU3543" s="8"/>
      <c r="AV3543" s="8">
        <v>22.05</v>
      </c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>
        <v>49.92</v>
      </c>
      <c r="BH3543" s="9">
        <f t="shared" si="495"/>
        <v>1296.31</v>
      </c>
      <c r="BI3543" s="9">
        <f t="shared" si="496"/>
        <v>2.58</v>
      </c>
      <c r="BJ3543" s="9">
        <f t="shared" si="497"/>
        <v>4.41</v>
      </c>
      <c r="BK3543" s="9">
        <f t="shared" si="498"/>
        <v>12.96</v>
      </c>
      <c r="BL3543" s="9">
        <f t="shared" si="499"/>
        <v>0</v>
      </c>
      <c r="BM3543" s="9">
        <f t="shared" si="500"/>
        <v>5.18</v>
      </c>
      <c r="BN3543" s="9">
        <f t="shared" si="501"/>
        <v>676.47</v>
      </c>
      <c r="BO3543" s="9">
        <f t="shared" si="502"/>
        <v>22.05</v>
      </c>
      <c r="BP3543" s="9">
        <f t="shared" si="503"/>
        <v>0</v>
      </c>
    </row>
    <row r="3544" spans="1:68">
      <c r="A3544" s="6">
        <v>45194</v>
      </c>
      <c r="B3544" s="7">
        <v>3121</v>
      </c>
      <c r="C3544" s="8">
        <v>2236.36</v>
      </c>
      <c r="D3544" s="8"/>
      <c r="E3544" s="8"/>
      <c r="F3544" s="8"/>
      <c r="G3544" s="8"/>
      <c r="H3544" s="8"/>
      <c r="I3544" s="8"/>
      <c r="J3544" s="8"/>
      <c r="K3544" s="8"/>
      <c r="L3544" s="8"/>
      <c r="M3544" s="8">
        <v>5.57</v>
      </c>
      <c r="N3544" s="8"/>
      <c r="O3544" s="8"/>
      <c r="P3544" s="8"/>
      <c r="Q3544" s="11"/>
      <c r="R3544" s="11"/>
      <c r="S3544" s="8">
        <v>7.63</v>
      </c>
      <c r="T3544" s="8"/>
      <c r="U3544" s="8">
        <v>22.48</v>
      </c>
      <c r="V3544" s="8"/>
      <c r="W3544" s="8"/>
      <c r="X3544" s="8"/>
      <c r="Y3544" s="8"/>
      <c r="Z3544" s="8"/>
      <c r="AA3544" s="8"/>
      <c r="AB3544" s="8"/>
      <c r="AC3544" s="8">
        <v>8.9700000000000006</v>
      </c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11">
        <f>2214*10.18/1000</f>
        <v>22.538520000000002</v>
      </c>
      <c r="AQ3544" s="8"/>
      <c r="AR3544" s="8"/>
      <c r="AS3544" s="8"/>
      <c r="AT3544" s="8">
        <v>1180.3699999999999</v>
      </c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>
        <v>87.37</v>
      </c>
      <c r="BH3544" s="9">
        <f t="shared" si="495"/>
        <v>2236.36</v>
      </c>
      <c r="BI3544" s="9">
        <f t="shared" si="496"/>
        <v>5.57</v>
      </c>
      <c r="BJ3544" s="9">
        <f t="shared" si="497"/>
        <v>7.63</v>
      </c>
      <c r="BK3544" s="9">
        <f t="shared" si="498"/>
        <v>22.48</v>
      </c>
      <c r="BL3544" s="9">
        <f t="shared" si="499"/>
        <v>0</v>
      </c>
      <c r="BM3544" s="9">
        <f t="shared" si="500"/>
        <v>31.508520000000004</v>
      </c>
      <c r="BN3544" s="9">
        <f t="shared" si="501"/>
        <v>1180.3699999999999</v>
      </c>
      <c r="BO3544" s="9">
        <f t="shared" si="502"/>
        <v>0</v>
      </c>
      <c r="BP3544" s="9">
        <f t="shared" si="503"/>
        <v>0</v>
      </c>
    </row>
    <row r="3545" spans="1:68">
      <c r="A3545" s="6">
        <v>45194</v>
      </c>
      <c r="B3545" s="7">
        <v>3027</v>
      </c>
      <c r="C3545" s="8"/>
      <c r="D3545" s="8">
        <v>552.02</v>
      </c>
      <c r="E3545" s="8"/>
      <c r="F3545" s="8"/>
      <c r="G3545" s="8"/>
      <c r="H3545" s="8"/>
      <c r="I3545" s="8">
        <v>451.24</v>
      </c>
      <c r="J3545" s="8"/>
      <c r="K3545" s="8"/>
      <c r="L3545" s="8"/>
      <c r="M3545" s="8"/>
      <c r="N3545" s="8">
        <v>5.72</v>
      </c>
      <c r="O3545" s="8"/>
      <c r="P3545" s="8"/>
      <c r="Q3545" s="11"/>
      <c r="R3545" s="11"/>
      <c r="S3545" s="8">
        <v>1.61</v>
      </c>
      <c r="T3545" s="8"/>
      <c r="U3545" s="8"/>
      <c r="V3545" s="8"/>
      <c r="W3545" s="8">
        <v>7.54</v>
      </c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>
        <v>10.029999999999999</v>
      </c>
      <c r="AN3545" s="8">
        <f>1228*5.73/1000</f>
        <v>7.0364400000000007</v>
      </c>
      <c r="AO3545" s="8"/>
      <c r="AP3545" s="11"/>
      <c r="AQ3545" s="8"/>
      <c r="AR3545" s="8"/>
      <c r="AS3545" s="8">
        <f>5746*5.73/1000</f>
        <v>32.924579999999999</v>
      </c>
      <c r="AT3545" s="8">
        <v>333.61</v>
      </c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>
        <v>23.42</v>
      </c>
      <c r="BH3545" s="9">
        <f t="shared" si="495"/>
        <v>1003.26</v>
      </c>
      <c r="BI3545" s="9">
        <f t="shared" si="496"/>
        <v>5.72</v>
      </c>
      <c r="BJ3545" s="9">
        <f t="shared" si="497"/>
        <v>1.61</v>
      </c>
      <c r="BK3545" s="9">
        <f t="shared" si="498"/>
        <v>7.54</v>
      </c>
      <c r="BL3545" s="9">
        <f t="shared" si="499"/>
        <v>0</v>
      </c>
      <c r="BM3545" s="9">
        <f t="shared" si="500"/>
        <v>49.991019999999999</v>
      </c>
      <c r="BN3545" s="9">
        <f t="shared" si="501"/>
        <v>333.61</v>
      </c>
      <c r="BO3545" s="9">
        <f t="shared" si="502"/>
        <v>0</v>
      </c>
      <c r="BP3545" s="9">
        <f t="shared" si="503"/>
        <v>0</v>
      </c>
    </row>
    <row r="3546" spans="1:68">
      <c r="A3546" s="6">
        <v>45194</v>
      </c>
      <c r="B3546" s="7">
        <v>3025</v>
      </c>
      <c r="C3546" s="8"/>
      <c r="D3546" s="8">
        <v>225.78</v>
      </c>
      <c r="E3546" s="8"/>
      <c r="F3546" s="8"/>
      <c r="G3546" s="8"/>
      <c r="H3546" s="8"/>
      <c r="I3546" s="8">
        <v>1261.46</v>
      </c>
      <c r="J3546" s="8"/>
      <c r="K3546" s="8"/>
      <c r="L3546" s="8"/>
      <c r="M3546" s="8"/>
      <c r="N3546" s="8">
        <v>8.32</v>
      </c>
      <c r="O3546" s="8"/>
      <c r="P3546" s="8"/>
      <c r="Q3546" s="11"/>
      <c r="R3546" s="11"/>
      <c r="S3546" s="8">
        <v>2.38</v>
      </c>
      <c r="T3546" s="8"/>
      <c r="U3546" s="8"/>
      <c r="V3546" s="8"/>
      <c r="W3546" s="8">
        <v>13.33</v>
      </c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>
        <v>14.81</v>
      </c>
      <c r="AN3546" s="8">
        <f>709*14.87/1000</f>
        <v>10.54283</v>
      </c>
      <c r="AO3546" s="8"/>
      <c r="AP3546" s="11"/>
      <c r="AQ3546" s="8"/>
      <c r="AR3546" s="8"/>
      <c r="AS3546" s="8">
        <f>3314*14.87/1000</f>
        <v>49.279180000000004</v>
      </c>
      <c r="AT3546" s="8">
        <v>513.33000000000004</v>
      </c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>
        <v>34.090000000000003</v>
      </c>
      <c r="BH3546" s="9">
        <f t="shared" si="495"/>
        <v>1487.24</v>
      </c>
      <c r="BI3546" s="9">
        <f t="shared" si="496"/>
        <v>8.32</v>
      </c>
      <c r="BJ3546" s="9">
        <f t="shared" si="497"/>
        <v>2.38</v>
      </c>
      <c r="BK3546" s="9">
        <f t="shared" si="498"/>
        <v>13.33</v>
      </c>
      <c r="BL3546" s="9">
        <f t="shared" si="499"/>
        <v>0</v>
      </c>
      <c r="BM3546" s="9">
        <f t="shared" si="500"/>
        <v>74.632010000000008</v>
      </c>
      <c r="BN3546" s="9">
        <f t="shared" si="501"/>
        <v>513.33000000000004</v>
      </c>
      <c r="BO3546" s="9">
        <f t="shared" si="502"/>
        <v>0</v>
      </c>
      <c r="BP3546" s="9">
        <f t="shared" si="503"/>
        <v>0</v>
      </c>
    </row>
    <row r="3547" spans="1:68">
      <c r="A3547" s="6">
        <v>45194</v>
      </c>
      <c r="B3547" s="7">
        <v>3203</v>
      </c>
      <c r="C3547" s="8">
        <v>886.15</v>
      </c>
      <c r="D3547" s="8"/>
      <c r="E3547" s="8">
        <v>380.3</v>
      </c>
      <c r="F3547" s="8"/>
      <c r="G3547" s="8"/>
      <c r="H3547" s="8"/>
      <c r="I3547" s="8"/>
      <c r="J3547" s="8"/>
      <c r="K3547" s="8"/>
      <c r="L3547" s="8"/>
      <c r="M3547" s="8"/>
      <c r="N3547" s="8"/>
      <c r="O3547" s="8">
        <v>3.86</v>
      </c>
      <c r="P3547" s="8"/>
      <c r="Q3547" s="11"/>
      <c r="R3547" s="11"/>
      <c r="S3547" s="8">
        <v>4.99</v>
      </c>
      <c r="T3547" s="8"/>
      <c r="U3547" s="8">
        <v>15.87</v>
      </c>
      <c r="V3547" s="8"/>
      <c r="W3547" s="8"/>
      <c r="X3547" s="8"/>
      <c r="Y3547" s="8"/>
      <c r="Z3547" s="8">
        <v>201.29</v>
      </c>
      <c r="AA3547" s="8">
        <f>10446*15.02/1000</f>
        <v>156.89891999999998</v>
      </c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11"/>
      <c r="AQ3547" s="8"/>
      <c r="AR3547" s="8"/>
      <c r="AS3547" s="8"/>
      <c r="AT3547" s="8">
        <v>476.61</v>
      </c>
      <c r="AU3547" s="8">
        <v>238.5</v>
      </c>
      <c r="AV3547" s="8"/>
      <c r="AW3547" s="8"/>
      <c r="AX3547" s="8"/>
      <c r="AY3547" s="8"/>
      <c r="AZ3547" s="8"/>
      <c r="BA3547" s="8"/>
      <c r="BB3547" s="8"/>
      <c r="BC3547" s="8">
        <v>3.32</v>
      </c>
      <c r="BD3547" s="8"/>
      <c r="BE3547" s="8"/>
      <c r="BF3547" s="8"/>
      <c r="BG3547" s="8">
        <v>46.94</v>
      </c>
      <c r="BH3547" s="9">
        <f t="shared" si="495"/>
        <v>1266.45</v>
      </c>
      <c r="BI3547" s="9">
        <f t="shared" si="496"/>
        <v>3.86</v>
      </c>
      <c r="BJ3547" s="9">
        <f t="shared" si="497"/>
        <v>4.99</v>
      </c>
      <c r="BK3547" s="9">
        <f t="shared" si="498"/>
        <v>15.87</v>
      </c>
      <c r="BL3547" s="9">
        <f t="shared" si="499"/>
        <v>358.18891999999994</v>
      </c>
      <c r="BM3547" s="9">
        <f t="shared" si="500"/>
        <v>0</v>
      </c>
      <c r="BN3547" s="9">
        <f t="shared" si="501"/>
        <v>715.11</v>
      </c>
      <c r="BO3547" s="9">
        <f t="shared" si="502"/>
        <v>3.32</v>
      </c>
      <c r="BP3547" s="9">
        <f t="shared" si="503"/>
        <v>0</v>
      </c>
    </row>
    <row r="3548" spans="1:68">
      <c r="A3548" s="6">
        <v>45194</v>
      </c>
      <c r="B3548" s="7">
        <v>3205</v>
      </c>
      <c r="C3548" s="8">
        <v>655.51</v>
      </c>
      <c r="D3548" s="8">
        <v>368.39</v>
      </c>
      <c r="E3548" s="8">
        <v>443.61</v>
      </c>
      <c r="F3548" s="8"/>
      <c r="G3548" s="8"/>
      <c r="H3548" s="8"/>
      <c r="I3548" s="8"/>
      <c r="J3548" s="8"/>
      <c r="K3548" s="8"/>
      <c r="L3548" s="8"/>
      <c r="M3548" s="8"/>
      <c r="N3548" s="8"/>
      <c r="O3548" s="8">
        <v>6</v>
      </c>
      <c r="P3548" s="8"/>
      <c r="Q3548" s="11"/>
      <c r="R3548" s="11"/>
      <c r="S3548" s="8">
        <v>5.52</v>
      </c>
      <c r="T3548" s="8"/>
      <c r="U3548" s="8">
        <v>17.920000000000002</v>
      </c>
      <c r="V3548" s="8"/>
      <c r="W3548" s="8"/>
      <c r="X3548" s="8"/>
      <c r="Y3548" s="8"/>
      <c r="Z3548" s="8">
        <v>149.13</v>
      </c>
      <c r="AA3548" s="8"/>
      <c r="AB3548" s="8">
        <f>1022*14.9/1000</f>
        <v>15.2278</v>
      </c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11"/>
      <c r="AQ3548" s="8">
        <f>505*14.9/1000</f>
        <v>7.5244999999999997</v>
      </c>
      <c r="AR3548" s="8"/>
      <c r="AS3548" s="8"/>
      <c r="AT3548" s="8">
        <v>391.42</v>
      </c>
      <c r="AU3548" s="8">
        <v>193.25</v>
      </c>
      <c r="AV3548" s="8"/>
      <c r="AW3548" s="8">
        <v>6.48</v>
      </c>
      <c r="AX3548" s="8"/>
      <c r="AY3548" s="8"/>
      <c r="AZ3548" s="8"/>
      <c r="BA3548" s="8"/>
      <c r="BB3548" s="8"/>
      <c r="BC3548" s="8"/>
      <c r="BD3548" s="8"/>
      <c r="BE3548" s="8"/>
      <c r="BF3548" s="8"/>
      <c r="BG3548" s="8">
        <v>35.6</v>
      </c>
      <c r="BH3548" s="9">
        <f t="shared" si="495"/>
        <v>1467.51</v>
      </c>
      <c r="BI3548" s="9">
        <f t="shared" si="496"/>
        <v>6</v>
      </c>
      <c r="BJ3548" s="9">
        <f t="shared" si="497"/>
        <v>5.52</v>
      </c>
      <c r="BK3548" s="9">
        <f t="shared" si="498"/>
        <v>17.920000000000002</v>
      </c>
      <c r="BL3548" s="9">
        <f t="shared" si="499"/>
        <v>149.13</v>
      </c>
      <c r="BM3548" s="9">
        <f t="shared" si="500"/>
        <v>22.752299999999998</v>
      </c>
      <c r="BN3548" s="9">
        <f t="shared" si="501"/>
        <v>584.67000000000007</v>
      </c>
      <c r="BO3548" s="9">
        <f t="shared" si="502"/>
        <v>6.48</v>
      </c>
      <c r="BP3548" s="9">
        <f t="shared" si="503"/>
        <v>0</v>
      </c>
    </row>
    <row r="3549" spans="1:68">
      <c r="A3549" s="6">
        <v>45195</v>
      </c>
      <c r="B3549" s="7">
        <v>3201</v>
      </c>
      <c r="C3549" s="8">
        <v>1171.22</v>
      </c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>
        <v>2.96</v>
      </c>
      <c r="P3549" s="8"/>
      <c r="Q3549" s="11"/>
      <c r="R3549" s="11"/>
      <c r="S3549" s="8">
        <v>4.47</v>
      </c>
      <c r="T3549" s="8"/>
      <c r="U3549" s="8">
        <v>17.670000000000002</v>
      </c>
      <c r="V3549" s="8"/>
      <c r="W3549" s="8"/>
      <c r="X3549" s="8"/>
      <c r="Y3549" s="8"/>
      <c r="Z3549" s="8">
        <v>247.36</v>
      </c>
      <c r="AA3549" s="8"/>
      <c r="AB3549" s="8"/>
      <c r="AC3549" s="8"/>
      <c r="AD3549" s="8"/>
      <c r="AE3549" s="8"/>
      <c r="AF3549" s="8">
        <v>59.45</v>
      </c>
      <c r="AG3549" s="8"/>
      <c r="AH3549" s="8"/>
      <c r="AI3549" s="8"/>
      <c r="AJ3549" s="8"/>
      <c r="AK3549" s="8"/>
      <c r="AL3549" s="8"/>
      <c r="AM3549" s="8"/>
      <c r="AN3549" s="8"/>
      <c r="AO3549" s="8"/>
      <c r="AP3549" s="11"/>
      <c r="AQ3549" s="8">
        <f>1520*11.75/1000</f>
        <v>17.86</v>
      </c>
      <c r="AR3549" s="8"/>
      <c r="AS3549" s="8"/>
      <c r="AT3549" s="8">
        <v>803.49</v>
      </c>
      <c r="AU3549" s="8"/>
      <c r="AV3549" s="8"/>
      <c r="AW3549" s="8"/>
      <c r="AX3549" s="8"/>
      <c r="AY3549" s="8"/>
      <c r="AZ3549" s="8"/>
      <c r="BA3549" s="8"/>
      <c r="BB3549" s="8"/>
      <c r="BC3549" s="8">
        <v>3.06</v>
      </c>
      <c r="BD3549" s="8"/>
      <c r="BE3549" s="8"/>
      <c r="BF3549" s="8">
        <v>56.53</v>
      </c>
      <c r="BG3549" s="8">
        <v>57.78</v>
      </c>
      <c r="BH3549" s="9">
        <f t="shared" si="495"/>
        <v>1171.22</v>
      </c>
      <c r="BI3549" s="9">
        <f t="shared" si="496"/>
        <v>2.96</v>
      </c>
      <c r="BJ3549" s="9">
        <f t="shared" si="497"/>
        <v>4.47</v>
      </c>
      <c r="BK3549" s="9">
        <f t="shared" si="498"/>
        <v>17.670000000000002</v>
      </c>
      <c r="BL3549" s="9">
        <f t="shared" si="499"/>
        <v>247.36</v>
      </c>
      <c r="BM3549" s="9">
        <f t="shared" si="500"/>
        <v>77.31</v>
      </c>
      <c r="BN3549" s="9">
        <f t="shared" si="501"/>
        <v>803.49</v>
      </c>
      <c r="BO3549" s="9">
        <f t="shared" si="502"/>
        <v>3.06</v>
      </c>
      <c r="BP3549" s="9">
        <f t="shared" si="503"/>
        <v>56.53</v>
      </c>
    </row>
    <row r="3550" spans="1:68">
      <c r="A3550" s="6">
        <v>45195</v>
      </c>
      <c r="B3550" s="7">
        <v>3206</v>
      </c>
      <c r="C3550" s="8">
        <v>607.54999999999995</v>
      </c>
      <c r="D3550" s="8">
        <v>1077.82</v>
      </c>
      <c r="E3550" s="8">
        <v>718.41</v>
      </c>
      <c r="F3550" s="8"/>
      <c r="G3550" s="8"/>
      <c r="H3550" s="8"/>
      <c r="I3550" s="8"/>
      <c r="J3550" s="8"/>
      <c r="K3550" s="8"/>
      <c r="L3550" s="8"/>
      <c r="M3550" s="8"/>
      <c r="N3550" s="8"/>
      <c r="O3550" s="8">
        <v>4.8099999999999996</v>
      </c>
      <c r="P3550" s="8"/>
      <c r="Q3550" s="11"/>
      <c r="R3550" s="11"/>
      <c r="S3550" s="8">
        <v>11.96</v>
      </c>
      <c r="T3550" s="8"/>
      <c r="U3550" s="8">
        <v>8.3800000000000008</v>
      </c>
      <c r="V3550" s="8"/>
      <c r="W3550" s="8"/>
      <c r="X3550" s="8"/>
      <c r="Y3550" s="8"/>
      <c r="Z3550" s="8">
        <v>143.52000000000001</v>
      </c>
      <c r="AA3550" s="8"/>
      <c r="AB3550" s="8">
        <f>808*14.92/1000</f>
        <v>12.05536</v>
      </c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11"/>
      <c r="AQ3550" s="8"/>
      <c r="AR3550" s="8"/>
      <c r="AS3550" s="8"/>
      <c r="AT3550" s="8">
        <v>418.6</v>
      </c>
      <c r="AU3550" s="8">
        <v>208.02</v>
      </c>
      <c r="AV3550" s="8"/>
      <c r="AW3550" s="8">
        <v>9.09</v>
      </c>
      <c r="AX3550" s="8"/>
      <c r="AY3550" s="8"/>
      <c r="AZ3550" s="8"/>
      <c r="BA3550" s="8"/>
      <c r="BB3550" s="8"/>
      <c r="BC3550" s="8"/>
      <c r="BD3550" s="8"/>
      <c r="BE3550" s="8"/>
      <c r="BF3550" s="8"/>
      <c r="BG3550" s="8">
        <v>41.61</v>
      </c>
      <c r="BH3550" s="9">
        <f t="shared" si="495"/>
        <v>2403.7799999999997</v>
      </c>
      <c r="BI3550" s="9">
        <f t="shared" si="496"/>
        <v>4.8099999999999996</v>
      </c>
      <c r="BJ3550" s="9">
        <f t="shared" si="497"/>
        <v>11.96</v>
      </c>
      <c r="BK3550" s="9">
        <f t="shared" si="498"/>
        <v>8.3800000000000008</v>
      </c>
      <c r="BL3550" s="9">
        <f t="shared" si="499"/>
        <v>143.52000000000001</v>
      </c>
      <c r="BM3550" s="9">
        <f t="shared" si="500"/>
        <v>12.05536</v>
      </c>
      <c r="BN3550" s="9">
        <f t="shared" si="501"/>
        <v>626.62</v>
      </c>
      <c r="BO3550" s="9">
        <f t="shared" si="502"/>
        <v>9.09</v>
      </c>
      <c r="BP3550" s="9">
        <f t="shared" si="503"/>
        <v>0</v>
      </c>
    </row>
    <row r="3551" spans="1:68">
      <c r="A3551" s="6">
        <v>45195</v>
      </c>
      <c r="B3551" s="7">
        <v>3083</v>
      </c>
      <c r="C3551" s="8"/>
      <c r="D3551" s="8">
        <v>738.26</v>
      </c>
      <c r="E3551" s="8"/>
      <c r="F3551" s="8"/>
      <c r="G3551" s="8"/>
      <c r="H3551" s="8"/>
      <c r="I3551" s="8">
        <v>1723.96</v>
      </c>
      <c r="J3551" s="8"/>
      <c r="K3551" s="8"/>
      <c r="L3551" s="8"/>
      <c r="M3551" s="8"/>
      <c r="N3551" s="8">
        <v>16.059999999999999</v>
      </c>
      <c r="O3551" s="8"/>
      <c r="P3551" s="8"/>
      <c r="Q3551" s="11"/>
      <c r="R3551" s="11"/>
      <c r="S3551" s="8">
        <v>1.72</v>
      </c>
      <c r="T3551" s="8"/>
      <c r="U3551" s="8"/>
      <c r="V3551" s="8"/>
      <c r="W3551" s="8">
        <v>19.73</v>
      </c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>
        <v>9.7899999999999991</v>
      </c>
      <c r="AN3551" s="8">
        <f>1911*18.28/1000</f>
        <v>34.933080000000004</v>
      </c>
      <c r="AO3551" s="8"/>
      <c r="AP3551" s="11"/>
      <c r="AQ3551" s="8"/>
      <c r="AR3551" s="8">
        <f>3394*18.28/1000</f>
        <v>62.042320000000004</v>
      </c>
      <c r="AS3551" s="8"/>
      <c r="AT3551" s="8">
        <v>1160.76</v>
      </c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>
        <v>92.25</v>
      </c>
      <c r="BH3551" s="9">
        <f t="shared" si="495"/>
        <v>2462.2200000000003</v>
      </c>
      <c r="BI3551" s="9">
        <f t="shared" si="496"/>
        <v>16.059999999999999</v>
      </c>
      <c r="BJ3551" s="9">
        <f t="shared" si="497"/>
        <v>1.72</v>
      </c>
      <c r="BK3551" s="9">
        <f t="shared" si="498"/>
        <v>19.73</v>
      </c>
      <c r="BL3551" s="9">
        <f t="shared" si="499"/>
        <v>0</v>
      </c>
      <c r="BM3551" s="9">
        <f t="shared" si="500"/>
        <v>106.7654</v>
      </c>
      <c r="BN3551" s="9">
        <f t="shared" si="501"/>
        <v>1160.76</v>
      </c>
      <c r="BO3551" s="9">
        <f t="shared" si="502"/>
        <v>0</v>
      </c>
      <c r="BP3551" s="9">
        <f t="shared" si="503"/>
        <v>0</v>
      </c>
    </row>
    <row r="3552" spans="1:68">
      <c r="A3552" s="6">
        <v>45195</v>
      </c>
      <c r="B3552" s="7">
        <v>3081</v>
      </c>
      <c r="C3552" s="8"/>
      <c r="D3552" s="8">
        <v>291.24</v>
      </c>
      <c r="E3552" s="8"/>
      <c r="F3552" s="8">
        <v>327.91</v>
      </c>
      <c r="G3552" s="8"/>
      <c r="H3552" s="8"/>
      <c r="I3552" s="8">
        <v>1197.45</v>
      </c>
      <c r="J3552" s="8"/>
      <c r="K3552" s="8"/>
      <c r="L3552" s="8"/>
      <c r="M3552" s="8"/>
      <c r="N3552" s="8">
        <v>13.32</v>
      </c>
      <c r="O3552" s="8"/>
      <c r="P3552" s="8">
        <f>620*11.77/1000</f>
        <v>7.2973999999999997</v>
      </c>
      <c r="Q3552" s="11"/>
      <c r="R3552" s="11"/>
      <c r="S3552" s="8">
        <v>1.28</v>
      </c>
      <c r="T3552" s="8"/>
      <c r="U3552" s="8"/>
      <c r="V3552" s="8"/>
      <c r="W3552" s="8">
        <v>18.25</v>
      </c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11"/>
      <c r="AQ3552" s="8">
        <f>1564*11.77/1000</f>
        <v>18.408279999999998</v>
      </c>
      <c r="AR3552" s="8">
        <f>5439*11.77/1000</f>
        <v>64.017030000000005</v>
      </c>
      <c r="AS3552" s="8"/>
      <c r="AT3552" s="8">
        <v>572.66999999999996</v>
      </c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>
        <v>37.909999999999997</v>
      </c>
      <c r="BH3552" s="9">
        <f t="shared" si="495"/>
        <v>1816.6000000000001</v>
      </c>
      <c r="BI3552" s="9">
        <f t="shared" si="496"/>
        <v>20.6174</v>
      </c>
      <c r="BJ3552" s="9">
        <f t="shared" si="497"/>
        <v>1.28</v>
      </c>
      <c r="BK3552" s="9">
        <f t="shared" si="498"/>
        <v>18.25</v>
      </c>
      <c r="BL3552" s="9">
        <f t="shared" si="499"/>
        <v>0</v>
      </c>
      <c r="BM3552" s="9">
        <f t="shared" si="500"/>
        <v>82.425309999999996</v>
      </c>
      <c r="BN3552" s="9">
        <f t="shared" si="501"/>
        <v>572.66999999999996</v>
      </c>
      <c r="BO3552" s="9">
        <f t="shared" si="502"/>
        <v>0</v>
      </c>
      <c r="BP3552" s="9">
        <f t="shared" si="503"/>
        <v>0</v>
      </c>
    </row>
    <row r="3553" spans="1:68">
      <c r="A3553" s="6">
        <v>45195</v>
      </c>
      <c r="B3553" s="7">
        <v>3601</v>
      </c>
      <c r="C3553" s="8">
        <v>294.79000000000002</v>
      </c>
      <c r="D3553" s="8"/>
      <c r="E3553" s="8"/>
      <c r="F3553" s="8"/>
      <c r="G3553" s="8">
        <v>444.79</v>
      </c>
      <c r="H3553" s="8"/>
      <c r="I3553" s="8"/>
      <c r="J3553" s="8"/>
      <c r="K3553" s="8"/>
      <c r="L3553" s="8"/>
      <c r="M3553" s="8">
        <v>0.89</v>
      </c>
      <c r="N3553" s="8"/>
      <c r="O3553" s="8"/>
      <c r="P3553" s="8"/>
      <c r="Q3553" s="11"/>
      <c r="R3553" s="11"/>
      <c r="S3553" s="8">
        <v>3.58</v>
      </c>
      <c r="T3553" s="8"/>
      <c r="U3553" s="8">
        <v>4.47</v>
      </c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11"/>
      <c r="AQ3553" s="8"/>
      <c r="AR3553" s="8"/>
      <c r="AS3553" s="8"/>
      <c r="AT3553" s="8">
        <v>364.7</v>
      </c>
      <c r="AU3553" s="8"/>
      <c r="AV3553" s="8"/>
      <c r="AW3553" s="8">
        <v>22.66</v>
      </c>
      <c r="AX3553" s="8"/>
      <c r="AY3553" s="8"/>
      <c r="AZ3553" s="8"/>
      <c r="BA3553" s="8"/>
      <c r="BB3553" s="8"/>
      <c r="BC3553" s="8"/>
      <c r="BD3553" s="8"/>
      <c r="BE3553" s="8"/>
      <c r="BF3553" s="8">
        <v>41.79</v>
      </c>
      <c r="BG3553" s="8">
        <v>26.29</v>
      </c>
      <c r="BH3553" s="9">
        <f t="shared" si="495"/>
        <v>739.58</v>
      </c>
      <c r="BI3553" s="9">
        <f t="shared" si="496"/>
        <v>0.89</v>
      </c>
      <c r="BJ3553" s="9">
        <f t="shared" si="497"/>
        <v>3.58</v>
      </c>
      <c r="BK3553" s="9">
        <f t="shared" si="498"/>
        <v>4.47</v>
      </c>
      <c r="BL3553" s="9">
        <f t="shared" si="499"/>
        <v>0</v>
      </c>
      <c r="BM3553" s="9">
        <f t="shared" si="500"/>
        <v>0</v>
      </c>
      <c r="BN3553" s="9">
        <f t="shared" si="501"/>
        <v>364.7</v>
      </c>
      <c r="BO3553" s="9">
        <f t="shared" si="502"/>
        <v>22.66</v>
      </c>
      <c r="BP3553" s="9">
        <f t="shared" si="503"/>
        <v>41.79</v>
      </c>
    </row>
    <row r="3554" spans="1:68">
      <c r="A3554" s="6">
        <v>45195</v>
      </c>
      <c r="B3554" s="7">
        <v>3602</v>
      </c>
      <c r="C3554" s="8">
        <v>559.30999999999995</v>
      </c>
      <c r="D3554" s="8"/>
      <c r="E3554" s="8"/>
      <c r="F3554" s="8"/>
      <c r="G3554" s="8">
        <v>838.34</v>
      </c>
      <c r="H3554" s="8"/>
      <c r="I3554" s="8"/>
      <c r="J3554" s="8"/>
      <c r="K3554" s="8"/>
      <c r="L3554" s="8"/>
      <c r="M3554" s="8">
        <v>1.66</v>
      </c>
      <c r="N3554" s="8"/>
      <c r="O3554" s="8"/>
      <c r="P3554" s="8"/>
      <c r="Q3554" s="11"/>
      <c r="R3554" s="11"/>
      <c r="S3554" s="8">
        <v>6.71</v>
      </c>
      <c r="T3554" s="8"/>
      <c r="U3554" s="8">
        <v>11.19</v>
      </c>
      <c r="V3554" s="8">
        <f>871*15.98/1000</f>
        <v>13.91858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11"/>
      <c r="AQ3554" s="8"/>
      <c r="AR3554" s="8"/>
      <c r="AS3554" s="8"/>
      <c r="AT3554" s="8">
        <v>564.55999999999995</v>
      </c>
      <c r="AU3554" s="8"/>
      <c r="AV3554" s="8"/>
      <c r="AW3554" s="8">
        <v>36.14</v>
      </c>
      <c r="AX3554" s="8"/>
      <c r="AY3554" s="8"/>
      <c r="AZ3554" s="8"/>
      <c r="BA3554" s="8"/>
      <c r="BB3554" s="8"/>
      <c r="BC3554" s="8"/>
      <c r="BD3554" s="8"/>
      <c r="BE3554" s="8"/>
      <c r="BF3554" s="8">
        <v>44.8</v>
      </c>
      <c r="BG3554" s="8">
        <v>41.75</v>
      </c>
      <c r="BH3554" s="9">
        <f t="shared" si="495"/>
        <v>1397.65</v>
      </c>
      <c r="BI3554" s="9">
        <f t="shared" si="496"/>
        <v>1.66</v>
      </c>
      <c r="BJ3554" s="9">
        <f t="shared" si="497"/>
        <v>6.71</v>
      </c>
      <c r="BK3554" s="9">
        <f t="shared" si="498"/>
        <v>25.10858</v>
      </c>
      <c r="BL3554" s="9">
        <f t="shared" si="499"/>
        <v>0</v>
      </c>
      <c r="BM3554" s="9">
        <f t="shared" si="500"/>
        <v>0</v>
      </c>
      <c r="BN3554" s="9">
        <f t="shared" si="501"/>
        <v>564.55999999999995</v>
      </c>
      <c r="BO3554" s="9">
        <f t="shared" si="502"/>
        <v>36.14</v>
      </c>
      <c r="BP3554" s="9">
        <f t="shared" si="503"/>
        <v>44.8</v>
      </c>
    </row>
    <row r="3555" spans="1:68">
      <c r="A3555" s="6">
        <v>45196</v>
      </c>
      <c r="B3555" s="7">
        <v>3154</v>
      </c>
      <c r="C3555" s="8">
        <v>702.39</v>
      </c>
      <c r="D3555" s="8"/>
      <c r="E3555" s="8"/>
      <c r="F3555" s="8"/>
      <c r="G3555" s="8"/>
      <c r="H3555" s="8"/>
      <c r="I3555" s="8"/>
      <c r="J3555" s="8"/>
      <c r="K3555" s="8"/>
      <c r="L3555" s="8"/>
      <c r="M3555" s="8">
        <v>1.76</v>
      </c>
      <c r="N3555" s="8"/>
      <c r="O3555" s="8"/>
      <c r="P3555" s="8"/>
      <c r="Q3555" s="11"/>
      <c r="R3555" s="11"/>
      <c r="S3555" s="8">
        <v>2.5299999999999998</v>
      </c>
      <c r="T3555" s="8"/>
      <c r="U3555" s="8">
        <v>8.92</v>
      </c>
      <c r="V3555" s="8"/>
      <c r="W3555" s="8"/>
      <c r="X3555" s="8"/>
      <c r="Y3555" s="8"/>
      <c r="Z3555" s="8"/>
      <c r="AA3555" s="8"/>
      <c r="AB3555" s="8"/>
      <c r="AC3555" s="8">
        <v>2.81</v>
      </c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11"/>
      <c r="AQ3555" s="8"/>
      <c r="AR3555" s="8"/>
      <c r="AS3555" s="8"/>
      <c r="AT3555" s="8">
        <v>382.2</v>
      </c>
      <c r="AU3555" s="8"/>
      <c r="AV3555" s="8"/>
      <c r="AW3555" s="8"/>
      <c r="AX3555" s="8"/>
      <c r="AY3555" s="8"/>
      <c r="AZ3555" s="8"/>
      <c r="BA3555" s="8"/>
      <c r="BB3555" s="8"/>
      <c r="BC3555" s="8">
        <v>0.84</v>
      </c>
      <c r="BD3555" s="8"/>
      <c r="BE3555" s="8"/>
      <c r="BF3555" s="8"/>
      <c r="BG3555" s="8">
        <v>28.4</v>
      </c>
      <c r="BH3555" s="9">
        <f t="shared" si="495"/>
        <v>702.39</v>
      </c>
      <c r="BI3555" s="9">
        <f t="shared" si="496"/>
        <v>1.76</v>
      </c>
      <c r="BJ3555" s="9">
        <f t="shared" si="497"/>
        <v>2.5299999999999998</v>
      </c>
      <c r="BK3555" s="9">
        <f t="shared" si="498"/>
        <v>8.92</v>
      </c>
      <c r="BL3555" s="9">
        <f t="shared" si="499"/>
        <v>0</v>
      </c>
      <c r="BM3555" s="9">
        <f t="shared" si="500"/>
        <v>2.81</v>
      </c>
      <c r="BN3555" s="9">
        <f t="shared" si="501"/>
        <v>382.2</v>
      </c>
      <c r="BO3555" s="9">
        <f t="shared" si="502"/>
        <v>0.84</v>
      </c>
      <c r="BP3555" s="9">
        <f t="shared" si="503"/>
        <v>0</v>
      </c>
    </row>
    <row r="3556" spans="1:68">
      <c r="A3556" s="6">
        <v>45196</v>
      </c>
      <c r="B3556" s="7">
        <v>3150</v>
      </c>
      <c r="C3556" s="8">
        <v>613.86</v>
      </c>
      <c r="D3556" s="8"/>
      <c r="E3556" s="8"/>
      <c r="F3556" s="8"/>
      <c r="G3556" s="8"/>
      <c r="H3556" s="8"/>
      <c r="I3556" s="8"/>
      <c r="J3556" s="8"/>
      <c r="K3556" s="8"/>
      <c r="L3556" s="8"/>
      <c r="M3556" s="8">
        <v>1.1000000000000001</v>
      </c>
      <c r="N3556" s="8"/>
      <c r="O3556" s="8"/>
      <c r="P3556" s="8"/>
      <c r="Q3556" s="11"/>
      <c r="R3556" s="11"/>
      <c r="S3556" s="8">
        <v>2.21</v>
      </c>
      <c r="T3556" s="8"/>
      <c r="U3556" s="8">
        <v>7.17</v>
      </c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11"/>
      <c r="AQ3556" s="8"/>
      <c r="AR3556" s="8"/>
      <c r="AS3556" s="8"/>
      <c r="AT3556" s="8">
        <v>344.53</v>
      </c>
      <c r="AU3556" s="8"/>
      <c r="AV3556" s="8"/>
      <c r="AW3556" s="8"/>
      <c r="AX3556" s="8"/>
      <c r="AY3556" s="8"/>
      <c r="AZ3556" s="8"/>
      <c r="BA3556" s="8"/>
      <c r="BB3556" s="8"/>
      <c r="BC3556" s="8">
        <v>0.86</v>
      </c>
      <c r="BD3556" s="8"/>
      <c r="BE3556" s="8"/>
      <c r="BF3556" s="8">
        <v>15.33</v>
      </c>
      <c r="BG3556" s="8">
        <v>24.72</v>
      </c>
      <c r="BH3556" s="9">
        <f t="shared" si="495"/>
        <v>613.86</v>
      </c>
      <c r="BI3556" s="9">
        <f t="shared" si="496"/>
        <v>1.1000000000000001</v>
      </c>
      <c r="BJ3556" s="9">
        <f t="shared" si="497"/>
        <v>2.21</v>
      </c>
      <c r="BK3556" s="9">
        <f t="shared" si="498"/>
        <v>7.17</v>
      </c>
      <c r="BL3556" s="9">
        <f t="shared" si="499"/>
        <v>0</v>
      </c>
      <c r="BM3556" s="9">
        <f t="shared" si="500"/>
        <v>0</v>
      </c>
      <c r="BN3556" s="9">
        <f t="shared" si="501"/>
        <v>344.53</v>
      </c>
      <c r="BO3556" s="9">
        <f t="shared" si="502"/>
        <v>0.86</v>
      </c>
      <c r="BP3556" s="9">
        <f t="shared" si="503"/>
        <v>15.33</v>
      </c>
    </row>
    <row r="3557" spans="1:68">
      <c r="A3557" s="6">
        <v>45196</v>
      </c>
      <c r="B3557" s="7">
        <v>3101</v>
      </c>
      <c r="C3557" s="8">
        <v>663.25</v>
      </c>
      <c r="D3557" s="8"/>
      <c r="E3557" s="8"/>
      <c r="F3557" s="8"/>
      <c r="G3557" s="8"/>
      <c r="H3557" s="8"/>
      <c r="I3557" s="8"/>
      <c r="J3557" s="8"/>
      <c r="K3557" s="8"/>
      <c r="L3557" s="8"/>
      <c r="M3557" s="8">
        <v>1.67</v>
      </c>
      <c r="N3557" s="8"/>
      <c r="O3557" s="8"/>
      <c r="P3557" s="8"/>
      <c r="Q3557" s="11"/>
      <c r="R3557" s="11"/>
      <c r="S3557" s="8">
        <v>3.85</v>
      </c>
      <c r="T3557" s="8"/>
      <c r="U3557" s="8">
        <v>10.63</v>
      </c>
      <c r="V3557" s="8"/>
      <c r="W3557" s="8"/>
      <c r="X3557" s="8"/>
      <c r="Y3557" s="8"/>
      <c r="Z3557" s="8"/>
      <c r="AA3557" s="8"/>
      <c r="AB3557" s="8"/>
      <c r="AC3557" s="8">
        <v>2.65</v>
      </c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11"/>
      <c r="AQ3557" s="8"/>
      <c r="AR3557" s="8"/>
      <c r="AS3557" s="8"/>
      <c r="AT3557" s="8">
        <v>444.86</v>
      </c>
      <c r="AU3557" s="8"/>
      <c r="AV3557" s="8"/>
      <c r="AW3557" s="8">
        <v>14.16</v>
      </c>
      <c r="AX3557" s="8"/>
      <c r="AY3557" s="8"/>
      <c r="AZ3557" s="8"/>
      <c r="BA3557" s="8"/>
      <c r="BB3557" s="8"/>
      <c r="BC3557" s="8"/>
      <c r="BD3557" s="8"/>
      <c r="BE3557" s="8"/>
      <c r="BF3557" s="8">
        <v>86.39</v>
      </c>
      <c r="BG3557" s="8">
        <v>34.22</v>
      </c>
      <c r="BH3557" s="9">
        <f t="shared" si="495"/>
        <v>663.25</v>
      </c>
      <c r="BI3557" s="9">
        <f t="shared" si="496"/>
        <v>1.67</v>
      </c>
      <c r="BJ3557" s="9">
        <f t="shared" si="497"/>
        <v>3.85</v>
      </c>
      <c r="BK3557" s="9">
        <f t="shared" si="498"/>
        <v>10.63</v>
      </c>
      <c r="BL3557" s="9">
        <f t="shared" si="499"/>
        <v>0</v>
      </c>
      <c r="BM3557" s="9">
        <f t="shared" si="500"/>
        <v>2.65</v>
      </c>
      <c r="BN3557" s="9">
        <f t="shared" si="501"/>
        <v>444.86</v>
      </c>
      <c r="BO3557" s="9">
        <f t="shared" si="502"/>
        <v>14.16</v>
      </c>
      <c r="BP3557" s="9">
        <f t="shared" si="503"/>
        <v>86.39</v>
      </c>
    </row>
    <row r="3558" spans="1:68">
      <c r="A3558" s="6">
        <v>45196</v>
      </c>
      <c r="B3558" s="7">
        <v>3106</v>
      </c>
      <c r="C3558" s="8">
        <v>4127.96</v>
      </c>
      <c r="D3558" s="8"/>
      <c r="E3558" s="8"/>
      <c r="F3558" s="8"/>
      <c r="G3558" s="8"/>
      <c r="H3558" s="8"/>
      <c r="I3558" s="8"/>
      <c r="J3558" s="8"/>
      <c r="K3558" s="8"/>
      <c r="L3558" s="8"/>
      <c r="M3558" s="8">
        <v>11.14</v>
      </c>
      <c r="N3558" s="8"/>
      <c r="O3558" s="8"/>
      <c r="P3558" s="8"/>
      <c r="Q3558" s="11"/>
      <c r="R3558" s="11"/>
      <c r="S3558" s="8">
        <v>12.39</v>
      </c>
      <c r="T3558" s="8"/>
      <c r="U3558" s="8">
        <v>52.45</v>
      </c>
      <c r="V3558" s="8"/>
      <c r="W3558" s="8"/>
      <c r="X3558" s="8"/>
      <c r="Y3558" s="8"/>
      <c r="Z3558" s="8"/>
      <c r="AA3558" s="8"/>
      <c r="AB3558" s="8"/>
      <c r="AC3558" s="8">
        <v>10.31</v>
      </c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11"/>
      <c r="AQ3558" s="8"/>
      <c r="AR3558" s="8"/>
      <c r="AS3558" s="8"/>
      <c r="AT3558" s="8">
        <v>2350.37</v>
      </c>
      <c r="AU3558" s="8"/>
      <c r="AV3558" s="8"/>
      <c r="AW3558" s="8"/>
      <c r="AX3558" s="8">
        <v>5.16</v>
      </c>
      <c r="AY3558" s="8"/>
      <c r="AZ3558" s="8"/>
      <c r="BA3558" s="8"/>
      <c r="BB3558" s="8"/>
      <c r="BC3558" s="8"/>
      <c r="BD3558" s="8"/>
      <c r="BE3558" s="8"/>
      <c r="BF3558" s="8"/>
      <c r="BG3558" s="8">
        <v>177.19</v>
      </c>
      <c r="BH3558" s="9">
        <f t="shared" si="495"/>
        <v>4127.96</v>
      </c>
      <c r="BI3558" s="9">
        <f t="shared" si="496"/>
        <v>11.14</v>
      </c>
      <c r="BJ3558" s="9">
        <f t="shared" si="497"/>
        <v>12.39</v>
      </c>
      <c r="BK3558" s="9">
        <f t="shared" si="498"/>
        <v>52.45</v>
      </c>
      <c r="BL3558" s="9">
        <f t="shared" si="499"/>
        <v>0</v>
      </c>
      <c r="BM3558" s="9">
        <f t="shared" si="500"/>
        <v>10.31</v>
      </c>
      <c r="BN3558" s="9">
        <f t="shared" si="501"/>
        <v>2350.37</v>
      </c>
      <c r="BO3558" s="9">
        <f t="shared" si="502"/>
        <v>5.16</v>
      </c>
      <c r="BP3558" s="9">
        <f t="shared" si="503"/>
        <v>0</v>
      </c>
    </row>
    <row r="3559" spans="1:68">
      <c r="A3559" s="6">
        <v>45196</v>
      </c>
      <c r="B3559" s="7">
        <v>3116</v>
      </c>
      <c r="C3559" s="8">
        <v>1499</v>
      </c>
      <c r="D3559" s="8"/>
      <c r="E3559" s="8"/>
      <c r="F3559" s="8"/>
      <c r="G3559" s="8"/>
      <c r="H3559" s="8"/>
      <c r="I3559" s="8"/>
      <c r="J3559" s="8"/>
      <c r="K3559" s="8"/>
      <c r="L3559" s="8"/>
      <c r="M3559" s="8">
        <v>3.64</v>
      </c>
      <c r="N3559" s="8"/>
      <c r="O3559" s="8"/>
      <c r="P3559" s="8"/>
      <c r="Q3559" s="11"/>
      <c r="R3559" s="11"/>
      <c r="S3559" s="8">
        <v>6.03</v>
      </c>
      <c r="T3559" s="8"/>
      <c r="U3559" s="8">
        <v>22.25</v>
      </c>
      <c r="V3559" s="8"/>
      <c r="W3559" s="8"/>
      <c r="X3559" s="8"/>
      <c r="Y3559" s="8"/>
      <c r="Z3559" s="8"/>
      <c r="AA3559" s="8"/>
      <c r="AB3559" s="8"/>
      <c r="AC3559" s="8">
        <v>6.04</v>
      </c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11"/>
      <c r="AQ3559" s="8">
        <f>1414*10.78/1000</f>
        <v>15.242919999999998</v>
      </c>
      <c r="AR3559" s="8"/>
      <c r="AS3559" s="8"/>
      <c r="AT3559" s="8">
        <v>918.51</v>
      </c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>
        <v>60.46</v>
      </c>
      <c r="BG3559" s="8">
        <v>68.459999999999994</v>
      </c>
      <c r="BH3559" s="9">
        <f t="shared" si="495"/>
        <v>1499</v>
      </c>
      <c r="BI3559" s="9">
        <f t="shared" si="496"/>
        <v>3.64</v>
      </c>
      <c r="BJ3559" s="9">
        <f t="shared" si="497"/>
        <v>6.03</v>
      </c>
      <c r="BK3559" s="9">
        <f t="shared" si="498"/>
        <v>22.25</v>
      </c>
      <c r="BL3559" s="9">
        <f t="shared" si="499"/>
        <v>0</v>
      </c>
      <c r="BM3559" s="9">
        <f t="shared" si="500"/>
        <v>21.282919999999997</v>
      </c>
      <c r="BN3559" s="9">
        <f t="shared" si="501"/>
        <v>918.51</v>
      </c>
      <c r="BO3559" s="9">
        <f t="shared" si="502"/>
        <v>0</v>
      </c>
      <c r="BP3559" s="9">
        <f t="shared" si="503"/>
        <v>60.46</v>
      </c>
    </row>
    <row r="3560" spans="1:68">
      <c r="A3560" s="6">
        <v>45196</v>
      </c>
      <c r="B3560" s="7">
        <v>3200</v>
      </c>
      <c r="C3560" s="8">
        <v>2245.86</v>
      </c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>
        <v>5.62</v>
      </c>
      <c r="P3560" s="8"/>
      <c r="Q3560" s="11"/>
      <c r="R3560" s="11"/>
      <c r="S3560" s="8">
        <v>8.76</v>
      </c>
      <c r="T3560" s="8"/>
      <c r="U3560" s="8">
        <v>33.700000000000003</v>
      </c>
      <c r="V3560" s="8"/>
      <c r="W3560" s="8"/>
      <c r="X3560" s="8"/>
      <c r="Y3560" s="8"/>
      <c r="Z3560" s="8">
        <v>472.3</v>
      </c>
      <c r="AA3560" s="8"/>
      <c r="AB3560" s="8"/>
      <c r="AC3560" s="8"/>
      <c r="AD3560" s="8"/>
      <c r="AE3560" s="8"/>
      <c r="AF3560" s="8">
        <v>112.03</v>
      </c>
      <c r="AG3560" s="8"/>
      <c r="AH3560" s="8"/>
      <c r="AI3560" s="8"/>
      <c r="AJ3560" s="8"/>
      <c r="AK3560" s="8"/>
      <c r="AL3560" s="8"/>
      <c r="AM3560" s="8"/>
      <c r="AN3560" s="8"/>
      <c r="AO3560" s="8"/>
      <c r="AP3560" s="11"/>
      <c r="AQ3560" s="8">
        <f>1527*22.47/1000</f>
        <v>34.311689999999992</v>
      </c>
      <c r="AR3560" s="8"/>
      <c r="AS3560" s="8"/>
      <c r="AT3560" s="8">
        <v>1535.85</v>
      </c>
      <c r="AU3560" s="8"/>
      <c r="AV3560" s="8"/>
      <c r="AW3560" s="8">
        <v>6.52</v>
      </c>
      <c r="AX3560" s="8"/>
      <c r="AY3560" s="8"/>
      <c r="AZ3560" s="8"/>
      <c r="BA3560" s="8"/>
      <c r="BB3560" s="8"/>
      <c r="BC3560" s="8"/>
      <c r="BD3560" s="8"/>
      <c r="BE3560" s="8"/>
      <c r="BF3560" s="8">
        <v>107.86</v>
      </c>
      <c r="BG3560" s="8">
        <v>111.4</v>
      </c>
      <c r="BH3560" s="9">
        <f t="shared" si="495"/>
        <v>2245.86</v>
      </c>
      <c r="BI3560" s="9">
        <f t="shared" si="496"/>
        <v>5.62</v>
      </c>
      <c r="BJ3560" s="9">
        <f t="shared" si="497"/>
        <v>8.76</v>
      </c>
      <c r="BK3560" s="9">
        <f t="shared" si="498"/>
        <v>33.700000000000003</v>
      </c>
      <c r="BL3560" s="9">
        <f t="shared" si="499"/>
        <v>472.3</v>
      </c>
      <c r="BM3560" s="9">
        <f t="shared" si="500"/>
        <v>146.34169</v>
      </c>
      <c r="BN3560" s="9">
        <f t="shared" si="501"/>
        <v>1535.85</v>
      </c>
      <c r="BO3560" s="9">
        <f t="shared" si="502"/>
        <v>6.52</v>
      </c>
      <c r="BP3560" s="9">
        <f t="shared" si="503"/>
        <v>107.86</v>
      </c>
    </row>
    <row r="3561" spans="1:68">
      <c r="A3561" s="6">
        <v>45196</v>
      </c>
      <c r="B3561" s="7">
        <v>3022</v>
      </c>
      <c r="C3561" s="8"/>
      <c r="D3561" s="8">
        <v>333.25</v>
      </c>
      <c r="E3561" s="8"/>
      <c r="F3561" s="8"/>
      <c r="G3561" s="8"/>
      <c r="H3561" s="8"/>
      <c r="I3561" s="8">
        <v>270.66000000000003</v>
      </c>
      <c r="J3561" s="8"/>
      <c r="K3561" s="8"/>
      <c r="L3561" s="8"/>
      <c r="M3561" s="8"/>
      <c r="N3561" s="8">
        <v>3.02</v>
      </c>
      <c r="O3561" s="8"/>
      <c r="P3561" s="8"/>
      <c r="Q3561" s="11"/>
      <c r="R3561" s="11"/>
      <c r="S3561" s="8">
        <v>1.0900000000000001</v>
      </c>
      <c r="T3561" s="8"/>
      <c r="U3561" s="8"/>
      <c r="V3561" s="8"/>
      <c r="W3561" s="8">
        <v>6.06</v>
      </c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>
        <v>7.85</v>
      </c>
      <c r="AN3561" s="8"/>
      <c r="AO3561" s="8"/>
      <c r="AP3561" s="11"/>
      <c r="AQ3561" s="8"/>
      <c r="AR3561" s="8"/>
      <c r="AS3561" s="8">
        <f>3866*5.48/1000</f>
        <v>21.185680000000001</v>
      </c>
      <c r="AT3561" s="8">
        <v>282.41000000000003</v>
      </c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>
        <v>21.76</v>
      </c>
      <c r="BH3561" s="9">
        <f t="shared" si="495"/>
        <v>603.91000000000008</v>
      </c>
      <c r="BI3561" s="9">
        <f t="shared" si="496"/>
        <v>3.02</v>
      </c>
      <c r="BJ3561" s="9">
        <f t="shared" si="497"/>
        <v>1.0900000000000001</v>
      </c>
      <c r="BK3561" s="9">
        <f t="shared" si="498"/>
        <v>6.06</v>
      </c>
      <c r="BL3561" s="9">
        <f t="shared" si="499"/>
        <v>0</v>
      </c>
      <c r="BM3561" s="9">
        <f t="shared" si="500"/>
        <v>29.035679999999999</v>
      </c>
      <c r="BN3561" s="9">
        <f t="shared" si="501"/>
        <v>282.41000000000003</v>
      </c>
      <c r="BO3561" s="9">
        <f t="shared" si="502"/>
        <v>0</v>
      </c>
      <c r="BP3561" s="9">
        <f t="shared" si="503"/>
        <v>0</v>
      </c>
    </row>
    <row r="3562" spans="1:68">
      <c r="A3562" s="6">
        <v>45196</v>
      </c>
      <c r="B3562" s="7">
        <v>3027</v>
      </c>
      <c r="C3562" s="8"/>
      <c r="D3562" s="8">
        <v>528.45000000000005</v>
      </c>
      <c r="E3562" s="8"/>
      <c r="F3562" s="8"/>
      <c r="G3562" s="8"/>
      <c r="H3562" s="8"/>
      <c r="I3562" s="8"/>
      <c r="J3562" s="8"/>
      <c r="K3562" s="8"/>
      <c r="L3562" s="8"/>
      <c r="M3562" s="8"/>
      <c r="N3562" s="8">
        <v>5.46</v>
      </c>
      <c r="O3562" s="8"/>
      <c r="P3562" s="8"/>
      <c r="Q3562" s="11"/>
      <c r="R3562" s="11"/>
      <c r="S3562" s="8">
        <v>1.53</v>
      </c>
      <c r="T3562" s="8"/>
      <c r="U3562" s="8"/>
      <c r="V3562" s="8"/>
      <c r="W3562" s="8">
        <v>7.21</v>
      </c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>
        <v>9.58</v>
      </c>
      <c r="AN3562" s="8">
        <f>1233*5.48/1000</f>
        <v>6.7568400000000004</v>
      </c>
      <c r="AO3562" s="8"/>
      <c r="AP3562" s="11"/>
      <c r="AQ3562" s="8"/>
      <c r="AR3562" s="8"/>
      <c r="AS3562" s="8">
        <f>5788*5.48/1000</f>
        <v>31.718240000000002</v>
      </c>
      <c r="AT3562" s="8">
        <v>319.51</v>
      </c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>
        <v>22.66</v>
      </c>
      <c r="BH3562" s="9">
        <f t="shared" si="495"/>
        <v>528.45000000000005</v>
      </c>
      <c r="BI3562" s="9">
        <f t="shared" si="496"/>
        <v>5.46</v>
      </c>
      <c r="BJ3562" s="9">
        <f t="shared" si="497"/>
        <v>1.53</v>
      </c>
      <c r="BK3562" s="9">
        <f t="shared" si="498"/>
        <v>7.21</v>
      </c>
      <c r="BL3562" s="9">
        <f t="shared" si="499"/>
        <v>0</v>
      </c>
      <c r="BM3562" s="9">
        <f t="shared" si="500"/>
        <v>48.055080000000004</v>
      </c>
      <c r="BN3562" s="9">
        <f t="shared" si="501"/>
        <v>319.51</v>
      </c>
      <c r="BO3562" s="9">
        <f t="shared" si="502"/>
        <v>0</v>
      </c>
      <c r="BP3562" s="9">
        <f t="shared" si="503"/>
        <v>0</v>
      </c>
    </row>
    <row r="3563" spans="1:68">
      <c r="A3563" s="6">
        <v>45198</v>
      </c>
      <c r="B3563" s="7">
        <v>3079</v>
      </c>
      <c r="C3563" s="8"/>
      <c r="D3563" s="8"/>
      <c r="E3563" s="8"/>
      <c r="F3563" s="8">
        <v>507.13</v>
      </c>
      <c r="G3563" s="8"/>
      <c r="H3563" s="8"/>
      <c r="I3563" s="8">
        <v>4104.47</v>
      </c>
      <c r="J3563" s="8"/>
      <c r="K3563" s="8"/>
      <c r="L3563" s="8"/>
      <c r="M3563" s="8"/>
      <c r="N3563" s="8">
        <v>33.71</v>
      </c>
      <c r="O3563" s="8"/>
      <c r="P3563" s="8"/>
      <c r="Q3563" s="11"/>
      <c r="R3563" s="11"/>
      <c r="S3563" s="8">
        <v>1.84</v>
      </c>
      <c r="T3563" s="8"/>
      <c r="U3563" s="8"/>
      <c r="V3563" s="8"/>
      <c r="W3563" s="8">
        <v>46.19</v>
      </c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>
        <v>18.350000000000001</v>
      </c>
      <c r="AN3563" s="8">
        <f>1717*27.15/1000</f>
        <v>46.616549999999997</v>
      </c>
      <c r="AO3563" s="8"/>
      <c r="AP3563" s="11"/>
      <c r="AQ3563" s="8"/>
      <c r="AR3563" s="8">
        <f>4306*27.15/1000</f>
        <v>116.9079</v>
      </c>
      <c r="AS3563" s="8"/>
      <c r="AT3563" s="8">
        <v>1779.46</v>
      </c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>
        <v>129.41</v>
      </c>
      <c r="BH3563" s="9">
        <f t="shared" si="495"/>
        <v>4611.6000000000004</v>
      </c>
      <c r="BI3563" s="9">
        <f t="shared" si="496"/>
        <v>33.71</v>
      </c>
      <c r="BJ3563" s="9">
        <f t="shared" si="497"/>
        <v>1.84</v>
      </c>
      <c r="BK3563" s="9">
        <f t="shared" si="498"/>
        <v>46.19</v>
      </c>
      <c r="BL3563" s="9">
        <f t="shared" si="499"/>
        <v>0</v>
      </c>
      <c r="BM3563" s="9">
        <f t="shared" si="500"/>
        <v>181.87445</v>
      </c>
      <c r="BN3563" s="9">
        <f t="shared" si="501"/>
        <v>1779.46</v>
      </c>
      <c r="BO3563" s="9">
        <f t="shared" si="502"/>
        <v>0</v>
      </c>
      <c r="BP3563" s="9">
        <f t="shared" si="503"/>
        <v>0</v>
      </c>
    </row>
    <row r="3564" spans="1:68">
      <c r="A3564" s="6">
        <v>45198</v>
      </c>
      <c r="B3564" s="7">
        <v>3200</v>
      </c>
      <c r="C3564" s="8">
        <v>2288.62</v>
      </c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>
        <v>5.73</v>
      </c>
      <c r="P3564" s="8"/>
      <c r="Q3564" s="11"/>
      <c r="R3564" s="11"/>
      <c r="S3564" s="8">
        <v>8.94</v>
      </c>
      <c r="T3564" s="8"/>
      <c r="U3564" s="8">
        <v>34.39</v>
      </c>
      <c r="V3564" s="8"/>
      <c r="W3564" s="8"/>
      <c r="X3564" s="8"/>
      <c r="Y3564" s="8"/>
      <c r="Z3564" s="8">
        <v>481.69</v>
      </c>
      <c r="AA3564" s="8"/>
      <c r="AB3564" s="8"/>
      <c r="AC3564" s="8"/>
      <c r="AD3564" s="8"/>
      <c r="AE3564" s="8"/>
      <c r="AF3564" s="8">
        <v>114.37</v>
      </c>
      <c r="AG3564" s="8"/>
      <c r="AH3564" s="8"/>
      <c r="AI3564" s="8"/>
      <c r="AJ3564" s="8"/>
      <c r="AK3564" s="8"/>
      <c r="AL3564" s="8"/>
      <c r="AM3564" s="8"/>
      <c r="AN3564" s="8"/>
      <c r="AO3564" s="8"/>
      <c r="AP3564" s="11"/>
      <c r="AQ3564" s="8">
        <f>1516*22.92/1000</f>
        <v>34.746720000000003</v>
      </c>
      <c r="AR3564" s="8"/>
      <c r="AS3564" s="8"/>
      <c r="AT3564" s="8">
        <v>1567.22</v>
      </c>
      <c r="AU3564" s="8"/>
      <c r="AV3564" s="8"/>
      <c r="AW3564" s="8">
        <v>6.66</v>
      </c>
      <c r="AX3564" s="8"/>
      <c r="AY3564" s="8"/>
      <c r="AZ3564" s="8"/>
      <c r="BA3564" s="8"/>
      <c r="BB3564" s="8"/>
      <c r="BC3564" s="8"/>
      <c r="BD3564" s="8"/>
      <c r="BE3564" s="8"/>
      <c r="BF3564" s="8">
        <v>110.07</v>
      </c>
      <c r="BG3564" s="8">
        <v>113.46</v>
      </c>
      <c r="BH3564" s="9">
        <f t="shared" si="495"/>
        <v>2288.62</v>
      </c>
      <c r="BI3564" s="9">
        <f t="shared" si="496"/>
        <v>5.73</v>
      </c>
      <c r="BJ3564" s="9">
        <f t="shared" si="497"/>
        <v>8.94</v>
      </c>
      <c r="BK3564" s="9">
        <f t="shared" si="498"/>
        <v>34.39</v>
      </c>
      <c r="BL3564" s="9">
        <f t="shared" si="499"/>
        <v>481.69</v>
      </c>
      <c r="BM3564" s="9">
        <f t="shared" si="500"/>
        <v>149.11672000000002</v>
      </c>
      <c r="BN3564" s="9">
        <f t="shared" si="501"/>
        <v>1567.22</v>
      </c>
      <c r="BO3564" s="9">
        <f t="shared" si="502"/>
        <v>6.66</v>
      </c>
      <c r="BP3564" s="9">
        <f t="shared" si="503"/>
        <v>110.07</v>
      </c>
    </row>
    <row r="3565" spans="1:68">
      <c r="A3565" s="6">
        <v>45198</v>
      </c>
      <c r="B3565" s="7">
        <v>3153</v>
      </c>
      <c r="C3565" s="8">
        <v>777.89</v>
      </c>
      <c r="D3565" s="8"/>
      <c r="E3565" s="8"/>
      <c r="F3565" s="8"/>
      <c r="G3565" s="8"/>
      <c r="H3565" s="8"/>
      <c r="I3565" s="8"/>
      <c r="J3565" s="8"/>
      <c r="K3565" s="8"/>
      <c r="L3565" s="8"/>
      <c r="M3565" s="8">
        <v>1.4</v>
      </c>
      <c r="N3565" s="8">
        <v>1.4</v>
      </c>
      <c r="O3565" s="8"/>
      <c r="P3565" s="8"/>
      <c r="Q3565" s="11"/>
      <c r="R3565" s="11"/>
      <c r="S3565" s="8">
        <v>3.19</v>
      </c>
      <c r="T3565" s="8"/>
      <c r="U3565" s="8">
        <v>7.8</v>
      </c>
      <c r="V3565" s="8"/>
      <c r="W3565" s="8"/>
      <c r="X3565" s="8"/>
      <c r="Y3565" s="8"/>
      <c r="Z3565" s="8"/>
      <c r="AA3565" s="8"/>
      <c r="AB3565" s="8"/>
      <c r="AC3565" s="8">
        <v>3.11</v>
      </c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11"/>
      <c r="AQ3565" s="8"/>
      <c r="AR3565" s="8"/>
      <c r="AS3565" s="8"/>
      <c r="AT3565" s="8">
        <v>344.85</v>
      </c>
      <c r="AU3565" s="8"/>
      <c r="AV3565" s="8"/>
      <c r="AW3565" s="8"/>
      <c r="AX3565" s="8"/>
      <c r="AY3565" s="8"/>
      <c r="AZ3565" s="8"/>
      <c r="BA3565" s="8"/>
      <c r="BB3565" s="8"/>
      <c r="BC3565" s="8">
        <v>0.78</v>
      </c>
      <c r="BD3565" s="8"/>
      <c r="BE3565" s="8"/>
      <c r="BF3565" s="8"/>
      <c r="BG3565" s="8">
        <v>25.31</v>
      </c>
      <c r="BH3565" s="9">
        <f t="shared" si="495"/>
        <v>777.89</v>
      </c>
      <c r="BI3565" s="9">
        <f t="shared" si="496"/>
        <v>2.8</v>
      </c>
      <c r="BJ3565" s="9">
        <f t="shared" si="497"/>
        <v>3.19</v>
      </c>
      <c r="BK3565" s="9">
        <f t="shared" si="498"/>
        <v>7.8</v>
      </c>
      <c r="BL3565" s="9">
        <f t="shared" si="499"/>
        <v>0</v>
      </c>
      <c r="BM3565" s="9">
        <f t="shared" si="500"/>
        <v>3.11</v>
      </c>
      <c r="BN3565" s="9">
        <f t="shared" si="501"/>
        <v>344.85</v>
      </c>
      <c r="BO3565" s="9">
        <f t="shared" si="502"/>
        <v>0.78</v>
      </c>
      <c r="BP3565" s="9">
        <f t="shared" si="503"/>
        <v>0</v>
      </c>
    </row>
    <row r="3566" spans="1:68">
      <c r="A3566" s="6">
        <v>45198</v>
      </c>
      <c r="B3566" s="7">
        <v>3704</v>
      </c>
      <c r="C3566" s="8">
        <v>157</v>
      </c>
      <c r="D3566" s="8">
        <v>237.6</v>
      </c>
      <c r="E3566" s="8"/>
      <c r="F3566" s="8"/>
      <c r="G3566" s="8"/>
      <c r="H3566" s="8"/>
      <c r="I3566" s="8"/>
      <c r="J3566" s="8"/>
      <c r="K3566" s="8"/>
      <c r="L3566" s="8"/>
      <c r="M3566" s="8">
        <v>1.19</v>
      </c>
      <c r="N3566" s="8"/>
      <c r="O3566" s="8"/>
      <c r="P3566" s="8"/>
      <c r="Q3566" s="11"/>
      <c r="R3566" s="11"/>
      <c r="S3566" s="8">
        <v>1.39</v>
      </c>
      <c r="T3566" s="8"/>
      <c r="U3566" s="8">
        <v>2.98</v>
      </c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>
        <v>4.72</v>
      </c>
      <c r="AN3566" s="8"/>
      <c r="AO3566" s="8"/>
      <c r="AP3566" s="11"/>
      <c r="AQ3566" s="8"/>
      <c r="AR3566" s="8"/>
      <c r="AS3566" s="8"/>
      <c r="AT3566" s="8">
        <v>69.290000000000006</v>
      </c>
      <c r="AU3566" s="8">
        <v>34.24</v>
      </c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>
        <v>6.26</v>
      </c>
      <c r="BH3566" s="9">
        <f t="shared" si="495"/>
        <v>394.6</v>
      </c>
      <c r="BI3566" s="9">
        <f t="shared" si="496"/>
        <v>1.19</v>
      </c>
      <c r="BJ3566" s="9">
        <f t="shared" si="497"/>
        <v>1.39</v>
      </c>
      <c r="BK3566" s="9">
        <f t="shared" si="498"/>
        <v>2.98</v>
      </c>
      <c r="BL3566" s="9">
        <f t="shared" si="499"/>
        <v>0</v>
      </c>
      <c r="BM3566" s="9">
        <f t="shared" si="500"/>
        <v>4.72</v>
      </c>
      <c r="BN3566" s="9">
        <f t="shared" si="501"/>
        <v>103.53</v>
      </c>
      <c r="BO3566" s="9">
        <f t="shared" si="502"/>
        <v>0</v>
      </c>
      <c r="BP3566" s="9">
        <f t="shared" si="503"/>
        <v>0</v>
      </c>
    </row>
    <row r="3567" spans="1:68">
      <c r="A3567" s="6">
        <v>45198</v>
      </c>
      <c r="B3567" s="7">
        <v>3702</v>
      </c>
      <c r="C3567" s="8">
        <v>225.1</v>
      </c>
      <c r="D3567" s="8">
        <v>151.26</v>
      </c>
      <c r="E3567" s="8"/>
      <c r="F3567" s="8"/>
      <c r="G3567" s="8"/>
      <c r="H3567" s="8"/>
      <c r="I3567" s="8"/>
      <c r="J3567" s="8"/>
      <c r="K3567" s="8"/>
      <c r="L3567" s="8"/>
      <c r="M3567" s="8">
        <v>0.76</v>
      </c>
      <c r="N3567" s="8"/>
      <c r="O3567" s="8"/>
      <c r="P3567" s="8"/>
      <c r="Q3567" s="11"/>
      <c r="R3567" s="11"/>
      <c r="S3567" s="8">
        <v>1.69</v>
      </c>
      <c r="T3567" s="8"/>
      <c r="U3567" s="8">
        <v>2.83</v>
      </c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11"/>
      <c r="AQ3567" s="8"/>
      <c r="AR3567" s="8"/>
      <c r="AS3567" s="8"/>
      <c r="AT3567" s="8">
        <v>91.44</v>
      </c>
      <c r="AU3567" s="8">
        <v>45.72</v>
      </c>
      <c r="AV3567" s="8"/>
      <c r="AW3567" s="8">
        <v>0.84</v>
      </c>
      <c r="AX3567" s="8"/>
      <c r="AY3567" s="8"/>
      <c r="AZ3567" s="8"/>
      <c r="BA3567" s="8"/>
      <c r="BB3567" s="8"/>
      <c r="BC3567" s="8"/>
      <c r="BD3567" s="8"/>
      <c r="BE3567" s="8"/>
      <c r="BF3567" s="8"/>
      <c r="BG3567" s="8">
        <v>9.61</v>
      </c>
      <c r="BH3567" s="9">
        <f t="shared" si="495"/>
        <v>376.36</v>
      </c>
      <c r="BI3567" s="9">
        <f t="shared" si="496"/>
        <v>0.76</v>
      </c>
      <c r="BJ3567" s="9">
        <f t="shared" si="497"/>
        <v>1.69</v>
      </c>
      <c r="BK3567" s="9">
        <f t="shared" si="498"/>
        <v>2.83</v>
      </c>
      <c r="BL3567" s="9">
        <f t="shared" si="499"/>
        <v>0</v>
      </c>
      <c r="BM3567" s="9">
        <f t="shared" si="500"/>
        <v>0</v>
      </c>
      <c r="BN3567" s="9">
        <f t="shared" si="501"/>
        <v>137.16</v>
      </c>
      <c r="BO3567" s="9">
        <f t="shared" si="502"/>
        <v>0.84</v>
      </c>
      <c r="BP3567" s="9">
        <f t="shared" si="503"/>
        <v>0</v>
      </c>
    </row>
    <row r="3568" spans="1:68">
      <c r="A3568" s="6">
        <v>45201</v>
      </c>
      <c r="B3568" s="7">
        <v>3309</v>
      </c>
      <c r="C3568" s="8"/>
      <c r="D3568" s="8">
        <v>1129.96</v>
      </c>
      <c r="E3568" s="8"/>
      <c r="F3568" s="8"/>
      <c r="G3568" s="8"/>
      <c r="H3568" s="8"/>
      <c r="I3568" s="8"/>
      <c r="J3568" s="8"/>
      <c r="K3568" s="8"/>
      <c r="L3568" s="8"/>
      <c r="M3568" s="8">
        <v>2.2799999999999998</v>
      </c>
      <c r="N3568" s="8"/>
      <c r="O3568" s="8"/>
      <c r="P3568" s="8"/>
      <c r="Q3568" s="11"/>
      <c r="R3568" s="11"/>
      <c r="S3568" s="8">
        <v>1.69</v>
      </c>
      <c r="T3568" s="8"/>
      <c r="U3568" s="8">
        <v>10.130000000000001</v>
      </c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>
        <v>11.13</v>
      </c>
      <c r="AH3568" s="8"/>
      <c r="AI3568" s="8"/>
      <c r="AJ3568" s="8"/>
      <c r="AK3568" s="8"/>
      <c r="AL3568" s="8"/>
      <c r="AM3568" s="8"/>
      <c r="AN3568" s="8"/>
      <c r="AO3568" s="8"/>
      <c r="AP3568" s="11"/>
      <c r="AQ3568" s="8"/>
      <c r="AR3568" s="8"/>
      <c r="AS3568" s="8"/>
      <c r="AT3568" s="8">
        <v>301.66000000000003</v>
      </c>
      <c r="AU3568" s="8">
        <v>150.33000000000001</v>
      </c>
      <c r="AV3568" s="8"/>
      <c r="AW3568" s="8"/>
      <c r="AX3568" s="8"/>
      <c r="AY3568" s="8"/>
      <c r="AZ3568" s="8"/>
      <c r="BA3568" s="8"/>
      <c r="BB3568" s="8"/>
      <c r="BC3568" s="8">
        <v>1.05</v>
      </c>
      <c r="BD3568" s="8"/>
      <c r="BE3568" s="8"/>
      <c r="BF3568" s="8"/>
      <c r="BG3568" s="8">
        <v>30.9</v>
      </c>
      <c r="BH3568" s="9">
        <f t="shared" si="495"/>
        <v>1129.96</v>
      </c>
      <c r="BI3568" s="9">
        <f t="shared" si="496"/>
        <v>2.2799999999999998</v>
      </c>
      <c r="BJ3568" s="9">
        <f t="shared" si="497"/>
        <v>1.69</v>
      </c>
      <c r="BK3568" s="9">
        <f t="shared" si="498"/>
        <v>10.130000000000001</v>
      </c>
      <c r="BL3568" s="9">
        <f t="shared" si="499"/>
        <v>0</v>
      </c>
      <c r="BM3568" s="9">
        <f t="shared" si="500"/>
        <v>11.13</v>
      </c>
      <c r="BN3568" s="9">
        <f t="shared" si="501"/>
        <v>451.99</v>
      </c>
      <c r="BO3568" s="9">
        <f t="shared" si="502"/>
        <v>1.05</v>
      </c>
      <c r="BP3568" s="9">
        <f t="shared" si="503"/>
        <v>0</v>
      </c>
    </row>
    <row r="3569" spans="1:68">
      <c r="A3569" s="6">
        <v>45201</v>
      </c>
      <c r="B3569" s="7">
        <v>3145</v>
      </c>
      <c r="C3569" s="8">
        <v>1239.8399999999999</v>
      </c>
      <c r="D3569" s="8">
        <v>218.97</v>
      </c>
      <c r="E3569" s="8"/>
      <c r="F3569" s="8"/>
      <c r="G3569" s="8"/>
      <c r="H3569" s="8"/>
      <c r="I3569" s="8"/>
      <c r="J3569" s="8"/>
      <c r="K3569" s="8"/>
      <c r="L3569" s="8"/>
      <c r="M3569" s="8">
        <v>4.2300000000000004</v>
      </c>
      <c r="N3569" s="8"/>
      <c r="O3569" s="8"/>
      <c r="P3569" s="8"/>
      <c r="Q3569" s="11"/>
      <c r="R3569" s="11"/>
      <c r="S3569" s="8">
        <v>6.87</v>
      </c>
      <c r="T3569" s="8"/>
      <c r="U3569" s="8">
        <v>21.94</v>
      </c>
      <c r="V3569" s="8"/>
      <c r="W3569" s="8"/>
      <c r="X3569" s="8"/>
      <c r="Y3569" s="8"/>
      <c r="Z3569" s="8"/>
      <c r="AA3569" s="8"/>
      <c r="AB3569" s="8"/>
      <c r="AC3569" s="8">
        <v>5.84</v>
      </c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11"/>
      <c r="AQ3569" s="8"/>
      <c r="AR3569" s="8"/>
      <c r="AS3569" s="8"/>
      <c r="AT3569" s="8">
        <v>971.62</v>
      </c>
      <c r="AU3569" s="8"/>
      <c r="AV3569" s="8"/>
      <c r="AW3569" s="8"/>
      <c r="AX3569" s="8"/>
      <c r="AY3569" s="8"/>
      <c r="AZ3569" s="8"/>
      <c r="BA3569" s="8"/>
      <c r="BB3569" s="8"/>
      <c r="BC3569" s="8"/>
      <c r="BD3569" s="8">
        <v>3.66</v>
      </c>
      <c r="BE3569" s="8">
        <f>1369*9.73/1000</f>
        <v>13.32037</v>
      </c>
      <c r="BF3569" s="8">
        <v>102.42</v>
      </c>
      <c r="BG3569" s="8">
        <v>75.81</v>
      </c>
      <c r="BH3569" s="9">
        <f t="shared" si="495"/>
        <v>1458.81</v>
      </c>
      <c r="BI3569" s="9">
        <f t="shared" si="496"/>
        <v>4.2300000000000004</v>
      </c>
      <c r="BJ3569" s="9">
        <f t="shared" si="497"/>
        <v>6.87</v>
      </c>
      <c r="BK3569" s="9">
        <f t="shared" si="498"/>
        <v>21.94</v>
      </c>
      <c r="BL3569" s="9">
        <f t="shared" si="499"/>
        <v>0</v>
      </c>
      <c r="BM3569" s="9">
        <f t="shared" si="500"/>
        <v>5.84</v>
      </c>
      <c r="BN3569" s="9">
        <f t="shared" si="501"/>
        <v>971.62</v>
      </c>
      <c r="BO3569" s="9">
        <f t="shared" si="502"/>
        <v>16.980370000000001</v>
      </c>
      <c r="BP3569" s="9">
        <f t="shared" si="503"/>
        <v>102.42</v>
      </c>
    </row>
    <row r="3570" spans="1:68">
      <c r="A3570" s="6">
        <v>45201</v>
      </c>
      <c r="B3570" s="7">
        <v>3141</v>
      </c>
      <c r="C3570" s="8">
        <v>2391.34</v>
      </c>
      <c r="D3570" s="8">
        <v>422</v>
      </c>
      <c r="E3570" s="8"/>
      <c r="F3570" s="8"/>
      <c r="G3570" s="8"/>
      <c r="H3570" s="8"/>
      <c r="I3570" s="8"/>
      <c r="J3570" s="8"/>
      <c r="K3570" s="8"/>
      <c r="L3570" s="8"/>
      <c r="M3570" s="8">
        <v>8.16</v>
      </c>
      <c r="N3570" s="8"/>
      <c r="O3570" s="8"/>
      <c r="P3570" s="8"/>
      <c r="Q3570" s="11"/>
      <c r="R3570" s="11"/>
      <c r="S3570" s="8">
        <v>13.23</v>
      </c>
      <c r="T3570" s="8"/>
      <c r="U3570" s="8">
        <v>42.22</v>
      </c>
      <c r="V3570" s="8"/>
      <c r="W3570" s="8"/>
      <c r="X3570" s="8"/>
      <c r="Y3570" s="8"/>
      <c r="Z3570" s="8"/>
      <c r="AA3570" s="8"/>
      <c r="AB3570" s="8"/>
      <c r="AC3570" s="8">
        <v>11.26</v>
      </c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11"/>
      <c r="AQ3570" s="8"/>
      <c r="AR3570" s="8"/>
      <c r="AS3570" s="8"/>
      <c r="AT3570" s="8">
        <v>1860.26</v>
      </c>
      <c r="AU3570" s="8"/>
      <c r="AV3570" s="8"/>
      <c r="AW3570" s="8"/>
      <c r="AX3570" s="8"/>
      <c r="AY3570" s="8"/>
      <c r="AZ3570" s="8"/>
      <c r="BA3570" s="8">
        <v>64.5</v>
      </c>
      <c r="BB3570" s="8"/>
      <c r="BC3570" s="8"/>
      <c r="BD3570" s="8"/>
      <c r="BE3570" s="8"/>
      <c r="BF3570" s="8">
        <v>196.96</v>
      </c>
      <c r="BG3570" s="8">
        <v>146.55000000000001</v>
      </c>
      <c r="BH3570" s="9">
        <f t="shared" si="495"/>
        <v>2813.34</v>
      </c>
      <c r="BI3570" s="9">
        <f t="shared" si="496"/>
        <v>8.16</v>
      </c>
      <c r="BJ3570" s="9">
        <f t="shared" si="497"/>
        <v>13.23</v>
      </c>
      <c r="BK3570" s="9">
        <f t="shared" si="498"/>
        <v>42.22</v>
      </c>
      <c r="BL3570" s="9">
        <f t="shared" si="499"/>
        <v>0</v>
      </c>
      <c r="BM3570" s="9">
        <f t="shared" si="500"/>
        <v>11.26</v>
      </c>
      <c r="BN3570" s="9">
        <f t="shared" si="501"/>
        <v>1860.26</v>
      </c>
      <c r="BO3570" s="9">
        <f t="shared" si="502"/>
        <v>64.5</v>
      </c>
      <c r="BP3570" s="9">
        <f t="shared" si="503"/>
        <v>196.96</v>
      </c>
    </row>
    <row r="3571" spans="1:68">
      <c r="A3571" s="6">
        <v>45201</v>
      </c>
      <c r="B3571" s="7">
        <v>3106</v>
      </c>
      <c r="C3571" s="8">
        <v>6116.25</v>
      </c>
      <c r="D3571" s="8"/>
      <c r="E3571" s="8"/>
      <c r="F3571" s="8"/>
      <c r="G3571" s="8"/>
      <c r="H3571" s="8"/>
      <c r="I3571" s="8"/>
      <c r="J3571" s="8"/>
      <c r="K3571" s="8"/>
      <c r="L3571" s="8"/>
      <c r="M3571" s="8">
        <v>16.48</v>
      </c>
      <c r="N3571" s="8"/>
      <c r="O3571" s="8"/>
      <c r="P3571" s="8"/>
      <c r="Q3571" s="11"/>
      <c r="R3571" s="11"/>
      <c r="S3571" s="8">
        <v>18.420000000000002</v>
      </c>
      <c r="T3571" s="8"/>
      <c r="U3571" s="8">
        <v>77.930000000000007</v>
      </c>
      <c r="V3571" s="8"/>
      <c r="W3571" s="8"/>
      <c r="X3571" s="8"/>
      <c r="Y3571" s="8"/>
      <c r="Z3571" s="8"/>
      <c r="AA3571" s="8"/>
      <c r="AB3571" s="8"/>
      <c r="AC3571" s="8">
        <v>15.31</v>
      </c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11"/>
      <c r="AQ3571" s="8"/>
      <c r="AR3571" s="8"/>
      <c r="AS3571" s="8"/>
      <c r="AT3571" s="8">
        <v>3492.14</v>
      </c>
      <c r="AU3571" s="8"/>
      <c r="AV3571" s="8"/>
      <c r="AW3571" s="8"/>
      <c r="AX3571" s="8">
        <v>7.66</v>
      </c>
      <c r="AY3571" s="8"/>
      <c r="AZ3571" s="8"/>
      <c r="BA3571" s="8"/>
      <c r="BB3571" s="8"/>
      <c r="BC3571" s="8"/>
      <c r="BD3571" s="8"/>
      <c r="BE3571" s="8"/>
      <c r="BF3571" s="8"/>
      <c r="BG3571" s="8">
        <v>263</v>
      </c>
      <c r="BH3571" s="9">
        <f t="shared" si="495"/>
        <v>6116.25</v>
      </c>
      <c r="BI3571" s="9">
        <f t="shared" si="496"/>
        <v>16.48</v>
      </c>
      <c r="BJ3571" s="9">
        <f t="shared" si="497"/>
        <v>18.420000000000002</v>
      </c>
      <c r="BK3571" s="9">
        <f t="shared" si="498"/>
        <v>77.930000000000007</v>
      </c>
      <c r="BL3571" s="9">
        <f t="shared" si="499"/>
        <v>0</v>
      </c>
      <c r="BM3571" s="9">
        <f t="shared" si="500"/>
        <v>15.31</v>
      </c>
      <c r="BN3571" s="9">
        <f t="shared" si="501"/>
        <v>3492.14</v>
      </c>
      <c r="BO3571" s="9">
        <f t="shared" si="502"/>
        <v>7.66</v>
      </c>
      <c r="BP3571" s="9">
        <f t="shared" si="503"/>
        <v>0</v>
      </c>
    </row>
    <row r="3572" spans="1:68">
      <c r="A3572" s="6">
        <v>45201</v>
      </c>
      <c r="B3572" s="7">
        <v>3028</v>
      </c>
      <c r="C3572" s="8"/>
      <c r="D3572" s="8">
        <v>392.01</v>
      </c>
      <c r="E3572" s="8"/>
      <c r="F3572" s="8">
        <v>358.97</v>
      </c>
      <c r="G3572" s="8"/>
      <c r="H3572" s="8"/>
      <c r="I3572" s="8">
        <v>812.32</v>
      </c>
      <c r="J3572" s="8"/>
      <c r="K3572" s="8"/>
      <c r="L3572" s="8"/>
      <c r="M3572" s="8"/>
      <c r="N3572" s="8">
        <v>12.05</v>
      </c>
      <c r="O3572" s="8"/>
      <c r="P3572" s="8"/>
      <c r="Q3572" s="11"/>
      <c r="R3572" s="11"/>
      <c r="S3572" s="8">
        <v>2.19</v>
      </c>
      <c r="T3572" s="8"/>
      <c r="U3572" s="8"/>
      <c r="V3572" s="8"/>
      <c r="W3572" s="8">
        <v>11.75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>
        <v>15.53</v>
      </c>
      <c r="AN3572" s="8">
        <f>1053*10.42/1000</f>
        <v>10.97226</v>
      </c>
      <c r="AO3572" s="8"/>
      <c r="AP3572" s="11"/>
      <c r="AQ3572" s="8"/>
      <c r="AR3572" s="8"/>
      <c r="AS3572" s="8">
        <f>4968*10.42/1000</f>
        <v>51.766559999999998</v>
      </c>
      <c r="AT3572" s="8">
        <v>522.35</v>
      </c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>
        <v>35.64</v>
      </c>
      <c r="BH3572" s="9">
        <f t="shared" si="495"/>
        <v>1563.3000000000002</v>
      </c>
      <c r="BI3572" s="9">
        <f t="shared" si="496"/>
        <v>12.05</v>
      </c>
      <c r="BJ3572" s="9">
        <f t="shared" si="497"/>
        <v>2.19</v>
      </c>
      <c r="BK3572" s="9">
        <f t="shared" si="498"/>
        <v>11.75</v>
      </c>
      <c r="BL3572" s="9">
        <f t="shared" si="499"/>
        <v>0</v>
      </c>
      <c r="BM3572" s="9">
        <f t="shared" si="500"/>
        <v>78.268820000000005</v>
      </c>
      <c r="BN3572" s="9">
        <f t="shared" si="501"/>
        <v>522.35</v>
      </c>
      <c r="BO3572" s="9">
        <f t="shared" si="502"/>
        <v>0</v>
      </c>
      <c r="BP3572" s="9">
        <f t="shared" si="503"/>
        <v>0</v>
      </c>
    </row>
    <row r="3573" spans="1:68">
      <c r="A3573" s="6">
        <v>45201</v>
      </c>
      <c r="B3573" s="7">
        <v>3021</v>
      </c>
      <c r="C3573" s="8"/>
      <c r="D3573" s="8">
        <v>356.39</v>
      </c>
      <c r="E3573" s="8"/>
      <c r="F3573" s="8"/>
      <c r="G3573" s="8"/>
      <c r="H3573" s="8"/>
      <c r="I3573" s="8">
        <v>661.94</v>
      </c>
      <c r="J3573" s="8"/>
      <c r="K3573" s="8"/>
      <c r="L3573" s="8"/>
      <c r="M3573" s="8"/>
      <c r="N3573" s="8">
        <v>5.42</v>
      </c>
      <c r="O3573" s="8"/>
      <c r="P3573" s="8"/>
      <c r="Q3573" s="11"/>
      <c r="R3573" s="11"/>
      <c r="S3573" s="8">
        <v>1.83</v>
      </c>
      <c r="T3573" s="8"/>
      <c r="U3573" s="8"/>
      <c r="V3573" s="8"/>
      <c r="W3573" s="8">
        <v>10.19</v>
      </c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>
        <v>10.14</v>
      </c>
      <c r="AN3573" s="8"/>
      <c r="AO3573" s="8"/>
      <c r="AP3573" s="11"/>
      <c r="AQ3573" s="8"/>
      <c r="AR3573" s="8"/>
      <c r="AS3573" s="8">
        <f>2671*9.72/1000</f>
        <v>25.962120000000002</v>
      </c>
      <c r="AT3573" s="8">
        <v>479.73</v>
      </c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>
        <v>36.44</v>
      </c>
      <c r="BH3573" s="9">
        <f t="shared" si="495"/>
        <v>1018.33</v>
      </c>
      <c r="BI3573" s="9">
        <f t="shared" si="496"/>
        <v>5.42</v>
      </c>
      <c r="BJ3573" s="9">
        <f t="shared" si="497"/>
        <v>1.83</v>
      </c>
      <c r="BK3573" s="9">
        <f t="shared" si="498"/>
        <v>10.19</v>
      </c>
      <c r="BL3573" s="9">
        <f t="shared" si="499"/>
        <v>0</v>
      </c>
      <c r="BM3573" s="9">
        <f t="shared" si="500"/>
        <v>36.102119999999999</v>
      </c>
      <c r="BN3573" s="9">
        <f t="shared" si="501"/>
        <v>479.73</v>
      </c>
      <c r="BO3573" s="9">
        <f t="shared" si="502"/>
        <v>0</v>
      </c>
      <c r="BP3573" s="9">
        <f t="shared" si="503"/>
        <v>0</v>
      </c>
    </row>
    <row r="3574" spans="1:68">
      <c r="A3574" s="6">
        <v>45201</v>
      </c>
      <c r="B3574" s="7">
        <v>3020</v>
      </c>
      <c r="C3574" s="8"/>
      <c r="D3574" s="8">
        <v>324.68</v>
      </c>
      <c r="E3574" s="8"/>
      <c r="F3574" s="8"/>
      <c r="G3574" s="8"/>
      <c r="H3574" s="8"/>
      <c r="I3574" s="8">
        <v>1832.94</v>
      </c>
      <c r="J3574" s="8"/>
      <c r="K3574" s="8"/>
      <c r="L3574" s="8"/>
      <c r="M3574" s="8"/>
      <c r="N3574" s="8">
        <v>13.14</v>
      </c>
      <c r="O3574" s="8"/>
      <c r="P3574" s="8"/>
      <c r="Q3574" s="11"/>
      <c r="R3574" s="11"/>
      <c r="S3574" s="8">
        <v>3.88</v>
      </c>
      <c r="T3574" s="8"/>
      <c r="U3574" s="8"/>
      <c r="V3574" s="8"/>
      <c r="W3574" s="8">
        <v>21.58</v>
      </c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>
        <v>21.54</v>
      </c>
      <c r="AN3574" s="8"/>
      <c r="AO3574" s="8"/>
      <c r="AP3574" s="11"/>
      <c r="AQ3574" s="8"/>
      <c r="AR3574" s="8"/>
      <c r="AS3574" s="8">
        <f>3039*17.98/1000</f>
        <v>54.641220000000004</v>
      </c>
      <c r="AT3574" s="8">
        <v>1059.54</v>
      </c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>
        <v>77.88</v>
      </c>
      <c r="BH3574" s="9">
        <f t="shared" si="495"/>
        <v>2157.62</v>
      </c>
      <c r="BI3574" s="9">
        <f t="shared" si="496"/>
        <v>13.14</v>
      </c>
      <c r="BJ3574" s="9">
        <f t="shared" si="497"/>
        <v>3.88</v>
      </c>
      <c r="BK3574" s="9">
        <f t="shared" si="498"/>
        <v>21.58</v>
      </c>
      <c r="BL3574" s="9">
        <f t="shared" si="499"/>
        <v>0</v>
      </c>
      <c r="BM3574" s="9">
        <f t="shared" si="500"/>
        <v>76.181219999999996</v>
      </c>
      <c r="BN3574" s="9">
        <f t="shared" si="501"/>
        <v>1059.54</v>
      </c>
      <c r="BO3574" s="9">
        <f t="shared" si="502"/>
        <v>0</v>
      </c>
      <c r="BP3574" s="9">
        <f t="shared" si="503"/>
        <v>0</v>
      </c>
    </row>
    <row r="3575" spans="1:68">
      <c r="A3575" s="6">
        <v>45202</v>
      </c>
      <c r="B3575" s="7">
        <v>3200</v>
      </c>
      <c r="C3575" s="8">
        <v>2431.8900000000003</v>
      </c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>
        <v>6.1</v>
      </c>
      <c r="P3575" s="8"/>
      <c r="Q3575" s="11"/>
      <c r="R3575" s="11"/>
      <c r="S3575" s="8">
        <v>9.5</v>
      </c>
      <c r="T3575" s="8"/>
      <c r="U3575" s="8">
        <v>36.61</v>
      </c>
      <c r="V3575" s="8"/>
      <c r="W3575" s="8"/>
      <c r="X3575" s="8"/>
      <c r="Y3575" s="8"/>
      <c r="Z3575" s="8">
        <v>512.38</v>
      </c>
      <c r="AA3575" s="8"/>
      <c r="AB3575" s="8"/>
      <c r="AC3575" s="8"/>
      <c r="AD3575" s="8"/>
      <c r="AE3575" s="8"/>
      <c r="AF3575" s="8">
        <v>121.36000000000001</v>
      </c>
      <c r="AG3575" s="8"/>
      <c r="AH3575" s="8"/>
      <c r="AI3575" s="8"/>
      <c r="AJ3575" s="8"/>
      <c r="AK3575" s="8"/>
      <c r="AL3575" s="8"/>
      <c r="AM3575" s="8"/>
      <c r="AN3575" s="8"/>
      <c r="AO3575" s="8"/>
      <c r="AP3575" s="11"/>
      <c r="AQ3575" s="8">
        <v>36.823070000000001</v>
      </c>
      <c r="AR3575" s="8"/>
      <c r="AS3575" s="8"/>
      <c r="AT3575" s="8">
        <v>1669.25</v>
      </c>
      <c r="AU3575" s="8"/>
      <c r="AV3575" s="8"/>
      <c r="AW3575" s="8">
        <v>7.0299999999999994</v>
      </c>
      <c r="AX3575" s="8"/>
      <c r="AY3575" s="8"/>
      <c r="AZ3575" s="8"/>
      <c r="BA3575" s="8"/>
      <c r="BB3575" s="8"/>
      <c r="BC3575" s="8"/>
      <c r="BD3575" s="8"/>
      <c r="BE3575" s="8"/>
      <c r="BF3575" s="8">
        <v>117.03</v>
      </c>
      <c r="BG3575" s="8">
        <v>121.17</v>
      </c>
      <c r="BH3575" s="9">
        <f t="shared" si="495"/>
        <v>2431.8900000000003</v>
      </c>
      <c r="BI3575" s="9">
        <f t="shared" si="496"/>
        <v>6.1</v>
      </c>
      <c r="BJ3575" s="9">
        <f t="shared" si="497"/>
        <v>9.5</v>
      </c>
      <c r="BK3575" s="9">
        <f t="shared" si="498"/>
        <v>36.61</v>
      </c>
      <c r="BL3575" s="9">
        <f t="shared" si="499"/>
        <v>512.38</v>
      </c>
      <c r="BM3575" s="9">
        <f t="shared" si="500"/>
        <v>158.18307000000001</v>
      </c>
      <c r="BN3575" s="9">
        <f t="shared" si="501"/>
        <v>1669.25</v>
      </c>
      <c r="BO3575" s="9">
        <f t="shared" si="502"/>
        <v>7.0299999999999994</v>
      </c>
      <c r="BP3575" s="9">
        <f t="shared" si="503"/>
        <v>117.03</v>
      </c>
    </row>
    <row r="3576" spans="1:68">
      <c r="A3576" s="6">
        <v>45202</v>
      </c>
      <c r="B3576" s="7">
        <v>3156</v>
      </c>
      <c r="C3576" s="8">
        <v>2653.95</v>
      </c>
      <c r="D3576" s="8"/>
      <c r="E3576" s="8"/>
      <c r="F3576" s="8"/>
      <c r="G3576" s="8"/>
      <c r="H3576" s="8"/>
      <c r="I3576" s="8"/>
      <c r="J3576" s="8"/>
      <c r="K3576" s="8"/>
      <c r="L3576" s="8"/>
      <c r="M3576" s="8">
        <v>5.03</v>
      </c>
      <c r="N3576" s="8"/>
      <c r="O3576" s="8"/>
      <c r="P3576" s="8"/>
      <c r="Q3576" s="11"/>
      <c r="R3576" s="11"/>
      <c r="S3576" s="8">
        <v>10.62</v>
      </c>
      <c r="T3576" s="8"/>
      <c r="U3576" s="8">
        <v>26.54</v>
      </c>
      <c r="V3576" s="8"/>
      <c r="W3576" s="8"/>
      <c r="X3576" s="8"/>
      <c r="Y3576" s="8"/>
      <c r="Z3576" s="8"/>
      <c r="AA3576" s="8"/>
      <c r="AB3576" s="8"/>
      <c r="AC3576" s="8">
        <v>6.63</v>
      </c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11"/>
      <c r="AQ3576" s="8"/>
      <c r="AR3576" s="8"/>
      <c r="AS3576" s="8"/>
      <c r="AT3576" s="8">
        <v>1242.71</v>
      </c>
      <c r="AU3576" s="8"/>
      <c r="AV3576" s="8"/>
      <c r="AW3576" s="8"/>
      <c r="AX3576" s="8">
        <v>5.75</v>
      </c>
      <c r="AY3576" s="8"/>
      <c r="AZ3576" s="8"/>
      <c r="BA3576" s="8"/>
      <c r="BB3576" s="8"/>
      <c r="BC3576" s="8"/>
      <c r="BD3576" s="8"/>
      <c r="BE3576" s="8"/>
      <c r="BF3576" s="8"/>
      <c r="BG3576" s="8">
        <v>96.56</v>
      </c>
      <c r="BH3576" s="9">
        <f t="shared" si="495"/>
        <v>2653.95</v>
      </c>
      <c r="BI3576" s="9">
        <f t="shared" si="496"/>
        <v>5.03</v>
      </c>
      <c r="BJ3576" s="9">
        <f t="shared" si="497"/>
        <v>10.62</v>
      </c>
      <c r="BK3576" s="9">
        <f t="shared" si="498"/>
        <v>26.54</v>
      </c>
      <c r="BL3576" s="9">
        <f t="shared" si="499"/>
        <v>0</v>
      </c>
      <c r="BM3576" s="9">
        <f t="shared" si="500"/>
        <v>6.63</v>
      </c>
      <c r="BN3576" s="9">
        <f t="shared" si="501"/>
        <v>1242.71</v>
      </c>
      <c r="BO3576" s="9">
        <f t="shared" si="502"/>
        <v>5.75</v>
      </c>
      <c r="BP3576" s="9">
        <f t="shared" si="503"/>
        <v>0</v>
      </c>
    </row>
    <row r="3577" spans="1:68">
      <c r="A3577" s="6">
        <v>45202</v>
      </c>
      <c r="B3577" s="7">
        <v>3108</v>
      </c>
      <c r="C3577" s="8">
        <v>2265.8000000000002</v>
      </c>
      <c r="D3577" s="8"/>
      <c r="E3577" s="8"/>
      <c r="F3577" s="8"/>
      <c r="G3577" s="8"/>
      <c r="H3577" s="8"/>
      <c r="I3577" s="8"/>
      <c r="J3577" s="8"/>
      <c r="K3577" s="8"/>
      <c r="L3577" s="8"/>
      <c r="M3577" s="8">
        <v>5.65</v>
      </c>
      <c r="N3577" s="8"/>
      <c r="O3577" s="8"/>
      <c r="P3577" s="8"/>
      <c r="Q3577" s="11"/>
      <c r="R3577" s="11"/>
      <c r="S3577" s="8">
        <v>7.28</v>
      </c>
      <c r="T3577" s="8"/>
      <c r="U3577" s="8">
        <v>28.79</v>
      </c>
      <c r="V3577" s="8"/>
      <c r="W3577" s="8"/>
      <c r="X3577" s="8"/>
      <c r="Y3577" s="8"/>
      <c r="Z3577" s="8"/>
      <c r="AA3577" s="8"/>
      <c r="AB3577" s="8"/>
      <c r="AC3577" s="8">
        <v>9.0299999999999994</v>
      </c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11"/>
      <c r="AQ3577" s="8"/>
      <c r="AR3577" s="8"/>
      <c r="AS3577" s="8"/>
      <c r="AT3577" s="8">
        <v>1229.43</v>
      </c>
      <c r="AU3577" s="8"/>
      <c r="AV3577" s="8"/>
      <c r="AW3577" s="8"/>
      <c r="AX3577" s="8"/>
      <c r="AY3577" s="8"/>
      <c r="AZ3577" s="8"/>
      <c r="BA3577" s="8">
        <v>84.23</v>
      </c>
      <c r="BB3577" s="8"/>
      <c r="BC3577" s="8"/>
      <c r="BD3577" s="8"/>
      <c r="BE3577" s="8"/>
      <c r="BF3577" s="8"/>
      <c r="BG3577" s="8">
        <v>91.57</v>
      </c>
      <c r="BH3577" s="9">
        <f t="shared" si="495"/>
        <v>2265.8000000000002</v>
      </c>
      <c r="BI3577" s="9">
        <f t="shared" si="496"/>
        <v>5.65</v>
      </c>
      <c r="BJ3577" s="9">
        <f t="shared" si="497"/>
        <v>7.28</v>
      </c>
      <c r="BK3577" s="9">
        <f t="shared" si="498"/>
        <v>28.79</v>
      </c>
      <c r="BL3577" s="9">
        <f t="shared" si="499"/>
        <v>0</v>
      </c>
      <c r="BM3577" s="9">
        <f t="shared" si="500"/>
        <v>9.0299999999999994</v>
      </c>
      <c r="BN3577" s="9">
        <f t="shared" si="501"/>
        <v>1229.43</v>
      </c>
      <c r="BO3577" s="9">
        <f t="shared" si="502"/>
        <v>84.23</v>
      </c>
      <c r="BP3577" s="9">
        <f t="shared" si="503"/>
        <v>0</v>
      </c>
    </row>
    <row r="3578" spans="1:68">
      <c r="A3578" s="6">
        <v>45202</v>
      </c>
      <c r="B3578" s="7">
        <v>3106</v>
      </c>
      <c r="C3578" s="8">
        <v>5041.49</v>
      </c>
      <c r="D3578" s="8"/>
      <c r="E3578" s="8"/>
      <c r="F3578" s="8"/>
      <c r="G3578" s="8"/>
      <c r="H3578" s="8"/>
      <c r="I3578" s="8"/>
      <c r="J3578" s="8"/>
      <c r="K3578" s="8"/>
      <c r="L3578" s="8"/>
      <c r="M3578" s="8">
        <v>13.56</v>
      </c>
      <c r="N3578" s="8"/>
      <c r="O3578" s="8"/>
      <c r="P3578" s="8"/>
      <c r="Q3578" s="11"/>
      <c r="R3578" s="11"/>
      <c r="S3578" s="8">
        <v>15.13</v>
      </c>
      <c r="T3578" s="8"/>
      <c r="U3578" s="8">
        <v>63.99</v>
      </c>
      <c r="V3578" s="8"/>
      <c r="W3578" s="8"/>
      <c r="X3578" s="8"/>
      <c r="Y3578" s="8"/>
      <c r="Z3578" s="8"/>
      <c r="AA3578" s="8"/>
      <c r="AB3578" s="8"/>
      <c r="AC3578" s="8">
        <v>12.6</v>
      </c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11"/>
      <c r="AQ3578" s="8"/>
      <c r="AR3578" s="8"/>
      <c r="AS3578" s="8"/>
      <c r="AT3578" s="8">
        <v>2867.91</v>
      </c>
      <c r="AU3578" s="8"/>
      <c r="AV3578" s="8"/>
      <c r="AW3578" s="8"/>
      <c r="AX3578" s="8">
        <v>6.29</v>
      </c>
      <c r="AY3578" s="8"/>
      <c r="AZ3578" s="8"/>
      <c r="BA3578" s="8"/>
      <c r="BB3578" s="8"/>
      <c r="BC3578" s="8"/>
      <c r="BD3578" s="8"/>
      <c r="BE3578" s="8"/>
      <c r="BF3578" s="8"/>
      <c r="BG3578" s="8">
        <v>217.21</v>
      </c>
      <c r="BH3578" s="9">
        <f t="shared" si="495"/>
        <v>5041.49</v>
      </c>
      <c r="BI3578" s="9">
        <f t="shared" si="496"/>
        <v>13.56</v>
      </c>
      <c r="BJ3578" s="9">
        <f t="shared" si="497"/>
        <v>15.13</v>
      </c>
      <c r="BK3578" s="9">
        <f t="shared" si="498"/>
        <v>63.99</v>
      </c>
      <c r="BL3578" s="9">
        <f t="shared" si="499"/>
        <v>0</v>
      </c>
      <c r="BM3578" s="9">
        <f t="shared" si="500"/>
        <v>12.6</v>
      </c>
      <c r="BN3578" s="9">
        <f t="shared" si="501"/>
        <v>2867.91</v>
      </c>
      <c r="BO3578" s="9">
        <f t="shared" si="502"/>
        <v>6.29</v>
      </c>
      <c r="BP3578" s="9">
        <f t="shared" si="503"/>
        <v>0</v>
      </c>
    </row>
    <row r="3579" spans="1:68">
      <c r="A3579" s="6">
        <v>45202</v>
      </c>
      <c r="B3579" s="7">
        <v>3083</v>
      </c>
      <c r="C3579" s="8"/>
      <c r="D3579" s="8">
        <v>1077.25</v>
      </c>
      <c r="E3579" s="8"/>
      <c r="F3579" s="8"/>
      <c r="G3579" s="8"/>
      <c r="H3579" s="8"/>
      <c r="I3579" s="8">
        <v>2513.02</v>
      </c>
      <c r="J3579" s="8"/>
      <c r="K3579" s="8"/>
      <c r="L3579" s="8"/>
      <c r="M3579" s="8"/>
      <c r="N3579" s="8">
        <v>23.4</v>
      </c>
      <c r="O3579" s="8"/>
      <c r="P3579" s="8"/>
      <c r="Q3579" s="11"/>
      <c r="R3579" s="11"/>
      <c r="S3579" s="8">
        <v>2.5099999999999998</v>
      </c>
      <c r="T3579" s="8"/>
      <c r="U3579" s="8"/>
      <c r="V3579" s="8"/>
      <c r="W3579" s="8">
        <v>28.79</v>
      </c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>
        <v>14.34</v>
      </c>
      <c r="AN3579" s="8">
        <f>1906*26.65/1000</f>
        <v>50.794899999999991</v>
      </c>
      <c r="AO3579" s="8"/>
      <c r="AP3579" s="11"/>
      <c r="AQ3579" s="8"/>
      <c r="AR3579" s="8">
        <f>2453*26.65/1000</f>
        <v>65.372450000000001</v>
      </c>
      <c r="AS3579" s="8"/>
      <c r="AT3579" s="8">
        <v>1691.57</v>
      </c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>
        <v>134.07</v>
      </c>
      <c r="BH3579" s="9">
        <f t="shared" si="495"/>
        <v>3590.27</v>
      </c>
      <c r="BI3579" s="9">
        <f t="shared" si="496"/>
        <v>23.4</v>
      </c>
      <c r="BJ3579" s="9">
        <f t="shared" si="497"/>
        <v>2.5099999999999998</v>
      </c>
      <c r="BK3579" s="9">
        <f t="shared" si="498"/>
        <v>28.79</v>
      </c>
      <c r="BL3579" s="9">
        <f t="shared" si="499"/>
        <v>0</v>
      </c>
      <c r="BM3579" s="9">
        <f t="shared" si="500"/>
        <v>130.50734999999997</v>
      </c>
      <c r="BN3579" s="9">
        <f t="shared" si="501"/>
        <v>1691.57</v>
      </c>
      <c r="BO3579" s="9">
        <f t="shared" si="502"/>
        <v>0</v>
      </c>
      <c r="BP3579" s="9">
        <f t="shared" si="503"/>
        <v>0</v>
      </c>
    </row>
    <row r="3580" spans="1:68">
      <c r="A3580" s="6">
        <v>45202</v>
      </c>
      <c r="B3580" s="7">
        <v>3025</v>
      </c>
      <c r="C3580" s="8"/>
      <c r="D3580" s="8">
        <v>124.44</v>
      </c>
      <c r="E3580" s="8"/>
      <c r="F3580" s="8"/>
      <c r="G3580" s="8"/>
      <c r="H3580" s="8"/>
      <c r="I3580" s="8">
        <v>701.67</v>
      </c>
      <c r="J3580" s="8"/>
      <c r="K3580" s="8"/>
      <c r="L3580" s="8"/>
      <c r="M3580" s="8"/>
      <c r="N3580" s="8">
        <v>4.62</v>
      </c>
      <c r="O3580" s="8"/>
      <c r="P3580" s="8"/>
      <c r="Q3580" s="11"/>
      <c r="R3580" s="11"/>
      <c r="S3580" s="8">
        <v>1.32</v>
      </c>
      <c r="T3580" s="8"/>
      <c r="U3580" s="8"/>
      <c r="V3580" s="8"/>
      <c r="W3580" s="8">
        <v>7.46</v>
      </c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>
        <v>8.1999999999999993</v>
      </c>
      <c r="AN3580" s="8">
        <f>711*8.25/1000</f>
        <v>5.8657500000000002</v>
      </c>
      <c r="AO3580" s="8"/>
      <c r="AP3580" s="11"/>
      <c r="AQ3580" s="8"/>
      <c r="AR3580" s="8"/>
      <c r="AS3580" s="8">
        <f>3307*8.25/1000</f>
        <v>27.28275</v>
      </c>
      <c r="AT3580" s="8">
        <v>284.85000000000002</v>
      </c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>
        <v>18.920000000000002</v>
      </c>
      <c r="BH3580" s="9">
        <f t="shared" si="495"/>
        <v>826.1099999999999</v>
      </c>
      <c r="BI3580" s="9">
        <f t="shared" si="496"/>
        <v>4.62</v>
      </c>
      <c r="BJ3580" s="9">
        <f t="shared" si="497"/>
        <v>1.32</v>
      </c>
      <c r="BK3580" s="9">
        <f t="shared" si="498"/>
        <v>7.46</v>
      </c>
      <c r="BL3580" s="9">
        <f t="shared" si="499"/>
        <v>0</v>
      </c>
      <c r="BM3580" s="9">
        <f t="shared" si="500"/>
        <v>41.348500000000001</v>
      </c>
      <c r="BN3580" s="9">
        <f t="shared" si="501"/>
        <v>284.85000000000002</v>
      </c>
      <c r="BO3580" s="9">
        <f t="shared" si="502"/>
        <v>0</v>
      </c>
      <c r="BP3580" s="9">
        <f t="shared" si="503"/>
        <v>0</v>
      </c>
    </row>
    <row r="3581" spans="1:68">
      <c r="A3581" s="6">
        <v>45202</v>
      </c>
      <c r="B3581" s="7">
        <v>3023</v>
      </c>
      <c r="C3581" s="8"/>
      <c r="D3581" s="8">
        <v>888.59</v>
      </c>
      <c r="E3581" s="8"/>
      <c r="F3581" s="8"/>
      <c r="G3581" s="8"/>
      <c r="H3581" s="8"/>
      <c r="I3581" s="8">
        <v>482.94</v>
      </c>
      <c r="J3581" s="8"/>
      <c r="K3581" s="8"/>
      <c r="L3581" s="8"/>
      <c r="M3581" s="8"/>
      <c r="N3581" s="8">
        <v>7.68</v>
      </c>
      <c r="O3581" s="8"/>
      <c r="P3581" s="8"/>
      <c r="Q3581" s="11"/>
      <c r="R3581" s="11"/>
      <c r="S3581" s="8">
        <v>2.2000000000000002</v>
      </c>
      <c r="T3581" s="8"/>
      <c r="U3581" s="8"/>
      <c r="V3581" s="8"/>
      <c r="W3581" s="8">
        <v>12.41</v>
      </c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>
        <v>13.65</v>
      </c>
      <c r="AN3581" s="8">
        <f>1037*9.47/1000</f>
        <v>9.8203900000000015</v>
      </c>
      <c r="AO3581" s="8"/>
      <c r="AP3581" s="11"/>
      <c r="AQ3581" s="8"/>
      <c r="AR3581" s="8"/>
      <c r="AS3581" s="8">
        <f>4788*9.47/1000</f>
        <v>45.342359999999999</v>
      </c>
      <c r="AT3581" s="8">
        <v>561.89</v>
      </c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>
        <v>42.52</v>
      </c>
      <c r="BH3581" s="9">
        <f t="shared" si="495"/>
        <v>1371.53</v>
      </c>
      <c r="BI3581" s="9">
        <f t="shared" si="496"/>
        <v>7.68</v>
      </c>
      <c r="BJ3581" s="9">
        <f t="shared" si="497"/>
        <v>2.2000000000000002</v>
      </c>
      <c r="BK3581" s="9">
        <f t="shared" si="498"/>
        <v>12.41</v>
      </c>
      <c r="BL3581" s="9">
        <f t="shared" si="499"/>
        <v>0</v>
      </c>
      <c r="BM3581" s="9">
        <f t="shared" si="500"/>
        <v>68.812749999999994</v>
      </c>
      <c r="BN3581" s="9">
        <f t="shared" si="501"/>
        <v>561.89</v>
      </c>
      <c r="BO3581" s="9">
        <f t="shared" si="502"/>
        <v>0</v>
      </c>
      <c r="BP3581" s="9">
        <f t="shared" si="503"/>
        <v>0</v>
      </c>
    </row>
    <row r="3582" spans="1:68">
      <c r="A3582" s="6">
        <v>45202</v>
      </c>
      <c r="B3582" s="7">
        <v>3022</v>
      </c>
      <c r="C3582" s="8"/>
      <c r="D3582" s="8">
        <v>565.15</v>
      </c>
      <c r="E3582" s="8"/>
      <c r="F3582" s="8"/>
      <c r="G3582" s="8"/>
      <c r="H3582" s="8"/>
      <c r="I3582" s="8">
        <v>460.62</v>
      </c>
      <c r="J3582" s="8"/>
      <c r="K3582" s="8"/>
      <c r="L3582" s="8"/>
      <c r="M3582" s="8"/>
      <c r="N3582" s="8">
        <v>5.14</v>
      </c>
      <c r="O3582" s="8"/>
      <c r="P3582" s="8"/>
      <c r="Q3582" s="11"/>
      <c r="R3582" s="11"/>
      <c r="S3582" s="8">
        <v>1.84</v>
      </c>
      <c r="T3582" s="8"/>
      <c r="U3582" s="8"/>
      <c r="V3582" s="8"/>
      <c r="W3582" s="8">
        <v>10.24</v>
      </c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>
        <v>13.27</v>
      </c>
      <c r="AN3582" s="8"/>
      <c r="AO3582" s="8"/>
      <c r="AP3582" s="11"/>
      <c r="AQ3582" s="8"/>
      <c r="AR3582" s="8"/>
      <c r="AS3582" s="8">
        <f>3885*9.32/1000</f>
        <v>36.208200000000005</v>
      </c>
      <c r="AT3582" s="8">
        <v>479.53</v>
      </c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>
        <v>36.92</v>
      </c>
      <c r="BH3582" s="9">
        <f t="shared" si="495"/>
        <v>1025.77</v>
      </c>
      <c r="BI3582" s="9">
        <f t="shared" si="496"/>
        <v>5.14</v>
      </c>
      <c r="BJ3582" s="9">
        <f t="shared" si="497"/>
        <v>1.84</v>
      </c>
      <c r="BK3582" s="9">
        <f t="shared" si="498"/>
        <v>10.24</v>
      </c>
      <c r="BL3582" s="9">
        <f t="shared" si="499"/>
        <v>0</v>
      </c>
      <c r="BM3582" s="9">
        <f t="shared" si="500"/>
        <v>49.478200000000001</v>
      </c>
      <c r="BN3582" s="9">
        <f t="shared" si="501"/>
        <v>479.53</v>
      </c>
      <c r="BO3582" s="9">
        <f t="shared" si="502"/>
        <v>0</v>
      </c>
      <c r="BP3582" s="9">
        <f t="shared" si="503"/>
        <v>0</v>
      </c>
    </row>
    <row r="3583" spans="1:68">
      <c r="A3583" s="6">
        <v>45202</v>
      </c>
      <c r="B3583" s="7">
        <v>3601</v>
      </c>
      <c r="C3583" s="8">
        <v>291.22000000000003</v>
      </c>
      <c r="D3583" s="8"/>
      <c r="E3583" s="8"/>
      <c r="F3583" s="8"/>
      <c r="G3583" s="8">
        <v>437.4</v>
      </c>
      <c r="H3583" s="8"/>
      <c r="I3583" s="8"/>
      <c r="J3583" s="8"/>
      <c r="K3583" s="8"/>
      <c r="L3583" s="8"/>
      <c r="M3583" s="8">
        <v>0.88</v>
      </c>
      <c r="N3583" s="8"/>
      <c r="O3583" s="8"/>
      <c r="P3583" s="8"/>
      <c r="Q3583" s="11"/>
      <c r="R3583" s="11"/>
      <c r="S3583" s="8">
        <v>3.5</v>
      </c>
      <c r="T3583" s="8"/>
      <c r="U3583" s="8">
        <v>4.38</v>
      </c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11"/>
      <c r="AQ3583" s="8"/>
      <c r="AR3583" s="8"/>
      <c r="AS3583" s="8"/>
      <c r="AT3583" s="8">
        <v>357.65</v>
      </c>
      <c r="AU3583" s="8"/>
      <c r="AV3583" s="8"/>
      <c r="AW3583" s="8">
        <v>22.2</v>
      </c>
      <c r="AX3583" s="8"/>
      <c r="AY3583" s="8"/>
      <c r="AZ3583" s="8"/>
      <c r="BA3583" s="8"/>
      <c r="BB3583" s="8"/>
      <c r="BC3583" s="8"/>
      <c r="BD3583" s="8"/>
      <c r="BE3583" s="8"/>
      <c r="BF3583" s="8">
        <v>40.9</v>
      </c>
      <c r="BG3583" s="8">
        <v>26.06</v>
      </c>
      <c r="BH3583" s="9">
        <f t="shared" si="495"/>
        <v>728.62</v>
      </c>
      <c r="BI3583" s="9">
        <f t="shared" si="496"/>
        <v>0.88</v>
      </c>
      <c r="BJ3583" s="9">
        <f t="shared" si="497"/>
        <v>3.5</v>
      </c>
      <c r="BK3583" s="9">
        <f t="shared" si="498"/>
        <v>4.38</v>
      </c>
      <c r="BL3583" s="9">
        <f t="shared" si="499"/>
        <v>0</v>
      </c>
      <c r="BM3583" s="9">
        <f t="shared" si="500"/>
        <v>0</v>
      </c>
      <c r="BN3583" s="9">
        <f t="shared" si="501"/>
        <v>357.65</v>
      </c>
      <c r="BO3583" s="9">
        <f t="shared" si="502"/>
        <v>22.2</v>
      </c>
      <c r="BP3583" s="9">
        <f t="shared" si="503"/>
        <v>40.9</v>
      </c>
    </row>
    <row r="3584" spans="1:68">
      <c r="A3584" s="6">
        <v>45202</v>
      </c>
      <c r="B3584" s="7">
        <v>3602</v>
      </c>
      <c r="C3584" s="8">
        <v>357.40999999999997</v>
      </c>
      <c r="D3584" s="8"/>
      <c r="E3584" s="8"/>
      <c r="F3584" s="8"/>
      <c r="G3584" s="8">
        <v>537.38</v>
      </c>
      <c r="H3584" s="8"/>
      <c r="I3584" s="8"/>
      <c r="J3584" s="8"/>
      <c r="K3584" s="8"/>
      <c r="L3584" s="8"/>
      <c r="M3584" s="8">
        <v>1.07</v>
      </c>
      <c r="N3584" s="8"/>
      <c r="O3584" s="8"/>
      <c r="P3584" s="8"/>
      <c r="Q3584" s="11"/>
      <c r="R3584" s="11"/>
      <c r="S3584" s="8">
        <v>4.3100000000000005</v>
      </c>
      <c r="T3584" s="8"/>
      <c r="U3584" s="8">
        <v>7.21</v>
      </c>
      <c r="V3584" s="8">
        <v>8.8371200000000005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11"/>
      <c r="AQ3584" s="8"/>
      <c r="AR3584" s="8"/>
      <c r="AS3584" s="8"/>
      <c r="AT3584" s="8">
        <v>362.23</v>
      </c>
      <c r="AU3584" s="8"/>
      <c r="AV3584" s="8"/>
      <c r="AW3584" s="8">
        <v>23.209999999999997</v>
      </c>
      <c r="AX3584" s="8"/>
      <c r="AY3584" s="8"/>
      <c r="AZ3584" s="8"/>
      <c r="BA3584" s="8"/>
      <c r="BB3584" s="8"/>
      <c r="BC3584" s="8"/>
      <c r="BD3584" s="8"/>
      <c r="BE3584" s="8"/>
      <c r="BF3584" s="8">
        <v>28.779999999999998</v>
      </c>
      <c r="BG3584" s="8">
        <v>27.019999999999996</v>
      </c>
      <c r="BH3584" s="9">
        <f t="shared" si="495"/>
        <v>894.79</v>
      </c>
      <c r="BI3584" s="9">
        <f t="shared" si="496"/>
        <v>1.07</v>
      </c>
      <c r="BJ3584" s="9">
        <f t="shared" si="497"/>
        <v>4.3100000000000005</v>
      </c>
      <c r="BK3584" s="9">
        <f t="shared" si="498"/>
        <v>16.04712</v>
      </c>
      <c r="BL3584" s="9">
        <f t="shared" si="499"/>
        <v>0</v>
      </c>
      <c r="BM3584" s="9">
        <f t="shared" si="500"/>
        <v>0</v>
      </c>
      <c r="BN3584" s="9">
        <f t="shared" si="501"/>
        <v>362.23</v>
      </c>
      <c r="BO3584" s="9">
        <f t="shared" si="502"/>
        <v>23.209999999999997</v>
      </c>
      <c r="BP3584" s="9">
        <f t="shared" si="503"/>
        <v>28.779999999999998</v>
      </c>
    </row>
    <row r="3585" spans="1:68">
      <c r="A3585" s="6">
        <v>45202</v>
      </c>
      <c r="B3585" s="7">
        <v>3206</v>
      </c>
      <c r="C3585" s="8">
        <v>141.41</v>
      </c>
      <c r="D3585" s="8">
        <v>252.82</v>
      </c>
      <c r="E3585" s="8">
        <v>167.43</v>
      </c>
      <c r="F3585" s="8"/>
      <c r="G3585" s="8"/>
      <c r="H3585" s="8"/>
      <c r="I3585" s="8"/>
      <c r="J3585" s="8"/>
      <c r="K3585" s="8"/>
      <c r="L3585" s="8"/>
      <c r="M3585" s="8"/>
      <c r="N3585" s="8"/>
      <c r="O3585" s="8">
        <v>1.1299999999999999</v>
      </c>
      <c r="P3585" s="8"/>
      <c r="Q3585" s="11"/>
      <c r="R3585" s="11"/>
      <c r="S3585" s="8">
        <v>2.8</v>
      </c>
      <c r="T3585" s="8"/>
      <c r="U3585" s="8">
        <v>1.97</v>
      </c>
      <c r="V3585" s="8"/>
      <c r="W3585" s="8"/>
      <c r="X3585" s="8"/>
      <c r="Y3585" s="8"/>
      <c r="Z3585" s="8">
        <v>33.68</v>
      </c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11"/>
      <c r="AQ3585" s="8"/>
      <c r="AR3585" s="8"/>
      <c r="AS3585" s="8"/>
      <c r="AT3585" s="8">
        <v>97.7</v>
      </c>
      <c r="AU3585" s="8">
        <v>48.95</v>
      </c>
      <c r="AV3585" s="8"/>
      <c r="AW3585" s="8">
        <v>2.13</v>
      </c>
      <c r="AX3585" s="8"/>
      <c r="AY3585" s="8"/>
      <c r="AZ3585" s="8"/>
      <c r="BA3585" s="8"/>
      <c r="BB3585" s="8"/>
      <c r="BC3585" s="8"/>
      <c r="BD3585" s="8"/>
      <c r="BE3585" s="8"/>
      <c r="BF3585" s="8"/>
      <c r="BG3585" s="8">
        <v>9.7899999999999991</v>
      </c>
      <c r="BH3585" s="9">
        <f t="shared" si="495"/>
        <v>561.66000000000008</v>
      </c>
      <c r="BI3585" s="9">
        <f t="shared" si="496"/>
        <v>1.1299999999999999</v>
      </c>
      <c r="BJ3585" s="9">
        <f t="shared" si="497"/>
        <v>2.8</v>
      </c>
      <c r="BK3585" s="9">
        <f t="shared" si="498"/>
        <v>1.97</v>
      </c>
      <c r="BL3585" s="9">
        <f t="shared" si="499"/>
        <v>33.68</v>
      </c>
      <c r="BM3585" s="9">
        <f t="shared" si="500"/>
        <v>0</v>
      </c>
      <c r="BN3585" s="9">
        <f t="shared" si="501"/>
        <v>146.65</v>
      </c>
      <c r="BO3585" s="9">
        <f t="shared" si="502"/>
        <v>2.13</v>
      </c>
      <c r="BP3585" s="9">
        <f t="shared" si="503"/>
        <v>0</v>
      </c>
    </row>
    <row r="3586" spans="1:68">
      <c r="A3586" s="6">
        <v>45203</v>
      </c>
      <c r="B3586" s="7">
        <v>3153</v>
      </c>
      <c r="C3586" s="8">
        <v>779.66</v>
      </c>
      <c r="D3586" s="8"/>
      <c r="E3586" s="8"/>
      <c r="F3586" s="8"/>
      <c r="G3586" s="8"/>
      <c r="H3586" s="8"/>
      <c r="I3586" s="8"/>
      <c r="J3586" s="8"/>
      <c r="K3586" s="8"/>
      <c r="L3586" s="8"/>
      <c r="M3586" s="8">
        <v>1.41</v>
      </c>
      <c r="N3586" s="8">
        <v>1.4</v>
      </c>
      <c r="O3586" s="8"/>
      <c r="P3586" s="8"/>
      <c r="Q3586" s="11"/>
      <c r="R3586" s="11"/>
      <c r="S3586" s="8">
        <v>3.21</v>
      </c>
      <c r="T3586" s="8"/>
      <c r="U3586" s="8">
        <v>7.83</v>
      </c>
      <c r="V3586" s="8"/>
      <c r="W3586" s="8"/>
      <c r="X3586" s="8"/>
      <c r="Y3586" s="8"/>
      <c r="Z3586" s="8"/>
      <c r="AA3586" s="8"/>
      <c r="AB3586" s="8"/>
      <c r="AC3586" s="8">
        <v>3.13</v>
      </c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11"/>
      <c r="AQ3586" s="8"/>
      <c r="AR3586" s="8"/>
      <c r="AS3586" s="8"/>
      <c r="AT3586" s="8">
        <v>346.6</v>
      </c>
      <c r="AU3586" s="8"/>
      <c r="AV3586" s="8"/>
      <c r="AW3586" s="8"/>
      <c r="AX3586" s="8"/>
      <c r="AY3586" s="8"/>
      <c r="AZ3586" s="8"/>
      <c r="BA3586" s="8"/>
      <c r="BB3586" s="8"/>
      <c r="BC3586" s="8">
        <v>0.78</v>
      </c>
      <c r="BD3586" s="8"/>
      <c r="BE3586" s="8"/>
      <c r="BF3586" s="8"/>
      <c r="BG3586" s="8">
        <v>25.41</v>
      </c>
      <c r="BH3586" s="9">
        <f t="shared" si="495"/>
        <v>779.66</v>
      </c>
      <c r="BI3586" s="9">
        <f t="shared" si="496"/>
        <v>2.8099999999999996</v>
      </c>
      <c r="BJ3586" s="9">
        <f t="shared" si="497"/>
        <v>3.21</v>
      </c>
      <c r="BK3586" s="9">
        <f t="shared" si="498"/>
        <v>7.83</v>
      </c>
      <c r="BL3586" s="9">
        <f t="shared" si="499"/>
        <v>0</v>
      </c>
      <c r="BM3586" s="9">
        <f t="shared" si="500"/>
        <v>3.13</v>
      </c>
      <c r="BN3586" s="9">
        <f t="shared" si="501"/>
        <v>346.6</v>
      </c>
      <c r="BO3586" s="9">
        <f t="shared" si="502"/>
        <v>0.78</v>
      </c>
      <c r="BP3586" s="9">
        <f t="shared" si="503"/>
        <v>0</v>
      </c>
    </row>
    <row r="3587" spans="1:68">
      <c r="A3587" s="6">
        <v>45203</v>
      </c>
      <c r="B3587" s="7">
        <v>3139</v>
      </c>
      <c r="C3587" s="8">
        <v>1807.72</v>
      </c>
      <c r="D3587" s="8"/>
      <c r="E3587" s="8"/>
      <c r="F3587" s="8"/>
      <c r="G3587" s="8"/>
      <c r="H3587" s="8">
        <v>750.37</v>
      </c>
      <c r="I3587" s="8"/>
      <c r="J3587" s="8"/>
      <c r="K3587" s="8"/>
      <c r="L3587" s="8"/>
      <c r="M3587" s="8">
        <v>4.21</v>
      </c>
      <c r="N3587" s="8"/>
      <c r="O3587" s="8"/>
      <c r="P3587" s="8"/>
      <c r="Q3587" s="11"/>
      <c r="R3587" s="11"/>
      <c r="S3587" s="8">
        <v>8.01</v>
      </c>
      <c r="T3587" s="8"/>
      <c r="U3587" s="8">
        <v>26.7</v>
      </c>
      <c r="V3587" s="8"/>
      <c r="W3587" s="8"/>
      <c r="X3587" s="8"/>
      <c r="Y3587" s="8"/>
      <c r="Z3587" s="8"/>
      <c r="AA3587" s="8"/>
      <c r="AB3587" s="8"/>
      <c r="AC3587" s="8">
        <v>8.9</v>
      </c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11"/>
      <c r="AQ3587" s="8"/>
      <c r="AR3587" s="8"/>
      <c r="AS3587" s="8"/>
      <c r="AT3587" s="8">
        <v>1318.47</v>
      </c>
      <c r="AU3587" s="8"/>
      <c r="AV3587" s="8">
        <v>44.49</v>
      </c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>
        <v>95.69</v>
      </c>
      <c r="BH3587" s="9">
        <f t="shared" si="495"/>
        <v>2558.09</v>
      </c>
      <c r="BI3587" s="9">
        <f t="shared" si="496"/>
        <v>4.21</v>
      </c>
      <c r="BJ3587" s="9">
        <f t="shared" si="497"/>
        <v>8.01</v>
      </c>
      <c r="BK3587" s="9">
        <f t="shared" si="498"/>
        <v>26.7</v>
      </c>
      <c r="BL3587" s="9">
        <f t="shared" si="499"/>
        <v>0</v>
      </c>
      <c r="BM3587" s="9">
        <f t="shared" si="500"/>
        <v>8.9</v>
      </c>
      <c r="BN3587" s="9">
        <f t="shared" si="501"/>
        <v>1318.47</v>
      </c>
      <c r="BO3587" s="9">
        <f t="shared" si="502"/>
        <v>44.49</v>
      </c>
      <c r="BP3587" s="9">
        <f t="shared" si="503"/>
        <v>0</v>
      </c>
    </row>
    <row r="3588" spans="1:68">
      <c r="A3588" s="6">
        <v>45203</v>
      </c>
      <c r="B3588" s="7">
        <v>3602</v>
      </c>
      <c r="C3588" s="8">
        <v>563.38</v>
      </c>
      <c r="D3588" s="8"/>
      <c r="E3588" s="8"/>
      <c r="F3588" s="8"/>
      <c r="G3588" s="8">
        <v>844.33</v>
      </c>
      <c r="H3588" s="8"/>
      <c r="I3588" s="8"/>
      <c r="J3588" s="8"/>
      <c r="K3588" s="8"/>
      <c r="L3588" s="8"/>
      <c r="M3588" s="8">
        <v>1.69</v>
      </c>
      <c r="N3588" s="8"/>
      <c r="O3588" s="8"/>
      <c r="P3588" s="8"/>
      <c r="Q3588" s="11"/>
      <c r="R3588" s="11"/>
      <c r="S3588" s="8">
        <v>6.76</v>
      </c>
      <c r="T3588" s="8"/>
      <c r="U3588" s="8">
        <v>11.27</v>
      </c>
      <c r="V3588" s="8">
        <f>896*16.12/1000</f>
        <v>14.443520000000001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11"/>
      <c r="AQ3588" s="8"/>
      <c r="AR3588" s="8"/>
      <c r="AS3588" s="8"/>
      <c r="AT3588" s="8">
        <v>568.96</v>
      </c>
      <c r="AU3588" s="8"/>
      <c r="AV3588" s="8"/>
      <c r="AW3588" s="8">
        <v>36.44</v>
      </c>
      <c r="AX3588" s="8"/>
      <c r="AY3588" s="8"/>
      <c r="AZ3588" s="8"/>
      <c r="BA3588" s="8"/>
      <c r="BB3588" s="8"/>
      <c r="BC3588" s="8"/>
      <c r="BD3588" s="8"/>
      <c r="BE3588" s="8"/>
      <c r="BF3588" s="8">
        <v>45.14</v>
      </c>
      <c r="BG3588" s="8">
        <v>42.44</v>
      </c>
      <c r="BH3588" s="9">
        <f t="shared" ref="BH3588:BH3651" si="504">SUM(C3588:L3588)</f>
        <v>1407.71</v>
      </c>
      <c r="BI3588" s="9">
        <f t="shared" ref="BI3588:BI3651" si="505">SUM(M3588:R3588)</f>
        <v>1.69</v>
      </c>
      <c r="BJ3588" s="9">
        <f t="shared" ref="BJ3588:BJ3651" si="506">SUM(S3588)</f>
        <v>6.76</v>
      </c>
      <c r="BK3588" s="9">
        <f t="shared" ref="BK3588:BK3651" si="507">SUM(T3588:Y3588)</f>
        <v>25.713520000000003</v>
      </c>
      <c r="BL3588" s="9">
        <f t="shared" ref="BL3588:BL3651" si="508">SUM(Z3588:AA3588)</f>
        <v>0</v>
      </c>
      <c r="BM3588" s="9">
        <f t="shared" ref="BM3588:BM3651" si="509">SUM(AB3588:AS3588)</f>
        <v>0</v>
      </c>
      <c r="BN3588" s="9">
        <f t="shared" ref="BN3588:BN3651" si="510">SUM(AT3588:AU3588)</f>
        <v>568.96</v>
      </c>
      <c r="BO3588" s="9">
        <f t="shared" ref="BO3588:BO3651" si="511">SUM(AV3588:BE3588)</f>
        <v>36.44</v>
      </c>
      <c r="BP3588" s="9">
        <f t="shared" ref="BP3588:BP3651" si="512">SUM(BF3588)</f>
        <v>45.14</v>
      </c>
    </row>
    <row r="3589" spans="1:68">
      <c r="A3589" s="6">
        <v>45203</v>
      </c>
      <c r="B3589" s="7">
        <v>3701</v>
      </c>
      <c r="C3589" s="8">
        <f>31.18+362.17</f>
        <v>393.35</v>
      </c>
      <c r="D3589" s="8"/>
      <c r="E3589" s="8"/>
      <c r="F3589" s="8"/>
      <c r="G3589" s="8"/>
      <c r="H3589" s="8"/>
      <c r="I3589" s="8"/>
      <c r="J3589" s="8">
        <f>49200*13.26/1000</f>
        <v>652.39200000000005</v>
      </c>
      <c r="K3589" s="8"/>
      <c r="L3589" s="8"/>
      <c r="M3589" s="8"/>
      <c r="N3589" s="8">
        <f>2.25+0.19</f>
        <v>2.44</v>
      </c>
      <c r="O3589" s="8"/>
      <c r="P3589" s="8"/>
      <c r="Q3589" s="11"/>
      <c r="R3589" s="11"/>
      <c r="S3589" s="8">
        <f>2.64+0.23</f>
        <v>2.87</v>
      </c>
      <c r="T3589" s="8"/>
      <c r="U3589" s="8">
        <f>5.87+0.5</f>
        <v>6.37</v>
      </c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>
        <f>19.57+1.69</f>
        <v>21.26</v>
      </c>
      <c r="AH3589" s="8"/>
      <c r="AI3589" s="8"/>
      <c r="AJ3589" s="8">
        <f>2421*13.26/1000</f>
        <v>32.102460000000001</v>
      </c>
      <c r="AK3589" s="8"/>
      <c r="AL3589" s="8"/>
      <c r="AM3589" s="8"/>
      <c r="AN3589" s="8"/>
      <c r="AO3589" s="8"/>
      <c r="AP3589" s="11"/>
      <c r="AQ3589" s="8"/>
      <c r="AR3589" s="8"/>
      <c r="AS3589" s="8"/>
      <c r="AT3589" s="8"/>
      <c r="AU3589" s="8">
        <f>345.57+29.49</f>
        <v>375.06</v>
      </c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>
        <f>23.53+2.02</f>
        <v>25.55</v>
      </c>
      <c r="BH3589" s="9">
        <f t="shared" si="504"/>
        <v>1045.7420000000002</v>
      </c>
      <c r="BI3589" s="9">
        <f t="shared" si="505"/>
        <v>2.44</v>
      </c>
      <c r="BJ3589" s="9">
        <f t="shared" si="506"/>
        <v>2.87</v>
      </c>
      <c r="BK3589" s="9">
        <f t="shared" si="507"/>
        <v>6.37</v>
      </c>
      <c r="BL3589" s="9">
        <f t="shared" si="508"/>
        <v>0</v>
      </c>
      <c r="BM3589" s="9">
        <f t="shared" si="509"/>
        <v>53.362459999999999</v>
      </c>
      <c r="BN3589" s="9">
        <f t="shared" si="510"/>
        <v>375.06</v>
      </c>
      <c r="BO3589" s="9">
        <f t="shared" si="511"/>
        <v>0</v>
      </c>
      <c r="BP3589" s="9">
        <f t="shared" si="512"/>
        <v>0</v>
      </c>
    </row>
    <row r="3590" spans="1:68">
      <c r="A3590" s="6">
        <v>45203</v>
      </c>
      <c r="B3590" s="7">
        <v>3141</v>
      </c>
      <c r="C3590" s="8">
        <v>2387.73</v>
      </c>
      <c r="D3590" s="8">
        <v>421.2</v>
      </c>
      <c r="E3590" s="8"/>
      <c r="F3590" s="8"/>
      <c r="G3590" s="8"/>
      <c r="H3590" s="8"/>
      <c r="I3590" s="8"/>
      <c r="J3590" s="8"/>
      <c r="K3590" s="8"/>
      <c r="L3590" s="8"/>
      <c r="M3590" s="8">
        <v>7.92</v>
      </c>
      <c r="N3590" s="8"/>
      <c r="O3590" s="8"/>
      <c r="P3590" s="8"/>
      <c r="Q3590" s="11"/>
      <c r="R3590" s="11"/>
      <c r="S3590" s="8">
        <v>13.22</v>
      </c>
      <c r="T3590" s="8"/>
      <c r="U3590" s="8">
        <v>42.18</v>
      </c>
      <c r="V3590" s="8"/>
      <c r="W3590" s="8"/>
      <c r="X3590" s="8"/>
      <c r="Y3590" s="8"/>
      <c r="Z3590" s="8"/>
      <c r="AA3590" s="8"/>
      <c r="AB3590" s="8"/>
      <c r="AC3590" s="8">
        <v>11.25</v>
      </c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11"/>
      <c r="AQ3590" s="8"/>
      <c r="AR3590" s="8"/>
      <c r="AS3590" s="8"/>
      <c r="AT3590" s="8">
        <v>1860.34</v>
      </c>
      <c r="AU3590" s="8"/>
      <c r="AV3590" s="8"/>
      <c r="AW3590" s="8"/>
      <c r="AX3590" s="8"/>
      <c r="AY3590" s="8"/>
      <c r="AZ3590" s="8"/>
      <c r="BA3590" s="8">
        <v>64.42</v>
      </c>
      <c r="BB3590" s="8"/>
      <c r="BC3590" s="8"/>
      <c r="BD3590" s="8"/>
      <c r="BE3590" s="8"/>
      <c r="BF3590" s="8">
        <v>196.9</v>
      </c>
      <c r="BG3590" s="8">
        <v>146.1</v>
      </c>
      <c r="BH3590" s="9">
        <f t="shared" si="504"/>
        <v>2808.93</v>
      </c>
      <c r="BI3590" s="9">
        <f t="shared" si="505"/>
        <v>7.92</v>
      </c>
      <c r="BJ3590" s="9">
        <f t="shared" si="506"/>
        <v>13.22</v>
      </c>
      <c r="BK3590" s="9">
        <f t="shared" si="507"/>
        <v>42.18</v>
      </c>
      <c r="BL3590" s="9">
        <f t="shared" si="508"/>
        <v>0</v>
      </c>
      <c r="BM3590" s="9">
        <f t="shared" si="509"/>
        <v>11.25</v>
      </c>
      <c r="BN3590" s="9">
        <f t="shared" si="510"/>
        <v>1860.34</v>
      </c>
      <c r="BO3590" s="9">
        <f t="shared" si="511"/>
        <v>64.42</v>
      </c>
      <c r="BP3590" s="9">
        <f t="shared" si="512"/>
        <v>196.9</v>
      </c>
    </row>
    <row r="3591" spans="1:68">
      <c r="A3591" s="6">
        <v>45203</v>
      </c>
      <c r="B3591" s="7">
        <v>3106</v>
      </c>
      <c r="C3591" s="8">
        <v>4077.32</v>
      </c>
      <c r="D3591" s="8"/>
      <c r="E3591" s="8"/>
      <c r="F3591" s="8"/>
      <c r="G3591" s="8"/>
      <c r="H3591" s="8"/>
      <c r="I3591" s="8"/>
      <c r="J3591" s="8"/>
      <c r="K3591" s="8"/>
      <c r="L3591" s="8"/>
      <c r="M3591" s="8">
        <v>10.97</v>
      </c>
      <c r="N3591" s="8"/>
      <c r="O3591" s="8"/>
      <c r="P3591" s="8"/>
      <c r="Q3591" s="11"/>
      <c r="R3591" s="11"/>
      <c r="S3591" s="8">
        <v>12.27</v>
      </c>
      <c r="T3591" s="8"/>
      <c r="U3591" s="8">
        <v>51.89</v>
      </c>
      <c r="V3591" s="8"/>
      <c r="W3591" s="8"/>
      <c r="X3591" s="8"/>
      <c r="Y3591" s="8"/>
      <c r="Z3591" s="8"/>
      <c r="AA3591" s="8"/>
      <c r="AB3591" s="8"/>
      <c r="AC3591" s="8">
        <v>10.199999999999999</v>
      </c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11"/>
      <c r="AQ3591" s="8"/>
      <c r="AR3591" s="8"/>
      <c r="AS3591" s="8"/>
      <c r="AT3591" s="8">
        <v>2323.39</v>
      </c>
      <c r="AU3591" s="8"/>
      <c r="AV3591" s="8"/>
      <c r="AW3591" s="8"/>
      <c r="AX3591" s="8">
        <v>5.1100000000000003</v>
      </c>
      <c r="AY3591" s="8"/>
      <c r="AZ3591" s="8"/>
      <c r="BA3591" s="8"/>
      <c r="BB3591" s="8"/>
      <c r="BC3591" s="8"/>
      <c r="BD3591" s="8"/>
      <c r="BE3591" s="8"/>
      <c r="BF3591" s="8"/>
      <c r="BG3591" s="8">
        <v>175.54</v>
      </c>
      <c r="BH3591" s="9">
        <f t="shared" si="504"/>
        <v>4077.32</v>
      </c>
      <c r="BI3591" s="9">
        <f t="shared" si="505"/>
        <v>10.97</v>
      </c>
      <c r="BJ3591" s="9">
        <f t="shared" si="506"/>
        <v>12.27</v>
      </c>
      <c r="BK3591" s="9">
        <f t="shared" si="507"/>
        <v>51.89</v>
      </c>
      <c r="BL3591" s="9">
        <f t="shared" si="508"/>
        <v>0</v>
      </c>
      <c r="BM3591" s="9">
        <f t="shared" si="509"/>
        <v>10.199999999999999</v>
      </c>
      <c r="BN3591" s="9">
        <f t="shared" si="510"/>
        <v>2323.39</v>
      </c>
      <c r="BO3591" s="9">
        <f t="shared" si="511"/>
        <v>5.1100000000000003</v>
      </c>
      <c r="BP3591" s="9">
        <f t="shared" si="512"/>
        <v>0</v>
      </c>
    </row>
    <row r="3592" spans="1:68">
      <c r="A3592" s="6">
        <v>45203</v>
      </c>
      <c r="B3592" s="7">
        <v>3009</v>
      </c>
      <c r="C3592" s="8"/>
      <c r="D3592" s="8">
        <v>410.46</v>
      </c>
      <c r="E3592" s="8"/>
      <c r="F3592" s="8">
        <v>230.46</v>
      </c>
      <c r="G3592" s="8"/>
      <c r="H3592" s="8"/>
      <c r="I3592" s="8">
        <v>213.79</v>
      </c>
      <c r="J3592" s="8"/>
      <c r="K3592" s="8"/>
      <c r="L3592" s="8"/>
      <c r="M3592" s="8"/>
      <c r="N3592" s="8">
        <v>6.16</v>
      </c>
      <c r="O3592" s="8"/>
      <c r="P3592" s="8"/>
      <c r="Q3592" s="11"/>
      <c r="R3592" s="11"/>
      <c r="S3592" s="8">
        <v>0.51</v>
      </c>
      <c r="T3592" s="8"/>
      <c r="U3592" s="8"/>
      <c r="V3592" s="8"/>
      <c r="W3592" s="8">
        <v>6.93</v>
      </c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>
        <v>2.98</v>
      </c>
      <c r="AN3592" s="8">
        <f>1528*5.7/1000</f>
        <v>8.7096</v>
      </c>
      <c r="AO3592" s="8"/>
      <c r="AP3592" s="11"/>
      <c r="AQ3592" s="8"/>
      <c r="AR3592" s="8">
        <f>5263*5.7/1000</f>
        <v>29.999100000000002</v>
      </c>
      <c r="AS3592" s="8"/>
      <c r="AT3592" s="8">
        <v>322.48</v>
      </c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>
        <v>23.57</v>
      </c>
      <c r="BH3592" s="9">
        <f t="shared" si="504"/>
        <v>854.70999999999992</v>
      </c>
      <c r="BI3592" s="9">
        <f t="shared" si="505"/>
        <v>6.16</v>
      </c>
      <c r="BJ3592" s="9">
        <f t="shared" si="506"/>
        <v>0.51</v>
      </c>
      <c r="BK3592" s="9">
        <f t="shared" si="507"/>
        <v>6.93</v>
      </c>
      <c r="BL3592" s="9">
        <f t="shared" si="508"/>
        <v>0</v>
      </c>
      <c r="BM3592" s="9">
        <f t="shared" si="509"/>
        <v>41.688700000000004</v>
      </c>
      <c r="BN3592" s="9">
        <f t="shared" si="510"/>
        <v>322.48</v>
      </c>
      <c r="BO3592" s="9">
        <f t="shared" si="511"/>
        <v>0</v>
      </c>
      <c r="BP3592" s="9">
        <f t="shared" si="512"/>
        <v>0</v>
      </c>
    </row>
    <row r="3593" spans="1:68">
      <c r="A3593" s="6">
        <v>45203</v>
      </c>
      <c r="B3593" s="7">
        <v>3016</v>
      </c>
      <c r="C3593" s="8"/>
      <c r="D3593" s="8">
        <v>1626.82</v>
      </c>
      <c r="E3593" s="8"/>
      <c r="F3593" s="8"/>
      <c r="G3593" s="8"/>
      <c r="H3593" s="8"/>
      <c r="I3593" s="8">
        <v>1499.92</v>
      </c>
      <c r="J3593" s="8"/>
      <c r="K3593" s="8"/>
      <c r="L3593" s="8"/>
      <c r="M3593" s="8"/>
      <c r="N3593" s="8">
        <v>19.41</v>
      </c>
      <c r="O3593" s="8"/>
      <c r="P3593" s="8"/>
      <c r="Q3593" s="11"/>
      <c r="R3593" s="11"/>
      <c r="S3593" s="8">
        <v>2.1800000000000002</v>
      </c>
      <c r="T3593" s="8"/>
      <c r="U3593" s="8"/>
      <c r="V3593" s="8"/>
      <c r="W3593" s="8">
        <v>31.29</v>
      </c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>
        <v>12.48</v>
      </c>
      <c r="AN3593" s="8">
        <f>2055*18.4/1000</f>
        <v>37.811999999999998</v>
      </c>
      <c r="AO3593" s="8"/>
      <c r="AP3593" s="11"/>
      <c r="AQ3593" s="8"/>
      <c r="AR3593" s="8">
        <f>4276*18.4/1000</f>
        <v>78.678399999999996</v>
      </c>
      <c r="AS3593" s="8"/>
      <c r="AT3593" s="8">
        <v>1162.6099999999999</v>
      </c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>
        <v>84.94</v>
      </c>
      <c r="BH3593" s="9">
        <f t="shared" si="504"/>
        <v>3126.74</v>
      </c>
      <c r="BI3593" s="9">
        <f t="shared" si="505"/>
        <v>19.41</v>
      </c>
      <c r="BJ3593" s="9">
        <f t="shared" si="506"/>
        <v>2.1800000000000002</v>
      </c>
      <c r="BK3593" s="9">
        <f t="shared" si="507"/>
        <v>31.29</v>
      </c>
      <c r="BL3593" s="9">
        <f t="shared" si="508"/>
        <v>0</v>
      </c>
      <c r="BM3593" s="9">
        <f t="shared" si="509"/>
        <v>128.97039999999998</v>
      </c>
      <c r="BN3593" s="9">
        <f t="shared" si="510"/>
        <v>1162.6099999999999</v>
      </c>
      <c r="BO3593" s="9">
        <f t="shared" si="511"/>
        <v>0</v>
      </c>
      <c r="BP3593" s="9">
        <f t="shared" si="512"/>
        <v>0</v>
      </c>
    </row>
    <row r="3594" spans="1:68">
      <c r="A3594" s="6">
        <v>45204</v>
      </c>
      <c r="B3594" s="7">
        <v>3136</v>
      </c>
      <c r="C3594" s="8">
        <v>1309.4100000000001</v>
      </c>
      <c r="D3594" s="8"/>
      <c r="E3594" s="8"/>
      <c r="F3594" s="8"/>
      <c r="G3594" s="8"/>
      <c r="H3594" s="8">
        <v>543.80999999999995</v>
      </c>
      <c r="I3594" s="8"/>
      <c r="J3594" s="8"/>
      <c r="K3594" s="8"/>
      <c r="L3594" s="8"/>
      <c r="M3594" s="8">
        <v>2.42</v>
      </c>
      <c r="N3594" s="8"/>
      <c r="O3594" s="8"/>
      <c r="P3594" s="8"/>
      <c r="Q3594" s="11"/>
      <c r="R3594" s="11"/>
      <c r="S3594" s="8">
        <v>6.93</v>
      </c>
      <c r="T3594" s="8"/>
      <c r="U3594" s="8">
        <v>20.96</v>
      </c>
      <c r="V3594" s="8"/>
      <c r="W3594" s="8"/>
      <c r="X3594" s="8"/>
      <c r="Y3594" s="8"/>
      <c r="Z3594" s="8"/>
      <c r="AA3594" s="8"/>
      <c r="AB3594" s="8"/>
      <c r="AC3594" s="8">
        <v>6.45</v>
      </c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11"/>
      <c r="AQ3594" s="8"/>
      <c r="AR3594" s="8"/>
      <c r="AS3594" s="8"/>
      <c r="AT3594" s="8">
        <v>1047.8399999999999</v>
      </c>
      <c r="AU3594" s="8"/>
      <c r="AV3594" s="8"/>
      <c r="AW3594" s="8"/>
      <c r="AX3594" s="8"/>
      <c r="AY3594" s="8"/>
      <c r="AZ3594" s="8"/>
      <c r="BA3594" s="8">
        <v>15.97</v>
      </c>
      <c r="BB3594" s="8"/>
      <c r="BC3594" s="8"/>
      <c r="BD3594" s="8"/>
      <c r="BE3594" s="8"/>
      <c r="BF3594" s="8">
        <v>64.52</v>
      </c>
      <c r="BG3594" s="8">
        <v>79.13</v>
      </c>
      <c r="BH3594" s="9">
        <f t="shared" si="504"/>
        <v>1853.22</v>
      </c>
      <c r="BI3594" s="9">
        <f t="shared" si="505"/>
        <v>2.42</v>
      </c>
      <c r="BJ3594" s="9">
        <f t="shared" si="506"/>
        <v>6.93</v>
      </c>
      <c r="BK3594" s="9">
        <f t="shared" si="507"/>
        <v>20.96</v>
      </c>
      <c r="BL3594" s="9">
        <f t="shared" si="508"/>
        <v>0</v>
      </c>
      <c r="BM3594" s="9">
        <f t="shared" si="509"/>
        <v>6.45</v>
      </c>
      <c r="BN3594" s="9">
        <f t="shared" si="510"/>
        <v>1047.8399999999999</v>
      </c>
      <c r="BO3594" s="9">
        <f t="shared" si="511"/>
        <v>15.97</v>
      </c>
      <c r="BP3594" s="9">
        <f t="shared" si="512"/>
        <v>64.52</v>
      </c>
    </row>
    <row r="3595" spans="1:68">
      <c r="A3595" s="6">
        <v>45204</v>
      </c>
      <c r="B3595" s="7">
        <v>3106</v>
      </c>
      <c r="C3595" s="8">
        <v>4107.05</v>
      </c>
      <c r="D3595" s="8"/>
      <c r="E3595" s="8"/>
      <c r="F3595" s="8"/>
      <c r="G3595" s="8"/>
      <c r="H3595" s="8"/>
      <c r="I3595" s="8"/>
      <c r="J3595" s="8"/>
      <c r="K3595" s="8"/>
      <c r="L3595" s="8"/>
      <c r="M3595" s="8">
        <v>11.1</v>
      </c>
      <c r="N3595" s="8"/>
      <c r="O3595" s="8"/>
      <c r="P3595" s="8"/>
      <c r="Q3595" s="11"/>
      <c r="R3595" s="11"/>
      <c r="S3595" s="8">
        <v>12.36</v>
      </c>
      <c r="T3595" s="8"/>
      <c r="U3595" s="8">
        <v>52.25</v>
      </c>
      <c r="V3595" s="8"/>
      <c r="W3595" s="8"/>
      <c r="X3595" s="8"/>
      <c r="Y3595" s="8"/>
      <c r="Z3595" s="8"/>
      <c r="AA3595" s="8"/>
      <c r="AB3595" s="8"/>
      <c r="AC3595" s="8">
        <v>10.28</v>
      </c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11"/>
      <c r="AQ3595" s="8"/>
      <c r="AR3595" s="8"/>
      <c r="AS3595" s="8"/>
      <c r="AT3595" s="8">
        <v>2342.84</v>
      </c>
      <c r="AU3595" s="8"/>
      <c r="AV3595" s="8"/>
      <c r="AW3595" s="8"/>
      <c r="AX3595" s="8">
        <v>5.14</v>
      </c>
      <c r="AY3595" s="8"/>
      <c r="AZ3595" s="8"/>
      <c r="BA3595" s="8"/>
      <c r="BB3595" s="8"/>
      <c r="BC3595" s="8"/>
      <c r="BD3595" s="8"/>
      <c r="BE3595" s="8"/>
      <c r="BF3595" s="8"/>
      <c r="BG3595" s="8">
        <v>176.54</v>
      </c>
      <c r="BH3595" s="9">
        <f t="shared" si="504"/>
        <v>4107.05</v>
      </c>
      <c r="BI3595" s="9">
        <f t="shared" si="505"/>
        <v>11.1</v>
      </c>
      <c r="BJ3595" s="9">
        <f t="shared" si="506"/>
        <v>12.36</v>
      </c>
      <c r="BK3595" s="9">
        <f t="shared" si="507"/>
        <v>52.25</v>
      </c>
      <c r="BL3595" s="9">
        <f t="shared" si="508"/>
        <v>0</v>
      </c>
      <c r="BM3595" s="9">
        <f t="shared" si="509"/>
        <v>10.28</v>
      </c>
      <c r="BN3595" s="9">
        <f t="shared" si="510"/>
        <v>2342.84</v>
      </c>
      <c r="BO3595" s="9">
        <f t="shared" si="511"/>
        <v>5.14</v>
      </c>
      <c r="BP3595" s="9">
        <f t="shared" si="512"/>
        <v>0</v>
      </c>
    </row>
    <row r="3596" spans="1:68">
      <c r="A3596" s="6">
        <v>45204</v>
      </c>
      <c r="B3596" s="7">
        <v>3113</v>
      </c>
      <c r="C3596" s="8">
        <v>2971.86</v>
      </c>
      <c r="D3596" s="8"/>
      <c r="E3596" s="8"/>
      <c r="F3596" s="8"/>
      <c r="G3596" s="8"/>
      <c r="H3596" s="8"/>
      <c r="I3596" s="8"/>
      <c r="J3596" s="8"/>
      <c r="K3596" s="8"/>
      <c r="L3596" s="8"/>
      <c r="M3596" s="8">
        <v>2.64</v>
      </c>
      <c r="N3596" s="8">
        <v>2.68</v>
      </c>
      <c r="O3596" s="8"/>
      <c r="P3596" s="8"/>
      <c r="Q3596" s="11"/>
      <c r="R3596" s="11"/>
      <c r="S3596" s="8">
        <v>8.94</v>
      </c>
      <c r="T3596" s="8"/>
      <c r="U3596" s="8">
        <v>29.72</v>
      </c>
      <c r="V3596" s="8"/>
      <c r="W3596" s="8"/>
      <c r="X3596" s="8"/>
      <c r="Y3596" s="8"/>
      <c r="Z3596" s="8"/>
      <c r="AA3596" s="8"/>
      <c r="AB3596" s="8"/>
      <c r="AC3596" s="8">
        <v>11.88</v>
      </c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11"/>
      <c r="AQ3596" s="8"/>
      <c r="AR3596" s="8"/>
      <c r="AS3596" s="8"/>
      <c r="AT3596" s="8">
        <v>1247.6099999999999</v>
      </c>
      <c r="AU3596" s="8"/>
      <c r="AV3596" s="8">
        <v>101.11</v>
      </c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>
        <v>89.24</v>
      </c>
      <c r="BH3596" s="9">
        <f t="shared" si="504"/>
        <v>2971.86</v>
      </c>
      <c r="BI3596" s="9">
        <f t="shared" si="505"/>
        <v>5.32</v>
      </c>
      <c r="BJ3596" s="9">
        <f t="shared" si="506"/>
        <v>8.94</v>
      </c>
      <c r="BK3596" s="9">
        <f t="shared" si="507"/>
        <v>29.72</v>
      </c>
      <c r="BL3596" s="9">
        <f t="shared" si="508"/>
        <v>0</v>
      </c>
      <c r="BM3596" s="9">
        <f t="shared" si="509"/>
        <v>11.88</v>
      </c>
      <c r="BN3596" s="9">
        <f t="shared" si="510"/>
        <v>1247.6099999999999</v>
      </c>
      <c r="BO3596" s="9">
        <f t="shared" si="511"/>
        <v>101.11</v>
      </c>
      <c r="BP3596" s="9">
        <f t="shared" si="512"/>
        <v>0</v>
      </c>
    </row>
    <row r="3597" spans="1:68">
      <c r="A3597" s="6">
        <v>45204</v>
      </c>
      <c r="B3597" s="7">
        <v>3029</v>
      </c>
      <c r="C3597" s="8"/>
      <c r="D3597" s="8">
        <v>463.63</v>
      </c>
      <c r="E3597" s="8"/>
      <c r="F3597" s="8">
        <v>327.13</v>
      </c>
      <c r="G3597" s="8"/>
      <c r="H3597" s="8"/>
      <c r="I3597" s="8">
        <v>1933.24</v>
      </c>
      <c r="J3597" s="8"/>
      <c r="K3597" s="8"/>
      <c r="L3597" s="8"/>
      <c r="M3597" s="8"/>
      <c r="N3597" s="8">
        <v>21.54</v>
      </c>
      <c r="O3597" s="8"/>
      <c r="P3597" s="8"/>
      <c r="Q3597" s="11"/>
      <c r="R3597" s="11"/>
      <c r="S3597" s="8">
        <v>1.64</v>
      </c>
      <c r="T3597" s="8"/>
      <c r="U3597" s="8"/>
      <c r="V3597" s="8"/>
      <c r="W3597" s="8">
        <v>27.26</v>
      </c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>
        <v>9.52</v>
      </c>
      <c r="AN3597" s="8">
        <f>756*18.17/1000</f>
        <v>13.736520000000001</v>
      </c>
      <c r="AO3597" s="8"/>
      <c r="AP3597" s="11"/>
      <c r="AQ3597" s="8"/>
      <c r="AR3597" s="8">
        <f>4598*18.17/1000</f>
        <v>83.545659999999998</v>
      </c>
      <c r="AS3597" s="8"/>
      <c r="AT3597" s="8">
        <v>1034.98</v>
      </c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>
        <v>72.14</v>
      </c>
      <c r="BH3597" s="9">
        <f t="shared" si="504"/>
        <v>2724</v>
      </c>
      <c r="BI3597" s="9">
        <f t="shared" si="505"/>
        <v>21.54</v>
      </c>
      <c r="BJ3597" s="9">
        <f t="shared" si="506"/>
        <v>1.64</v>
      </c>
      <c r="BK3597" s="9">
        <f t="shared" si="507"/>
        <v>27.26</v>
      </c>
      <c r="BL3597" s="9">
        <f t="shared" si="508"/>
        <v>0</v>
      </c>
      <c r="BM3597" s="9">
        <f t="shared" si="509"/>
        <v>106.80217999999999</v>
      </c>
      <c r="BN3597" s="9">
        <f t="shared" si="510"/>
        <v>1034.98</v>
      </c>
      <c r="BO3597" s="9">
        <f t="shared" si="511"/>
        <v>0</v>
      </c>
      <c r="BP3597" s="9">
        <f t="shared" si="512"/>
        <v>0</v>
      </c>
    </row>
    <row r="3598" spans="1:68">
      <c r="A3598" s="6">
        <v>45204</v>
      </c>
      <c r="B3598" s="7">
        <v>3307</v>
      </c>
      <c r="C3598" s="8"/>
      <c r="D3598" s="8">
        <v>982.41</v>
      </c>
      <c r="E3598" s="8"/>
      <c r="F3598" s="8"/>
      <c r="G3598" s="8"/>
      <c r="H3598" s="8"/>
      <c r="I3598" s="8"/>
      <c r="J3598" s="8"/>
      <c r="K3598" s="8"/>
      <c r="L3598" s="8"/>
      <c r="M3598" s="8">
        <v>0.89</v>
      </c>
      <c r="N3598" s="8"/>
      <c r="O3598" s="8"/>
      <c r="P3598" s="8"/>
      <c r="Q3598" s="11"/>
      <c r="R3598" s="11"/>
      <c r="S3598" s="8">
        <v>6.68</v>
      </c>
      <c r="T3598" s="8"/>
      <c r="U3598" s="8">
        <v>9.83</v>
      </c>
      <c r="V3598" s="8"/>
      <c r="W3598" s="8"/>
      <c r="X3598" s="8"/>
      <c r="Y3598" s="8"/>
      <c r="Z3598" s="8"/>
      <c r="AA3598" s="8"/>
      <c r="AB3598" s="8"/>
      <c r="AC3598" s="8">
        <v>5.9</v>
      </c>
      <c r="AD3598" s="8"/>
      <c r="AE3598" s="8"/>
      <c r="AF3598" s="8"/>
      <c r="AG3598" s="8">
        <v>9.83</v>
      </c>
      <c r="AH3598" s="8"/>
      <c r="AI3598" s="8"/>
      <c r="AJ3598" s="8"/>
      <c r="AK3598" s="8"/>
      <c r="AL3598" s="8"/>
      <c r="AM3598" s="8"/>
      <c r="AN3598" s="8"/>
      <c r="AO3598" s="8"/>
      <c r="AP3598" s="11"/>
      <c r="AQ3598" s="8"/>
      <c r="AR3598" s="8"/>
      <c r="AS3598" s="8"/>
      <c r="AT3598" s="8"/>
      <c r="AU3598" s="8">
        <v>492.5</v>
      </c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>
        <v>35.33</v>
      </c>
      <c r="BH3598" s="9">
        <f t="shared" si="504"/>
        <v>982.41</v>
      </c>
      <c r="BI3598" s="9">
        <f t="shared" si="505"/>
        <v>0.89</v>
      </c>
      <c r="BJ3598" s="9">
        <f t="shared" si="506"/>
        <v>6.68</v>
      </c>
      <c r="BK3598" s="9">
        <f t="shared" si="507"/>
        <v>9.83</v>
      </c>
      <c r="BL3598" s="9">
        <f t="shared" si="508"/>
        <v>0</v>
      </c>
      <c r="BM3598" s="9">
        <f t="shared" si="509"/>
        <v>15.73</v>
      </c>
      <c r="BN3598" s="9">
        <f t="shared" si="510"/>
        <v>492.5</v>
      </c>
      <c r="BO3598" s="9">
        <f t="shared" si="511"/>
        <v>0</v>
      </c>
      <c r="BP3598" s="9">
        <f t="shared" si="512"/>
        <v>0</v>
      </c>
    </row>
    <row r="3599" spans="1:68">
      <c r="A3599" s="6">
        <v>45204</v>
      </c>
      <c r="B3599" s="7">
        <v>8313</v>
      </c>
      <c r="C3599" s="8">
        <v>410.31</v>
      </c>
      <c r="D3599" s="8">
        <v>409.97</v>
      </c>
      <c r="E3599" s="8"/>
      <c r="F3599" s="8"/>
      <c r="G3599" s="8"/>
      <c r="H3599" s="8"/>
      <c r="I3599" s="8"/>
      <c r="J3599" s="8"/>
      <c r="K3599" s="8"/>
      <c r="L3599" s="8"/>
      <c r="M3599" s="8">
        <v>3.16</v>
      </c>
      <c r="N3599" s="8"/>
      <c r="O3599" s="8"/>
      <c r="P3599" s="8"/>
      <c r="Q3599" s="11"/>
      <c r="R3599" s="11"/>
      <c r="S3599" s="8">
        <v>4.1100000000000003</v>
      </c>
      <c r="T3599" s="8"/>
      <c r="U3599" s="8">
        <v>13.14</v>
      </c>
      <c r="V3599" s="8"/>
      <c r="W3599" s="8"/>
      <c r="X3599" s="8"/>
      <c r="Y3599" s="8"/>
      <c r="Z3599" s="8"/>
      <c r="AA3599" s="8"/>
      <c r="AB3599" s="8"/>
      <c r="AC3599" s="8">
        <v>3.28</v>
      </c>
      <c r="AD3599" s="8"/>
      <c r="AE3599" s="8"/>
      <c r="AF3599" s="8"/>
      <c r="AG3599" s="8">
        <v>4.1100000000000003</v>
      </c>
      <c r="AH3599" s="8"/>
      <c r="AI3599" s="8"/>
      <c r="AJ3599" s="8"/>
      <c r="AK3599" s="8"/>
      <c r="AL3599" s="8"/>
      <c r="AM3599" s="8"/>
      <c r="AN3599" s="8"/>
      <c r="AO3599" s="8"/>
      <c r="AP3599" s="11"/>
      <c r="AQ3599" s="8"/>
      <c r="AR3599" s="8"/>
      <c r="AS3599" s="8"/>
      <c r="AT3599" s="8">
        <v>528.17999999999995</v>
      </c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>
        <v>106.77</v>
      </c>
      <c r="BG3599" s="8">
        <v>42.73</v>
      </c>
      <c r="BH3599" s="9">
        <f t="shared" si="504"/>
        <v>820.28</v>
      </c>
      <c r="BI3599" s="9">
        <f t="shared" si="505"/>
        <v>3.16</v>
      </c>
      <c r="BJ3599" s="9">
        <f t="shared" si="506"/>
        <v>4.1100000000000003</v>
      </c>
      <c r="BK3599" s="9">
        <f t="shared" si="507"/>
        <v>13.14</v>
      </c>
      <c r="BL3599" s="9">
        <f t="shared" si="508"/>
        <v>0</v>
      </c>
      <c r="BM3599" s="9">
        <f t="shared" si="509"/>
        <v>7.3900000000000006</v>
      </c>
      <c r="BN3599" s="9">
        <f t="shared" si="510"/>
        <v>528.17999999999995</v>
      </c>
      <c r="BO3599" s="9">
        <f t="shared" si="511"/>
        <v>0</v>
      </c>
      <c r="BP3599" s="9">
        <f t="shared" si="512"/>
        <v>106.77</v>
      </c>
    </row>
    <row r="3600" spans="1:68">
      <c r="A3600" s="6">
        <v>45204</v>
      </c>
      <c r="B3600" s="7">
        <v>3151</v>
      </c>
      <c r="C3600" s="8">
        <v>1442.66</v>
      </c>
      <c r="D3600" s="8"/>
      <c r="E3600" s="8"/>
      <c r="F3600" s="8"/>
      <c r="G3600" s="8"/>
      <c r="H3600" s="8"/>
      <c r="I3600" s="8"/>
      <c r="J3600" s="8"/>
      <c r="K3600" s="8"/>
      <c r="L3600" s="8"/>
      <c r="M3600" s="8">
        <v>4.46</v>
      </c>
      <c r="N3600" s="8"/>
      <c r="O3600" s="8"/>
      <c r="P3600" s="8"/>
      <c r="Q3600" s="11"/>
      <c r="R3600" s="11"/>
      <c r="S3600" s="8">
        <v>4.9000000000000004</v>
      </c>
      <c r="T3600" s="8"/>
      <c r="U3600" s="8">
        <v>18.32</v>
      </c>
      <c r="V3600" s="8"/>
      <c r="W3600" s="8"/>
      <c r="X3600" s="8"/>
      <c r="Y3600" s="8"/>
      <c r="Z3600" s="8"/>
      <c r="AA3600" s="8"/>
      <c r="AB3600" s="8"/>
      <c r="AC3600" s="8">
        <v>3.6</v>
      </c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11"/>
      <c r="AQ3600" s="8"/>
      <c r="AR3600" s="8"/>
      <c r="AS3600" s="8"/>
      <c r="AT3600" s="8">
        <v>646.98</v>
      </c>
      <c r="AU3600" s="8"/>
      <c r="AV3600" s="8">
        <v>14.33</v>
      </c>
      <c r="AW3600" s="8"/>
      <c r="AX3600" s="8"/>
      <c r="AY3600" s="8"/>
      <c r="AZ3600" s="8"/>
      <c r="BA3600" s="8"/>
      <c r="BB3600" s="8"/>
      <c r="BC3600" s="8"/>
      <c r="BD3600" s="8"/>
      <c r="BE3600" s="8"/>
      <c r="BF3600" s="8">
        <v>57.65</v>
      </c>
      <c r="BG3600" s="8">
        <v>45.98</v>
      </c>
      <c r="BH3600" s="9">
        <f t="shared" si="504"/>
        <v>1442.66</v>
      </c>
      <c r="BI3600" s="9">
        <f t="shared" si="505"/>
        <v>4.46</v>
      </c>
      <c r="BJ3600" s="9">
        <f t="shared" si="506"/>
        <v>4.9000000000000004</v>
      </c>
      <c r="BK3600" s="9">
        <f t="shared" si="507"/>
        <v>18.32</v>
      </c>
      <c r="BL3600" s="9">
        <f t="shared" si="508"/>
        <v>0</v>
      </c>
      <c r="BM3600" s="9">
        <f t="shared" si="509"/>
        <v>3.6</v>
      </c>
      <c r="BN3600" s="9">
        <f t="shared" si="510"/>
        <v>646.98</v>
      </c>
      <c r="BO3600" s="9">
        <f t="shared" si="511"/>
        <v>14.33</v>
      </c>
      <c r="BP3600" s="9">
        <f t="shared" si="512"/>
        <v>57.65</v>
      </c>
    </row>
    <row r="3601" spans="1:68">
      <c r="A3601" s="6">
        <v>45204</v>
      </c>
      <c r="B3601" s="7">
        <v>3801</v>
      </c>
      <c r="C3601" s="8">
        <v>296.75</v>
      </c>
      <c r="D3601" s="8"/>
      <c r="E3601" s="8"/>
      <c r="F3601" s="8"/>
      <c r="G3601" s="8"/>
      <c r="H3601" s="8"/>
      <c r="I3601" s="8"/>
      <c r="J3601" s="8"/>
      <c r="K3601" s="8"/>
      <c r="L3601" s="8">
        <f>41711*5.75/1000</f>
        <v>239.83824999999999</v>
      </c>
      <c r="M3601" s="8"/>
      <c r="N3601" s="8">
        <v>0.61</v>
      </c>
      <c r="O3601" s="8"/>
      <c r="P3601" s="8"/>
      <c r="Q3601" s="11"/>
      <c r="R3601" s="11"/>
      <c r="S3601" s="8">
        <v>2.38</v>
      </c>
      <c r="T3601" s="8"/>
      <c r="U3601" s="8">
        <v>2.6</v>
      </c>
      <c r="V3601" s="8"/>
      <c r="W3601" s="8"/>
      <c r="X3601" s="8"/>
      <c r="Y3601" s="8"/>
      <c r="Z3601" s="8">
        <v>43.29</v>
      </c>
      <c r="AA3601" s="8">
        <f>3053*5.75/1000</f>
        <v>17.554749999999999</v>
      </c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11"/>
      <c r="AQ3601" s="8">
        <f>268*5.75/1000</f>
        <v>1.5409999999999999</v>
      </c>
      <c r="AR3601" s="8"/>
      <c r="AS3601" s="8"/>
      <c r="AT3601" s="8">
        <v>211.21</v>
      </c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>
        <v>16</v>
      </c>
      <c r="BH3601" s="9">
        <f t="shared" si="504"/>
        <v>536.58825000000002</v>
      </c>
      <c r="BI3601" s="9">
        <f t="shared" si="505"/>
        <v>0.61</v>
      </c>
      <c r="BJ3601" s="9">
        <f t="shared" si="506"/>
        <v>2.38</v>
      </c>
      <c r="BK3601" s="9">
        <f t="shared" si="507"/>
        <v>2.6</v>
      </c>
      <c r="BL3601" s="9">
        <f t="shared" si="508"/>
        <v>60.844749999999998</v>
      </c>
      <c r="BM3601" s="9">
        <f t="shared" si="509"/>
        <v>1.5409999999999999</v>
      </c>
      <c r="BN3601" s="9">
        <f t="shared" si="510"/>
        <v>211.21</v>
      </c>
      <c r="BO3601" s="9">
        <f t="shared" si="511"/>
        <v>0</v>
      </c>
      <c r="BP3601" s="9">
        <f t="shared" si="512"/>
        <v>0</v>
      </c>
    </row>
    <row r="3602" spans="1:68">
      <c r="A3602" s="6">
        <v>45204</v>
      </c>
      <c r="B3602" s="7">
        <v>8040</v>
      </c>
      <c r="C3602" s="8">
        <v>99.82</v>
      </c>
      <c r="D3602" s="8"/>
      <c r="E3602" s="8"/>
      <c r="F3602" s="8"/>
      <c r="G3602" s="8"/>
      <c r="H3602" s="8"/>
      <c r="I3602" s="8"/>
      <c r="J3602" s="8"/>
      <c r="K3602" s="8"/>
      <c r="L3602" s="8">
        <f>45372*4.37/1000</f>
        <v>198.27564000000001</v>
      </c>
      <c r="M3602" s="8"/>
      <c r="N3602" s="8">
        <v>0.37</v>
      </c>
      <c r="O3602" s="8"/>
      <c r="P3602" s="8"/>
      <c r="Q3602" s="11"/>
      <c r="R3602" s="11"/>
      <c r="S3602" s="8">
        <v>1.1399999999999999</v>
      </c>
      <c r="T3602" s="8"/>
      <c r="U3602" s="8">
        <v>2.09</v>
      </c>
      <c r="V3602" s="8"/>
      <c r="W3602" s="8"/>
      <c r="X3602" s="8"/>
      <c r="Y3602" s="8"/>
      <c r="Z3602" s="8">
        <v>35.15</v>
      </c>
      <c r="AA3602" s="8">
        <f>3384*4.37/1000</f>
        <v>14.788080000000001</v>
      </c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11"/>
      <c r="AQ3602" s="8"/>
      <c r="AR3602" s="8"/>
      <c r="AS3602" s="8">
        <f>972*4.37/1000</f>
        <v>4.2476400000000005</v>
      </c>
      <c r="AT3602" s="8">
        <v>124.75</v>
      </c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>
        <v>9.81</v>
      </c>
      <c r="BH3602" s="9">
        <f t="shared" si="504"/>
        <v>298.09564</v>
      </c>
      <c r="BI3602" s="9">
        <f t="shared" si="505"/>
        <v>0.37</v>
      </c>
      <c r="BJ3602" s="9">
        <f t="shared" si="506"/>
        <v>1.1399999999999999</v>
      </c>
      <c r="BK3602" s="9">
        <f t="shared" si="507"/>
        <v>2.09</v>
      </c>
      <c r="BL3602" s="9">
        <f t="shared" si="508"/>
        <v>49.938079999999999</v>
      </c>
      <c r="BM3602" s="9">
        <f t="shared" si="509"/>
        <v>4.2476400000000005</v>
      </c>
      <c r="BN3602" s="9">
        <f t="shared" si="510"/>
        <v>124.75</v>
      </c>
      <c r="BO3602" s="9">
        <f t="shared" si="511"/>
        <v>0</v>
      </c>
      <c r="BP3602" s="9">
        <f t="shared" si="512"/>
        <v>0</v>
      </c>
    </row>
    <row r="3603" spans="1:68">
      <c r="A3603" s="6">
        <v>45205</v>
      </c>
      <c r="B3603" s="7">
        <v>3702</v>
      </c>
      <c r="C3603" s="8">
        <v>207.21</v>
      </c>
      <c r="D3603" s="8">
        <v>138.03</v>
      </c>
      <c r="E3603" s="8"/>
      <c r="F3603" s="8"/>
      <c r="G3603" s="8"/>
      <c r="H3603" s="8"/>
      <c r="I3603" s="8"/>
      <c r="J3603" s="8"/>
      <c r="K3603" s="8"/>
      <c r="L3603" s="8"/>
      <c r="M3603" s="8">
        <v>0.69</v>
      </c>
      <c r="N3603" s="8"/>
      <c r="O3603" s="8"/>
      <c r="P3603" s="8"/>
      <c r="Q3603" s="11"/>
      <c r="R3603" s="11"/>
      <c r="S3603" s="8">
        <v>1.6</v>
      </c>
      <c r="T3603" s="8"/>
      <c r="U3603" s="8">
        <v>2.59</v>
      </c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11"/>
      <c r="AQ3603" s="8"/>
      <c r="AR3603" s="8"/>
      <c r="AS3603" s="8"/>
      <c r="AT3603" s="8">
        <v>84.1</v>
      </c>
      <c r="AU3603" s="8">
        <v>42.13</v>
      </c>
      <c r="AV3603" s="8"/>
      <c r="AW3603" s="8">
        <v>0.75</v>
      </c>
      <c r="AX3603" s="8"/>
      <c r="AY3603" s="8"/>
      <c r="AZ3603" s="8"/>
      <c r="BA3603" s="8"/>
      <c r="BB3603" s="8"/>
      <c r="BC3603" s="8"/>
      <c r="BD3603" s="8"/>
      <c r="BE3603" s="8"/>
      <c r="BF3603" s="8"/>
      <c r="BG3603" s="8">
        <v>8.8000000000000007</v>
      </c>
      <c r="BH3603" s="9">
        <f t="shared" si="504"/>
        <v>345.24</v>
      </c>
      <c r="BI3603" s="9">
        <f t="shared" si="505"/>
        <v>0.69</v>
      </c>
      <c r="BJ3603" s="9">
        <f t="shared" si="506"/>
        <v>1.6</v>
      </c>
      <c r="BK3603" s="9">
        <f t="shared" si="507"/>
        <v>2.59</v>
      </c>
      <c r="BL3603" s="9">
        <f t="shared" si="508"/>
        <v>0</v>
      </c>
      <c r="BM3603" s="9">
        <f t="shared" si="509"/>
        <v>0</v>
      </c>
      <c r="BN3603" s="9">
        <f t="shared" si="510"/>
        <v>126.22999999999999</v>
      </c>
      <c r="BO3603" s="9">
        <f t="shared" si="511"/>
        <v>0.75</v>
      </c>
      <c r="BP3603" s="9">
        <f t="shared" si="512"/>
        <v>0</v>
      </c>
    </row>
    <row r="3604" spans="1:68">
      <c r="A3604" s="6">
        <v>45205</v>
      </c>
      <c r="B3604" s="7">
        <v>3703</v>
      </c>
      <c r="C3604" s="8">
        <v>522.44000000000005</v>
      </c>
      <c r="D3604" s="8">
        <v>346.57</v>
      </c>
      <c r="E3604" s="8"/>
      <c r="F3604" s="8"/>
      <c r="G3604" s="8"/>
      <c r="H3604" s="8"/>
      <c r="I3604" s="8"/>
      <c r="J3604" s="8"/>
      <c r="K3604" s="8"/>
      <c r="L3604" s="8"/>
      <c r="M3604" s="8">
        <v>1.74</v>
      </c>
      <c r="N3604" s="8"/>
      <c r="O3604" s="8"/>
      <c r="P3604" s="8"/>
      <c r="Q3604" s="11"/>
      <c r="R3604" s="11"/>
      <c r="S3604" s="8">
        <v>4.25</v>
      </c>
      <c r="T3604" s="8"/>
      <c r="U3604" s="8">
        <v>6.94</v>
      </c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>
        <v>8.61</v>
      </c>
      <c r="AN3604" s="8"/>
      <c r="AO3604" s="8"/>
      <c r="AP3604" s="11"/>
      <c r="AQ3604" s="8"/>
      <c r="AR3604" s="8"/>
      <c r="AS3604" s="8"/>
      <c r="AT3604" s="8">
        <v>209.83</v>
      </c>
      <c r="AU3604" s="8">
        <v>105.13</v>
      </c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>
        <v>22.17</v>
      </c>
      <c r="BH3604" s="9">
        <f t="shared" si="504"/>
        <v>869.01</v>
      </c>
      <c r="BI3604" s="9">
        <f t="shared" si="505"/>
        <v>1.74</v>
      </c>
      <c r="BJ3604" s="9">
        <f t="shared" si="506"/>
        <v>4.25</v>
      </c>
      <c r="BK3604" s="9">
        <f t="shared" si="507"/>
        <v>6.94</v>
      </c>
      <c r="BL3604" s="9">
        <f t="shared" si="508"/>
        <v>0</v>
      </c>
      <c r="BM3604" s="9">
        <f t="shared" si="509"/>
        <v>8.61</v>
      </c>
      <c r="BN3604" s="9">
        <f t="shared" si="510"/>
        <v>314.96000000000004</v>
      </c>
      <c r="BO3604" s="9">
        <f t="shared" si="511"/>
        <v>0</v>
      </c>
      <c r="BP3604" s="9">
        <f t="shared" si="512"/>
        <v>0</v>
      </c>
    </row>
    <row r="3605" spans="1:68">
      <c r="A3605" s="6">
        <v>45205</v>
      </c>
      <c r="B3605" s="7">
        <v>3200</v>
      </c>
      <c r="C3605" s="8">
        <v>2285.08</v>
      </c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>
        <v>5.72</v>
      </c>
      <c r="P3605" s="8"/>
      <c r="Q3605" s="11"/>
      <c r="R3605" s="11"/>
      <c r="S3605" s="8">
        <v>8.92</v>
      </c>
      <c r="T3605" s="8"/>
      <c r="U3605" s="8">
        <v>34.31</v>
      </c>
      <c r="V3605" s="8"/>
      <c r="W3605" s="8"/>
      <c r="X3605" s="8"/>
      <c r="Y3605" s="8"/>
      <c r="Z3605" s="8">
        <v>480.73</v>
      </c>
      <c r="AA3605" s="8"/>
      <c r="AB3605" s="8"/>
      <c r="AC3605" s="8"/>
      <c r="AD3605" s="8"/>
      <c r="AE3605" s="8"/>
      <c r="AF3605" s="8">
        <v>115.11</v>
      </c>
      <c r="AG3605" s="8"/>
      <c r="AH3605" s="8"/>
      <c r="AI3605" s="8"/>
      <c r="AJ3605" s="8"/>
      <c r="AK3605" s="8"/>
      <c r="AL3605" s="8"/>
      <c r="AM3605" s="8"/>
      <c r="AN3605" s="8"/>
      <c r="AO3605" s="8"/>
      <c r="AP3605" s="11"/>
      <c r="AQ3605" s="8">
        <f>1513*22.88/1000</f>
        <v>34.617439999999995</v>
      </c>
      <c r="AR3605" s="8"/>
      <c r="AS3605" s="8"/>
      <c r="AT3605" s="8">
        <v>1567</v>
      </c>
      <c r="AU3605" s="8"/>
      <c r="AV3605" s="8"/>
      <c r="AW3605" s="8">
        <v>6.56</v>
      </c>
      <c r="AX3605" s="8"/>
      <c r="AY3605" s="8"/>
      <c r="AZ3605" s="8"/>
      <c r="BA3605" s="8"/>
      <c r="BB3605" s="8"/>
      <c r="BC3605" s="8"/>
      <c r="BD3605" s="8"/>
      <c r="BE3605" s="8"/>
      <c r="BF3605" s="8">
        <v>109.85</v>
      </c>
      <c r="BG3605" s="8">
        <v>113.33</v>
      </c>
      <c r="BH3605" s="9">
        <f t="shared" si="504"/>
        <v>2285.08</v>
      </c>
      <c r="BI3605" s="9">
        <f t="shared" si="505"/>
        <v>5.72</v>
      </c>
      <c r="BJ3605" s="9">
        <f t="shared" si="506"/>
        <v>8.92</v>
      </c>
      <c r="BK3605" s="9">
        <f t="shared" si="507"/>
        <v>34.31</v>
      </c>
      <c r="BL3605" s="9">
        <f t="shared" si="508"/>
        <v>480.73</v>
      </c>
      <c r="BM3605" s="9">
        <f t="shared" si="509"/>
        <v>149.72744</v>
      </c>
      <c r="BN3605" s="9">
        <f t="shared" si="510"/>
        <v>1567</v>
      </c>
      <c r="BO3605" s="9">
        <f t="shared" si="511"/>
        <v>6.56</v>
      </c>
      <c r="BP3605" s="9">
        <f t="shared" si="512"/>
        <v>109.85</v>
      </c>
    </row>
    <row r="3606" spans="1:68">
      <c r="A3606" s="6">
        <v>45205</v>
      </c>
      <c r="B3606" s="7">
        <v>3203</v>
      </c>
      <c r="C3606" s="8">
        <v>1713.54</v>
      </c>
      <c r="D3606" s="8"/>
      <c r="E3606" s="8">
        <v>733.38</v>
      </c>
      <c r="F3606" s="8"/>
      <c r="G3606" s="8"/>
      <c r="H3606" s="8"/>
      <c r="I3606" s="8"/>
      <c r="J3606" s="8"/>
      <c r="K3606" s="8"/>
      <c r="L3606" s="8"/>
      <c r="M3606" s="8"/>
      <c r="N3606" s="8"/>
      <c r="O3606" s="8">
        <v>7.35</v>
      </c>
      <c r="P3606" s="8"/>
      <c r="Q3606" s="11"/>
      <c r="R3606" s="11"/>
      <c r="S3606" s="8">
        <v>9.5500000000000007</v>
      </c>
      <c r="T3606" s="8"/>
      <c r="U3606" s="8">
        <v>30.33</v>
      </c>
      <c r="V3606" s="8"/>
      <c r="W3606" s="8"/>
      <c r="X3606" s="8"/>
      <c r="Y3606" s="8"/>
      <c r="Z3606" s="8">
        <v>385.6</v>
      </c>
      <c r="AA3606" s="8">
        <f>10420*28.78/1000</f>
        <v>299.88760000000002</v>
      </c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11"/>
      <c r="AQ3606" s="8"/>
      <c r="AR3606" s="8"/>
      <c r="AS3606" s="8"/>
      <c r="AT3606" s="8">
        <v>915.33</v>
      </c>
      <c r="AU3606" s="8">
        <v>458.16</v>
      </c>
      <c r="AV3606" s="8"/>
      <c r="AW3606" s="8"/>
      <c r="AX3606" s="8"/>
      <c r="AY3606" s="8"/>
      <c r="AZ3606" s="8"/>
      <c r="BA3606" s="8"/>
      <c r="BB3606" s="8"/>
      <c r="BC3606" s="8">
        <v>6.36</v>
      </c>
      <c r="BD3606" s="8"/>
      <c r="BE3606" s="8"/>
      <c r="BF3606" s="8"/>
      <c r="BG3606" s="8">
        <v>89.77</v>
      </c>
      <c r="BH3606" s="9">
        <f t="shared" si="504"/>
        <v>2446.92</v>
      </c>
      <c r="BI3606" s="9">
        <f t="shared" si="505"/>
        <v>7.35</v>
      </c>
      <c r="BJ3606" s="9">
        <f t="shared" si="506"/>
        <v>9.5500000000000007</v>
      </c>
      <c r="BK3606" s="9">
        <f t="shared" si="507"/>
        <v>30.33</v>
      </c>
      <c r="BL3606" s="9">
        <f t="shared" si="508"/>
        <v>685.48760000000004</v>
      </c>
      <c r="BM3606" s="9">
        <f t="shared" si="509"/>
        <v>0</v>
      </c>
      <c r="BN3606" s="9">
        <f t="shared" si="510"/>
        <v>1373.49</v>
      </c>
      <c r="BO3606" s="9">
        <f t="shared" si="511"/>
        <v>6.36</v>
      </c>
      <c r="BP3606" s="9">
        <f t="shared" si="512"/>
        <v>0</v>
      </c>
    </row>
    <row r="3607" spans="1:68">
      <c r="A3607" s="6">
        <v>45205</v>
      </c>
      <c r="B3607" s="7">
        <v>3028</v>
      </c>
      <c r="C3607" s="8"/>
      <c r="D3607" s="8">
        <v>398.98</v>
      </c>
      <c r="E3607" s="8"/>
      <c r="F3607" s="8">
        <v>365.99</v>
      </c>
      <c r="G3607" s="8"/>
      <c r="H3607" s="8"/>
      <c r="I3607" s="8">
        <v>825.35</v>
      </c>
      <c r="J3607" s="8"/>
      <c r="K3607" s="8"/>
      <c r="L3607" s="8"/>
      <c r="M3607" s="8"/>
      <c r="N3607" s="8">
        <v>12.23</v>
      </c>
      <c r="O3607" s="8"/>
      <c r="P3607" s="8"/>
      <c r="Q3607" s="11"/>
      <c r="R3607" s="11"/>
      <c r="S3607" s="8">
        <v>2.2200000000000002</v>
      </c>
      <c r="T3607" s="8"/>
      <c r="U3607" s="8"/>
      <c r="V3607" s="8"/>
      <c r="W3607" s="8">
        <v>11.94</v>
      </c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>
        <v>15.72</v>
      </c>
      <c r="AN3607" s="8">
        <f>1055*10.58/1000</f>
        <v>11.161899999999999</v>
      </c>
      <c r="AO3607" s="8"/>
      <c r="AP3607" s="11"/>
      <c r="AQ3607" s="8"/>
      <c r="AR3607" s="8"/>
      <c r="AS3607" s="8">
        <f>4979*10.58/1000</f>
        <v>52.677819999999997</v>
      </c>
      <c r="AT3607" s="8">
        <v>530</v>
      </c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>
        <v>36.21</v>
      </c>
      <c r="BH3607" s="9">
        <f t="shared" si="504"/>
        <v>1590.3200000000002</v>
      </c>
      <c r="BI3607" s="9">
        <f t="shared" si="505"/>
        <v>12.23</v>
      </c>
      <c r="BJ3607" s="9">
        <f t="shared" si="506"/>
        <v>2.2200000000000002</v>
      </c>
      <c r="BK3607" s="9">
        <f t="shared" si="507"/>
        <v>11.94</v>
      </c>
      <c r="BL3607" s="9">
        <f t="shared" si="508"/>
        <v>0</v>
      </c>
      <c r="BM3607" s="9">
        <f t="shared" si="509"/>
        <v>79.559719999999999</v>
      </c>
      <c r="BN3607" s="9">
        <f t="shared" si="510"/>
        <v>530</v>
      </c>
      <c r="BO3607" s="9">
        <f t="shared" si="511"/>
        <v>0</v>
      </c>
      <c r="BP3607" s="9">
        <f t="shared" si="512"/>
        <v>0</v>
      </c>
    </row>
    <row r="3608" spans="1:68">
      <c r="A3608" s="6">
        <v>45205</v>
      </c>
      <c r="B3608" s="7">
        <v>3024</v>
      </c>
      <c r="C3608" s="8"/>
      <c r="D3608" s="8">
        <v>341.05</v>
      </c>
      <c r="E3608" s="8"/>
      <c r="F3608" s="8"/>
      <c r="G3608" s="8"/>
      <c r="H3608" s="8"/>
      <c r="I3608" s="8">
        <v>339.86</v>
      </c>
      <c r="J3608" s="8"/>
      <c r="K3608" s="8"/>
      <c r="L3608" s="8"/>
      <c r="M3608" s="8"/>
      <c r="N3608" s="8">
        <v>4.24</v>
      </c>
      <c r="O3608" s="8"/>
      <c r="P3608" s="8"/>
      <c r="Q3608" s="11"/>
      <c r="R3608" s="11"/>
      <c r="S3608" s="8">
        <v>1.0900000000000001</v>
      </c>
      <c r="T3608" s="8"/>
      <c r="U3608" s="8"/>
      <c r="V3608" s="8"/>
      <c r="W3608" s="8">
        <v>5.45</v>
      </c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>
        <v>6.84</v>
      </c>
      <c r="AN3608" s="8">
        <f>854*5.7/1000</f>
        <v>4.8677999999999999</v>
      </c>
      <c r="AO3608" s="8"/>
      <c r="AP3608" s="11"/>
      <c r="AQ3608" s="8"/>
      <c r="AR3608" s="8"/>
      <c r="AS3608" s="8">
        <f>3961*5.7/1000</f>
        <v>22.5777</v>
      </c>
      <c r="AT3608" s="8">
        <v>262.74</v>
      </c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>
        <v>19.14</v>
      </c>
      <c r="BH3608" s="9">
        <f t="shared" si="504"/>
        <v>680.91000000000008</v>
      </c>
      <c r="BI3608" s="9">
        <f t="shared" si="505"/>
        <v>4.24</v>
      </c>
      <c r="BJ3608" s="9">
        <f t="shared" si="506"/>
        <v>1.0900000000000001</v>
      </c>
      <c r="BK3608" s="9">
        <f t="shared" si="507"/>
        <v>5.45</v>
      </c>
      <c r="BL3608" s="9">
        <f t="shared" si="508"/>
        <v>0</v>
      </c>
      <c r="BM3608" s="9">
        <f t="shared" si="509"/>
        <v>34.285499999999999</v>
      </c>
      <c r="BN3608" s="9">
        <f t="shared" si="510"/>
        <v>262.74</v>
      </c>
      <c r="BO3608" s="9">
        <f t="shared" si="511"/>
        <v>0</v>
      </c>
      <c r="BP3608" s="9">
        <f t="shared" si="512"/>
        <v>0</v>
      </c>
    </row>
    <row r="3609" spans="1:68">
      <c r="A3609" s="6">
        <v>45208</v>
      </c>
      <c r="B3609" s="7">
        <v>3204</v>
      </c>
      <c r="C3609" s="8"/>
      <c r="D3609" s="8">
        <v>1024.98</v>
      </c>
      <c r="E3609" s="8">
        <v>438.67</v>
      </c>
      <c r="F3609" s="8"/>
      <c r="G3609" s="8"/>
      <c r="H3609" s="8"/>
      <c r="I3609" s="8"/>
      <c r="J3609" s="8"/>
      <c r="K3609" s="8"/>
      <c r="L3609" s="8"/>
      <c r="M3609" s="8"/>
      <c r="N3609" s="8"/>
      <c r="O3609" s="8">
        <v>7.29</v>
      </c>
      <c r="P3609" s="8"/>
      <c r="Q3609" s="11"/>
      <c r="R3609" s="11"/>
      <c r="S3609" s="8">
        <v>4.97</v>
      </c>
      <c r="T3609" s="8"/>
      <c r="U3609" s="8">
        <v>16.12</v>
      </c>
      <c r="V3609" s="8"/>
      <c r="W3609" s="8"/>
      <c r="X3609" s="8"/>
      <c r="Y3609" s="8"/>
      <c r="Z3609" s="8">
        <v>219.77</v>
      </c>
      <c r="AA3609" s="8"/>
      <c r="AB3609" s="8">
        <f>715*10.45/1000</f>
        <v>7.4717499999999992</v>
      </c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11"/>
      <c r="AQ3609" s="8"/>
      <c r="AR3609" s="8"/>
      <c r="AS3609" s="8"/>
      <c r="AT3609" s="8">
        <v>644.9</v>
      </c>
      <c r="AU3609" s="8"/>
      <c r="AV3609" s="8"/>
      <c r="AW3609" s="8">
        <v>4.66</v>
      </c>
      <c r="AX3609" s="8"/>
      <c r="AY3609" s="8"/>
      <c r="AZ3609" s="8"/>
      <c r="BA3609" s="8"/>
      <c r="BB3609" s="8"/>
      <c r="BC3609" s="8"/>
      <c r="BD3609" s="8"/>
      <c r="BE3609" s="8"/>
      <c r="BF3609" s="8"/>
      <c r="BG3609" s="8">
        <v>47.61</v>
      </c>
      <c r="BH3609" s="9">
        <f t="shared" si="504"/>
        <v>1463.65</v>
      </c>
      <c r="BI3609" s="9">
        <f t="shared" si="505"/>
        <v>7.29</v>
      </c>
      <c r="BJ3609" s="9">
        <f t="shared" si="506"/>
        <v>4.97</v>
      </c>
      <c r="BK3609" s="9">
        <f t="shared" si="507"/>
        <v>16.12</v>
      </c>
      <c r="BL3609" s="9">
        <f t="shared" si="508"/>
        <v>219.77</v>
      </c>
      <c r="BM3609" s="9">
        <f t="shared" si="509"/>
        <v>7.4717499999999992</v>
      </c>
      <c r="BN3609" s="9">
        <f t="shared" si="510"/>
        <v>644.9</v>
      </c>
      <c r="BO3609" s="9">
        <f t="shared" si="511"/>
        <v>4.66</v>
      </c>
      <c r="BP3609" s="9">
        <f t="shared" si="512"/>
        <v>0</v>
      </c>
    </row>
    <row r="3610" spans="1:68">
      <c r="A3610" s="6">
        <v>45208</v>
      </c>
      <c r="B3610" s="7">
        <v>3141</v>
      </c>
      <c r="C3610" s="8">
        <v>2406.7600000000002</v>
      </c>
      <c r="D3610" s="8">
        <v>423</v>
      </c>
      <c r="E3610" s="8"/>
      <c r="F3610" s="8"/>
      <c r="G3610" s="8"/>
      <c r="H3610" s="8"/>
      <c r="I3610" s="8"/>
      <c r="J3610" s="8"/>
      <c r="K3610" s="8"/>
      <c r="L3610" s="8"/>
      <c r="M3610" s="8">
        <v>7.78</v>
      </c>
      <c r="N3610" s="8"/>
      <c r="O3610" s="8"/>
      <c r="P3610" s="8"/>
      <c r="Q3610" s="11"/>
      <c r="R3610" s="11"/>
      <c r="S3610" s="8">
        <v>13.33</v>
      </c>
      <c r="T3610" s="8"/>
      <c r="U3610" s="8">
        <v>42.52</v>
      </c>
      <c r="V3610" s="8"/>
      <c r="W3610" s="8"/>
      <c r="X3610" s="8"/>
      <c r="Y3610" s="8"/>
      <c r="Z3610" s="8"/>
      <c r="AA3610" s="8"/>
      <c r="AB3610" s="8"/>
      <c r="AC3610" s="8">
        <v>11.35</v>
      </c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11"/>
      <c r="AQ3610" s="8"/>
      <c r="AR3610" s="8"/>
      <c r="AS3610" s="8"/>
      <c r="AT3610" s="8">
        <v>1877.87</v>
      </c>
      <c r="AU3610" s="8"/>
      <c r="AV3610" s="8"/>
      <c r="AW3610" s="8"/>
      <c r="AX3610" s="8"/>
      <c r="AY3610" s="8"/>
      <c r="AZ3610" s="8"/>
      <c r="BA3610" s="8">
        <v>64.97</v>
      </c>
      <c r="BB3610" s="8"/>
      <c r="BC3610" s="8"/>
      <c r="BD3610" s="8"/>
      <c r="BE3610" s="8"/>
      <c r="BF3610" s="8">
        <v>198.33</v>
      </c>
      <c r="BG3610" s="8">
        <v>147.22999999999999</v>
      </c>
      <c r="BH3610" s="9">
        <f t="shared" si="504"/>
        <v>2829.76</v>
      </c>
      <c r="BI3610" s="9">
        <f t="shared" si="505"/>
        <v>7.78</v>
      </c>
      <c r="BJ3610" s="9">
        <f t="shared" si="506"/>
        <v>13.33</v>
      </c>
      <c r="BK3610" s="9">
        <f t="shared" si="507"/>
        <v>42.52</v>
      </c>
      <c r="BL3610" s="9">
        <f t="shared" si="508"/>
        <v>0</v>
      </c>
      <c r="BM3610" s="9">
        <f t="shared" si="509"/>
        <v>11.35</v>
      </c>
      <c r="BN3610" s="9">
        <f t="shared" si="510"/>
        <v>1877.87</v>
      </c>
      <c r="BO3610" s="9">
        <f t="shared" si="511"/>
        <v>64.97</v>
      </c>
      <c r="BP3610" s="9">
        <f t="shared" si="512"/>
        <v>198.33</v>
      </c>
    </row>
    <row r="3611" spans="1:68">
      <c r="A3611" s="6">
        <v>45208</v>
      </c>
      <c r="B3611" s="7">
        <v>3106</v>
      </c>
      <c r="C3611" s="8">
        <v>4095.55</v>
      </c>
      <c r="D3611" s="8"/>
      <c r="E3611" s="8"/>
      <c r="F3611" s="8"/>
      <c r="G3611" s="8"/>
      <c r="H3611" s="8"/>
      <c r="I3611" s="8"/>
      <c r="J3611" s="8"/>
      <c r="K3611" s="8"/>
      <c r="L3611" s="8"/>
      <c r="M3611" s="8">
        <v>11.04</v>
      </c>
      <c r="N3611" s="8"/>
      <c r="O3611" s="8"/>
      <c r="P3611" s="8"/>
      <c r="Q3611" s="11"/>
      <c r="R3611" s="11"/>
      <c r="S3611" s="8">
        <v>12.34</v>
      </c>
      <c r="T3611" s="8"/>
      <c r="U3611" s="8">
        <v>52.14</v>
      </c>
      <c r="V3611" s="8"/>
      <c r="W3611" s="8"/>
      <c r="X3611" s="8"/>
      <c r="Y3611" s="8"/>
      <c r="Z3611" s="8"/>
      <c r="AA3611" s="8"/>
      <c r="AB3611" s="8"/>
      <c r="AC3611" s="8">
        <v>10.27</v>
      </c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11"/>
      <c r="AQ3611" s="8"/>
      <c r="AR3611" s="8"/>
      <c r="AS3611" s="8"/>
      <c r="AT3611" s="8">
        <v>2336.56</v>
      </c>
      <c r="AU3611" s="8"/>
      <c r="AV3611" s="8"/>
      <c r="AW3611" s="8"/>
      <c r="AX3611" s="8">
        <v>5.13</v>
      </c>
      <c r="AY3611" s="8"/>
      <c r="AZ3611" s="8"/>
      <c r="BA3611" s="8"/>
      <c r="BB3611" s="8"/>
      <c r="BC3611" s="8"/>
      <c r="BD3611" s="8"/>
      <c r="BE3611" s="8"/>
      <c r="BF3611" s="8"/>
      <c r="BG3611" s="8">
        <v>176.22</v>
      </c>
      <c r="BH3611" s="9">
        <f t="shared" si="504"/>
        <v>4095.55</v>
      </c>
      <c r="BI3611" s="9">
        <f t="shared" si="505"/>
        <v>11.04</v>
      </c>
      <c r="BJ3611" s="9">
        <f t="shared" si="506"/>
        <v>12.34</v>
      </c>
      <c r="BK3611" s="9">
        <f t="shared" si="507"/>
        <v>52.14</v>
      </c>
      <c r="BL3611" s="9">
        <f t="shared" si="508"/>
        <v>0</v>
      </c>
      <c r="BM3611" s="9">
        <f t="shared" si="509"/>
        <v>10.27</v>
      </c>
      <c r="BN3611" s="9">
        <f t="shared" si="510"/>
        <v>2336.56</v>
      </c>
      <c r="BO3611" s="9">
        <f t="shared" si="511"/>
        <v>5.13</v>
      </c>
      <c r="BP3611" s="9">
        <f t="shared" si="512"/>
        <v>0</v>
      </c>
    </row>
    <row r="3612" spans="1:68">
      <c r="A3612" s="6">
        <v>45208</v>
      </c>
      <c r="B3612" s="7">
        <v>3083</v>
      </c>
      <c r="C3612" s="8"/>
      <c r="D3612" s="8">
        <v>1074.8699999999999</v>
      </c>
      <c r="E3612" s="8"/>
      <c r="F3612" s="8"/>
      <c r="G3612" s="8"/>
      <c r="H3612" s="8"/>
      <c r="I3612" s="8">
        <v>2507.56</v>
      </c>
      <c r="J3612" s="8"/>
      <c r="K3612" s="8"/>
      <c r="L3612" s="8"/>
      <c r="M3612" s="8"/>
      <c r="N3612" s="8">
        <v>23.42</v>
      </c>
      <c r="O3612" s="8"/>
      <c r="P3612" s="8"/>
      <c r="Q3612" s="11"/>
      <c r="R3612" s="11"/>
      <c r="S3612" s="8">
        <v>2.5</v>
      </c>
      <c r="T3612" s="8"/>
      <c r="U3612" s="8"/>
      <c r="V3612" s="8"/>
      <c r="W3612" s="8">
        <v>28.82</v>
      </c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>
        <v>14.14</v>
      </c>
      <c r="AN3612" s="8">
        <f>1916*26.65/1000</f>
        <v>51.061399999999992</v>
      </c>
      <c r="AO3612" s="8"/>
      <c r="AP3612" s="11"/>
      <c r="AQ3612" s="8"/>
      <c r="AR3612" s="8">
        <f>3414*26.65/1000</f>
        <v>90.983099999999993</v>
      </c>
      <c r="AS3612" s="8"/>
      <c r="AT3612" s="8">
        <v>1692.3</v>
      </c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>
        <v>134.04</v>
      </c>
      <c r="BH3612" s="9">
        <f t="shared" si="504"/>
        <v>3582.43</v>
      </c>
      <c r="BI3612" s="9">
        <f t="shared" si="505"/>
        <v>23.42</v>
      </c>
      <c r="BJ3612" s="9">
        <f t="shared" si="506"/>
        <v>2.5</v>
      </c>
      <c r="BK3612" s="9">
        <f t="shared" si="507"/>
        <v>28.82</v>
      </c>
      <c r="BL3612" s="9">
        <f t="shared" si="508"/>
        <v>0</v>
      </c>
      <c r="BM3612" s="9">
        <f t="shared" si="509"/>
        <v>156.18449999999999</v>
      </c>
      <c r="BN3612" s="9">
        <f t="shared" si="510"/>
        <v>1692.3</v>
      </c>
      <c r="BO3612" s="9">
        <f t="shared" si="511"/>
        <v>0</v>
      </c>
      <c r="BP3612" s="9">
        <f t="shared" si="512"/>
        <v>0</v>
      </c>
    </row>
    <row r="3613" spans="1:68">
      <c r="A3613" s="6">
        <v>45208</v>
      </c>
      <c r="B3613" s="7">
        <v>3020</v>
      </c>
      <c r="C3613" s="8"/>
      <c r="D3613" s="8">
        <v>325.14</v>
      </c>
      <c r="E3613" s="8"/>
      <c r="F3613" s="8"/>
      <c r="G3613" s="8"/>
      <c r="H3613" s="8"/>
      <c r="I3613" s="8">
        <v>1839.13</v>
      </c>
      <c r="J3613" s="8"/>
      <c r="K3613" s="8"/>
      <c r="L3613" s="8"/>
      <c r="M3613" s="8"/>
      <c r="N3613" s="8">
        <v>13.2</v>
      </c>
      <c r="O3613" s="8"/>
      <c r="P3613" s="8"/>
      <c r="Q3613" s="11"/>
      <c r="R3613" s="11"/>
      <c r="S3613" s="8">
        <v>3.89</v>
      </c>
      <c r="T3613" s="8"/>
      <c r="U3613" s="8"/>
      <c r="V3613" s="8"/>
      <c r="W3613" s="8">
        <v>21.67</v>
      </c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>
        <v>21.19</v>
      </c>
      <c r="AN3613" s="8"/>
      <c r="AO3613" s="8"/>
      <c r="AP3613" s="11"/>
      <c r="AQ3613" s="8"/>
      <c r="AR3613" s="8"/>
      <c r="AS3613" s="8">
        <f>3072*18.02/1000</f>
        <v>55.357440000000004</v>
      </c>
      <c r="AT3613" s="8">
        <v>1061.83</v>
      </c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>
        <v>77.760000000000005</v>
      </c>
      <c r="BH3613" s="9">
        <f t="shared" si="504"/>
        <v>2164.27</v>
      </c>
      <c r="BI3613" s="9">
        <f t="shared" si="505"/>
        <v>13.2</v>
      </c>
      <c r="BJ3613" s="9">
        <f t="shared" si="506"/>
        <v>3.89</v>
      </c>
      <c r="BK3613" s="9">
        <f t="shared" si="507"/>
        <v>21.67</v>
      </c>
      <c r="BL3613" s="9">
        <f t="shared" si="508"/>
        <v>0</v>
      </c>
      <c r="BM3613" s="9">
        <f t="shared" si="509"/>
        <v>76.547440000000009</v>
      </c>
      <c r="BN3613" s="9">
        <f t="shared" si="510"/>
        <v>1061.83</v>
      </c>
      <c r="BO3613" s="9">
        <f t="shared" si="511"/>
        <v>0</v>
      </c>
      <c r="BP3613" s="9">
        <f t="shared" si="512"/>
        <v>0</v>
      </c>
    </row>
    <row r="3614" spans="1:68">
      <c r="A3614" s="6">
        <v>45208</v>
      </c>
      <c r="B3614" s="7">
        <v>3204</v>
      </c>
      <c r="C3614" s="8"/>
      <c r="D3614" s="8">
        <v>952.55</v>
      </c>
      <c r="E3614" s="8">
        <v>407.26</v>
      </c>
      <c r="F3614" s="8"/>
      <c r="G3614" s="8"/>
      <c r="H3614" s="8"/>
      <c r="I3614" s="8"/>
      <c r="J3614" s="8"/>
      <c r="K3614" s="8"/>
      <c r="L3614" s="8"/>
      <c r="M3614" s="8"/>
      <c r="N3614" s="8"/>
      <c r="O3614" s="8">
        <v>6.84</v>
      </c>
      <c r="P3614" s="8"/>
      <c r="Q3614" s="11"/>
      <c r="R3614" s="11"/>
      <c r="S3614" s="8">
        <v>4.63</v>
      </c>
      <c r="T3614" s="8"/>
      <c r="U3614" s="8">
        <v>15.03</v>
      </c>
      <c r="V3614" s="8"/>
      <c r="W3614" s="8"/>
      <c r="X3614" s="8"/>
      <c r="Y3614" s="8"/>
      <c r="Z3614" s="8">
        <v>204.52</v>
      </c>
      <c r="AA3614" s="8"/>
      <c r="AB3614" s="8">
        <f>715*9.73/1000</f>
        <v>6.9569500000000009</v>
      </c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11"/>
      <c r="AQ3614" s="8"/>
      <c r="AR3614" s="8"/>
      <c r="AS3614" s="8"/>
      <c r="AT3614" s="8">
        <v>599.36</v>
      </c>
      <c r="AU3614" s="8"/>
      <c r="AV3614" s="8"/>
      <c r="AW3614" s="8">
        <v>4.3899999999999997</v>
      </c>
      <c r="AX3614" s="8"/>
      <c r="AY3614" s="8"/>
      <c r="AZ3614" s="8"/>
      <c r="BA3614" s="8"/>
      <c r="BB3614" s="8"/>
      <c r="BC3614" s="8"/>
      <c r="BD3614" s="8"/>
      <c r="BE3614" s="8"/>
      <c r="BF3614" s="8"/>
      <c r="BG3614" s="8">
        <v>44.33</v>
      </c>
      <c r="BH3614" s="9">
        <f t="shared" si="504"/>
        <v>1359.81</v>
      </c>
      <c r="BI3614" s="9">
        <f t="shared" si="505"/>
        <v>6.84</v>
      </c>
      <c r="BJ3614" s="9">
        <f t="shared" si="506"/>
        <v>4.63</v>
      </c>
      <c r="BK3614" s="9">
        <f t="shared" si="507"/>
        <v>15.03</v>
      </c>
      <c r="BL3614" s="9">
        <f t="shared" si="508"/>
        <v>204.52</v>
      </c>
      <c r="BM3614" s="9">
        <f t="shared" si="509"/>
        <v>6.9569500000000009</v>
      </c>
      <c r="BN3614" s="9">
        <f t="shared" si="510"/>
        <v>599.36</v>
      </c>
      <c r="BO3614" s="9">
        <f t="shared" si="511"/>
        <v>4.3899999999999997</v>
      </c>
      <c r="BP3614" s="9">
        <f t="shared" si="512"/>
        <v>0</v>
      </c>
    </row>
    <row r="3615" spans="1:68">
      <c r="A3615" s="6">
        <v>45208</v>
      </c>
      <c r="B3615" s="7">
        <v>3602</v>
      </c>
      <c r="C3615" s="8">
        <v>567.67999999999995</v>
      </c>
      <c r="D3615" s="8"/>
      <c r="E3615" s="8"/>
      <c r="F3615" s="8"/>
      <c r="G3615" s="8">
        <v>851.24</v>
      </c>
      <c r="H3615" s="8"/>
      <c r="I3615" s="8"/>
      <c r="J3615" s="8"/>
      <c r="K3615" s="8"/>
      <c r="L3615" s="8"/>
      <c r="M3615" s="8">
        <v>1.71</v>
      </c>
      <c r="N3615" s="8"/>
      <c r="O3615" s="8"/>
      <c r="P3615" s="8"/>
      <c r="Q3615" s="11"/>
      <c r="R3615" s="11"/>
      <c r="S3615" s="8">
        <v>6.82</v>
      </c>
      <c r="T3615" s="8"/>
      <c r="U3615" s="8">
        <v>11.38</v>
      </c>
      <c r="V3615" s="8">
        <f>853*16.23/1000</f>
        <v>13.844190000000001</v>
      </c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11"/>
      <c r="AQ3615" s="8"/>
      <c r="AR3615" s="8"/>
      <c r="AS3615" s="8"/>
      <c r="AT3615" s="8">
        <v>572.49</v>
      </c>
      <c r="AU3615" s="8"/>
      <c r="AV3615" s="8"/>
      <c r="AW3615" s="8">
        <v>36.76</v>
      </c>
      <c r="AX3615" s="8"/>
      <c r="AY3615" s="8"/>
      <c r="AZ3615" s="8"/>
      <c r="BA3615" s="8"/>
      <c r="BB3615" s="8"/>
      <c r="BC3615" s="8"/>
      <c r="BD3615" s="8"/>
      <c r="BE3615" s="8"/>
      <c r="BF3615" s="8">
        <v>45.56</v>
      </c>
      <c r="BG3615" s="8">
        <v>42.46</v>
      </c>
      <c r="BH3615" s="9">
        <f t="shared" si="504"/>
        <v>1418.92</v>
      </c>
      <c r="BI3615" s="9">
        <f t="shared" si="505"/>
        <v>1.71</v>
      </c>
      <c r="BJ3615" s="9">
        <f t="shared" si="506"/>
        <v>6.82</v>
      </c>
      <c r="BK3615" s="9">
        <f t="shared" si="507"/>
        <v>25.22419</v>
      </c>
      <c r="BL3615" s="9">
        <f t="shared" si="508"/>
        <v>0</v>
      </c>
      <c r="BM3615" s="9">
        <f t="shared" si="509"/>
        <v>0</v>
      </c>
      <c r="BN3615" s="9">
        <f t="shared" si="510"/>
        <v>572.49</v>
      </c>
      <c r="BO3615" s="9">
        <f t="shared" si="511"/>
        <v>36.76</v>
      </c>
      <c r="BP3615" s="9">
        <f t="shared" si="512"/>
        <v>45.56</v>
      </c>
    </row>
    <row r="3616" spans="1:68">
      <c r="A3616" s="6">
        <v>45209</v>
      </c>
      <c r="B3616" s="7">
        <v>3307</v>
      </c>
      <c r="C3616" s="8"/>
      <c r="D3616" s="8">
        <v>602.09</v>
      </c>
      <c r="E3616" s="8"/>
      <c r="F3616" s="8"/>
      <c r="G3616" s="8"/>
      <c r="H3616" s="8"/>
      <c r="I3616" s="8"/>
      <c r="J3616" s="8"/>
      <c r="K3616" s="8"/>
      <c r="L3616" s="8"/>
      <c r="M3616" s="8">
        <v>0.54</v>
      </c>
      <c r="N3616" s="8"/>
      <c r="O3616" s="8"/>
      <c r="P3616" s="8"/>
      <c r="Q3616" s="11"/>
      <c r="R3616" s="11"/>
      <c r="S3616" s="8">
        <v>4.09</v>
      </c>
      <c r="T3616" s="8"/>
      <c r="U3616" s="8">
        <v>6.04</v>
      </c>
      <c r="V3616" s="8"/>
      <c r="W3616" s="8"/>
      <c r="X3616" s="8"/>
      <c r="Y3616" s="8"/>
      <c r="Z3616" s="8"/>
      <c r="AA3616" s="8"/>
      <c r="AB3616" s="8"/>
      <c r="AC3616" s="8">
        <v>3.61</v>
      </c>
      <c r="AD3616" s="8"/>
      <c r="AE3616" s="8"/>
      <c r="AF3616" s="8"/>
      <c r="AG3616" s="8">
        <v>6.06</v>
      </c>
      <c r="AH3616" s="8"/>
      <c r="AI3616" s="8"/>
      <c r="AJ3616" s="8"/>
      <c r="AK3616" s="8"/>
      <c r="AL3616" s="8"/>
      <c r="AM3616" s="8"/>
      <c r="AN3616" s="8"/>
      <c r="AO3616" s="8"/>
      <c r="AP3616" s="11"/>
      <c r="AQ3616" s="8"/>
      <c r="AR3616" s="8"/>
      <c r="AS3616" s="8"/>
      <c r="AT3616" s="8"/>
      <c r="AU3616" s="8">
        <v>301.72000000000003</v>
      </c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>
        <v>21.64</v>
      </c>
      <c r="BH3616" s="9">
        <f t="shared" si="504"/>
        <v>602.09</v>
      </c>
      <c r="BI3616" s="9">
        <f t="shared" si="505"/>
        <v>0.54</v>
      </c>
      <c r="BJ3616" s="9">
        <f t="shared" si="506"/>
        <v>4.09</v>
      </c>
      <c r="BK3616" s="9">
        <f t="shared" si="507"/>
        <v>6.04</v>
      </c>
      <c r="BL3616" s="9">
        <f t="shared" si="508"/>
        <v>0</v>
      </c>
      <c r="BM3616" s="9">
        <f t="shared" si="509"/>
        <v>9.67</v>
      </c>
      <c r="BN3616" s="9">
        <f t="shared" si="510"/>
        <v>301.72000000000003</v>
      </c>
      <c r="BO3616" s="9">
        <f t="shared" si="511"/>
        <v>0</v>
      </c>
      <c r="BP3616" s="9">
        <f t="shared" si="512"/>
        <v>0</v>
      </c>
    </row>
    <row r="3617" spans="1:68">
      <c r="A3617" s="6">
        <v>45209</v>
      </c>
      <c r="B3617" s="7">
        <v>3200</v>
      </c>
      <c r="C3617" s="8">
        <v>2262.79</v>
      </c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>
        <v>5.68</v>
      </c>
      <c r="P3617" s="8"/>
      <c r="Q3617" s="11"/>
      <c r="R3617" s="11"/>
      <c r="S3617" s="8">
        <v>8.83</v>
      </c>
      <c r="T3617" s="8"/>
      <c r="U3617" s="8">
        <v>33.950000000000003</v>
      </c>
      <c r="V3617" s="8"/>
      <c r="W3617" s="8"/>
      <c r="X3617" s="8"/>
      <c r="Y3617" s="8"/>
      <c r="Z3617" s="8">
        <v>475.68</v>
      </c>
      <c r="AA3617" s="8"/>
      <c r="AB3617" s="8"/>
      <c r="AC3617" s="8"/>
      <c r="AD3617" s="8"/>
      <c r="AE3617" s="8"/>
      <c r="AF3617" s="8">
        <v>113.2</v>
      </c>
      <c r="AG3617" s="8"/>
      <c r="AH3617" s="8"/>
      <c r="AI3617" s="8"/>
      <c r="AJ3617" s="8"/>
      <c r="AK3617" s="8"/>
      <c r="AL3617" s="8"/>
      <c r="AM3617" s="8"/>
      <c r="AN3617" s="8"/>
      <c r="AO3617" s="8"/>
      <c r="AP3617" s="11"/>
      <c r="AQ3617" s="8">
        <f>1533*22.63/1000</f>
        <v>34.691789999999997</v>
      </c>
      <c r="AR3617" s="8"/>
      <c r="AS3617" s="8"/>
      <c r="AT3617" s="8">
        <v>1552.3</v>
      </c>
      <c r="AU3617" s="8"/>
      <c r="AV3617" s="8"/>
      <c r="AW3617" s="8">
        <v>6.58</v>
      </c>
      <c r="AX3617" s="8"/>
      <c r="AY3617" s="8"/>
      <c r="AZ3617" s="8"/>
      <c r="BA3617" s="8"/>
      <c r="BB3617" s="8"/>
      <c r="BC3617" s="8"/>
      <c r="BD3617" s="8"/>
      <c r="BE3617" s="8"/>
      <c r="BF3617" s="8">
        <v>108.76</v>
      </c>
      <c r="BG3617" s="8">
        <v>111.96</v>
      </c>
      <c r="BH3617" s="9">
        <f t="shared" si="504"/>
        <v>2262.79</v>
      </c>
      <c r="BI3617" s="9">
        <f t="shared" si="505"/>
        <v>5.68</v>
      </c>
      <c r="BJ3617" s="9">
        <f t="shared" si="506"/>
        <v>8.83</v>
      </c>
      <c r="BK3617" s="9">
        <f t="shared" si="507"/>
        <v>33.950000000000003</v>
      </c>
      <c r="BL3617" s="9">
        <f t="shared" si="508"/>
        <v>475.68</v>
      </c>
      <c r="BM3617" s="9">
        <f t="shared" si="509"/>
        <v>147.89179000000001</v>
      </c>
      <c r="BN3617" s="9">
        <f t="shared" si="510"/>
        <v>1552.3</v>
      </c>
      <c r="BO3617" s="9">
        <f t="shared" si="511"/>
        <v>6.58</v>
      </c>
      <c r="BP3617" s="9">
        <f t="shared" si="512"/>
        <v>108.76</v>
      </c>
    </row>
    <row r="3618" spans="1:68">
      <c r="A3618" s="6">
        <v>45209</v>
      </c>
      <c r="B3618" s="7">
        <v>3145</v>
      </c>
      <c r="C3618" s="8">
        <v>1222.6400000000001</v>
      </c>
      <c r="D3618" s="8">
        <v>216.08</v>
      </c>
      <c r="E3618" s="8"/>
      <c r="F3618" s="8"/>
      <c r="G3618" s="8"/>
      <c r="H3618" s="8"/>
      <c r="I3618" s="8"/>
      <c r="J3618" s="8"/>
      <c r="K3618" s="8"/>
      <c r="L3618" s="8"/>
      <c r="M3618" s="8">
        <v>4.18</v>
      </c>
      <c r="N3618" s="8"/>
      <c r="O3618" s="8"/>
      <c r="P3618" s="8"/>
      <c r="Q3618" s="11"/>
      <c r="R3618" s="11"/>
      <c r="S3618" s="8">
        <v>6.78</v>
      </c>
      <c r="T3618" s="8"/>
      <c r="U3618" s="8">
        <v>21.62</v>
      </c>
      <c r="V3618" s="8"/>
      <c r="W3618" s="8"/>
      <c r="X3618" s="8"/>
      <c r="Y3618" s="8"/>
      <c r="Z3618" s="8"/>
      <c r="AA3618" s="8"/>
      <c r="AB3618" s="8"/>
      <c r="AC3618" s="8">
        <v>5.77</v>
      </c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11"/>
      <c r="AQ3618" s="8"/>
      <c r="AR3618" s="8"/>
      <c r="AS3618" s="8"/>
      <c r="AT3618" s="8">
        <v>943.75</v>
      </c>
      <c r="AU3618" s="8"/>
      <c r="AV3618" s="8"/>
      <c r="AW3618" s="8"/>
      <c r="AX3618" s="8"/>
      <c r="AY3618" s="8"/>
      <c r="AZ3618" s="8"/>
      <c r="BA3618" s="8"/>
      <c r="BB3618" s="8"/>
      <c r="BC3618" s="8"/>
      <c r="BD3618" s="8">
        <v>3.61</v>
      </c>
      <c r="BE3618" s="8">
        <f>1369*9.6/1000</f>
        <v>13.1424</v>
      </c>
      <c r="BF3618" s="8">
        <v>100.89</v>
      </c>
      <c r="BG3618" s="8">
        <v>75</v>
      </c>
      <c r="BH3618" s="9">
        <f t="shared" si="504"/>
        <v>1438.72</v>
      </c>
      <c r="BI3618" s="9">
        <f t="shared" si="505"/>
        <v>4.18</v>
      </c>
      <c r="BJ3618" s="9">
        <f t="shared" si="506"/>
        <v>6.78</v>
      </c>
      <c r="BK3618" s="9">
        <f t="shared" si="507"/>
        <v>21.62</v>
      </c>
      <c r="BL3618" s="9">
        <f t="shared" si="508"/>
        <v>0</v>
      </c>
      <c r="BM3618" s="9">
        <f t="shared" si="509"/>
        <v>5.77</v>
      </c>
      <c r="BN3618" s="9">
        <f t="shared" si="510"/>
        <v>943.75</v>
      </c>
      <c r="BO3618" s="9">
        <f t="shared" si="511"/>
        <v>16.752400000000002</v>
      </c>
      <c r="BP3618" s="9">
        <f t="shared" si="512"/>
        <v>100.89</v>
      </c>
    </row>
    <row r="3619" spans="1:68">
      <c r="A3619" s="6">
        <v>45209</v>
      </c>
      <c r="B3619" s="7">
        <v>3127</v>
      </c>
      <c r="C3619" s="8">
        <v>1104.8699999999999</v>
      </c>
      <c r="D3619" s="8"/>
      <c r="E3619" s="8"/>
      <c r="F3619" s="8"/>
      <c r="G3619" s="8"/>
      <c r="H3619" s="8"/>
      <c r="I3619" s="8"/>
      <c r="J3619" s="8"/>
      <c r="K3619" s="8"/>
      <c r="L3619" s="8"/>
      <c r="M3619" s="8">
        <v>2.92</v>
      </c>
      <c r="N3619" s="8"/>
      <c r="O3619" s="8"/>
      <c r="P3619" s="8"/>
      <c r="Q3619" s="11"/>
      <c r="R3619" s="11"/>
      <c r="S3619" s="8">
        <v>5.32</v>
      </c>
      <c r="T3619" s="8"/>
      <c r="U3619" s="8">
        <v>11.08</v>
      </c>
      <c r="V3619" s="8"/>
      <c r="W3619" s="8"/>
      <c r="X3619" s="8"/>
      <c r="Y3619" s="8"/>
      <c r="Z3619" s="8">
        <v>166.39</v>
      </c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11"/>
      <c r="AQ3619" s="8"/>
      <c r="AR3619" s="8"/>
      <c r="AS3619" s="8"/>
      <c r="AT3619" s="8">
        <v>542.55999999999995</v>
      </c>
      <c r="AU3619" s="8"/>
      <c r="AV3619" s="8">
        <v>22.17</v>
      </c>
      <c r="AW3619" s="8"/>
      <c r="AX3619" s="8"/>
      <c r="AY3619" s="8"/>
      <c r="AZ3619" s="8"/>
      <c r="BA3619" s="8"/>
      <c r="BB3619" s="8"/>
      <c r="BC3619" s="8"/>
      <c r="BD3619" s="8"/>
      <c r="BE3619" s="8"/>
      <c r="BF3619" s="8">
        <v>55.38</v>
      </c>
      <c r="BG3619" s="8">
        <v>38.770000000000003</v>
      </c>
      <c r="BH3619" s="9">
        <f t="shared" si="504"/>
        <v>1104.8699999999999</v>
      </c>
      <c r="BI3619" s="9">
        <f t="shared" si="505"/>
        <v>2.92</v>
      </c>
      <c r="BJ3619" s="9">
        <f t="shared" si="506"/>
        <v>5.32</v>
      </c>
      <c r="BK3619" s="9">
        <f t="shared" si="507"/>
        <v>11.08</v>
      </c>
      <c r="BL3619" s="9">
        <f t="shared" si="508"/>
        <v>166.39</v>
      </c>
      <c r="BM3619" s="9">
        <f t="shared" si="509"/>
        <v>0</v>
      </c>
      <c r="BN3619" s="9">
        <f t="shared" si="510"/>
        <v>542.55999999999995</v>
      </c>
      <c r="BO3619" s="9">
        <f t="shared" si="511"/>
        <v>22.17</v>
      </c>
      <c r="BP3619" s="9">
        <f t="shared" si="512"/>
        <v>55.38</v>
      </c>
    </row>
    <row r="3620" spans="1:68">
      <c r="A3620" s="6">
        <v>45209</v>
      </c>
      <c r="B3620" s="7">
        <v>3079</v>
      </c>
      <c r="C3620" s="8"/>
      <c r="D3620" s="8"/>
      <c r="E3620" s="8"/>
      <c r="F3620" s="8">
        <v>343.63</v>
      </c>
      <c r="G3620" s="8"/>
      <c r="H3620" s="8"/>
      <c r="I3620" s="8">
        <v>2784.51</v>
      </c>
      <c r="J3620" s="8"/>
      <c r="K3620" s="8"/>
      <c r="L3620" s="8"/>
      <c r="M3620" s="8"/>
      <c r="N3620" s="8">
        <v>22.88</v>
      </c>
      <c r="O3620" s="8"/>
      <c r="P3620" s="8"/>
      <c r="Q3620" s="11"/>
      <c r="R3620" s="11"/>
      <c r="S3620" s="8">
        <v>1.24</v>
      </c>
      <c r="T3620" s="8"/>
      <c r="U3620" s="8"/>
      <c r="V3620" s="8"/>
      <c r="W3620" s="8">
        <v>31.38</v>
      </c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>
        <v>12.41</v>
      </c>
      <c r="AN3620" s="8">
        <f>1734*18.43/1000</f>
        <v>31.957619999999999</v>
      </c>
      <c r="AO3620" s="8"/>
      <c r="AP3620" s="11"/>
      <c r="AQ3620" s="8"/>
      <c r="AR3620" s="8">
        <f>4264*18.43/1000</f>
        <v>78.585520000000002</v>
      </c>
      <c r="AS3620" s="8"/>
      <c r="AT3620" s="8">
        <v>1209.28</v>
      </c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>
        <v>87.64</v>
      </c>
      <c r="BH3620" s="9">
        <f t="shared" si="504"/>
        <v>3128.1400000000003</v>
      </c>
      <c r="BI3620" s="9">
        <f t="shared" si="505"/>
        <v>22.88</v>
      </c>
      <c r="BJ3620" s="9">
        <f t="shared" si="506"/>
        <v>1.24</v>
      </c>
      <c r="BK3620" s="9">
        <f t="shared" si="507"/>
        <v>31.38</v>
      </c>
      <c r="BL3620" s="9">
        <f t="shared" si="508"/>
        <v>0</v>
      </c>
      <c r="BM3620" s="9">
        <f t="shared" si="509"/>
        <v>122.95314</v>
      </c>
      <c r="BN3620" s="9">
        <f t="shared" si="510"/>
        <v>1209.28</v>
      </c>
      <c r="BO3620" s="9">
        <f t="shared" si="511"/>
        <v>0</v>
      </c>
      <c r="BP3620" s="9">
        <f t="shared" si="512"/>
        <v>0</v>
      </c>
    </row>
    <row r="3621" spans="1:68">
      <c r="A3621" s="6">
        <v>45209</v>
      </c>
      <c r="B3621" s="7">
        <v>3016</v>
      </c>
      <c r="C3621" s="8"/>
      <c r="D3621" s="8">
        <v>2400.16</v>
      </c>
      <c r="E3621" s="8"/>
      <c r="F3621" s="8"/>
      <c r="G3621" s="8"/>
      <c r="H3621" s="8"/>
      <c r="I3621" s="8">
        <v>2212.1799999999998</v>
      </c>
      <c r="J3621" s="8"/>
      <c r="K3621" s="8"/>
      <c r="L3621" s="8"/>
      <c r="M3621" s="8"/>
      <c r="N3621" s="8">
        <v>28.61</v>
      </c>
      <c r="O3621" s="8"/>
      <c r="P3621" s="8"/>
      <c r="Q3621" s="11"/>
      <c r="R3621" s="11"/>
      <c r="S3621" s="8">
        <v>3.23</v>
      </c>
      <c r="T3621" s="8"/>
      <c r="U3621" s="8"/>
      <c r="V3621" s="8"/>
      <c r="W3621" s="8">
        <v>46.14</v>
      </c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>
        <v>18.309999999999999</v>
      </c>
      <c r="AN3621" s="8">
        <f>2066*27.12/1000</f>
        <v>56.029920000000004</v>
      </c>
      <c r="AO3621" s="8"/>
      <c r="AP3621" s="11"/>
      <c r="AQ3621" s="8"/>
      <c r="AR3621" s="8">
        <f>4264*27.12/1000</f>
        <v>115.63968000000001</v>
      </c>
      <c r="AS3621" s="8"/>
      <c r="AT3621" s="8">
        <v>1713.24</v>
      </c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>
        <v>125.35</v>
      </c>
      <c r="BH3621" s="9">
        <f t="shared" si="504"/>
        <v>4612.34</v>
      </c>
      <c r="BI3621" s="9">
        <f t="shared" si="505"/>
        <v>28.61</v>
      </c>
      <c r="BJ3621" s="9">
        <f t="shared" si="506"/>
        <v>3.23</v>
      </c>
      <c r="BK3621" s="9">
        <f t="shared" si="507"/>
        <v>46.14</v>
      </c>
      <c r="BL3621" s="9">
        <f t="shared" si="508"/>
        <v>0</v>
      </c>
      <c r="BM3621" s="9">
        <f t="shared" si="509"/>
        <v>189.9796</v>
      </c>
      <c r="BN3621" s="9">
        <f t="shared" si="510"/>
        <v>1713.24</v>
      </c>
      <c r="BO3621" s="9">
        <f t="shared" si="511"/>
        <v>0</v>
      </c>
      <c r="BP3621" s="9">
        <f t="shared" si="512"/>
        <v>0</v>
      </c>
    </row>
    <row r="3622" spans="1:68">
      <c r="A3622" s="6">
        <v>45210</v>
      </c>
      <c r="B3622" s="7">
        <v>3203</v>
      </c>
      <c r="C3622" s="8">
        <v>882.82</v>
      </c>
      <c r="D3622" s="8"/>
      <c r="E3622" s="8">
        <v>380.55</v>
      </c>
      <c r="F3622" s="8"/>
      <c r="G3622" s="8"/>
      <c r="H3622" s="8"/>
      <c r="I3622" s="8"/>
      <c r="J3622" s="8"/>
      <c r="K3622" s="8"/>
      <c r="L3622" s="8"/>
      <c r="M3622" s="8"/>
      <c r="N3622" s="8"/>
      <c r="O3622" s="8">
        <v>3.87</v>
      </c>
      <c r="P3622" s="8"/>
      <c r="Q3622" s="11"/>
      <c r="R3622" s="11"/>
      <c r="S3622" s="8">
        <v>4.97</v>
      </c>
      <c r="T3622" s="8"/>
      <c r="U3622" s="8">
        <v>15.9</v>
      </c>
      <c r="V3622" s="8"/>
      <c r="W3622" s="8"/>
      <c r="X3622" s="8"/>
      <c r="Y3622" s="8"/>
      <c r="Z3622" s="8">
        <v>201.07</v>
      </c>
      <c r="AA3622" s="8">
        <f>10499*15/1000</f>
        <v>157.48500000000001</v>
      </c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11"/>
      <c r="AQ3622" s="8"/>
      <c r="AR3622" s="8"/>
      <c r="AS3622" s="8"/>
      <c r="AT3622" s="8">
        <v>475.1</v>
      </c>
      <c r="AU3622" s="8">
        <v>238.36</v>
      </c>
      <c r="AV3622" s="8"/>
      <c r="AW3622" s="8"/>
      <c r="AX3622" s="8"/>
      <c r="AY3622" s="8"/>
      <c r="AZ3622" s="8"/>
      <c r="BA3622" s="8"/>
      <c r="BB3622" s="8"/>
      <c r="BC3622" s="8">
        <v>3.32</v>
      </c>
      <c r="BD3622" s="8"/>
      <c r="BE3622" s="8"/>
      <c r="BF3622" s="8"/>
      <c r="BG3622" s="8">
        <v>46.9</v>
      </c>
      <c r="BH3622" s="9">
        <f t="shared" si="504"/>
        <v>1263.3700000000001</v>
      </c>
      <c r="BI3622" s="9">
        <f t="shared" si="505"/>
        <v>3.87</v>
      </c>
      <c r="BJ3622" s="9">
        <f t="shared" si="506"/>
        <v>4.97</v>
      </c>
      <c r="BK3622" s="9">
        <f t="shared" si="507"/>
        <v>15.9</v>
      </c>
      <c r="BL3622" s="9">
        <f t="shared" si="508"/>
        <v>358.55500000000001</v>
      </c>
      <c r="BM3622" s="9">
        <f t="shared" si="509"/>
        <v>0</v>
      </c>
      <c r="BN3622" s="9">
        <f t="shared" si="510"/>
        <v>713.46</v>
      </c>
      <c r="BO3622" s="9">
        <f t="shared" si="511"/>
        <v>3.32</v>
      </c>
      <c r="BP3622" s="9">
        <f t="shared" si="512"/>
        <v>0</v>
      </c>
    </row>
    <row r="3623" spans="1:68">
      <c r="A3623" s="6">
        <v>45210</v>
      </c>
      <c r="B3623" s="7">
        <v>3029</v>
      </c>
      <c r="C3623" s="8"/>
      <c r="D3623" s="8">
        <v>679.23</v>
      </c>
      <c r="E3623" s="8"/>
      <c r="F3623" s="8">
        <v>480.14</v>
      </c>
      <c r="G3623" s="8"/>
      <c r="H3623" s="8"/>
      <c r="I3623" s="8">
        <v>2839.1</v>
      </c>
      <c r="J3623" s="8"/>
      <c r="K3623" s="8"/>
      <c r="L3623" s="8"/>
      <c r="M3623" s="8"/>
      <c r="N3623" s="8">
        <v>31.61</v>
      </c>
      <c r="O3623" s="8"/>
      <c r="P3623" s="8"/>
      <c r="Q3623" s="11"/>
      <c r="R3623" s="11"/>
      <c r="S3623" s="8">
        <v>2.4</v>
      </c>
      <c r="T3623" s="8"/>
      <c r="U3623" s="8"/>
      <c r="V3623" s="8"/>
      <c r="W3623" s="8">
        <v>40.03</v>
      </c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>
        <v>13.97</v>
      </c>
      <c r="AN3623" s="8">
        <f>763*26.68/1000</f>
        <v>20.356840000000002</v>
      </c>
      <c r="AO3623" s="8"/>
      <c r="AP3623" s="11"/>
      <c r="AQ3623" s="8"/>
      <c r="AR3623" s="8">
        <f>4595*26.68/1000</f>
        <v>122.5946</v>
      </c>
      <c r="AS3623" s="8"/>
      <c r="AT3623" s="8">
        <v>1520.35</v>
      </c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>
        <v>106.26</v>
      </c>
      <c r="BH3623" s="9">
        <f t="shared" si="504"/>
        <v>3998.47</v>
      </c>
      <c r="BI3623" s="9">
        <f t="shared" si="505"/>
        <v>31.61</v>
      </c>
      <c r="BJ3623" s="9">
        <f t="shared" si="506"/>
        <v>2.4</v>
      </c>
      <c r="BK3623" s="9">
        <f t="shared" si="507"/>
        <v>40.03</v>
      </c>
      <c r="BL3623" s="9">
        <f t="shared" si="508"/>
        <v>0</v>
      </c>
      <c r="BM3623" s="9">
        <f t="shared" si="509"/>
        <v>156.92144000000002</v>
      </c>
      <c r="BN3623" s="9">
        <f t="shared" si="510"/>
        <v>1520.35</v>
      </c>
      <c r="BO3623" s="9">
        <f t="shared" si="511"/>
        <v>0</v>
      </c>
      <c r="BP3623" s="9">
        <f t="shared" si="512"/>
        <v>0</v>
      </c>
    </row>
    <row r="3624" spans="1:68">
      <c r="A3624" s="6">
        <v>45210</v>
      </c>
      <c r="B3624" s="7">
        <v>3200</v>
      </c>
      <c r="C3624" s="8">
        <f>1204.97+1230.63</f>
        <v>2435.6000000000004</v>
      </c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>
        <f>3.02+3.08</f>
        <v>6.1</v>
      </c>
      <c r="P3624" s="8"/>
      <c r="Q3624" s="11"/>
      <c r="R3624" s="11"/>
      <c r="S3624" s="8">
        <f>4.72+4.8</f>
        <v>9.52</v>
      </c>
      <c r="T3624" s="8"/>
      <c r="U3624" s="8">
        <f>18.14+18.47</f>
        <v>36.61</v>
      </c>
      <c r="V3624" s="8"/>
      <c r="W3624" s="8"/>
      <c r="X3624" s="8"/>
      <c r="Y3624" s="8"/>
      <c r="Z3624" s="8">
        <f>253.78+258.66</f>
        <v>512.44000000000005</v>
      </c>
      <c r="AA3624" s="8"/>
      <c r="AB3624" s="8"/>
      <c r="AC3624" s="8"/>
      <c r="AD3624" s="8"/>
      <c r="AE3624" s="8"/>
      <c r="AF3624" s="8">
        <f>60.28+61.21</f>
        <v>121.49000000000001</v>
      </c>
      <c r="AG3624" s="8"/>
      <c r="AH3624" s="8"/>
      <c r="AI3624" s="8"/>
      <c r="AJ3624" s="8"/>
      <c r="AK3624" s="8"/>
      <c r="AL3624" s="8"/>
      <c r="AM3624" s="8"/>
      <c r="AN3624" s="8"/>
      <c r="AO3624" s="8"/>
      <c r="AP3624" s="11"/>
      <c r="AQ3624" s="8">
        <f>1521*24.39/1000</f>
        <v>37.097190000000005</v>
      </c>
      <c r="AR3624" s="8"/>
      <c r="AS3624" s="8"/>
      <c r="AT3624" s="8">
        <f>825.21+840.15</f>
        <v>1665.3600000000001</v>
      </c>
      <c r="AU3624" s="8"/>
      <c r="AV3624" s="8"/>
      <c r="AW3624" s="8">
        <f>3.52+3.62</f>
        <v>7.1400000000000006</v>
      </c>
      <c r="AX3624" s="8"/>
      <c r="AY3624" s="8"/>
      <c r="AZ3624" s="8"/>
      <c r="BA3624" s="8"/>
      <c r="BB3624" s="8"/>
      <c r="BC3624" s="8"/>
      <c r="BD3624" s="8"/>
      <c r="BE3624" s="8"/>
      <c r="BF3624" s="8">
        <f>58+59.13</f>
        <v>117.13</v>
      </c>
      <c r="BG3624" s="8">
        <f>60.04+61.2</f>
        <v>121.24000000000001</v>
      </c>
      <c r="BH3624" s="9">
        <f t="shared" si="504"/>
        <v>2435.6000000000004</v>
      </c>
      <c r="BI3624" s="9">
        <f t="shared" si="505"/>
        <v>6.1</v>
      </c>
      <c r="BJ3624" s="9">
        <f t="shared" si="506"/>
        <v>9.52</v>
      </c>
      <c r="BK3624" s="9">
        <f t="shared" si="507"/>
        <v>36.61</v>
      </c>
      <c r="BL3624" s="9">
        <f t="shared" si="508"/>
        <v>512.44000000000005</v>
      </c>
      <c r="BM3624" s="9">
        <f t="shared" si="509"/>
        <v>158.58719000000002</v>
      </c>
      <c r="BN3624" s="9">
        <f t="shared" si="510"/>
        <v>1665.3600000000001</v>
      </c>
      <c r="BO3624" s="9">
        <f t="shared" si="511"/>
        <v>7.1400000000000006</v>
      </c>
      <c r="BP3624" s="9">
        <f t="shared" si="512"/>
        <v>117.13</v>
      </c>
    </row>
    <row r="3625" spans="1:68">
      <c r="A3625" s="6">
        <v>45210</v>
      </c>
      <c r="B3625" s="7">
        <v>3141</v>
      </c>
      <c r="C3625" s="8">
        <v>2375.5700000000002</v>
      </c>
      <c r="D3625" s="8">
        <v>417.46</v>
      </c>
      <c r="E3625" s="8"/>
      <c r="F3625" s="8"/>
      <c r="G3625" s="8"/>
      <c r="H3625" s="8"/>
      <c r="I3625" s="8"/>
      <c r="J3625" s="8"/>
      <c r="K3625" s="8"/>
      <c r="L3625" s="8"/>
      <c r="M3625" s="8">
        <v>7.64</v>
      </c>
      <c r="N3625" s="8"/>
      <c r="O3625" s="8"/>
      <c r="P3625" s="8"/>
      <c r="Q3625" s="11"/>
      <c r="R3625" s="11"/>
      <c r="S3625" s="8">
        <v>13.21</v>
      </c>
      <c r="T3625" s="8"/>
      <c r="U3625" s="8">
        <v>42.2</v>
      </c>
      <c r="V3625" s="8"/>
      <c r="W3625" s="8"/>
      <c r="X3625" s="8"/>
      <c r="Y3625" s="8"/>
      <c r="Z3625" s="8"/>
      <c r="AA3625" s="8"/>
      <c r="AB3625" s="8"/>
      <c r="AC3625" s="8">
        <v>11.24</v>
      </c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11"/>
      <c r="AQ3625" s="8"/>
      <c r="AR3625" s="8"/>
      <c r="AS3625" s="8"/>
      <c r="AT3625" s="8">
        <v>1843.8</v>
      </c>
      <c r="AU3625" s="8"/>
      <c r="AV3625" s="8"/>
      <c r="AW3625" s="8"/>
      <c r="AX3625" s="8"/>
      <c r="AY3625" s="8"/>
      <c r="AZ3625" s="8"/>
      <c r="BA3625" s="8">
        <v>64.400000000000006</v>
      </c>
      <c r="BB3625" s="8"/>
      <c r="BC3625" s="8"/>
      <c r="BD3625" s="8"/>
      <c r="BE3625" s="8"/>
      <c r="BF3625" s="8">
        <v>196.53</v>
      </c>
      <c r="BG3625" s="8">
        <v>146.28</v>
      </c>
      <c r="BH3625" s="9">
        <f t="shared" si="504"/>
        <v>2793.03</v>
      </c>
      <c r="BI3625" s="9">
        <f t="shared" si="505"/>
        <v>7.64</v>
      </c>
      <c r="BJ3625" s="9">
        <f t="shared" si="506"/>
        <v>13.21</v>
      </c>
      <c r="BK3625" s="9">
        <f t="shared" si="507"/>
        <v>42.2</v>
      </c>
      <c r="BL3625" s="9">
        <f t="shared" si="508"/>
        <v>0</v>
      </c>
      <c r="BM3625" s="9">
        <f t="shared" si="509"/>
        <v>11.24</v>
      </c>
      <c r="BN3625" s="9">
        <f t="shared" si="510"/>
        <v>1843.8</v>
      </c>
      <c r="BO3625" s="9">
        <f t="shared" si="511"/>
        <v>64.400000000000006</v>
      </c>
      <c r="BP3625" s="9">
        <f t="shared" si="512"/>
        <v>196.53</v>
      </c>
    </row>
    <row r="3626" spans="1:68">
      <c r="A3626" s="6">
        <v>45210</v>
      </c>
      <c r="B3626" s="7">
        <v>3106</v>
      </c>
      <c r="C3626" s="8">
        <v>4077.98</v>
      </c>
      <c r="D3626" s="8"/>
      <c r="E3626" s="8"/>
      <c r="F3626" s="8"/>
      <c r="G3626" s="8"/>
      <c r="H3626" s="8"/>
      <c r="I3626" s="8"/>
      <c r="J3626" s="8"/>
      <c r="K3626" s="8"/>
      <c r="L3626" s="8"/>
      <c r="M3626" s="8">
        <v>11</v>
      </c>
      <c r="N3626" s="8"/>
      <c r="O3626" s="8"/>
      <c r="P3626" s="8"/>
      <c r="Q3626" s="11"/>
      <c r="R3626" s="11"/>
      <c r="S3626" s="8">
        <v>12.28</v>
      </c>
      <c r="T3626" s="8"/>
      <c r="U3626" s="8">
        <v>51.97</v>
      </c>
      <c r="V3626" s="8"/>
      <c r="W3626" s="8"/>
      <c r="X3626" s="8"/>
      <c r="Y3626" s="8"/>
      <c r="Z3626" s="8"/>
      <c r="AA3626" s="8"/>
      <c r="AB3626" s="8"/>
      <c r="AC3626" s="8">
        <v>10.210000000000001</v>
      </c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11"/>
      <c r="AQ3626" s="8"/>
      <c r="AR3626" s="8"/>
      <c r="AS3626" s="8"/>
      <c r="AT3626" s="8">
        <v>2328.9299999999998</v>
      </c>
      <c r="AU3626" s="8"/>
      <c r="AV3626" s="8"/>
      <c r="AW3626" s="8"/>
      <c r="AX3626" s="8">
        <v>5.1100000000000003</v>
      </c>
      <c r="AY3626" s="8"/>
      <c r="AZ3626" s="8"/>
      <c r="BA3626" s="8"/>
      <c r="BB3626" s="8"/>
      <c r="BC3626" s="8"/>
      <c r="BD3626" s="8"/>
      <c r="BE3626" s="8"/>
      <c r="BF3626" s="8"/>
      <c r="BG3626" s="8">
        <v>175.21</v>
      </c>
      <c r="BH3626" s="9">
        <f t="shared" si="504"/>
        <v>4077.98</v>
      </c>
      <c r="BI3626" s="9">
        <f t="shared" si="505"/>
        <v>11</v>
      </c>
      <c r="BJ3626" s="9">
        <f t="shared" si="506"/>
        <v>12.28</v>
      </c>
      <c r="BK3626" s="9">
        <f t="shared" si="507"/>
        <v>51.97</v>
      </c>
      <c r="BL3626" s="9">
        <f t="shared" si="508"/>
        <v>0</v>
      </c>
      <c r="BM3626" s="9">
        <f t="shared" si="509"/>
        <v>10.210000000000001</v>
      </c>
      <c r="BN3626" s="9">
        <f t="shared" si="510"/>
        <v>2328.9299999999998</v>
      </c>
      <c r="BO3626" s="9">
        <f t="shared" si="511"/>
        <v>5.1100000000000003</v>
      </c>
      <c r="BP3626" s="9">
        <f t="shared" si="512"/>
        <v>0</v>
      </c>
    </row>
    <row r="3627" spans="1:68">
      <c r="A3627" s="6">
        <v>45210</v>
      </c>
      <c r="B3627" s="7">
        <v>3149</v>
      </c>
      <c r="C3627" s="8">
        <v>687.47</v>
      </c>
      <c r="D3627" s="8">
        <v>122.66</v>
      </c>
      <c r="E3627" s="8"/>
      <c r="F3627" s="8"/>
      <c r="G3627" s="8"/>
      <c r="H3627" s="8"/>
      <c r="I3627" s="8"/>
      <c r="J3627" s="8"/>
      <c r="K3627" s="8"/>
      <c r="L3627" s="8"/>
      <c r="M3627" s="8">
        <v>2.68</v>
      </c>
      <c r="N3627" s="8"/>
      <c r="O3627" s="8"/>
      <c r="P3627" s="8"/>
      <c r="Q3627" s="11"/>
      <c r="R3627" s="11"/>
      <c r="S3627" s="8">
        <v>3.82</v>
      </c>
      <c r="T3627" s="8"/>
      <c r="U3627" s="8">
        <v>12.19</v>
      </c>
      <c r="V3627" s="8"/>
      <c r="W3627" s="8"/>
      <c r="X3627" s="8"/>
      <c r="Y3627" s="8"/>
      <c r="Z3627" s="8"/>
      <c r="AA3627" s="8"/>
      <c r="AB3627" s="8"/>
      <c r="AC3627" s="8">
        <v>3.25</v>
      </c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11"/>
      <c r="AQ3627" s="8"/>
      <c r="AR3627" s="8"/>
      <c r="AS3627" s="8"/>
      <c r="AT3627" s="8">
        <v>531.22</v>
      </c>
      <c r="AU3627" s="8"/>
      <c r="AV3627" s="8"/>
      <c r="AW3627" s="8">
        <v>26.2</v>
      </c>
      <c r="AX3627" s="8"/>
      <c r="AY3627" s="8"/>
      <c r="AZ3627" s="8"/>
      <c r="BA3627" s="8"/>
      <c r="BB3627" s="8"/>
      <c r="BC3627" s="8"/>
      <c r="BD3627" s="8"/>
      <c r="BE3627" s="8"/>
      <c r="BF3627" s="8">
        <v>56.76</v>
      </c>
      <c r="BG3627" s="8">
        <v>42.31</v>
      </c>
      <c r="BH3627" s="9">
        <f t="shared" si="504"/>
        <v>810.13</v>
      </c>
      <c r="BI3627" s="9">
        <f t="shared" si="505"/>
        <v>2.68</v>
      </c>
      <c r="BJ3627" s="9">
        <f t="shared" si="506"/>
        <v>3.82</v>
      </c>
      <c r="BK3627" s="9">
        <f t="shared" si="507"/>
        <v>12.19</v>
      </c>
      <c r="BL3627" s="9">
        <f t="shared" si="508"/>
        <v>0</v>
      </c>
      <c r="BM3627" s="9">
        <f t="shared" si="509"/>
        <v>3.25</v>
      </c>
      <c r="BN3627" s="9">
        <f t="shared" si="510"/>
        <v>531.22</v>
      </c>
      <c r="BO3627" s="9">
        <f t="shared" si="511"/>
        <v>26.2</v>
      </c>
      <c r="BP3627" s="9">
        <f t="shared" si="512"/>
        <v>56.76</v>
      </c>
    </row>
    <row r="3628" spans="1:68">
      <c r="A3628" s="6">
        <v>45210</v>
      </c>
      <c r="B3628" s="7">
        <v>3601</v>
      </c>
      <c r="C3628" s="8">
        <v>292.42</v>
      </c>
      <c r="D3628" s="8"/>
      <c r="E3628" s="8"/>
      <c r="F3628" s="8"/>
      <c r="G3628" s="8">
        <v>437.73</v>
      </c>
      <c r="H3628" s="8"/>
      <c r="I3628" s="8"/>
      <c r="J3628" s="8"/>
      <c r="K3628" s="8"/>
      <c r="L3628" s="8"/>
      <c r="M3628" s="8">
        <v>0.87</v>
      </c>
      <c r="N3628" s="8"/>
      <c r="O3628" s="8"/>
      <c r="P3628" s="8"/>
      <c r="Q3628" s="11"/>
      <c r="R3628" s="11"/>
      <c r="S3628" s="8">
        <v>3.52</v>
      </c>
      <c r="T3628" s="8"/>
      <c r="U3628" s="8">
        <v>4.38</v>
      </c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11"/>
      <c r="AQ3628" s="8"/>
      <c r="AR3628" s="8"/>
      <c r="AS3628" s="8"/>
      <c r="AT3628" s="8">
        <v>357.55</v>
      </c>
      <c r="AU3628" s="8"/>
      <c r="AV3628" s="8"/>
      <c r="AW3628" s="8">
        <v>22.21</v>
      </c>
      <c r="AX3628" s="8"/>
      <c r="AY3628" s="8"/>
      <c r="AZ3628" s="8"/>
      <c r="BA3628" s="8"/>
      <c r="BB3628" s="8"/>
      <c r="BC3628" s="8"/>
      <c r="BD3628" s="8"/>
      <c r="BE3628" s="8"/>
      <c r="BF3628" s="8">
        <v>40.85</v>
      </c>
      <c r="BG3628" s="8">
        <v>26.06</v>
      </c>
      <c r="BH3628" s="9">
        <f t="shared" si="504"/>
        <v>730.15000000000009</v>
      </c>
      <c r="BI3628" s="9">
        <f t="shared" si="505"/>
        <v>0.87</v>
      </c>
      <c r="BJ3628" s="9">
        <f t="shared" si="506"/>
        <v>3.52</v>
      </c>
      <c r="BK3628" s="9">
        <f t="shared" si="507"/>
        <v>4.38</v>
      </c>
      <c r="BL3628" s="9">
        <f t="shared" si="508"/>
        <v>0</v>
      </c>
      <c r="BM3628" s="9">
        <f t="shared" si="509"/>
        <v>0</v>
      </c>
      <c r="BN3628" s="9">
        <f t="shared" si="510"/>
        <v>357.55</v>
      </c>
      <c r="BO3628" s="9">
        <f t="shared" si="511"/>
        <v>22.21</v>
      </c>
      <c r="BP3628" s="9">
        <f t="shared" si="512"/>
        <v>40.85</v>
      </c>
    </row>
    <row r="3629" spans="1:68">
      <c r="A3629" s="6">
        <v>45210</v>
      </c>
      <c r="B3629" s="7">
        <v>3430</v>
      </c>
      <c r="C3629" s="8">
        <v>140.18</v>
      </c>
      <c r="D3629" s="8">
        <v>209.91</v>
      </c>
      <c r="E3629" s="8"/>
      <c r="F3629" s="8"/>
      <c r="G3629" s="8"/>
      <c r="H3629" s="8"/>
      <c r="I3629" s="8"/>
      <c r="J3629" s="8"/>
      <c r="K3629" s="8"/>
      <c r="L3629" s="8"/>
      <c r="M3629" s="8"/>
      <c r="N3629" s="8">
        <v>0.63</v>
      </c>
      <c r="O3629" s="8"/>
      <c r="P3629" s="8"/>
      <c r="Q3629" s="11"/>
      <c r="R3629" s="11"/>
      <c r="S3629" s="8">
        <v>1.05</v>
      </c>
      <c r="T3629" s="8"/>
      <c r="U3629" s="8"/>
      <c r="V3629" s="8"/>
      <c r="W3629" s="8"/>
      <c r="X3629" s="8">
        <f>1082*3.87/1000</f>
        <v>4.1873399999999998</v>
      </c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11"/>
      <c r="AQ3629" s="8"/>
      <c r="AR3629" s="8"/>
      <c r="AS3629" s="8"/>
      <c r="AT3629" s="8">
        <v>141.49</v>
      </c>
      <c r="AU3629" s="8"/>
      <c r="AV3629" s="8"/>
      <c r="AW3629" s="8">
        <v>6.82</v>
      </c>
      <c r="AX3629" s="8"/>
      <c r="AY3629" s="8"/>
      <c r="AZ3629" s="8"/>
      <c r="BA3629" s="8"/>
      <c r="BB3629" s="8"/>
      <c r="BC3629" s="8"/>
      <c r="BD3629" s="8"/>
      <c r="BE3629" s="8"/>
      <c r="BF3629" s="8"/>
      <c r="BG3629" s="8">
        <v>10.75</v>
      </c>
      <c r="BH3629" s="9">
        <f t="shared" si="504"/>
        <v>350.09000000000003</v>
      </c>
      <c r="BI3629" s="9">
        <f t="shared" si="505"/>
        <v>0.63</v>
      </c>
      <c r="BJ3629" s="9">
        <f t="shared" si="506"/>
        <v>1.05</v>
      </c>
      <c r="BK3629" s="9">
        <f t="shared" si="507"/>
        <v>4.1873399999999998</v>
      </c>
      <c r="BL3629" s="9">
        <f t="shared" si="508"/>
        <v>0</v>
      </c>
      <c r="BM3629" s="9">
        <f t="shared" si="509"/>
        <v>0</v>
      </c>
      <c r="BN3629" s="9">
        <f t="shared" si="510"/>
        <v>141.49</v>
      </c>
      <c r="BO3629" s="9">
        <f t="shared" si="511"/>
        <v>6.82</v>
      </c>
      <c r="BP3629" s="9">
        <f t="shared" si="512"/>
        <v>0</v>
      </c>
    </row>
    <row r="3630" spans="1:68">
      <c r="A3630" s="6">
        <v>45211</v>
      </c>
      <c r="B3630" s="7">
        <v>3304</v>
      </c>
      <c r="C3630" s="8"/>
      <c r="D3630" s="8">
        <v>1153.8399999999999</v>
      </c>
      <c r="E3630" s="8"/>
      <c r="F3630" s="8"/>
      <c r="G3630" s="8"/>
      <c r="H3630" s="8"/>
      <c r="I3630" s="8"/>
      <c r="J3630" s="8"/>
      <c r="K3630" s="8"/>
      <c r="L3630" s="8"/>
      <c r="M3630" s="8">
        <v>2.2999999999999998</v>
      </c>
      <c r="N3630" s="8"/>
      <c r="O3630" s="8"/>
      <c r="P3630" s="8"/>
      <c r="Q3630" s="11"/>
      <c r="R3630" s="11"/>
      <c r="S3630" s="8">
        <v>1.73</v>
      </c>
      <c r="T3630" s="8"/>
      <c r="U3630" s="8">
        <v>10.37</v>
      </c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>
        <v>11.52</v>
      </c>
      <c r="AH3630" s="8"/>
      <c r="AI3630" s="8"/>
      <c r="AJ3630" s="8"/>
      <c r="AK3630" s="8"/>
      <c r="AL3630" s="8"/>
      <c r="AM3630" s="8"/>
      <c r="AN3630" s="8"/>
      <c r="AO3630" s="8"/>
      <c r="AP3630" s="11"/>
      <c r="AQ3630" s="8"/>
      <c r="AR3630" s="8"/>
      <c r="AS3630" s="8"/>
      <c r="AT3630" s="8">
        <v>307.14</v>
      </c>
      <c r="AU3630" s="8">
        <v>153.88</v>
      </c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>
        <v>32.090000000000003</v>
      </c>
      <c r="BH3630" s="9">
        <f t="shared" si="504"/>
        <v>1153.8399999999999</v>
      </c>
      <c r="BI3630" s="9">
        <f t="shared" si="505"/>
        <v>2.2999999999999998</v>
      </c>
      <c r="BJ3630" s="9">
        <f t="shared" si="506"/>
        <v>1.73</v>
      </c>
      <c r="BK3630" s="9">
        <f t="shared" si="507"/>
        <v>10.37</v>
      </c>
      <c r="BL3630" s="9">
        <f t="shared" si="508"/>
        <v>0</v>
      </c>
      <c r="BM3630" s="9">
        <f t="shared" si="509"/>
        <v>11.52</v>
      </c>
      <c r="BN3630" s="9">
        <f t="shared" si="510"/>
        <v>461.02</v>
      </c>
      <c r="BO3630" s="9">
        <f t="shared" si="511"/>
        <v>0</v>
      </c>
      <c r="BP3630" s="9">
        <f t="shared" si="512"/>
        <v>0</v>
      </c>
    </row>
    <row r="3631" spans="1:68">
      <c r="A3631" s="6">
        <v>45211</v>
      </c>
      <c r="B3631" s="7">
        <v>3100</v>
      </c>
      <c r="C3631" s="8">
        <v>681.24</v>
      </c>
      <c r="D3631" s="8"/>
      <c r="E3631" s="8"/>
      <c r="F3631" s="8"/>
      <c r="G3631" s="8"/>
      <c r="H3631" s="8"/>
      <c r="I3631" s="8"/>
      <c r="J3631" s="8"/>
      <c r="K3631" s="8"/>
      <c r="L3631" s="8"/>
      <c r="M3631" s="8">
        <v>1.71</v>
      </c>
      <c r="N3631" s="8"/>
      <c r="O3631" s="8"/>
      <c r="P3631" s="8"/>
      <c r="Q3631" s="11"/>
      <c r="R3631" s="11"/>
      <c r="S3631" s="8">
        <v>3.89</v>
      </c>
      <c r="T3631" s="8"/>
      <c r="U3631" s="8">
        <v>10.93</v>
      </c>
      <c r="V3631" s="8"/>
      <c r="W3631" s="8"/>
      <c r="X3631" s="8"/>
      <c r="Y3631" s="8"/>
      <c r="Z3631" s="8"/>
      <c r="AA3631" s="8"/>
      <c r="AB3631" s="8"/>
      <c r="AC3631" s="8">
        <v>2.74</v>
      </c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11"/>
      <c r="AQ3631" s="8"/>
      <c r="AR3631" s="8"/>
      <c r="AS3631" s="8"/>
      <c r="AT3631" s="8">
        <v>459.95</v>
      </c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>
        <v>88.73</v>
      </c>
      <c r="BG3631" s="8">
        <v>35.11</v>
      </c>
      <c r="BH3631" s="9">
        <f t="shared" si="504"/>
        <v>681.24</v>
      </c>
      <c r="BI3631" s="9">
        <f t="shared" si="505"/>
        <v>1.71</v>
      </c>
      <c r="BJ3631" s="9">
        <f t="shared" si="506"/>
        <v>3.89</v>
      </c>
      <c r="BK3631" s="9">
        <f t="shared" si="507"/>
        <v>10.93</v>
      </c>
      <c r="BL3631" s="9">
        <f t="shared" si="508"/>
        <v>0</v>
      </c>
      <c r="BM3631" s="9">
        <f t="shared" si="509"/>
        <v>2.74</v>
      </c>
      <c r="BN3631" s="9">
        <f t="shared" si="510"/>
        <v>459.95</v>
      </c>
      <c r="BO3631" s="9">
        <f t="shared" si="511"/>
        <v>0</v>
      </c>
      <c r="BP3631" s="9">
        <f t="shared" si="512"/>
        <v>88.73</v>
      </c>
    </row>
    <row r="3632" spans="1:68">
      <c r="A3632" s="6">
        <v>45211</v>
      </c>
      <c r="B3632" s="7">
        <v>8315</v>
      </c>
      <c r="C3632" s="8">
        <v>488.88</v>
      </c>
      <c r="D3632" s="8">
        <v>487.96</v>
      </c>
      <c r="E3632" s="8"/>
      <c r="F3632" s="8"/>
      <c r="G3632" s="8"/>
      <c r="H3632" s="8"/>
      <c r="I3632" s="8"/>
      <c r="J3632" s="8"/>
      <c r="K3632" s="8"/>
      <c r="L3632" s="8"/>
      <c r="M3632" s="8">
        <v>2.83</v>
      </c>
      <c r="N3632" s="8"/>
      <c r="O3632" s="8"/>
      <c r="P3632" s="8"/>
      <c r="Q3632" s="11"/>
      <c r="R3632" s="11"/>
      <c r="S3632" s="8">
        <v>4.88</v>
      </c>
      <c r="T3632" s="8"/>
      <c r="U3632" s="8">
        <v>15.63</v>
      </c>
      <c r="V3632" s="8"/>
      <c r="W3632" s="8"/>
      <c r="X3632" s="8"/>
      <c r="Y3632" s="8"/>
      <c r="Z3632" s="8"/>
      <c r="AA3632" s="8"/>
      <c r="AB3632" s="8"/>
      <c r="AC3632" s="8">
        <v>3.91</v>
      </c>
      <c r="AD3632" s="8"/>
      <c r="AE3632" s="8"/>
      <c r="AF3632" s="8"/>
      <c r="AG3632" s="8">
        <v>4.88</v>
      </c>
      <c r="AH3632" s="8"/>
      <c r="AI3632" s="8"/>
      <c r="AJ3632" s="8"/>
      <c r="AK3632" s="8"/>
      <c r="AL3632" s="8"/>
      <c r="AM3632" s="8"/>
      <c r="AN3632" s="8"/>
      <c r="AO3632" s="8"/>
      <c r="AP3632" s="11"/>
      <c r="AQ3632" s="8"/>
      <c r="AR3632" s="8"/>
      <c r="AS3632" s="8"/>
      <c r="AT3632" s="8">
        <v>627.65</v>
      </c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>
        <v>126.97</v>
      </c>
      <c r="BG3632" s="8">
        <v>50.76</v>
      </c>
      <c r="BH3632" s="9">
        <f t="shared" si="504"/>
        <v>976.83999999999992</v>
      </c>
      <c r="BI3632" s="9">
        <f t="shared" si="505"/>
        <v>2.83</v>
      </c>
      <c r="BJ3632" s="9">
        <f t="shared" si="506"/>
        <v>4.88</v>
      </c>
      <c r="BK3632" s="9">
        <f t="shared" si="507"/>
        <v>15.63</v>
      </c>
      <c r="BL3632" s="9">
        <f t="shared" si="508"/>
        <v>0</v>
      </c>
      <c r="BM3632" s="9">
        <f t="shared" si="509"/>
        <v>8.7899999999999991</v>
      </c>
      <c r="BN3632" s="9">
        <f t="shared" si="510"/>
        <v>627.65</v>
      </c>
      <c r="BO3632" s="9">
        <f t="shared" si="511"/>
        <v>0</v>
      </c>
      <c r="BP3632" s="9">
        <f t="shared" si="512"/>
        <v>126.97</v>
      </c>
    </row>
    <row r="3633" spans="1:68">
      <c r="A3633" s="6">
        <v>45212</v>
      </c>
      <c r="B3633" s="7">
        <v>3117</v>
      </c>
      <c r="C3633" s="8">
        <v>803.54</v>
      </c>
      <c r="D3633" s="8"/>
      <c r="E3633" s="8"/>
      <c r="F3633" s="8"/>
      <c r="G3633" s="8"/>
      <c r="H3633" s="8"/>
      <c r="I3633" s="8"/>
      <c r="J3633" s="8"/>
      <c r="K3633" s="8"/>
      <c r="L3633" s="8"/>
      <c r="M3633" s="8">
        <v>2.34</v>
      </c>
      <c r="N3633" s="8"/>
      <c r="O3633" s="8"/>
      <c r="P3633" s="8"/>
      <c r="Q3633" s="11"/>
      <c r="R3633" s="11"/>
      <c r="S3633" s="8">
        <v>3.23</v>
      </c>
      <c r="T3633" s="8"/>
      <c r="U3633" s="8">
        <v>8.09</v>
      </c>
      <c r="V3633" s="8"/>
      <c r="W3633" s="8"/>
      <c r="X3633" s="8"/>
      <c r="Y3633" s="8"/>
      <c r="Z3633" s="8"/>
      <c r="AA3633" s="8"/>
      <c r="AB3633" s="8"/>
      <c r="AC3633" s="8">
        <v>3.23</v>
      </c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11"/>
      <c r="AQ3633" s="8"/>
      <c r="AR3633" s="8"/>
      <c r="AS3633" s="8"/>
      <c r="AT3633" s="8">
        <v>507.69</v>
      </c>
      <c r="AU3633" s="8"/>
      <c r="AV3633" s="8">
        <v>20.16</v>
      </c>
      <c r="AW3633" s="8"/>
      <c r="AX3633" s="8"/>
      <c r="AY3633" s="8"/>
      <c r="AZ3633" s="8"/>
      <c r="BA3633" s="8"/>
      <c r="BB3633" s="8"/>
      <c r="BC3633" s="8"/>
      <c r="BD3633" s="8"/>
      <c r="BE3633" s="8"/>
      <c r="BF3633" s="8">
        <v>40.44</v>
      </c>
      <c r="BG3633" s="8">
        <v>38.74</v>
      </c>
      <c r="BH3633" s="9">
        <f t="shared" si="504"/>
        <v>803.54</v>
      </c>
      <c r="BI3633" s="9">
        <f t="shared" si="505"/>
        <v>2.34</v>
      </c>
      <c r="BJ3633" s="9">
        <f t="shared" si="506"/>
        <v>3.23</v>
      </c>
      <c r="BK3633" s="9">
        <f t="shared" si="507"/>
        <v>8.09</v>
      </c>
      <c r="BL3633" s="9">
        <f t="shared" si="508"/>
        <v>0</v>
      </c>
      <c r="BM3633" s="9">
        <f t="shared" si="509"/>
        <v>3.23</v>
      </c>
      <c r="BN3633" s="9">
        <f t="shared" si="510"/>
        <v>507.69</v>
      </c>
      <c r="BO3633" s="9">
        <f t="shared" si="511"/>
        <v>20.16</v>
      </c>
      <c r="BP3633" s="9">
        <f t="shared" si="512"/>
        <v>40.44</v>
      </c>
    </row>
    <row r="3634" spans="1:68">
      <c r="A3634" s="6">
        <v>45212</v>
      </c>
      <c r="B3634" s="7">
        <v>3602</v>
      </c>
      <c r="C3634" s="8">
        <f>209.34+372.34</f>
        <v>581.67999999999995</v>
      </c>
      <c r="D3634" s="8"/>
      <c r="E3634" s="8"/>
      <c r="F3634" s="8"/>
      <c r="G3634" s="8">
        <f>314.11+560.27</f>
        <v>874.38</v>
      </c>
      <c r="H3634" s="8"/>
      <c r="I3634" s="8"/>
      <c r="J3634" s="8"/>
      <c r="K3634" s="8"/>
      <c r="L3634" s="8"/>
      <c r="M3634" s="8">
        <f>0.63+1.12</f>
        <v>1.75</v>
      </c>
      <c r="N3634" s="8"/>
      <c r="O3634" s="8"/>
      <c r="P3634" s="8"/>
      <c r="Q3634" s="11"/>
      <c r="R3634" s="11"/>
      <c r="S3634" s="8">
        <f>2.51+4.49</f>
        <v>7</v>
      </c>
      <c r="T3634" s="8"/>
      <c r="U3634" s="8">
        <f>4.2+7.49</f>
        <v>11.690000000000001</v>
      </c>
      <c r="V3634" s="8">
        <f>863*16.67/1000</f>
        <v>14.38621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11"/>
      <c r="AQ3634" s="8"/>
      <c r="AR3634" s="8"/>
      <c r="AS3634" s="8"/>
      <c r="AT3634" s="8">
        <f>210.71+376.46</f>
        <v>587.16999999999996</v>
      </c>
      <c r="AU3634" s="8"/>
      <c r="AV3634" s="8"/>
      <c r="AW3634" s="8">
        <f>13.54+24.21</f>
        <v>37.75</v>
      </c>
      <c r="AX3634" s="8"/>
      <c r="AY3634" s="8"/>
      <c r="AZ3634" s="8"/>
      <c r="BA3634" s="8"/>
      <c r="BB3634" s="8"/>
      <c r="BC3634" s="8"/>
      <c r="BD3634" s="8"/>
      <c r="BE3634" s="8"/>
      <c r="BF3634" s="8">
        <f>16.75+29.98</f>
        <v>46.730000000000004</v>
      </c>
      <c r="BG3634" s="8">
        <f>15.58+28.04</f>
        <v>43.62</v>
      </c>
      <c r="BH3634" s="9">
        <f t="shared" si="504"/>
        <v>1456.06</v>
      </c>
      <c r="BI3634" s="9">
        <f t="shared" si="505"/>
        <v>1.75</v>
      </c>
      <c r="BJ3634" s="9">
        <f t="shared" si="506"/>
        <v>7</v>
      </c>
      <c r="BK3634" s="9">
        <f t="shared" si="507"/>
        <v>26.076210000000003</v>
      </c>
      <c r="BL3634" s="9">
        <f t="shared" si="508"/>
        <v>0</v>
      </c>
      <c r="BM3634" s="9">
        <f t="shared" si="509"/>
        <v>0</v>
      </c>
      <c r="BN3634" s="9">
        <f t="shared" si="510"/>
        <v>587.16999999999996</v>
      </c>
      <c r="BO3634" s="9">
        <f t="shared" si="511"/>
        <v>37.75</v>
      </c>
      <c r="BP3634" s="9">
        <f t="shared" si="512"/>
        <v>46.730000000000004</v>
      </c>
    </row>
    <row r="3635" spans="1:68">
      <c r="A3635" s="6">
        <v>45212</v>
      </c>
      <c r="B3635" s="7">
        <v>3204</v>
      </c>
      <c r="C3635" s="8"/>
      <c r="D3635" s="8">
        <f>763.65+1094.32</f>
        <v>1857.9699999999998</v>
      </c>
      <c r="E3635" s="8">
        <f>326.72+468.3</f>
        <v>795.02</v>
      </c>
      <c r="F3635" s="8"/>
      <c r="G3635" s="8"/>
      <c r="H3635" s="8"/>
      <c r="I3635" s="8"/>
      <c r="J3635" s="8"/>
      <c r="K3635" s="8"/>
      <c r="L3635" s="8"/>
      <c r="M3635" s="8"/>
      <c r="N3635" s="8"/>
      <c r="O3635" s="8">
        <f>5.45+7.84</f>
        <v>13.29</v>
      </c>
      <c r="P3635" s="8"/>
      <c r="Q3635" s="11"/>
      <c r="R3635" s="11"/>
      <c r="S3635" s="8">
        <f>3.7+5.31</f>
        <v>9.01</v>
      </c>
      <c r="T3635" s="8"/>
      <c r="U3635" s="8">
        <f>12+17.22</f>
        <v>29.22</v>
      </c>
      <c r="V3635" s="8"/>
      <c r="W3635" s="8"/>
      <c r="X3635" s="8"/>
      <c r="Y3635" s="8"/>
      <c r="Z3635" s="8">
        <f>163.51+234.56</f>
        <v>398.07</v>
      </c>
      <c r="AA3635" s="8"/>
      <c r="AB3635" s="8">
        <f>709*18.94/1000</f>
        <v>13.428460000000001</v>
      </c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11"/>
      <c r="AQ3635" s="8"/>
      <c r="AR3635" s="8"/>
      <c r="AS3635" s="8"/>
      <c r="AT3635" s="8">
        <f>480.34+687.98</f>
        <v>1168.32</v>
      </c>
      <c r="AU3635" s="8"/>
      <c r="AV3635" s="8"/>
      <c r="AW3635" s="8">
        <f>3.48+5.01</f>
        <v>8.49</v>
      </c>
      <c r="AX3635" s="8"/>
      <c r="AY3635" s="8"/>
      <c r="AZ3635" s="8"/>
      <c r="BA3635" s="8"/>
      <c r="BB3635" s="8"/>
      <c r="BC3635" s="8"/>
      <c r="BD3635" s="8"/>
      <c r="BE3635" s="8"/>
      <c r="BF3635" s="8"/>
      <c r="BG3635" s="8">
        <f>35.46+50.85</f>
        <v>86.31</v>
      </c>
      <c r="BH3635" s="9">
        <f t="shared" si="504"/>
        <v>2652.99</v>
      </c>
      <c r="BI3635" s="9">
        <f t="shared" si="505"/>
        <v>13.29</v>
      </c>
      <c r="BJ3635" s="9">
        <f t="shared" si="506"/>
        <v>9.01</v>
      </c>
      <c r="BK3635" s="9">
        <f t="shared" si="507"/>
        <v>29.22</v>
      </c>
      <c r="BL3635" s="9">
        <f t="shared" si="508"/>
        <v>398.07</v>
      </c>
      <c r="BM3635" s="9">
        <f t="shared" si="509"/>
        <v>13.428460000000001</v>
      </c>
      <c r="BN3635" s="9">
        <f t="shared" si="510"/>
        <v>1168.32</v>
      </c>
      <c r="BO3635" s="9">
        <f t="shared" si="511"/>
        <v>8.49</v>
      </c>
      <c r="BP3635" s="9">
        <f t="shared" si="512"/>
        <v>0</v>
      </c>
    </row>
    <row r="3636" spans="1:68">
      <c r="A3636" s="6">
        <v>45212</v>
      </c>
      <c r="B3636" s="7">
        <v>3025</v>
      </c>
      <c r="C3636" s="8"/>
      <c r="D3636" s="8">
        <v>126.75</v>
      </c>
      <c r="E3636" s="8"/>
      <c r="F3636" s="8"/>
      <c r="G3636" s="8"/>
      <c r="H3636" s="8"/>
      <c r="I3636" s="8">
        <v>716.27</v>
      </c>
      <c r="J3636" s="8"/>
      <c r="K3636" s="8"/>
      <c r="L3636" s="8"/>
      <c r="M3636" s="8"/>
      <c r="N3636" s="8">
        <v>4.72</v>
      </c>
      <c r="O3636" s="8"/>
      <c r="P3636" s="8"/>
      <c r="Q3636" s="11"/>
      <c r="R3636" s="11"/>
      <c r="S3636" s="8">
        <v>1.35</v>
      </c>
      <c r="T3636" s="8"/>
      <c r="U3636" s="8"/>
      <c r="V3636" s="8"/>
      <c r="W3636" s="8">
        <v>7.61</v>
      </c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>
        <v>8.36</v>
      </c>
      <c r="AN3636" s="8">
        <f>712*8.43/1000</f>
        <v>6.0021599999999999</v>
      </c>
      <c r="AO3636" s="8"/>
      <c r="AP3636" s="11"/>
      <c r="AQ3636" s="8"/>
      <c r="AR3636" s="8"/>
      <c r="AS3636" s="8">
        <f>3322*8.43/1000</f>
        <v>28.004459999999998</v>
      </c>
      <c r="AT3636" s="8">
        <v>291.81</v>
      </c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>
        <v>19.329999999999998</v>
      </c>
      <c r="BH3636" s="9">
        <f t="shared" si="504"/>
        <v>843.02</v>
      </c>
      <c r="BI3636" s="9">
        <f t="shared" si="505"/>
        <v>4.72</v>
      </c>
      <c r="BJ3636" s="9">
        <f t="shared" si="506"/>
        <v>1.35</v>
      </c>
      <c r="BK3636" s="9">
        <f t="shared" si="507"/>
        <v>7.61</v>
      </c>
      <c r="BL3636" s="9">
        <f t="shared" si="508"/>
        <v>0</v>
      </c>
      <c r="BM3636" s="9">
        <f t="shared" si="509"/>
        <v>42.366619999999998</v>
      </c>
      <c r="BN3636" s="9">
        <f t="shared" si="510"/>
        <v>291.81</v>
      </c>
      <c r="BO3636" s="9">
        <f t="shared" si="511"/>
        <v>0</v>
      </c>
      <c r="BP3636" s="9">
        <f t="shared" si="512"/>
        <v>0</v>
      </c>
    </row>
    <row r="3637" spans="1:68">
      <c r="A3637" s="6">
        <v>45212</v>
      </c>
      <c r="B3637" s="7">
        <v>3023</v>
      </c>
      <c r="C3637" s="8"/>
      <c r="D3637" s="8">
        <v>887.85</v>
      </c>
      <c r="E3637" s="8"/>
      <c r="F3637" s="8"/>
      <c r="G3637" s="8"/>
      <c r="H3637" s="8"/>
      <c r="I3637" s="8">
        <v>483.02</v>
      </c>
      <c r="J3637" s="8"/>
      <c r="K3637" s="8"/>
      <c r="L3637" s="8"/>
      <c r="M3637" s="8"/>
      <c r="N3637" s="8">
        <v>7.65</v>
      </c>
      <c r="O3637" s="8"/>
      <c r="P3637" s="8"/>
      <c r="Q3637" s="11"/>
      <c r="R3637" s="11"/>
      <c r="S3637" s="8">
        <v>2.19</v>
      </c>
      <c r="T3637" s="8"/>
      <c r="U3637" s="8"/>
      <c r="V3637" s="8"/>
      <c r="W3637" s="8">
        <v>12.39</v>
      </c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>
        <v>13.68</v>
      </c>
      <c r="AN3637" s="8">
        <f>1022*9.43/1000</f>
        <v>9.637459999999999</v>
      </c>
      <c r="AO3637" s="8"/>
      <c r="AP3637" s="11"/>
      <c r="AQ3637" s="8"/>
      <c r="AR3637" s="8"/>
      <c r="AS3637" s="8">
        <f>4786*9.43/1000</f>
        <v>45.131979999999999</v>
      </c>
      <c r="AT3637" s="8">
        <v>560.1</v>
      </c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>
        <v>42.34</v>
      </c>
      <c r="BH3637" s="9">
        <f t="shared" si="504"/>
        <v>1370.87</v>
      </c>
      <c r="BI3637" s="9">
        <f t="shared" si="505"/>
        <v>7.65</v>
      </c>
      <c r="BJ3637" s="9">
        <f t="shared" si="506"/>
        <v>2.19</v>
      </c>
      <c r="BK3637" s="9">
        <f t="shared" si="507"/>
        <v>12.39</v>
      </c>
      <c r="BL3637" s="9">
        <f t="shared" si="508"/>
        <v>0</v>
      </c>
      <c r="BM3637" s="9">
        <f t="shared" si="509"/>
        <v>68.449439999999996</v>
      </c>
      <c r="BN3637" s="9">
        <f t="shared" si="510"/>
        <v>560.1</v>
      </c>
      <c r="BO3637" s="9">
        <f t="shared" si="511"/>
        <v>0</v>
      </c>
      <c r="BP3637" s="9">
        <f t="shared" si="512"/>
        <v>0</v>
      </c>
    </row>
    <row r="3638" spans="1:68">
      <c r="A3638" s="6">
        <v>45212</v>
      </c>
      <c r="B3638" s="7">
        <v>3079</v>
      </c>
      <c r="C3638" s="8"/>
      <c r="D3638" s="8"/>
      <c r="E3638" s="8"/>
      <c r="F3638" s="8">
        <v>504.24</v>
      </c>
      <c r="G3638" s="8"/>
      <c r="H3638" s="8"/>
      <c r="I3638" s="8">
        <v>4081.42</v>
      </c>
      <c r="J3638" s="8"/>
      <c r="K3638" s="8"/>
      <c r="L3638" s="8"/>
      <c r="M3638" s="8"/>
      <c r="N3638" s="8">
        <v>33.49</v>
      </c>
      <c r="O3638" s="8"/>
      <c r="P3638" s="8"/>
      <c r="Q3638" s="11"/>
      <c r="R3638" s="11"/>
      <c r="S3638" s="8">
        <v>1.82</v>
      </c>
      <c r="T3638" s="8"/>
      <c r="U3638" s="8"/>
      <c r="V3638" s="8"/>
      <c r="W3638" s="8">
        <v>45.9</v>
      </c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>
        <v>18.309999999999999</v>
      </c>
      <c r="AN3638" s="8">
        <f>1726*26.98/1000</f>
        <v>46.567480000000003</v>
      </c>
      <c r="AO3638" s="8"/>
      <c r="AP3638" s="11"/>
      <c r="AQ3638" s="8"/>
      <c r="AR3638" s="8">
        <f>4325*26.98/1000</f>
        <v>116.6885</v>
      </c>
      <c r="AS3638" s="8"/>
      <c r="AT3638" s="8">
        <v>1770.88</v>
      </c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>
        <v>128.11000000000001</v>
      </c>
      <c r="BH3638" s="9">
        <f t="shared" si="504"/>
        <v>4585.66</v>
      </c>
      <c r="BI3638" s="9">
        <f t="shared" si="505"/>
        <v>33.49</v>
      </c>
      <c r="BJ3638" s="9">
        <f t="shared" si="506"/>
        <v>1.82</v>
      </c>
      <c r="BK3638" s="9">
        <f t="shared" si="507"/>
        <v>45.9</v>
      </c>
      <c r="BL3638" s="9">
        <f t="shared" si="508"/>
        <v>0</v>
      </c>
      <c r="BM3638" s="9">
        <f t="shared" si="509"/>
        <v>181.56598000000002</v>
      </c>
      <c r="BN3638" s="9">
        <f t="shared" si="510"/>
        <v>1770.88</v>
      </c>
      <c r="BO3638" s="9">
        <f t="shared" si="511"/>
        <v>0</v>
      </c>
      <c r="BP3638" s="9">
        <f t="shared" si="512"/>
        <v>0</v>
      </c>
    </row>
    <row r="3639" spans="1:68">
      <c r="A3639" s="6">
        <v>45215</v>
      </c>
      <c r="B3639" s="7">
        <v>3200</v>
      </c>
      <c r="C3639" s="8">
        <v>2307.52</v>
      </c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>
        <v>5.75</v>
      </c>
      <c r="P3639" s="8"/>
      <c r="Q3639" s="11"/>
      <c r="R3639" s="11"/>
      <c r="S3639" s="8">
        <v>9</v>
      </c>
      <c r="T3639" s="8"/>
      <c r="U3639" s="8">
        <v>34.61</v>
      </c>
      <c r="V3639" s="8"/>
      <c r="W3639" s="8"/>
      <c r="X3639" s="8"/>
      <c r="Y3639" s="8"/>
      <c r="Z3639" s="8">
        <v>484.86</v>
      </c>
      <c r="AA3639" s="8"/>
      <c r="AB3639" s="8"/>
      <c r="AC3639" s="8"/>
      <c r="AD3639" s="8"/>
      <c r="AE3639" s="8"/>
      <c r="AF3639" s="8">
        <v>115.37</v>
      </c>
      <c r="AG3639" s="8"/>
      <c r="AH3639" s="8"/>
      <c r="AI3639" s="8"/>
      <c r="AJ3639" s="8"/>
      <c r="AK3639" s="8"/>
      <c r="AL3639" s="8"/>
      <c r="AM3639" s="8"/>
      <c r="AN3639" s="8"/>
      <c r="AO3639" s="8"/>
      <c r="AP3639" s="11"/>
      <c r="AQ3639" s="8">
        <f>1515*23.07/1000</f>
        <v>34.951050000000002</v>
      </c>
      <c r="AR3639" s="8"/>
      <c r="AS3639" s="8"/>
      <c r="AT3639" s="8">
        <v>1580.62</v>
      </c>
      <c r="AU3639" s="8"/>
      <c r="AV3639" s="8"/>
      <c r="AW3639" s="8">
        <v>6.73</v>
      </c>
      <c r="AX3639" s="8"/>
      <c r="AY3639" s="8"/>
      <c r="AZ3639" s="8"/>
      <c r="BA3639" s="8"/>
      <c r="BB3639" s="8"/>
      <c r="BC3639" s="8"/>
      <c r="BD3639" s="8"/>
      <c r="BE3639" s="8"/>
      <c r="BF3639" s="8">
        <v>110.76</v>
      </c>
      <c r="BG3639" s="8">
        <v>114.38</v>
      </c>
      <c r="BH3639" s="9">
        <f t="shared" si="504"/>
        <v>2307.52</v>
      </c>
      <c r="BI3639" s="9">
        <f t="shared" si="505"/>
        <v>5.75</v>
      </c>
      <c r="BJ3639" s="9">
        <f t="shared" si="506"/>
        <v>9</v>
      </c>
      <c r="BK3639" s="9">
        <f t="shared" si="507"/>
        <v>34.61</v>
      </c>
      <c r="BL3639" s="9">
        <f t="shared" si="508"/>
        <v>484.86</v>
      </c>
      <c r="BM3639" s="9">
        <f t="shared" si="509"/>
        <v>150.32105000000001</v>
      </c>
      <c r="BN3639" s="9">
        <f t="shared" si="510"/>
        <v>1580.62</v>
      </c>
      <c r="BO3639" s="9">
        <f t="shared" si="511"/>
        <v>6.73</v>
      </c>
      <c r="BP3639" s="9">
        <f t="shared" si="512"/>
        <v>110.76</v>
      </c>
    </row>
    <row r="3640" spans="1:68">
      <c r="A3640" s="6">
        <v>45215</v>
      </c>
      <c r="B3640" s="7">
        <v>3111</v>
      </c>
      <c r="C3640" s="8">
        <v>1002.54</v>
      </c>
      <c r="D3640" s="8"/>
      <c r="E3640" s="8"/>
      <c r="F3640" s="8"/>
      <c r="G3640" s="8"/>
      <c r="H3640" s="8"/>
      <c r="I3640" s="8"/>
      <c r="J3640" s="8"/>
      <c r="K3640" s="8"/>
      <c r="L3640" s="8"/>
      <c r="M3640" s="8">
        <v>1.93</v>
      </c>
      <c r="N3640" s="8"/>
      <c r="O3640" s="8"/>
      <c r="P3640" s="8"/>
      <c r="Q3640" s="11"/>
      <c r="R3640" s="11"/>
      <c r="S3640" s="8">
        <v>3.01</v>
      </c>
      <c r="T3640" s="8"/>
      <c r="U3640" s="8">
        <v>10.039999999999999</v>
      </c>
      <c r="V3640" s="8"/>
      <c r="W3640" s="8"/>
      <c r="X3640" s="8"/>
      <c r="Y3640" s="8"/>
      <c r="Z3640" s="8"/>
      <c r="AA3640" s="8"/>
      <c r="AB3640" s="8"/>
      <c r="AC3640" s="8">
        <v>4.01</v>
      </c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11"/>
      <c r="AQ3640" s="8"/>
      <c r="AR3640" s="8"/>
      <c r="AS3640" s="8"/>
      <c r="AT3640" s="8">
        <v>467.28</v>
      </c>
      <c r="AU3640" s="8"/>
      <c r="AV3640" s="8"/>
      <c r="AW3640" s="8"/>
      <c r="AX3640" s="8"/>
      <c r="AY3640" s="8"/>
      <c r="AZ3640" s="8"/>
      <c r="BA3640" s="8">
        <v>37.35</v>
      </c>
      <c r="BB3640" s="8"/>
      <c r="BC3640" s="8"/>
      <c r="BD3640" s="8"/>
      <c r="BE3640" s="8"/>
      <c r="BF3640" s="8"/>
      <c r="BG3640" s="8">
        <v>32.58</v>
      </c>
      <c r="BH3640" s="9">
        <f t="shared" si="504"/>
        <v>1002.54</v>
      </c>
      <c r="BI3640" s="9">
        <f t="shared" si="505"/>
        <v>1.93</v>
      </c>
      <c r="BJ3640" s="9">
        <f t="shared" si="506"/>
        <v>3.01</v>
      </c>
      <c r="BK3640" s="9">
        <f t="shared" si="507"/>
        <v>10.039999999999999</v>
      </c>
      <c r="BL3640" s="9">
        <f t="shared" si="508"/>
        <v>0</v>
      </c>
      <c r="BM3640" s="9">
        <f t="shared" si="509"/>
        <v>4.01</v>
      </c>
      <c r="BN3640" s="9">
        <f t="shared" si="510"/>
        <v>467.28</v>
      </c>
      <c r="BO3640" s="9">
        <f t="shared" si="511"/>
        <v>37.35</v>
      </c>
      <c r="BP3640" s="9">
        <f t="shared" si="512"/>
        <v>0</v>
      </c>
    </row>
    <row r="3641" spans="1:68">
      <c r="A3641" s="6">
        <v>45215</v>
      </c>
      <c r="B3641" s="7">
        <v>3104</v>
      </c>
      <c r="C3641" s="8">
        <v>1480.95</v>
      </c>
      <c r="D3641" s="8"/>
      <c r="E3641" s="8"/>
      <c r="F3641" s="8"/>
      <c r="G3641" s="8"/>
      <c r="H3641" s="8">
        <v>380.32</v>
      </c>
      <c r="I3641" s="8"/>
      <c r="J3641" s="8"/>
      <c r="K3641" s="8"/>
      <c r="L3641" s="8"/>
      <c r="M3641" s="8">
        <v>4.21</v>
      </c>
      <c r="N3641" s="8"/>
      <c r="O3641" s="8"/>
      <c r="P3641" s="8"/>
      <c r="Q3641" s="11"/>
      <c r="R3641" s="11"/>
      <c r="S3641" s="8">
        <v>7.34</v>
      </c>
      <c r="T3641" s="8"/>
      <c r="U3641" s="8">
        <v>19.47</v>
      </c>
      <c r="V3641" s="8"/>
      <c r="W3641" s="8"/>
      <c r="X3641" s="8"/>
      <c r="Y3641" s="8"/>
      <c r="Z3641" s="8"/>
      <c r="AA3641" s="8"/>
      <c r="AB3641" s="8"/>
      <c r="AC3641" s="8">
        <v>6.78</v>
      </c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11"/>
      <c r="AQ3641" s="8"/>
      <c r="AR3641" s="8"/>
      <c r="AS3641" s="8"/>
      <c r="AT3641" s="8">
        <v>1083.03</v>
      </c>
      <c r="AU3641" s="8"/>
      <c r="AV3641" s="8"/>
      <c r="AW3641" s="8"/>
      <c r="AX3641" s="8"/>
      <c r="AY3641" s="8"/>
      <c r="AZ3641" s="8"/>
      <c r="BA3641" s="8">
        <v>38.770000000000003</v>
      </c>
      <c r="BB3641" s="8"/>
      <c r="BC3641" s="8"/>
      <c r="BD3641" s="8"/>
      <c r="BE3641" s="8"/>
      <c r="BF3641" s="8">
        <v>33.82</v>
      </c>
      <c r="BG3641" s="8">
        <v>83.61</v>
      </c>
      <c r="BH3641" s="9">
        <f t="shared" si="504"/>
        <v>1861.27</v>
      </c>
      <c r="BI3641" s="9">
        <f t="shared" si="505"/>
        <v>4.21</v>
      </c>
      <c r="BJ3641" s="9">
        <f t="shared" si="506"/>
        <v>7.34</v>
      </c>
      <c r="BK3641" s="9">
        <f t="shared" si="507"/>
        <v>19.47</v>
      </c>
      <c r="BL3641" s="9">
        <f t="shared" si="508"/>
        <v>0</v>
      </c>
      <c r="BM3641" s="9">
        <f t="shared" si="509"/>
        <v>6.78</v>
      </c>
      <c r="BN3641" s="9">
        <f t="shared" si="510"/>
        <v>1083.03</v>
      </c>
      <c r="BO3641" s="9">
        <f t="shared" si="511"/>
        <v>38.770000000000003</v>
      </c>
      <c r="BP3641" s="9">
        <f t="shared" si="512"/>
        <v>33.82</v>
      </c>
    </row>
    <row r="3642" spans="1:68">
      <c r="A3642" s="6">
        <v>45215</v>
      </c>
      <c r="B3642" s="7">
        <v>3106</v>
      </c>
      <c r="C3642" s="8">
        <v>6131.42</v>
      </c>
      <c r="D3642" s="8"/>
      <c r="E3642" s="8"/>
      <c r="F3642" s="8"/>
      <c r="G3642" s="8"/>
      <c r="H3642" s="8"/>
      <c r="I3642" s="8"/>
      <c r="J3642" s="8"/>
      <c r="K3642" s="8"/>
      <c r="L3642" s="8"/>
      <c r="M3642" s="8">
        <v>16.47</v>
      </c>
      <c r="N3642" s="8"/>
      <c r="O3642" s="8"/>
      <c r="P3642" s="8"/>
      <c r="Q3642" s="11"/>
      <c r="R3642" s="11"/>
      <c r="S3642" s="8">
        <v>18.420000000000002</v>
      </c>
      <c r="T3642" s="8"/>
      <c r="U3642" s="8">
        <v>78</v>
      </c>
      <c r="V3642" s="8"/>
      <c r="W3642" s="8"/>
      <c r="X3642" s="8"/>
      <c r="Y3642" s="8"/>
      <c r="Z3642" s="8"/>
      <c r="AA3642" s="8"/>
      <c r="AB3642" s="8"/>
      <c r="AC3642" s="8">
        <v>15.32</v>
      </c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11"/>
      <c r="AQ3642" s="8"/>
      <c r="AR3642" s="8"/>
      <c r="AS3642" s="8"/>
      <c r="AT3642" s="8">
        <v>3495.57</v>
      </c>
      <c r="AU3642" s="8"/>
      <c r="AV3642" s="8"/>
      <c r="AW3642" s="8"/>
      <c r="AX3642" s="8">
        <v>7.67</v>
      </c>
      <c r="AY3642" s="8"/>
      <c r="AZ3642" s="8"/>
      <c r="BA3642" s="8"/>
      <c r="BB3642" s="8"/>
      <c r="BC3642" s="8"/>
      <c r="BD3642" s="8"/>
      <c r="BE3642" s="8"/>
      <c r="BF3642" s="8"/>
      <c r="BG3642" s="8">
        <v>264.54000000000002</v>
      </c>
      <c r="BH3642" s="9">
        <f t="shared" si="504"/>
        <v>6131.42</v>
      </c>
      <c r="BI3642" s="9">
        <f t="shared" si="505"/>
        <v>16.47</v>
      </c>
      <c r="BJ3642" s="9">
        <f t="shared" si="506"/>
        <v>18.420000000000002</v>
      </c>
      <c r="BK3642" s="9">
        <f t="shared" si="507"/>
        <v>78</v>
      </c>
      <c r="BL3642" s="9">
        <f t="shared" si="508"/>
        <v>0</v>
      </c>
      <c r="BM3642" s="9">
        <f t="shared" si="509"/>
        <v>15.32</v>
      </c>
      <c r="BN3642" s="9">
        <f t="shared" si="510"/>
        <v>3495.57</v>
      </c>
      <c r="BO3642" s="9">
        <f t="shared" si="511"/>
        <v>7.67</v>
      </c>
      <c r="BP3642" s="9">
        <f t="shared" si="512"/>
        <v>0</v>
      </c>
    </row>
    <row r="3643" spans="1:68">
      <c r="A3643" s="6">
        <v>45215</v>
      </c>
      <c r="B3643" s="7">
        <v>3144</v>
      </c>
      <c r="C3643" s="8">
        <v>1199.9100000000001</v>
      </c>
      <c r="D3643" s="8">
        <v>211.75</v>
      </c>
      <c r="E3643" s="8"/>
      <c r="F3643" s="8"/>
      <c r="G3643" s="8"/>
      <c r="H3643" s="8"/>
      <c r="I3643" s="8"/>
      <c r="J3643" s="8"/>
      <c r="K3643" s="8"/>
      <c r="L3643" s="8"/>
      <c r="M3643" s="8">
        <v>4.0999999999999996</v>
      </c>
      <c r="N3643" s="8"/>
      <c r="O3643" s="8"/>
      <c r="P3643" s="8"/>
      <c r="Q3643" s="11"/>
      <c r="R3643" s="11"/>
      <c r="S3643" s="8">
        <v>6.64</v>
      </c>
      <c r="T3643" s="8"/>
      <c r="U3643" s="8">
        <v>21.19</v>
      </c>
      <c r="V3643" s="8"/>
      <c r="W3643" s="8"/>
      <c r="X3643" s="8"/>
      <c r="Y3643" s="8"/>
      <c r="Z3643" s="8"/>
      <c r="AA3643" s="8"/>
      <c r="AB3643" s="8"/>
      <c r="AC3643" s="8">
        <v>5.65</v>
      </c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11">
        <f>1217*9.4/1000</f>
        <v>11.439800000000002</v>
      </c>
      <c r="AQ3643" s="8"/>
      <c r="AR3643" s="8"/>
      <c r="AS3643" s="8"/>
      <c r="AT3643" s="8">
        <v>925.43</v>
      </c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>
        <v>98.91</v>
      </c>
      <c r="BG3643" s="8">
        <v>73.34</v>
      </c>
      <c r="BH3643" s="9">
        <f t="shared" si="504"/>
        <v>1411.66</v>
      </c>
      <c r="BI3643" s="9">
        <f t="shared" si="505"/>
        <v>4.0999999999999996</v>
      </c>
      <c r="BJ3643" s="9">
        <f t="shared" si="506"/>
        <v>6.64</v>
      </c>
      <c r="BK3643" s="9">
        <f t="shared" si="507"/>
        <v>21.19</v>
      </c>
      <c r="BL3643" s="9">
        <f t="shared" si="508"/>
        <v>0</v>
      </c>
      <c r="BM3643" s="9">
        <f t="shared" si="509"/>
        <v>17.089800000000004</v>
      </c>
      <c r="BN3643" s="9">
        <f t="shared" si="510"/>
        <v>925.43</v>
      </c>
      <c r="BO3643" s="9">
        <f t="shared" si="511"/>
        <v>0</v>
      </c>
      <c r="BP3643" s="9">
        <f t="shared" si="512"/>
        <v>98.91</v>
      </c>
    </row>
    <row r="3644" spans="1:68">
      <c r="A3644" s="6">
        <v>45215</v>
      </c>
      <c r="B3644" s="7">
        <v>3016</v>
      </c>
      <c r="C3644" s="8"/>
      <c r="D3644" s="8">
        <f>2069.67+397.58</f>
        <v>2467.25</v>
      </c>
      <c r="E3644" s="8"/>
      <c r="F3644" s="8"/>
      <c r="G3644" s="8"/>
      <c r="H3644" s="8"/>
      <c r="I3644" s="8">
        <f>366.46+1911.43</f>
        <v>2277.89</v>
      </c>
      <c r="J3644" s="8"/>
      <c r="K3644" s="8"/>
      <c r="L3644" s="8"/>
      <c r="M3644" s="8"/>
      <c r="N3644" s="8">
        <f>4.74+24.69</f>
        <v>29.43</v>
      </c>
      <c r="O3644" s="8"/>
      <c r="P3644" s="8"/>
      <c r="Q3644" s="11"/>
      <c r="R3644" s="11"/>
      <c r="S3644" s="8">
        <f>0.54+2.79</f>
        <v>3.33</v>
      </c>
      <c r="T3644" s="8"/>
      <c r="U3644" s="8"/>
      <c r="V3644" s="8"/>
      <c r="W3644" s="8">
        <f>7.64+39.84</f>
        <v>47.480000000000004</v>
      </c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>
        <f>3.06+15.92</f>
        <v>18.98</v>
      </c>
      <c r="AN3644" s="8">
        <f>2054*27.9/1000</f>
        <v>57.306599999999996</v>
      </c>
      <c r="AO3644" s="8"/>
      <c r="AP3644" s="11"/>
      <c r="AQ3644" s="8"/>
      <c r="AR3644" s="8">
        <f>4279*27.9/1000</f>
        <v>119.38409999999999</v>
      </c>
      <c r="AS3644" s="8"/>
      <c r="AT3644" s="8">
        <f>283.81+1477.95</f>
        <v>1761.76</v>
      </c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>
        <f>20.78+108.37</f>
        <v>129.15</v>
      </c>
      <c r="BH3644" s="9">
        <f t="shared" si="504"/>
        <v>4745.1399999999994</v>
      </c>
      <c r="BI3644" s="9">
        <f t="shared" si="505"/>
        <v>29.43</v>
      </c>
      <c r="BJ3644" s="9">
        <f t="shared" si="506"/>
        <v>3.33</v>
      </c>
      <c r="BK3644" s="9">
        <f t="shared" si="507"/>
        <v>47.480000000000004</v>
      </c>
      <c r="BL3644" s="9">
        <f t="shared" si="508"/>
        <v>0</v>
      </c>
      <c r="BM3644" s="9">
        <f t="shared" si="509"/>
        <v>195.67069999999998</v>
      </c>
      <c r="BN3644" s="9">
        <f t="shared" si="510"/>
        <v>1761.76</v>
      </c>
      <c r="BO3644" s="9">
        <f t="shared" si="511"/>
        <v>0</v>
      </c>
      <c r="BP3644" s="9">
        <f t="shared" si="512"/>
        <v>0</v>
      </c>
    </row>
    <row r="3645" spans="1:68">
      <c r="A3645" s="6">
        <v>45215</v>
      </c>
      <c r="B3645" s="7">
        <v>3022</v>
      </c>
      <c r="C3645" s="8"/>
      <c r="D3645" s="8">
        <v>1088.8499999999999</v>
      </c>
      <c r="E3645" s="8"/>
      <c r="F3645" s="8"/>
      <c r="G3645" s="8"/>
      <c r="H3645" s="8"/>
      <c r="I3645" s="8">
        <v>890.65</v>
      </c>
      <c r="J3645" s="8"/>
      <c r="K3645" s="8"/>
      <c r="L3645" s="8"/>
      <c r="M3645" s="8"/>
      <c r="N3645" s="8">
        <v>9.9</v>
      </c>
      <c r="O3645" s="8"/>
      <c r="P3645" s="8"/>
      <c r="Q3645" s="11"/>
      <c r="R3645" s="11"/>
      <c r="S3645" s="8">
        <v>3.56</v>
      </c>
      <c r="T3645" s="8"/>
      <c r="U3645" s="8"/>
      <c r="V3645" s="8"/>
      <c r="W3645" s="8">
        <v>19.8</v>
      </c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>
        <v>25.72</v>
      </c>
      <c r="AN3645" s="8"/>
      <c r="AO3645" s="8"/>
      <c r="AP3645" s="11"/>
      <c r="AQ3645" s="8"/>
      <c r="AR3645" s="8"/>
      <c r="AS3645" s="8">
        <f>3861*17.98/1000</f>
        <v>69.420779999999993</v>
      </c>
      <c r="AT3645" s="8">
        <v>926.09</v>
      </c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>
        <v>71.260000000000005</v>
      </c>
      <c r="BH3645" s="9">
        <f t="shared" si="504"/>
        <v>1979.5</v>
      </c>
      <c r="BI3645" s="9">
        <f t="shared" si="505"/>
        <v>9.9</v>
      </c>
      <c r="BJ3645" s="9">
        <f t="shared" si="506"/>
        <v>3.56</v>
      </c>
      <c r="BK3645" s="9">
        <f t="shared" si="507"/>
        <v>19.8</v>
      </c>
      <c r="BL3645" s="9">
        <f t="shared" si="508"/>
        <v>0</v>
      </c>
      <c r="BM3645" s="9">
        <f t="shared" si="509"/>
        <v>95.140779999999992</v>
      </c>
      <c r="BN3645" s="9">
        <f t="shared" si="510"/>
        <v>926.09</v>
      </c>
      <c r="BO3645" s="9">
        <f t="shared" si="511"/>
        <v>0</v>
      </c>
      <c r="BP3645" s="9">
        <f t="shared" si="512"/>
        <v>0</v>
      </c>
    </row>
    <row r="3646" spans="1:68">
      <c r="A3646" s="6">
        <v>45215</v>
      </c>
      <c r="B3646" s="7">
        <v>3028</v>
      </c>
      <c r="C3646" s="8"/>
      <c r="D3646" s="8">
        <v>396.11</v>
      </c>
      <c r="E3646" s="8"/>
      <c r="F3646" s="8">
        <v>363.44</v>
      </c>
      <c r="G3646" s="8"/>
      <c r="H3646" s="8"/>
      <c r="I3646" s="8">
        <v>821.09</v>
      </c>
      <c r="J3646" s="8"/>
      <c r="K3646" s="8"/>
      <c r="L3646" s="8"/>
      <c r="M3646" s="8"/>
      <c r="N3646" s="8">
        <v>12.16</v>
      </c>
      <c r="O3646" s="8"/>
      <c r="P3646" s="8"/>
      <c r="Q3646" s="11"/>
      <c r="R3646" s="11"/>
      <c r="S3646" s="8">
        <v>2.21</v>
      </c>
      <c r="T3646" s="8"/>
      <c r="U3646" s="8"/>
      <c r="V3646" s="8"/>
      <c r="W3646" s="8">
        <v>11.86</v>
      </c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>
        <v>15.81</v>
      </c>
      <c r="AN3646" s="8">
        <f>1074*10.53/1000</f>
        <v>11.30922</v>
      </c>
      <c r="AO3646" s="8"/>
      <c r="AP3646" s="11"/>
      <c r="AQ3646" s="8"/>
      <c r="AR3646" s="8"/>
      <c r="AS3646" s="8">
        <f>4962*10.53/1000</f>
        <v>52.249859999999991</v>
      </c>
      <c r="AT3646" s="8">
        <v>526.73</v>
      </c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>
        <v>36</v>
      </c>
      <c r="BH3646" s="9">
        <f t="shared" si="504"/>
        <v>1580.6399999999999</v>
      </c>
      <c r="BI3646" s="9">
        <f t="shared" si="505"/>
        <v>12.16</v>
      </c>
      <c r="BJ3646" s="9">
        <f t="shared" si="506"/>
        <v>2.21</v>
      </c>
      <c r="BK3646" s="9">
        <f t="shared" si="507"/>
        <v>11.86</v>
      </c>
      <c r="BL3646" s="9">
        <f t="shared" si="508"/>
        <v>0</v>
      </c>
      <c r="BM3646" s="9">
        <f t="shared" si="509"/>
        <v>79.369079999999997</v>
      </c>
      <c r="BN3646" s="9">
        <f t="shared" si="510"/>
        <v>526.73</v>
      </c>
      <c r="BO3646" s="9">
        <f t="shared" si="511"/>
        <v>0</v>
      </c>
      <c r="BP3646" s="9">
        <f t="shared" si="512"/>
        <v>0</v>
      </c>
    </row>
    <row r="3647" spans="1:68">
      <c r="A3647" s="6">
        <v>45215</v>
      </c>
      <c r="B3647" s="7">
        <v>3310</v>
      </c>
      <c r="C3647" s="8"/>
      <c r="D3647" s="8">
        <v>1011.55</v>
      </c>
      <c r="E3647" s="8"/>
      <c r="F3647" s="8"/>
      <c r="G3647" s="8"/>
      <c r="H3647" s="8"/>
      <c r="I3647" s="8"/>
      <c r="J3647" s="8"/>
      <c r="K3647" s="8"/>
      <c r="L3647" s="8"/>
      <c r="M3647" s="8">
        <v>2.02</v>
      </c>
      <c r="N3647" s="8"/>
      <c r="O3647" s="8"/>
      <c r="P3647" s="8"/>
      <c r="Q3647" s="11"/>
      <c r="R3647" s="11"/>
      <c r="S3647" s="8">
        <v>1.51</v>
      </c>
      <c r="T3647" s="8"/>
      <c r="U3647" s="8">
        <v>9.1</v>
      </c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>
        <v>10.130000000000001</v>
      </c>
      <c r="AH3647" s="8"/>
      <c r="AI3647" s="8"/>
      <c r="AJ3647" s="8"/>
      <c r="AK3647" s="8"/>
      <c r="AL3647" s="8"/>
      <c r="AM3647" s="8"/>
      <c r="AN3647" s="8"/>
      <c r="AO3647" s="8"/>
      <c r="AP3647" s="11"/>
      <c r="AQ3647" s="8"/>
      <c r="AR3647" s="8"/>
      <c r="AS3647" s="8"/>
      <c r="AT3647" s="8">
        <v>269.89999999999998</v>
      </c>
      <c r="AU3647" s="8">
        <v>135.27000000000001</v>
      </c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>
        <v>28.14</v>
      </c>
      <c r="BH3647" s="9">
        <f t="shared" si="504"/>
        <v>1011.55</v>
      </c>
      <c r="BI3647" s="9">
        <f t="shared" si="505"/>
        <v>2.02</v>
      </c>
      <c r="BJ3647" s="9">
        <f t="shared" si="506"/>
        <v>1.51</v>
      </c>
      <c r="BK3647" s="9">
        <f t="shared" si="507"/>
        <v>9.1</v>
      </c>
      <c r="BL3647" s="9">
        <f t="shared" si="508"/>
        <v>0</v>
      </c>
      <c r="BM3647" s="9">
        <f t="shared" si="509"/>
        <v>10.130000000000001</v>
      </c>
      <c r="BN3647" s="9">
        <f t="shared" si="510"/>
        <v>405.16999999999996</v>
      </c>
      <c r="BO3647" s="9">
        <f t="shared" si="511"/>
        <v>0</v>
      </c>
      <c r="BP3647" s="9">
        <f t="shared" si="512"/>
        <v>0</v>
      </c>
    </row>
    <row r="3648" spans="1:68">
      <c r="A3648" s="6">
        <v>45216</v>
      </c>
      <c r="B3648" s="7">
        <v>3307</v>
      </c>
      <c r="C3648" s="8"/>
      <c r="D3648" s="8">
        <v>967.26</v>
      </c>
      <c r="E3648" s="8"/>
      <c r="F3648" s="8"/>
      <c r="G3648" s="8"/>
      <c r="H3648" s="8"/>
      <c r="I3648" s="8"/>
      <c r="J3648" s="8"/>
      <c r="K3648" s="8"/>
      <c r="L3648" s="8"/>
      <c r="M3648" s="8">
        <v>0.88</v>
      </c>
      <c r="N3648" s="8"/>
      <c r="O3648" s="8"/>
      <c r="P3648" s="8"/>
      <c r="Q3648" s="11"/>
      <c r="R3648" s="11"/>
      <c r="S3648" s="8">
        <v>6.57</v>
      </c>
      <c r="T3648" s="8"/>
      <c r="U3648" s="8">
        <v>9.6999999999999993</v>
      </c>
      <c r="V3648" s="8"/>
      <c r="W3648" s="8"/>
      <c r="X3648" s="8"/>
      <c r="Y3648" s="8"/>
      <c r="Z3648" s="8"/>
      <c r="AA3648" s="8"/>
      <c r="AB3648" s="8"/>
      <c r="AC3648" s="8">
        <v>5.8</v>
      </c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11"/>
      <c r="AQ3648" s="8"/>
      <c r="AR3648" s="8"/>
      <c r="AS3648" s="8"/>
      <c r="AT3648" s="8"/>
      <c r="AU3648" s="8">
        <v>484.93</v>
      </c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>
        <v>34.76</v>
      </c>
      <c r="BH3648" s="9">
        <f t="shared" si="504"/>
        <v>967.26</v>
      </c>
      <c r="BI3648" s="9">
        <f t="shared" si="505"/>
        <v>0.88</v>
      </c>
      <c r="BJ3648" s="9">
        <f t="shared" si="506"/>
        <v>6.57</v>
      </c>
      <c r="BK3648" s="9">
        <f t="shared" si="507"/>
        <v>9.6999999999999993</v>
      </c>
      <c r="BL3648" s="9">
        <f t="shared" si="508"/>
        <v>0</v>
      </c>
      <c r="BM3648" s="9">
        <f t="shared" si="509"/>
        <v>5.8</v>
      </c>
      <c r="BN3648" s="9">
        <f t="shared" si="510"/>
        <v>484.93</v>
      </c>
      <c r="BO3648" s="9">
        <f t="shared" si="511"/>
        <v>0</v>
      </c>
      <c r="BP3648" s="9">
        <f t="shared" si="512"/>
        <v>0</v>
      </c>
    </row>
    <row r="3649" spans="1:68">
      <c r="A3649" s="6">
        <v>45216</v>
      </c>
      <c r="B3649" s="7">
        <v>3200</v>
      </c>
      <c r="C3649" s="8">
        <v>2308.11</v>
      </c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>
        <v>5.77</v>
      </c>
      <c r="P3649" s="8"/>
      <c r="Q3649" s="11"/>
      <c r="R3649" s="11"/>
      <c r="S3649" s="8">
        <v>9</v>
      </c>
      <c r="T3649" s="8"/>
      <c r="U3649" s="8">
        <v>34.619999999999997</v>
      </c>
      <c r="V3649" s="8"/>
      <c r="W3649" s="8"/>
      <c r="X3649" s="8"/>
      <c r="Y3649" s="8"/>
      <c r="Z3649" s="8">
        <v>484.99</v>
      </c>
      <c r="AA3649" s="8"/>
      <c r="AB3649" s="8"/>
      <c r="AC3649" s="8"/>
      <c r="AD3649" s="8"/>
      <c r="AE3649" s="8"/>
      <c r="AF3649" s="8">
        <v>114.93</v>
      </c>
      <c r="AG3649" s="8"/>
      <c r="AH3649" s="8"/>
      <c r="AI3649" s="8"/>
      <c r="AJ3649" s="8"/>
      <c r="AK3649" s="8"/>
      <c r="AL3649" s="8"/>
      <c r="AM3649" s="8"/>
      <c r="AN3649" s="8"/>
      <c r="AO3649" s="8"/>
      <c r="AP3649" s="11"/>
      <c r="AQ3649" s="8">
        <f>1511*23.08/1000</f>
        <v>34.87388</v>
      </c>
      <c r="AR3649" s="8"/>
      <c r="AS3649" s="8"/>
      <c r="AT3649" s="8">
        <v>1582.34</v>
      </c>
      <c r="AU3649" s="8"/>
      <c r="AV3649" s="8"/>
      <c r="AW3649" s="8">
        <v>6.72</v>
      </c>
      <c r="AX3649" s="8"/>
      <c r="AY3649" s="8"/>
      <c r="AZ3649" s="8"/>
      <c r="BA3649" s="8"/>
      <c r="BB3649" s="8"/>
      <c r="BC3649" s="8"/>
      <c r="BD3649" s="8"/>
      <c r="BE3649" s="8"/>
      <c r="BF3649" s="8">
        <v>110.86</v>
      </c>
      <c r="BG3649" s="8">
        <v>114.48</v>
      </c>
      <c r="BH3649" s="9">
        <f t="shared" si="504"/>
        <v>2308.11</v>
      </c>
      <c r="BI3649" s="9">
        <f t="shared" si="505"/>
        <v>5.77</v>
      </c>
      <c r="BJ3649" s="9">
        <f t="shared" si="506"/>
        <v>9</v>
      </c>
      <c r="BK3649" s="9">
        <f t="shared" si="507"/>
        <v>34.619999999999997</v>
      </c>
      <c r="BL3649" s="9">
        <f t="shared" si="508"/>
        <v>484.99</v>
      </c>
      <c r="BM3649" s="9">
        <f t="shared" si="509"/>
        <v>149.80387999999999</v>
      </c>
      <c r="BN3649" s="9">
        <f t="shared" si="510"/>
        <v>1582.34</v>
      </c>
      <c r="BO3649" s="9">
        <f t="shared" si="511"/>
        <v>6.72</v>
      </c>
      <c r="BP3649" s="9">
        <f t="shared" si="512"/>
        <v>110.86</v>
      </c>
    </row>
    <row r="3650" spans="1:68">
      <c r="A3650" s="6">
        <v>45216</v>
      </c>
      <c r="B3650" s="7">
        <v>3106</v>
      </c>
      <c r="C3650" s="8">
        <v>4107.91</v>
      </c>
      <c r="D3650" s="8"/>
      <c r="E3650" s="8"/>
      <c r="F3650" s="8"/>
      <c r="G3650" s="8"/>
      <c r="H3650" s="8"/>
      <c r="I3650" s="8"/>
      <c r="J3650" s="8"/>
      <c r="K3650" s="8"/>
      <c r="L3650" s="8"/>
      <c r="M3650" s="8">
        <v>11.1</v>
      </c>
      <c r="N3650" s="8"/>
      <c r="O3650" s="8"/>
      <c r="P3650" s="8"/>
      <c r="Q3650" s="11"/>
      <c r="R3650" s="11"/>
      <c r="S3650" s="8">
        <v>12.34</v>
      </c>
      <c r="T3650" s="8"/>
      <c r="U3650" s="8">
        <v>52.25</v>
      </c>
      <c r="V3650" s="8"/>
      <c r="W3650" s="8"/>
      <c r="X3650" s="8"/>
      <c r="Y3650" s="8"/>
      <c r="Z3650" s="8"/>
      <c r="AA3650" s="8"/>
      <c r="AB3650" s="8"/>
      <c r="AC3650" s="8">
        <v>10.27</v>
      </c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11"/>
      <c r="AQ3650" s="8"/>
      <c r="AR3650" s="8"/>
      <c r="AS3650" s="8"/>
      <c r="AT3650" s="8">
        <v>2341.37</v>
      </c>
      <c r="AU3650" s="8"/>
      <c r="AV3650" s="8"/>
      <c r="AW3650" s="8"/>
      <c r="AX3650" s="8">
        <v>5.14</v>
      </c>
      <c r="AY3650" s="8"/>
      <c r="AZ3650" s="8"/>
      <c r="BA3650" s="8"/>
      <c r="BB3650" s="8"/>
      <c r="BC3650" s="8"/>
      <c r="BD3650" s="8"/>
      <c r="BE3650" s="8"/>
      <c r="BF3650" s="8"/>
      <c r="BG3650" s="8">
        <v>176.43</v>
      </c>
      <c r="BH3650" s="9">
        <f t="shared" si="504"/>
        <v>4107.91</v>
      </c>
      <c r="BI3650" s="9">
        <f t="shared" si="505"/>
        <v>11.1</v>
      </c>
      <c r="BJ3650" s="9">
        <f t="shared" si="506"/>
        <v>12.34</v>
      </c>
      <c r="BK3650" s="9">
        <f t="shared" si="507"/>
        <v>52.25</v>
      </c>
      <c r="BL3650" s="9">
        <f t="shared" si="508"/>
        <v>0</v>
      </c>
      <c r="BM3650" s="9">
        <f t="shared" si="509"/>
        <v>10.27</v>
      </c>
      <c r="BN3650" s="9">
        <f t="shared" si="510"/>
        <v>2341.37</v>
      </c>
      <c r="BO3650" s="9">
        <f t="shared" si="511"/>
        <v>5.14</v>
      </c>
      <c r="BP3650" s="9">
        <f t="shared" si="512"/>
        <v>0</v>
      </c>
    </row>
    <row r="3651" spans="1:68">
      <c r="A3651" s="6">
        <v>45216</v>
      </c>
      <c r="B3651" s="7">
        <v>3121</v>
      </c>
      <c r="C3651" s="8">
        <v>2237.5700000000002</v>
      </c>
      <c r="D3651" s="8"/>
      <c r="E3651" s="8"/>
      <c r="F3651" s="8"/>
      <c r="G3651" s="8"/>
      <c r="H3651" s="8"/>
      <c r="I3651" s="8"/>
      <c r="J3651" s="8"/>
      <c r="K3651" s="8"/>
      <c r="L3651" s="8"/>
      <c r="M3651" s="8">
        <v>5.59</v>
      </c>
      <c r="N3651" s="8"/>
      <c r="O3651" s="8"/>
      <c r="P3651" s="8"/>
      <c r="Q3651" s="11"/>
      <c r="R3651" s="11"/>
      <c r="S3651" s="8">
        <v>7.16</v>
      </c>
      <c r="T3651" s="8"/>
      <c r="U3651" s="8">
        <v>22.39</v>
      </c>
      <c r="V3651" s="8"/>
      <c r="W3651" s="8"/>
      <c r="X3651" s="8"/>
      <c r="Y3651" s="8"/>
      <c r="Z3651" s="8"/>
      <c r="AA3651" s="8"/>
      <c r="AB3651" s="8"/>
      <c r="AC3651" s="8">
        <v>8.9499999999999993</v>
      </c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11">
        <f>2210*10.17/1000</f>
        <v>22.4757</v>
      </c>
      <c r="AQ3651" s="8"/>
      <c r="AR3651" s="8"/>
      <c r="AS3651" s="8"/>
      <c r="AT3651" s="8">
        <v>1181.1199999999999</v>
      </c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>
        <v>87.26</v>
      </c>
      <c r="BH3651" s="9">
        <f t="shared" si="504"/>
        <v>2237.5700000000002</v>
      </c>
      <c r="BI3651" s="9">
        <f t="shared" si="505"/>
        <v>5.59</v>
      </c>
      <c r="BJ3651" s="9">
        <f t="shared" si="506"/>
        <v>7.16</v>
      </c>
      <c r="BK3651" s="9">
        <f t="shared" si="507"/>
        <v>22.39</v>
      </c>
      <c r="BL3651" s="9">
        <f t="shared" si="508"/>
        <v>0</v>
      </c>
      <c r="BM3651" s="9">
        <f t="shared" si="509"/>
        <v>31.425699999999999</v>
      </c>
      <c r="BN3651" s="9">
        <f t="shared" si="510"/>
        <v>1181.1199999999999</v>
      </c>
      <c r="BO3651" s="9">
        <f t="shared" si="511"/>
        <v>0</v>
      </c>
      <c r="BP3651" s="9">
        <f t="shared" si="512"/>
        <v>0</v>
      </c>
    </row>
    <row r="3652" spans="1:68">
      <c r="A3652" s="6">
        <v>45216</v>
      </c>
      <c r="B3652" s="7">
        <v>3083</v>
      </c>
      <c r="C3652" s="8"/>
      <c r="D3652" s="8">
        <v>1083.6300000000001</v>
      </c>
      <c r="E3652" s="8"/>
      <c r="F3652" s="8"/>
      <c r="G3652" s="8"/>
      <c r="H3652" s="8"/>
      <c r="I3652" s="8">
        <v>2524.29</v>
      </c>
      <c r="J3652" s="8"/>
      <c r="K3652" s="8"/>
      <c r="L3652" s="8"/>
      <c r="M3652" s="8"/>
      <c r="N3652" s="8">
        <v>23.1</v>
      </c>
      <c r="O3652" s="8"/>
      <c r="P3652" s="8"/>
      <c r="Q3652" s="11"/>
      <c r="R3652" s="11"/>
      <c r="S3652" s="8">
        <v>2.52</v>
      </c>
      <c r="T3652" s="8"/>
      <c r="U3652" s="8"/>
      <c r="V3652" s="8"/>
      <c r="W3652" s="8">
        <v>28.87</v>
      </c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>
        <v>14.38</v>
      </c>
      <c r="AN3652" s="8">
        <f>1889*26.73/1000</f>
        <v>50.49297</v>
      </c>
      <c r="AO3652" s="8"/>
      <c r="AP3652" s="11"/>
      <c r="AQ3652" s="8"/>
      <c r="AR3652" s="8">
        <f>3453*26.73/1000</f>
        <v>92.298690000000008</v>
      </c>
      <c r="AS3652" s="8"/>
      <c r="AT3652" s="8">
        <v>1696.73</v>
      </c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>
        <v>134.6</v>
      </c>
      <c r="BH3652" s="9">
        <f t="shared" ref="BH3652:BH3715" si="513">SUM(C3652:L3652)</f>
        <v>3607.92</v>
      </c>
      <c r="BI3652" s="9">
        <f t="shared" ref="BI3652:BI3715" si="514">SUM(M3652:R3652)</f>
        <v>23.1</v>
      </c>
      <c r="BJ3652" s="9">
        <f t="shared" ref="BJ3652:BJ3715" si="515">SUM(S3652)</f>
        <v>2.52</v>
      </c>
      <c r="BK3652" s="9">
        <f t="shared" ref="BK3652:BK3715" si="516">SUM(T3652:Y3652)</f>
        <v>28.87</v>
      </c>
      <c r="BL3652" s="9">
        <f t="shared" ref="BL3652:BL3715" si="517">SUM(Z3652:AA3652)</f>
        <v>0</v>
      </c>
      <c r="BM3652" s="9">
        <f t="shared" ref="BM3652:BM3715" si="518">SUM(AB3652:AS3652)</f>
        <v>157.17166</v>
      </c>
      <c r="BN3652" s="9">
        <f t="shared" ref="BN3652:BN3715" si="519">SUM(AT3652:AU3652)</f>
        <v>1696.73</v>
      </c>
      <c r="BO3652" s="9">
        <f t="shared" ref="BO3652:BO3715" si="520">SUM(AV3652:BE3652)</f>
        <v>0</v>
      </c>
      <c r="BP3652" s="9">
        <f t="shared" ref="BP3652:BP3715" si="521">SUM(BF3652)</f>
        <v>0</v>
      </c>
    </row>
    <row r="3653" spans="1:68">
      <c r="A3653" s="6">
        <v>45216</v>
      </c>
      <c r="B3653" s="7">
        <v>3009</v>
      </c>
      <c r="C3653" s="8"/>
      <c r="D3653" s="8">
        <v>405.61</v>
      </c>
      <c r="E3653" s="8"/>
      <c r="F3653" s="8">
        <v>228.41</v>
      </c>
      <c r="G3653" s="8"/>
      <c r="H3653" s="8"/>
      <c r="I3653" s="8">
        <v>211.67</v>
      </c>
      <c r="J3653" s="8"/>
      <c r="K3653" s="8"/>
      <c r="L3653" s="8"/>
      <c r="M3653" s="8"/>
      <c r="N3653" s="8">
        <v>6.1</v>
      </c>
      <c r="O3653" s="8"/>
      <c r="P3653" s="8"/>
      <c r="Q3653" s="11"/>
      <c r="R3653" s="11"/>
      <c r="S3653" s="8">
        <v>0.5</v>
      </c>
      <c r="T3653" s="8"/>
      <c r="U3653" s="8"/>
      <c r="V3653" s="8"/>
      <c r="W3653" s="8">
        <v>6.86</v>
      </c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>
        <v>2.96</v>
      </c>
      <c r="AN3653" s="8">
        <f>1537*5.63/1000</f>
        <v>8.6533099999999994</v>
      </c>
      <c r="AO3653" s="8"/>
      <c r="AP3653" s="11"/>
      <c r="AQ3653" s="8"/>
      <c r="AR3653" s="8">
        <f>5280*5.63/1000</f>
        <v>29.726399999999998</v>
      </c>
      <c r="AS3653" s="8"/>
      <c r="AT3653" s="8">
        <v>317.91000000000003</v>
      </c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>
        <v>23.33</v>
      </c>
      <c r="BH3653" s="9">
        <f t="shared" si="513"/>
        <v>845.68999999999994</v>
      </c>
      <c r="BI3653" s="9">
        <f t="shared" si="514"/>
        <v>6.1</v>
      </c>
      <c r="BJ3653" s="9">
        <f t="shared" si="515"/>
        <v>0.5</v>
      </c>
      <c r="BK3653" s="9">
        <f t="shared" si="516"/>
        <v>6.86</v>
      </c>
      <c r="BL3653" s="9">
        <f t="shared" si="517"/>
        <v>0</v>
      </c>
      <c r="BM3653" s="9">
        <f t="shared" si="518"/>
        <v>41.339709999999997</v>
      </c>
      <c r="BN3653" s="9">
        <f t="shared" si="519"/>
        <v>317.91000000000003</v>
      </c>
      <c r="BO3653" s="9">
        <f t="shared" si="520"/>
        <v>0</v>
      </c>
      <c r="BP3653" s="9">
        <f t="shared" si="521"/>
        <v>0</v>
      </c>
    </row>
    <row r="3654" spans="1:68">
      <c r="A3654" s="6">
        <v>45216</v>
      </c>
      <c r="B3654" s="7">
        <v>3081</v>
      </c>
      <c r="C3654" s="8"/>
      <c r="D3654" s="8">
        <v>288.10000000000002</v>
      </c>
      <c r="E3654" s="8"/>
      <c r="F3654" s="8">
        <v>323.47000000000003</v>
      </c>
      <c r="G3654" s="8"/>
      <c r="H3654" s="8"/>
      <c r="I3654" s="8">
        <v>1183.32</v>
      </c>
      <c r="J3654" s="8"/>
      <c r="K3654" s="8"/>
      <c r="L3654" s="8"/>
      <c r="M3654" s="8"/>
      <c r="N3654" s="8">
        <v>13.19</v>
      </c>
      <c r="O3654" s="8"/>
      <c r="P3654" s="8">
        <f>627*11.65/1000</f>
        <v>7.3045499999999999</v>
      </c>
      <c r="Q3654" s="11"/>
      <c r="R3654" s="11"/>
      <c r="S3654" s="8">
        <v>1.26</v>
      </c>
      <c r="T3654" s="8"/>
      <c r="U3654" s="8"/>
      <c r="V3654" s="8"/>
      <c r="W3654" s="8">
        <v>18.07</v>
      </c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11"/>
      <c r="AQ3654" s="8">
        <f>1566*11.65/1000</f>
        <v>18.2439</v>
      </c>
      <c r="AR3654" s="8">
        <f>5439*11.65/1000</f>
        <v>63.364350000000002</v>
      </c>
      <c r="AS3654" s="8"/>
      <c r="AT3654" s="8">
        <v>564.85</v>
      </c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>
        <v>37.729999999999997</v>
      </c>
      <c r="BH3654" s="9">
        <f t="shared" si="513"/>
        <v>1794.8899999999999</v>
      </c>
      <c r="BI3654" s="9">
        <f t="shared" si="514"/>
        <v>20.49455</v>
      </c>
      <c r="BJ3654" s="9">
        <f t="shared" si="515"/>
        <v>1.26</v>
      </c>
      <c r="BK3654" s="9">
        <f t="shared" si="516"/>
        <v>18.07</v>
      </c>
      <c r="BL3654" s="9">
        <f t="shared" si="517"/>
        <v>0</v>
      </c>
      <c r="BM3654" s="9">
        <f t="shared" si="518"/>
        <v>81.608249999999998</v>
      </c>
      <c r="BN3654" s="9">
        <f t="shared" si="519"/>
        <v>564.85</v>
      </c>
      <c r="BO3654" s="9">
        <f t="shared" si="520"/>
        <v>0</v>
      </c>
      <c r="BP3654" s="9">
        <f t="shared" si="521"/>
        <v>0</v>
      </c>
    </row>
    <row r="3655" spans="1:68">
      <c r="A3655" s="6">
        <v>45217</v>
      </c>
      <c r="B3655" s="7">
        <v>3203</v>
      </c>
      <c r="C3655" s="8">
        <v>1711.02</v>
      </c>
      <c r="D3655" s="8"/>
      <c r="E3655" s="8">
        <v>732.83</v>
      </c>
      <c r="F3655" s="8"/>
      <c r="G3655" s="8"/>
      <c r="H3655" s="8"/>
      <c r="I3655" s="8"/>
      <c r="J3655" s="8"/>
      <c r="K3655" s="8"/>
      <c r="L3655" s="8"/>
      <c r="M3655" s="8"/>
      <c r="N3655" s="8"/>
      <c r="O3655" s="8">
        <v>7.35</v>
      </c>
      <c r="P3655" s="8"/>
      <c r="Q3655" s="11"/>
      <c r="R3655" s="11"/>
      <c r="S3655" s="8">
        <v>9.5500000000000007</v>
      </c>
      <c r="T3655" s="8"/>
      <c r="U3655" s="8">
        <v>30.37</v>
      </c>
      <c r="V3655" s="8"/>
      <c r="W3655" s="8"/>
      <c r="X3655" s="8"/>
      <c r="Y3655" s="8"/>
      <c r="Z3655" s="8">
        <v>385.51</v>
      </c>
      <c r="AA3655" s="8">
        <f>10521*28.8/1000</f>
        <v>303.00479999999999</v>
      </c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11"/>
      <c r="AQ3655" s="8"/>
      <c r="AR3655" s="8"/>
      <c r="AS3655" s="8"/>
      <c r="AT3655" s="8">
        <v>912.29</v>
      </c>
      <c r="AU3655" s="8">
        <v>457.88</v>
      </c>
      <c r="AV3655" s="8"/>
      <c r="AW3655" s="8"/>
      <c r="AX3655" s="8"/>
      <c r="AY3655" s="8"/>
      <c r="AZ3655" s="8"/>
      <c r="BA3655" s="8"/>
      <c r="BB3655" s="8"/>
      <c r="BC3655" s="8">
        <v>6.37</v>
      </c>
      <c r="BD3655" s="8"/>
      <c r="BE3655" s="8"/>
      <c r="BF3655" s="8"/>
      <c r="BG3655" s="8">
        <v>89.33</v>
      </c>
      <c r="BH3655" s="9">
        <f t="shared" si="513"/>
        <v>2443.85</v>
      </c>
      <c r="BI3655" s="9">
        <f t="shared" si="514"/>
        <v>7.35</v>
      </c>
      <c r="BJ3655" s="9">
        <f t="shared" si="515"/>
        <v>9.5500000000000007</v>
      </c>
      <c r="BK3655" s="9">
        <f t="shared" si="516"/>
        <v>30.37</v>
      </c>
      <c r="BL3655" s="9">
        <f t="shared" si="517"/>
        <v>688.51479999999992</v>
      </c>
      <c r="BM3655" s="9">
        <f t="shared" si="518"/>
        <v>0</v>
      </c>
      <c r="BN3655" s="9">
        <f t="shared" si="519"/>
        <v>1370.17</v>
      </c>
      <c r="BO3655" s="9">
        <f t="shared" si="520"/>
        <v>6.37</v>
      </c>
      <c r="BP3655" s="9">
        <f t="shared" si="521"/>
        <v>0</v>
      </c>
    </row>
    <row r="3656" spans="1:68">
      <c r="A3656" s="6">
        <v>45217</v>
      </c>
      <c r="B3656" s="7">
        <v>3200</v>
      </c>
      <c r="C3656" s="8">
        <v>2240.5100000000002</v>
      </c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>
        <v>5.61</v>
      </c>
      <c r="P3656" s="8"/>
      <c r="Q3656" s="11"/>
      <c r="R3656" s="11"/>
      <c r="S3656" s="8">
        <v>8.74</v>
      </c>
      <c r="T3656" s="8"/>
      <c r="U3656" s="8">
        <v>33.6</v>
      </c>
      <c r="V3656" s="8"/>
      <c r="W3656" s="8"/>
      <c r="X3656" s="8"/>
      <c r="Y3656" s="8"/>
      <c r="Z3656" s="8">
        <v>470.81</v>
      </c>
      <c r="AA3656" s="8"/>
      <c r="AB3656" s="8"/>
      <c r="AC3656" s="8"/>
      <c r="AD3656" s="8"/>
      <c r="AE3656" s="8"/>
      <c r="AF3656" s="8">
        <v>111.95</v>
      </c>
      <c r="AG3656" s="8"/>
      <c r="AH3656" s="8"/>
      <c r="AI3656" s="8"/>
      <c r="AJ3656" s="8"/>
      <c r="AK3656" s="8"/>
      <c r="AL3656" s="8"/>
      <c r="AM3656" s="8"/>
      <c r="AN3656" s="8"/>
      <c r="AO3656" s="8"/>
      <c r="AP3656" s="11"/>
      <c r="AQ3656" s="8">
        <f>1524*22.4/1000</f>
        <v>34.137599999999999</v>
      </c>
      <c r="AR3656" s="8"/>
      <c r="AS3656" s="8"/>
      <c r="AT3656" s="8">
        <v>1536.75</v>
      </c>
      <c r="AU3656" s="8"/>
      <c r="AV3656" s="8"/>
      <c r="AW3656" s="8">
        <v>6.41</v>
      </c>
      <c r="AX3656" s="8"/>
      <c r="AY3656" s="8"/>
      <c r="AZ3656" s="8"/>
      <c r="BA3656" s="8"/>
      <c r="BB3656" s="8"/>
      <c r="BC3656" s="8"/>
      <c r="BD3656" s="8"/>
      <c r="BE3656" s="8"/>
      <c r="BF3656" s="8">
        <v>107.65</v>
      </c>
      <c r="BG3656" s="8">
        <v>111.33</v>
      </c>
      <c r="BH3656" s="9">
        <f t="shared" si="513"/>
        <v>2240.5100000000002</v>
      </c>
      <c r="BI3656" s="9">
        <f t="shared" si="514"/>
        <v>5.61</v>
      </c>
      <c r="BJ3656" s="9">
        <f t="shared" si="515"/>
        <v>8.74</v>
      </c>
      <c r="BK3656" s="9">
        <f t="shared" si="516"/>
        <v>33.6</v>
      </c>
      <c r="BL3656" s="9">
        <f t="shared" si="517"/>
        <v>470.81</v>
      </c>
      <c r="BM3656" s="9">
        <f t="shared" si="518"/>
        <v>146.08760000000001</v>
      </c>
      <c r="BN3656" s="9">
        <f t="shared" si="519"/>
        <v>1536.75</v>
      </c>
      <c r="BO3656" s="9">
        <f t="shared" si="520"/>
        <v>6.41</v>
      </c>
      <c r="BP3656" s="9">
        <f t="shared" si="521"/>
        <v>107.65</v>
      </c>
    </row>
    <row r="3657" spans="1:68">
      <c r="A3657" s="6">
        <v>45217</v>
      </c>
      <c r="B3657" s="7">
        <v>3156</v>
      </c>
      <c r="C3657" s="8">
        <v>1420.33</v>
      </c>
      <c r="D3657" s="8"/>
      <c r="E3657" s="8"/>
      <c r="F3657" s="8"/>
      <c r="G3657" s="8"/>
      <c r="H3657" s="8"/>
      <c r="I3657" s="8"/>
      <c r="J3657" s="8"/>
      <c r="K3657" s="8"/>
      <c r="L3657" s="8"/>
      <c r="M3657" s="8">
        <v>2.4300000000000002</v>
      </c>
      <c r="N3657" s="8"/>
      <c r="O3657" s="8"/>
      <c r="P3657" s="8"/>
      <c r="Q3657" s="11"/>
      <c r="R3657" s="11"/>
      <c r="S3657" s="8">
        <v>5.67</v>
      </c>
      <c r="T3657" s="8"/>
      <c r="U3657" s="8">
        <v>14.2</v>
      </c>
      <c r="V3657" s="8"/>
      <c r="W3657" s="8"/>
      <c r="X3657" s="8"/>
      <c r="Y3657" s="8"/>
      <c r="Z3657" s="8"/>
      <c r="AA3657" s="8"/>
      <c r="AB3657" s="8"/>
      <c r="AC3657" s="8">
        <v>3.55</v>
      </c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11"/>
      <c r="AQ3657" s="8"/>
      <c r="AR3657" s="8"/>
      <c r="AS3657" s="8"/>
      <c r="AT3657" s="8">
        <v>667.18</v>
      </c>
      <c r="AU3657" s="8"/>
      <c r="AV3657" s="8"/>
      <c r="AW3657" s="8"/>
      <c r="AX3657" s="8">
        <v>3.08</v>
      </c>
      <c r="AY3657" s="8"/>
      <c r="AZ3657" s="8"/>
      <c r="BA3657" s="8"/>
      <c r="BB3657" s="8"/>
      <c r="BC3657" s="8"/>
      <c r="BD3657" s="8"/>
      <c r="BE3657" s="8"/>
      <c r="BF3657" s="8"/>
      <c r="BG3657" s="8">
        <v>51.7</v>
      </c>
      <c r="BH3657" s="9">
        <f t="shared" si="513"/>
        <v>1420.33</v>
      </c>
      <c r="BI3657" s="9">
        <f t="shared" si="514"/>
        <v>2.4300000000000002</v>
      </c>
      <c r="BJ3657" s="9">
        <f t="shared" si="515"/>
        <v>5.67</v>
      </c>
      <c r="BK3657" s="9">
        <f t="shared" si="516"/>
        <v>14.2</v>
      </c>
      <c r="BL3657" s="9">
        <f t="shared" si="517"/>
        <v>0</v>
      </c>
      <c r="BM3657" s="9">
        <f t="shared" si="518"/>
        <v>3.55</v>
      </c>
      <c r="BN3657" s="9">
        <f t="shared" si="519"/>
        <v>667.18</v>
      </c>
      <c r="BO3657" s="9">
        <f t="shared" si="520"/>
        <v>3.08</v>
      </c>
      <c r="BP3657" s="9">
        <f t="shared" si="521"/>
        <v>0</v>
      </c>
    </row>
    <row r="3658" spans="1:68">
      <c r="A3658" s="6">
        <v>45217</v>
      </c>
      <c r="B3658" s="7">
        <v>3031</v>
      </c>
      <c r="C3658" s="8"/>
      <c r="D3658" s="8"/>
      <c r="E3658" s="8"/>
      <c r="F3658" s="8"/>
      <c r="G3658" s="8"/>
      <c r="H3658" s="8"/>
      <c r="I3658" s="8">
        <v>1171.69</v>
      </c>
      <c r="J3658" s="8"/>
      <c r="K3658" s="8"/>
      <c r="L3658" s="8"/>
      <c r="M3658" s="8"/>
      <c r="N3658" s="8">
        <v>8.09</v>
      </c>
      <c r="O3658" s="8"/>
      <c r="P3658" s="8"/>
      <c r="Q3658" s="11"/>
      <c r="R3658" s="11"/>
      <c r="S3658" s="8">
        <v>0.82</v>
      </c>
      <c r="T3658" s="8"/>
      <c r="U3658" s="8"/>
      <c r="V3658" s="8"/>
      <c r="W3658" s="8">
        <v>11.73</v>
      </c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>
        <f>1812*9.77/1000</f>
        <v>17.703239999999997</v>
      </c>
      <c r="AJ3658" s="8"/>
      <c r="AK3658" s="8"/>
      <c r="AL3658" s="8"/>
      <c r="AM3658" s="8"/>
      <c r="AN3658" s="8">
        <f>1203*9.77/1000</f>
        <v>11.753309999999999</v>
      </c>
      <c r="AO3658" s="8"/>
      <c r="AP3658" s="11"/>
      <c r="AQ3658" s="8"/>
      <c r="AR3658" s="8">
        <f>3677*9.77/1000</f>
        <v>35.924289999999999</v>
      </c>
      <c r="AS3658" s="8"/>
      <c r="AT3658" s="8">
        <v>558.21</v>
      </c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>
        <v>37.82</v>
      </c>
      <c r="BH3658" s="9">
        <f t="shared" si="513"/>
        <v>1171.69</v>
      </c>
      <c r="BI3658" s="9">
        <f t="shared" si="514"/>
        <v>8.09</v>
      </c>
      <c r="BJ3658" s="9">
        <f t="shared" si="515"/>
        <v>0.82</v>
      </c>
      <c r="BK3658" s="9">
        <f t="shared" si="516"/>
        <v>11.73</v>
      </c>
      <c r="BL3658" s="9">
        <f t="shared" si="517"/>
        <v>0</v>
      </c>
      <c r="BM3658" s="9">
        <f t="shared" si="518"/>
        <v>65.380839999999992</v>
      </c>
      <c r="BN3658" s="9">
        <f t="shared" si="519"/>
        <v>558.21</v>
      </c>
      <c r="BO3658" s="9">
        <f t="shared" si="520"/>
        <v>0</v>
      </c>
      <c r="BP3658" s="9">
        <f t="shared" si="521"/>
        <v>0</v>
      </c>
    </row>
    <row r="3659" spans="1:68">
      <c r="A3659" s="6">
        <v>45217</v>
      </c>
      <c r="B3659" s="7">
        <v>3205</v>
      </c>
      <c r="C3659" s="8">
        <v>672.44</v>
      </c>
      <c r="D3659" s="8">
        <v>371.4</v>
      </c>
      <c r="E3659" s="8">
        <v>449.25</v>
      </c>
      <c r="F3659" s="8"/>
      <c r="G3659" s="8"/>
      <c r="H3659" s="8"/>
      <c r="I3659" s="8"/>
      <c r="J3659" s="8"/>
      <c r="K3659" s="8"/>
      <c r="L3659" s="8"/>
      <c r="M3659" s="8"/>
      <c r="N3659" s="8"/>
      <c r="O3659" s="8">
        <v>5.98</v>
      </c>
      <c r="P3659" s="8"/>
      <c r="Q3659" s="11"/>
      <c r="R3659" s="11"/>
      <c r="S3659" s="8">
        <v>5.53</v>
      </c>
      <c r="T3659" s="8"/>
      <c r="U3659" s="8">
        <v>17.96</v>
      </c>
      <c r="V3659" s="8"/>
      <c r="W3659" s="8"/>
      <c r="X3659" s="8"/>
      <c r="Y3659" s="8"/>
      <c r="Z3659" s="8">
        <v>149.47999999999999</v>
      </c>
      <c r="AA3659" s="8"/>
      <c r="AB3659" s="8">
        <f>1005*14.95/1000</f>
        <v>15.024749999999999</v>
      </c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11"/>
      <c r="AQ3659" s="8">
        <f>515*14.95/1000</f>
        <v>7.6992500000000001</v>
      </c>
      <c r="AR3659" s="8"/>
      <c r="AS3659" s="8"/>
      <c r="AT3659" s="8">
        <v>389.13</v>
      </c>
      <c r="AU3659" s="8">
        <v>195.24</v>
      </c>
      <c r="AV3659" s="8"/>
      <c r="AW3659" s="8">
        <v>6.41</v>
      </c>
      <c r="AX3659" s="8"/>
      <c r="AY3659" s="8"/>
      <c r="AZ3659" s="8"/>
      <c r="BA3659" s="8"/>
      <c r="BB3659" s="8"/>
      <c r="BC3659" s="8"/>
      <c r="BD3659" s="8"/>
      <c r="BE3659" s="8"/>
      <c r="BF3659" s="8"/>
      <c r="BG3659" s="8">
        <v>35.28</v>
      </c>
      <c r="BH3659" s="9">
        <f t="shared" si="513"/>
        <v>1493.0900000000001</v>
      </c>
      <c r="BI3659" s="9">
        <f t="shared" si="514"/>
        <v>5.98</v>
      </c>
      <c r="BJ3659" s="9">
        <f t="shared" si="515"/>
        <v>5.53</v>
      </c>
      <c r="BK3659" s="9">
        <f t="shared" si="516"/>
        <v>17.96</v>
      </c>
      <c r="BL3659" s="9">
        <f t="shared" si="517"/>
        <v>149.47999999999999</v>
      </c>
      <c r="BM3659" s="9">
        <f t="shared" si="518"/>
        <v>22.724</v>
      </c>
      <c r="BN3659" s="9">
        <f t="shared" si="519"/>
        <v>584.37</v>
      </c>
      <c r="BO3659" s="9">
        <f t="shared" si="520"/>
        <v>6.41</v>
      </c>
      <c r="BP3659" s="9">
        <f t="shared" si="521"/>
        <v>0</v>
      </c>
    </row>
    <row r="3660" spans="1:68">
      <c r="A3660" s="6">
        <v>45217</v>
      </c>
      <c r="B3660" s="7">
        <v>3704</v>
      </c>
      <c r="C3660" s="8">
        <v>251.1</v>
      </c>
      <c r="D3660" s="8">
        <v>376.21</v>
      </c>
      <c r="E3660" s="8"/>
      <c r="F3660" s="8"/>
      <c r="G3660" s="8"/>
      <c r="H3660" s="8"/>
      <c r="I3660" s="8"/>
      <c r="J3660" s="8"/>
      <c r="K3660" s="8"/>
      <c r="L3660" s="8"/>
      <c r="M3660" s="8">
        <v>1.88</v>
      </c>
      <c r="N3660" s="8"/>
      <c r="O3660" s="8"/>
      <c r="P3660" s="8"/>
      <c r="Q3660" s="11"/>
      <c r="R3660" s="11"/>
      <c r="S3660" s="8">
        <v>2.19</v>
      </c>
      <c r="T3660" s="8"/>
      <c r="U3660" s="8">
        <v>4.7</v>
      </c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>
        <v>7.52</v>
      </c>
      <c r="AN3660" s="8"/>
      <c r="AO3660" s="8"/>
      <c r="AP3660" s="11"/>
      <c r="AQ3660" s="8"/>
      <c r="AR3660" s="8"/>
      <c r="AS3660" s="8"/>
      <c r="AT3660" s="8">
        <v>108.59</v>
      </c>
      <c r="AU3660" s="8">
        <v>54.26</v>
      </c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>
        <v>9.94</v>
      </c>
      <c r="BH3660" s="9">
        <f t="shared" si="513"/>
        <v>627.30999999999995</v>
      </c>
      <c r="BI3660" s="9">
        <f t="shared" si="514"/>
        <v>1.88</v>
      </c>
      <c r="BJ3660" s="9">
        <f t="shared" si="515"/>
        <v>2.19</v>
      </c>
      <c r="BK3660" s="9">
        <f t="shared" si="516"/>
        <v>4.7</v>
      </c>
      <c r="BL3660" s="9">
        <f t="shared" si="517"/>
        <v>0</v>
      </c>
      <c r="BM3660" s="9">
        <f t="shared" si="518"/>
        <v>7.52</v>
      </c>
      <c r="BN3660" s="9">
        <f t="shared" si="519"/>
        <v>162.85</v>
      </c>
      <c r="BO3660" s="9">
        <f t="shared" si="520"/>
        <v>0</v>
      </c>
      <c r="BP3660" s="9">
        <f t="shared" si="521"/>
        <v>0</v>
      </c>
    </row>
    <row r="3661" spans="1:68">
      <c r="A3661" s="6">
        <v>45217</v>
      </c>
      <c r="B3661" s="7">
        <v>3702</v>
      </c>
      <c r="C3661" s="8">
        <v>334.88</v>
      </c>
      <c r="D3661" s="8">
        <v>224.92</v>
      </c>
      <c r="E3661" s="8"/>
      <c r="F3661" s="8"/>
      <c r="G3661" s="8"/>
      <c r="H3661" s="8"/>
      <c r="I3661" s="8"/>
      <c r="J3661" s="8"/>
      <c r="K3661" s="8"/>
      <c r="L3661" s="8"/>
      <c r="M3661" s="8">
        <v>1.1299999999999999</v>
      </c>
      <c r="N3661" s="8"/>
      <c r="O3661" s="8"/>
      <c r="P3661" s="8"/>
      <c r="Q3661" s="11"/>
      <c r="R3661" s="11"/>
      <c r="S3661" s="8">
        <v>2.62</v>
      </c>
      <c r="T3661" s="8"/>
      <c r="U3661" s="8">
        <v>4.22</v>
      </c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11"/>
      <c r="AQ3661" s="8"/>
      <c r="AR3661" s="8"/>
      <c r="AS3661" s="8"/>
      <c r="AT3661" s="8">
        <v>136.47</v>
      </c>
      <c r="AU3661" s="8">
        <v>68.3</v>
      </c>
      <c r="AV3661" s="8"/>
      <c r="AW3661" s="8">
        <v>1.23</v>
      </c>
      <c r="AX3661" s="8"/>
      <c r="AY3661" s="8"/>
      <c r="AZ3661" s="8"/>
      <c r="BA3661" s="8"/>
      <c r="BB3661" s="8"/>
      <c r="BC3661" s="8"/>
      <c r="BD3661" s="8"/>
      <c r="BE3661" s="8"/>
      <c r="BF3661" s="8"/>
      <c r="BG3661" s="8">
        <v>14.33</v>
      </c>
      <c r="BH3661" s="9">
        <f t="shared" si="513"/>
        <v>559.79999999999995</v>
      </c>
      <c r="BI3661" s="9">
        <f t="shared" si="514"/>
        <v>1.1299999999999999</v>
      </c>
      <c r="BJ3661" s="9">
        <f t="shared" si="515"/>
        <v>2.62</v>
      </c>
      <c r="BK3661" s="9">
        <f t="shared" si="516"/>
        <v>4.22</v>
      </c>
      <c r="BL3661" s="9">
        <f t="shared" si="517"/>
        <v>0</v>
      </c>
      <c r="BM3661" s="9">
        <f t="shared" si="518"/>
        <v>0</v>
      </c>
      <c r="BN3661" s="9">
        <f t="shared" si="519"/>
        <v>204.76999999999998</v>
      </c>
      <c r="BO3661" s="9">
        <f t="shared" si="520"/>
        <v>1.23</v>
      </c>
      <c r="BP3661" s="9">
        <f t="shared" si="521"/>
        <v>0</v>
      </c>
    </row>
    <row r="3662" spans="1:68">
      <c r="A3662" s="6">
        <v>45217</v>
      </c>
      <c r="B3662" s="7">
        <v>3601</v>
      </c>
      <c r="C3662" s="8">
        <v>291.06</v>
      </c>
      <c r="D3662" s="8"/>
      <c r="E3662" s="8"/>
      <c r="F3662" s="8"/>
      <c r="G3662" s="8">
        <v>436.5</v>
      </c>
      <c r="H3662" s="8"/>
      <c r="I3662" s="8"/>
      <c r="J3662" s="8"/>
      <c r="K3662" s="8"/>
      <c r="L3662" s="8"/>
      <c r="M3662" s="8">
        <v>0.87</v>
      </c>
      <c r="N3662" s="8"/>
      <c r="O3662" s="8"/>
      <c r="P3662" s="8"/>
      <c r="Q3662" s="11"/>
      <c r="R3662" s="11"/>
      <c r="S3662" s="8">
        <v>3.5</v>
      </c>
      <c r="T3662" s="8"/>
      <c r="U3662" s="8">
        <v>4.37</v>
      </c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11"/>
      <c r="AQ3662" s="8"/>
      <c r="AR3662" s="8"/>
      <c r="AS3662" s="8"/>
      <c r="AT3662" s="8">
        <v>356.77</v>
      </c>
      <c r="AU3662" s="8"/>
      <c r="AV3662" s="8"/>
      <c r="AW3662" s="8">
        <v>22.16</v>
      </c>
      <c r="AX3662" s="8"/>
      <c r="AY3662" s="8"/>
      <c r="AZ3662" s="8"/>
      <c r="BA3662" s="8"/>
      <c r="BB3662" s="8"/>
      <c r="BC3662" s="8"/>
      <c r="BD3662" s="8"/>
      <c r="BE3662" s="8"/>
      <c r="BF3662" s="8">
        <v>40.86</v>
      </c>
      <c r="BG3662" s="8">
        <v>25.99</v>
      </c>
      <c r="BH3662" s="9">
        <f t="shared" si="513"/>
        <v>727.56</v>
      </c>
      <c r="BI3662" s="9">
        <f t="shared" si="514"/>
        <v>0.87</v>
      </c>
      <c r="BJ3662" s="9">
        <f t="shared" si="515"/>
        <v>3.5</v>
      </c>
      <c r="BK3662" s="9">
        <f t="shared" si="516"/>
        <v>4.37</v>
      </c>
      <c r="BL3662" s="9">
        <f t="shared" si="517"/>
        <v>0</v>
      </c>
      <c r="BM3662" s="9">
        <f t="shared" si="518"/>
        <v>0</v>
      </c>
      <c r="BN3662" s="9">
        <f t="shared" si="519"/>
        <v>356.77</v>
      </c>
      <c r="BO3662" s="9">
        <f t="shared" si="520"/>
        <v>22.16</v>
      </c>
      <c r="BP3662" s="9">
        <f t="shared" si="521"/>
        <v>40.86</v>
      </c>
    </row>
    <row r="3663" spans="1:68">
      <c r="A3663" s="6">
        <v>45217</v>
      </c>
      <c r="B3663" s="7">
        <v>3602</v>
      </c>
      <c r="C3663" s="8">
        <v>549.42999999999995</v>
      </c>
      <c r="D3663" s="8"/>
      <c r="E3663" s="8"/>
      <c r="F3663" s="8"/>
      <c r="G3663" s="8">
        <v>823.72</v>
      </c>
      <c r="H3663" s="8"/>
      <c r="I3663" s="8"/>
      <c r="J3663" s="8"/>
      <c r="K3663" s="8"/>
      <c r="L3663" s="8"/>
      <c r="M3663" s="8">
        <v>1.64</v>
      </c>
      <c r="N3663" s="8"/>
      <c r="O3663" s="8"/>
      <c r="P3663" s="8"/>
      <c r="Q3663" s="11"/>
      <c r="R3663" s="11"/>
      <c r="S3663" s="8">
        <v>6.59</v>
      </c>
      <c r="T3663" s="8"/>
      <c r="U3663" s="8">
        <v>11</v>
      </c>
      <c r="V3663" s="8">
        <f>853*15.7/1000</f>
        <v>13.392099999999999</v>
      </c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11"/>
      <c r="AQ3663" s="8"/>
      <c r="AR3663" s="8"/>
      <c r="AS3663" s="8"/>
      <c r="AT3663" s="8">
        <v>554.1</v>
      </c>
      <c r="AU3663" s="8"/>
      <c r="AV3663" s="8"/>
      <c r="AW3663" s="8">
        <v>35.53</v>
      </c>
      <c r="AX3663" s="8"/>
      <c r="AY3663" s="8"/>
      <c r="AZ3663" s="8"/>
      <c r="BA3663" s="8"/>
      <c r="BB3663" s="8"/>
      <c r="BC3663" s="8"/>
      <c r="BD3663" s="8"/>
      <c r="BE3663" s="8"/>
      <c r="BF3663" s="8">
        <v>44.03</v>
      </c>
      <c r="BG3663" s="8">
        <v>41.24</v>
      </c>
      <c r="BH3663" s="9">
        <f t="shared" si="513"/>
        <v>1373.15</v>
      </c>
      <c r="BI3663" s="9">
        <f t="shared" si="514"/>
        <v>1.64</v>
      </c>
      <c r="BJ3663" s="9">
        <f t="shared" si="515"/>
        <v>6.59</v>
      </c>
      <c r="BK3663" s="9">
        <f t="shared" si="516"/>
        <v>24.392099999999999</v>
      </c>
      <c r="BL3663" s="9">
        <f t="shared" si="517"/>
        <v>0</v>
      </c>
      <c r="BM3663" s="9">
        <f t="shared" si="518"/>
        <v>0</v>
      </c>
      <c r="BN3663" s="9">
        <f t="shared" si="519"/>
        <v>554.1</v>
      </c>
      <c r="BO3663" s="9">
        <f t="shared" si="520"/>
        <v>35.53</v>
      </c>
      <c r="BP3663" s="9">
        <f t="shared" si="521"/>
        <v>44.03</v>
      </c>
    </row>
    <row r="3664" spans="1:68">
      <c r="A3664" s="6">
        <v>45218</v>
      </c>
      <c r="B3664" s="7">
        <v>3139</v>
      </c>
      <c r="C3664" s="8">
        <v>945.99</v>
      </c>
      <c r="D3664" s="8"/>
      <c r="E3664" s="8"/>
      <c r="F3664" s="8"/>
      <c r="G3664" s="8"/>
      <c r="H3664" s="8">
        <v>393.43</v>
      </c>
      <c r="I3664" s="8"/>
      <c r="J3664" s="8"/>
      <c r="K3664" s="8"/>
      <c r="L3664" s="8"/>
      <c r="M3664" s="8">
        <v>2.21</v>
      </c>
      <c r="N3664" s="8"/>
      <c r="O3664" s="8"/>
      <c r="P3664" s="8"/>
      <c r="Q3664" s="11"/>
      <c r="R3664" s="11"/>
      <c r="S3664" s="8">
        <v>4.18</v>
      </c>
      <c r="T3664" s="8"/>
      <c r="U3664" s="8">
        <v>13.97</v>
      </c>
      <c r="V3664" s="8"/>
      <c r="W3664" s="8"/>
      <c r="X3664" s="8"/>
      <c r="Y3664" s="8"/>
      <c r="Z3664" s="8"/>
      <c r="AA3664" s="8"/>
      <c r="AB3664" s="8"/>
      <c r="AC3664" s="8">
        <v>4.6500000000000004</v>
      </c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11"/>
      <c r="AQ3664" s="8"/>
      <c r="AR3664" s="8"/>
      <c r="AS3664" s="8"/>
      <c r="AT3664" s="8">
        <v>688.38</v>
      </c>
      <c r="AU3664" s="8"/>
      <c r="AV3664" s="8">
        <v>23.25</v>
      </c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>
        <v>50.01</v>
      </c>
      <c r="BH3664" s="9">
        <f t="shared" si="513"/>
        <v>1339.42</v>
      </c>
      <c r="BI3664" s="9">
        <f t="shared" si="514"/>
        <v>2.21</v>
      </c>
      <c r="BJ3664" s="9">
        <f t="shared" si="515"/>
        <v>4.18</v>
      </c>
      <c r="BK3664" s="9">
        <f t="shared" si="516"/>
        <v>13.97</v>
      </c>
      <c r="BL3664" s="9">
        <f t="shared" si="517"/>
        <v>0</v>
      </c>
      <c r="BM3664" s="9">
        <f t="shared" si="518"/>
        <v>4.6500000000000004</v>
      </c>
      <c r="BN3664" s="9">
        <f t="shared" si="519"/>
        <v>688.38</v>
      </c>
      <c r="BO3664" s="9">
        <f t="shared" si="520"/>
        <v>23.25</v>
      </c>
      <c r="BP3664" s="9">
        <f t="shared" si="521"/>
        <v>0</v>
      </c>
    </row>
    <row r="3665" spans="1:68">
      <c r="A3665" s="6">
        <v>45218</v>
      </c>
      <c r="B3665" s="7">
        <v>3307</v>
      </c>
      <c r="C3665" s="8"/>
      <c r="D3665" s="8">
        <v>511.21</v>
      </c>
      <c r="E3665" s="8"/>
      <c r="F3665" s="8"/>
      <c r="G3665" s="8"/>
      <c r="H3665" s="8"/>
      <c r="I3665" s="8"/>
      <c r="J3665" s="8"/>
      <c r="K3665" s="8"/>
      <c r="L3665" s="8"/>
      <c r="M3665" s="8">
        <v>0.46</v>
      </c>
      <c r="N3665" s="8"/>
      <c r="O3665" s="8"/>
      <c r="P3665" s="8"/>
      <c r="Q3665" s="11"/>
      <c r="R3665" s="11"/>
      <c r="S3665" s="8">
        <v>3.48</v>
      </c>
      <c r="T3665" s="8"/>
      <c r="U3665" s="8">
        <v>5.13</v>
      </c>
      <c r="V3665" s="8"/>
      <c r="W3665" s="8"/>
      <c r="X3665" s="8"/>
      <c r="Y3665" s="8"/>
      <c r="Z3665" s="8"/>
      <c r="AA3665" s="8"/>
      <c r="AB3665" s="8"/>
      <c r="AC3665" s="8">
        <v>3.07</v>
      </c>
      <c r="AD3665" s="8"/>
      <c r="AE3665" s="8"/>
      <c r="AF3665" s="8"/>
      <c r="AG3665" s="8">
        <v>5.12</v>
      </c>
      <c r="AH3665" s="8"/>
      <c r="AI3665" s="8"/>
      <c r="AJ3665" s="8"/>
      <c r="AK3665" s="8"/>
      <c r="AL3665" s="8"/>
      <c r="AM3665" s="8"/>
      <c r="AN3665" s="8"/>
      <c r="AO3665" s="8"/>
      <c r="AP3665" s="11"/>
      <c r="AQ3665" s="8"/>
      <c r="AR3665" s="8"/>
      <c r="AS3665" s="8"/>
      <c r="AT3665" s="8"/>
      <c r="AU3665" s="8">
        <v>256.55</v>
      </c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>
        <v>18.41</v>
      </c>
      <c r="BH3665" s="9">
        <f t="shared" si="513"/>
        <v>511.21</v>
      </c>
      <c r="BI3665" s="9">
        <f t="shared" si="514"/>
        <v>0.46</v>
      </c>
      <c r="BJ3665" s="9">
        <f t="shared" si="515"/>
        <v>3.48</v>
      </c>
      <c r="BK3665" s="9">
        <f t="shared" si="516"/>
        <v>5.13</v>
      </c>
      <c r="BL3665" s="9">
        <f t="shared" si="517"/>
        <v>0</v>
      </c>
      <c r="BM3665" s="9">
        <f t="shared" si="518"/>
        <v>8.19</v>
      </c>
      <c r="BN3665" s="9">
        <f t="shared" si="519"/>
        <v>256.55</v>
      </c>
      <c r="BO3665" s="9">
        <f t="shared" si="520"/>
        <v>0</v>
      </c>
      <c r="BP3665" s="9">
        <f t="shared" si="521"/>
        <v>0</v>
      </c>
    </row>
    <row r="3666" spans="1:68">
      <c r="A3666" s="6">
        <v>45218</v>
      </c>
      <c r="B3666" s="7">
        <v>3139</v>
      </c>
      <c r="C3666" s="8">
        <v>1124.3</v>
      </c>
      <c r="D3666" s="8"/>
      <c r="E3666" s="8"/>
      <c r="F3666" s="8"/>
      <c r="G3666" s="8"/>
      <c r="H3666" s="8">
        <v>466.61</v>
      </c>
      <c r="I3666" s="8"/>
      <c r="J3666" s="8"/>
      <c r="K3666" s="8"/>
      <c r="L3666" s="8"/>
      <c r="M3666" s="8">
        <v>2.64</v>
      </c>
      <c r="N3666" s="8"/>
      <c r="O3666" s="8"/>
      <c r="P3666" s="8"/>
      <c r="Q3666" s="11"/>
      <c r="R3666" s="11"/>
      <c r="S3666" s="8">
        <v>4.9800000000000004</v>
      </c>
      <c r="T3666" s="8"/>
      <c r="U3666" s="8">
        <v>16.62</v>
      </c>
      <c r="V3666" s="8"/>
      <c r="W3666" s="8"/>
      <c r="X3666" s="8"/>
      <c r="Y3666" s="8"/>
      <c r="Z3666" s="8"/>
      <c r="AA3666" s="8"/>
      <c r="AB3666" s="8"/>
      <c r="AC3666" s="8">
        <v>5.54</v>
      </c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11"/>
      <c r="AQ3666" s="8"/>
      <c r="AR3666" s="8"/>
      <c r="AS3666" s="8"/>
      <c r="AT3666" s="8">
        <v>823.29</v>
      </c>
      <c r="AU3666" s="8"/>
      <c r="AV3666" s="8">
        <v>27.72</v>
      </c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>
        <v>59.57</v>
      </c>
      <c r="BH3666" s="9">
        <f t="shared" si="513"/>
        <v>1590.9099999999999</v>
      </c>
      <c r="BI3666" s="9">
        <f t="shared" si="514"/>
        <v>2.64</v>
      </c>
      <c r="BJ3666" s="9">
        <f t="shared" si="515"/>
        <v>4.9800000000000004</v>
      </c>
      <c r="BK3666" s="9">
        <f t="shared" si="516"/>
        <v>16.62</v>
      </c>
      <c r="BL3666" s="9">
        <f t="shared" si="517"/>
        <v>0</v>
      </c>
      <c r="BM3666" s="9">
        <f t="shared" si="518"/>
        <v>5.54</v>
      </c>
      <c r="BN3666" s="9">
        <f t="shared" si="519"/>
        <v>823.29</v>
      </c>
      <c r="BO3666" s="9">
        <f t="shared" si="520"/>
        <v>27.72</v>
      </c>
      <c r="BP3666" s="9">
        <f t="shared" si="521"/>
        <v>0</v>
      </c>
    </row>
    <row r="3667" spans="1:68">
      <c r="A3667" s="6">
        <v>45218</v>
      </c>
      <c r="B3667" s="7">
        <v>3005</v>
      </c>
      <c r="C3667" s="8">
        <v>427.42</v>
      </c>
      <c r="D3667" s="8">
        <v>285.25</v>
      </c>
      <c r="E3667" s="8"/>
      <c r="F3667" s="8"/>
      <c r="G3667" s="8"/>
      <c r="H3667" s="8"/>
      <c r="I3667" s="8"/>
      <c r="J3667" s="8"/>
      <c r="K3667" s="8"/>
      <c r="L3667" s="8"/>
      <c r="M3667" s="8"/>
      <c r="N3667" s="8">
        <v>0.71</v>
      </c>
      <c r="O3667" s="8"/>
      <c r="P3667" s="8"/>
      <c r="Q3667" s="11"/>
      <c r="R3667" s="11"/>
      <c r="S3667" s="8">
        <v>2.4900000000000002</v>
      </c>
      <c r="T3667" s="8"/>
      <c r="U3667" s="8"/>
      <c r="V3667" s="8"/>
      <c r="W3667" s="8">
        <v>7.85</v>
      </c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11"/>
      <c r="AQ3667" s="8"/>
      <c r="AR3667" s="8"/>
      <c r="AS3667" s="8"/>
      <c r="AT3667" s="8">
        <v>348.76</v>
      </c>
      <c r="AU3667" s="8"/>
      <c r="AV3667" s="8"/>
      <c r="AW3667" s="8">
        <v>7.92</v>
      </c>
      <c r="AX3667" s="8"/>
      <c r="AY3667" s="8"/>
      <c r="AZ3667" s="8"/>
      <c r="BA3667" s="8"/>
      <c r="BB3667" s="8"/>
      <c r="BC3667" s="8"/>
      <c r="BD3667" s="8"/>
      <c r="BE3667" s="8"/>
      <c r="BF3667" s="8"/>
      <c r="BG3667" s="8">
        <v>25.99</v>
      </c>
      <c r="BH3667" s="9">
        <f t="shared" si="513"/>
        <v>712.67000000000007</v>
      </c>
      <c r="BI3667" s="9">
        <f t="shared" si="514"/>
        <v>0.71</v>
      </c>
      <c r="BJ3667" s="9">
        <f t="shared" si="515"/>
        <v>2.4900000000000002</v>
      </c>
      <c r="BK3667" s="9">
        <f t="shared" si="516"/>
        <v>7.85</v>
      </c>
      <c r="BL3667" s="9">
        <f t="shared" si="517"/>
        <v>0</v>
      </c>
      <c r="BM3667" s="9">
        <f t="shared" si="518"/>
        <v>0</v>
      </c>
      <c r="BN3667" s="9">
        <f t="shared" si="519"/>
        <v>348.76</v>
      </c>
      <c r="BO3667" s="9">
        <f t="shared" si="520"/>
        <v>7.92</v>
      </c>
      <c r="BP3667" s="9">
        <f t="shared" si="521"/>
        <v>0</v>
      </c>
    </row>
    <row r="3668" spans="1:68">
      <c r="A3668" s="6">
        <v>45218</v>
      </c>
      <c r="B3668" s="7">
        <v>3016</v>
      </c>
      <c r="C3668" s="8"/>
      <c r="D3668" s="8">
        <v>2399.9899999999998</v>
      </c>
      <c r="E3668" s="8"/>
      <c r="F3668" s="8"/>
      <c r="G3668" s="8"/>
      <c r="H3668" s="8"/>
      <c r="I3668" s="8">
        <v>2213.08</v>
      </c>
      <c r="J3668" s="8"/>
      <c r="K3668" s="8"/>
      <c r="L3668" s="8"/>
      <c r="M3668" s="8"/>
      <c r="N3668" s="8">
        <v>28.13</v>
      </c>
      <c r="O3668" s="8"/>
      <c r="P3668" s="8"/>
      <c r="Q3668" s="11"/>
      <c r="R3668" s="11"/>
      <c r="S3668" s="8">
        <v>3.22</v>
      </c>
      <c r="T3668" s="8"/>
      <c r="U3668" s="8"/>
      <c r="V3668" s="8"/>
      <c r="W3668" s="8">
        <v>46.14</v>
      </c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>
        <v>18.41</v>
      </c>
      <c r="AN3668" s="8">
        <f>2046*27.13/1000</f>
        <v>55.507979999999996</v>
      </c>
      <c r="AO3668" s="8"/>
      <c r="AP3668" s="11"/>
      <c r="AQ3668" s="8"/>
      <c r="AR3668" s="8">
        <f>4342*27.13/1000</f>
        <v>117.79845999999999</v>
      </c>
      <c r="AS3668" s="8"/>
      <c r="AT3668" s="8">
        <v>1713.62</v>
      </c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>
        <v>125.19</v>
      </c>
      <c r="BH3668" s="9">
        <f t="shared" si="513"/>
        <v>4613.07</v>
      </c>
      <c r="BI3668" s="9">
        <f t="shared" si="514"/>
        <v>28.13</v>
      </c>
      <c r="BJ3668" s="9">
        <f t="shared" si="515"/>
        <v>3.22</v>
      </c>
      <c r="BK3668" s="9">
        <f t="shared" si="516"/>
        <v>46.14</v>
      </c>
      <c r="BL3668" s="9">
        <f t="shared" si="517"/>
        <v>0</v>
      </c>
      <c r="BM3668" s="9">
        <f t="shared" si="518"/>
        <v>191.71643999999998</v>
      </c>
      <c r="BN3668" s="9">
        <f t="shared" si="519"/>
        <v>1713.62</v>
      </c>
      <c r="BO3668" s="9">
        <f t="shared" si="520"/>
        <v>0</v>
      </c>
      <c r="BP3668" s="9">
        <f t="shared" si="521"/>
        <v>0</v>
      </c>
    </row>
    <row r="3669" spans="1:68">
      <c r="A3669" s="6">
        <v>45218</v>
      </c>
      <c r="B3669" s="7">
        <v>3145</v>
      </c>
      <c r="C3669" s="8">
        <v>657.4</v>
      </c>
      <c r="D3669" s="8">
        <v>116.2</v>
      </c>
      <c r="E3669" s="8"/>
      <c r="F3669" s="8"/>
      <c r="G3669" s="8"/>
      <c r="H3669" s="8"/>
      <c r="I3669" s="8"/>
      <c r="J3669" s="8"/>
      <c r="K3669" s="8"/>
      <c r="L3669" s="8"/>
      <c r="M3669" s="8">
        <v>2.25</v>
      </c>
      <c r="N3669" s="8"/>
      <c r="O3669" s="8"/>
      <c r="P3669" s="8"/>
      <c r="Q3669" s="11"/>
      <c r="R3669" s="11"/>
      <c r="S3669" s="8">
        <v>3.65</v>
      </c>
      <c r="T3669" s="8"/>
      <c r="U3669" s="8">
        <v>11.63</v>
      </c>
      <c r="V3669" s="8"/>
      <c r="W3669" s="8"/>
      <c r="X3669" s="8"/>
      <c r="Y3669" s="8"/>
      <c r="Z3669" s="8"/>
      <c r="AA3669" s="8"/>
      <c r="AB3669" s="8"/>
      <c r="AC3669" s="8">
        <v>3.11</v>
      </c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11"/>
      <c r="AQ3669" s="8"/>
      <c r="AR3669" s="8"/>
      <c r="AS3669" s="8"/>
      <c r="AT3669" s="8">
        <v>515.61</v>
      </c>
      <c r="AU3669" s="8"/>
      <c r="AV3669" s="8"/>
      <c r="AW3669" s="8"/>
      <c r="AX3669" s="8"/>
      <c r="AY3669" s="8"/>
      <c r="AZ3669" s="8"/>
      <c r="BA3669" s="8"/>
      <c r="BB3669" s="8"/>
      <c r="BC3669" s="8"/>
      <c r="BD3669" s="8">
        <v>1.94</v>
      </c>
      <c r="BE3669" s="8">
        <f>1362*5.17/1000</f>
        <v>7.0415400000000004</v>
      </c>
      <c r="BF3669" s="8">
        <v>54.3</v>
      </c>
      <c r="BG3669" s="8">
        <v>40.33</v>
      </c>
      <c r="BH3669" s="9">
        <f t="shared" si="513"/>
        <v>773.6</v>
      </c>
      <c r="BI3669" s="9">
        <f t="shared" si="514"/>
        <v>2.25</v>
      </c>
      <c r="BJ3669" s="9">
        <f t="shared" si="515"/>
        <v>3.65</v>
      </c>
      <c r="BK3669" s="9">
        <f t="shared" si="516"/>
        <v>11.63</v>
      </c>
      <c r="BL3669" s="9">
        <f t="shared" si="517"/>
        <v>0</v>
      </c>
      <c r="BM3669" s="9">
        <f t="shared" si="518"/>
        <v>3.11</v>
      </c>
      <c r="BN3669" s="9">
        <f t="shared" si="519"/>
        <v>515.61</v>
      </c>
      <c r="BO3669" s="9">
        <f t="shared" si="520"/>
        <v>8.9815400000000007</v>
      </c>
      <c r="BP3669" s="9">
        <f t="shared" si="521"/>
        <v>54.3</v>
      </c>
    </row>
    <row r="3670" spans="1:68">
      <c r="A3670" s="6">
        <v>45218</v>
      </c>
      <c r="B3670" s="7">
        <v>3141</v>
      </c>
      <c r="C3670" s="8">
        <f>2115.75+311.85</f>
        <v>2427.6</v>
      </c>
      <c r="D3670" s="8">
        <f>55.04+373.89</f>
        <v>428.93</v>
      </c>
      <c r="E3670" s="8"/>
      <c r="F3670" s="8"/>
      <c r="G3670" s="8"/>
      <c r="H3670" s="8"/>
      <c r="I3670" s="8"/>
      <c r="J3670" s="8"/>
      <c r="K3670" s="8"/>
      <c r="L3670" s="8"/>
      <c r="M3670" s="8">
        <f>7.22+1.06</f>
        <v>8.2799999999999994</v>
      </c>
      <c r="N3670" s="8"/>
      <c r="O3670" s="8"/>
      <c r="P3670" s="8"/>
      <c r="Q3670" s="11"/>
      <c r="R3670" s="11"/>
      <c r="S3670" s="8">
        <f>11.73+1.73</f>
        <v>13.46</v>
      </c>
      <c r="T3670" s="8"/>
      <c r="U3670" s="8">
        <f>37.41+5.51</f>
        <v>42.919999999999995</v>
      </c>
      <c r="V3670" s="8"/>
      <c r="W3670" s="8"/>
      <c r="X3670" s="8"/>
      <c r="Y3670" s="8"/>
      <c r="Z3670" s="8"/>
      <c r="AA3670" s="8"/>
      <c r="AB3670" s="8"/>
      <c r="AC3670" s="8">
        <f>9.98+1.47</f>
        <v>11.450000000000001</v>
      </c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11"/>
      <c r="AQ3670" s="8"/>
      <c r="AR3670" s="8"/>
      <c r="AS3670" s="8"/>
      <c r="AT3670" s="8">
        <f>1654.04+242.73</f>
        <v>1896.77</v>
      </c>
      <c r="AU3670" s="8"/>
      <c r="AV3670" s="8"/>
      <c r="AW3670" s="8"/>
      <c r="AX3670" s="8"/>
      <c r="AY3670" s="8"/>
      <c r="AZ3670" s="8"/>
      <c r="BA3670" s="8">
        <f>57.11+8.41</f>
        <v>65.52</v>
      </c>
      <c r="BB3670" s="8"/>
      <c r="BC3670" s="8"/>
      <c r="BD3670" s="8"/>
      <c r="BE3670" s="8"/>
      <c r="BF3670" s="8">
        <f>174.42+25.71</f>
        <v>200.13</v>
      </c>
      <c r="BG3670" s="8">
        <f>129.7+19.04</f>
        <v>148.73999999999998</v>
      </c>
      <c r="BH3670" s="9">
        <f t="shared" si="513"/>
        <v>2856.5299999999997</v>
      </c>
      <c r="BI3670" s="9">
        <f t="shared" si="514"/>
        <v>8.2799999999999994</v>
      </c>
      <c r="BJ3670" s="9">
        <f t="shared" si="515"/>
        <v>13.46</v>
      </c>
      <c r="BK3670" s="9">
        <f t="shared" si="516"/>
        <v>42.919999999999995</v>
      </c>
      <c r="BL3670" s="9">
        <f t="shared" si="517"/>
        <v>0</v>
      </c>
      <c r="BM3670" s="9">
        <f t="shared" si="518"/>
        <v>11.450000000000001</v>
      </c>
      <c r="BN3670" s="9">
        <f t="shared" si="519"/>
        <v>1896.77</v>
      </c>
      <c r="BO3670" s="9">
        <f t="shared" si="520"/>
        <v>65.52</v>
      </c>
      <c r="BP3670" s="9">
        <f t="shared" si="521"/>
        <v>200.13</v>
      </c>
    </row>
    <row r="3671" spans="1:68">
      <c r="A3671" s="6">
        <v>45219</v>
      </c>
      <c r="B3671" s="7">
        <v>3201</v>
      </c>
      <c r="C3671" s="8">
        <v>1173.17</v>
      </c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>
        <v>2.98</v>
      </c>
      <c r="P3671" s="8"/>
      <c r="Q3671" s="11"/>
      <c r="R3671" s="11"/>
      <c r="S3671" s="8">
        <v>4.4800000000000004</v>
      </c>
      <c r="T3671" s="8"/>
      <c r="U3671" s="8">
        <v>17.71</v>
      </c>
      <c r="V3671" s="8"/>
      <c r="W3671" s="8"/>
      <c r="X3671" s="8"/>
      <c r="Y3671" s="8"/>
      <c r="Z3671" s="8">
        <v>247.77</v>
      </c>
      <c r="AA3671" s="8"/>
      <c r="AB3671" s="8"/>
      <c r="AC3671" s="8"/>
      <c r="AD3671" s="8"/>
      <c r="AE3671" s="8"/>
      <c r="AF3671" s="8">
        <v>58.41</v>
      </c>
      <c r="AG3671" s="8"/>
      <c r="AH3671" s="8"/>
      <c r="AI3671" s="8"/>
      <c r="AJ3671" s="8"/>
      <c r="AK3671" s="8"/>
      <c r="AL3671" s="8"/>
      <c r="AM3671" s="8"/>
      <c r="AN3671" s="8"/>
      <c r="AO3671" s="8"/>
      <c r="AP3671" s="11"/>
      <c r="AQ3671" s="8">
        <f>1506*11.78/1000</f>
        <v>17.740680000000001</v>
      </c>
      <c r="AR3671" s="8"/>
      <c r="AS3671" s="8"/>
      <c r="AT3671" s="8">
        <v>805.99</v>
      </c>
      <c r="AU3671" s="8"/>
      <c r="AV3671" s="8"/>
      <c r="AW3671" s="8"/>
      <c r="AX3671" s="8"/>
      <c r="AY3671" s="8"/>
      <c r="AZ3671" s="8"/>
      <c r="BA3671" s="8"/>
      <c r="BB3671" s="8"/>
      <c r="BC3671" s="8">
        <v>3.07</v>
      </c>
      <c r="BD3671" s="8"/>
      <c r="BE3671" s="8"/>
      <c r="BF3671" s="8">
        <v>56.63</v>
      </c>
      <c r="BG3671" s="8">
        <v>58.53</v>
      </c>
      <c r="BH3671" s="9">
        <f t="shared" si="513"/>
        <v>1173.17</v>
      </c>
      <c r="BI3671" s="9">
        <f t="shared" si="514"/>
        <v>2.98</v>
      </c>
      <c r="BJ3671" s="9">
        <f t="shared" si="515"/>
        <v>4.4800000000000004</v>
      </c>
      <c r="BK3671" s="9">
        <f t="shared" si="516"/>
        <v>17.71</v>
      </c>
      <c r="BL3671" s="9">
        <f t="shared" si="517"/>
        <v>247.77</v>
      </c>
      <c r="BM3671" s="9">
        <f t="shared" si="518"/>
        <v>76.150679999999994</v>
      </c>
      <c r="BN3671" s="9">
        <f t="shared" si="519"/>
        <v>805.99</v>
      </c>
      <c r="BO3671" s="9">
        <f t="shared" si="520"/>
        <v>3.07</v>
      </c>
      <c r="BP3671" s="9">
        <f t="shared" si="521"/>
        <v>56.63</v>
      </c>
    </row>
    <row r="3672" spans="1:68">
      <c r="A3672" s="6">
        <v>45219</v>
      </c>
      <c r="B3672" s="7">
        <v>3083</v>
      </c>
      <c r="C3672" s="8"/>
      <c r="D3672" s="8">
        <v>1084.79</v>
      </c>
      <c r="E3672" s="8"/>
      <c r="F3672" s="8"/>
      <c r="G3672" s="8"/>
      <c r="H3672" s="8"/>
      <c r="I3672" s="8">
        <v>2527.2600000000002</v>
      </c>
      <c r="J3672" s="8"/>
      <c r="K3672" s="8"/>
      <c r="L3672" s="8"/>
      <c r="M3672" s="8"/>
      <c r="N3672" s="8">
        <v>23.09</v>
      </c>
      <c r="O3672" s="8"/>
      <c r="P3672" s="8"/>
      <c r="Q3672" s="11"/>
      <c r="R3672" s="11"/>
      <c r="S3672" s="8">
        <v>2.52</v>
      </c>
      <c r="T3672" s="8"/>
      <c r="U3672" s="8"/>
      <c r="V3672" s="8"/>
      <c r="W3672" s="8">
        <v>28.88</v>
      </c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>
        <v>14.42</v>
      </c>
      <c r="AN3672" s="8">
        <f>1920*26.73/1000</f>
        <v>51.321599999999997</v>
      </c>
      <c r="AO3672" s="8"/>
      <c r="AP3672" s="11"/>
      <c r="AQ3672" s="8"/>
      <c r="AR3672" s="8">
        <f>3425*26.73/1000</f>
        <v>91.550250000000005</v>
      </c>
      <c r="AS3672" s="8"/>
      <c r="AT3672" s="8">
        <v>1697.18</v>
      </c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>
        <v>134.55000000000001</v>
      </c>
      <c r="BH3672" s="9">
        <f t="shared" si="513"/>
        <v>3612.05</v>
      </c>
      <c r="BI3672" s="9">
        <f t="shared" si="514"/>
        <v>23.09</v>
      </c>
      <c r="BJ3672" s="9">
        <f t="shared" si="515"/>
        <v>2.52</v>
      </c>
      <c r="BK3672" s="9">
        <f t="shared" si="516"/>
        <v>28.88</v>
      </c>
      <c r="BL3672" s="9">
        <f t="shared" si="517"/>
        <v>0</v>
      </c>
      <c r="BM3672" s="9">
        <f t="shared" si="518"/>
        <v>157.29185000000001</v>
      </c>
      <c r="BN3672" s="9">
        <f t="shared" si="519"/>
        <v>1697.18</v>
      </c>
      <c r="BO3672" s="9">
        <f t="shared" si="520"/>
        <v>0</v>
      </c>
      <c r="BP3672" s="9">
        <f t="shared" si="521"/>
        <v>0</v>
      </c>
    </row>
    <row r="3673" spans="1:68">
      <c r="A3673" s="6">
        <v>45219</v>
      </c>
      <c r="B3673" s="7">
        <v>3129</v>
      </c>
      <c r="C3673" s="8">
        <v>1078.93</v>
      </c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11"/>
      <c r="R3673" s="11">
        <f>1198*4.92/1000</f>
        <v>5.8941600000000003</v>
      </c>
      <c r="S3673" s="8">
        <v>4</v>
      </c>
      <c r="T3673" s="8"/>
      <c r="U3673" s="8"/>
      <c r="V3673" s="8"/>
      <c r="W3673" s="8"/>
      <c r="X3673" s="8">
        <f>1981*4.92/1000</f>
        <v>9.7465200000000003</v>
      </c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11"/>
      <c r="AQ3673" s="8"/>
      <c r="AR3673" s="8"/>
      <c r="AS3673" s="8"/>
      <c r="AT3673" s="8">
        <v>148.84</v>
      </c>
      <c r="AU3673" s="8">
        <v>297.31</v>
      </c>
      <c r="AV3673" s="8"/>
      <c r="AW3673" s="8"/>
      <c r="AX3673" s="8"/>
      <c r="AY3673" s="8"/>
      <c r="AZ3673" s="8"/>
      <c r="BA3673" s="8"/>
      <c r="BB3673" s="8"/>
      <c r="BC3673" s="8"/>
      <c r="BD3673" s="8">
        <v>2.7</v>
      </c>
      <c r="BE3673" s="8">
        <f>2019*4.92/1000</f>
        <v>9.9334799999999994</v>
      </c>
      <c r="BF3673" s="8"/>
      <c r="BG3673" s="8">
        <v>32.44</v>
      </c>
      <c r="BH3673" s="9">
        <f t="shared" si="513"/>
        <v>1078.93</v>
      </c>
      <c r="BI3673" s="9">
        <f t="shared" si="514"/>
        <v>5.8941600000000003</v>
      </c>
      <c r="BJ3673" s="9">
        <f t="shared" si="515"/>
        <v>4</v>
      </c>
      <c r="BK3673" s="9">
        <f t="shared" si="516"/>
        <v>9.7465200000000003</v>
      </c>
      <c r="BL3673" s="9">
        <f t="shared" si="517"/>
        <v>0</v>
      </c>
      <c r="BM3673" s="9">
        <f t="shared" si="518"/>
        <v>0</v>
      </c>
      <c r="BN3673" s="9">
        <f t="shared" si="519"/>
        <v>446.15</v>
      </c>
      <c r="BO3673" s="9">
        <f t="shared" si="520"/>
        <v>12.633479999999999</v>
      </c>
      <c r="BP3673" s="9">
        <f t="shared" si="521"/>
        <v>0</v>
      </c>
    </row>
    <row r="3674" spans="1:68">
      <c r="A3674" s="6">
        <v>45219</v>
      </c>
      <c r="B3674" s="7">
        <v>3106</v>
      </c>
      <c r="C3674" s="8">
        <v>6140.69</v>
      </c>
      <c r="D3674" s="8"/>
      <c r="E3674" s="8"/>
      <c r="F3674" s="8"/>
      <c r="G3674" s="8"/>
      <c r="H3674" s="8"/>
      <c r="I3674" s="8"/>
      <c r="J3674" s="8"/>
      <c r="K3674" s="8"/>
      <c r="L3674" s="8"/>
      <c r="M3674" s="8">
        <v>16.59</v>
      </c>
      <c r="N3674" s="8"/>
      <c r="O3674" s="8"/>
      <c r="P3674" s="8"/>
      <c r="Q3674" s="11"/>
      <c r="R3674" s="11"/>
      <c r="S3674" s="8">
        <v>18.46</v>
      </c>
      <c r="T3674" s="8"/>
      <c r="U3674" s="8">
        <v>78.150000000000006</v>
      </c>
      <c r="V3674" s="8"/>
      <c r="W3674" s="8"/>
      <c r="X3674" s="8"/>
      <c r="Y3674" s="8"/>
      <c r="Z3674" s="8"/>
      <c r="AA3674" s="8"/>
      <c r="AB3674" s="8"/>
      <c r="AC3674" s="8">
        <v>15.36</v>
      </c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11"/>
      <c r="AQ3674" s="8"/>
      <c r="AR3674" s="8"/>
      <c r="AS3674" s="8"/>
      <c r="AT3674" s="8">
        <v>3501.93</v>
      </c>
      <c r="AU3674" s="8"/>
      <c r="AV3674" s="8"/>
      <c r="AW3674" s="8"/>
      <c r="AX3674" s="8">
        <v>7.69</v>
      </c>
      <c r="AY3674" s="8"/>
      <c r="AZ3674" s="8"/>
      <c r="BA3674" s="8"/>
      <c r="BB3674" s="8"/>
      <c r="BC3674" s="8"/>
      <c r="BD3674" s="8"/>
      <c r="BE3674" s="8"/>
      <c r="BF3674" s="8"/>
      <c r="BG3674" s="8">
        <v>263.83</v>
      </c>
      <c r="BH3674" s="9">
        <f t="shared" si="513"/>
        <v>6140.69</v>
      </c>
      <c r="BI3674" s="9">
        <f t="shared" si="514"/>
        <v>16.59</v>
      </c>
      <c r="BJ3674" s="9">
        <f t="shared" si="515"/>
        <v>18.46</v>
      </c>
      <c r="BK3674" s="9">
        <f t="shared" si="516"/>
        <v>78.150000000000006</v>
      </c>
      <c r="BL3674" s="9">
        <f t="shared" si="517"/>
        <v>0</v>
      </c>
      <c r="BM3674" s="9">
        <f t="shared" si="518"/>
        <v>15.36</v>
      </c>
      <c r="BN3674" s="9">
        <f t="shared" si="519"/>
        <v>3501.93</v>
      </c>
      <c r="BO3674" s="9">
        <f t="shared" si="520"/>
        <v>7.69</v>
      </c>
      <c r="BP3674" s="9">
        <f t="shared" si="521"/>
        <v>0</v>
      </c>
    </row>
    <row r="3675" spans="1:68">
      <c r="A3675" s="6">
        <v>45219</v>
      </c>
      <c r="B3675" s="7">
        <v>3101</v>
      </c>
      <c r="C3675" s="8">
        <v>662.8</v>
      </c>
      <c r="D3675" s="8"/>
      <c r="E3675" s="8"/>
      <c r="F3675" s="8"/>
      <c r="G3675" s="8"/>
      <c r="H3675" s="8"/>
      <c r="I3675" s="8"/>
      <c r="J3675" s="8"/>
      <c r="K3675" s="8"/>
      <c r="L3675" s="8"/>
      <c r="M3675" s="8">
        <v>1.67</v>
      </c>
      <c r="N3675" s="8"/>
      <c r="O3675" s="8"/>
      <c r="P3675" s="8"/>
      <c r="Q3675" s="11"/>
      <c r="R3675" s="11"/>
      <c r="S3675" s="8">
        <v>3.85</v>
      </c>
      <c r="T3675" s="8"/>
      <c r="U3675" s="8">
        <v>10.63</v>
      </c>
      <c r="V3675" s="8"/>
      <c r="W3675" s="8"/>
      <c r="X3675" s="8"/>
      <c r="Y3675" s="8"/>
      <c r="Z3675" s="8"/>
      <c r="AA3675" s="8"/>
      <c r="AB3675" s="8"/>
      <c r="AC3675" s="8">
        <v>2.66</v>
      </c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11"/>
      <c r="AQ3675" s="8"/>
      <c r="AR3675" s="8"/>
      <c r="AS3675" s="8"/>
      <c r="AT3675" s="8">
        <v>445.26</v>
      </c>
      <c r="AU3675" s="8"/>
      <c r="AV3675" s="8"/>
      <c r="AW3675" s="8">
        <v>14.15</v>
      </c>
      <c r="AX3675" s="8"/>
      <c r="AY3675" s="8"/>
      <c r="AZ3675" s="8"/>
      <c r="BA3675" s="8"/>
      <c r="BB3675" s="8"/>
      <c r="BC3675" s="8"/>
      <c r="BD3675" s="8"/>
      <c r="BE3675" s="8"/>
      <c r="BF3675" s="8">
        <v>86.34</v>
      </c>
      <c r="BG3675" s="8">
        <v>34.159999999999997</v>
      </c>
      <c r="BH3675" s="9">
        <f t="shared" si="513"/>
        <v>662.8</v>
      </c>
      <c r="BI3675" s="9">
        <f t="shared" si="514"/>
        <v>1.67</v>
      </c>
      <c r="BJ3675" s="9">
        <f t="shared" si="515"/>
        <v>3.85</v>
      </c>
      <c r="BK3675" s="9">
        <f t="shared" si="516"/>
        <v>10.63</v>
      </c>
      <c r="BL3675" s="9">
        <f t="shared" si="517"/>
        <v>0</v>
      </c>
      <c r="BM3675" s="9">
        <f t="shared" si="518"/>
        <v>2.66</v>
      </c>
      <c r="BN3675" s="9">
        <f t="shared" si="519"/>
        <v>445.26</v>
      </c>
      <c r="BO3675" s="9">
        <f t="shared" si="520"/>
        <v>14.15</v>
      </c>
      <c r="BP3675" s="9">
        <f t="shared" si="521"/>
        <v>86.34</v>
      </c>
    </row>
    <row r="3676" spans="1:68">
      <c r="A3676" s="6">
        <v>45219</v>
      </c>
      <c r="B3676" s="7">
        <v>3602</v>
      </c>
      <c r="C3676" s="8">
        <v>555.28</v>
      </c>
      <c r="D3676" s="8"/>
      <c r="E3676" s="8"/>
      <c r="F3676" s="8"/>
      <c r="G3676" s="8">
        <v>832.4</v>
      </c>
      <c r="H3676" s="8"/>
      <c r="I3676" s="8"/>
      <c r="J3676" s="8"/>
      <c r="K3676" s="8"/>
      <c r="L3676" s="8"/>
      <c r="M3676" s="8">
        <v>1.66</v>
      </c>
      <c r="N3676" s="8"/>
      <c r="O3676" s="8"/>
      <c r="P3676" s="8"/>
      <c r="Q3676" s="11"/>
      <c r="R3676" s="11"/>
      <c r="S3676" s="8">
        <v>6.66</v>
      </c>
      <c r="T3676" s="8"/>
      <c r="U3676" s="8">
        <v>11.11</v>
      </c>
      <c r="V3676" s="8">
        <f>855*15.87/1000</f>
        <v>13.568849999999999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11"/>
      <c r="AQ3676" s="8"/>
      <c r="AR3676" s="8"/>
      <c r="AS3676" s="8"/>
      <c r="AT3676" s="8">
        <v>559.36</v>
      </c>
      <c r="AU3676" s="8"/>
      <c r="AV3676" s="8"/>
      <c r="AW3676" s="8">
        <v>35.9</v>
      </c>
      <c r="AX3676" s="8"/>
      <c r="AY3676" s="8"/>
      <c r="AZ3676" s="8"/>
      <c r="BA3676" s="8"/>
      <c r="BB3676" s="8"/>
      <c r="BC3676" s="8"/>
      <c r="BD3676" s="8"/>
      <c r="BE3676" s="8"/>
      <c r="BF3676" s="8">
        <v>44.45</v>
      </c>
      <c r="BG3676" s="8">
        <v>41.71</v>
      </c>
      <c r="BH3676" s="9">
        <f t="shared" si="513"/>
        <v>1387.6799999999998</v>
      </c>
      <c r="BI3676" s="9">
        <f t="shared" si="514"/>
        <v>1.66</v>
      </c>
      <c r="BJ3676" s="9">
        <f t="shared" si="515"/>
        <v>6.66</v>
      </c>
      <c r="BK3676" s="9">
        <f t="shared" si="516"/>
        <v>24.678849999999997</v>
      </c>
      <c r="BL3676" s="9">
        <f t="shared" si="517"/>
        <v>0</v>
      </c>
      <c r="BM3676" s="9">
        <f t="shared" si="518"/>
        <v>0</v>
      </c>
      <c r="BN3676" s="9">
        <f t="shared" si="519"/>
        <v>559.36</v>
      </c>
      <c r="BO3676" s="9">
        <f t="shared" si="520"/>
        <v>35.9</v>
      </c>
      <c r="BP3676" s="9">
        <f t="shared" si="521"/>
        <v>44.45</v>
      </c>
    </row>
    <row r="3677" spans="1:68">
      <c r="A3677" s="6">
        <v>45222</v>
      </c>
      <c r="B3677" s="7">
        <v>3114</v>
      </c>
      <c r="C3677" s="8">
        <v>1714.48</v>
      </c>
      <c r="D3677" s="8"/>
      <c r="E3677" s="8"/>
      <c r="F3677" s="8"/>
      <c r="G3677" s="8"/>
      <c r="H3677" s="8"/>
      <c r="I3677" s="8"/>
      <c r="J3677" s="8"/>
      <c r="K3677" s="8"/>
      <c r="L3677" s="8"/>
      <c r="M3677" s="8">
        <v>2.93</v>
      </c>
      <c r="N3677" s="8">
        <v>2.91</v>
      </c>
      <c r="O3677" s="8"/>
      <c r="P3677" s="8"/>
      <c r="Q3677" s="11"/>
      <c r="R3677" s="11"/>
      <c r="S3677" s="8">
        <v>5.48</v>
      </c>
      <c r="T3677" s="8"/>
      <c r="U3677" s="8">
        <v>17.13</v>
      </c>
      <c r="V3677" s="8"/>
      <c r="W3677" s="8"/>
      <c r="X3677" s="8"/>
      <c r="Y3677" s="8"/>
      <c r="Z3677" s="8"/>
      <c r="AA3677" s="8"/>
      <c r="AB3677" s="8"/>
      <c r="AC3677" s="8">
        <v>6.85</v>
      </c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11"/>
      <c r="AQ3677" s="8"/>
      <c r="AR3677" s="8"/>
      <c r="AS3677" s="8"/>
      <c r="AT3677" s="8">
        <v>722.05</v>
      </c>
      <c r="AU3677" s="8"/>
      <c r="AV3677" s="8">
        <v>58.17</v>
      </c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>
        <v>49.02</v>
      </c>
      <c r="BH3677" s="9">
        <f t="shared" si="513"/>
        <v>1714.48</v>
      </c>
      <c r="BI3677" s="9">
        <f t="shared" si="514"/>
        <v>5.84</v>
      </c>
      <c r="BJ3677" s="9">
        <f t="shared" si="515"/>
        <v>5.48</v>
      </c>
      <c r="BK3677" s="9">
        <f t="shared" si="516"/>
        <v>17.13</v>
      </c>
      <c r="BL3677" s="9">
        <f t="shared" si="517"/>
        <v>0</v>
      </c>
      <c r="BM3677" s="9">
        <f t="shared" si="518"/>
        <v>6.85</v>
      </c>
      <c r="BN3677" s="9">
        <f t="shared" si="519"/>
        <v>722.05</v>
      </c>
      <c r="BO3677" s="9">
        <f t="shared" si="520"/>
        <v>58.17</v>
      </c>
      <c r="BP3677" s="9">
        <f t="shared" si="521"/>
        <v>0</v>
      </c>
    </row>
    <row r="3678" spans="1:68">
      <c r="A3678" s="6">
        <v>45222</v>
      </c>
      <c r="B3678" s="7">
        <v>3151</v>
      </c>
      <c r="C3678" s="8">
        <v>698.3</v>
      </c>
      <c r="D3678" s="8"/>
      <c r="E3678" s="8"/>
      <c r="F3678" s="8"/>
      <c r="G3678" s="8"/>
      <c r="H3678" s="8"/>
      <c r="I3678" s="8"/>
      <c r="J3678" s="8"/>
      <c r="K3678" s="8"/>
      <c r="L3678" s="8"/>
      <c r="M3678" s="8">
        <v>2.08</v>
      </c>
      <c r="N3678" s="8"/>
      <c r="O3678" s="8"/>
      <c r="P3678" s="8"/>
      <c r="Q3678" s="11"/>
      <c r="R3678" s="11"/>
      <c r="S3678" s="8">
        <v>2.58</v>
      </c>
      <c r="T3678" s="8"/>
      <c r="U3678" s="8">
        <v>8.86</v>
      </c>
      <c r="V3678" s="8"/>
      <c r="W3678" s="8"/>
      <c r="X3678" s="8"/>
      <c r="Y3678" s="8"/>
      <c r="Z3678" s="8"/>
      <c r="AA3678" s="8"/>
      <c r="AB3678" s="8"/>
      <c r="AC3678" s="8">
        <v>1.75</v>
      </c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11"/>
      <c r="AQ3678" s="8"/>
      <c r="AR3678" s="8"/>
      <c r="AS3678" s="8"/>
      <c r="AT3678" s="8">
        <v>314.24</v>
      </c>
      <c r="AU3678" s="8"/>
      <c r="AV3678" s="8">
        <v>7.04</v>
      </c>
      <c r="AW3678" s="8"/>
      <c r="AX3678" s="8"/>
      <c r="AY3678" s="8"/>
      <c r="AZ3678" s="8"/>
      <c r="BA3678" s="8"/>
      <c r="BB3678" s="8"/>
      <c r="BC3678" s="8"/>
      <c r="BD3678" s="8"/>
      <c r="BE3678" s="8"/>
      <c r="BF3678" s="8">
        <v>27.92</v>
      </c>
      <c r="BG3678" s="8">
        <v>22.24</v>
      </c>
      <c r="BH3678" s="9">
        <f t="shared" si="513"/>
        <v>698.3</v>
      </c>
      <c r="BI3678" s="9">
        <f t="shared" si="514"/>
        <v>2.08</v>
      </c>
      <c r="BJ3678" s="9">
        <f t="shared" si="515"/>
        <v>2.58</v>
      </c>
      <c r="BK3678" s="9">
        <f t="shared" si="516"/>
        <v>8.86</v>
      </c>
      <c r="BL3678" s="9">
        <f t="shared" si="517"/>
        <v>0</v>
      </c>
      <c r="BM3678" s="9">
        <f t="shared" si="518"/>
        <v>1.75</v>
      </c>
      <c r="BN3678" s="9">
        <f t="shared" si="519"/>
        <v>314.24</v>
      </c>
      <c r="BO3678" s="9">
        <f t="shared" si="520"/>
        <v>7.04</v>
      </c>
      <c r="BP3678" s="9">
        <f t="shared" si="521"/>
        <v>27.92</v>
      </c>
    </row>
    <row r="3679" spans="1:68">
      <c r="A3679" s="6">
        <v>45222</v>
      </c>
      <c r="B3679" s="7">
        <v>3118</v>
      </c>
      <c r="C3679" s="8">
        <v>744.97</v>
      </c>
      <c r="D3679" s="8"/>
      <c r="E3679" s="8"/>
      <c r="F3679" s="8"/>
      <c r="G3679" s="8"/>
      <c r="H3679" s="8"/>
      <c r="I3679" s="8"/>
      <c r="J3679" s="8"/>
      <c r="K3679" s="8"/>
      <c r="L3679" s="8"/>
      <c r="M3679" s="8">
        <v>2.4700000000000002</v>
      </c>
      <c r="N3679" s="8"/>
      <c r="O3679" s="8"/>
      <c r="P3679" s="8"/>
      <c r="Q3679" s="11"/>
      <c r="R3679" s="11"/>
      <c r="S3679" s="8">
        <v>4.0999999999999996</v>
      </c>
      <c r="T3679" s="8"/>
      <c r="U3679" s="8">
        <v>8.94</v>
      </c>
      <c r="V3679" s="8"/>
      <c r="W3679" s="8"/>
      <c r="X3679" s="8"/>
      <c r="Y3679" s="8"/>
      <c r="Z3679" s="8"/>
      <c r="AA3679" s="8"/>
      <c r="AB3679" s="8"/>
      <c r="AC3679" s="8">
        <v>2.98</v>
      </c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11"/>
      <c r="AQ3679" s="8">
        <f>718*10.63/1000</f>
        <v>7.6323400000000001</v>
      </c>
      <c r="AR3679" s="8"/>
      <c r="AS3679" s="8"/>
      <c r="AT3679" s="8">
        <v>481.01</v>
      </c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>
        <v>52.16</v>
      </c>
      <c r="BG3679" s="8">
        <v>36.65</v>
      </c>
      <c r="BH3679" s="9">
        <f t="shared" si="513"/>
        <v>744.97</v>
      </c>
      <c r="BI3679" s="9">
        <f t="shared" si="514"/>
        <v>2.4700000000000002</v>
      </c>
      <c r="BJ3679" s="9">
        <f t="shared" si="515"/>
        <v>4.0999999999999996</v>
      </c>
      <c r="BK3679" s="9">
        <f t="shared" si="516"/>
        <v>8.94</v>
      </c>
      <c r="BL3679" s="9">
        <f t="shared" si="517"/>
        <v>0</v>
      </c>
      <c r="BM3679" s="9">
        <f t="shared" si="518"/>
        <v>10.61234</v>
      </c>
      <c r="BN3679" s="9">
        <f t="shared" si="519"/>
        <v>481.01</v>
      </c>
      <c r="BO3679" s="9">
        <f t="shared" si="520"/>
        <v>0</v>
      </c>
      <c r="BP3679" s="9">
        <f t="shared" si="521"/>
        <v>52.16</v>
      </c>
    </row>
    <row r="3680" spans="1:68">
      <c r="A3680" s="6">
        <v>45222</v>
      </c>
      <c r="B3680" s="7">
        <v>3200</v>
      </c>
      <c r="C3680" s="8">
        <v>2293.2600000000002</v>
      </c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>
        <v>5.74</v>
      </c>
      <c r="P3680" s="8"/>
      <c r="Q3680" s="11"/>
      <c r="R3680" s="11"/>
      <c r="S3680" s="8">
        <v>8.9499999999999993</v>
      </c>
      <c r="T3680" s="8"/>
      <c r="U3680" s="8">
        <v>34.39</v>
      </c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>
        <v>114.42</v>
      </c>
      <c r="AG3680" s="8"/>
      <c r="AH3680" s="8"/>
      <c r="AI3680" s="8"/>
      <c r="AJ3680" s="8"/>
      <c r="AK3680" s="8"/>
      <c r="AL3680" s="8"/>
      <c r="AM3680" s="8"/>
      <c r="AN3680" s="8"/>
      <c r="AO3680" s="8"/>
      <c r="AP3680" s="11"/>
      <c r="AQ3680" s="8">
        <f>1526*22.93/1000</f>
        <v>34.99118</v>
      </c>
      <c r="AR3680" s="8"/>
      <c r="AS3680" s="8"/>
      <c r="AT3680" s="8">
        <v>1570.76</v>
      </c>
      <c r="AU3680" s="8"/>
      <c r="AV3680" s="8"/>
      <c r="AW3680" s="8">
        <v>6.58</v>
      </c>
      <c r="AX3680" s="8"/>
      <c r="AY3680" s="8"/>
      <c r="AZ3680" s="8"/>
      <c r="BA3680" s="8"/>
      <c r="BB3680" s="8"/>
      <c r="BC3680" s="8"/>
      <c r="BD3680" s="8"/>
      <c r="BE3680" s="8"/>
      <c r="BF3680" s="8">
        <v>110.15</v>
      </c>
      <c r="BG3680" s="8">
        <v>113.75</v>
      </c>
      <c r="BH3680" s="9">
        <f t="shared" si="513"/>
        <v>2293.2600000000002</v>
      </c>
      <c r="BI3680" s="9">
        <f t="shared" si="514"/>
        <v>5.74</v>
      </c>
      <c r="BJ3680" s="9">
        <f t="shared" si="515"/>
        <v>8.9499999999999993</v>
      </c>
      <c r="BK3680" s="9">
        <f t="shared" si="516"/>
        <v>34.39</v>
      </c>
      <c r="BL3680" s="9">
        <f t="shared" si="517"/>
        <v>0</v>
      </c>
      <c r="BM3680" s="9">
        <f t="shared" si="518"/>
        <v>149.41118</v>
      </c>
      <c r="BN3680" s="9">
        <f t="shared" si="519"/>
        <v>1570.76</v>
      </c>
      <c r="BO3680" s="9">
        <f t="shared" si="520"/>
        <v>6.58</v>
      </c>
      <c r="BP3680" s="9">
        <f t="shared" si="521"/>
        <v>110.15</v>
      </c>
    </row>
    <row r="3681" spans="1:68">
      <c r="A3681" s="6">
        <v>45222</v>
      </c>
      <c r="B3681" s="7">
        <v>3079</v>
      </c>
      <c r="C3681" s="8"/>
      <c r="D3681" s="8"/>
      <c r="E3681" s="8"/>
      <c r="F3681" s="8">
        <v>504.6</v>
      </c>
      <c r="G3681" s="8"/>
      <c r="H3681" s="8"/>
      <c r="I3681" s="8">
        <v>4082.19</v>
      </c>
      <c r="J3681" s="8"/>
      <c r="K3681" s="8"/>
      <c r="L3681" s="8"/>
      <c r="M3681" s="8"/>
      <c r="N3681" s="8">
        <v>33.49</v>
      </c>
      <c r="O3681" s="8"/>
      <c r="P3681" s="8"/>
      <c r="Q3681" s="11"/>
      <c r="R3681" s="11"/>
      <c r="S3681" s="8">
        <v>1.81</v>
      </c>
      <c r="T3681" s="8"/>
      <c r="U3681" s="8"/>
      <c r="V3681" s="8"/>
      <c r="W3681" s="8">
        <v>45.89</v>
      </c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>
        <v>18.36</v>
      </c>
      <c r="AN3681" s="8">
        <f>1732*26.97/1000</f>
        <v>46.712040000000002</v>
      </c>
      <c r="AO3681" s="8"/>
      <c r="AP3681" s="11"/>
      <c r="AQ3681" s="8"/>
      <c r="AR3681" s="8">
        <f>4280*26.97/1000</f>
        <v>115.43159999999999</v>
      </c>
      <c r="AS3681" s="8"/>
      <c r="AT3681" s="8">
        <v>1769.15</v>
      </c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>
        <v>128.22999999999999</v>
      </c>
      <c r="BH3681" s="9">
        <f t="shared" si="513"/>
        <v>4586.79</v>
      </c>
      <c r="BI3681" s="9">
        <f t="shared" si="514"/>
        <v>33.49</v>
      </c>
      <c r="BJ3681" s="9">
        <f t="shared" si="515"/>
        <v>1.81</v>
      </c>
      <c r="BK3681" s="9">
        <f t="shared" si="516"/>
        <v>45.89</v>
      </c>
      <c r="BL3681" s="9">
        <f t="shared" si="517"/>
        <v>0</v>
      </c>
      <c r="BM3681" s="9">
        <f t="shared" si="518"/>
        <v>180.50363999999999</v>
      </c>
      <c r="BN3681" s="9">
        <f t="shared" si="519"/>
        <v>1769.15</v>
      </c>
      <c r="BO3681" s="9">
        <f t="shared" si="520"/>
        <v>0</v>
      </c>
      <c r="BP3681" s="9">
        <f t="shared" si="521"/>
        <v>0</v>
      </c>
    </row>
    <row r="3682" spans="1:68">
      <c r="A3682" s="6">
        <v>45222</v>
      </c>
      <c r="B3682" s="7">
        <v>3031</v>
      </c>
      <c r="C3682" s="8"/>
      <c r="D3682" s="8"/>
      <c r="E3682" s="8"/>
      <c r="F3682" s="8"/>
      <c r="G3682" s="8"/>
      <c r="H3682" s="8"/>
      <c r="I3682" s="8">
        <v>1172</v>
      </c>
      <c r="J3682" s="8"/>
      <c r="K3682" s="8"/>
      <c r="L3682" s="8"/>
      <c r="M3682" s="8"/>
      <c r="N3682" s="8">
        <v>8.09</v>
      </c>
      <c r="O3682" s="8"/>
      <c r="P3682" s="8"/>
      <c r="Q3682" s="11"/>
      <c r="R3682" s="11"/>
      <c r="S3682" s="8">
        <v>0.81</v>
      </c>
      <c r="T3682" s="8"/>
      <c r="U3682" s="8"/>
      <c r="V3682" s="8"/>
      <c r="W3682" s="8">
        <v>11.73</v>
      </c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>
        <f>1770*9.75/1000</f>
        <v>17.2575</v>
      </c>
      <c r="AJ3682" s="8"/>
      <c r="AK3682" s="8"/>
      <c r="AL3682" s="8"/>
      <c r="AM3682" s="8"/>
      <c r="AN3682" s="8">
        <f>1224*9.75/1000</f>
        <v>11.933999999999999</v>
      </c>
      <c r="AO3682" s="8"/>
      <c r="AP3682" s="11"/>
      <c r="AQ3682" s="8"/>
      <c r="AR3682" s="8">
        <f>3640*9.75/1000</f>
        <v>35.49</v>
      </c>
      <c r="AS3682" s="8"/>
      <c r="AT3682" s="8">
        <v>557.9</v>
      </c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>
        <v>38.03</v>
      </c>
      <c r="BH3682" s="9">
        <f t="shared" si="513"/>
        <v>1172</v>
      </c>
      <c r="BI3682" s="9">
        <f t="shared" si="514"/>
        <v>8.09</v>
      </c>
      <c r="BJ3682" s="9">
        <f t="shared" si="515"/>
        <v>0.81</v>
      </c>
      <c r="BK3682" s="9">
        <f t="shared" si="516"/>
        <v>11.73</v>
      </c>
      <c r="BL3682" s="9">
        <f t="shared" si="517"/>
        <v>0</v>
      </c>
      <c r="BM3682" s="9">
        <f t="shared" si="518"/>
        <v>64.6815</v>
      </c>
      <c r="BN3682" s="9">
        <f t="shared" si="519"/>
        <v>557.9</v>
      </c>
      <c r="BO3682" s="9">
        <f t="shared" si="520"/>
        <v>0</v>
      </c>
      <c r="BP3682" s="9">
        <f t="shared" si="521"/>
        <v>0</v>
      </c>
    </row>
    <row r="3683" spans="1:68">
      <c r="A3683" s="6">
        <v>45223</v>
      </c>
      <c r="B3683" s="7">
        <v>3106</v>
      </c>
      <c r="C3683" s="8">
        <v>8120.64</v>
      </c>
      <c r="D3683" s="8"/>
      <c r="E3683" s="8"/>
      <c r="F3683" s="8"/>
      <c r="G3683" s="8"/>
      <c r="H3683" s="8"/>
      <c r="I3683" s="8"/>
      <c r="J3683" s="8"/>
      <c r="K3683" s="8"/>
      <c r="L3683" s="8"/>
      <c r="M3683" s="8">
        <v>21.87</v>
      </c>
      <c r="N3683" s="8"/>
      <c r="O3683" s="8"/>
      <c r="P3683" s="8"/>
      <c r="Q3683" s="11"/>
      <c r="R3683" s="11"/>
      <c r="S3683" s="8">
        <v>24.42</v>
      </c>
      <c r="T3683" s="8"/>
      <c r="U3683" s="8">
        <v>103.39</v>
      </c>
      <c r="V3683" s="8"/>
      <c r="W3683" s="8"/>
      <c r="X3683" s="8"/>
      <c r="Y3683" s="8"/>
      <c r="Z3683" s="8"/>
      <c r="AA3683" s="8"/>
      <c r="AB3683" s="8"/>
      <c r="AC3683" s="8">
        <v>20.32</v>
      </c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11"/>
      <c r="AQ3683" s="8"/>
      <c r="AR3683" s="8"/>
      <c r="AS3683" s="8"/>
      <c r="AT3683" s="8">
        <v>4632.9799999999996</v>
      </c>
      <c r="AU3683" s="8"/>
      <c r="AV3683" s="8"/>
      <c r="AW3683" s="8"/>
      <c r="AX3683" s="8">
        <v>10.16</v>
      </c>
      <c r="AY3683" s="8"/>
      <c r="AZ3683" s="8"/>
      <c r="BA3683" s="8"/>
      <c r="BB3683" s="8"/>
      <c r="BC3683" s="8"/>
      <c r="BD3683" s="8"/>
      <c r="BE3683" s="8"/>
      <c r="BF3683" s="8"/>
      <c r="BG3683" s="8">
        <v>349.69</v>
      </c>
      <c r="BH3683" s="9">
        <f t="shared" si="513"/>
        <v>8120.64</v>
      </c>
      <c r="BI3683" s="9">
        <f t="shared" si="514"/>
        <v>21.87</v>
      </c>
      <c r="BJ3683" s="9">
        <f t="shared" si="515"/>
        <v>24.42</v>
      </c>
      <c r="BK3683" s="9">
        <f t="shared" si="516"/>
        <v>103.39</v>
      </c>
      <c r="BL3683" s="9">
        <f t="shared" si="517"/>
        <v>0</v>
      </c>
      <c r="BM3683" s="9">
        <f t="shared" si="518"/>
        <v>20.32</v>
      </c>
      <c r="BN3683" s="9">
        <f t="shared" si="519"/>
        <v>4632.9799999999996</v>
      </c>
      <c r="BO3683" s="9">
        <f t="shared" si="520"/>
        <v>10.16</v>
      </c>
      <c r="BP3683" s="9">
        <f t="shared" si="521"/>
        <v>0</v>
      </c>
    </row>
    <row r="3684" spans="1:68">
      <c r="A3684" s="6">
        <v>45223</v>
      </c>
      <c r="B3684" s="7">
        <v>3016</v>
      </c>
      <c r="C3684" s="8"/>
      <c r="D3684" s="8">
        <v>3163.87</v>
      </c>
      <c r="E3684" s="8"/>
      <c r="F3684" s="8"/>
      <c r="G3684" s="8"/>
      <c r="H3684" s="8"/>
      <c r="I3684" s="8">
        <v>2918.6</v>
      </c>
      <c r="J3684" s="8"/>
      <c r="K3684" s="8"/>
      <c r="L3684" s="8"/>
      <c r="M3684" s="8"/>
      <c r="N3684" s="8">
        <v>37.130000000000003</v>
      </c>
      <c r="O3684" s="8"/>
      <c r="P3684" s="8"/>
      <c r="Q3684" s="11"/>
      <c r="R3684" s="11"/>
      <c r="S3684" s="8">
        <v>4.25</v>
      </c>
      <c r="T3684" s="8"/>
      <c r="U3684" s="8"/>
      <c r="V3684" s="8"/>
      <c r="W3684" s="8">
        <v>60.86</v>
      </c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>
        <v>24.27</v>
      </c>
      <c r="AN3684" s="8">
        <f>2041*35.78/1000</f>
        <v>73.026979999999995</v>
      </c>
      <c r="AO3684" s="8"/>
      <c r="AP3684" s="11"/>
      <c r="AQ3684" s="8"/>
      <c r="AR3684" s="8">
        <f>4340*35.78/1000</f>
        <v>155.2852</v>
      </c>
      <c r="AS3684" s="8"/>
      <c r="AT3684" s="8">
        <v>2263.42</v>
      </c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>
        <v>165.16</v>
      </c>
      <c r="BH3684" s="9">
        <f t="shared" si="513"/>
        <v>6082.4699999999993</v>
      </c>
      <c r="BI3684" s="9">
        <f t="shared" si="514"/>
        <v>37.130000000000003</v>
      </c>
      <c r="BJ3684" s="9">
        <f t="shared" si="515"/>
        <v>4.25</v>
      </c>
      <c r="BK3684" s="9">
        <f t="shared" si="516"/>
        <v>60.86</v>
      </c>
      <c r="BL3684" s="9">
        <f t="shared" si="517"/>
        <v>0</v>
      </c>
      <c r="BM3684" s="9">
        <f t="shared" si="518"/>
        <v>252.58217999999999</v>
      </c>
      <c r="BN3684" s="9">
        <f t="shared" si="519"/>
        <v>2263.42</v>
      </c>
      <c r="BO3684" s="9">
        <f t="shared" si="520"/>
        <v>0</v>
      </c>
      <c r="BP3684" s="9">
        <f t="shared" si="521"/>
        <v>0</v>
      </c>
    </row>
    <row r="3685" spans="1:68">
      <c r="A3685" s="6">
        <v>45223</v>
      </c>
      <c r="B3685" s="7">
        <v>8313</v>
      </c>
      <c r="C3685" s="8">
        <v>202.53</v>
      </c>
      <c r="D3685" s="8">
        <v>203.07</v>
      </c>
      <c r="E3685" s="8"/>
      <c r="F3685" s="8"/>
      <c r="G3685" s="8"/>
      <c r="H3685" s="8"/>
      <c r="I3685" s="8"/>
      <c r="J3685" s="8"/>
      <c r="K3685" s="8"/>
      <c r="L3685" s="8"/>
      <c r="M3685" s="8">
        <v>1.63</v>
      </c>
      <c r="N3685" s="8"/>
      <c r="O3685" s="8"/>
      <c r="P3685" s="8"/>
      <c r="Q3685" s="11"/>
      <c r="R3685" s="11"/>
      <c r="S3685" s="8">
        <v>2.0299999999999998</v>
      </c>
      <c r="T3685" s="8"/>
      <c r="U3685" s="8">
        <v>6.5</v>
      </c>
      <c r="V3685" s="8"/>
      <c r="W3685" s="8"/>
      <c r="X3685" s="8"/>
      <c r="Y3685" s="8"/>
      <c r="Z3685" s="8"/>
      <c r="AA3685" s="8"/>
      <c r="AB3685" s="8"/>
      <c r="AC3685" s="8">
        <v>1.62</v>
      </c>
      <c r="AD3685" s="8"/>
      <c r="AE3685" s="8"/>
      <c r="AF3685" s="8"/>
      <c r="AG3685" s="8">
        <v>2.0299999999999998</v>
      </c>
      <c r="AH3685" s="8"/>
      <c r="AI3685" s="8"/>
      <c r="AJ3685" s="8"/>
      <c r="AK3685" s="8"/>
      <c r="AL3685" s="8"/>
      <c r="AM3685" s="8"/>
      <c r="AN3685" s="8"/>
      <c r="AO3685" s="8"/>
      <c r="AP3685" s="11"/>
      <c r="AQ3685" s="8"/>
      <c r="AR3685" s="8"/>
      <c r="AS3685" s="8"/>
      <c r="AT3685" s="8">
        <v>261.58</v>
      </c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>
        <v>52.77</v>
      </c>
      <c r="BG3685" s="8">
        <v>21.03</v>
      </c>
      <c r="BH3685" s="9">
        <f t="shared" si="513"/>
        <v>405.6</v>
      </c>
      <c r="BI3685" s="9">
        <f t="shared" si="514"/>
        <v>1.63</v>
      </c>
      <c r="BJ3685" s="9">
        <f t="shared" si="515"/>
        <v>2.0299999999999998</v>
      </c>
      <c r="BK3685" s="9">
        <f t="shared" si="516"/>
        <v>6.5</v>
      </c>
      <c r="BL3685" s="9">
        <f t="shared" si="517"/>
        <v>0</v>
      </c>
      <c r="BM3685" s="9">
        <f t="shared" si="518"/>
        <v>3.65</v>
      </c>
      <c r="BN3685" s="9">
        <f t="shared" si="519"/>
        <v>261.58</v>
      </c>
      <c r="BO3685" s="9">
        <f t="shared" si="520"/>
        <v>0</v>
      </c>
      <c r="BP3685" s="9">
        <f t="shared" si="521"/>
        <v>52.77</v>
      </c>
    </row>
    <row r="3686" spans="1:68">
      <c r="A3686" s="6">
        <v>45223</v>
      </c>
      <c r="B3686" s="7">
        <v>3153</v>
      </c>
      <c r="C3686" s="8">
        <v>783.93</v>
      </c>
      <c r="D3686" s="8"/>
      <c r="E3686" s="8"/>
      <c r="F3686" s="8"/>
      <c r="G3686" s="8"/>
      <c r="H3686" s="8"/>
      <c r="I3686" s="8"/>
      <c r="J3686" s="8"/>
      <c r="K3686" s="8"/>
      <c r="L3686" s="8"/>
      <c r="M3686" s="8">
        <v>1.41</v>
      </c>
      <c r="N3686" s="8">
        <v>1.4</v>
      </c>
      <c r="O3686" s="8"/>
      <c r="P3686" s="8"/>
      <c r="Q3686" s="11"/>
      <c r="R3686" s="11"/>
      <c r="S3686" s="8">
        <v>3.2</v>
      </c>
      <c r="T3686" s="8"/>
      <c r="U3686" s="8">
        <v>7.81</v>
      </c>
      <c r="V3686" s="8"/>
      <c r="W3686" s="8"/>
      <c r="X3686" s="8"/>
      <c r="Y3686" s="8"/>
      <c r="Z3686" s="8"/>
      <c r="AA3686" s="8"/>
      <c r="AB3686" s="8"/>
      <c r="AC3686" s="8">
        <v>3.12</v>
      </c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11"/>
      <c r="AQ3686" s="8"/>
      <c r="AR3686" s="8"/>
      <c r="AS3686" s="8"/>
      <c r="AT3686" s="8">
        <v>344.61</v>
      </c>
      <c r="AU3686" s="8"/>
      <c r="AV3686" s="8"/>
      <c r="AW3686" s="8"/>
      <c r="AX3686" s="8"/>
      <c r="AY3686" s="8"/>
      <c r="AZ3686" s="8"/>
      <c r="BA3686" s="8"/>
      <c r="BB3686" s="8"/>
      <c r="BC3686" s="8">
        <v>0.78</v>
      </c>
      <c r="BD3686" s="8"/>
      <c r="BE3686" s="8"/>
      <c r="BF3686" s="8"/>
      <c r="BG3686" s="8">
        <v>25.33</v>
      </c>
      <c r="BH3686" s="9">
        <f t="shared" si="513"/>
        <v>783.93</v>
      </c>
      <c r="BI3686" s="9">
        <f t="shared" si="514"/>
        <v>2.8099999999999996</v>
      </c>
      <c r="BJ3686" s="9">
        <f t="shared" si="515"/>
        <v>3.2</v>
      </c>
      <c r="BK3686" s="9">
        <f t="shared" si="516"/>
        <v>7.81</v>
      </c>
      <c r="BL3686" s="9">
        <f t="shared" si="517"/>
        <v>0</v>
      </c>
      <c r="BM3686" s="9">
        <f t="shared" si="518"/>
        <v>3.12</v>
      </c>
      <c r="BN3686" s="9">
        <f t="shared" si="519"/>
        <v>344.61</v>
      </c>
      <c r="BO3686" s="9">
        <f t="shared" si="520"/>
        <v>0.78</v>
      </c>
      <c r="BP3686" s="9">
        <f t="shared" si="521"/>
        <v>0</v>
      </c>
    </row>
    <row r="3687" spans="1:68">
      <c r="A3687" s="6">
        <v>45223</v>
      </c>
      <c r="B3687" s="7">
        <v>3122</v>
      </c>
      <c r="C3687" s="8">
        <v>783.11</v>
      </c>
      <c r="D3687" s="8"/>
      <c r="E3687" s="8"/>
      <c r="F3687" s="8"/>
      <c r="G3687" s="8"/>
      <c r="H3687" s="8"/>
      <c r="I3687" s="8"/>
      <c r="J3687" s="8"/>
      <c r="K3687" s="8"/>
      <c r="L3687" s="8"/>
      <c r="M3687" s="8">
        <v>1.42</v>
      </c>
      <c r="N3687" s="8">
        <v>1.41</v>
      </c>
      <c r="O3687" s="8"/>
      <c r="P3687" s="8"/>
      <c r="Q3687" s="11"/>
      <c r="R3687" s="11"/>
      <c r="S3687" s="8">
        <v>3.22</v>
      </c>
      <c r="T3687" s="8"/>
      <c r="U3687" s="8">
        <v>7.86</v>
      </c>
      <c r="V3687" s="8"/>
      <c r="W3687" s="8"/>
      <c r="X3687" s="8"/>
      <c r="Y3687" s="8"/>
      <c r="Z3687" s="8"/>
      <c r="AA3687" s="8"/>
      <c r="AB3687" s="8"/>
      <c r="AC3687" s="8">
        <v>3.14</v>
      </c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11"/>
      <c r="AQ3687" s="8"/>
      <c r="AR3687" s="8"/>
      <c r="AS3687" s="8"/>
      <c r="AT3687" s="8">
        <v>348.81</v>
      </c>
      <c r="AU3687" s="8"/>
      <c r="AV3687" s="8">
        <v>26.69</v>
      </c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>
        <v>25.51</v>
      </c>
      <c r="BH3687" s="9">
        <f t="shared" si="513"/>
        <v>783.11</v>
      </c>
      <c r="BI3687" s="9">
        <f t="shared" si="514"/>
        <v>2.83</v>
      </c>
      <c r="BJ3687" s="9">
        <f t="shared" si="515"/>
        <v>3.22</v>
      </c>
      <c r="BK3687" s="9">
        <f t="shared" si="516"/>
        <v>7.86</v>
      </c>
      <c r="BL3687" s="9">
        <f t="shared" si="517"/>
        <v>0</v>
      </c>
      <c r="BM3687" s="9">
        <f t="shared" si="518"/>
        <v>3.14</v>
      </c>
      <c r="BN3687" s="9">
        <f t="shared" si="519"/>
        <v>348.81</v>
      </c>
      <c r="BO3687" s="9">
        <f t="shared" si="520"/>
        <v>26.69</v>
      </c>
      <c r="BP3687" s="9">
        <f t="shared" si="521"/>
        <v>0</v>
      </c>
    </row>
    <row r="3688" spans="1:68">
      <c r="A3688" s="6">
        <v>45223</v>
      </c>
      <c r="B3688" s="7">
        <v>3117</v>
      </c>
      <c r="C3688" s="8">
        <v>792.79</v>
      </c>
      <c r="D3688" s="8"/>
      <c r="E3688" s="8"/>
      <c r="F3688" s="8"/>
      <c r="G3688" s="8"/>
      <c r="H3688" s="8"/>
      <c r="I3688" s="8"/>
      <c r="J3688" s="8"/>
      <c r="K3688" s="8"/>
      <c r="L3688" s="8"/>
      <c r="M3688" s="8">
        <v>2.2799999999999998</v>
      </c>
      <c r="N3688" s="8"/>
      <c r="O3688" s="8"/>
      <c r="P3688" s="8"/>
      <c r="Q3688" s="11"/>
      <c r="R3688" s="11"/>
      <c r="S3688" s="8">
        <v>3.19</v>
      </c>
      <c r="T3688" s="8"/>
      <c r="U3688" s="8">
        <v>7.93</v>
      </c>
      <c r="V3688" s="8"/>
      <c r="W3688" s="8"/>
      <c r="X3688" s="8"/>
      <c r="Y3688" s="8"/>
      <c r="Z3688" s="8"/>
      <c r="AA3688" s="8"/>
      <c r="AB3688" s="8"/>
      <c r="AC3688" s="8">
        <v>3.19</v>
      </c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11"/>
      <c r="AQ3688" s="8"/>
      <c r="AR3688" s="8"/>
      <c r="AS3688" s="8"/>
      <c r="AT3688" s="8">
        <v>500.82</v>
      </c>
      <c r="AU3688" s="8"/>
      <c r="AV3688" s="8">
        <v>19.829999999999998</v>
      </c>
      <c r="AW3688" s="8"/>
      <c r="AX3688" s="8"/>
      <c r="AY3688" s="8"/>
      <c r="AZ3688" s="8"/>
      <c r="BA3688" s="8"/>
      <c r="BB3688" s="8"/>
      <c r="BC3688" s="8"/>
      <c r="BD3688" s="8"/>
      <c r="BE3688" s="8"/>
      <c r="BF3688" s="8">
        <v>39.68</v>
      </c>
      <c r="BG3688" s="8">
        <v>38.340000000000003</v>
      </c>
      <c r="BH3688" s="9">
        <f t="shared" si="513"/>
        <v>792.79</v>
      </c>
      <c r="BI3688" s="9">
        <f t="shared" si="514"/>
        <v>2.2799999999999998</v>
      </c>
      <c r="BJ3688" s="9">
        <f t="shared" si="515"/>
        <v>3.19</v>
      </c>
      <c r="BK3688" s="9">
        <f t="shared" si="516"/>
        <v>7.93</v>
      </c>
      <c r="BL3688" s="9">
        <f t="shared" si="517"/>
        <v>0</v>
      </c>
      <c r="BM3688" s="9">
        <f t="shared" si="518"/>
        <v>3.19</v>
      </c>
      <c r="BN3688" s="9">
        <f t="shared" si="519"/>
        <v>500.82</v>
      </c>
      <c r="BO3688" s="9">
        <f t="shared" si="520"/>
        <v>19.829999999999998</v>
      </c>
      <c r="BP3688" s="9">
        <f t="shared" si="521"/>
        <v>39.68</v>
      </c>
    </row>
    <row r="3689" spans="1:68">
      <c r="A3689" s="6">
        <v>45224</v>
      </c>
      <c r="B3689" s="7">
        <v>3602</v>
      </c>
      <c r="C3689" s="8">
        <v>557.24</v>
      </c>
      <c r="D3689" s="8"/>
      <c r="E3689" s="8"/>
      <c r="F3689" s="8"/>
      <c r="G3689" s="8">
        <v>837.23</v>
      </c>
      <c r="H3689" s="8"/>
      <c r="I3689" s="8"/>
      <c r="J3689" s="8"/>
      <c r="K3689" s="8"/>
      <c r="L3689" s="8"/>
      <c r="M3689" s="8">
        <v>1.69</v>
      </c>
      <c r="N3689" s="8"/>
      <c r="O3689" s="8"/>
      <c r="P3689" s="8"/>
      <c r="Q3689" s="11"/>
      <c r="R3689" s="11"/>
      <c r="S3689" s="8">
        <v>6.72</v>
      </c>
      <c r="T3689" s="8"/>
      <c r="U3689" s="8">
        <v>11.24</v>
      </c>
      <c r="V3689" s="8">
        <f>851*16.02/1000</f>
        <v>13.63302</v>
      </c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11"/>
      <c r="AQ3689" s="8"/>
      <c r="AR3689" s="8"/>
      <c r="AS3689" s="8"/>
      <c r="AT3689" s="8">
        <v>562.79999999999995</v>
      </c>
      <c r="AU3689" s="8"/>
      <c r="AV3689" s="8"/>
      <c r="AW3689" s="8">
        <v>36.24</v>
      </c>
      <c r="AX3689" s="8"/>
      <c r="AY3689" s="8"/>
      <c r="AZ3689" s="8"/>
      <c r="BA3689" s="8"/>
      <c r="BB3689" s="8"/>
      <c r="BC3689" s="8"/>
      <c r="BD3689" s="8"/>
      <c r="BE3689" s="8"/>
      <c r="BF3689" s="8">
        <v>44.91</v>
      </c>
      <c r="BG3689" s="8">
        <v>42.17</v>
      </c>
      <c r="BH3689" s="9">
        <f t="shared" si="513"/>
        <v>1394.47</v>
      </c>
      <c r="BI3689" s="9">
        <f t="shared" si="514"/>
        <v>1.69</v>
      </c>
      <c r="BJ3689" s="9">
        <f t="shared" si="515"/>
        <v>6.72</v>
      </c>
      <c r="BK3689" s="9">
        <f t="shared" si="516"/>
        <v>24.87302</v>
      </c>
      <c r="BL3689" s="9">
        <f t="shared" si="517"/>
        <v>0</v>
      </c>
      <c r="BM3689" s="9">
        <f t="shared" si="518"/>
        <v>0</v>
      </c>
      <c r="BN3689" s="9">
        <f t="shared" si="519"/>
        <v>562.79999999999995</v>
      </c>
      <c r="BO3689" s="9">
        <f t="shared" si="520"/>
        <v>36.24</v>
      </c>
      <c r="BP3689" s="9">
        <f t="shared" si="521"/>
        <v>44.91</v>
      </c>
    </row>
    <row r="3690" spans="1:68">
      <c r="A3690" s="6">
        <v>45224</v>
      </c>
      <c r="B3690" s="7">
        <v>3204</v>
      </c>
      <c r="C3690" s="8"/>
      <c r="D3690" s="8">
        <v>932.63</v>
      </c>
      <c r="E3690" s="8">
        <v>399.63</v>
      </c>
      <c r="F3690" s="8"/>
      <c r="G3690" s="8"/>
      <c r="H3690" s="8"/>
      <c r="I3690" s="8"/>
      <c r="J3690" s="8"/>
      <c r="K3690" s="8"/>
      <c r="L3690" s="8"/>
      <c r="M3690" s="8"/>
      <c r="N3690" s="8"/>
      <c r="O3690" s="8">
        <v>6.66</v>
      </c>
      <c r="P3690" s="8"/>
      <c r="Q3690" s="11"/>
      <c r="R3690" s="11"/>
      <c r="S3690" s="8">
        <v>4.5199999999999996</v>
      </c>
      <c r="T3690" s="8"/>
      <c r="U3690" s="8">
        <v>14.65</v>
      </c>
      <c r="V3690" s="8"/>
      <c r="W3690" s="8"/>
      <c r="X3690" s="8"/>
      <c r="Y3690" s="8"/>
      <c r="Z3690" s="8">
        <v>199.89</v>
      </c>
      <c r="AA3690" s="8"/>
      <c r="AB3690" s="8">
        <f>715*9.5/1000</f>
        <v>6.7925000000000004</v>
      </c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11"/>
      <c r="AQ3690" s="8"/>
      <c r="AR3690" s="8"/>
      <c r="AS3690" s="8"/>
      <c r="AT3690" s="8">
        <v>586.79</v>
      </c>
      <c r="AU3690" s="8"/>
      <c r="AV3690" s="8"/>
      <c r="AW3690" s="8">
        <v>4.2699999999999996</v>
      </c>
      <c r="AX3690" s="8"/>
      <c r="AY3690" s="8"/>
      <c r="AZ3690" s="8"/>
      <c r="BA3690" s="8"/>
      <c r="BB3690" s="8"/>
      <c r="BC3690" s="8"/>
      <c r="BD3690" s="8"/>
      <c r="BE3690" s="8"/>
      <c r="BF3690" s="8"/>
      <c r="BG3690" s="8">
        <v>43.29</v>
      </c>
      <c r="BH3690" s="9">
        <f t="shared" si="513"/>
        <v>1332.26</v>
      </c>
      <c r="BI3690" s="9">
        <f t="shared" si="514"/>
        <v>6.66</v>
      </c>
      <c r="BJ3690" s="9">
        <f t="shared" si="515"/>
        <v>4.5199999999999996</v>
      </c>
      <c r="BK3690" s="9">
        <f t="shared" si="516"/>
        <v>14.65</v>
      </c>
      <c r="BL3690" s="9">
        <f t="shared" si="517"/>
        <v>199.89</v>
      </c>
      <c r="BM3690" s="9">
        <f t="shared" si="518"/>
        <v>6.7925000000000004</v>
      </c>
      <c r="BN3690" s="9">
        <f t="shared" si="519"/>
        <v>586.79</v>
      </c>
      <c r="BO3690" s="9">
        <f t="shared" si="520"/>
        <v>4.2699999999999996</v>
      </c>
      <c r="BP3690" s="9">
        <f t="shared" si="521"/>
        <v>0</v>
      </c>
    </row>
    <row r="3691" spans="1:68">
      <c r="A3691" s="6">
        <v>45224</v>
      </c>
      <c r="B3691" s="7">
        <v>3020</v>
      </c>
      <c r="C3691" s="8"/>
      <c r="D3691" s="8">
        <v>99.48</v>
      </c>
      <c r="E3691" s="8"/>
      <c r="F3691" s="8"/>
      <c r="G3691" s="8"/>
      <c r="H3691" s="8"/>
      <c r="I3691" s="8">
        <v>562.4</v>
      </c>
      <c r="J3691" s="8"/>
      <c r="K3691" s="8"/>
      <c r="L3691" s="8"/>
      <c r="M3691" s="8"/>
      <c r="N3691" s="8">
        <v>4.04</v>
      </c>
      <c r="O3691" s="8"/>
      <c r="P3691" s="8"/>
      <c r="Q3691" s="11"/>
      <c r="R3691" s="11"/>
      <c r="S3691" s="8">
        <v>1.19</v>
      </c>
      <c r="T3691" s="8"/>
      <c r="U3691" s="8"/>
      <c r="V3691" s="8"/>
      <c r="W3691" s="8">
        <v>6.62</v>
      </c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>
        <v>6.6</v>
      </c>
      <c r="AN3691" s="8"/>
      <c r="AO3691" s="8"/>
      <c r="AP3691" s="11"/>
      <c r="AQ3691" s="8"/>
      <c r="AR3691" s="8"/>
      <c r="AS3691" s="8">
        <f>3063*5.5/1000</f>
        <v>16.846499999999999</v>
      </c>
      <c r="AT3691" s="8">
        <v>325.10000000000002</v>
      </c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>
        <v>23.79</v>
      </c>
      <c r="BH3691" s="9">
        <f t="shared" si="513"/>
        <v>661.88</v>
      </c>
      <c r="BI3691" s="9">
        <f t="shared" si="514"/>
        <v>4.04</v>
      </c>
      <c r="BJ3691" s="9">
        <f t="shared" si="515"/>
        <v>1.19</v>
      </c>
      <c r="BK3691" s="9">
        <f t="shared" si="516"/>
        <v>6.62</v>
      </c>
      <c r="BL3691" s="9">
        <f t="shared" si="517"/>
        <v>0</v>
      </c>
      <c r="BM3691" s="9">
        <f t="shared" si="518"/>
        <v>23.4465</v>
      </c>
      <c r="BN3691" s="9">
        <f t="shared" si="519"/>
        <v>325.10000000000002</v>
      </c>
      <c r="BO3691" s="9">
        <f t="shared" si="520"/>
        <v>0</v>
      </c>
      <c r="BP3691" s="9">
        <f t="shared" si="521"/>
        <v>0</v>
      </c>
    </row>
    <row r="3692" spans="1:68">
      <c r="A3692" s="6">
        <v>45224</v>
      </c>
      <c r="B3692" s="7">
        <v>3021</v>
      </c>
      <c r="C3692" s="8"/>
      <c r="D3692" s="8">
        <v>193.39</v>
      </c>
      <c r="E3692" s="8"/>
      <c r="F3692" s="8"/>
      <c r="G3692" s="8"/>
      <c r="H3692" s="8"/>
      <c r="I3692" s="8">
        <v>358.63</v>
      </c>
      <c r="J3692" s="8"/>
      <c r="K3692" s="8"/>
      <c r="L3692" s="8"/>
      <c r="M3692" s="8"/>
      <c r="N3692" s="8">
        <v>2.92</v>
      </c>
      <c r="O3692" s="8"/>
      <c r="P3692" s="8"/>
      <c r="Q3692" s="11"/>
      <c r="R3692" s="11"/>
      <c r="S3692" s="8">
        <v>0.99</v>
      </c>
      <c r="T3692" s="8"/>
      <c r="U3692" s="8"/>
      <c r="V3692" s="8"/>
      <c r="W3692" s="8">
        <v>5.52</v>
      </c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>
        <v>5.51</v>
      </c>
      <c r="AN3692" s="8"/>
      <c r="AO3692" s="8"/>
      <c r="AP3692" s="11"/>
      <c r="AQ3692" s="8"/>
      <c r="AR3692" s="8"/>
      <c r="AS3692" s="8">
        <f>2689*5.25/1000</f>
        <v>14.11725</v>
      </c>
      <c r="AT3692" s="8">
        <v>259.56</v>
      </c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>
        <v>19.579999999999998</v>
      </c>
      <c r="BH3692" s="9">
        <f t="shared" si="513"/>
        <v>552.02</v>
      </c>
      <c r="BI3692" s="9">
        <f t="shared" si="514"/>
        <v>2.92</v>
      </c>
      <c r="BJ3692" s="9">
        <f t="shared" si="515"/>
        <v>0.99</v>
      </c>
      <c r="BK3692" s="9">
        <f t="shared" si="516"/>
        <v>5.52</v>
      </c>
      <c r="BL3692" s="9">
        <f t="shared" si="517"/>
        <v>0</v>
      </c>
      <c r="BM3692" s="9">
        <f t="shared" si="518"/>
        <v>19.62725</v>
      </c>
      <c r="BN3692" s="9">
        <f t="shared" si="519"/>
        <v>259.56</v>
      </c>
      <c r="BO3692" s="9">
        <f t="shared" si="520"/>
        <v>0</v>
      </c>
      <c r="BP3692" s="9">
        <f t="shared" si="521"/>
        <v>0</v>
      </c>
    </row>
    <row r="3693" spans="1:68">
      <c r="A3693" s="6">
        <v>45224</v>
      </c>
      <c r="B3693" s="7">
        <v>3023</v>
      </c>
      <c r="C3693" s="8"/>
      <c r="D3693" s="8">
        <v>888.63</v>
      </c>
      <c r="E3693" s="8"/>
      <c r="F3693" s="8"/>
      <c r="G3693" s="8"/>
      <c r="H3693" s="8"/>
      <c r="I3693" s="8">
        <v>480.48</v>
      </c>
      <c r="J3693" s="8"/>
      <c r="K3693" s="8"/>
      <c r="L3693" s="8"/>
      <c r="M3693" s="8"/>
      <c r="N3693" s="8">
        <v>7.66</v>
      </c>
      <c r="O3693" s="8"/>
      <c r="P3693" s="8"/>
      <c r="Q3693" s="11"/>
      <c r="R3693" s="11"/>
      <c r="S3693" s="8">
        <v>2.19</v>
      </c>
      <c r="T3693" s="8"/>
      <c r="U3693" s="8"/>
      <c r="V3693" s="8"/>
      <c r="W3693" s="8">
        <v>12.34</v>
      </c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>
        <v>13.68</v>
      </c>
      <c r="AN3693" s="8">
        <f>1031*9.45/1000</f>
        <v>9.7429499999999987</v>
      </c>
      <c r="AO3693" s="8"/>
      <c r="AP3693" s="11"/>
      <c r="AQ3693" s="8"/>
      <c r="AR3693" s="8"/>
      <c r="AS3693" s="8">
        <f>4786*9.45/1000</f>
        <v>45.227699999999999</v>
      </c>
      <c r="AT3693" s="8">
        <v>561.07000000000005</v>
      </c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>
        <v>42.34</v>
      </c>
      <c r="BH3693" s="9">
        <f t="shared" si="513"/>
        <v>1369.1100000000001</v>
      </c>
      <c r="BI3693" s="9">
        <f t="shared" si="514"/>
        <v>7.66</v>
      </c>
      <c r="BJ3693" s="9">
        <f t="shared" si="515"/>
        <v>2.19</v>
      </c>
      <c r="BK3693" s="9">
        <f t="shared" si="516"/>
        <v>12.34</v>
      </c>
      <c r="BL3693" s="9">
        <f t="shared" si="517"/>
        <v>0</v>
      </c>
      <c r="BM3693" s="9">
        <f t="shared" si="518"/>
        <v>68.650649999999999</v>
      </c>
      <c r="BN3693" s="9">
        <f t="shared" si="519"/>
        <v>561.07000000000005</v>
      </c>
      <c r="BO3693" s="9">
        <f t="shared" si="520"/>
        <v>0</v>
      </c>
      <c r="BP3693" s="9">
        <f t="shared" si="521"/>
        <v>0</v>
      </c>
    </row>
    <row r="3694" spans="1:68">
      <c r="A3694" s="6">
        <v>45224</v>
      </c>
      <c r="B3694" s="7">
        <v>3028</v>
      </c>
      <c r="C3694" s="8"/>
      <c r="D3694" s="8">
        <v>391.91</v>
      </c>
      <c r="E3694" s="8"/>
      <c r="F3694" s="8">
        <v>359.34</v>
      </c>
      <c r="G3694" s="8"/>
      <c r="H3694" s="8"/>
      <c r="I3694" s="8">
        <v>811.51</v>
      </c>
      <c r="J3694" s="8"/>
      <c r="K3694" s="8"/>
      <c r="L3694" s="8"/>
      <c r="M3694" s="8"/>
      <c r="N3694" s="8">
        <v>12.02</v>
      </c>
      <c r="O3694" s="8"/>
      <c r="P3694" s="8"/>
      <c r="Q3694" s="11"/>
      <c r="R3694" s="11"/>
      <c r="S3694" s="8">
        <v>2.19</v>
      </c>
      <c r="T3694" s="8"/>
      <c r="U3694" s="8"/>
      <c r="V3694" s="8"/>
      <c r="W3694" s="8">
        <v>11.72</v>
      </c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>
        <v>15.64</v>
      </c>
      <c r="AN3694" s="8">
        <f>1057*10.42/1000</f>
        <v>11.01394</v>
      </c>
      <c r="AO3694" s="8"/>
      <c r="AP3694" s="11"/>
      <c r="AQ3694" s="8"/>
      <c r="AR3694" s="8"/>
      <c r="AS3694" s="8">
        <f>4963*10.42/1000</f>
        <v>51.714460000000003</v>
      </c>
      <c r="AT3694" s="8">
        <v>522.22</v>
      </c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>
        <v>35.520000000000003</v>
      </c>
      <c r="BH3694" s="9">
        <f t="shared" si="513"/>
        <v>1562.76</v>
      </c>
      <c r="BI3694" s="9">
        <f t="shared" si="514"/>
        <v>12.02</v>
      </c>
      <c r="BJ3694" s="9">
        <f t="shared" si="515"/>
        <v>2.19</v>
      </c>
      <c r="BK3694" s="9">
        <f t="shared" si="516"/>
        <v>11.72</v>
      </c>
      <c r="BL3694" s="9">
        <f t="shared" si="517"/>
        <v>0</v>
      </c>
      <c r="BM3694" s="9">
        <f t="shared" si="518"/>
        <v>78.368400000000008</v>
      </c>
      <c r="BN3694" s="9">
        <f t="shared" si="519"/>
        <v>522.22</v>
      </c>
      <c r="BO3694" s="9">
        <f t="shared" si="520"/>
        <v>0</v>
      </c>
      <c r="BP3694" s="9">
        <f t="shared" si="521"/>
        <v>0</v>
      </c>
    </row>
    <row r="3695" spans="1:68">
      <c r="A3695" s="6">
        <v>45224</v>
      </c>
      <c r="B3695" s="7">
        <v>3031</v>
      </c>
      <c r="C3695" s="8"/>
      <c r="D3695" s="8"/>
      <c r="E3695" s="8"/>
      <c r="F3695" s="8"/>
      <c r="G3695" s="8"/>
      <c r="H3695" s="8"/>
      <c r="I3695" s="8">
        <v>2212.27</v>
      </c>
      <c r="J3695" s="8"/>
      <c r="K3695" s="8"/>
      <c r="L3695" s="8"/>
      <c r="M3695" s="8"/>
      <c r="N3695" s="8">
        <v>15.27</v>
      </c>
      <c r="O3695" s="8"/>
      <c r="P3695" s="8"/>
      <c r="Q3695" s="11"/>
      <c r="R3695" s="11"/>
      <c r="S3695" s="8">
        <v>1.54</v>
      </c>
      <c r="T3695" s="8"/>
      <c r="U3695" s="8"/>
      <c r="V3695" s="8"/>
      <c r="W3695" s="8">
        <v>22.15</v>
      </c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>
        <f>1779*18.45/1000</f>
        <v>32.822549999999993</v>
      </c>
      <c r="AJ3695" s="8"/>
      <c r="AK3695" s="8"/>
      <c r="AL3695" s="8"/>
      <c r="AM3695" s="8"/>
      <c r="AN3695" s="8">
        <f>1229*18.45/1000</f>
        <v>22.675049999999999</v>
      </c>
      <c r="AO3695" s="8"/>
      <c r="AP3695" s="11"/>
      <c r="AQ3695" s="8"/>
      <c r="AR3695" s="8">
        <f>3641*18.45/1000</f>
        <v>67.176450000000003</v>
      </c>
      <c r="AS3695" s="8"/>
      <c r="AT3695" s="8">
        <v>1053.22</v>
      </c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>
        <v>71.8</v>
      </c>
      <c r="BH3695" s="9">
        <f t="shared" si="513"/>
        <v>2212.27</v>
      </c>
      <c r="BI3695" s="9">
        <f t="shared" si="514"/>
        <v>15.27</v>
      </c>
      <c r="BJ3695" s="9">
        <f t="shared" si="515"/>
        <v>1.54</v>
      </c>
      <c r="BK3695" s="9">
        <f t="shared" si="516"/>
        <v>22.15</v>
      </c>
      <c r="BL3695" s="9">
        <f t="shared" si="517"/>
        <v>0</v>
      </c>
      <c r="BM3695" s="9">
        <f t="shared" si="518"/>
        <v>122.67404999999999</v>
      </c>
      <c r="BN3695" s="9">
        <f t="shared" si="519"/>
        <v>1053.22</v>
      </c>
      <c r="BO3695" s="9">
        <f t="shared" si="520"/>
        <v>0</v>
      </c>
      <c r="BP3695" s="9">
        <f t="shared" si="521"/>
        <v>0</v>
      </c>
    </row>
    <row r="3696" spans="1:68">
      <c r="A3696" s="6">
        <v>45225</v>
      </c>
      <c r="B3696" s="7">
        <v>3203</v>
      </c>
      <c r="C3696" s="8">
        <v>889.72</v>
      </c>
      <c r="D3696" s="8"/>
      <c r="E3696" s="8">
        <v>381.13</v>
      </c>
      <c r="F3696" s="8"/>
      <c r="G3696" s="8"/>
      <c r="H3696" s="8"/>
      <c r="I3696" s="8"/>
      <c r="J3696" s="8"/>
      <c r="K3696" s="8"/>
      <c r="L3696" s="8"/>
      <c r="M3696" s="8"/>
      <c r="N3696" s="8"/>
      <c r="O3696" s="8">
        <v>3.82</v>
      </c>
      <c r="P3696" s="8"/>
      <c r="Q3696" s="11"/>
      <c r="R3696" s="11"/>
      <c r="S3696" s="8">
        <v>4.95</v>
      </c>
      <c r="T3696" s="8"/>
      <c r="U3696" s="8">
        <v>15.77</v>
      </c>
      <c r="V3696" s="8"/>
      <c r="W3696" s="8"/>
      <c r="X3696" s="8"/>
      <c r="Y3696" s="8"/>
      <c r="Z3696" s="8">
        <v>200.35</v>
      </c>
      <c r="AA3696" s="8">
        <f>10437*14.95/1000</f>
        <v>156.03315000000001</v>
      </c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11"/>
      <c r="AQ3696" s="8"/>
      <c r="AR3696" s="8"/>
      <c r="AS3696" s="8"/>
      <c r="AT3696" s="8">
        <v>474.27</v>
      </c>
      <c r="AU3696" s="8">
        <v>237.73</v>
      </c>
      <c r="AV3696" s="8"/>
      <c r="AW3696" s="8"/>
      <c r="AX3696" s="8"/>
      <c r="AY3696" s="8"/>
      <c r="AZ3696" s="8"/>
      <c r="BA3696" s="8"/>
      <c r="BB3696" s="8"/>
      <c r="BC3696" s="8">
        <v>3.31</v>
      </c>
      <c r="BD3696" s="8"/>
      <c r="BE3696" s="8"/>
      <c r="BF3696" s="8"/>
      <c r="BG3696" s="8">
        <v>46.47</v>
      </c>
      <c r="BH3696" s="9">
        <f t="shared" si="513"/>
        <v>1270.8499999999999</v>
      </c>
      <c r="BI3696" s="9">
        <f t="shared" si="514"/>
        <v>3.82</v>
      </c>
      <c r="BJ3696" s="9">
        <f t="shared" si="515"/>
        <v>4.95</v>
      </c>
      <c r="BK3696" s="9">
        <f t="shared" si="516"/>
        <v>15.77</v>
      </c>
      <c r="BL3696" s="9">
        <f t="shared" si="517"/>
        <v>356.38315</v>
      </c>
      <c r="BM3696" s="9">
        <f t="shared" si="518"/>
        <v>0</v>
      </c>
      <c r="BN3696" s="9">
        <f t="shared" si="519"/>
        <v>712</v>
      </c>
      <c r="BO3696" s="9">
        <f t="shared" si="520"/>
        <v>3.31</v>
      </c>
      <c r="BP3696" s="9">
        <f t="shared" si="521"/>
        <v>0</v>
      </c>
    </row>
    <row r="3697" spans="1:68">
      <c r="A3697" s="6">
        <v>45225</v>
      </c>
      <c r="B3697" s="7">
        <v>3200</v>
      </c>
      <c r="C3697" s="8">
        <v>2235.9899999999998</v>
      </c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>
        <v>5.6</v>
      </c>
      <c r="P3697" s="8"/>
      <c r="Q3697" s="11"/>
      <c r="R3697" s="11"/>
      <c r="S3697" s="8">
        <v>8.73</v>
      </c>
      <c r="T3697" s="8"/>
      <c r="U3697" s="8">
        <v>33.54</v>
      </c>
      <c r="V3697" s="8"/>
      <c r="W3697" s="8"/>
      <c r="X3697" s="8"/>
      <c r="Y3697" s="8"/>
      <c r="Z3697" s="8">
        <v>469.86</v>
      </c>
      <c r="AA3697" s="8"/>
      <c r="AB3697" s="8"/>
      <c r="AC3697" s="8"/>
      <c r="AD3697" s="8"/>
      <c r="AE3697" s="8"/>
      <c r="AF3697" s="8">
        <v>111.67</v>
      </c>
      <c r="AG3697" s="8"/>
      <c r="AH3697" s="8"/>
      <c r="AI3697" s="8"/>
      <c r="AJ3697" s="8"/>
      <c r="AK3697" s="8"/>
      <c r="AL3697" s="8"/>
      <c r="AM3697" s="8"/>
      <c r="AN3697" s="8"/>
      <c r="AO3697" s="8"/>
      <c r="AP3697" s="11"/>
      <c r="AQ3697" s="8">
        <f>1517*22.35/1000</f>
        <v>33.904950000000007</v>
      </c>
      <c r="AR3697" s="8"/>
      <c r="AS3697" s="8"/>
      <c r="AT3697" s="8">
        <v>1530.21</v>
      </c>
      <c r="AU3697" s="8"/>
      <c r="AV3697" s="8"/>
      <c r="AW3697" s="8">
        <v>6.45</v>
      </c>
      <c r="AX3697" s="8"/>
      <c r="AY3697" s="8"/>
      <c r="AZ3697" s="8"/>
      <c r="BA3697" s="8"/>
      <c r="BB3697" s="8"/>
      <c r="BC3697" s="8"/>
      <c r="BD3697" s="8"/>
      <c r="BE3697" s="8"/>
      <c r="BF3697" s="8">
        <v>107.39</v>
      </c>
      <c r="BG3697" s="8">
        <v>110.87</v>
      </c>
      <c r="BH3697" s="9">
        <f t="shared" si="513"/>
        <v>2235.9899999999998</v>
      </c>
      <c r="BI3697" s="9">
        <f t="shared" si="514"/>
        <v>5.6</v>
      </c>
      <c r="BJ3697" s="9">
        <f t="shared" si="515"/>
        <v>8.73</v>
      </c>
      <c r="BK3697" s="9">
        <f t="shared" si="516"/>
        <v>33.54</v>
      </c>
      <c r="BL3697" s="9">
        <f t="shared" si="517"/>
        <v>469.86</v>
      </c>
      <c r="BM3697" s="9">
        <f t="shared" si="518"/>
        <v>145.57495</v>
      </c>
      <c r="BN3697" s="9">
        <f t="shared" si="519"/>
        <v>1530.21</v>
      </c>
      <c r="BO3697" s="9">
        <f t="shared" si="520"/>
        <v>6.45</v>
      </c>
      <c r="BP3697" s="9">
        <f t="shared" si="521"/>
        <v>107.39</v>
      </c>
    </row>
    <row r="3698" spans="1:68">
      <c r="A3698" s="6">
        <v>45225</v>
      </c>
      <c r="B3698" s="7">
        <v>3145</v>
      </c>
      <c r="C3698" s="8">
        <v>685.91</v>
      </c>
      <c r="D3698" s="8">
        <v>120.94</v>
      </c>
      <c r="E3698" s="8"/>
      <c r="F3698" s="8"/>
      <c r="G3698" s="8"/>
      <c r="H3698" s="8"/>
      <c r="I3698" s="8"/>
      <c r="J3698" s="8"/>
      <c r="K3698" s="8"/>
      <c r="L3698" s="8"/>
      <c r="M3698" s="8">
        <v>2.35</v>
      </c>
      <c r="N3698" s="8"/>
      <c r="O3698" s="8"/>
      <c r="P3698" s="8"/>
      <c r="Q3698" s="11"/>
      <c r="R3698" s="11"/>
      <c r="S3698" s="8">
        <v>3.8</v>
      </c>
      <c r="T3698" s="8"/>
      <c r="U3698" s="8">
        <v>12.12</v>
      </c>
      <c r="V3698" s="8"/>
      <c r="W3698" s="8"/>
      <c r="X3698" s="8"/>
      <c r="Y3698" s="8"/>
      <c r="Z3698" s="8"/>
      <c r="AA3698" s="8"/>
      <c r="AB3698" s="8"/>
      <c r="AC3698" s="8">
        <v>3.23</v>
      </c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11"/>
      <c r="AQ3698" s="8"/>
      <c r="AR3698" s="8"/>
      <c r="AS3698" s="8"/>
      <c r="AT3698" s="8">
        <v>536.17999999999995</v>
      </c>
      <c r="AU3698" s="8"/>
      <c r="AV3698" s="8"/>
      <c r="AW3698" s="8"/>
      <c r="AX3698" s="8"/>
      <c r="AY3698" s="8"/>
      <c r="AZ3698" s="8"/>
      <c r="BA3698" s="8"/>
      <c r="BB3698" s="8"/>
      <c r="BC3698" s="8"/>
      <c r="BD3698" s="8">
        <v>2.02</v>
      </c>
      <c r="BE3698" s="8">
        <f>1361*5.38/1000</f>
        <v>7.3221800000000004</v>
      </c>
      <c r="BF3698" s="8">
        <v>56.55</v>
      </c>
      <c r="BG3698" s="8">
        <v>42</v>
      </c>
      <c r="BH3698" s="9">
        <f t="shared" si="513"/>
        <v>806.84999999999991</v>
      </c>
      <c r="BI3698" s="9">
        <f t="shared" si="514"/>
        <v>2.35</v>
      </c>
      <c r="BJ3698" s="9">
        <f t="shared" si="515"/>
        <v>3.8</v>
      </c>
      <c r="BK3698" s="9">
        <f t="shared" si="516"/>
        <v>12.12</v>
      </c>
      <c r="BL3698" s="9">
        <f t="shared" si="517"/>
        <v>0</v>
      </c>
      <c r="BM3698" s="9">
        <f t="shared" si="518"/>
        <v>3.23</v>
      </c>
      <c r="BN3698" s="9">
        <f t="shared" si="519"/>
        <v>536.17999999999995</v>
      </c>
      <c r="BO3698" s="9">
        <f t="shared" si="520"/>
        <v>9.3421800000000008</v>
      </c>
      <c r="BP3698" s="9">
        <f t="shared" si="521"/>
        <v>56.55</v>
      </c>
    </row>
    <row r="3699" spans="1:68">
      <c r="A3699" s="6">
        <v>45225</v>
      </c>
      <c r="B3699" s="7">
        <v>3141</v>
      </c>
      <c r="C3699" s="8">
        <v>2372.58</v>
      </c>
      <c r="D3699" s="8">
        <v>418.7</v>
      </c>
      <c r="E3699" s="8"/>
      <c r="F3699" s="8"/>
      <c r="G3699" s="8"/>
      <c r="H3699" s="8"/>
      <c r="I3699" s="8"/>
      <c r="J3699" s="8"/>
      <c r="K3699" s="8"/>
      <c r="L3699" s="8"/>
      <c r="M3699" s="8">
        <v>7.93</v>
      </c>
      <c r="N3699" s="8"/>
      <c r="O3699" s="8"/>
      <c r="P3699" s="8"/>
      <c r="Q3699" s="11"/>
      <c r="R3699" s="11"/>
      <c r="S3699" s="8">
        <v>13.13</v>
      </c>
      <c r="T3699" s="8"/>
      <c r="U3699" s="8">
        <v>41.89</v>
      </c>
      <c r="V3699" s="8"/>
      <c r="W3699" s="8"/>
      <c r="X3699" s="8"/>
      <c r="Y3699" s="8"/>
      <c r="Z3699" s="8"/>
      <c r="AA3699" s="8"/>
      <c r="AB3699" s="8"/>
      <c r="AC3699" s="8">
        <v>11.16</v>
      </c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11"/>
      <c r="AQ3699" s="8"/>
      <c r="AR3699" s="8"/>
      <c r="AS3699" s="8"/>
      <c r="AT3699" s="8">
        <v>1837.44</v>
      </c>
      <c r="AU3699" s="8"/>
      <c r="AV3699" s="8"/>
      <c r="AW3699" s="8"/>
      <c r="AX3699" s="8"/>
      <c r="AY3699" s="8"/>
      <c r="AZ3699" s="8"/>
      <c r="BA3699" s="8">
        <v>63.97</v>
      </c>
      <c r="BB3699" s="8"/>
      <c r="BC3699" s="8"/>
      <c r="BD3699" s="8"/>
      <c r="BE3699" s="8"/>
      <c r="BF3699" s="8">
        <v>195.47</v>
      </c>
      <c r="BG3699" s="8">
        <v>145.22</v>
      </c>
      <c r="BH3699" s="9">
        <f t="shared" si="513"/>
        <v>2791.2799999999997</v>
      </c>
      <c r="BI3699" s="9">
        <f t="shared" si="514"/>
        <v>7.93</v>
      </c>
      <c r="BJ3699" s="9">
        <f t="shared" si="515"/>
        <v>13.13</v>
      </c>
      <c r="BK3699" s="9">
        <f t="shared" si="516"/>
        <v>41.89</v>
      </c>
      <c r="BL3699" s="9">
        <f t="shared" si="517"/>
        <v>0</v>
      </c>
      <c r="BM3699" s="9">
        <f t="shared" si="518"/>
        <v>11.16</v>
      </c>
      <c r="BN3699" s="9">
        <f t="shared" si="519"/>
        <v>1837.44</v>
      </c>
      <c r="BO3699" s="9">
        <f t="shared" si="520"/>
        <v>63.97</v>
      </c>
      <c r="BP3699" s="9">
        <f t="shared" si="521"/>
        <v>195.47</v>
      </c>
    </row>
    <row r="3700" spans="1:68">
      <c r="A3700" s="6">
        <v>45225</v>
      </c>
      <c r="B3700" s="7">
        <v>3106</v>
      </c>
      <c r="C3700" s="8">
        <v>4078.58</v>
      </c>
      <c r="D3700" s="8"/>
      <c r="E3700" s="8"/>
      <c r="F3700" s="8"/>
      <c r="G3700" s="8"/>
      <c r="H3700" s="8"/>
      <c r="I3700" s="8"/>
      <c r="J3700" s="8"/>
      <c r="K3700" s="8"/>
      <c r="L3700" s="8"/>
      <c r="M3700" s="8">
        <v>10.99</v>
      </c>
      <c r="N3700" s="8"/>
      <c r="O3700" s="8"/>
      <c r="P3700" s="8"/>
      <c r="Q3700" s="11"/>
      <c r="R3700" s="11"/>
      <c r="S3700" s="8">
        <v>10.210000000000001</v>
      </c>
      <c r="T3700" s="8"/>
      <c r="U3700" s="8">
        <v>51.96</v>
      </c>
      <c r="V3700" s="8"/>
      <c r="W3700" s="8"/>
      <c r="X3700" s="8"/>
      <c r="Y3700" s="8"/>
      <c r="Z3700" s="8"/>
      <c r="AA3700" s="8"/>
      <c r="AB3700" s="8"/>
      <c r="AC3700" s="8">
        <v>10.210000000000001</v>
      </c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11"/>
      <c r="AQ3700" s="8"/>
      <c r="AR3700" s="8"/>
      <c r="AS3700" s="8"/>
      <c r="AT3700" s="8">
        <v>2326.79</v>
      </c>
      <c r="AU3700" s="8"/>
      <c r="AV3700" s="8"/>
      <c r="AW3700" s="8"/>
      <c r="AX3700" s="8">
        <v>5.1100000000000003</v>
      </c>
      <c r="AY3700" s="8"/>
      <c r="AZ3700" s="8"/>
      <c r="BA3700" s="8"/>
      <c r="BB3700" s="8"/>
      <c r="BC3700" s="8"/>
      <c r="BD3700" s="8"/>
      <c r="BE3700" s="8"/>
      <c r="BF3700" s="8"/>
      <c r="BG3700" s="8">
        <v>175.91</v>
      </c>
      <c r="BH3700" s="9">
        <f t="shared" si="513"/>
        <v>4078.58</v>
      </c>
      <c r="BI3700" s="9">
        <f t="shared" si="514"/>
        <v>10.99</v>
      </c>
      <c r="BJ3700" s="9">
        <f t="shared" si="515"/>
        <v>10.210000000000001</v>
      </c>
      <c r="BK3700" s="9">
        <f t="shared" si="516"/>
        <v>51.96</v>
      </c>
      <c r="BL3700" s="9">
        <f t="shared" si="517"/>
        <v>0</v>
      </c>
      <c r="BM3700" s="9">
        <f t="shared" si="518"/>
        <v>10.210000000000001</v>
      </c>
      <c r="BN3700" s="9">
        <f t="shared" si="519"/>
        <v>2326.79</v>
      </c>
      <c r="BO3700" s="9">
        <f t="shared" si="520"/>
        <v>5.1100000000000003</v>
      </c>
      <c r="BP3700" s="9">
        <f t="shared" si="521"/>
        <v>0</v>
      </c>
    </row>
    <row r="3701" spans="1:68">
      <c r="A3701" s="6">
        <v>45225</v>
      </c>
      <c r="B3701" s="7">
        <v>3020</v>
      </c>
      <c r="C3701" s="8"/>
      <c r="D3701" s="8">
        <v>173.44</v>
      </c>
      <c r="E3701" s="8"/>
      <c r="F3701" s="8"/>
      <c r="G3701" s="8"/>
      <c r="H3701" s="8"/>
      <c r="I3701" s="8">
        <v>981.67</v>
      </c>
      <c r="J3701" s="8"/>
      <c r="K3701" s="8"/>
      <c r="L3701" s="8"/>
      <c r="M3701" s="8"/>
      <c r="N3701" s="8">
        <v>7.05</v>
      </c>
      <c r="O3701" s="8"/>
      <c r="P3701" s="8"/>
      <c r="Q3701" s="11"/>
      <c r="R3701" s="11"/>
      <c r="S3701" s="8">
        <v>2.08</v>
      </c>
      <c r="T3701" s="8"/>
      <c r="U3701" s="8"/>
      <c r="V3701" s="8"/>
      <c r="W3701" s="8">
        <v>11.55</v>
      </c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>
        <v>11.55</v>
      </c>
      <c r="AN3701" s="8"/>
      <c r="AO3701" s="8"/>
      <c r="AP3701" s="11"/>
      <c r="AQ3701" s="8"/>
      <c r="AR3701" s="8"/>
      <c r="AS3701" s="8">
        <f>3042*9.62/1000</f>
        <v>29.264039999999998</v>
      </c>
      <c r="AT3701" s="8">
        <v>567.47</v>
      </c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>
        <v>41.61</v>
      </c>
      <c r="BH3701" s="9">
        <f t="shared" si="513"/>
        <v>1155.1099999999999</v>
      </c>
      <c r="BI3701" s="9">
        <f t="shared" si="514"/>
        <v>7.05</v>
      </c>
      <c r="BJ3701" s="9">
        <f t="shared" si="515"/>
        <v>2.08</v>
      </c>
      <c r="BK3701" s="9">
        <f t="shared" si="516"/>
        <v>11.55</v>
      </c>
      <c r="BL3701" s="9">
        <f t="shared" si="517"/>
        <v>0</v>
      </c>
      <c r="BM3701" s="9">
        <f t="shared" si="518"/>
        <v>40.814039999999999</v>
      </c>
      <c r="BN3701" s="9">
        <f t="shared" si="519"/>
        <v>567.47</v>
      </c>
      <c r="BO3701" s="9">
        <f t="shared" si="520"/>
        <v>0</v>
      </c>
      <c r="BP3701" s="9">
        <f t="shared" si="521"/>
        <v>0</v>
      </c>
    </row>
    <row r="3702" spans="1:68">
      <c r="A3702" s="6">
        <v>45225</v>
      </c>
      <c r="B3702" s="7">
        <v>3022</v>
      </c>
      <c r="C3702" s="8"/>
      <c r="D3702" s="8">
        <v>314.25</v>
      </c>
      <c r="E3702" s="8"/>
      <c r="F3702" s="8"/>
      <c r="G3702" s="8"/>
      <c r="H3702" s="8"/>
      <c r="I3702" s="8">
        <v>258.91000000000003</v>
      </c>
      <c r="J3702" s="8"/>
      <c r="K3702" s="8"/>
      <c r="L3702" s="8"/>
      <c r="M3702" s="8"/>
      <c r="N3702" s="8">
        <v>2.86</v>
      </c>
      <c r="O3702" s="8"/>
      <c r="P3702" s="8"/>
      <c r="Q3702" s="11"/>
      <c r="R3702" s="11"/>
      <c r="S3702" s="8">
        <v>1.03</v>
      </c>
      <c r="T3702" s="8"/>
      <c r="U3702" s="8"/>
      <c r="V3702" s="8"/>
      <c r="W3702" s="8">
        <v>5.72</v>
      </c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>
        <v>7.44</v>
      </c>
      <c r="AN3702" s="8"/>
      <c r="AO3702" s="8"/>
      <c r="AP3702" s="11"/>
      <c r="AQ3702" s="8"/>
      <c r="AR3702" s="8"/>
      <c r="AS3702" s="8">
        <f>3875*5.2/1000</f>
        <v>20.149999999999999</v>
      </c>
      <c r="AT3702" s="8">
        <v>267.57</v>
      </c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>
        <v>20.6</v>
      </c>
      <c r="BH3702" s="9">
        <f t="shared" si="513"/>
        <v>573.16000000000008</v>
      </c>
      <c r="BI3702" s="9">
        <f t="shared" si="514"/>
        <v>2.86</v>
      </c>
      <c r="BJ3702" s="9">
        <f t="shared" si="515"/>
        <v>1.03</v>
      </c>
      <c r="BK3702" s="9">
        <f t="shared" si="516"/>
        <v>5.72</v>
      </c>
      <c r="BL3702" s="9">
        <f t="shared" si="517"/>
        <v>0</v>
      </c>
      <c r="BM3702" s="9">
        <f t="shared" si="518"/>
        <v>27.59</v>
      </c>
      <c r="BN3702" s="9">
        <f t="shared" si="519"/>
        <v>267.57</v>
      </c>
      <c r="BO3702" s="9">
        <f t="shared" si="520"/>
        <v>0</v>
      </c>
      <c r="BP3702" s="9">
        <f t="shared" si="521"/>
        <v>0</v>
      </c>
    </row>
    <row r="3703" spans="1:68">
      <c r="A3703" s="6">
        <v>45225</v>
      </c>
      <c r="B3703" s="7">
        <v>3005</v>
      </c>
      <c r="C3703" s="8">
        <v>735.8</v>
      </c>
      <c r="D3703" s="8">
        <v>490.73</v>
      </c>
      <c r="E3703" s="8"/>
      <c r="F3703" s="8"/>
      <c r="G3703" s="8"/>
      <c r="H3703" s="8"/>
      <c r="I3703" s="8"/>
      <c r="J3703" s="8"/>
      <c r="K3703" s="8"/>
      <c r="L3703" s="8"/>
      <c r="M3703" s="8"/>
      <c r="N3703" s="8">
        <v>1.22</v>
      </c>
      <c r="O3703" s="8"/>
      <c r="P3703" s="8"/>
      <c r="Q3703" s="11"/>
      <c r="R3703" s="11"/>
      <c r="S3703" s="8">
        <v>4.29</v>
      </c>
      <c r="T3703" s="8"/>
      <c r="U3703" s="8"/>
      <c r="V3703" s="8"/>
      <c r="W3703" s="8">
        <v>13.49</v>
      </c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11"/>
      <c r="AQ3703" s="8"/>
      <c r="AR3703" s="8"/>
      <c r="AS3703" s="8"/>
      <c r="AT3703" s="8">
        <v>600.66</v>
      </c>
      <c r="AU3703" s="8"/>
      <c r="AV3703" s="8"/>
      <c r="AW3703" s="8">
        <v>13.62</v>
      </c>
      <c r="AX3703" s="8"/>
      <c r="AY3703" s="8"/>
      <c r="AZ3703" s="8"/>
      <c r="BA3703" s="8"/>
      <c r="BB3703" s="8"/>
      <c r="BC3703" s="8"/>
      <c r="BD3703" s="8"/>
      <c r="BE3703" s="8"/>
      <c r="BF3703" s="8"/>
      <c r="BG3703" s="8">
        <v>44.75</v>
      </c>
      <c r="BH3703" s="9">
        <f t="shared" si="513"/>
        <v>1226.53</v>
      </c>
      <c r="BI3703" s="9">
        <f t="shared" si="514"/>
        <v>1.22</v>
      </c>
      <c r="BJ3703" s="9">
        <f t="shared" si="515"/>
        <v>4.29</v>
      </c>
      <c r="BK3703" s="9">
        <f t="shared" si="516"/>
        <v>13.49</v>
      </c>
      <c r="BL3703" s="9">
        <f t="shared" si="517"/>
        <v>0</v>
      </c>
      <c r="BM3703" s="9">
        <f t="shared" si="518"/>
        <v>0</v>
      </c>
      <c r="BN3703" s="9">
        <f t="shared" si="519"/>
        <v>600.66</v>
      </c>
      <c r="BO3703" s="9">
        <f t="shared" si="520"/>
        <v>13.62</v>
      </c>
      <c r="BP3703" s="9">
        <f t="shared" si="521"/>
        <v>0</v>
      </c>
    </row>
    <row r="3704" spans="1:68">
      <c r="A3704" s="6">
        <v>45226</v>
      </c>
      <c r="B3704" s="7">
        <v>3200</v>
      </c>
      <c r="C3704" s="8">
        <v>2309.3000000000002</v>
      </c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>
        <v>5.79</v>
      </c>
      <c r="P3704" s="8"/>
      <c r="Q3704" s="11"/>
      <c r="R3704" s="11"/>
      <c r="S3704" s="8">
        <v>9.01</v>
      </c>
      <c r="T3704" s="8"/>
      <c r="U3704" s="8">
        <v>34.64</v>
      </c>
      <c r="V3704" s="8"/>
      <c r="W3704" s="8"/>
      <c r="X3704" s="8"/>
      <c r="Y3704" s="8"/>
      <c r="Z3704" s="8">
        <v>485.56</v>
      </c>
      <c r="AA3704" s="8"/>
      <c r="AB3704" s="8"/>
      <c r="AC3704" s="8"/>
      <c r="AD3704" s="8"/>
      <c r="AE3704" s="8"/>
      <c r="AF3704" s="8">
        <v>114.97</v>
      </c>
      <c r="AG3704" s="8"/>
      <c r="AH3704" s="8"/>
      <c r="AI3704" s="8"/>
      <c r="AJ3704" s="8"/>
      <c r="AK3704" s="8"/>
      <c r="AL3704" s="8"/>
      <c r="AM3704" s="8"/>
      <c r="AN3704" s="8"/>
      <c r="AO3704" s="8"/>
      <c r="AP3704" s="11"/>
      <c r="AQ3704" s="8">
        <f>1515*23.1/1000</f>
        <v>34.996499999999997</v>
      </c>
      <c r="AR3704" s="8"/>
      <c r="AS3704" s="8"/>
      <c r="AT3704" s="8">
        <v>1583.08</v>
      </c>
      <c r="AU3704" s="8"/>
      <c r="AV3704" s="8"/>
      <c r="AW3704" s="8">
        <v>6.63</v>
      </c>
      <c r="AX3704" s="8"/>
      <c r="AY3704" s="8"/>
      <c r="AZ3704" s="8"/>
      <c r="BA3704" s="8"/>
      <c r="BB3704" s="8"/>
      <c r="BC3704" s="8"/>
      <c r="BD3704" s="8"/>
      <c r="BE3704" s="8"/>
      <c r="BF3704" s="8">
        <v>110.9</v>
      </c>
      <c r="BG3704" s="8">
        <v>114.47</v>
      </c>
      <c r="BH3704" s="9">
        <f t="shared" si="513"/>
        <v>2309.3000000000002</v>
      </c>
      <c r="BI3704" s="9">
        <f t="shared" si="514"/>
        <v>5.79</v>
      </c>
      <c r="BJ3704" s="9">
        <f t="shared" si="515"/>
        <v>9.01</v>
      </c>
      <c r="BK3704" s="9">
        <f t="shared" si="516"/>
        <v>34.64</v>
      </c>
      <c r="BL3704" s="9">
        <f t="shared" si="517"/>
        <v>485.56</v>
      </c>
      <c r="BM3704" s="9">
        <f t="shared" si="518"/>
        <v>149.9665</v>
      </c>
      <c r="BN3704" s="9">
        <f t="shared" si="519"/>
        <v>1583.08</v>
      </c>
      <c r="BO3704" s="9">
        <f t="shared" si="520"/>
        <v>6.63</v>
      </c>
      <c r="BP3704" s="9">
        <f t="shared" si="521"/>
        <v>110.9</v>
      </c>
    </row>
    <row r="3705" spans="1:68">
      <c r="A3705" s="6">
        <v>45226</v>
      </c>
      <c r="B3705" s="7">
        <v>3205</v>
      </c>
      <c r="C3705" s="8">
        <v>671.76</v>
      </c>
      <c r="D3705" s="8">
        <v>373.41</v>
      </c>
      <c r="E3705" s="8">
        <v>448.35</v>
      </c>
      <c r="F3705" s="8"/>
      <c r="G3705" s="8"/>
      <c r="H3705" s="8"/>
      <c r="I3705" s="8"/>
      <c r="J3705" s="8"/>
      <c r="K3705" s="8"/>
      <c r="L3705" s="8"/>
      <c r="M3705" s="8"/>
      <c r="N3705" s="8"/>
      <c r="O3705" s="8">
        <v>5.98</v>
      </c>
      <c r="P3705" s="8"/>
      <c r="Q3705" s="11"/>
      <c r="R3705" s="11"/>
      <c r="S3705" s="8">
        <v>5.52</v>
      </c>
      <c r="T3705" s="8"/>
      <c r="U3705" s="8">
        <v>17.920000000000002</v>
      </c>
      <c r="V3705" s="8"/>
      <c r="W3705" s="8"/>
      <c r="X3705" s="8"/>
      <c r="Y3705" s="8"/>
      <c r="Z3705" s="8">
        <v>149.26</v>
      </c>
      <c r="AA3705" s="8"/>
      <c r="AB3705" s="8">
        <f>1026*14.92/1000</f>
        <v>15.307919999999999</v>
      </c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11"/>
      <c r="AQ3705" s="8">
        <f>508*14.92/1000</f>
        <v>7.5793599999999994</v>
      </c>
      <c r="AR3705" s="8"/>
      <c r="AS3705" s="8"/>
      <c r="AT3705" s="8">
        <v>388.24</v>
      </c>
      <c r="AU3705" s="8">
        <v>194.09</v>
      </c>
      <c r="AV3705" s="8"/>
      <c r="AW3705" s="8">
        <v>6.43</v>
      </c>
      <c r="AX3705" s="8"/>
      <c r="AY3705" s="8"/>
      <c r="AZ3705" s="8"/>
      <c r="BA3705" s="8"/>
      <c r="BB3705" s="8"/>
      <c r="BC3705" s="8"/>
      <c r="BD3705" s="8"/>
      <c r="BE3705" s="8"/>
      <c r="BF3705" s="8"/>
      <c r="BG3705" s="8">
        <v>34.99</v>
      </c>
      <c r="BH3705" s="9">
        <f t="shared" si="513"/>
        <v>1493.52</v>
      </c>
      <c r="BI3705" s="9">
        <f t="shared" si="514"/>
        <v>5.98</v>
      </c>
      <c r="BJ3705" s="9">
        <f t="shared" si="515"/>
        <v>5.52</v>
      </c>
      <c r="BK3705" s="9">
        <f t="shared" si="516"/>
        <v>17.920000000000002</v>
      </c>
      <c r="BL3705" s="9">
        <f t="shared" si="517"/>
        <v>149.26</v>
      </c>
      <c r="BM3705" s="9">
        <f t="shared" si="518"/>
        <v>22.887279999999997</v>
      </c>
      <c r="BN3705" s="9">
        <f t="shared" si="519"/>
        <v>582.33000000000004</v>
      </c>
      <c r="BO3705" s="9">
        <f t="shared" si="520"/>
        <v>6.43</v>
      </c>
      <c r="BP3705" s="9">
        <f t="shared" si="521"/>
        <v>0</v>
      </c>
    </row>
    <row r="3706" spans="1:68">
      <c r="A3706" s="6">
        <v>45226</v>
      </c>
      <c r="B3706" s="7">
        <v>3113</v>
      </c>
      <c r="C3706" s="8">
        <v>1628.99</v>
      </c>
      <c r="D3706" s="8"/>
      <c r="E3706" s="8"/>
      <c r="F3706" s="8"/>
      <c r="G3706" s="8"/>
      <c r="H3706" s="8"/>
      <c r="I3706" s="8"/>
      <c r="J3706" s="8"/>
      <c r="K3706" s="8"/>
      <c r="L3706" s="8"/>
      <c r="M3706" s="8">
        <v>1.47</v>
      </c>
      <c r="N3706" s="8">
        <v>1.47</v>
      </c>
      <c r="O3706" s="8"/>
      <c r="P3706" s="8"/>
      <c r="Q3706" s="11"/>
      <c r="R3706" s="11"/>
      <c r="S3706" s="8">
        <v>4.9000000000000004</v>
      </c>
      <c r="T3706" s="8"/>
      <c r="U3706" s="8">
        <v>16.309999999999999</v>
      </c>
      <c r="V3706" s="8"/>
      <c r="W3706" s="8"/>
      <c r="X3706" s="8"/>
      <c r="Y3706" s="8"/>
      <c r="Z3706" s="8"/>
      <c r="AA3706" s="8"/>
      <c r="AB3706" s="8"/>
      <c r="AC3706" s="8">
        <v>6.52</v>
      </c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11"/>
      <c r="AQ3706" s="8"/>
      <c r="AR3706" s="8"/>
      <c r="AS3706" s="8"/>
      <c r="AT3706" s="8">
        <v>682.85</v>
      </c>
      <c r="AU3706" s="8"/>
      <c r="AV3706" s="8">
        <v>55.43</v>
      </c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>
        <v>48.86</v>
      </c>
      <c r="BH3706" s="9">
        <f t="shared" si="513"/>
        <v>1628.99</v>
      </c>
      <c r="BI3706" s="9">
        <f t="shared" si="514"/>
        <v>2.94</v>
      </c>
      <c r="BJ3706" s="9">
        <f t="shared" si="515"/>
        <v>4.9000000000000004</v>
      </c>
      <c r="BK3706" s="9">
        <f t="shared" si="516"/>
        <v>16.309999999999999</v>
      </c>
      <c r="BL3706" s="9">
        <f t="shared" si="517"/>
        <v>0</v>
      </c>
      <c r="BM3706" s="9">
        <f t="shared" si="518"/>
        <v>6.52</v>
      </c>
      <c r="BN3706" s="9">
        <f t="shared" si="519"/>
        <v>682.85</v>
      </c>
      <c r="BO3706" s="9">
        <f t="shared" si="520"/>
        <v>55.43</v>
      </c>
      <c r="BP3706" s="9">
        <f t="shared" si="521"/>
        <v>0</v>
      </c>
    </row>
    <row r="3707" spans="1:68">
      <c r="A3707" s="6">
        <v>45226</v>
      </c>
      <c r="B3707" s="7">
        <v>3079</v>
      </c>
      <c r="C3707" s="8"/>
      <c r="D3707" s="8"/>
      <c r="E3707" s="8"/>
      <c r="F3707" s="8">
        <v>344.56</v>
      </c>
      <c r="G3707" s="8"/>
      <c r="H3707" s="8"/>
      <c r="I3707" s="8">
        <v>2787.7</v>
      </c>
      <c r="J3707" s="8"/>
      <c r="K3707" s="8"/>
      <c r="L3707" s="8"/>
      <c r="M3707" s="8"/>
      <c r="N3707" s="8">
        <v>22.87</v>
      </c>
      <c r="O3707" s="8"/>
      <c r="P3707" s="8"/>
      <c r="Q3707" s="11"/>
      <c r="R3707" s="11"/>
      <c r="S3707" s="8">
        <v>1.24</v>
      </c>
      <c r="T3707" s="8"/>
      <c r="U3707" s="8"/>
      <c r="V3707" s="8"/>
      <c r="W3707" s="8">
        <v>31.32</v>
      </c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>
        <v>12.52</v>
      </c>
      <c r="AN3707" s="8">
        <f>1718*18.43/1000</f>
        <v>31.662739999999999</v>
      </c>
      <c r="AO3707" s="8"/>
      <c r="AP3707" s="11"/>
      <c r="AQ3707" s="8"/>
      <c r="AR3707" s="8">
        <f>4304*18.43/1000</f>
        <v>79.322720000000004</v>
      </c>
      <c r="AS3707" s="8"/>
      <c r="AT3707" s="8">
        <v>1208.28</v>
      </c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>
        <v>87.64</v>
      </c>
      <c r="BH3707" s="9">
        <f t="shared" si="513"/>
        <v>3132.2599999999998</v>
      </c>
      <c r="BI3707" s="9">
        <f t="shared" si="514"/>
        <v>22.87</v>
      </c>
      <c r="BJ3707" s="9">
        <f t="shared" si="515"/>
        <v>1.24</v>
      </c>
      <c r="BK3707" s="9">
        <f t="shared" si="516"/>
        <v>31.32</v>
      </c>
      <c r="BL3707" s="9">
        <f t="shared" si="517"/>
        <v>0</v>
      </c>
      <c r="BM3707" s="9">
        <f t="shared" si="518"/>
        <v>123.50546</v>
      </c>
      <c r="BN3707" s="9">
        <f t="shared" si="519"/>
        <v>1208.28</v>
      </c>
      <c r="BO3707" s="9">
        <f t="shared" si="520"/>
        <v>0</v>
      </c>
      <c r="BP3707" s="9">
        <f t="shared" si="521"/>
        <v>0</v>
      </c>
    </row>
    <row r="3708" spans="1:68">
      <c r="A3708" s="6">
        <v>45226</v>
      </c>
      <c r="B3708" s="7">
        <v>3016</v>
      </c>
      <c r="C3708" s="8"/>
      <c r="D3708" s="8">
        <v>2454.2600000000002</v>
      </c>
      <c r="E3708" s="8"/>
      <c r="F3708" s="8"/>
      <c r="G3708" s="8"/>
      <c r="H3708" s="8"/>
      <c r="I3708" s="8">
        <v>2263.7600000000002</v>
      </c>
      <c r="J3708" s="8"/>
      <c r="K3708" s="8"/>
      <c r="L3708" s="8"/>
      <c r="M3708" s="8"/>
      <c r="N3708" s="8">
        <v>28.77</v>
      </c>
      <c r="O3708" s="8"/>
      <c r="P3708" s="8"/>
      <c r="Q3708" s="11"/>
      <c r="R3708" s="11"/>
      <c r="S3708" s="8">
        <v>3.3</v>
      </c>
      <c r="T3708" s="8"/>
      <c r="U3708" s="8"/>
      <c r="V3708" s="8"/>
      <c r="W3708" s="8">
        <v>47.19</v>
      </c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>
        <v>18.86</v>
      </c>
      <c r="AN3708" s="8">
        <f>2054*27.75/1000</f>
        <v>56.9985</v>
      </c>
      <c r="AO3708" s="8"/>
      <c r="AP3708" s="11"/>
      <c r="AQ3708" s="8"/>
      <c r="AR3708" s="8">
        <f>4304*27.75/1000</f>
        <v>119.43600000000001</v>
      </c>
      <c r="AS3708" s="8"/>
      <c r="AT3708" s="8">
        <v>1751.19</v>
      </c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>
        <v>128.18</v>
      </c>
      <c r="BH3708" s="9">
        <f t="shared" si="513"/>
        <v>4718.0200000000004</v>
      </c>
      <c r="BI3708" s="9">
        <f t="shared" si="514"/>
        <v>28.77</v>
      </c>
      <c r="BJ3708" s="9">
        <f t="shared" si="515"/>
        <v>3.3</v>
      </c>
      <c r="BK3708" s="9">
        <f t="shared" si="516"/>
        <v>47.19</v>
      </c>
      <c r="BL3708" s="9">
        <f t="shared" si="517"/>
        <v>0</v>
      </c>
      <c r="BM3708" s="9">
        <f t="shared" si="518"/>
        <v>195.2945</v>
      </c>
      <c r="BN3708" s="9">
        <f t="shared" si="519"/>
        <v>1751.19</v>
      </c>
      <c r="BO3708" s="9">
        <f t="shared" si="520"/>
        <v>0</v>
      </c>
      <c r="BP3708" s="9">
        <f t="shared" si="521"/>
        <v>0</v>
      </c>
    </row>
    <row r="3709" spans="1:68">
      <c r="A3709" s="6">
        <v>45226</v>
      </c>
      <c r="B3709" s="7">
        <v>3601</v>
      </c>
      <c r="C3709" s="8">
        <v>289.55</v>
      </c>
      <c r="D3709" s="8"/>
      <c r="E3709" s="8"/>
      <c r="F3709" s="8"/>
      <c r="G3709" s="8">
        <v>434.47</v>
      </c>
      <c r="H3709" s="8"/>
      <c r="I3709" s="8"/>
      <c r="J3709" s="8"/>
      <c r="K3709" s="8"/>
      <c r="L3709" s="8"/>
      <c r="M3709" s="8">
        <v>0.87</v>
      </c>
      <c r="N3709" s="8"/>
      <c r="O3709" s="8"/>
      <c r="P3709" s="8"/>
      <c r="Q3709" s="11"/>
      <c r="R3709" s="11"/>
      <c r="S3709" s="8">
        <v>3.48</v>
      </c>
      <c r="T3709" s="8"/>
      <c r="U3709" s="8">
        <v>4.3499999999999996</v>
      </c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11"/>
      <c r="AQ3709" s="8"/>
      <c r="AR3709" s="8"/>
      <c r="AS3709" s="8"/>
      <c r="AT3709" s="8">
        <v>354.92</v>
      </c>
      <c r="AU3709" s="8"/>
      <c r="AV3709" s="8"/>
      <c r="AW3709" s="8">
        <v>22.04</v>
      </c>
      <c r="AX3709" s="8"/>
      <c r="AY3709" s="8"/>
      <c r="AZ3709" s="8"/>
      <c r="BA3709" s="8"/>
      <c r="BB3709" s="8"/>
      <c r="BC3709" s="8"/>
      <c r="BD3709" s="8"/>
      <c r="BE3709" s="8"/>
      <c r="BF3709" s="8">
        <v>40.590000000000003</v>
      </c>
      <c r="BG3709" s="8">
        <v>25.77</v>
      </c>
      <c r="BH3709" s="9">
        <f t="shared" si="513"/>
        <v>724.02</v>
      </c>
      <c r="BI3709" s="9">
        <f t="shared" si="514"/>
        <v>0.87</v>
      </c>
      <c r="BJ3709" s="9">
        <f t="shared" si="515"/>
        <v>3.48</v>
      </c>
      <c r="BK3709" s="9">
        <f t="shared" si="516"/>
        <v>4.3499999999999996</v>
      </c>
      <c r="BL3709" s="9">
        <f t="shared" si="517"/>
        <v>0</v>
      </c>
      <c r="BM3709" s="9">
        <f t="shared" si="518"/>
        <v>0</v>
      </c>
      <c r="BN3709" s="9">
        <f t="shared" si="519"/>
        <v>354.92</v>
      </c>
      <c r="BO3709" s="9">
        <f t="shared" si="520"/>
        <v>22.04</v>
      </c>
      <c r="BP3709" s="9">
        <f t="shared" si="521"/>
        <v>40.590000000000003</v>
      </c>
    </row>
    <row r="3710" spans="1:68">
      <c r="A3710" s="6">
        <v>45226</v>
      </c>
      <c r="B3710" s="7">
        <v>3602</v>
      </c>
      <c r="C3710" s="8">
        <v>551.07000000000005</v>
      </c>
      <c r="D3710" s="8"/>
      <c r="E3710" s="8"/>
      <c r="F3710" s="8"/>
      <c r="G3710" s="8">
        <v>825.77</v>
      </c>
      <c r="H3710" s="8"/>
      <c r="I3710" s="8"/>
      <c r="J3710" s="8"/>
      <c r="K3710" s="8"/>
      <c r="L3710" s="8"/>
      <c r="M3710" s="8">
        <v>1.64</v>
      </c>
      <c r="N3710" s="8"/>
      <c r="O3710" s="8"/>
      <c r="P3710" s="8"/>
      <c r="Q3710" s="11"/>
      <c r="R3710" s="11"/>
      <c r="S3710" s="8">
        <v>6.61</v>
      </c>
      <c r="T3710" s="8"/>
      <c r="U3710" s="8">
        <v>11.02</v>
      </c>
      <c r="V3710" s="8">
        <f>855*15.73/1000</f>
        <v>13.449149999999999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11"/>
      <c r="AQ3710" s="8"/>
      <c r="AR3710" s="8"/>
      <c r="AS3710" s="8"/>
      <c r="AT3710" s="8">
        <v>555.87</v>
      </c>
      <c r="AU3710" s="8"/>
      <c r="AV3710" s="8"/>
      <c r="AW3710" s="8">
        <v>35.6</v>
      </c>
      <c r="AX3710" s="8"/>
      <c r="AY3710" s="8"/>
      <c r="AZ3710" s="8"/>
      <c r="BA3710" s="8"/>
      <c r="BB3710" s="8"/>
      <c r="BC3710" s="8"/>
      <c r="BD3710" s="8"/>
      <c r="BE3710" s="8"/>
      <c r="BF3710" s="8">
        <v>44.1</v>
      </c>
      <c r="BG3710" s="8">
        <v>41.41</v>
      </c>
      <c r="BH3710" s="9">
        <f t="shared" si="513"/>
        <v>1376.8400000000001</v>
      </c>
      <c r="BI3710" s="9">
        <f t="shared" si="514"/>
        <v>1.64</v>
      </c>
      <c r="BJ3710" s="9">
        <f t="shared" si="515"/>
        <v>6.61</v>
      </c>
      <c r="BK3710" s="9">
        <f t="shared" si="516"/>
        <v>24.469149999999999</v>
      </c>
      <c r="BL3710" s="9">
        <f t="shared" si="517"/>
        <v>0</v>
      </c>
      <c r="BM3710" s="9">
        <f t="shared" si="518"/>
        <v>0</v>
      </c>
      <c r="BN3710" s="9">
        <f t="shared" si="519"/>
        <v>555.87</v>
      </c>
      <c r="BO3710" s="9">
        <f t="shared" si="520"/>
        <v>35.6</v>
      </c>
      <c r="BP3710" s="9">
        <f t="shared" si="521"/>
        <v>44.1</v>
      </c>
    </row>
    <row r="3711" spans="1:68">
      <c r="A3711" s="6">
        <v>45229</v>
      </c>
      <c r="B3711" s="7">
        <v>3221</v>
      </c>
      <c r="C3711" s="8">
        <v>614.96</v>
      </c>
      <c r="D3711" s="8">
        <v>103.16</v>
      </c>
      <c r="E3711" s="8">
        <v>307.27</v>
      </c>
      <c r="F3711" s="8"/>
      <c r="G3711" s="8"/>
      <c r="H3711" s="8"/>
      <c r="I3711" s="8"/>
      <c r="J3711" s="8"/>
      <c r="K3711" s="8"/>
      <c r="L3711" s="8"/>
      <c r="M3711" s="8"/>
      <c r="N3711" s="8"/>
      <c r="O3711" s="8">
        <v>2.0499999999999998</v>
      </c>
      <c r="P3711" s="8"/>
      <c r="Q3711" s="11"/>
      <c r="R3711" s="11"/>
      <c r="S3711" s="8">
        <v>4.63</v>
      </c>
      <c r="T3711" s="8"/>
      <c r="U3711" s="8">
        <v>15.45</v>
      </c>
      <c r="V3711" s="8"/>
      <c r="W3711" s="8"/>
      <c r="X3711" s="8"/>
      <c r="Y3711" s="8"/>
      <c r="Z3711" s="8"/>
      <c r="AA3711" s="8"/>
      <c r="AB3711" s="8">
        <f>411*12.85/1000</f>
        <v>5.2813499999999998</v>
      </c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11"/>
      <c r="AQ3711" s="8">
        <f>1232*12.85/1000</f>
        <v>15.831199999999999</v>
      </c>
      <c r="AR3711" s="8"/>
      <c r="AS3711" s="8"/>
      <c r="AT3711" s="8">
        <v>583.1</v>
      </c>
      <c r="AU3711" s="8"/>
      <c r="AV3711" s="8"/>
      <c r="AW3711" s="8">
        <v>34.979999999999997</v>
      </c>
      <c r="AX3711" s="8"/>
      <c r="AY3711" s="8"/>
      <c r="AZ3711" s="8"/>
      <c r="BA3711" s="8"/>
      <c r="BB3711" s="8"/>
      <c r="BC3711" s="8"/>
      <c r="BD3711" s="8"/>
      <c r="BE3711" s="8"/>
      <c r="BF3711" s="8">
        <v>46.26</v>
      </c>
      <c r="BG3711" s="8">
        <v>43.22</v>
      </c>
      <c r="BH3711" s="9">
        <f t="shared" si="513"/>
        <v>1025.3899999999999</v>
      </c>
      <c r="BI3711" s="9">
        <f t="shared" si="514"/>
        <v>2.0499999999999998</v>
      </c>
      <c r="BJ3711" s="9">
        <f t="shared" si="515"/>
        <v>4.63</v>
      </c>
      <c r="BK3711" s="9">
        <f t="shared" si="516"/>
        <v>15.45</v>
      </c>
      <c r="BL3711" s="9">
        <f t="shared" si="517"/>
        <v>0</v>
      </c>
      <c r="BM3711" s="9">
        <f t="shared" si="518"/>
        <v>21.112549999999999</v>
      </c>
      <c r="BN3711" s="9">
        <f t="shared" si="519"/>
        <v>583.1</v>
      </c>
      <c r="BO3711" s="9">
        <f t="shared" si="520"/>
        <v>34.979999999999997</v>
      </c>
      <c r="BP3711" s="9">
        <f t="shared" si="521"/>
        <v>46.26</v>
      </c>
    </row>
    <row r="3712" spans="1:68">
      <c r="A3712" s="6">
        <v>45229</v>
      </c>
      <c r="B3712" s="7">
        <v>3203</v>
      </c>
      <c r="C3712" s="8">
        <v>1726.58</v>
      </c>
      <c r="D3712" s="8"/>
      <c r="E3712" s="8">
        <v>739.8</v>
      </c>
      <c r="F3712" s="8"/>
      <c r="G3712" s="8"/>
      <c r="H3712" s="8"/>
      <c r="I3712" s="8"/>
      <c r="J3712" s="8"/>
      <c r="K3712" s="8"/>
      <c r="L3712" s="8"/>
      <c r="M3712" s="8"/>
      <c r="N3712" s="8"/>
      <c r="O3712" s="8">
        <v>7.41</v>
      </c>
      <c r="P3712" s="8"/>
      <c r="Q3712" s="11"/>
      <c r="R3712" s="11"/>
      <c r="S3712" s="8">
        <v>9.6199999999999992</v>
      </c>
      <c r="T3712" s="8"/>
      <c r="U3712" s="8">
        <v>30.57</v>
      </c>
      <c r="V3712" s="8"/>
      <c r="W3712" s="8"/>
      <c r="X3712" s="8"/>
      <c r="Y3712" s="8"/>
      <c r="Z3712" s="8">
        <v>388.43</v>
      </c>
      <c r="AA3712" s="8">
        <f>10542*0.029</f>
        <v>305.71800000000002</v>
      </c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11"/>
      <c r="AQ3712" s="8"/>
      <c r="AR3712" s="8"/>
      <c r="AS3712" s="8"/>
      <c r="AT3712" s="8">
        <v>922.59</v>
      </c>
      <c r="AU3712" s="8">
        <v>460.48</v>
      </c>
      <c r="AV3712" s="8"/>
      <c r="AW3712" s="8"/>
      <c r="AX3712" s="8"/>
      <c r="AY3712" s="8"/>
      <c r="AZ3712" s="8"/>
      <c r="BA3712" s="8"/>
      <c r="BB3712" s="8"/>
      <c r="BC3712" s="8">
        <v>6.41</v>
      </c>
      <c r="BD3712" s="8"/>
      <c r="BE3712" s="8"/>
      <c r="BF3712" s="8"/>
      <c r="BG3712" s="8">
        <v>89.86</v>
      </c>
      <c r="BH3712" s="9">
        <f t="shared" si="513"/>
        <v>2466.38</v>
      </c>
      <c r="BI3712" s="9">
        <f t="shared" si="514"/>
        <v>7.41</v>
      </c>
      <c r="BJ3712" s="9">
        <f t="shared" si="515"/>
        <v>9.6199999999999992</v>
      </c>
      <c r="BK3712" s="9">
        <f t="shared" si="516"/>
        <v>30.57</v>
      </c>
      <c r="BL3712" s="9">
        <f t="shared" si="517"/>
        <v>694.14800000000002</v>
      </c>
      <c r="BM3712" s="9">
        <f t="shared" si="518"/>
        <v>0</v>
      </c>
      <c r="BN3712" s="9">
        <f t="shared" si="519"/>
        <v>1383.0700000000002</v>
      </c>
      <c r="BO3712" s="9">
        <f t="shared" si="520"/>
        <v>6.41</v>
      </c>
      <c r="BP3712" s="9">
        <f t="shared" si="521"/>
        <v>0</v>
      </c>
    </row>
    <row r="3713" spans="1:68">
      <c r="A3713" s="6">
        <v>45229</v>
      </c>
      <c r="B3713" s="7">
        <v>3029</v>
      </c>
      <c r="C3713" s="8"/>
      <c r="D3713" s="8">
        <v>456.78</v>
      </c>
      <c r="E3713" s="8"/>
      <c r="F3713" s="8">
        <v>323.08999999999997</v>
      </c>
      <c r="G3713" s="8"/>
      <c r="H3713" s="8"/>
      <c r="I3713" s="8">
        <v>1911.96</v>
      </c>
      <c r="J3713" s="8"/>
      <c r="K3713" s="8"/>
      <c r="L3713" s="8"/>
      <c r="M3713" s="8"/>
      <c r="N3713" s="8">
        <v>21.27</v>
      </c>
      <c r="O3713" s="8"/>
      <c r="P3713" s="8"/>
      <c r="Q3713" s="11"/>
      <c r="R3713" s="11"/>
      <c r="S3713" s="8">
        <v>1.61</v>
      </c>
      <c r="T3713" s="8"/>
      <c r="U3713" s="8"/>
      <c r="V3713" s="8"/>
      <c r="W3713" s="8">
        <v>26.94</v>
      </c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>
        <v>9.4</v>
      </c>
      <c r="AN3713" s="8">
        <f>766*17.93/1000</f>
        <v>13.73438</v>
      </c>
      <c r="AO3713" s="8"/>
      <c r="AP3713" s="11"/>
      <c r="AQ3713" s="8"/>
      <c r="AR3713" s="8">
        <f>4595*17.93/1000</f>
        <v>82.388350000000003</v>
      </c>
      <c r="AS3713" s="8"/>
      <c r="AT3713" s="8">
        <v>1023.26</v>
      </c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>
        <v>71.11</v>
      </c>
      <c r="BH3713" s="9">
        <f t="shared" si="513"/>
        <v>2691.83</v>
      </c>
      <c r="BI3713" s="9">
        <f t="shared" si="514"/>
        <v>21.27</v>
      </c>
      <c r="BJ3713" s="9">
        <f t="shared" si="515"/>
        <v>1.61</v>
      </c>
      <c r="BK3713" s="9">
        <f t="shared" si="516"/>
        <v>26.94</v>
      </c>
      <c r="BL3713" s="9">
        <f t="shared" si="517"/>
        <v>0</v>
      </c>
      <c r="BM3713" s="9">
        <f t="shared" si="518"/>
        <v>105.52273</v>
      </c>
      <c r="BN3713" s="9">
        <f t="shared" si="519"/>
        <v>1023.26</v>
      </c>
      <c r="BO3713" s="9">
        <f t="shared" si="520"/>
        <v>0</v>
      </c>
      <c r="BP3713" s="9">
        <f t="shared" si="521"/>
        <v>0</v>
      </c>
    </row>
    <row r="3714" spans="1:68">
      <c r="A3714" s="6">
        <v>45229</v>
      </c>
      <c r="B3714" s="7">
        <v>3031</v>
      </c>
      <c r="C3714" s="8"/>
      <c r="D3714" s="8"/>
      <c r="E3714" s="8"/>
      <c r="F3714" s="8"/>
      <c r="G3714" s="8"/>
      <c r="H3714" s="8"/>
      <c r="I3714" s="8">
        <v>1171.8</v>
      </c>
      <c r="J3714" s="8"/>
      <c r="K3714" s="8"/>
      <c r="L3714" s="8"/>
      <c r="M3714" s="8"/>
      <c r="N3714" s="8">
        <v>8.09</v>
      </c>
      <c r="O3714" s="8"/>
      <c r="P3714" s="8"/>
      <c r="Q3714" s="11"/>
      <c r="R3714" s="11"/>
      <c r="S3714" s="8">
        <v>0.82</v>
      </c>
      <c r="T3714" s="8"/>
      <c r="U3714" s="8"/>
      <c r="V3714" s="8"/>
      <c r="W3714" s="8">
        <v>11.73</v>
      </c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>
        <f>1769*9.77/1000</f>
        <v>17.28313</v>
      </c>
      <c r="AJ3714" s="8"/>
      <c r="AK3714" s="8"/>
      <c r="AL3714" s="8"/>
      <c r="AM3714" s="8"/>
      <c r="AN3714" s="8">
        <f>1216*9.77/1000</f>
        <v>11.880319999999999</v>
      </c>
      <c r="AO3714" s="8"/>
      <c r="AP3714" s="11"/>
      <c r="AQ3714" s="8"/>
      <c r="AR3714" s="8">
        <f>3640*9.77/1000</f>
        <v>35.562799999999996</v>
      </c>
      <c r="AS3714" s="8"/>
      <c r="AT3714" s="8">
        <v>558.35</v>
      </c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>
        <v>37.96</v>
      </c>
      <c r="BH3714" s="9">
        <f t="shared" si="513"/>
        <v>1171.8</v>
      </c>
      <c r="BI3714" s="9">
        <f t="shared" si="514"/>
        <v>8.09</v>
      </c>
      <c r="BJ3714" s="9">
        <f t="shared" si="515"/>
        <v>0.82</v>
      </c>
      <c r="BK3714" s="9">
        <f t="shared" si="516"/>
        <v>11.73</v>
      </c>
      <c r="BL3714" s="9">
        <f t="shared" si="517"/>
        <v>0</v>
      </c>
      <c r="BM3714" s="9">
        <f t="shared" si="518"/>
        <v>64.726249999999993</v>
      </c>
      <c r="BN3714" s="9">
        <f t="shared" si="519"/>
        <v>558.35</v>
      </c>
      <c r="BO3714" s="9">
        <f t="shared" si="520"/>
        <v>0</v>
      </c>
      <c r="BP3714" s="9">
        <f t="shared" si="521"/>
        <v>0</v>
      </c>
    </row>
    <row r="3715" spans="1:68">
      <c r="A3715" s="6">
        <v>45230</v>
      </c>
      <c r="B3715" s="7">
        <v>3701</v>
      </c>
      <c r="C3715" s="8">
        <v>372.89</v>
      </c>
      <c r="D3715" s="8"/>
      <c r="E3715" s="8"/>
      <c r="F3715" s="8"/>
      <c r="G3715" s="8"/>
      <c r="H3715" s="8"/>
      <c r="I3715" s="8"/>
      <c r="J3715" s="8">
        <f>48104*12.58/1000</f>
        <v>605.1483199999999</v>
      </c>
      <c r="K3715" s="8"/>
      <c r="L3715" s="8"/>
      <c r="M3715" s="8"/>
      <c r="N3715" s="8">
        <v>2.31</v>
      </c>
      <c r="O3715" s="8"/>
      <c r="P3715" s="8"/>
      <c r="Q3715" s="11"/>
      <c r="R3715" s="11"/>
      <c r="S3715" s="8">
        <v>2.72</v>
      </c>
      <c r="T3715" s="8"/>
      <c r="U3715" s="8">
        <v>6.05</v>
      </c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>
        <v>20.190000000000001</v>
      </c>
      <c r="AH3715" s="8"/>
      <c r="AI3715" s="8"/>
      <c r="AJ3715" s="8">
        <f>2459*12.58/1000</f>
        <v>30.93422</v>
      </c>
      <c r="AK3715" s="8"/>
      <c r="AL3715" s="8"/>
      <c r="AM3715" s="8"/>
      <c r="AN3715" s="8"/>
      <c r="AO3715" s="8"/>
      <c r="AP3715" s="11"/>
      <c r="AQ3715" s="8"/>
      <c r="AR3715" s="8"/>
      <c r="AS3715" s="8"/>
      <c r="AT3715" s="8"/>
      <c r="AU3715" s="8">
        <v>355.32</v>
      </c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>
        <v>24.25</v>
      </c>
      <c r="BH3715" s="9">
        <f t="shared" si="513"/>
        <v>978.03831999999989</v>
      </c>
      <c r="BI3715" s="9">
        <f t="shared" si="514"/>
        <v>2.31</v>
      </c>
      <c r="BJ3715" s="9">
        <f t="shared" si="515"/>
        <v>2.72</v>
      </c>
      <c r="BK3715" s="9">
        <f t="shared" si="516"/>
        <v>6.05</v>
      </c>
      <c r="BL3715" s="9">
        <f t="shared" si="517"/>
        <v>0</v>
      </c>
      <c r="BM3715" s="9">
        <f t="shared" si="518"/>
        <v>51.124220000000001</v>
      </c>
      <c r="BN3715" s="9">
        <f t="shared" si="519"/>
        <v>355.32</v>
      </c>
      <c r="BO3715" s="9">
        <f t="shared" si="520"/>
        <v>0</v>
      </c>
      <c r="BP3715" s="9">
        <f t="shared" si="521"/>
        <v>0</v>
      </c>
    </row>
    <row r="3716" spans="1:68">
      <c r="A3716" s="6">
        <v>45230</v>
      </c>
      <c r="B3716" s="7">
        <v>3020</v>
      </c>
      <c r="C3716" s="8"/>
      <c r="D3716" s="8">
        <v>171.52</v>
      </c>
      <c r="E3716" s="8"/>
      <c r="F3716" s="8"/>
      <c r="G3716" s="8"/>
      <c r="H3716" s="8"/>
      <c r="I3716" s="8">
        <v>968.74</v>
      </c>
      <c r="J3716" s="8"/>
      <c r="K3716" s="8"/>
      <c r="L3716" s="8"/>
      <c r="M3716" s="8"/>
      <c r="N3716" s="8">
        <v>6.96</v>
      </c>
      <c r="O3716" s="8"/>
      <c r="P3716" s="8"/>
      <c r="Q3716" s="11"/>
      <c r="R3716" s="11"/>
      <c r="S3716" s="8">
        <v>2.0499999999999998</v>
      </c>
      <c r="T3716" s="8"/>
      <c r="U3716" s="8"/>
      <c r="V3716" s="8"/>
      <c r="W3716" s="8">
        <v>11.41</v>
      </c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>
        <v>11.35</v>
      </c>
      <c r="AN3716" s="8"/>
      <c r="AO3716" s="8"/>
      <c r="AP3716" s="11"/>
      <c r="AQ3716" s="8"/>
      <c r="AR3716" s="8"/>
      <c r="AS3716" s="8">
        <f>3043*9.5/1000</f>
        <v>28.9085</v>
      </c>
      <c r="AT3716" s="8">
        <v>561.87</v>
      </c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>
        <v>41.02</v>
      </c>
      <c r="BH3716" s="9">
        <f t="shared" ref="BH3716:BH3779" si="522">SUM(C3716:L3716)</f>
        <v>1140.26</v>
      </c>
      <c r="BI3716" s="9">
        <f t="shared" ref="BI3716:BI3779" si="523">SUM(M3716:R3716)</f>
        <v>6.96</v>
      </c>
      <c r="BJ3716" s="9">
        <f t="shared" ref="BJ3716:BJ3779" si="524">SUM(S3716)</f>
        <v>2.0499999999999998</v>
      </c>
      <c r="BK3716" s="9">
        <f t="shared" ref="BK3716:BK3779" si="525">SUM(T3716:Y3716)</f>
        <v>11.41</v>
      </c>
      <c r="BL3716" s="9">
        <f t="shared" ref="BL3716:BL3779" si="526">SUM(Z3716:AA3716)</f>
        <v>0</v>
      </c>
      <c r="BM3716" s="9">
        <f t="shared" ref="BM3716:BM3779" si="527">SUM(AB3716:AS3716)</f>
        <v>40.258499999999998</v>
      </c>
      <c r="BN3716" s="9">
        <f t="shared" ref="BN3716:BN3779" si="528">SUM(AT3716:AU3716)</f>
        <v>561.87</v>
      </c>
      <c r="BO3716" s="9">
        <f t="shared" ref="BO3716:BO3779" si="529">SUM(AV3716:BE3716)</f>
        <v>0</v>
      </c>
      <c r="BP3716" s="9">
        <f t="shared" ref="BP3716:BP3779" si="530">SUM(BF3716)</f>
        <v>0</v>
      </c>
    </row>
    <row r="3717" spans="1:68">
      <c r="A3717" s="6">
        <v>45230</v>
      </c>
      <c r="B3717" s="7">
        <v>3022</v>
      </c>
      <c r="C3717" s="8"/>
      <c r="D3717" s="8">
        <v>318.39</v>
      </c>
      <c r="E3717" s="8"/>
      <c r="F3717" s="8"/>
      <c r="G3717" s="8"/>
      <c r="H3717" s="8"/>
      <c r="I3717" s="8">
        <v>262.76</v>
      </c>
      <c r="J3717" s="8"/>
      <c r="K3717" s="8"/>
      <c r="L3717" s="8"/>
      <c r="M3717" s="8"/>
      <c r="N3717" s="8">
        <v>2.91</v>
      </c>
      <c r="O3717" s="8"/>
      <c r="P3717" s="8"/>
      <c r="Q3717" s="11"/>
      <c r="R3717" s="11"/>
      <c r="S3717" s="8">
        <v>1.05</v>
      </c>
      <c r="T3717" s="8"/>
      <c r="U3717" s="8"/>
      <c r="V3717" s="8"/>
      <c r="W3717" s="8">
        <v>5.81</v>
      </c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>
        <v>7.53</v>
      </c>
      <c r="AN3717" s="8"/>
      <c r="AO3717" s="8"/>
      <c r="AP3717" s="11"/>
      <c r="AQ3717" s="8"/>
      <c r="AR3717" s="8"/>
      <c r="AS3717" s="8">
        <f>3866*5.3/1000</f>
        <v>20.489799999999999</v>
      </c>
      <c r="AT3717" s="8">
        <v>272.63</v>
      </c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>
        <v>20.93</v>
      </c>
      <c r="BH3717" s="9">
        <f t="shared" si="522"/>
        <v>581.15</v>
      </c>
      <c r="BI3717" s="9">
        <f t="shared" si="523"/>
        <v>2.91</v>
      </c>
      <c r="BJ3717" s="9">
        <f t="shared" si="524"/>
        <v>1.05</v>
      </c>
      <c r="BK3717" s="9">
        <f t="shared" si="525"/>
        <v>5.81</v>
      </c>
      <c r="BL3717" s="9">
        <f t="shared" si="526"/>
        <v>0</v>
      </c>
      <c r="BM3717" s="9">
        <f t="shared" si="527"/>
        <v>28.0198</v>
      </c>
      <c r="BN3717" s="9">
        <f t="shared" si="528"/>
        <v>272.63</v>
      </c>
      <c r="BO3717" s="9">
        <f t="shared" si="529"/>
        <v>0</v>
      </c>
      <c r="BP3717" s="9">
        <f t="shared" si="530"/>
        <v>0</v>
      </c>
    </row>
    <row r="3718" spans="1:68">
      <c r="A3718" s="6">
        <v>45230</v>
      </c>
      <c r="B3718" s="7">
        <v>3023</v>
      </c>
      <c r="C3718" s="8"/>
      <c r="D3718" s="8">
        <v>900.26</v>
      </c>
      <c r="E3718" s="8"/>
      <c r="F3718" s="8"/>
      <c r="G3718" s="8"/>
      <c r="H3718" s="8"/>
      <c r="I3718" s="8">
        <v>484.99</v>
      </c>
      <c r="J3718" s="8"/>
      <c r="K3718" s="8"/>
      <c r="L3718" s="8"/>
      <c r="M3718" s="8"/>
      <c r="N3718" s="8">
        <v>7.75</v>
      </c>
      <c r="O3718" s="8"/>
      <c r="P3718" s="8"/>
      <c r="Q3718" s="11"/>
      <c r="R3718" s="11"/>
      <c r="S3718" s="8">
        <v>2.21</v>
      </c>
      <c r="T3718" s="8"/>
      <c r="U3718" s="8"/>
      <c r="V3718" s="8"/>
      <c r="W3718" s="8">
        <v>12.47</v>
      </c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>
        <v>13.86</v>
      </c>
      <c r="AN3718" s="8">
        <f>1035*9.53/1000</f>
        <v>9.86355</v>
      </c>
      <c r="AO3718" s="8"/>
      <c r="AP3718" s="11"/>
      <c r="AQ3718" s="8"/>
      <c r="AR3718" s="8"/>
      <c r="AS3718" s="8">
        <f>4812*9.53/1000</f>
        <v>45.85835999999999</v>
      </c>
      <c r="AT3718" s="8">
        <v>567.39</v>
      </c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>
        <v>42.87</v>
      </c>
      <c r="BH3718" s="9">
        <f t="shared" si="522"/>
        <v>1385.25</v>
      </c>
      <c r="BI3718" s="9">
        <f t="shared" si="523"/>
        <v>7.75</v>
      </c>
      <c r="BJ3718" s="9">
        <f t="shared" si="524"/>
        <v>2.21</v>
      </c>
      <c r="BK3718" s="9">
        <f t="shared" si="525"/>
        <v>12.47</v>
      </c>
      <c r="BL3718" s="9">
        <f t="shared" si="526"/>
        <v>0</v>
      </c>
      <c r="BM3718" s="9">
        <f t="shared" si="527"/>
        <v>69.581909999999993</v>
      </c>
      <c r="BN3718" s="9">
        <f t="shared" si="528"/>
        <v>567.39</v>
      </c>
      <c r="BO3718" s="9">
        <f t="shared" si="529"/>
        <v>0</v>
      </c>
      <c r="BP3718" s="9">
        <f t="shared" si="530"/>
        <v>0</v>
      </c>
    </row>
    <row r="3719" spans="1:68">
      <c r="A3719" s="6">
        <v>45230</v>
      </c>
      <c r="B3719" s="7">
        <v>3028</v>
      </c>
      <c r="C3719" s="8"/>
      <c r="D3719" s="8">
        <v>391.23</v>
      </c>
      <c r="E3719" s="8"/>
      <c r="F3719" s="8">
        <v>358.03</v>
      </c>
      <c r="G3719" s="8"/>
      <c r="H3719" s="8"/>
      <c r="I3719" s="8">
        <v>809.07</v>
      </c>
      <c r="J3719" s="8"/>
      <c r="K3719" s="8"/>
      <c r="L3719" s="8"/>
      <c r="M3719" s="8"/>
      <c r="N3719" s="8">
        <v>11.99</v>
      </c>
      <c r="O3719" s="8"/>
      <c r="P3719" s="8"/>
      <c r="Q3719" s="11"/>
      <c r="R3719" s="11"/>
      <c r="S3719" s="8">
        <v>2.1800000000000002</v>
      </c>
      <c r="T3719" s="8"/>
      <c r="U3719" s="8"/>
      <c r="V3719" s="8"/>
      <c r="W3719" s="8">
        <v>11.68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>
        <v>15.58</v>
      </c>
      <c r="AN3719" s="8">
        <f>1054*10.38/1000</f>
        <v>10.940520000000001</v>
      </c>
      <c r="AO3719" s="8"/>
      <c r="AP3719" s="11"/>
      <c r="AQ3719" s="8"/>
      <c r="AR3719" s="8"/>
      <c r="AS3719" s="8">
        <f>4946*10.38/1000</f>
        <v>51.339480000000002</v>
      </c>
      <c r="AT3719" s="8">
        <v>520.37</v>
      </c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>
        <v>35.44</v>
      </c>
      <c r="BH3719" s="9">
        <f t="shared" si="522"/>
        <v>1558.33</v>
      </c>
      <c r="BI3719" s="9">
        <f t="shared" si="523"/>
        <v>11.99</v>
      </c>
      <c r="BJ3719" s="9">
        <f t="shared" si="524"/>
        <v>2.1800000000000002</v>
      </c>
      <c r="BK3719" s="9">
        <f t="shared" si="525"/>
        <v>11.68</v>
      </c>
      <c r="BL3719" s="9">
        <f t="shared" si="526"/>
        <v>0</v>
      </c>
      <c r="BM3719" s="9">
        <f t="shared" si="527"/>
        <v>77.86</v>
      </c>
      <c r="BN3719" s="9">
        <f t="shared" si="528"/>
        <v>520.37</v>
      </c>
      <c r="BO3719" s="9">
        <f t="shared" si="529"/>
        <v>0</v>
      </c>
      <c r="BP3719" s="9">
        <f t="shared" si="530"/>
        <v>0</v>
      </c>
    </row>
    <row r="3720" spans="1:68">
      <c r="A3720" s="6">
        <v>45230</v>
      </c>
      <c r="B3720" s="7">
        <v>3083</v>
      </c>
      <c r="C3720" s="8"/>
      <c r="D3720" s="8">
        <v>1084.6600000000001</v>
      </c>
      <c r="E3720" s="8"/>
      <c r="F3720" s="8"/>
      <c r="G3720" s="8"/>
      <c r="H3720" s="8"/>
      <c r="I3720" s="8">
        <v>2534.58</v>
      </c>
      <c r="J3720" s="8"/>
      <c r="K3720" s="8"/>
      <c r="L3720" s="8"/>
      <c r="M3720" s="8"/>
      <c r="N3720" s="8">
        <v>23.2</v>
      </c>
      <c r="O3720" s="8"/>
      <c r="P3720" s="8"/>
      <c r="Q3720" s="11"/>
      <c r="R3720" s="11"/>
      <c r="S3720" s="8">
        <v>2.5299999999999998</v>
      </c>
      <c r="T3720" s="8"/>
      <c r="U3720" s="8"/>
      <c r="V3720" s="8"/>
      <c r="W3720" s="8">
        <v>28.99</v>
      </c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>
        <v>14.47</v>
      </c>
      <c r="AN3720" s="8">
        <f>1920*26.83/1000</f>
        <v>51.513599999999997</v>
      </c>
      <c r="AO3720" s="8"/>
      <c r="AP3720" s="11"/>
      <c r="AQ3720" s="8"/>
      <c r="AR3720" s="8">
        <f>3459*26.83/1000</f>
        <v>92.804969999999997</v>
      </c>
      <c r="AS3720" s="8"/>
      <c r="AT3720" s="8">
        <v>1703.14</v>
      </c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>
        <v>135.1</v>
      </c>
      <c r="BH3720" s="9">
        <f t="shared" si="522"/>
        <v>3619.24</v>
      </c>
      <c r="BI3720" s="9">
        <f t="shared" si="523"/>
        <v>23.2</v>
      </c>
      <c r="BJ3720" s="9">
        <f t="shared" si="524"/>
        <v>2.5299999999999998</v>
      </c>
      <c r="BK3720" s="9">
        <f t="shared" si="525"/>
        <v>28.99</v>
      </c>
      <c r="BL3720" s="9">
        <f t="shared" si="526"/>
        <v>0</v>
      </c>
      <c r="BM3720" s="9">
        <f t="shared" si="527"/>
        <v>158.78856999999999</v>
      </c>
      <c r="BN3720" s="9">
        <f t="shared" si="528"/>
        <v>1703.14</v>
      </c>
      <c r="BO3720" s="9">
        <f t="shared" si="529"/>
        <v>0</v>
      </c>
      <c r="BP3720" s="9">
        <f t="shared" si="530"/>
        <v>0</v>
      </c>
    </row>
    <row r="3721" spans="1:68">
      <c r="A3721" s="6">
        <v>45231</v>
      </c>
      <c r="B3721" s="7">
        <v>3141</v>
      </c>
      <c r="C3721" s="8">
        <v>2398.4899999999998</v>
      </c>
      <c r="D3721" s="8">
        <v>423.32</v>
      </c>
      <c r="E3721" s="8"/>
      <c r="F3721" s="8"/>
      <c r="G3721" s="8"/>
      <c r="H3721" s="8"/>
      <c r="I3721" s="8"/>
      <c r="J3721" s="8"/>
      <c r="K3721" s="8"/>
      <c r="L3721" s="8"/>
      <c r="M3721" s="8">
        <v>8.6999999999999993</v>
      </c>
      <c r="N3721" s="8"/>
      <c r="O3721" s="8"/>
      <c r="P3721" s="8"/>
      <c r="Q3721" s="11"/>
      <c r="R3721" s="11"/>
      <c r="S3721" s="8">
        <v>13.28</v>
      </c>
      <c r="T3721" s="8"/>
      <c r="U3721" s="8">
        <v>42.35</v>
      </c>
      <c r="V3721" s="8"/>
      <c r="W3721" s="8"/>
      <c r="X3721" s="8"/>
      <c r="Y3721" s="8"/>
      <c r="Z3721" s="8"/>
      <c r="AA3721" s="8"/>
      <c r="AB3721" s="8"/>
      <c r="AC3721" s="8">
        <v>11.3</v>
      </c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11"/>
      <c r="AQ3721" s="8"/>
      <c r="AR3721" s="8"/>
      <c r="AS3721" s="8"/>
      <c r="AT3721" s="8">
        <v>1861.44</v>
      </c>
      <c r="AU3721" s="8"/>
      <c r="AV3721" s="8"/>
      <c r="AW3721" s="8"/>
      <c r="AX3721" s="8"/>
      <c r="AY3721" s="8"/>
      <c r="AZ3721" s="8"/>
      <c r="BA3721" s="8">
        <v>64.72</v>
      </c>
      <c r="BB3721" s="8"/>
      <c r="BC3721" s="8"/>
      <c r="BD3721" s="8"/>
      <c r="BE3721" s="8"/>
      <c r="BF3721" s="8">
        <v>197.57</v>
      </c>
      <c r="BG3721" s="8">
        <v>146.84</v>
      </c>
      <c r="BH3721" s="9">
        <f t="shared" si="522"/>
        <v>2821.81</v>
      </c>
      <c r="BI3721" s="9">
        <f t="shared" si="523"/>
        <v>8.6999999999999993</v>
      </c>
      <c r="BJ3721" s="9">
        <f t="shared" si="524"/>
        <v>13.28</v>
      </c>
      <c r="BK3721" s="9">
        <f t="shared" si="525"/>
        <v>42.35</v>
      </c>
      <c r="BL3721" s="9">
        <f t="shared" si="526"/>
        <v>0</v>
      </c>
      <c r="BM3721" s="9">
        <f t="shared" si="527"/>
        <v>11.3</v>
      </c>
      <c r="BN3721" s="9">
        <f t="shared" si="528"/>
        <v>1861.44</v>
      </c>
      <c r="BO3721" s="9">
        <f t="shared" si="529"/>
        <v>64.72</v>
      </c>
      <c r="BP3721" s="9">
        <f t="shared" si="530"/>
        <v>197.57</v>
      </c>
    </row>
    <row r="3722" spans="1:68">
      <c r="A3722" s="6">
        <v>45231</v>
      </c>
      <c r="B3722" s="7">
        <v>3136</v>
      </c>
      <c r="C3722" s="8">
        <v>1272.8499999999999</v>
      </c>
      <c r="D3722" s="8"/>
      <c r="E3722" s="8"/>
      <c r="F3722" s="8"/>
      <c r="G3722" s="8"/>
      <c r="H3722" s="8">
        <v>527.58000000000004</v>
      </c>
      <c r="I3722" s="8"/>
      <c r="J3722" s="8"/>
      <c r="K3722" s="8"/>
      <c r="L3722" s="8"/>
      <c r="M3722" s="8">
        <v>2.4</v>
      </c>
      <c r="N3722" s="8"/>
      <c r="O3722" s="8"/>
      <c r="P3722" s="8"/>
      <c r="Q3722" s="11"/>
      <c r="R3722" s="11"/>
      <c r="S3722" s="8">
        <v>6.74</v>
      </c>
      <c r="T3722" s="8"/>
      <c r="U3722" s="8">
        <v>20.36</v>
      </c>
      <c r="V3722" s="8"/>
      <c r="W3722" s="8"/>
      <c r="X3722" s="8"/>
      <c r="Y3722" s="8"/>
      <c r="Z3722" s="8"/>
      <c r="AA3722" s="8"/>
      <c r="AB3722" s="8"/>
      <c r="AC3722" s="8">
        <v>6.26</v>
      </c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11"/>
      <c r="AQ3722" s="8"/>
      <c r="AR3722" s="8"/>
      <c r="AS3722" s="8"/>
      <c r="AT3722" s="8">
        <v>1017.68</v>
      </c>
      <c r="AU3722" s="8"/>
      <c r="AV3722" s="8"/>
      <c r="AW3722" s="8"/>
      <c r="AX3722" s="8"/>
      <c r="AY3722" s="8"/>
      <c r="AZ3722" s="8"/>
      <c r="BA3722" s="8">
        <v>15.55</v>
      </c>
      <c r="BB3722" s="8"/>
      <c r="BC3722" s="8"/>
      <c r="BD3722" s="8"/>
      <c r="BE3722" s="8"/>
      <c r="BF3722" s="8">
        <v>62.75</v>
      </c>
      <c r="BG3722" s="8">
        <v>76.55</v>
      </c>
      <c r="BH3722" s="9">
        <f t="shared" si="522"/>
        <v>1800.4299999999998</v>
      </c>
      <c r="BI3722" s="9">
        <f t="shared" si="523"/>
        <v>2.4</v>
      </c>
      <c r="BJ3722" s="9">
        <f t="shared" si="524"/>
        <v>6.74</v>
      </c>
      <c r="BK3722" s="9">
        <f t="shared" si="525"/>
        <v>20.36</v>
      </c>
      <c r="BL3722" s="9">
        <f t="shared" si="526"/>
        <v>0</v>
      </c>
      <c r="BM3722" s="9">
        <f t="shared" si="527"/>
        <v>6.26</v>
      </c>
      <c r="BN3722" s="9">
        <f t="shared" si="528"/>
        <v>1017.68</v>
      </c>
      <c r="BO3722" s="9">
        <f t="shared" si="529"/>
        <v>15.55</v>
      </c>
      <c r="BP3722" s="9">
        <f t="shared" si="530"/>
        <v>62.75</v>
      </c>
    </row>
    <row r="3723" spans="1:68">
      <c r="A3723" s="6">
        <v>45231</v>
      </c>
      <c r="B3723" s="7">
        <v>3108</v>
      </c>
      <c r="C3723" s="8">
        <v>2271.41</v>
      </c>
      <c r="D3723" s="8"/>
      <c r="E3723" s="8"/>
      <c r="F3723" s="8"/>
      <c r="G3723" s="8"/>
      <c r="H3723" s="8"/>
      <c r="I3723" s="8"/>
      <c r="J3723" s="8"/>
      <c r="K3723" s="8"/>
      <c r="L3723" s="8"/>
      <c r="M3723" s="8">
        <v>5.68</v>
      </c>
      <c r="N3723" s="8"/>
      <c r="O3723" s="8"/>
      <c r="P3723" s="8"/>
      <c r="Q3723" s="11"/>
      <c r="R3723" s="11"/>
      <c r="S3723" s="8">
        <v>7.26</v>
      </c>
      <c r="T3723" s="8"/>
      <c r="U3723" s="8">
        <v>28.86</v>
      </c>
      <c r="V3723" s="8"/>
      <c r="W3723" s="8"/>
      <c r="X3723" s="8"/>
      <c r="Y3723" s="8"/>
      <c r="Z3723" s="8"/>
      <c r="AA3723" s="8"/>
      <c r="AB3723" s="8"/>
      <c r="AC3723" s="8">
        <v>9.08</v>
      </c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11"/>
      <c r="AQ3723" s="8"/>
      <c r="AR3723" s="8"/>
      <c r="AS3723" s="8"/>
      <c r="AT3723" s="8">
        <v>1233.5999999999999</v>
      </c>
      <c r="AU3723" s="8"/>
      <c r="AV3723" s="8"/>
      <c r="AW3723" s="8"/>
      <c r="AX3723" s="8"/>
      <c r="AY3723" s="8"/>
      <c r="AZ3723" s="8"/>
      <c r="BA3723" s="8">
        <v>84.53</v>
      </c>
      <c r="BB3723" s="8"/>
      <c r="BC3723" s="8"/>
      <c r="BD3723" s="8"/>
      <c r="BE3723" s="8"/>
      <c r="BF3723" s="8"/>
      <c r="BG3723" s="8">
        <v>91.92</v>
      </c>
      <c r="BH3723" s="9">
        <f t="shared" si="522"/>
        <v>2271.41</v>
      </c>
      <c r="BI3723" s="9">
        <f t="shared" si="523"/>
        <v>5.68</v>
      </c>
      <c r="BJ3723" s="9">
        <f t="shared" si="524"/>
        <v>7.26</v>
      </c>
      <c r="BK3723" s="9">
        <f t="shared" si="525"/>
        <v>28.86</v>
      </c>
      <c r="BL3723" s="9">
        <f t="shared" si="526"/>
        <v>0</v>
      </c>
      <c r="BM3723" s="9">
        <f t="shared" si="527"/>
        <v>9.08</v>
      </c>
      <c r="BN3723" s="9">
        <f t="shared" si="528"/>
        <v>1233.5999999999999</v>
      </c>
      <c r="BO3723" s="9">
        <f t="shared" si="529"/>
        <v>84.53</v>
      </c>
      <c r="BP3723" s="9">
        <f t="shared" si="530"/>
        <v>0</v>
      </c>
    </row>
    <row r="3724" spans="1:68">
      <c r="A3724" s="6">
        <v>45231</v>
      </c>
      <c r="B3724" s="7">
        <v>3106</v>
      </c>
      <c r="C3724" s="8">
        <v>6145.31</v>
      </c>
      <c r="D3724" s="8"/>
      <c r="E3724" s="8"/>
      <c r="F3724" s="8"/>
      <c r="G3724" s="8"/>
      <c r="H3724" s="8"/>
      <c r="I3724" s="8"/>
      <c r="J3724" s="8"/>
      <c r="K3724" s="8"/>
      <c r="L3724" s="8"/>
      <c r="M3724" s="8">
        <v>16.53</v>
      </c>
      <c r="N3724" s="8"/>
      <c r="O3724" s="8"/>
      <c r="P3724" s="8"/>
      <c r="Q3724" s="11"/>
      <c r="R3724" s="11"/>
      <c r="S3724" s="8">
        <v>18.45</v>
      </c>
      <c r="T3724" s="8"/>
      <c r="U3724" s="8">
        <v>78.069999999999993</v>
      </c>
      <c r="V3724" s="8"/>
      <c r="W3724" s="8"/>
      <c r="X3724" s="8"/>
      <c r="Y3724" s="8"/>
      <c r="Z3724" s="8"/>
      <c r="AA3724" s="8"/>
      <c r="AB3724" s="8"/>
      <c r="AC3724" s="8">
        <v>15.35</v>
      </c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11"/>
      <c r="AQ3724" s="8"/>
      <c r="AR3724" s="8"/>
      <c r="AS3724" s="8"/>
      <c r="AT3724" s="8">
        <v>3497.59</v>
      </c>
      <c r="AU3724" s="8"/>
      <c r="AV3724" s="8"/>
      <c r="AW3724" s="8"/>
      <c r="AX3724" s="8">
        <v>7.68</v>
      </c>
      <c r="AY3724" s="8"/>
      <c r="AZ3724" s="8"/>
      <c r="BA3724" s="8"/>
      <c r="BB3724" s="8"/>
      <c r="BC3724" s="8"/>
      <c r="BD3724" s="8"/>
      <c r="BE3724" s="8"/>
      <c r="BF3724" s="8"/>
      <c r="BG3724" s="8">
        <v>263.74</v>
      </c>
      <c r="BH3724" s="9">
        <f t="shared" si="522"/>
        <v>6145.31</v>
      </c>
      <c r="BI3724" s="9">
        <f t="shared" si="523"/>
        <v>16.53</v>
      </c>
      <c r="BJ3724" s="9">
        <f t="shared" si="524"/>
        <v>18.45</v>
      </c>
      <c r="BK3724" s="9">
        <f t="shared" si="525"/>
        <v>78.069999999999993</v>
      </c>
      <c r="BL3724" s="9">
        <f t="shared" si="526"/>
        <v>0</v>
      </c>
      <c r="BM3724" s="9">
        <f t="shared" si="527"/>
        <v>15.35</v>
      </c>
      <c r="BN3724" s="9">
        <f t="shared" si="528"/>
        <v>3497.59</v>
      </c>
      <c r="BO3724" s="9">
        <f t="shared" si="529"/>
        <v>7.68</v>
      </c>
      <c r="BP3724" s="9">
        <f t="shared" si="530"/>
        <v>0</v>
      </c>
    </row>
    <row r="3725" spans="1:68">
      <c r="A3725" s="6">
        <v>45231</v>
      </c>
      <c r="B3725" s="7">
        <v>3204</v>
      </c>
      <c r="C3725" s="8"/>
      <c r="D3725" s="8">
        <v>1781.31</v>
      </c>
      <c r="E3725" s="8">
        <v>762.86</v>
      </c>
      <c r="F3725" s="8"/>
      <c r="G3725" s="8"/>
      <c r="H3725" s="8"/>
      <c r="I3725" s="8"/>
      <c r="J3725" s="8"/>
      <c r="K3725" s="8"/>
      <c r="L3725" s="8"/>
      <c r="M3725" s="8"/>
      <c r="N3725" s="8"/>
      <c r="O3725" s="8">
        <v>12.72</v>
      </c>
      <c r="P3725" s="8"/>
      <c r="Q3725" s="11"/>
      <c r="R3725" s="11"/>
      <c r="S3725" s="8">
        <v>8.64</v>
      </c>
      <c r="T3725" s="8"/>
      <c r="U3725" s="8">
        <v>28.01</v>
      </c>
      <c r="V3725" s="8"/>
      <c r="W3725" s="8"/>
      <c r="X3725" s="8"/>
      <c r="Y3725" s="8"/>
      <c r="Z3725" s="8">
        <v>381.67</v>
      </c>
      <c r="AA3725" s="8"/>
      <c r="AB3725" s="8">
        <f>718*18.17/1000</f>
        <v>13.046060000000001</v>
      </c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11"/>
      <c r="AQ3725" s="8"/>
      <c r="AR3725" s="8"/>
      <c r="AS3725" s="8"/>
      <c r="AT3725" s="8">
        <v>1120.98</v>
      </c>
      <c r="AU3725" s="8"/>
      <c r="AV3725" s="8"/>
      <c r="AW3725" s="8">
        <v>8.1199999999999992</v>
      </c>
      <c r="AX3725" s="8"/>
      <c r="AY3725" s="8"/>
      <c r="AZ3725" s="8"/>
      <c r="BA3725" s="8"/>
      <c r="BB3725" s="8"/>
      <c r="BC3725" s="8"/>
      <c r="BD3725" s="8"/>
      <c r="BE3725" s="8"/>
      <c r="BF3725" s="8"/>
      <c r="BG3725" s="8">
        <v>82.73</v>
      </c>
      <c r="BH3725" s="9">
        <f t="shared" si="522"/>
        <v>2544.17</v>
      </c>
      <c r="BI3725" s="9">
        <f t="shared" si="523"/>
        <v>12.72</v>
      </c>
      <c r="BJ3725" s="9">
        <f t="shared" si="524"/>
        <v>8.64</v>
      </c>
      <c r="BK3725" s="9">
        <f t="shared" si="525"/>
        <v>28.01</v>
      </c>
      <c r="BL3725" s="9">
        <f t="shared" si="526"/>
        <v>381.67</v>
      </c>
      <c r="BM3725" s="9">
        <f t="shared" si="527"/>
        <v>13.046060000000001</v>
      </c>
      <c r="BN3725" s="9">
        <f t="shared" si="528"/>
        <v>1120.98</v>
      </c>
      <c r="BO3725" s="9">
        <f t="shared" si="529"/>
        <v>8.1199999999999992</v>
      </c>
      <c r="BP3725" s="9">
        <f t="shared" si="530"/>
        <v>0</v>
      </c>
    </row>
    <row r="3726" spans="1:68">
      <c r="A3726" s="6">
        <v>45231</v>
      </c>
      <c r="B3726" s="7">
        <v>3601</v>
      </c>
      <c r="C3726" s="8">
        <v>291.89999999999998</v>
      </c>
      <c r="D3726" s="8"/>
      <c r="E3726" s="8"/>
      <c r="F3726" s="8"/>
      <c r="G3726" s="8">
        <v>438</v>
      </c>
      <c r="H3726" s="8"/>
      <c r="I3726" s="8"/>
      <c r="J3726" s="8"/>
      <c r="K3726" s="8"/>
      <c r="L3726" s="8"/>
      <c r="M3726" s="8">
        <v>0.88</v>
      </c>
      <c r="N3726" s="8"/>
      <c r="O3726" s="8"/>
      <c r="P3726" s="8"/>
      <c r="Q3726" s="11"/>
      <c r="R3726" s="11"/>
      <c r="S3726" s="8">
        <v>3.51</v>
      </c>
      <c r="T3726" s="8"/>
      <c r="U3726" s="8">
        <v>4.3899999999999997</v>
      </c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11"/>
      <c r="AQ3726" s="8"/>
      <c r="AR3726" s="8"/>
      <c r="AS3726" s="8"/>
      <c r="AT3726" s="8">
        <v>358.06</v>
      </c>
      <c r="AU3726" s="8"/>
      <c r="AV3726" s="8"/>
      <c r="AW3726" s="8">
        <v>22.23</v>
      </c>
      <c r="AX3726" s="8"/>
      <c r="AY3726" s="8"/>
      <c r="AZ3726" s="8"/>
      <c r="BA3726" s="8"/>
      <c r="BB3726" s="8"/>
      <c r="BC3726" s="8"/>
      <c r="BD3726" s="8"/>
      <c r="BE3726" s="8"/>
      <c r="BF3726" s="8">
        <v>40.94</v>
      </c>
      <c r="BG3726" s="8">
        <v>26.06</v>
      </c>
      <c r="BH3726" s="9">
        <f t="shared" si="522"/>
        <v>729.9</v>
      </c>
      <c r="BI3726" s="9">
        <f t="shared" si="523"/>
        <v>0.88</v>
      </c>
      <c r="BJ3726" s="9">
        <f t="shared" si="524"/>
        <v>3.51</v>
      </c>
      <c r="BK3726" s="9">
        <f t="shared" si="525"/>
        <v>4.3899999999999997</v>
      </c>
      <c r="BL3726" s="9">
        <f t="shared" si="526"/>
        <v>0</v>
      </c>
      <c r="BM3726" s="9">
        <f t="shared" si="527"/>
        <v>0</v>
      </c>
      <c r="BN3726" s="9">
        <f t="shared" si="528"/>
        <v>358.06</v>
      </c>
      <c r="BO3726" s="9">
        <f t="shared" si="529"/>
        <v>22.23</v>
      </c>
      <c r="BP3726" s="9">
        <f t="shared" si="530"/>
        <v>40.94</v>
      </c>
    </row>
    <row r="3727" spans="1:68">
      <c r="A3727" s="6">
        <v>45231</v>
      </c>
      <c r="B3727" s="7">
        <v>3602</v>
      </c>
      <c r="C3727" s="8">
        <v>554.34</v>
      </c>
      <c r="D3727" s="8"/>
      <c r="E3727" s="8"/>
      <c r="F3727" s="8"/>
      <c r="G3727" s="8">
        <v>831.06</v>
      </c>
      <c r="H3727" s="8"/>
      <c r="I3727" s="8"/>
      <c r="J3727" s="8"/>
      <c r="K3727" s="8"/>
      <c r="L3727" s="8"/>
      <c r="M3727" s="8">
        <v>1.65</v>
      </c>
      <c r="N3727" s="8"/>
      <c r="O3727" s="8"/>
      <c r="P3727" s="8"/>
      <c r="Q3727" s="11"/>
      <c r="R3727" s="11"/>
      <c r="S3727" s="8">
        <v>6.65</v>
      </c>
      <c r="T3727" s="8"/>
      <c r="U3727" s="8">
        <v>11.08</v>
      </c>
      <c r="V3727" s="8">
        <f>859*15.85/1000</f>
        <v>13.61515</v>
      </c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11"/>
      <c r="AQ3727" s="8"/>
      <c r="AR3727" s="8"/>
      <c r="AS3727" s="8"/>
      <c r="AT3727" s="8">
        <v>559.38</v>
      </c>
      <c r="AU3727" s="8"/>
      <c r="AV3727" s="8"/>
      <c r="AW3727" s="8">
        <v>35.82</v>
      </c>
      <c r="AX3727" s="8"/>
      <c r="AY3727" s="8"/>
      <c r="AZ3727" s="8"/>
      <c r="BA3727" s="8"/>
      <c r="BB3727" s="8"/>
      <c r="BC3727" s="8"/>
      <c r="BD3727" s="8"/>
      <c r="BE3727" s="8"/>
      <c r="BF3727" s="8">
        <v>44.42</v>
      </c>
      <c r="BG3727" s="8">
        <v>41.72</v>
      </c>
      <c r="BH3727" s="9">
        <f t="shared" si="522"/>
        <v>1385.4</v>
      </c>
      <c r="BI3727" s="9">
        <f t="shared" si="523"/>
        <v>1.65</v>
      </c>
      <c r="BJ3727" s="9">
        <f t="shared" si="524"/>
        <v>6.65</v>
      </c>
      <c r="BK3727" s="9">
        <f t="shared" si="525"/>
        <v>24.695149999999998</v>
      </c>
      <c r="BL3727" s="9">
        <f t="shared" si="526"/>
        <v>0</v>
      </c>
      <c r="BM3727" s="9">
        <f t="shared" si="527"/>
        <v>0</v>
      </c>
      <c r="BN3727" s="9">
        <f t="shared" si="528"/>
        <v>559.38</v>
      </c>
      <c r="BO3727" s="9">
        <f t="shared" si="529"/>
        <v>35.82</v>
      </c>
      <c r="BP3727" s="9">
        <f t="shared" si="530"/>
        <v>44.42</v>
      </c>
    </row>
    <row r="3728" spans="1:68">
      <c r="A3728" s="6">
        <v>45232</v>
      </c>
      <c r="B3728" s="7">
        <v>3139</v>
      </c>
      <c r="C3728" s="8">
        <v>950.65</v>
      </c>
      <c r="D3728" s="8"/>
      <c r="E3728" s="8"/>
      <c r="F3728" s="8"/>
      <c r="G3728" s="8"/>
      <c r="H3728" s="8">
        <v>394.79</v>
      </c>
      <c r="I3728" s="8"/>
      <c r="J3728" s="8"/>
      <c r="K3728" s="8"/>
      <c r="L3728" s="8"/>
      <c r="M3728" s="8">
        <v>2.2200000000000002</v>
      </c>
      <c r="N3728" s="8"/>
      <c r="O3728" s="8"/>
      <c r="P3728" s="8"/>
      <c r="Q3728" s="11"/>
      <c r="R3728" s="11"/>
      <c r="S3728" s="8">
        <v>4.21</v>
      </c>
      <c r="T3728" s="8"/>
      <c r="U3728" s="8">
        <v>14.06</v>
      </c>
      <c r="V3728" s="8"/>
      <c r="W3728" s="8"/>
      <c r="X3728" s="8"/>
      <c r="Y3728" s="8"/>
      <c r="Z3728" s="8"/>
      <c r="AA3728" s="8"/>
      <c r="AB3728" s="8"/>
      <c r="AC3728" s="8">
        <v>4.68</v>
      </c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11"/>
      <c r="AQ3728" s="8"/>
      <c r="AR3728" s="8"/>
      <c r="AS3728" s="8"/>
      <c r="AT3728" s="8">
        <v>690.6</v>
      </c>
      <c r="AU3728" s="8"/>
      <c r="AV3728" s="8">
        <v>23.41</v>
      </c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>
        <v>50.33</v>
      </c>
      <c r="BH3728" s="9">
        <f t="shared" si="522"/>
        <v>1345.44</v>
      </c>
      <c r="BI3728" s="9">
        <f t="shared" si="523"/>
        <v>2.2200000000000002</v>
      </c>
      <c r="BJ3728" s="9">
        <f t="shared" si="524"/>
        <v>4.21</v>
      </c>
      <c r="BK3728" s="9">
        <f t="shared" si="525"/>
        <v>14.06</v>
      </c>
      <c r="BL3728" s="9">
        <f t="shared" si="526"/>
        <v>0</v>
      </c>
      <c r="BM3728" s="9">
        <f t="shared" si="527"/>
        <v>4.68</v>
      </c>
      <c r="BN3728" s="9">
        <f t="shared" si="528"/>
        <v>690.6</v>
      </c>
      <c r="BO3728" s="9">
        <f t="shared" si="529"/>
        <v>23.41</v>
      </c>
      <c r="BP3728" s="9">
        <f t="shared" si="530"/>
        <v>0</v>
      </c>
    </row>
    <row r="3729" spans="1:68">
      <c r="A3729" s="6">
        <v>45232</v>
      </c>
      <c r="B3729" s="7">
        <v>3117</v>
      </c>
      <c r="C3729" s="8">
        <v>810.97</v>
      </c>
      <c r="D3729" s="8"/>
      <c r="E3729" s="8"/>
      <c r="F3729" s="8"/>
      <c r="G3729" s="8"/>
      <c r="H3729" s="8"/>
      <c r="I3729" s="8"/>
      <c r="J3729" s="8"/>
      <c r="K3729" s="8"/>
      <c r="L3729" s="8"/>
      <c r="M3729" s="8">
        <v>2.39</v>
      </c>
      <c r="N3729" s="8"/>
      <c r="O3729" s="8"/>
      <c r="P3729" s="8"/>
      <c r="Q3729" s="11"/>
      <c r="R3729" s="11"/>
      <c r="S3729" s="8">
        <v>3.23</v>
      </c>
      <c r="T3729" s="8"/>
      <c r="U3729" s="8">
        <v>8.1199999999999992</v>
      </c>
      <c r="V3729" s="8"/>
      <c r="W3729" s="8"/>
      <c r="X3729" s="8"/>
      <c r="Y3729" s="8"/>
      <c r="Z3729" s="8"/>
      <c r="AA3729" s="8"/>
      <c r="AB3729" s="8"/>
      <c r="AC3729" s="8">
        <v>3.25</v>
      </c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11"/>
      <c r="AQ3729" s="8"/>
      <c r="AR3729" s="8"/>
      <c r="AS3729" s="8"/>
      <c r="AT3729" s="8">
        <v>510.95</v>
      </c>
      <c r="AU3729" s="8"/>
      <c r="AV3729" s="8">
        <v>20.27</v>
      </c>
      <c r="AW3729" s="8"/>
      <c r="AX3729" s="8"/>
      <c r="AY3729" s="8"/>
      <c r="AZ3729" s="8"/>
      <c r="BA3729" s="8"/>
      <c r="BB3729" s="8"/>
      <c r="BC3729" s="8"/>
      <c r="BD3729" s="8"/>
      <c r="BE3729" s="8"/>
      <c r="BF3729" s="8">
        <v>40.6</v>
      </c>
      <c r="BG3729" s="8">
        <v>39.03</v>
      </c>
      <c r="BH3729" s="9">
        <f t="shared" si="522"/>
        <v>810.97</v>
      </c>
      <c r="BI3729" s="9">
        <f t="shared" si="523"/>
        <v>2.39</v>
      </c>
      <c r="BJ3729" s="9">
        <f t="shared" si="524"/>
        <v>3.23</v>
      </c>
      <c r="BK3729" s="9">
        <f t="shared" si="525"/>
        <v>8.1199999999999992</v>
      </c>
      <c r="BL3729" s="9">
        <f t="shared" si="526"/>
        <v>0</v>
      </c>
      <c r="BM3729" s="9">
        <f t="shared" si="527"/>
        <v>3.25</v>
      </c>
      <c r="BN3729" s="9">
        <f t="shared" si="528"/>
        <v>510.95</v>
      </c>
      <c r="BO3729" s="9">
        <f t="shared" si="529"/>
        <v>20.27</v>
      </c>
      <c r="BP3729" s="9">
        <f t="shared" si="530"/>
        <v>40.6</v>
      </c>
    </row>
    <row r="3730" spans="1:68">
      <c r="A3730" s="6">
        <v>45232</v>
      </c>
      <c r="B3730" s="7">
        <v>3703</v>
      </c>
      <c r="C3730" s="8">
        <v>300.5</v>
      </c>
      <c r="D3730" s="8">
        <v>200.31</v>
      </c>
      <c r="E3730" s="8"/>
      <c r="F3730" s="8"/>
      <c r="G3730" s="8"/>
      <c r="H3730" s="8"/>
      <c r="I3730" s="8"/>
      <c r="J3730" s="8"/>
      <c r="K3730" s="8"/>
      <c r="L3730" s="8"/>
      <c r="M3730" s="8">
        <v>1</v>
      </c>
      <c r="N3730" s="8"/>
      <c r="O3730" s="8"/>
      <c r="P3730" s="8"/>
      <c r="Q3730" s="11"/>
      <c r="R3730" s="11"/>
      <c r="S3730" s="8">
        <v>2.46</v>
      </c>
      <c r="T3730" s="8"/>
      <c r="U3730" s="8">
        <v>4.01</v>
      </c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>
        <v>5</v>
      </c>
      <c r="AN3730" s="8"/>
      <c r="AO3730" s="8"/>
      <c r="AP3730" s="11"/>
      <c r="AQ3730" s="8"/>
      <c r="AR3730" s="8"/>
      <c r="AS3730" s="8"/>
      <c r="AT3730" s="8">
        <v>121.56</v>
      </c>
      <c r="AU3730" s="8">
        <v>60.73</v>
      </c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>
        <v>12.8</v>
      </c>
      <c r="BH3730" s="9">
        <f t="shared" si="522"/>
        <v>500.81</v>
      </c>
      <c r="BI3730" s="9">
        <f t="shared" si="523"/>
        <v>1</v>
      </c>
      <c r="BJ3730" s="9">
        <f t="shared" si="524"/>
        <v>2.46</v>
      </c>
      <c r="BK3730" s="9">
        <f t="shared" si="525"/>
        <v>4.01</v>
      </c>
      <c r="BL3730" s="9">
        <f t="shared" si="526"/>
        <v>0</v>
      </c>
      <c r="BM3730" s="9">
        <f t="shared" si="527"/>
        <v>5</v>
      </c>
      <c r="BN3730" s="9">
        <f t="shared" si="528"/>
        <v>182.29</v>
      </c>
      <c r="BO3730" s="9">
        <f t="shared" si="529"/>
        <v>0</v>
      </c>
      <c r="BP3730" s="9">
        <f t="shared" si="530"/>
        <v>0</v>
      </c>
    </row>
    <row r="3731" spans="1:68">
      <c r="A3731" s="6">
        <v>45232</v>
      </c>
      <c r="B3731" s="7">
        <v>3704</v>
      </c>
      <c r="C3731" s="8">
        <v>141.86000000000001</v>
      </c>
      <c r="D3731" s="8">
        <v>211.32</v>
      </c>
      <c r="E3731" s="8"/>
      <c r="F3731" s="8"/>
      <c r="G3731" s="8"/>
      <c r="H3731" s="8"/>
      <c r="I3731" s="8"/>
      <c r="J3731" s="8"/>
      <c r="K3731" s="8"/>
      <c r="L3731" s="8"/>
      <c r="M3731" s="8">
        <v>1.06</v>
      </c>
      <c r="N3731" s="8"/>
      <c r="O3731" s="8"/>
      <c r="P3731" s="8"/>
      <c r="Q3731" s="11"/>
      <c r="R3731" s="11"/>
      <c r="S3731" s="8">
        <v>1.24</v>
      </c>
      <c r="T3731" s="8"/>
      <c r="U3731" s="8">
        <v>2.64</v>
      </c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>
        <v>4.2300000000000004</v>
      </c>
      <c r="AN3731" s="8"/>
      <c r="AO3731" s="8"/>
      <c r="AP3731" s="11"/>
      <c r="AQ3731" s="8"/>
      <c r="AR3731" s="8"/>
      <c r="AS3731" s="8"/>
      <c r="AT3731" s="8">
        <v>61.32</v>
      </c>
      <c r="AU3731" s="8">
        <v>30.83</v>
      </c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>
        <v>5.68</v>
      </c>
      <c r="BH3731" s="9">
        <f t="shared" si="522"/>
        <v>353.18</v>
      </c>
      <c r="BI3731" s="9">
        <f t="shared" si="523"/>
        <v>1.06</v>
      </c>
      <c r="BJ3731" s="9">
        <f t="shared" si="524"/>
        <v>1.24</v>
      </c>
      <c r="BK3731" s="9">
        <f t="shared" si="525"/>
        <v>2.64</v>
      </c>
      <c r="BL3731" s="9">
        <f t="shared" si="526"/>
        <v>0</v>
      </c>
      <c r="BM3731" s="9">
        <f t="shared" si="527"/>
        <v>4.2300000000000004</v>
      </c>
      <c r="BN3731" s="9">
        <f t="shared" si="528"/>
        <v>92.15</v>
      </c>
      <c r="BO3731" s="9">
        <f t="shared" si="529"/>
        <v>0</v>
      </c>
      <c r="BP3731" s="9">
        <f t="shared" si="530"/>
        <v>0</v>
      </c>
    </row>
    <row r="3732" spans="1:68">
      <c r="A3732" s="6">
        <v>45232</v>
      </c>
      <c r="B3732" s="7">
        <v>3307</v>
      </c>
      <c r="C3732" s="8"/>
      <c r="D3732" s="8">
        <f>746.06+266.64</f>
        <v>1012.6999999999999</v>
      </c>
      <c r="E3732" s="8"/>
      <c r="F3732" s="8"/>
      <c r="G3732" s="8"/>
      <c r="H3732" s="8"/>
      <c r="I3732" s="8"/>
      <c r="J3732" s="8"/>
      <c r="K3732" s="8"/>
      <c r="L3732" s="8"/>
      <c r="M3732" s="8">
        <f>0.67+0.24</f>
        <v>0.91</v>
      </c>
      <c r="N3732" s="8"/>
      <c r="O3732" s="8"/>
      <c r="P3732" s="8"/>
      <c r="Q3732" s="11"/>
      <c r="R3732" s="11"/>
      <c r="S3732" s="8">
        <f>5.22+1.81</f>
        <v>7.0299999999999994</v>
      </c>
      <c r="T3732" s="8"/>
      <c r="U3732" s="8">
        <f>7.47+2.67</f>
        <v>10.14</v>
      </c>
      <c r="V3732" s="8"/>
      <c r="W3732" s="8"/>
      <c r="X3732" s="8"/>
      <c r="Y3732" s="8"/>
      <c r="Z3732" s="8"/>
      <c r="AA3732" s="8"/>
      <c r="AB3732" s="8"/>
      <c r="AC3732" s="8">
        <f>1.6+4.48</f>
        <v>6.08</v>
      </c>
      <c r="AD3732" s="8"/>
      <c r="AE3732" s="8"/>
      <c r="AF3732" s="8"/>
      <c r="AG3732" s="8">
        <f>2.68+7.47</f>
        <v>10.15</v>
      </c>
      <c r="AH3732" s="8"/>
      <c r="AI3732" s="8"/>
      <c r="AJ3732" s="8"/>
      <c r="AK3732" s="8"/>
      <c r="AL3732" s="8"/>
      <c r="AM3732" s="8"/>
      <c r="AN3732" s="8"/>
      <c r="AO3732" s="8"/>
      <c r="AP3732" s="11"/>
      <c r="AQ3732" s="8"/>
      <c r="AR3732" s="8"/>
      <c r="AS3732" s="8"/>
      <c r="AT3732" s="8"/>
      <c r="AU3732" s="8">
        <f>133.64+374.02</f>
        <v>507.65999999999997</v>
      </c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>
        <f>9.59+26.82</f>
        <v>36.409999999999997</v>
      </c>
      <c r="BH3732" s="9">
        <f t="shared" si="522"/>
        <v>1012.6999999999999</v>
      </c>
      <c r="BI3732" s="9">
        <f t="shared" si="523"/>
        <v>0.91</v>
      </c>
      <c r="BJ3732" s="9">
        <f t="shared" si="524"/>
        <v>7.0299999999999994</v>
      </c>
      <c r="BK3732" s="9">
        <f t="shared" si="525"/>
        <v>10.14</v>
      </c>
      <c r="BL3732" s="9">
        <f t="shared" si="526"/>
        <v>0</v>
      </c>
      <c r="BM3732" s="9">
        <f t="shared" si="527"/>
        <v>16.23</v>
      </c>
      <c r="BN3732" s="9">
        <f t="shared" si="528"/>
        <v>507.65999999999997</v>
      </c>
      <c r="BO3732" s="9">
        <f t="shared" si="529"/>
        <v>0</v>
      </c>
      <c r="BP3732" s="9">
        <f t="shared" si="530"/>
        <v>0</v>
      </c>
    </row>
    <row r="3733" spans="1:68">
      <c r="A3733" s="6">
        <v>45232</v>
      </c>
      <c r="B3733" s="7">
        <v>3141</v>
      </c>
      <c r="C3733" s="8">
        <v>1728.76</v>
      </c>
      <c r="D3733" s="8">
        <v>304.95</v>
      </c>
      <c r="E3733" s="8"/>
      <c r="F3733" s="8"/>
      <c r="G3733" s="8"/>
      <c r="H3733" s="8"/>
      <c r="I3733" s="8"/>
      <c r="J3733" s="8"/>
      <c r="K3733" s="8"/>
      <c r="L3733" s="8"/>
      <c r="M3733" s="8">
        <v>5.9</v>
      </c>
      <c r="N3733" s="8"/>
      <c r="O3733" s="8"/>
      <c r="P3733" s="8"/>
      <c r="Q3733" s="11"/>
      <c r="R3733" s="11"/>
      <c r="S3733" s="8">
        <v>9.57</v>
      </c>
      <c r="T3733" s="8"/>
      <c r="U3733" s="8">
        <v>30.53</v>
      </c>
      <c r="V3733" s="8"/>
      <c r="W3733" s="8"/>
      <c r="X3733" s="8"/>
      <c r="Y3733" s="8"/>
      <c r="Z3733" s="8"/>
      <c r="AA3733" s="8"/>
      <c r="AB3733" s="8"/>
      <c r="AC3733" s="8">
        <v>8.14</v>
      </c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11"/>
      <c r="AQ3733" s="8"/>
      <c r="AR3733" s="8"/>
      <c r="AS3733" s="8"/>
      <c r="AT3733" s="8">
        <v>1343.62</v>
      </c>
      <c r="AU3733" s="8"/>
      <c r="AV3733" s="8"/>
      <c r="AW3733" s="8"/>
      <c r="AX3733" s="8"/>
      <c r="AY3733" s="8"/>
      <c r="AZ3733" s="8"/>
      <c r="BA3733" s="8">
        <v>46.64</v>
      </c>
      <c r="BB3733" s="8"/>
      <c r="BC3733" s="8"/>
      <c r="BD3733" s="8"/>
      <c r="BE3733" s="8"/>
      <c r="BF3733" s="8">
        <v>142.46</v>
      </c>
      <c r="BG3733" s="8">
        <v>105.78</v>
      </c>
      <c r="BH3733" s="9">
        <f t="shared" si="522"/>
        <v>2033.71</v>
      </c>
      <c r="BI3733" s="9">
        <f t="shared" si="523"/>
        <v>5.9</v>
      </c>
      <c r="BJ3733" s="9">
        <f t="shared" si="524"/>
        <v>9.57</v>
      </c>
      <c r="BK3733" s="9">
        <f t="shared" si="525"/>
        <v>30.53</v>
      </c>
      <c r="BL3733" s="9">
        <f t="shared" si="526"/>
        <v>0</v>
      </c>
      <c r="BM3733" s="9">
        <f t="shared" si="527"/>
        <v>8.14</v>
      </c>
      <c r="BN3733" s="9">
        <f t="shared" si="528"/>
        <v>1343.62</v>
      </c>
      <c r="BO3733" s="9">
        <f t="shared" si="529"/>
        <v>46.64</v>
      </c>
      <c r="BP3733" s="9">
        <f t="shared" si="530"/>
        <v>142.46</v>
      </c>
    </row>
    <row r="3734" spans="1:68">
      <c r="A3734" s="6">
        <v>45232</v>
      </c>
      <c r="B3734" s="7">
        <v>3106</v>
      </c>
      <c r="C3734" s="8">
        <v>4175.1000000000004</v>
      </c>
      <c r="D3734" s="8"/>
      <c r="E3734" s="8"/>
      <c r="F3734" s="8"/>
      <c r="G3734" s="8"/>
      <c r="H3734" s="8"/>
      <c r="I3734" s="8"/>
      <c r="J3734" s="8"/>
      <c r="K3734" s="8"/>
      <c r="L3734" s="8"/>
      <c r="M3734" s="8">
        <v>11.27</v>
      </c>
      <c r="N3734" s="8"/>
      <c r="O3734" s="8"/>
      <c r="P3734" s="8"/>
      <c r="Q3734" s="11"/>
      <c r="R3734" s="11"/>
      <c r="S3734" s="8">
        <v>12.53</v>
      </c>
      <c r="T3734" s="8"/>
      <c r="U3734" s="8">
        <v>53.04</v>
      </c>
      <c r="V3734" s="8"/>
      <c r="W3734" s="8"/>
      <c r="X3734" s="8"/>
      <c r="Y3734" s="8"/>
      <c r="Z3734" s="8"/>
      <c r="AA3734" s="8"/>
      <c r="AB3734" s="8"/>
      <c r="AC3734" s="8">
        <v>10.42</v>
      </c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11"/>
      <c r="AQ3734" s="8"/>
      <c r="AR3734" s="8"/>
      <c r="AS3734" s="8"/>
      <c r="AT3734" s="8">
        <v>2376.5700000000002</v>
      </c>
      <c r="AU3734" s="8"/>
      <c r="AV3734" s="8"/>
      <c r="AW3734" s="8"/>
      <c r="AX3734" s="8">
        <v>5.21</v>
      </c>
      <c r="AY3734" s="8"/>
      <c r="AZ3734" s="8"/>
      <c r="BA3734" s="8"/>
      <c r="BB3734" s="8"/>
      <c r="BC3734" s="8"/>
      <c r="BD3734" s="8"/>
      <c r="BE3734" s="8"/>
      <c r="BF3734" s="8"/>
      <c r="BG3734" s="8">
        <v>179.18</v>
      </c>
      <c r="BH3734" s="9">
        <f t="shared" si="522"/>
        <v>4175.1000000000004</v>
      </c>
      <c r="BI3734" s="9">
        <f t="shared" si="523"/>
        <v>11.27</v>
      </c>
      <c r="BJ3734" s="9">
        <f t="shared" si="524"/>
        <v>12.53</v>
      </c>
      <c r="BK3734" s="9">
        <f t="shared" si="525"/>
        <v>53.04</v>
      </c>
      <c r="BL3734" s="9">
        <f t="shared" si="526"/>
        <v>0</v>
      </c>
      <c r="BM3734" s="9">
        <f t="shared" si="527"/>
        <v>10.42</v>
      </c>
      <c r="BN3734" s="9">
        <f t="shared" si="528"/>
        <v>2376.5700000000002</v>
      </c>
      <c r="BO3734" s="9">
        <f t="shared" si="529"/>
        <v>5.21</v>
      </c>
      <c r="BP3734" s="9">
        <f t="shared" si="530"/>
        <v>0</v>
      </c>
    </row>
    <row r="3735" spans="1:68">
      <c r="A3735" s="6">
        <v>45232</v>
      </c>
      <c r="B3735" s="7">
        <v>3029</v>
      </c>
      <c r="C3735" s="8"/>
      <c r="D3735" s="8">
        <v>456.46</v>
      </c>
      <c r="E3735" s="8"/>
      <c r="F3735" s="8">
        <v>321.42</v>
      </c>
      <c r="G3735" s="8"/>
      <c r="H3735" s="8"/>
      <c r="I3735" s="8">
        <v>1901.46</v>
      </c>
      <c r="J3735" s="8"/>
      <c r="K3735" s="8"/>
      <c r="L3735" s="8"/>
      <c r="M3735" s="8"/>
      <c r="N3735" s="8">
        <v>21.18</v>
      </c>
      <c r="O3735" s="8"/>
      <c r="P3735" s="8"/>
      <c r="Q3735" s="11"/>
      <c r="R3735" s="11"/>
      <c r="S3735" s="8">
        <v>1.6</v>
      </c>
      <c r="T3735" s="8"/>
      <c r="U3735" s="8"/>
      <c r="V3735" s="8"/>
      <c r="W3735" s="8">
        <v>26.8</v>
      </c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>
        <v>9.35</v>
      </c>
      <c r="AN3735" s="8">
        <f>772*17.85/1000</f>
        <v>13.780200000000001</v>
      </c>
      <c r="AO3735" s="8"/>
      <c r="AP3735" s="11"/>
      <c r="AQ3735" s="8"/>
      <c r="AR3735" s="8">
        <f>4576*17.85/1000</f>
        <v>81.681600000000003</v>
      </c>
      <c r="AS3735" s="8"/>
      <c r="AT3735" s="8">
        <v>1019.55</v>
      </c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>
        <v>71.06</v>
      </c>
      <c r="BH3735" s="9">
        <f t="shared" si="522"/>
        <v>2679.34</v>
      </c>
      <c r="BI3735" s="9">
        <f t="shared" si="523"/>
        <v>21.18</v>
      </c>
      <c r="BJ3735" s="9">
        <f t="shared" si="524"/>
        <v>1.6</v>
      </c>
      <c r="BK3735" s="9">
        <f t="shared" si="525"/>
        <v>26.8</v>
      </c>
      <c r="BL3735" s="9">
        <f t="shared" si="526"/>
        <v>0</v>
      </c>
      <c r="BM3735" s="9">
        <f t="shared" si="527"/>
        <v>104.81180000000001</v>
      </c>
      <c r="BN3735" s="9">
        <f t="shared" si="528"/>
        <v>1019.55</v>
      </c>
      <c r="BO3735" s="9">
        <f t="shared" si="529"/>
        <v>0</v>
      </c>
      <c r="BP3735" s="9">
        <f t="shared" si="530"/>
        <v>0</v>
      </c>
    </row>
    <row r="3736" spans="1:68">
      <c r="A3736" s="6">
        <v>45232</v>
      </c>
      <c r="B3736" s="7">
        <v>3083</v>
      </c>
      <c r="C3736" s="8"/>
      <c r="D3736" s="8">
        <v>1076.01</v>
      </c>
      <c r="E3736" s="8"/>
      <c r="F3736" s="8"/>
      <c r="G3736" s="8"/>
      <c r="H3736" s="8"/>
      <c r="I3736" s="8">
        <v>2510.71</v>
      </c>
      <c r="J3736" s="8"/>
      <c r="K3736" s="8"/>
      <c r="L3736" s="8"/>
      <c r="M3736" s="8"/>
      <c r="N3736" s="8">
        <v>22.96</v>
      </c>
      <c r="O3736" s="8"/>
      <c r="P3736" s="8"/>
      <c r="Q3736" s="11"/>
      <c r="R3736" s="11"/>
      <c r="S3736" s="8">
        <v>2.5099999999999998</v>
      </c>
      <c r="T3736" s="8"/>
      <c r="U3736" s="8"/>
      <c r="V3736" s="8"/>
      <c r="W3736" s="8">
        <v>28.69</v>
      </c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>
        <v>14.29</v>
      </c>
      <c r="AN3736" s="8">
        <f>1912*26.57/1000</f>
        <v>50.801840000000006</v>
      </c>
      <c r="AO3736" s="8"/>
      <c r="AP3736" s="11"/>
      <c r="AQ3736" s="8"/>
      <c r="AR3736" s="8">
        <f>3387*26.57/1000</f>
        <v>89.992589999999993</v>
      </c>
      <c r="AS3736" s="8"/>
      <c r="AT3736" s="8">
        <v>1688.05</v>
      </c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>
        <v>133.71</v>
      </c>
      <c r="BH3736" s="9">
        <f t="shared" si="522"/>
        <v>3586.7200000000003</v>
      </c>
      <c r="BI3736" s="9">
        <f t="shared" si="523"/>
        <v>22.96</v>
      </c>
      <c r="BJ3736" s="9">
        <f t="shared" si="524"/>
        <v>2.5099999999999998</v>
      </c>
      <c r="BK3736" s="9">
        <f t="shared" si="525"/>
        <v>28.69</v>
      </c>
      <c r="BL3736" s="9">
        <f t="shared" si="526"/>
        <v>0</v>
      </c>
      <c r="BM3736" s="9">
        <f t="shared" si="527"/>
        <v>155.08443</v>
      </c>
      <c r="BN3736" s="9">
        <f t="shared" si="528"/>
        <v>1688.05</v>
      </c>
      <c r="BO3736" s="9">
        <f t="shared" si="529"/>
        <v>0</v>
      </c>
      <c r="BP3736" s="9">
        <f t="shared" si="530"/>
        <v>0</v>
      </c>
    </row>
    <row r="3737" spans="1:68">
      <c r="A3737" s="6">
        <v>45233</v>
      </c>
      <c r="B3737" s="7">
        <v>3200</v>
      </c>
      <c r="C3737" s="8">
        <v>4455.3900000000003</v>
      </c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>
        <v>11.13</v>
      </c>
      <c r="P3737" s="8"/>
      <c r="Q3737" s="11"/>
      <c r="R3737" s="11"/>
      <c r="S3737" s="8">
        <v>17.37</v>
      </c>
      <c r="T3737" s="8"/>
      <c r="U3737" s="8">
        <v>66.819999999999993</v>
      </c>
      <c r="V3737" s="8"/>
      <c r="W3737" s="8"/>
      <c r="X3737" s="8"/>
      <c r="Y3737" s="8"/>
      <c r="Z3737" s="8">
        <v>936.26</v>
      </c>
      <c r="AA3737" s="8"/>
      <c r="AB3737" s="8"/>
      <c r="AC3737" s="8"/>
      <c r="AD3737" s="8"/>
      <c r="AE3737" s="8"/>
      <c r="AF3737" s="8">
        <v>222.43</v>
      </c>
      <c r="AG3737" s="8"/>
      <c r="AH3737" s="8"/>
      <c r="AI3737" s="8"/>
      <c r="AJ3737" s="8"/>
      <c r="AK3737" s="8"/>
      <c r="AL3737" s="8"/>
      <c r="AM3737" s="8"/>
      <c r="AN3737" s="8"/>
      <c r="AO3737" s="8"/>
      <c r="AP3737" s="11"/>
      <c r="AQ3737" s="8">
        <f>1530*44.57/1000</f>
        <v>68.192100000000011</v>
      </c>
      <c r="AR3737" s="8"/>
      <c r="AS3737" s="8"/>
      <c r="AT3737" s="8">
        <v>3048.45</v>
      </c>
      <c r="AU3737" s="8"/>
      <c r="AV3737" s="8"/>
      <c r="AW3737" s="8">
        <v>12.85</v>
      </c>
      <c r="AX3737" s="8"/>
      <c r="AY3737" s="8"/>
      <c r="AZ3737" s="8"/>
      <c r="BA3737" s="8"/>
      <c r="BB3737" s="8"/>
      <c r="BC3737" s="8"/>
      <c r="BD3737" s="8"/>
      <c r="BE3737" s="8"/>
      <c r="BF3737" s="8">
        <v>213.94</v>
      </c>
      <c r="BG3737" s="8">
        <v>221.94</v>
      </c>
      <c r="BH3737" s="9">
        <f t="shared" si="522"/>
        <v>4455.3900000000003</v>
      </c>
      <c r="BI3737" s="9">
        <f t="shared" si="523"/>
        <v>11.13</v>
      </c>
      <c r="BJ3737" s="9">
        <f t="shared" si="524"/>
        <v>17.37</v>
      </c>
      <c r="BK3737" s="9">
        <f t="shared" si="525"/>
        <v>66.819999999999993</v>
      </c>
      <c r="BL3737" s="9">
        <f t="shared" si="526"/>
        <v>936.26</v>
      </c>
      <c r="BM3737" s="9">
        <f t="shared" si="527"/>
        <v>290.62210000000005</v>
      </c>
      <c r="BN3737" s="9">
        <f t="shared" si="528"/>
        <v>3048.45</v>
      </c>
      <c r="BO3737" s="9">
        <f t="shared" si="529"/>
        <v>12.85</v>
      </c>
      <c r="BP3737" s="9">
        <f t="shared" si="530"/>
        <v>213.94</v>
      </c>
    </row>
    <row r="3738" spans="1:68">
      <c r="A3738" s="6">
        <v>45233</v>
      </c>
      <c r="B3738" s="7">
        <v>3127</v>
      </c>
      <c r="C3738" s="8">
        <v>1168.6500000000001</v>
      </c>
      <c r="D3738" s="8"/>
      <c r="E3738" s="8"/>
      <c r="F3738" s="8"/>
      <c r="G3738" s="8"/>
      <c r="H3738" s="8"/>
      <c r="I3738" s="8"/>
      <c r="J3738" s="8"/>
      <c r="K3738" s="8"/>
      <c r="L3738" s="8"/>
      <c r="M3738" s="8">
        <v>3.18</v>
      </c>
      <c r="N3738" s="8"/>
      <c r="O3738" s="8"/>
      <c r="P3738" s="8"/>
      <c r="Q3738" s="11"/>
      <c r="R3738" s="11"/>
      <c r="S3738" s="8">
        <v>5.62</v>
      </c>
      <c r="T3738" s="8"/>
      <c r="U3738" s="8">
        <v>11.7</v>
      </c>
      <c r="V3738" s="8"/>
      <c r="W3738" s="8"/>
      <c r="X3738" s="8"/>
      <c r="Y3738" s="8"/>
      <c r="Z3738" s="8">
        <v>175.45</v>
      </c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11"/>
      <c r="AQ3738" s="8"/>
      <c r="AR3738" s="8"/>
      <c r="AS3738" s="8"/>
      <c r="AT3738" s="8">
        <v>572.94000000000005</v>
      </c>
      <c r="AU3738" s="8"/>
      <c r="AV3738" s="8">
        <v>23.4</v>
      </c>
      <c r="AW3738" s="8"/>
      <c r="AX3738" s="8"/>
      <c r="AY3738" s="8"/>
      <c r="AZ3738" s="8"/>
      <c r="BA3738" s="8"/>
      <c r="BB3738" s="8"/>
      <c r="BC3738" s="8"/>
      <c r="BD3738" s="8"/>
      <c r="BE3738" s="8"/>
      <c r="BF3738" s="8">
        <v>58.49</v>
      </c>
      <c r="BG3738" s="8">
        <v>40.880000000000003</v>
      </c>
      <c r="BH3738" s="9">
        <f t="shared" si="522"/>
        <v>1168.6500000000001</v>
      </c>
      <c r="BI3738" s="9">
        <f t="shared" si="523"/>
        <v>3.18</v>
      </c>
      <c r="BJ3738" s="9">
        <f t="shared" si="524"/>
        <v>5.62</v>
      </c>
      <c r="BK3738" s="9">
        <f t="shared" si="525"/>
        <v>11.7</v>
      </c>
      <c r="BL3738" s="9">
        <f t="shared" si="526"/>
        <v>175.45</v>
      </c>
      <c r="BM3738" s="9">
        <f t="shared" si="527"/>
        <v>0</v>
      </c>
      <c r="BN3738" s="9">
        <f t="shared" si="528"/>
        <v>572.94000000000005</v>
      </c>
      <c r="BO3738" s="9">
        <f t="shared" si="529"/>
        <v>23.4</v>
      </c>
      <c r="BP3738" s="9">
        <f t="shared" si="530"/>
        <v>58.49</v>
      </c>
    </row>
    <row r="3739" spans="1:68">
      <c r="A3739" s="6">
        <v>45233</v>
      </c>
      <c r="B3739" s="7">
        <v>3116</v>
      </c>
      <c r="C3739" s="8">
        <v>1525.41</v>
      </c>
      <c r="D3739" s="8"/>
      <c r="E3739" s="8"/>
      <c r="F3739" s="8"/>
      <c r="G3739" s="8"/>
      <c r="H3739" s="8"/>
      <c r="I3739" s="8"/>
      <c r="J3739" s="8"/>
      <c r="K3739" s="8"/>
      <c r="L3739" s="8"/>
      <c r="M3739" s="8">
        <v>3.81</v>
      </c>
      <c r="N3739" s="8"/>
      <c r="O3739" s="8"/>
      <c r="P3739" s="8"/>
      <c r="Q3739" s="11"/>
      <c r="R3739" s="11"/>
      <c r="S3739" s="8">
        <v>6.1</v>
      </c>
      <c r="T3739" s="8"/>
      <c r="U3739" s="8">
        <v>22.4</v>
      </c>
      <c r="V3739" s="8"/>
      <c r="W3739" s="8"/>
      <c r="X3739" s="8"/>
      <c r="Y3739" s="8"/>
      <c r="Z3739" s="8"/>
      <c r="AA3739" s="8"/>
      <c r="AB3739" s="8"/>
      <c r="AC3739" s="8">
        <v>6.09</v>
      </c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11"/>
      <c r="AQ3739" s="8">
        <f>1421*10.87/1000</f>
        <v>15.446269999999998</v>
      </c>
      <c r="AR3739" s="8"/>
      <c r="AS3739" s="8"/>
      <c r="AT3739" s="8">
        <v>931.3</v>
      </c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>
        <v>60.98</v>
      </c>
      <c r="BG3739" s="8">
        <v>69.33</v>
      </c>
      <c r="BH3739" s="9">
        <f t="shared" si="522"/>
        <v>1525.41</v>
      </c>
      <c r="BI3739" s="9">
        <f t="shared" si="523"/>
        <v>3.81</v>
      </c>
      <c r="BJ3739" s="9">
        <f t="shared" si="524"/>
        <v>6.1</v>
      </c>
      <c r="BK3739" s="9">
        <f t="shared" si="525"/>
        <v>22.4</v>
      </c>
      <c r="BL3739" s="9">
        <f t="shared" si="526"/>
        <v>0</v>
      </c>
      <c r="BM3739" s="9">
        <f t="shared" si="527"/>
        <v>21.536269999999998</v>
      </c>
      <c r="BN3739" s="9">
        <f t="shared" si="528"/>
        <v>931.3</v>
      </c>
      <c r="BO3739" s="9">
        <f t="shared" si="529"/>
        <v>0</v>
      </c>
      <c r="BP3739" s="9">
        <f t="shared" si="530"/>
        <v>60.98</v>
      </c>
    </row>
    <row r="3740" spans="1:68">
      <c r="A3740" s="6">
        <v>45233</v>
      </c>
      <c r="B3740" s="7">
        <v>3310</v>
      </c>
      <c r="C3740" s="8"/>
      <c r="D3740" s="8">
        <v>996.28</v>
      </c>
      <c r="E3740" s="8"/>
      <c r="F3740" s="8"/>
      <c r="G3740" s="8"/>
      <c r="H3740" s="8"/>
      <c r="I3740" s="8"/>
      <c r="J3740" s="8"/>
      <c r="K3740" s="8"/>
      <c r="L3740" s="8"/>
      <c r="M3740" s="8">
        <v>1.99</v>
      </c>
      <c r="N3740" s="8"/>
      <c r="O3740" s="8"/>
      <c r="P3740" s="8"/>
      <c r="Q3740" s="11"/>
      <c r="R3740" s="11"/>
      <c r="S3740" s="8">
        <v>1.49</v>
      </c>
      <c r="T3740" s="8"/>
      <c r="U3740" s="8">
        <v>8.9600000000000009</v>
      </c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>
        <v>9.9700000000000006</v>
      </c>
      <c r="AH3740" s="8"/>
      <c r="AI3740" s="8"/>
      <c r="AJ3740" s="8"/>
      <c r="AK3740" s="8"/>
      <c r="AL3740" s="8"/>
      <c r="AM3740" s="8"/>
      <c r="AN3740" s="8"/>
      <c r="AO3740" s="8"/>
      <c r="AP3740" s="11"/>
      <c r="AQ3740" s="8"/>
      <c r="AR3740" s="8"/>
      <c r="AS3740" s="8"/>
      <c r="AT3740" s="8">
        <v>266.13</v>
      </c>
      <c r="AU3740" s="8">
        <v>133.15</v>
      </c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>
        <v>27.63</v>
      </c>
      <c r="BH3740" s="9">
        <f t="shared" si="522"/>
        <v>996.28</v>
      </c>
      <c r="BI3740" s="9">
        <f t="shared" si="523"/>
        <v>1.99</v>
      </c>
      <c r="BJ3740" s="9">
        <f t="shared" si="524"/>
        <v>1.49</v>
      </c>
      <c r="BK3740" s="9">
        <f t="shared" si="525"/>
        <v>8.9600000000000009</v>
      </c>
      <c r="BL3740" s="9">
        <f t="shared" si="526"/>
        <v>0</v>
      </c>
      <c r="BM3740" s="9">
        <f t="shared" si="527"/>
        <v>9.9700000000000006</v>
      </c>
      <c r="BN3740" s="9">
        <f t="shared" si="528"/>
        <v>399.28</v>
      </c>
      <c r="BO3740" s="9">
        <f t="shared" si="529"/>
        <v>0</v>
      </c>
      <c r="BP3740" s="9">
        <f t="shared" si="530"/>
        <v>0</v>
      </c>
    </row>
    <row r="3741" spans="1:68">
      <c r="A3741" s="6">
        <v>45236</v>
      </c>
      <c r="B3741" s="7">
        <v>8311</v>
      </c>
      <c r="C3741" s="8"/>
      <c r="D3741" s="8">
        <v>330.3</v>
      </c>
      <c r="E3741" s="8"/>
      <c r="F3741" s="8"/>
      <c r="G3741" s="8"/>
      <c r="H3741" s="8"/>
      <c r="I3741" s="8">
        <v>72.33</v>
      </c>
      <c r="J3741" s="8"/>
      <c r="K3741" s="8"/>
      <c r="L3741" s="8"/>
      <c r="M3741" s="8">
        <v>1.21</v>
      </c>
      <c r="N3741" s="8"/>
      <c r="O3741" s="8"/>
      <c r="P3741" s="8"/>
      <c r="Q3741" s="11"/>
      <c r="R3741" s="11"/>
      <c r="S3741" s="8">
        <v>1.41</v>
      </c>
      <c r="T3741" s="8"/>
      <c r="U3741" s="8">
        <v>2.82</v>
      </c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11"/>
      <c r="AQ3741" s="8"/>
      <c r="AR3741" s="8"/>
      <c r="AS3741" s="8"/>
      <c r="AT3741" s="8">
        <v>23.58</v>
      </c>
      <c r="AU3741" s="8">
        <v>47.75</v>
      </c>
      <c r="AV3741" s="8">
        <v>5.46</v>
      </c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>
        <v>3.95</v>
      </c>
      <c r="BH3741" s="9">
        <f t="shared" si="522"/>
        <v>402.63</v>
      </c>
      <c r="BI3741" s="9">
        <f t="shared" si="523"/>
        <v>1.21</v>
      </c>
      <c r="BJ3741" s="9">
        <f t="shared" si="524"/>
        <v>1.41</v>
      </c>
      <c r="BK3741" s="9">
        <f t="shared" si="525"/>
        <v>2.82</v>
      </c>
      <c r="BL3741" s="9">
        <f t="shared" si="526"/>
        <v>0</v>
      </c>
      <c r="BM3741" s="9">
        <f t="shared" si="527"/>
        <v>0</v>
      </c>
      <c r="BN3741" s="9">
        <f t="shared" si="528"/>
        <v>71.33</v>
      </c>
      <c r="BO3741" s="9">
        <f t="shared" si="529"/>
        <v>5.46</v>
      </c>
      <c r="BP3741" s="9">
        <f t="shared" si="530"/>
        <v>0</v>
      </c>
    </row>
    <row r="3742" spans="1:68">
      <c r="A3742" s="6">
        <v>45236</v>
      </c>
      <c r="B3742" s="7">
        <v>3602</v>
      </c>
      <c r="C3742" s="8">
        <v>564.02</v>
      </c>
      <c r="D3742" s="8"/>
      <c r="E3742" s="8"/>
      <c r="F3742" s="8"/>
      <c r="G3742" s="8">
        <v>845.34</v>
      </c>
      <c r="H3742" s="8"/>
      <c r="I3742" s="8"/>
      <c r="J3742" s="8"/>
      <c r="K3742" s="8"/>
      <c r="L3742" s="8"/>
      <c r="M3742" s="8">
        <v>1.69</v>
      </c>
      <c r="N3742" s="8"/>
      <c r="O3742" s="8"/>
      <c r="P3742" s="8"/>
      <c r="Q3742" s="11"/>
      <c r="R3742" s="11"/>
      <c r="S3742" s="8">
        <v>6.76</v>
      </c>
      <c r="T3742" s="8"/>
      <c r="U3742" s="8">
        <v>11.29</v>
      </c>
      <c r="V3742" s="8">
        <f>861*16.12/1000</f>
        <v>13.879320000000002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11"/>
      <c r="AQ3742" s="8"/>
      <c r="AR3742" s="8"/>
      <c r="AS3742" s="8"/>
      <c r="AT3742" s="8">
        <v>568.65</v>
      </c>
      <c r="AU3742" s="8"/>
      <c r="AV3742" s="8"/>
      <c r="AW3742" s="8">
        <v>36.43</v>
      </c>
      <c r="AX3742" s="8"/>
      <c r="AY3742" s="8"/>
      <c r="AZ3742" s="8"/>
      <c r="BA3742" s="8"/>
      <c r="BB3742" s="8"/>
      <c r="BC3742" s="8"/>
      <c r="BD3742" s="8"/>
      <c r="BE3742" s="8"/>
      <c r="BF3742" s="8">
        <v>45.18</v>
      </c>
      <c r="BG3742" s="8">
        <v>42.27</v>
      </c>
      <c r="BH3742" s="9">
        <f t="shared" si="522"/>
        <v>1409.3600000000001</v>
      </c>
      <c r="BI3742" s="9">
        <f t="shared" si="523"/>
        <v>1.69</v>
      </c>
      <c r="BJ3742" s="9">
        <f t="shared" si="524"/>
        <v>6.76</v>
      </c>
      <c r="BK3742" s="9">
        <f t="shared" si="525"/>
        <v>25.169319999999999</v>
      </c>
      <c r="BL3742" s="9">
        <f t="shared" si="526"/>
        <v>0</v>
      </c>
      <c r="BM3742" s="9">
        <f t="shared" si="527"/>
        <v>0</v>
      </c>
      <c r="BN3742" s="9">
        <f t="shared" si="528"/>
        <v>568.65</v>
      </c>
      <c r="BO3742" s="9">
        <f t="shared" si="529"/>
        <v>36.43</v>
      </c>
      <c r="BP3742" s="9">
        <f t="shared" si="530"/>
        <v>45.18</v>
      </c>
    </row>
    <row r="3743" spans="1:68">
      <c r="A3743" s="6">
        <v>45236</v>
      </c>
      <c r="B3743" s="7">
        <v>3307</v>
      </c>
      <c r="C3743" s="8"/>
      <c r="D3743" s="8">
        <v>967.51</v>
      </c>
      <c r="E3743" s="8"/>
      <c r="F3743" s="8"/>
      <c r="G3743" s="8"/>
      <c r="H3743" s="8"/>
      <c r="I3743" s="8"/>
      <c r="J3743" s="8"/>
      <c r="K3743" s="8"/>
      <c r="L3743" s="8"/>
      <c r="M3743" s="8">
        <v>0.87</v>
      </c>
      <c r="N3743" s="8"/>
      <c r="O3743" s="8"/>
      <c r="P3743" s="8"/>
      <c r="Q3743" s="11"/>
      <c r="R3743" s="11"/>
      <c r="S3743" s="8">
        <v>6.78</v>
      </c>
      <c r="T3743" s="8"/>
      <c r="U3743" s="8">
        <v>9.69</v>
      </c>
      <c r="V3743" s="8"/>
      <c r="W3743" s="8"/>
      <c r="X3743" s="8"/>
      <c r="Y3743" s="8"/>
      <c r="Z3743" s="8"/>
      <c r="AA3743" s="8"/>
      <c r="AB3743" s="8"/>
      <c r="AC3743" s="8">
        <v>5.81</v>
      </c>
      <c r="AD3743" s="8"/>
      <c r="AE3743" s="8"/>
      <c r="AF3743" s="8"/>
      <c r="AG3743" s="8">
        <v>9.7100000000000009</v>
      </c>
      <c r="AH3743" s="8"/>
      <c r="AI3743" s="8"/>
      <c r="AJ3743" s="8"/>
      <c r="AK3743" s="8"/>
      <c r="AL3743" s="8"/>
      <c r="AM3743" s="8"/>
      <c r="AN3743" s="8"/>
      <c r="AO3743" s="8"/>
      <c r="AP3743" s="11"/>
      <c r="AQ3743" s="8"/>
      <c r="AR3743" s="8"/>
      <c r="AS3743" s="8"/>
      <c r="AT3743" s="8"/>
      <c r="AU3743" s="8">
        <v>485.72</v>
      </c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>
        <v>34.82</v>
      </c>
      <c r="BH3743" s="9">
        <f t="shared" si="522"/>
        <v>967.51</v>
      </c>
      <c r="BI3743" s="9">
        <f t="shared" si="523"/>
        <v>0.87</v>
      </c>
      <c r="BJ3743" s="9">
        <f t="shared" si="524"/>
        <v>6.78</v>
      </c>
      <c r="BK3743" s="9">
        <f t="shared" si="525"/>
        <v>9.69</v>
      </c>
      <c r="BL3743" s="9">
        <f t="shared" si="526"/>
        <v>0</v>
      </c>
      <c r="BM3743" s="9">
        <f t="shared" si="527"/>
        <v>15.52</v>
      </c>
      <c r="BN3743" s="9">
        <f t="shared" si="528"/>
        <v>485.72</v>
      </c>
      <c r="BO3743" s="9">
        <f t="shared" si="529"/>
        <v>0</v>
      </c>
      <c r="BP3743" s="9">
        <f t="shared" si="530"/>
        <v>0</v>
      </c>
    </row>
    <row r="3744" spans="1:68">
      <c r="A3744" s="6">
        <v>45236</v>
      </c>
      <c r="B3744" s="7">
        <v>3145</v>
      </c>
      <c r="C3744" s="8">
        <v>674.71</v>
      </c>
      <c r="D3744" s="8">
        <v>119.08</v>
      </c>
      <c r="E3744" s="8"/>
      <c r="F3744" s="8"/>
      <c r="G3744" s="8"/>
      <c r="H3744" s="8"/>
      <c r="I3744" s="8"/>
      <c r="J3744" s="8"/>
      <c r="K3744" s="8"/>
      <c r="L3744" s="8"/>
      <c r="M3744" s="8">
        <v>2.36</v>
      </c>
      <c r="N3744" s="8"/>
      <c r="O3744" s="8"/>
      <c r="P3744" s="8"/>
      <c r="Q3744" s="11"/>
      <c r="R3744" s="11"/>
      <c r="S3744" s="8">
        <v>3.74</v>
      </c>
      <c r="T3744" s="8"/>
      <c r="U3744" s="8">
        <v>11.92</v>
      </c>
      <c r="V3744" s="8"/>
      <c r="W3744" s="8"/>
      <c r="X3744" s="8"/>
      <c r="Y3744" s="8"/>
      <c r="Z3744" s="8"/>
      <c r="AA3744" s="8"/>
      <c r="AB3744" s="8"/>
      <c r="AC3744" s="8">
        <v>3.18</v>
      </c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11"/>
      <c r="AQ3744" s="8"/>
      <c r="AR3744" s="8"/>
      <c r="AS3744" s="8"/>
      <c r="AT3744" s="8">
        <v>526.80999999999995</v>
      </c>
      <c r="AU3744" s="8"/>
      <c r="AV3744" s="8"/>
      <c r="AW3744" s="8"/>
      <c r="AX3744" s="8"/>
      <c r="AY3744" s="8"/>
      <c r="AZ3744" s="8"/>
      <c r="BA3744" s="8"/>
      <c r="BB3744" s="8"/>
      <c r="BC3744" s="8"/>
      <c r="BD3744" s="8">
        <v>1.99</v>
      </c>
      <c r="BE3744" s="8">
        <f>1364*5.28/1000</f>
        <v>7.2019200000000003</v>
      </c>
      <c r="BF3744" s="8">
        <v>55.6</v>
      </c>
      <c r="BG3744" s="8">
        <v>41.32</v>
      </c>
      <c r="BH3744" s="9">
        <f t="shared" si="522"/>
        <v>793.79000000000008</v>
      </c>
      <c r="BI3744" s="9">
        <f t="shared" si="523"/>
        <v>2.36</v>
      </c>
      <c r="BJ3744" s="9">
        <f t="shared" si="524"/>
        <v>3.74</v>
      </c>
      <c r="BK3744" s="9">
        <f t="shared" si="525"/>
        <v>11.92</v>
      </c>
      <c r="BL3744" s="9">
        <f t="shared" si="526"/>
        <v>0</v>
      </c>
      <c r="BM3744" s="9">
        <f t="shared" si="527"/>
        <v>3.18</v>
      </c>
      <c r="BN3744" s="9">
        <f t="shared" si="528"/>
        <v>526.80999999999995</v>
      </c>
      <c r="BO3744" s="9">
        <f t="shared" si="529"/>
        <v>9.1919199999999996</v>
      </c>
      <c r="BP3744" s="9">
        <f t="shared" si="530"/>
        <v>55.6</v>
      </c>
    </row>
    <row r="3745" spans="1:68">
      <c r="A3745" s="6">
        <v>45236</v>
      </c>
      <c r="B3745" s="7">
        <v>3141</v>
      </c>
      <c r="C3745" s="8">
        <v>2380.2199999999998</v>
      </c>
      <c r="D3745" s="8">
        <v>419.81</v>
      </c>
      <c r="E3745" s="8"/>
      <c r="F3745" s="8"/>
      <c r="G3745" s="8"/>
      <c r="H3745" s="8"/>
      <c r="I3745" s="8"/>
      <c r="J3745" s="8"/>
      <c r="K3745" s="8"/>
      <c r="L3745" s="8"/>
      <c r="M3745" s="8">
        <v>8.1300000000000008</v>
      </c>
      <c r="N3745" s="8"/>
      <c r="O3745" s="8"/>
      <c r="P3745" s="8"/>
      <c r="Q3745" s="11"/>
      <c r="R3745" s="11"/>
      <c r="S3745" s="8">
        <v>13.17</v>
      </c>
      <c r="T3745" s="8"/>
      <c r="U3745" s="8">
        <v>42</v>
      </c>
      <c r="V3745" s="8"/>
      <c r="W3745" s="8"/>
      <c r="X3745" s="8"/>
      <c r="Y3745" s="8"/>
      <c r="Z3745" s="8"/>
      <c r="AA3745" s="8"/>
      <c r="AB3745" s="8"/>
      <c r="AC3745" s="8">
        <v>11.19</v>
      </c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11"/>
      <c r="AQ3745" s="8"/>
      <c r="AR3745" s="8"/>
      <c r="AS3745" s="8"/>
      <c r="AT3745" s="8">
        <v>1845.73</v>
      </c>
      <c r="AU3745" s="8"/>
      <c r="AV3745" s="8"/>
      <c r="AW3745" s="8"/>
      <c r="AX3745" s="8"/>
      <c r="AY3745" s="8"/>
      <c r="AZ3745" s="8"/>
      <c r="BA3745" s="8">
        <v>64.17</v>
      </c>
      <c r="BB3745" s="8"/>
      <c r="BC3745" s="8"/>
      <c r="BD3745" s="8"/>
      <c r="BE3745" s="8"/>
      <c r="BF3745" s="8">
        <v>196.15</v>
      </c>
      <c r="BG3745" s="8">
        <v>145.41999999999999</v>
      </c>
      <c r="BH3745" s="9">
        <f t="shared" si="522"/>
        <v>2800.0299999999997</v>
      </c>
      <c r="BI3745" s="9">
        <f t="shared" si="523"/>
        <v>8.1300000000000008</v>
      </c>
      <c r="BJ3745" s="9">
        <f t="shared" si="524"/>
        <v>13.17</v>
      </c>
      <c r="BK3745" s="9">
        <f t="shared" si="525"/>
        <v>42</v>
      </c>
      <c r="BL3745" s="9">
        <f t="shared" si="526"/>
        <v>0</v>
      </c>
      <c r="BM3745" s="9">
        <f t="shared" si="527"/>
        <v>11.19</v>
      </c>
      <c r="BN3745" s="9">
        <f t="shared" si="528"/>
        <v>1845.73</v>
      </c>
      <c r="BO3745" s="9">
        <f t="shared" si="529"/>
        <v>64.17</v>
      </c>
      <c r="BP3745" s="9">
        <f t="shared" si="530"/>
        <v>196.15</v>
      </c>
    </row>
    <row r="3746" spans="1:68">
      <c r="A3746" s="6">
        <v>45236</v>
      </c>
      <c r="B3746" s="7">
        <v>3016</v>
      </c>
      <c r="C3746" s="8"/>
      <c r="D3746" s="8">
        <v>1637.4</v>
      </c>
      <c r="E3746" s="8"/>
      <c r="F3746" s="8"/>
      <c r="G3746" s="8"/>
      <c r="H3746" s="8"/>
      <c r="I3746" s="8">
        <v>1510.35</v>
      </c>
      <c r="J3746" s="8"/>
      <c r="K3746" s="8"/>
      <c r="L3746" s="8"/>
      <c r="M3746" s="8"/>
      <c r="N3746" s="8">
        <v>19.190000000000001</v>
      </c>
      <c r="O3746" s="8"/>
      <c r="P3746" s="8"/>
      <c r="Q3746" s="11"/>
      <c r="R3746" s="11"/>
      <c r="S3746" s="8">
        <v>2.19</v>
      </c>
      <c r="T3746" s="8"/>
      <c r="U3746" s="8"/>
      <c r="V3746" s="8"/>
      <c r="W3746" s="8">
        <v>31.47</v>
      </c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>
        <v>12.58</v>
      </c>
      <c r="AN3746" s="8">
        <f>2077*18.5/1000</f>
        <v>38.424500000000002</v>
      </c>
      <c r="AO3746" s="8"/>
      <c r="AP3746" s="11"/>
      <c r="AQ3746" s="8"/>
      <c r="AR3746" s="8">
        <f>4329*18.5/1000</f>
        <v>80.086500000000001</v>
      </c>
      <c r="AS3746" s="8"/>
      <c r="AT3746" s="8">
        <v>1169.7</v>
      </c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>
        <v>85.61</v>
      </c>
      <c r="BH3746" s="9">
        <f t="shared" si="522"/>
        <v>3147.75</v>
      </c>
      <c r="BI3746" s="9">
        <f t="shared" si="523"/>
        <v>19.190000000000001</v>
      </c>
      <c r="BJ3746" s="9">
        <f t="shared" si="524"/>
        <v>2.19</v>
      </c>
      <c r="BK3746" s="9">
        <f t="shared" si="525"/>
        <v>31.47</v>
      </c>
      <c r="BL3746" s="9">
        <f t="shared" si="526"/>
        <v>0</v>
      </c>
      <c r="BM3746" s="9">
        <f t="shared" si="527"/>
        <v>131.09100000000001</v>
      </c>
      <c r="BN3746" s="9">
        <f t="shared" si="528"/>
        <v>1169.7</v>
      </c>
      <c r="BO3746" s="9">
        <f t="shared" si="529"/>
        <v>0</v>
      </c>
      <c r="BP3746" s="9">
        <f t="shared" si="530"/>
        <v>0</v>
      </c>
    </row>
    <row r="3747" spans="1:68">
      <c r="A3747" s="6">
        <v>45236</v>
      </c>
      <c r="B3747" s="7">
        <v>3079</v>
      </c>
      <c r="C3747" s="8"/>
      <c r="D3747" s="8"/>
      <c r="E3747" s="8"/>
      <c r="F3747" s="8">
        <v>336.4</v>
      </c>
      <c r="G3747" s="8"/>
      <c r="H3747" s="8"/>
      <c r="I3747" s="8">
        <v>2719</v>
      </c>
      <c r="J3747" s="8"/>
      <c r="K3747" s="8"/>
      <c r="L3747" s="8"/>
      <c r="M3747" s="8"/>
      <c r="N3747" s="8">
        <v>22.31</v>
      </c>
      <c r="O3747" s="8"/>
      <c r="P3747" s="8"/>
      <c r="Q3747" s="11"/>
      <c r="R3747" s="11"/>
      <c r="S3747" s="8">
        <v>1.22</v>
      </c>
      <c r="T3747" s="8"/>
      <c r="U3747" s="8"/>
      <c r="V3747" s="8"/>
      <c r="W3747" s="8">
        <v>30.58</v>
      </c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>
        <v>12.16</v>
      </c>
      <c r="AN3747" s="8">
        <f>1724*17.98/1000</f>
        <v>30.997520000000002</v>
      </c>
      <c r="AO3747" s="8"/>
      <c r="AP3747" s="11"/>
      <c r="AQ3747" s="8"/>
      <c r="AR3747" s="8">
        <f>4329*17.98/1000</f>
        <v>77.835419999999999</v>
      </c>
      <c r="AS3747" s="8"/>
      <c r="AT3747" s="8">
        <v>1180.2</v>
      </c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>
        <v>85.62</v>
      </c>
      <c r="BH3747" s="9">
        <f t="shared" si="522"/>
        <v>3055.4</v>
      </c>
      <c r="BI3747" s="9">
        <f t="shared" si="523"/>
        <v>22.31</v>
      </c>
      <c r="BJ3747" s="9">
        <f t="shared" si="524"/>
        <v>1.22</v>
      </c>
      <c r="BK3747" s="9">
        <f t="shared" si="525"/>
        <v>30.58</v>
      </c>
      <c r="BL3747" s="9">
        <f t="shared" si="526"/>
        <v>0</v>
      </c>
      <c r="BM3747" s="9">
        <f t="shared" si="527"/>
        <v>120.99294</v>
      </c>
      <c r="BN3747" s="9">
        <f t="shared" si="528"/>
        <v>1180.2</v>
      </c>
      <c r="BO3747" s="9">
        <f t="shared" si="529"/>
        <v>0</v>
      </c>
      <c r="BP3747" s="9">
        <f t="shared" si="530"/>
        <v>0</v>
      </c>
    </row>
    <row r="3748" spans="1:68">
      <c r="A3748" s="6">
        <v>45236</v>
      </c>
      <c r="B3748" s="7">
        <v>3020</v>
      </c>
      <c r="C3748" s="8"/>
      <c r="D3748" s="8">
        <v>173</v>
      </c>
      <c r="E3748" s="8"/>
      <c r="F3748" s="8"/>
      <c r="G3748" s="8"/>
      <c r="H3748" s="8"/>
      <c r="I3748" s="8">
        <v>978.79</v>
      </c>
      <c r="J3748" s="8"/>
      <c r="K3748" s="8"/>
      <c r="L3748" s="8"/>
      <c r="M3748" s="8"/>
      <c r="N3748" s="8">
        <v>7.02</v>
      </c>
      <c r="O3748" s="8"/>
      <c r="P3748" s="8"/>
      <c r="Q3748" s="11"/>
      <c r="R3748" s="11"/>
      <c r="S3748" s="8">
        <v>2.0699999999999998</v>
      </c>
      <c r="T3748" s="8"/>
      <c r="U3748" s="8"/>
      <c r="V3748" s="8"/>
      <c r="W3748" s="8">
        <v>11.51</v>
      </c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>
        <v>11.47</v>
      </c>
      <c r="AN3748" s="8"/>
      <c r="AO3748" s="8"/>
      <c r="AP3748" s="11"/>
      <c r="AQ3748" s="8"/>
      <c r="AR3748" s="8"/>
      <c r="AS3748" s="8">
        <f>3009*9.58/1000</f>
        <v>28.826220000000003</v>
      </c>
      <c r="AT3748" s="8">
        <v>565.64</v>
      </c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>
        <v>41.43</v>
      </c>
      <c r="BH3748" s="9">
        <f t="shared" si="522"/>
        <v>1151.79</v>
      </c>
      <c r="BI3748" s="9">
        <f t="shared" si="523"/>
        <v>7.02</v>
      </c>
      <c r="BJ3748" s="9">
        <f t="shared" si="524"/>
        <v>2.0699999999999998</v>
      </c>
      <c r="BK3748" s="9">
        <f t="shared" si="525"/>
        <v>11.51</v>
      </c>
      <c r="BL3748" s="9">
        <f t="shared" si="526"/>
        <v>0</v>
      </c>
      <c r="BM3748" s="9">
        <f t="shared" si="527"/>
        <v>40.296220000000005</v>
      </c>
      <c r="BN3748" s="9">
        <f t="shared" si="528"/>
        <v>565.64</v>
      </c>
      <c r="BO3748" s="9">
        <f t="shared" si="529"/>
        <v>0</v>
      </c>
      <c r="BP3748" s="9">
        <f t="shared" si="530"/>
        <v>0</v>
      </c>
    </row>
    <row r="3749" spans="1:68">
      <c r="A3749" s="6">
        <v>45236</v>
      </c>
      <c r="B3749" s="7">
        <v>3023</v>
      </c>
      <c r="C3749" s="8"/>
      <c r="D3749" s="8">
        <v>878.22</v>
      </c>
      <c r="E3749" s="8"/>
      <c r="F3749" s="8"/>
      <c r="G3749" s="8"/>
      <c r="H3749" s="8"/>
      <c r="I3749" s="8">
        <v>476.13</v>
      </c>
      <c r="J3749" s="8"/>
      <c r="K3749" s="8"/>
      <c r="L3749" s="8"/>
      <c r="M3749" s="8"/>
      <c r="N3749" s="8">
        <v>7.58</v>
      </c>
      <c r="O3749" s="8"/>
      <c r="P3749" s="8"/>
      <c r="Q3749" s="11"/>
      <c r="R3749" s="11"/>
      <c r="S3749" s="8">
        <v>2.16</v>
      </c>
      <c r="T3749" s="8"/>
      <c r="U3749" s="8"/>
      <c r="V3749" s="8"/>
      <c r="W3749" s="8">
        <v>12.2</v>
      </c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>
        <v>13.51</v>
      </c>
      <c r="AN3749" s="8">
        <f>1016*9.33/1000</f>
        <v>9.479280000000001</v>
      </c>
      <c r="AO3749" s="8"/>
      <c r="AP3749" s="11"/>
      <c r="AQ3749" s="8"/>
      <c r="AR3749" s="8"/>
      <c r="AS3749" s="8">
        <f>4789*9.33/1000</f>
        <v>44.681370000000001</v>
      </c>
      <c r="AT3749" s="8">
        <v>555.39</v>
      </c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>
        <v>41.98</v>
      </c>
      <c r="BH3749" s="9">
        <f t="shared" si="522"/>
        <v>1354.35</v>
      </c>
      <c r="BI3749" s="9">
        <f t="shared" si="523"/>
        <v>7.58</v>
      </c>
      <c r="BJ3749" s="9">
        <f t="shared" si="524"/>
        <v>2.16</v>
      </c>
      <c r="BK3749" s="9">
        <f t="shared" si="525"/>
        <v>12.2</v>
      </c>
      <c r="BL3749" s="9">
        <f t="shared" si="526"/>
        <v>0</v>
      </c>
      <c r="BM3749" s="9">
        <f t="shared" si="527"/>
        <v>67.670649999999995</v>
      </c>
      <c r="BN3749" s="9">
        <f t="shared" si="528"/>
        <v>555.39</v>
      </c>
      <c r="BO3749" s="9">
        <f t="shared" si="529"/>
        <v>0</v>
      </c>
      <c r="BP3749" s="9">
        <f t="shared" si="530"/>
        <v>0</v>
      </c>
    </row>
    <row r="3750" spans="1:68">
      <c r="A3750" s="6">
        <v>45236</v>
      </c>
      <c r="B3750" s="7">
        <v>3028</v>
      </c>
      <c r="C3750" s="8"/>
      <c r="D3750" s="8">
        <v>393.25</v>
      </c>
      <c r="E3750" s="8"/>
      <c r="F3750" s="8">
        <v>359.36</v>
      </c>
      <c r="G3750" s="8"/>
      <c r="H3750" s="8"/>
      <c r="I3750" s="8">
        <v>810.87</v>
      </c>
      <c r="J3750" s="8"/>
      <c r="K3750" s="8"/>
      <c r="L3750" s="8"/>
      <c r="M3750" s="8"/>
      <c r="N3750" s="8">
        <v>12.01</v>
      </c>
      <c r="O3750" s="8"/>
      <c r="P3750" s="8"/>
      <c r="Q3750" s="11"/>
      <c r="R3750" s="11"/>
      <c r="S3750" s="8">
        <v>2.1800000000000002</v>
      </c>
      <c r="T3750" s="8"/>
      <c r="U3750" s="8"/>
      <c r="V3750" s="8"/>
      <c r="W3750" s="8">
        <v>11.71</v>
      </c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>
        <v>15.57</v>
      </c>
      <c r="AN3750" s="8">
        <f>1041*10.4/1000</f>
        <v>10.8264</v>
      </c>
      <c r="AO3750" s="8"/>
      <c r="AP3750" s="11"/>
      <c r="AQ3750" s="8"/>
      <c r="AR3750" s="8"/>
      <c r="AS3750" s="8">
        <f>4985*10.4/1000</f>
        <v>51.844000000000001</v>
      </c>
      <c r="AT3750" s="8">
        <v>521.13</v>
      </c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>
        <v>35.26</v>
      </c>
      <c r="BH3750" s="9">
        <f t="shared" si="522"/>
        <v>1563.48</v>
      </c>
      <c r="BI3750" s="9">
        <f t="shared" si="523"/>
        <v>12.01</v>
      </c>
      <c r="BJ3750" s="9">
        <f t="shared" si="524"/>
        <v>2.1800000000000002</v>
      </c>
      <c r="BK3750" s="9">
        <f t="shared" si="525"/>
        <v>11.71</v>
      </c>
      <c r="BL3750" s="9">
        <f t="shared" si="526"/>
        <v>0</v>
      </c>
      <c r="BM3750" s="9">
        <f t="shared" si="527"/>
        <v>78.240399999999994</v>
      </c>
      <c r="BN3750" s="9">
        <f t="shared" si="528"/>
        <v>521.13</v>
      </c>
      <c r="BO3750" s="9">
        <f t="shared" si="529"/>
        <v>0</v>
      </c>
      <c r="BP3750" s="9">
        <f t="shared" si="530"/>
        <v>0</v>
      </c>
    </row>
    <row r="3751" spans="1:68">
      <c r="A3751" s="6">
        <v>45237</v>
      </c>
      <c r="B3751" s="7">
        <v>3203</v>
      </c>
      <c r="C3751" s="8">
        <v>881.41</v>
      </c>
      <c r="D3751" s="8"/>
      <c r="E3751" s="8">
        <v>378.9</v>
      </c>
      <c r="F3751" s="8"/>
      <c r="G3751" s="8"/>
      <c r="H3751" s="8"/>
      <c r="I3751" s="8"/>
      <c r="J3751" s="8"/>
      <c r="K3751" s="8"/>
      <c r="L3751" s="8"/>
      <c r="M3751" s="8"/>
      <c r="N3751" s="8"/>
      <c r="O3751" s="8">
        <v>3.8</v>
      </c>
      <c r="P3751" s="8"/>
      <c r="Q3751" s="11"/>
      <c r="R3751" s="11"/>
      <c r="S3751" s="8">
        <v>4.95</v>
      </c>
      <c r="T3751" s="8"/>
      <c r="U3751" s="8">
        <v>15.72</v>
      </c>
      <c r="V3751" s="8"/>
      <c r="W3751" s="8"/>
      <c r="X3751" s="8"/>
      <c r="Y3751" s="8"/>
      <c r="Z3751" s="8">
        <v>199.57</v>
      </c>
      <c r="AA3751" s="8">
        <f>10504*14.9/1000</f>
        <v>156.50960000000001</v>
      </c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11"/>
      <c r="AQ3751" s="8"/>
      <c r="AR3751" s="8"/>
      <c r="AS3751" s="8"/>
      <c r="AT3751" s="8">
        <v>473.58</v>
      </c>
      <c r="AU3751" s="8">
        <v>236.64</v>
      </c>
      <c r="AV3751" s="8"/>
      <c r="AW3751" s="8"/>
      <c r="AX3751" s="8"/>
      <c r="AY3751" s="8"/>
      <c r="AZ3751" s="8"/>
      <c r="BA3751" s="8"/>
      <c r="BB3751" s="8"/>
      <c r="BC3751" s="8">
        <v>3.3</v>
      </c>
      <c r="BD3751" s="8"/>
      <c r="BE3751" s="8"/>
      <c r="BF3751" s="8"/>
      <c r="BG3751" s="8">
        <v>45.98</v>
      </c>
      <c r="BH3751" s="9">
        <f t="shared" si="522"/>
        <v>1260.31</v>
      </c>
      <c r="BI3751" s="9">
        <f t="shared" si="523"/>
        <v>3.8</v>
      </c>
      <c r="BJ3751" s="9">
        <f t="shared" si="524"/>
        <v>4.95</v>
      </c>
      <c r="BK3751" s="9">
        <f t="shared" si="525"/>
        <v>15.72</v>
      </c>
      <c r="BL3751" s="9">
        <f t="shared" si="526"/>
        <v>356.07960000000003</v>
      </c>
      <c r="BM3751" s="9">
        <f t="shared" si="527"/>
        <v>0</v>
      </c>
      <c r="BN3751" s="9">
        <f t="shared" si="528"/>
        <v>710.22</v>
      </c>
      <c r="BO3751" s="9">
        <f t="shared" si="529"/>
        <v>3.3</v>
      </c>
      <c r="BP3751" s="9">
        <f t="shared" si="530"/>
        <v>0</v>
      </c>
    </row>
    <row r="3752" spans="1:68">
      <c r="A3752" s="6">
        <v>45237</v>
      </c>
      <c r="B3752" s="7">
        <v>3136</v>
      </c>
      <c r="C3752" s="8">
        <v>1266.17</v>
      </c>
      <c r="D3752" s="8"/>
      <c r="E3752" s="8"/>
      <c r="F3752" s="8"/>
      <c r="G3752" s="8"/>
      <c r="H3752" s="8">
        <v>526.08000000000004</v>
      </c>
      <c r="I3752" s="8"/>
      <c r="J3752" s="8"/>
      <c r="K3752" s="8"/>
      <c r="L3752" s="8"/>
      <c r="M3752" s="8">
        <v>2.34</v>
      </c>
      <c r="N3752" s="8"/>
      <c r="O3752" s="8"/>
      <c r="P3752" s="8"/>
      <c r="Q3752" s="11"/>
      <c r="R3752" s="11"/>
      <c r="S3752" s="8">
        <v>6.71</v>
      </c>
      <c r="T3752" s="8"/>
      <c r="U3752" s="8">
        <v>20.309999999999999</v>
      </c>
      <c r="V3752" s="8"/>
      <c r="W3752" s="8"/>
      <c r="X3752" s="8"/>
      <c r="Y3752" s="8"/>
      <c r="Z3752" s="8"/>
      <c r="AA3752" s="8"/>
      <c r="AB3752" s="8"/>
      <c r="AC3752" s="8">
        <v>6.24</v>
      </c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11"/>
      <c r="AQ3752" s="8"/>
      <c r="AR3752" s="8"/>
      <c r="AS3752" s="8"/>
      <c r="AT3752" s="8">
        <v>1014.12</v>
      </c>
      <c r="AU3752" s="8"/>
      <c r="AV3752" s="8"/>
      <c r="AW3752" s="8"/>
      <c r="AX3752" s="8"/>
      <c r="AY3752" s="8"/>
      <c r="AZ3752" s="8"/>
      <c r="BA3752" s="8">
        <v>15.42</v>
      </c>
      <c r="BB3752" s="8"/>
      <c r="BC3752" s="8"/>
      <c r="BD3752" s="8"/>
      <c r="BE3752" s="8"/>
      <c r="BF3752" s="8">
        <v>62.45</v>
      </c>
      <c r="BG3752" s="8">
        <v>76.62</v>
      </c>
      <c r="BH3752" s="9">
        <f t="shared" si="522"/>
        <v>1792.25</v>
      </c>
      <c r="BI3752" s="9">
        <f t="shared" si="523"/>
        <v>2.34</v>
      </c>
      <c r="BJ3752" s="9">
        <f t="shared" si="524"/>
        <v>6.71</v>
      </c>
      <c r="BK3752" s="9">
        <f t="shared" si="525"/>
        <v>20.309999999999999</v>
      </c>
      <c r="BL3752" s="9">
        <f t="shared" si="526"/>
        <v>0</v>
      </c>
      <c r="BM3752" s="9">
        <f t="shared" si="527"/>
        <v>6.24</v>
      </c>
      <c r="BN3752" s="9">
        <f t="shared" si="528"/>
        <v>1014.12</v>
      </c>
      <c r="BO3752" s="9">
        <f t="shared" si="529"/>
        <v>15.42</v>
      </c>
      <c r="BP3752" s="9">
        <f t="shared" si="530"/>
        <v>62.45</v>
      </c>
    </row>
    <row r="3753" spans="1:68">
      <c r="A3753" s="6">
        <v>45237</v>
      </c>
      <c r="B3753" s="7">
        <v>3106</v>
      </c>
      <c r="C3753" s="8">
        <v>8184.86</v>
      </c>
      <c r="D3753" s="8"/>
      <c r="E3753" s="8"/>
      <c r="F3753" s="8"/>
      <c r="G3753" s="8"/>
      <c r="H3753" s="8"/>
      <c r="I3753" s="8"/>
      <c r="J3753" s="8"/>
      <c r="K3753" s="8"/>
      <c r="L3753" s="8"/>
      <c r="M3753" s="8">
        <v>22.12</v>
      </c>
      <c r="N3753" s="8"/>
      <c r="O3753" s="8"/>
      <c r="P3753" s="8"/>
      <c r="Q3753" s="11"/>
      <c r="R3753" s="11"/>
      <c r="S3753" s="8">
        <v>24.61</v>
      </c>
      <c r="T3753" s="8"/>
      <c r="U3753" s="8">
        <v>104.12</v>
      </c>
      <c r="V3753" s="8"/>
      <c r="W3753" s="8"/>
      <c r="X3753" s="8"/>
      <c r="Y3753" s="8"/>
      <c r="Z3753" s="8"/>
      <c r="AA3753" s="8"/>
      <c r="AB3753" s="8"/>
      <c r="AC3753" s="8">
        <v>20.46</v>
      </c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11"/>
      <c r="AQ3753" s="8"/>
      <c r="AR3753" s="8"/>
      <c r="AS3753" s="8"/>
      <c r="AT3753" s="8">
        <v>4664.59</v>
      </c>
      <c r="AU3753" s="8"/>
      <c r="AV3753" s="8"/>
      <c r="AW3753" s="8"/>
      <c r="AX3753" s="8">
        <v>10.24</v>
      </c>
      <c r="AY3753" s="8"/>
      <c r="AZ3753" s="8"/>
      <c r="BA3753" s="8"/>
      <c r="BB3753" s="8"/>
      <c r="BC3753" s="8"/>
      <c r="BD3753" s="8"/>
      <c r="BE3753" s="8"/>
      <c r="BF3753" s="8"/>
      <c r="BG3753" s="8">
        <v>352.6</v>
      </c>
      <c r="BH3753" s="9">
        <f t="shared" si="522"/>
        <v>8184.86</v>
      </c>
      <c r="BI3753" s="9">
        <f t="shared" si="523"/>
        <v>22.12</v>
      </c>
      <c r="BJ3753" s="9">
        <f t="shared" si="524"/>
        <v>24.61</v>
      </c>
      <c r="BK3753" s="9">
        <f t="shared" si="525"/>
        <v>104.12</v>
      </c>
      <c r="BL3753" s="9">
        <f t="shared" si="526"/>
        <v>0</v>
      </c>
      <c r="BM3753" s="9">
        <f t="shared" si="527"/>
        <v>20.46</v>
      </c>
      <c r="BN3753" s="9">
        <f t="shared" si="528"/>
        <v>4664.59</v>
      </c>
      <c r="BO3753" s="9">
        <f t="shared" si="529"/>
        <v>10.24</v>
      </c>
      <c r="BP3753" s="9">
        <f t="shared" si="530"/>
        <v>0</v>
      </c>
    </row>
    <row r="3754" spans="1:68">
      <c r="A3754" s="6">
        <v>45237</v>
      </c>
      <c r="B3754" s="7">
        <v>3079</v>
      </c>
      <c r="C3754" s="8"/>
      <c r="D3754" s="8"/>
      <c r="E3754" s="8"/>
      <c r="F3754" s="8">
        <v>496.7</v>
      </c>
      <c r="G3754" s="8"/>
      <c r="H3754" s="8"/>
      <c r="I3754" s="8">
        <v>4018.35</v>
      </c>
      <c r="J3754" s="8"/>
      <c r="K3754" s="8"/>
      <c r="L3754" s="8"/>
      <c r="M3754" s="8"/>
      <c r="N3754" s="8">
        <v>32.979999999999997</v>
      </c>
      <c r="O3754" s="8"/>
      <c r="P3754" s="8"/>
      <c r="Q3754" s="11"/>
      <c r="R3754" s="11"/>
      <c r="S3754" s="8">
        <v>1.78</v>
      </c>
      <c r="T3754" s="8"/>
      <c r="U3754" s="8"/>
      <c r="V3754" s="8"/>
      <c r="W3754" s="8">
        <v>45.17</v>
      </c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>
        <v>17.95</v>
      </c>
      <c r="AN3754" s="8">
        <f>1704*26.57/1000</f>
        <v>45.275280000000002</v>
      </c>
      <c r="AO3754" s="8"/>
      <c r="AP3754" s="11"/>
      <c r="AQ3754" s="8"/>
      <c r="AR3754" s="8">
        <f>4337*26.57/1000</f>
        <v>115.23408999999999</v>
      </c>
      <c r="AS3754" s="8"/>
      <c r="AT3754" s="8">
        <v>1740.21</v>
      </c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>
        <v>126.66</v>
      </c>
      <c r="BH3754" s="9">
        <f t="shared" si="522"/>
        <v>4515.05</v>
      </c>
      <c r="BI3754" s="9">
        <f t="shared" si="523"/>
        <v>32.979999999999997</v>
      </c>
      <c r="BJ3754" s="9">
        <f t="shared" si="524"/>
        <v>1.78</v>
      </c>
      <c r="BK3754" s="9">
        <f t="shared" si="525"/>
        <v>45.17</v>
      </c>
      <c r="BL3754" s="9">
        <f t="shared" si="526"/>
        <v>0</v>
      </c>
      <c r="BM3754" s="9">
        <f t="shared" si="527"/>
        <v>178.45936999999998</v>
      </c>
      <c r="BN3754" s="9">
        <f t="shared" si="528"/>
        <v>1740.21</v>
      </c>
      <c r="BO3754" s="9">
        <f t="shared" si="529"/>
        <v>0</v>
      </c>
      <c r="BP3754" s="9">
        <f t="shared" si="530"/>
        <v>0</v>
      </c>
    </row>
    <row r="3755" spans="1:68">
      <c r="A3755" s="6">
        <v>45238</v>
      </c>
      <c r="B3755" s="7">
        <v>3021</v>
      </c>
      <c r="C3755" s="8"/>
      <c r="D3755" s="8">
        <v>206.59</v>
      </c>
      <c r="E3755" s="8"/>
      <c r="F3755" s="8"/>
      <c r="G3755" s="8"/>
      <c r="H3755" s="8"/>
      <c r="I3755" s="8">
        <v>383</v>
      </c>
      <c r="J3755" s="8"/>
      <c r="K3755" s="8"/>
      <c r="L3755" s="8"/>
      <c r="M3755" s="8"/>
      <c r="N3755" s="8">
        <v>3.12</v>
      </c>
      <c r="O3755" s="8"/>
      <c r="P3755" s="8"/>
      <c r="Q3755" s="11"/>
      <c r="R3755" s="11"/>
      <c r="S3755" s="8">
        <v>1.06</v>
      </c>
      <c r="T3755" s="8"/>
      <c r="U3755" s="8"/>
      <c r="V3755" s="8"/>
      <c r="W3755" s="8">
        <v>5.91</v>
      </c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>
        <v>5.87</v>
      </c>
      <c r="AN3755" s="8"/>
      <c r="AO3755" s="8"/>
      <c r="AP3755" s="11"/>
      <c r="AQ3755" s="8"/>
      <c r="AR3755" s="8"/>
      <c r="AS3755" s="8">
        <f>2665*5.6/1000</f>
        <v>14.923999999999998</v>
      </c>
      <c r="AT3755" s="8">
        <v>277.89</v>
      </c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>
        <v>20.99</v>
      </c>
      <c r="BH3755" s="9">
        <f t="shared" si="522"/>
        <v>589.59</v>
      </c>
      <c r="BI3755" s="9">
        <f t="shared" si="523"/>
        <v>3.12</v>
      </c>
      <c r="BJ3755" s="9">
        <f t="shared" si="524"/>
        <v>1.06</v>
      </c>
      <c r="BK3755" s="9">
        <f t="shared" si="525"/>
        <v>5.91</v>
      </c>
      <c r="BL3755" s="9">
        <f t="shared" si="526"/>
        <v>0</v>
      </c>
      <c r="BM3755" s="9">
        <f t="shared" si="527"/>
        <v>20.793999999999997</v>
      </c>
      <c r="BN3755" s="9">
        <f t="shared" si="528"/>
        <v>277.89</v>
      </c>
      <c r="BO3755" s="9">
        <f t="shared" si="529"/>
        <v>0</v>
      </c>
      <c r="BP3755" s="9">
        <f t="shared" si="530"/>
        <v>0</v>
      </c>
    </row>
    <row r="3756" spans="1:68">
      <c r="A3756" s="6">
        <v>45238</v>
      </c>
      <c r="B3756" s="7">
        <v>3028</v>
      </c>
      <c r="C3756" s="8"/>
      <c r="D3756" s="8">
        <v>751.32</v>
      </c>
      <c r="E3756" s="8"/>
      <c r="F3756" s="8">
        <v>692.99</v>
      </c>
      <c r="G3756" s="8"/>
      <c r="H3756" s="8"/>
      <c r="I3756" s="8">
        <v>1565.49</v>
      </c>
      <c r="J3756" s="8"/>
      <c r="K3756" s="8"/>
      <c r="L3756" s="8"/>
      <c r="M3756" s="8"/>
      <c r="N3756" s="8">
        <v>23.17</v>
      </c>
      <c r="O3756" s="8"/>
      <c r="P3756" s="8"/>
      <c r="Q3756" s="11"/>
      <c r="R3756" s="11"/>
      <c r="S3756" s="8">
        <v>4.22</v>
      </c>
      <c r="T3756" s="8"/>
      <c r="U3756" s="8"/>
      <c r="V3756" s="8"/>
      <c r="W3756" s="8">
        <v>22.6</v>
      </c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>
        <v>30.05</v>
      </c>
      <c r="AN3756" s="8">
        <f>1073*20.08/1000</f>
        <v>21.545839999999995</v>
      </c>
      <c r="AO3756" s="8"/>
      <c r="AP3756" s="11"/>
      <c r="AQ3756" s="8"/>
      <c r="AR3756" s="8"/>
      <c r="AS3756" s="8">
        <f>4966*20.08/1000</f>
        <v>99.717279999999988</v>
      </c>
      <c r="AT3756" s="8">
        <v>1003.68</v>
      </c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>
        <v>68.290000000000006</v>
      </c>
      <c r="BH3756" s="9">
        <f t="shared" si="522"/>
        <v>3009.8</v>
      </c>
      <c r="BI3756" s="9">
        <f t="shared" si="523"/>
        <v>23.17</v>
      </c>
      <c r="BJ3756" s="9">
        <f t="shared" si="524"/>
        <v>4.22</v>
      </c>
      <c r="BK3756" s="9">
        <f t="shared" si="525"/>
        <v>22.6</v>
      </c>
      <c r="BL3756" s="9">
        <f t="shared" si="526"/>
        <v>0</v>
      </c>
      <c r="BM3756" s="9">
        <f t="shared" si="527"/>
        <v>151.31311999999997</v>
      </c>
      <c r="BN3756" s="9">
        <f t="shared" si="528"/>
        <v>1003.68</v>
      </c>
      <c r="BO3756" s="9">
        <f t="shared" si="529"/>
        <v>0</v>
      </c>
      <c r="BP3756" s="9">
        <f t="shared" si="530"/>
        <v>0</v>
      </c>
    </row>
    <row r="3757" spans="1:68">
      <c r="A3757" s="6">
        <v>45238</v>
      </c>
      <c r="B3757" s="7">
        <v>3027</v>
      </c>
      <c r="C3757" s="8"/>
      <c r="D3757" s="8">
        <v>538.13</v>
      </c>
      <c r="E3757" s="8"/>
      <c r="F3757" s="8"/>
      <c r="G3757" s="8"/>
      <c r="H3757" s="8"/>
      <c r="I3757" s="8">
        <v>441.22</v>
      </c>
      <c r="J3757" s="8"/>
      <c r="K3757" s="8"/>
      <c r="L3757" s="8"/>
      <c r="M3757" s="8"/>
      <c r="N3757" s="8">
        <v>5.59</v>
      </c>
      <c r="O3757" s="8"/>
      <c r="P3757" s="8"/>
      <c r="Q3757" s="11"/>
      <c r="R3757" s="11"/>
      <c r="S3757" s="8">
        <v>1.57</v>
      </c>
      <c r="T3757" s="8"/>
      <c r="U3757" s="8"/>
      <c r="V3757" s="8"/>
      <c r="W3757" s="8">
        <v>7.35</v>
      </c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>
        <v>9.81</v>
      </c>
      <c r="AN3757" s="8">
        <f>1238*5.6/1000</f>
        <v>6.9327999999999994</v>
      </c>
      <c r="AO3757" s="8"/>
      <c r="AP3757" s="11"/>
      <c r="AQ3757" s="8"/>
      <c r="AR3757" s="8"/>
      <c r="AS3757" s="8">
        <f>5782*5.6/1000</f>
        <v>32.379199999999997</v>
      </c>
      <c r="AT3757" s="8">
        <v>326.08999999999997</v>
      </c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>
        <v>23.1</v>
      </c>
      <c r="BH3757" s="9">
        <f t="shared" si="522"/>
        <v>979.35</v>
      </c>
      <c r="BI3757" s="9">
        <f t="shared" si="523"/>
        <v>5.59</v>
      </c>
      <c r="BJ3757" s="9">
        <f t="shared" si="524"/>
        <v>1.57</v>
      </c>
      <c r="BK3757" s="9">
        <f t="shared" si="525"/>
        <v>7.35</v>
      </c>
      <c r="BL3757" s="9">
        <f t="shared" si="526"/>
        <v>0</v>
      </c>
      <c r="BM3757" s="9">
        <f t="shared" si="527"/>
        <v>49.122</v>
      </c>
      <c r="BN3757" s="9">
        <f t="shared" si="528"/>
        <v>326.08999999999997</v>
      </c>
      <c r="BO3757" s="9">
        <f t="shared" si="529"/>
        <v>0</v>
      </c>
      <c r="BP3757" s="9">
        <f t="shared" si="530"/>
        <v>0</v>
      </c>
    </row>
    <row r="3758" spans="1:68">
      <c r="A3758" s="6">
        <v>45238</v>
      </c>
      <c r="B3758" s="7">
        <v>3024</v>
      </c>
      <c r="C3758" s="8"/>
      <c r="D3758" s="8">
        <v>347.47</v>
      </c>
      <c r="E3758" s="8"/>
      <c r="F3758" s="8"/>
      <c r="G3758" s="8"/>
      <c r="H3758" s="8"/>
      <c r="I3758" s="8">
        <v>346.01</v>
      </c>
      <c r="J3758" s="8"/>
      <c r="K3758" s="8"/>
      <c r="L3758" s="8"/>
      <c r="M3758" s="8"/>
      <c r="N3758" s="8">
        <v>4.3</v>
      </c>
      <c r="O3758" s="8"/>
      <c r="P3758" s="8"/>
      <c r="Q3758" s="11"/>
      <c r="R3758" s="11"/>
      <c r="S3758" s="8">
        <v>1.1100000000000001</v>
      </c>
      <c r="T3758" s="8"/>
      <c r="U3758" s="8"/>
      <c r="V3758" s="8"/>
      <c r="W3758" s="8">
        <v>5.54</v>
      </c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>
        <v>6.93</v>
      </c>
      <c r="AN3758" s="8">
        <f>838*5.78/1000</f>
        <v>4.8436400000000006</v>
      </c>
      <c r="AO3758" s="8"/>
      <c r="AP3758" s="11"/>
      <c r="AQ3758" s="8"/>
      <c r="AR3758" s="8"/>
      <c r="AS3758" s="8">
        <f>3924*5.78/1000</f>
        <v>22.680720000000001</v>
      </c>
      <c r="AT3758" s="8">
        <v>266.87</v>
      </c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>
        <v>19.440000000000001</v>
      </c>
      <c r="BH3758" s="9">
        <f t="shared" si="522"/>
        <v>693.48</v>
      </c>
      <c r="BI3758" s="9">
        <f t="shared" si="523"/>
        <v>4.3</v>
      </c>
      <c r="BJ3758" s="9">
        <f t="shared" si="524"/>
        <v>1.1100000000000001</v>
      </c>
      <c r="BK3758" s="9">
        <f t="shared" si="525"/>
        <v>5.54</v>
      </c>
      <c r="BL3758" s="9">
        <f t="shared" si="526"/>
        <v>0</v>
      </c>
      <c r="BM3758" s="9">
        <f t="shared" si="527"/>
        <v>34.454360000000001</v>
      </c>
      <c r="BN3758" s="9">
        <f t="shared" si="528"/>
        <v>266.87</v>
      </c>
      <c r="BO3758" s="9">
        <f t="shared" si="529"/>
        <v>0</v>
      </c>
      <c r="BP3758" s="9">
        <f t="shared" si="530"/>
        <v>0</v>
      </c>
    </row>
    <row r="3759" spans="1:68">
      <c r="A3759" s="6">
        <v>45238</v>
      </c>
      <c r="B3759" s="7">
        <v>3016</v>
      </c>
      <c r="C3759" s="8"/>
      <c r="D3759" s="8">
        <v>2444.34</v>
      </c>
      <c r="E3759" s="8"/>
      <c r="F3759" s="8"/>
      <c r="G3759" s="8"/>
      <c r="H3759" s="8"/>
      <c r="I3759" s="8">
        <v>2256.0700000000002</v>
      </c>
      <c r="J3759" s="8"/>
      <c r="K3759" s="8"/>
      <c r="L3759" s="8"/>
      <c r="M3759" s="8"/>
      <c r="N3759" s="8">
        <v>28.66</v>
      </c>
      <c r="O3759" s="8"/>
      <c r="P3759" s="8"/>
      <c r="Q3759" s="11"/>
      <c r="R3759" s="11"/>
      <c r="S3759" s="8">
        <v>3.28</v>
      </c>
      <c r="T3759" s="8"/>
      <c r="U3759" s="8"/>
      <c r="V3759" s="8"/>
      <c r="W3759" s="8">
        <v>47.02</v>
      </c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>
        <v>18.77</v>
      </c>
      <c r="AN3759" s="8">
        <f>2052*27.65/1000</f>
        <v>56.737799999999993</v>
      </c>
      <c r="AO3759" s="8"/>
      <c r="AP3759" s="11"/>
      <c r="AQ3759" s="8"/>
      <c r="AR3759" s="8">
        <f>4315*27.65/1000</f>
        <v>119.30974999999999</v>
      </c>
      <c r="AS3759" s="8"/>
      <c r="AT3759" s="8">
        <v>1747.41</v>
      </c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>
        <v>127.96</v>
      </c>
      <c r="BH3759" s="9">
        <f t="shared" si="522"/>
        <v>4700.41</v>
      </c>
      <c r="BI3759" s="9">
        <f t="shared" si="523"/>
        <v>28.66</v>
      </c>
      <c r="BJ3759" s="9">
        <f t="shared" si="524"/>
        <v>3.28</v>
      </c>
      <c r="BK3759" s="9">
        <f t="shared" si="525"/>
        <v>47.02</v>
      </c>
      <c r="BL3759" s="9">
        <f t="shared" si="526"/>
        <v>0</v>
      </c>
      <c r="BM3759" s="9">
        <f t="shared" si="527"/>
        <v>194.81754999999998</v>
      </c>
      <c r="BN3759" s="9">
        <f t="shared" si="528"/>
        <v>1747.41</v>
      </c>
      <c r="BO3759" s="9">
        <f t="shared" si="529"/>
        <v>0</v>
      </c>
      <c r="BP3759" s="9">
        <f t="shared" si="530"/>
        <v>0</v>
      </c>
    </row>
    <row r="3760" spans="1:68">
      <c r="A3760" s="6">
        <v>45238</v>
      </c>
      <c r="B3760" s="7">
        <v>3406</v>
      </c>
      <c r="C3760" s="8">
        <v>450.53</v>
      </c>
      <c r="D3760" s="8">
        <v>113.44</v>
      </c>
      <c r="E3760" s="8"/>
      <c r="F3760" s="8"/>
      <c r="G3760" s="8"/>
      <c r="H3760" s="8"/>
      <c r="I3760" s="8"/>
      <c r="J3760" s="8"/>
      <c r="K3760" s="8"/>
      <c r="L3760" s="8"/>
      <c r="M3760" s="8">
        <v>1.31</v>
      </c>
      <c r="N3760" s="8"/>
      <c r="O3760" s="8"/>
      <c r="P3760" s="8"/>
      <c r="Q3760" s="11"/>
      <c r="R3760" s="11"/>
      <c r="S3760" s="8">
        <v>1.31</v>
      </c>
      <c r="T3760" s="8"/>
      <c r="U3760" s="8"/>
      <c r="V3760" s="8"/>
      <c r="W3760" s="8"/>
      <c r="X3760" s="8">
        <f>1224*5.7/1000</f>
        <v>6.9767999999999999</v>
      </c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11"/>
      <c r="AQ3760" s="8"/>
      <c r="AR3760" s="8"/>
      <c r="AS3760" s="8"/>
      <c r="AT3760" s="8">
        <v>286.64</v>
      </c>
      <c r="AU3760" s="8"/>
      <c r="AV3760" s="8">
        <v>17.07</v>
      </c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>
        <v>19.37</v>
      </c>
      <c r="BH3760" s="9">
        <f t="shared" si="522"/>
        <v>563.97</v>
      </c>
      <c r="BI3760" s="9">
        <f t="shared" si="523"/>
        <v>1.31</v>
      </c>
      <c r="BJ3760" s="9">
        <f t="shared" si="524"/>
        <v>1.31</v>
      </c>
      <c r="BK3760" s="9">
        <f t="shared" si="525"/>
        <v>6.9767999999999999</v>
      </c>
      <c r="BL3760" s="9">
        <f t="shared" si="526"/>
        <v>0</v>
      </c>
      <c r="BM3760" s="9">
        <f t="shared" si="527"/>
        <v>0</v>
      </c>
      <c r="BN3760" s="9">
        <f t="shared" si="528"/>
        <v>286.64</v>
      </c>
      <c r="BO3760" s="9">
        <f t="shared" si="529"/>
        <v>17.07</v>
      </c>
      <c r="BP3760" s="9">
        <f t="shared" si="530"/>
        <v>0</v>
      </c>
    </row>
    <row r="3761" spans="1:68">
      <c r="A3761" s="6">
        <v>45238</v>
      </c>
      <c r="B3761" s="7">
        <v>3200</v>
      </c>
      <c r="C3761" s="8">
        <v>2302.6799999999998</v>
      </c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>
        <v>5.75</v>
      </c>
      <c r="P3761" s="8"/>
      <c r="Q3761" s="11"/>
      <c r="R3761" s="11"/>
      <c r="S3761" s="8">
        <v>8.98</v>
      </c>
      <c r="T3761" s="8"/>
      <c r="U3761" s="8">
        <v>34.53</v>
      </c>
      <c r="V3761" s="8"/>
      <c r="W3761" s="8"/>
      <c r="X3761" s="8"/>
      <c r="Y3761" s="8"/>
      <c r="Z3761" s="8">
        <v>483.67</v>
      </c>
      <c r="AA3761" s="8"/>
      <c r="AB3761" s="8"/>
      <c r="AC3761" s="8"/>
      <c r="AD3761" s="8"/>
      <c r="AE3761" s="8"/>
      <c r="AF3761" s="8">
        <v>115.51</v>
      </c>
      <c r="AG3761" s="8"/>
      <c r="AH3761" s="8"/>
      <c r="AI3761" s="8"/>
      <c r="AJ3761" s="8"/>
      <c r="AK3761" s="8"/>
      <c r="AL3761" s="8"/>
      <c r="AM3761" s="8"/>
      <c r="AN3761" s="8"/>
      <c r="AO3761" s="8"/>
      <c r="AP3761" s="11"/>
      <c r="AQ3761" s="8">
        <f>1536*23.02/1000</f>
        <v>35.358719999999998</v>
      </c>
      <c r="AR3761" s="8"/>
      <c r="AS3761" s="8"/>
      <c r="AT3761" s="8">
        <v>1575.23</v>
      </c>
      <c r="AU3761" s="8"/>
      <c r="AV3761" s="8"/>
      <c r="AW3761" s="8">
        <v>6.58</v>
      </c>
      <c r="AX3761" s="8"/>
      <c r="AY3761" s="8"/>
      <c r="AZ3761" s="8"/>
      <c r="BA3761" s="8"/>
      <c r="BB3761" s="8"/>
      <c r="BC3761" s="8"/>
      <c r="BD3761" s="8"/>
      <c r="BE3761" s="8"/>
      <c r="BF3761" s="8">
        <v>110.61</v>
      </c>
      <c r="BG3761" s="8">
        <v>114.11</v>
      </c>
      <c r="BH3761" s="9">
        <f t="shared" si="522"/>
        <v>2302.6799999999998</v>
      </c>
      <c r="BI3761" s="9">
        <f t="shared" si="523"/>
        <v>5.75</v>
      </c>
      <c r="BJ3761" s="9">
        <f t="shared" si="524"/>
        <v>8.98</v>
      </c>
      <c r="BK3761" s="9">
        <f t="shared" si="525"/>
        <v>34.53</v>
      </c>
      <c r="BL3761" s="9">
        <f t="shared" si="526"/>
        <v>483.67</v>
      </c>
      <c r="BM3761" s="9">
        <f t="shared" si="527"/>
        <v>150.86872</v>
      </c>
      <c r="BN3761" s="9">
        <f t="shared" si="528"/>
        <v>1575.23</v>
      </c>
      <c r="BO3761" s="9">
        <f t="shared" si="529"/>
        <v>6.58</v>
      </c>
      <c r="BP3761" s="9">
        <f t="shared" si="530"/>
        <v>110.61</v>
      </c>
    </row>
    <row r="3762" spans="1:68">
      <c r="A3762" s="6">
        <v>45239</v>
      </c>
      <c r="B3762" s="7">
        <v>3704</v>
      </c>
      <c r="C3762" s="8">
        <v>249.91</v>
      </c>
      <c r="D3762" s="8">
        <v>376.38</v>
      </c>
      <c r="E3762" s="8"/>
      <c r="F3762" s="8"/>
      <c r="G3762" s="8"/>
      <c r="H3762" s="8"/>
      <c r="I3762" s="8"/>
      <c r="J3762" s="8"/>
      <c r="K3762" s="8"/>
      <c r="L3762" s="8"/>
      <c r="M3762" s="8">
        <v>1.88</v>
      </c>
      <c r="N3762" s="8"/>
      <c r="O3762" s="8"/>
      <c r="P3762" s="8"/>
      <c r="Q3762" s="11"/>
      <c r="R3762" s="11"/>
      <c r="S3762" s="8">
        <v>2.19</v>
      </c>
      <c r="T3762" s="8"/>
      <c r="U3762" s="8">
        <v>4.6900000000000004</v>
      </c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>
        <v>7.49</v>
      </c>
      <c r="AN3762" s="8"/>
      <c r="AO3762" s="8"/>
      <c r="AP3762" s="11"/>
      <c r="AQ3762" s="8"/>
      <c r="AR3762" s="8"/>
      <c r="AS3762" s="8"/>
      <c r="AT3762" s="8">
        <v>107.88</v>
      </c>
      <c r="AU3762" s="8">
        <v>54.42</v>
      </c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>
        <v>9.92</v>
      </c>
      <c r="BH3762" s="9">
        <f t="shared" si="522"/>
        <v>626.29</v>
      </c>
      <c r="BI3762" s="9">
        <f t="shared" si="523"/>
        <v>1.88</v>
      </c>
      <c r="BJ3762" s="9">
        <f t="shared" si="524"/>
        <v>2.19</v>
      </c>
      <c r="BK3762" s="9">
        <f t="shared" si="525"/>
        <v>4.6900000000000004</v>
      </c>
      <c r="BL3762" s="9">
        <f t="shared" si="526"/>
        <v>0</v>
      </c>
      <c r="BM3762" s="9">
        <f t="shared" si="527"/>
        <v>7.49</v>
      </c>
      <c r="BN3762" s="9">
        <f t="shared" si="528"/>
        <v>162.30000000000001</v>
      </c>
      <c r="BO3762" s="9">
        <f t="shared" si="529"/>
        <v>0</v>
      </c>
      <c r="BP3762" s="9">
        <f t="shared" si="530"/>
        <v>0</v>
      </c>
    </row>
    <row r="3763" spans="1:68">
      <c r="A3763" s="6">
        <v>45239</v>
      </c>
      <c r="B3763" s="7">
        <v>8311</v>
      </c>
      <c r="C3763" s="8"/>
      <c r="D3763" s="8">
        <v>526.15</v>
      </c>
      <c r="E3763" s="8"/>
      <c r="F3763" s="8"/>
      <c r="G3763" s="8"/>
      <c r="H3763" s="8"/>
      <c r="I3763" s="8">
        <v>116.04</v>
      </c>
      <c r="J3763" s="8"/>
      <c r="K3763" s="8"/>
      <c r="L3763" s="8"/>
      <c r="M3763" s="8">
        <v>1.91</v>
      </c>
      <c r="N3763" s="8"/>
      <c r="O3763" s="8"/>
      <c r="P3763" s="8"/>
      <c r="Q3763" s="11"/>
      <c r="R3763" s="11"/>
      <c r="S3763" s="8">
        <v>2.2400000000000002</v>
      </c>
      <c r="T3763" s="8"/>
      <c r="U3763" s="8">
        <v>4.49</v>
      </c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11"/>
      <c r="AQ3763" s="8"/>
      <c r="AR3763" s="8"/>
      <c r="AS3763" s="8"/>
      <c r="AT3763" s="8">
        <v>38.21</v>
      </c>
      <c r="AU3763" s="8">
        <v>76.09</v>
      </c>
      <c r="AV3763" s="8">
        <v>8.73</v>
      </c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>
        <v>6.3</v>
      </c>
      <c r="BH3763" s="9">
        <f t="shared" si="522"/>
        <v>642.18999999999994</v>
      </c>
      <c r="BI3763" s="9">
        <f t="shared" si="523"/>
        <v>1.91</v>
      </c>
      <c r="BJ3763" s="9">
        <f t="shared" si="524"/>
        <v>2.2400000000000002</v>
      </c>
      <c r="BK3763" s="9">
        <f t="shared" si="525"/>
        <v>4.49</v>
      </c>
      <c r="BL3763" s="9">
        <f t="shared" si="526"/>
        <v>0</v>
      </c>
      <c r="BM3763" s="9">
        <f t="shared" si="527"/>
        <v>0</v>
      </c>
      <c r="BN3763" s="9">
        <f t="shared" si="528"/>
        <v>114.30000000000001</v>
      </c>
      <c r="BO3763" s="9">
        <f t="shared" si="529"/>
        <v>8.73</v>
      </c>
      <c r="BP3763" s="9">
        <f t="shared" si="530"/>
        <v>0</v>
      </c>
    </row>
    <row r="3764" spans="1:68">
      <c r="A3764" s="6">
        <v>45239</v>
      </c>
      <c r="B3764" s="7">
        <v>3145</v>
      </c>
      <c r="C3764" s="8">
        <v>656.21</v>
      </c>
      <c r="D3764" s="8">
        <v>116.01</v>
      </c>
      <c r="E3764" s="8"/>
      <c r="F3764" s="8"/>
      <c r="G3764" s="8"/>
      <c r="H3764" s="8"/>
      <c r="I3764" s="8"/>
      <c r="J3764" s="8"/>
      <c r="K3764" s="8"/>
      <c r="L3764" s="8"/>
      <c r="M3764" s="8">
        <v>2.25</v>
      </c>
      <c r="N3764" s="8"/>
      <c r="O3764" s="8"/>
      <c r="P3764" s="8"/>
      <c r="Q3764" s="11"/>
      <c r="R3764" s="11"/>
      <c r="S3764" s="8">
        <v>3.64</v>
      </c>
      <c r="T3764" s="8"/>
      <c r="U3764" s="8">
        <v>11.61</v>
      </c>
      <c r="V3764" s="8"/>
      <c r="W3764" s="8"/>
      <c r="X3764" s="8"/>
      <c r="Y3764" s="8"/>
      <c r="Z3764" s="8"/>
      <c r="AA3764" s="8"/>
      <c r="AB3764" s="8"/>
      <c r="AC3764" s="8">
        <v>3.1</v>
      </c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11"/>
      <c r="AQ3764" s="8"/>
      <c r="AR3764" s="8"/>
      <c r="AS3764" s="8"/>
      <c r="AT3764" s="8">
        <v>504.96</v>
      </c>
      <c r="AU3764" s="8"/>
      <c r="AV3764" s="8"/>
      <c r="AW3764" s="8"/>
      <c r="AX3764" s="8"/>
      <c r="AY3764" s="8"/>
      <c r="AZ3764" s="8"/>
      <c r="BA3764" s="8"/>
      <c r="BB3764" s="8"/>
      <c r="BC3764" s="8"/>
      <c r="BD3764" s="8">
        <v>1.94</v>
      </c>
      <c r="BE3764" s="8">
        <f>1362*5.15/1000</f>
        <v>7.0143000000000004</v>
      </c>
      <c r="BF3764" s="8">
        <v>54.18</v>
      </c>
      <c r="BG3764" s="8">
        <v>40.340000000000003</v>
      </c>
      <c r="BH3764" s="9">
        <f t="shared" si="522"/>
        <v>772.22</v>
      </c>
      <c r="BI3764" s="9">
        <f t="shared" si="523"/>
        <v>2.25</v>
      </c>
      <c r="BJ3764" s="9">
        <f t="shared" si="524"/>
        <v>3.64</v>
      </c>
      <c r="BK3764" s="9">
        <f t="shared" si="525"/>
        <v>11.61</v>
      </c>
      <c r="BL3764" s="9">
        <f t="shared" si="526"/>
        <v>0</v>
      </c>
      <c r="BM3764" s="9">
        <f t="shared" si="527"/>
        <v>3.1</v>
      </c>
      <c r="BN3764" s="9">
        <f t="shared" si="528"/>
        <v>504.96</v>
      </c>
      <c r="BO3764" s="9">
        <f t="shared" si="529"/>
        <v>8.9542999999999999</v>
      </c>
      <c r="BP3764" s="9">
        <f t="shared" si="530"/>
        <v>54.18</v>
      </c>
    </row>
    <row r="3765" spans="1:68">
      <c r="A3765" s="6">
        <v>45239</v>
      </c>
      <c r="B3765" s="7">
        <v>3141</v>
      </c>
      <c r="C3765" s="8">
        <v>1218.43</v>
      </c>
      <c r="D3765" s="8">
        <v>215.07</v>
      </c>
      <c r="E3765" s="8"/>
      <c r="F3765" s="8"/>
      <c r="G3765" s="8"/>
      <c r="H3765" s="8"/>
      <c r="I3765" s="8"/>
      <c r="J3765" s="8"/>
      <c r="K3765" s="8"/>
      <c r="L3765" s="8"/>
      <c r="M3765" s="8">
        <v>4.16</v>
      </c>
      <c r="N3765" s="8"/>
      <c r="O3765" s="8"/>
      <c r="P3765" s="8"/>
      <c r="Q3765" s="11"/>
      <c r="R3765" s="11"/>
      <c r="S3765" s="8">
        <v>6.75</v>
      </c>
      <c r="T3765" s="8"/>
      <c r="U3765" s="8">
        <v>21.52</v>
      </c>
      <c r="V3765" s="8"/>
      <c r="W3765" s="8"/>
      <c r="X3765" s="8"/>
      <c r="Y3765" s="8"/>
      <c r="Z3765" s="8"/>
      <c r="AA3765" s="8"/>
      <c r="AB3765" s="8"/>
      <c r="AC3765" s="8">
        <v>5.73</v>
      </c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11"/>
      <c r="AQ3765" s="8"/>
      <c r="AR3765" s="8"/>
      <c r="AS3765" s="8"/>
      <c r="AT3765" s="8">
        <v>945.61</v>
      </c>
      <c r="AU3765" s="8"/>
      <c r="AV3765" s="8"/>
      <c r="AW3765" s="8"/>
      <c r="AX3765" s="8"/>
      <c r="AY3765" s="8"/>
      <c r="AZ3765" s="8"/>
      <c r="BA3765" s="8">
        <v>32.880000000000003</v>
      </c>
      <c r="BB3765" s="8"/>
      <c r="BC3765" s="8"/>
      <c r="BD3765" s="8"/>
      <c r="BE3765" s="8"/>
      <c r="BF3765" s="8">
        <v>100.48</v>
      </c>
      <c r="BG3765" s="8">
        <v>74.33</v>
      </c>
      <c r="BH3765" s="9">
        <f t="shared" si="522"/>
        <v>1433.5</v>
      </c>
      <c r="BI3765" s="9">
        <f t="shared" si="523"/>
        <v>4.16</v>
      </c>
      <c r="BJ3765" s="9">
        <f t="shared" si="524"/>
        <v>6.75</v>
      </c>
      <c r="BK3765" s="9">
        <f t="shared" si="525"/>
        <v>21.52</v>
      </c>
      <c r="BL3765" s="9">
        <f t="shared" si="526"/>
        <v>0</v>
      </c>
      <c r="BM3765" s="9">
        <f t="shared" si="527"/>
        <v>5.73</v>
      </c>
      <c r="BN3765" s="9">
        <f t="shared" si="528"/>
        <v>945.61</v>
      </c>
      <c r="BO3765" s="9">
        <f t="shared" si="529"/>
        <v>32.880000000000003</v>
      </c>
      <c r="BP3765" s="9">
        <f t="shared" si="530"/>
        <v>100.48</v>
      </c>
    </row>
    <row r="3766" spans="1:68">
      <c r="A3766" s="6">
        <v>45239</v>
      </c>
      <c r="B3766" s="7">
        <v>3106</v>
      </c>
      <c r="C3766" s="8">
        <v>6088.09</v>
      </c>
      <c r="D3766" s="8"/>
      <c r="E3766" s="8"/>
      <c r="F3766" s="8"/>
      <c r="G3766" s="8"/>
      <c r="H3766" s="8"/>
      <c r="I3766" s="8"/>
      <c r="J3766" s="8"/>
      <c r="K3766" s="8"/>
      <c r="L3766" s="8"/>
      <c r="M3766" s="8">
        <v>16.45</v>
      </c>
      <c r="N3766" s="8"/>
      <c r="O3766" s="8"/>
      <c r="P3766" s="8"/>
      <c r="Q3766" s="11"/>
      <c r="R3766" s="11"/>
      <c r="S3766" s="8">
        <v>18.32</v>
      </c>
      <c r="T3766" s="8"/>
      <c r="U3766" s="8">
        <v>77.47</v>
      </c>
      <c r="V3766" s="8"/>
      <c r="W3766" s="8"/>
      <c r="X3766" s="8"/>
      <c r="Y3766" s="8"/>
      <c r="Z3766" s="8"/>
      <c r="AA3766" s="8"/>
      <c r="AB3766" s="8"/>
      <c r="AC3766" s="8">
        <v>15.23</v>
      </c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11"/>
      <c r="AQ3766" s="8"/>
      <c r="AR3766" s="8"/>
      <c r="AS3766" s="8"/>
      <c r="AT3766" s="8">
        <v>3472.89</v>
      </c>
      <c r="AU3766" s="8"/>
      <c r="AV3766" s="8"/>
      <c r="AW3766" s="8"/>
      <c r="AX3766" s="8">
        <v>7.62</v>
      </c>
      <c r="AY3766" s="8"/>
      <c r="AZ3766" s="8"/>
      <c r="BA3766" s="8"/>
      <c r="BB3766" s="8"/>
      <c r="BC3766" s="8"/>
      <c r="BD3766" s="8"/>
      <c r="BE3766" s="8"/>
      <c r="BF3766" s="8"/>
      <c r="BG3766" s="8">
        <v>261.85000000000002</v>
      </c>
      <c r="BH3766" s="9">
        <f t="shared" si="522"/>
        <v>6088.09</v>
      </c>
      <c r="BI3766" s="9">
        <f t="shared" si="523"/>
        <v>16.45</v>
      </c>
      <c r="BJ3766" s="9">
        <f t="shared" si="524"/>
        <v>18.32</v>
      </c>
      <c r="BK3766" s="9">
        <f t="shared" si="525"/>
        <v>77.47</v>
      </c>
      <c r="BL3766" s="9">
        <f t="shared" si="526"/>
        <v>0</v>
      </c>
      <c r="BM3766" s="9">
        <f t="shared" si="527"/>
        <v>15.23</v>
      </c>
      <c r="BN3766" s="9">
        <f t="shared" si="528"/>
        <v>3472.89</v>
      </c>
      <c r="BO3766" s="9">
        <f t="shared" si="529"/>
        <v>7.62</v>
      </c>
      <c r="BP3766" s="9">
        <f t="shared" si="530"/>
        <v>0</v>
      </c>
    </row>
    <row r="3767" spans="1:68">
      <c r="A3767" s="6">
        <v>45240</v>
      </c>
      <c r="B3767" s="7">
        <v>3200</v>
      </c>
      <c r="C3767" s="8">
        <v>2310.14</v>
      </c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>
        <v>5.8</v>
      </c>
      <c r="P3767" s="8"/>
      <c r="Q3767" s="11"/>
      <c r="R3767" s="11"/>
      <c r="S3767" s="8">
        <v>9.06</v>
      </c>
      <c r="T3767" s="8"/>
      <c r="U3767" s="8">
        <v>34.79</v>
      </c>
      <c r="V3767" s="8"/>
      <c r="W3767" s="8"/>
      <c r="X3767" s="8"/>
      <c r="Y3767" s="8"/>
      <c r="Z3767" s="8">
        <v>486.93</v>
      </c>
      <c r="AA3767" s="8"/>
      <c r="AB3767" s="8"/>
      <c r="AC3767" s="8"/>
      <c r="AD3767" s="8"/>
      <c r="AE3767" s="8"/>
      <c r="AF3767" s="8">
        <v>115.16</v>
      </c>
      <c r="AG3767" s="8"/>
      <c r="AH3767" s="8"/>
      <c r="AI3767" s="8"/>
      <c r="AJ3767" s="8"/>
      <c r="AK3767" s="8"/>
      <c r="AL3767" s="8"/>
      <c r="AM3767" s="8"/>
      <c r="AN3767" s="8"/>
      <c r="AO3767" s="8"/>
      <c r="AP3767" s="11"/>
      <c r="AQ3767" s="8">
        <f>1507*23.18/1000</f>
        <v>34.932259999999999</v>
      </c>
      <c r="AR3767" s="8"/>
      <c r="AS3767" s="8"/>
      <c r="AT3767" s="8">
        <v>1584.53</v>
      </c>
      <c r="AU3767" s="8"/>
      <c r="AV3767" s="8"/>
      <c r="AW3767" s="8">
        <v>6.83</v>
      </c>
      <c r="AX3767" s="8"/>
      <c r="AY3767" s="8"/>
      <c r="AZ3767" s="8"/>
      <c r="BA3767" s="8"/>
      <c r="BB3767" s="8"/>
      <c r="BC3767" s="8"/>
      <c r="BD3767" s="8"/>
      <c r="BE3767" s="8"/>
      <c r="BF3767" s="8">
        <v>111.4</v>
      </c>
      <c r="BG3767" s="8">
        <v>114.99</v>
      </c>
      <c r="BH3767" s="9">
        <f t="shared" si="522"/>
        <v>2310.14</v>
      </c>
      <c r="BI3767" s="9">
        <f t="shared" si="523"/>
        <v>5.8</v>
      </c>
      <c r="BJ3767" s="9">
        <f t="shared" si="524"/>
        <v>9.06</v>
      </c>
      <c r="BK3767" s="9">
        <f t="shared" si="525"/>
        <v>34.79</v>
      </c>
      <c r="BL3767" s="9">
        <f t="shared" si="526"/>
        <v>486.93</v>
      </c>
      <c r="BM3767" s="9">
        <f t="shared" si="527"/>
        <v>150.09226000000001</v>
      </c>
      <c r="BN3767" s="9">
        <f t="shared" si="528"/>
        <v>1584.53</v>
      </c>
      <c r="BO3767" s="9">
        <f t="shared" si="529"/>
        <v>6.83</v>
      </c>
      <c r="BP3767" s="9">
        <f t="shared" si="530"/>
        <v>111.4</v>
      </c>
    </row>
    <row r="3768" spans="1:68">
      <c r="A3768" s="6">
        <v>45240</v>
      </c>
      <c r="B3768" s="7">
        <v>3020</v>
      </c>
      <c r="C3768" s="8"/>
      <c r="D3768" s="8">
        <v>103.47</v>
      </c>
      <c r="E3768" s="8"/>
      <c r="F3768" s="8"/>
      <c r="G3768" s="8"/>
      <c r="H3768" s="8"/>
      <c r="I3768" s="8">
        <v>587.01</v>
      </c>
      <c r="J3768" s="8"/>
      <c r="K3768" s="8"/>
      <c r="L3768" s="8"/>
      <c r="M3768" s="8"/>
      <c r="N3768" s="8">
        <v>4.22</v>
      </c>
      <c r="O3768" s="8"/>
      <c r="P3768" s="8"/>
      <c r="Q3768" s="11"/>
      <c r="R3768" s="11"/>
      <c r="S3768" s="8">
        <v>1.25</v>
      </c>
      <c r="T3768" s="8"/>
      <c r="U3768" s="8"/>
      <c r="V3768" s="8"/>
      <c r="W3768" s="8">
        <v>6.91</v>
      </c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>
        <v>6.86</v>
      </c>
      <c r="AN3768" s="8"/>
      <c r="AO3768" s="8"/>
      <c r="AP3768" s="11"/>
      <c r="AQ3768" s="8"/>
      <c r="AR3768" s="8"/>
      <c r="AS3768" s="8">
        <f>3013*5.75/1000</f>
        <v>17.324750000000002</v>
      </c>
      <c r="AT3768" s="8">
        <v>339.7</v>
      </c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>
        <v>24.86</v>
      </c>
      <c r="BH3768" s="9">
        <f t="shared" si="522"/>
        <v>690.48</v>
      </c>
      <c r="BI3768" s="9">
        <f t="shared" si="523"/>
        <v>4.22</v>
      </c>
      <c r="BJ3768" s="9">
        <f t="shared" si="524"/>
        <v>1.25</v>
      </c>
      <c r="BK3768" s="9">
        <f t="shared" si="525"/>
        <v>6.91</v>
      </c>
      <c r="BL3768" s="9">
        <f t="shared" si="526"/>
        <v>0</v>
      </c>
      <c r="BM3768" s="9">
        <f t="shared" si="527"/>
        <v>24.184750000000001</v>
      </c>
      <c r="BN3768" s="9">
        <f t="shared" si="528"/>
        <v>339.7</v>
      </c>
      <c r="BO3768" s="9">
        <f t="shared" si="529"/>
        <v>0</v>
      </c>
      <c r="BP3768" s="9">
        <f t="shared" si="530"/>
        <v>0</v>
      </c>
    </row>
    <row r="3769" spans="1:68">
      <c r="A3769" s="6">
        <v>45240</v>
      </c>
      <c r="B3769" s="7">
        <v>3023</v>
      </c>
      <c r="C3769" s="8"/>
      <c r="D3769" s="8">
        <v>876.82</v>
      </c>
      <c r="E3769" s="8"/>
      <c r="F3769" s="8"/>
      <c r="G3769" s="8"/>
      <c r="H3769" s="8"/>
      <c r="I3769" s="8">
        <v>476.05</v>
      </c>
      <c r="J3769" s="8"/>
      <c r="K3769" s="8"/>
      <c r="L3769" s="8"/>
      <c r="M3769" s="8"/>
      <c r="N3769" s="8">
        <v>7.57</v>
      </c>
      <c r="O3769" s="8"/>
      <c r="P3769" s="8"/>
      <c r="Q3769" s="11"/>
      <c r="R3769" s="11"/>
      <c r="S3769" s="8">
        <v>2.17</v>
      </c>
      <c r="T3769" s="8"/>
      <c r="U3769" s="8"/>
      <c r="V3769" s="8"/>
      <c r="W3769" s="8">
        <v>12.19</v>
      </c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>
        <v>13.48</v>
      </c>
      <c r="AN3769" s="8">
        <f>1024*9.33/1000</f>
        <v>9.5539199999999997</v>
      </c>
      <c r="AO3769" s="8"/>
      <c r="AP3769" s="11"/>
      <c r="AQ3769" s="8"/>
      <c r="AR3769" s="8"/>
      <c r="AS3769" s="8">
        <f>4796*9.33/1000</f>
        <v>44.746679999999998</v>
      </c>
      <c r="AT3769" s="8">
        <v>555.95000000000005</v>
      </c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>
        <v>41.93</v>
      </c>
      <c r="BH3769" s="9">
        <f t="shared" si="522"/>
        <v>1352.8700000000001</v>
      </c>
      <c r="BI3769" s="9">
        <f t="shared" si="523"/>
        <v>7.57</v>
      </c>
      <c r="BJ3769" s="9">
        <f t="shared" si="524"/>
        <v>2.17</v>
      </c>
      <c r="BK3769" s="9">
        <f t="shared" si="525"/>
        <v>12.19</v>
      </c>
      <c r="BL3769" s="9">
        <f t="shared" si="526"/>
        <v>0</v>
      </c>
      <c r="BM3769" s="9">
        <f t="shared" si="527"/>
        <v>67.780599999999993</v>
      </c>
      <c r="BN3769" s="9">
        <f t="shared" si="528"/>
        <v>555.95000000000005</v>
      </c>
      <c r="BO3769" s="9">
        <f t="shared" si="529"/>
        <v>0</v>
      </c>
      <c r="BP3769" s="9">
        <f t="shared" si="530"/>
        <v>0</v>
      </c>
    </row>
    <row r="3770" spans="1:68">
      <c r="A3770" s="6">
        <v>45240</v>
      </c>
      <c r="B3770" s="7">
        <v>3029</v>
      </c>
      <c r="C3770" s="8"/>
      <c r="D3770" s="8">
        <v>459.55</v>
      </c>
      <c r="E3770" s="8"/>
      <c r="F3770" s="8">
        <v>323.42</v>
      </c>
      <c r="G3770" s="8"/>
      <c r="H3770" s="8"/>
      <c r="I3770" s="8">
        <v>1915.82</v>
      </c>
      <c r="J3770" s="8"/>
      <c r="K3770" s="8"/>
      <c r="L3770" s="8"/>
      <c r="M3770" s="8"/>
      <c r="N3770" s="8">
        <v>21.35</v>
      </c>
      <c r="O3770" s="8"/>
      <c r="P3770" s="8"/>
      <c r="Q3770" s="11"/>
      <c r="R3770" s="11"/>
      <c r="S3770" s="8">
        <v>1.62</v>
      </c>
      <c r="T3770" s="8"/>
      <c r="U3770" s="8"/>
      <c r="V3770" s="8"/>
      <c r="W3770" s="8">
        <v>27.04</v>
      </c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>
        <v>9.43</v>
      </c>
      <c r="AN3770" s="8">
        <f>762*18/1000</f>
        <v>13.715999999999999</v>
      </c>
      <c r="AO3770" s="8"/>
      <c r="AP3770" s="11"/>
      <c r="AQ3770" s="8"/>
      <c r="AR3770" s="8">
        <f>4552*18/1000</f>
        <v>81.936000000000007</v>
      </c>
      <c r="AS3770" s="8"/>
      <c r="AT3770" s="8">
        <v>1025.1500000000001</v>
      </c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>
        <v>71.42</v>
      </c>
      <c r="BH3770" s="9">
        <f t="shared" si="522"/>
        <v>2698.79</v>
      </c>
      <c r="BI3770" s="9">
        <f t="shared" si="523"/>
        <v>21.35</v>
      </c>
      <c r="BJ3770" s="9">
        <f t="shared" si="524"/>
        <v>1.62</v>
      </c>
      <c r="BK3770" s="9">
        <f t="shared" si="525"/>
        <v>27.04</v>
      </c>
      <c r="BL3770" s="9">
        <f t="shared" si="526"/>
        <v>0</v>
      </c>
      <c r="BM3770" s="9">
        <f t="shared" si="527"/>
        <v>105.08200000000001</v>
      </c>
      <c r="BN3770" s="9">
        <f t="shared" si="528"/>
        <v>1025.1500000000001</v>
      </c>
      <c r="BO3770" s="9">
        <f t="shared" si="529"/>
        <v>0</v>
      </c>
      <c r="BP3770" s="9">
        <f t="shared" si="530"/>
        <v>0</v>
      </c>
    </row>
    <row r="3771" spans="1:68">
      <c r="A3771" s="6">
        <v>45240</v>
      </c>
      <c r="B3771" s="7">
        <v>3080</v>
      </c>
      <c r="C3771" s="8"/>
      <c r="D3771" s="8"/>
      <c r="E3771" s="8"/>
      <c r="F3771" s="8">
        <v>97.63</v>
      </c>
      <c r="G3771" s="8"/>
      <c r="H3771" s="8"/>
      <c r="I3771" s="8">
        <v>146.69999999999999</v>
      </c>
      <c r="J3771" s="8"/>
      <c r="K3771" s="8"/>
      <c r="L3771" s="8"/>
      <c r="M3771" s="8"/>
      <c r="N3771" s="8">
        <v>1.67</v>
      </c>
      <c r="O3771" s="8"/>
      <c r="P3771" s="8">
        <f>633*1.57/1000</f>
        <v>0.99381000000000008</v>
      </c>
      <c r="Q3771" s="11"/>
      <c r="R3771" s="11"/>
      <c r="S3771" s="8">
        <v>0.15</v>
      </c>
      <c r="T3771" s="8"/>
      <c r="U3771" s="8"/>
      <c r="V3771" s="8"/>
      <c r="W3771" s="8">
        <v>2.46</v>
      </c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>
        <f>2347*1.57/1000</f>
        <v>3.68479</v>
      </c>
      <c r="AJ3771" s="8"/>
      <c r="AK3771" s="8"/>
      <c r="AL3771" s="8"/>
      <c r="AM3771" s="8"/>
      <c r="AN3771" s="8"/>
      <c r="AO3771" s="8"/>
      <c r="AP3771" s="11"/>
      <c r="AQ3771" s="8">
        <f>1569*1.57/1000</f>
        <v>2.46333</v>
      </c>
      <c r="AR3771" s="8">
        <f>5438*1.57/1000</f>
        <v>8.5376600000000007</v>
      </c>
      <c r="AS3771" s="8"/>
      <c r="AT3771" s="8">
        <v>85.89</v>
      </c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>
        <v>4.66</v>
      </c>
      <c r="BH3771" s="9">
        <f t="shared" si="522"/>
        <v>244.32999999999998</v>
      </c>
      <c r="BI3771" s="9">
        <f t="shared" si="523"/>
        <v>2.6638099999999998</v>
      </c>
      <c r="BJ3771" s="9">
        <f t="shared" si="524"/>
        <v>0.15</v>
      </c>
      <c r="BK3771" s="9">
        <f t="shared" si="525"/>
        <v>2.46</v>
      </c>
      <c r="BL3771" s="9">
        <f t="shared" si="526"/>
        <v>0</v>
      </c>
      <c r="BM3771" s="9">
        <f t="shared" si="527"/>
        <v>14.685780000000001</v>
      </c>
      <c r="BN3771" s="9">
        <f t="shared" si="528"/>
        <v>85.89</v>
      </c>
      <c r="BO3771" s="9">
        <f t="shared" si="529"/>
        <v>0</v>
      </c>
      <c r="BP3771" s="9">
        <f t="shared" si="530"/>
        <v>0</v>
      </c>
    </row>
    <row r="3772" spans="1:68">
      <c r="A3772" s="6">
        <v>45240</v>
      </c>
      <c r="B3772" s="7">
        <v>3139</v>
      </c>
      <c r="C3772" s="8">
        <v>936.46</v>
      </c>
      <c r="D3772" s="8"/>
      <c r="E3772" s="8"/>
      <c r="F3772" s="8"/>
      <c r="G3772" s="8"/>
      <c r="H3772" s="8">
        <v>388.61</v>
      </c>
      <c r="I3772" s="8"/>
      <c r="J3772" s="8"/>
      <c r="K3772" s="8"/>
      <c r="L3772" s="8"/>
      <c r="M3772" s="8">
        <v>2.19</v>
      </c>
      <c r="N3772" s="8"/>
      <c r="O3772" s="8"/>
      <c r="P3772" s="8"/>
      <c r="Q3772" s="11"/>
      <c r="R3772" s="11"/>
      <c r="S3772" s="8">
        <v>4.1500000000000004</v>
      </c>
      <c r="T3772" s="8"/>
      <c r="U3772" s="8">
        <v>13.84</v>
      </c>
      <c r="V3772" s="8"/>
      <c r="W3772" s="8"/>
      <c r="X3772" s="8"/>
      <c r="Y3772" s="8"/>
      <c r="Z3772" s="8"/>
      <c r="AA3772" s="8"/>
      <c r="AB3772" s="8"/>
      <c r="AC3772" s="8">
        <v>4.6100000000000003</v>
      </c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11"/>
      <c r="AQ3772" s="8"/>
      <c r="AR3772" s="8"/>
      <c r="AS3772" s="8"/>
      <c r="AT3772" s="8">
        <v>680.79</v>
      </c>
      <c r="AU3772" s="8"/>
      <c r="AV3772" s="8">
        <v>23.02</v>
      </c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>
        <v>49.59</v>
      </c>
      <c r="BH3772" s="9">
        <f t="shared" si="522"/>
        <v>1325.0700000000002</v>
      </c>
      <c r="BI3772" s="9">
        <f t="shared" si="523"/>
        <v>2.19</v>
      </c>
      <c r="BJ3772" s="9">
        <f t="shared" si="524"/>
        <v>4.1500000000000004</v>
      </c>
      <c r="BK3772" s="9">
        <f t="shared" si="525"/>
        <v>13.84</v>
      </c>
      <c r="BL3772" s="9">
        <f t="shared" si="526"/>
        <v>0</v>
      </c>
      <c r="BM3772" s="9">
        <f t="shared" si="527"/>
        <v>4.6100000000000003</v>
      </c>
      <c r="BN3772" s="9">
        <f t="shared" si="528"/>
        <v>680.79</v>
      </c>
      <c r="BO3772" s="9">
        <f t="shared" si="529"/>
        <v>23.02</v>
      </c>
      <c r="BP3772" s="9">
        <f t="shared" si="530"/>
        <v>0</v>
      </c>
    </row>
    <row r="3773" spans="1:68">
      <c r="A3773" s="6">
        <v>45240</v>
      </c>
      <c r="B3773" s="7">
        <v>3101</v>
      </c>
      <c r="C3773" s="8">
        <v>367.36</v>
      </c>
      <c r="D3773" s="8"/>
      <c r="E3773" s="8"/>
      <c r="F3773" s="8"/>
      <c r="G3773" s="8"/>
      <c r="H3773" s="8"/>
      <c r="I3773" s="8"/>
      <c r="J3773" s="8"/>
      <c r="K3773" s="8"/>
      <c r="L3773" s="8"/>
      <c r="M3773" s="8">
        <v>0.92</v>
      </c>
      <c r="N3773" s="8"/>
      <c r="O3773" s="8"/>
      <c r="P3773" s="8"/>
      <c r="Q3773" s="11"/>
      <c r="R3773" s="11"/>
      <c r="S3773" s="8">
        <v>2.14</v>
      </c>
      <c r="T3773" s="8"/>
      <c r="U3773" s="8">
        <v>5.91</v>
      </c>
      <c r="V3773" s="8"/>
      <c r="W3773" s="8"/>
      <c r="X3773" s="8"/>
      <c r="Y3773" s="8"/>
      <c r="Z3773" s="8"/>
      <c r="AA3773" s="8"/>
      <c r="AB3773" s="8"/>
      <c r="AC3773" s="8">
        <v>1.47</v>
      </c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11"/>
      <c r="AQ3773" s="8"/>
      <c r="AR3773" s="8"/>
      <c r="AS3773" s="8"/>
      <c r="AT3773" s="8">
        <v>247.39</v>
      </c>
      <c r="AU3773" s="8"/>
      <c r="AV3773" s="8"/>
      <c r="AW3773" s="8">
        <v>7.86</v>
      </c>
      <c r="AX3773" s="8"/>
      <c r="AY3773" s="8"/>
      <c r="AZ3773" s="8"/>
      <c r="BA3773" s="8"/>
      <c r="BB3773" s="8"/>
      <c r="BC3773" s="8"/>
      <c r="BD3773" s="8"/>
      <c r="BE3773" s="8"/>
      <c r="BF3773" s="8">
        <v>47.92</v>
      </c>
      <c r="BG3773" s="8">
        <v>18.96</v>
      </c>
      <c r="BH3773" s="9">
        <f t="shared" si="522"/>
        <v>367.36</v>
      </c>
      <c r="BI3773" s="9">
        <f t="shared" si="523"/>
        <v>0.92</v>
      </c>
      <c r="BJ3773" s="9">
        <f t="shared" si="524"/>
        <v>2.14</v>
      </c>
      <c r="BK3773" s="9">
        <f t="shared" si="525"/>
        <v>5.91</v>
      </c>
      <c r="BL3773" s="9">
        <f t="shared" si="526"/>
        <v>0</v>
      </c>
      <c r="BM3773" s="9">
        <f t="shared" si="527"/>
        <v>1.47</v>
      </c>
      <c r="BN3773" s="9">
        <f t="shared" si="528"/>
        <v>247.39</v>
      </c>
      <c r="BO3773" s="9">
        <f t="shared" si="529"/>
        <v>7.86</v>
      </c>
      <c r="BP3773" s="9">
        <f t="shared" si="530"/>
        <v>47.92</v>
      </c>
    </row>
    <row r="3774" spans="1:68">
      <c r="A3774" s="6">
        <v>45240</v>
      </c>
      <c r="B3774" s="7">
        <v>3602</v>
      </c>
      <c r="C3774" s="8">
        <v>563.79999999999995</v>
      </c>
      <c r="D3774" s="8"/>
      <c r="E3774" s="8"/>
      <c r="F3774" s="8"/>
      <c r="G3774" s="8">
        <v>845.82</v>
      </c>
      <c r="H3774" s="8"/>
      <c r="I3774" s="8"/>
      <c r="J3774" s="8"/>
      <c r="K3774" s="8"/>
      <c r="L3774" s="8"/>
      <c r="M3774" s="8">
        <v>1.7</v>
      </c>
      <c r="N3774" s="8"/>
      <c r="O3774" s="8"/>
      <c r="P3774" s="8"/>
      <c r="Q3774" s="11"/>
      <c r="R3774" s="11"/>
      <c r="S3774" s="8">
        <v>6.77</v>
      </c>
      <c r="T3774" s="8"/>
      <c r="U3774" s="8">
        <v>11.29</v>
      </c>
      <c r="V3774" s="8">
        <f>564*16.13/1000</f>
        <v>9.0973199999999999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11"/>
      <c r="AQ3774" s="8"/>
      <c r="AR3774" s="8"/>
      <c r="AS3774" s="8"/>
      <c r="AT3774" s="8">
        <v>569.32000000000005</v>
      </c>
      <c r="AU3774" s="8"/>
      <c r="AV3774" s="8"/>
      <c r="AW3774" s="8">
        <v>36.51</v>
      </c>
      <c r="AX3774" s="8"/>
      <c r="AY3774" s="8"/>
      <c r="AZ3774" s="8"/>
      <c r="BA3774" s="8"/>
      <c r="BB3774" s="8"/>
      <c r="BC3774" s="8"/>
      <c r="BD3774" s="8"/>
      <c r="BE3774" s="8"/>
      <c r="BF3774" s="8">
        <v>45.22</v>
      </c>
      <c r="BG3774" s="8">
        <v>42.25</v>
      </c>
      <c r="BH3774" s="9">
        <f t="shared" si="522"/>
        <v>1409.62</v>
      </c>
      <c r="BI3774" s="9">
        <f t="shared" si="523"/>
        <v>1.7</v>
      </c>
      <c r="BJ3774" s="9">
        <f t="shared" si="524"/>
        <v>6.77</v>
      </c>
      <c r="BK3774" s="9">
        <f t="shared" si="525"/>
        <v>20.387319999999999</v>
      </c>
      <c r="BL3774" s="9">
        <f t="shared" si="526"/>
        <v>0</v>
      </c>
      <c r="BM3774" s="9">
        <f t="shared" si="527"/>
        <v>0</v>
      </c>
      <c r="BN3774" s="9">
        <f t="shared" si="528"/>
        <v>569.32000000000005</v>
      </c>
      <c r="BO3774" s="9">
        <f t="shared" si="529"/>
        <v>36.51</v>
      </c>
      <c r="BP3774" s="9">
        <f t="shared" si="530"/>
        <v>45.22</v>
      </c>
    </row>
    <row r="3775" spans="1:68">
      <c r="A3775" s="6">
        <v>45243</v>
      </c>
      <c r="B3775" s="7">
        <v>3150</v>
      </c>
      <c r="C3775" s="8">
        <v>678.9</v>
      </c>
      <c r="D3775" s="8"/>
      <c r="E3775" s="8"/>
      <c r="F3775" s="8"/>
      <c r="G3775" s="8"/>
      <c r="H3775" s="8"/>
      <c r="I3775" s="8"/>
      <c r="J3775" s="8"/>
      <c r="K3775" s="8"/>
      <c r="L3775" s="8"/>
      <c r="M3775" s="8">
        <v>1.21</v>
      </c>
      <c r="N3775" s="8"/>
      <c r="O3775" s="8"/>
      <c r="P3775" s="8"/>
      <c r="Q3775" s="11"/>
      <c r="R3775" s="11"/>
      <c r="S3775" s="8">
        <v>2.4300000000000002</v>
      </c>
      <c r="T3775" s="8"/>
      <c r="U3775" s="8">
        <v>7.93</v>
      </c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11"/>
      <c r="AQ3775" s="8"/>
      <c r="AR3775" s="8"/>
      <c r="AS3775" s="8"/>
      <c r="AT3775" s="8">
        <v>379.4</v>
      </c>
      <c r="AU3775" s="8"/>
      <c r="AV3775" s="8"/>
      <c r="AW3775" s="8"/>
      <c r="AX3775" s="8"/>
      <c r="AY3775" s="8"/>
      <c r="AZ3775" s="8"/>
      <c r="BA3775" s="8"/>
      <c r="BB3775" s="8"/>
      <c r="BC3775" s="8">
        <v>0.95</v>
      </c>
      <c r="BD3775" s="8"/>
      <c r="BE3775" s="8"/>
      <c r="BF3775" s="8">
        <v>17</v>
      </c>
      <c r="BG3775" s="8">
        <v>26.91</v>
      </c>
      <c r="BH3775" s="9">
        <f t="shared" si="522"/>
        <v>678.9</v>
      </c>
      <c r="BI3775" s="9">
        <f t="shared" si="523"/>
        <v>1.21</v>
      </c>
      <c r="BJ3775" s="9">
        <f t="shared" si="524"/>
        <v>2.4300000000000002</v>
      </c>
      <c r="BK3775" s="9">
        <f t="shared" si="525"/>
        <v>7.93</v>
      </c>
      <c r="BL3775" s="9">
        <f t="shared" si="526"/>
        <v>0</v>
      </c>
      <c r="BM3775" s="9">
        <f t="shared" si="527"/>
        <v>0</v>
      </c>
      <c r="BN3775" s="9">
        <f t="shared" si="528"/>
        <v>379.4</v>
      </c>
      <c r="BO3775" s="9">
        <f t="shared" si="529"/>
        <v>0.95</v>
      </c>
      <c r="BP3775" s="9">
        <f t="shared" si="530"/>
        <v>17</v>
      </c>
    </row>
    <row r="3776" spans="1:68">
      <c r="A3776" s="6">
        <v>45243</v>
      </c>
      <c r="B3776" s="7">
        <v>3151</v>
      </c>
      <c r="C3776" s="8">
        <v>721.46</v>
      </c>
      <c r="D3776" s="8"/>
      <c r="E3776" s="8"/>
      <c r="F3776" s="8"/>
      <c r="G3776" s="8"/>
      <c r="H3776" s="8"/>
      <c r="I3776" s="8"/>
      <c r="J3776" s="8"/>
      <c r="K3776" s="8"/>
      <c r="L3776" s="8"/>
      <c r="M3776" s="8">
        <v>2.16</v>
      </c>
      <c r="N3776" s="8"/>
      <c r="O3776" s="8"/>
      <c r="P3776" s="8"/>
      <c r="Q3776" s="11"/>
      <c r="R3776" s="11"/>
      <c r="S3776" s="8">
        <v>2.72</v>
      </c>
      <c r="T3776" s="8"/>
      <c r="U3776" s="8">
        <v>9.19</v>
      </c>
      <c r="V3776" s="8"/>
      <c r="W3776" s="8"/>
      <c r="X3776" s="8"/>
      <c r="Y3776" s="8"/>
      <c r="Z3776" s="8"/>
      <c r="AA3776" s="8"/>
      <c r="AB3776" s="8"/>
      <c r="AC3776" s="8">
        <v>1.81</v>
      </c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11"/>
      <c r="AQ3776" s="8"/>
      <c r="AR3776" s="8"/>
      <c r="AS3776" s="8"/>
      <c r="AT3776" s="8">
        <v>324.42</v>
      </c>
      <c r="AU3776" s="8"/>
      <c r="AV3776" s="8">
        <v>7.26</v>
      </c>
      <c r="AW3776" s="8"/>
      <c r="AX3776" s="8"/>
      <c r="AY3776" s="8"/>
      <c r="AZ3776" s="8"/>
      <c r="BA3776" s="8"/>
      <c r="BB3776" s="8"/>
      <c r="BC3776" s="8"/>
      <c r="BD3776" s="8"/>
      <c r="BE3776" s="8"/>
      <c r="BF3776" s="8">
        <v>28.91</v>
      </c>
      <c r="BG3776" s="8">
        <v>23.25</v>
      </c>
      <c r="BH3776" s="9">
        <f t="shared" si="522"/>
        <v>721.46</v>
      </c>
      <c r="BI3776" s="9">
        <f t="shared" si="523"/>
        <v>2.16</v>
      </c>
      <c r="BJ3776" s="9">
        <f t="shared" si="524"/>
        <v>2.72</v>
      </c>
      <c r="BK3776" s="9">
        <f t="shared" si="525"/>
        <v>9.19</v>
      </c>
      <c r="BL3776" s="9">
        <f t="shared" si="526"/>
        <v>0</v>
      </c>
      <c r="BM3776" s="9">
        <f t="shared" si="527"/>
        <v>1.81</v>
      </c>
      <c r="BN3776" s="9">
        <f t="shared" si="528"/>
        <v>324.42</v>
      </c>
      <c r="BO3776" s="9">
        <f t="shared" si="529"/>
        <v>7.26</v>
      </c>
      <c r="BP3776" s="9">
        <f t="shared" si="530"/>
        <v>28.91</v>
      </c>
    </row>
    <row r="3777" spans="1:68">
      <c r="A3777" s="6">
        <v>45243</v>
      </c>
      <c r="B3777" s="7">
        <v>3203</v>
      </c>
      <c r="C3777" s="8">
        <v>1729.5</v>
      </c>
      <c r="D3777" s="8"/>
      <c r="E3777" s="8">
        <v>741.44</v>
      </c>
      <c r="F3777" s="8"/>
      <c r="G3777" s="8"/>
      <c r="H3777" s="8"/>
      <c r="I3777" s="8"/>
      <c r="J3777" s="8"/>
      <c r="K3777" s="8"/>
      <c r="L3777" s="8"/>
      <c r="M3777" s="8"/>
      <c r="N3777" s="8"/>
      <c r="O3777" s="8">
        <v>7.42</v>
      </c>
      <c r="P3777" s="8"/>
      <c r="Q3777" s="11"/>
      <c r="R3777" s="11"/>
      <c r="S3777" s="8">
        <v>9.64</v>
      </c>
      <c r="T3777" s="8"/>
      <c r="U3777" s="8">
        <v>30.66</v>
      </c>
      <c r="V3777" s="8"/>
      <c r="W3777" s="8"/>
      <c r="X3777" s="8"/>
      <c r="Y3777" s="8"/>
      <c r="Z3777" s="8">
        <v>389.56</v>
      </c>
      <c r="AA3777" s="8">
        <f>10387*29.08/1000</f>
        <v>302.05395999999996</v>
      </c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11"/>
      <c r="AQ3777" s="8"/>
      <c r="AR3777" s="8"/>
      <c r="AS3777" s="8"/>
      <c r="AT3777" s="8">
        <v>924.82</v>
      </c>
      <c r="AU3777" s="8">
        <v>462.79</v>
      </c>
      <c r="AV3777" s="8"/>
      <c r="AW3777" s="8"/>
      <c r="AX3777" s="8"/>
      <c r="AY3777" s="8"/>
      <c r="AZ3777" s="8"/>
      <c r="BA3777" s="8"/>
      <c r="BB3777" s="8"/>
      <c r="BC3777" s="8">
        <v>6.43</v>
      </c>
      <c r="BD3777" s="8"/>
      <c r="BE3777" s="8"/>
      <c r="BF3777" s="8"/>
      <c r="BG3777" s="8">
        <v>89.79</v>
      </c>
      <c r="BH3777" s="9">
        <f t="shared" si="522"/>
        <v>2470.94</v>
      </c>
      <c r="BI3777" s="9">
        <f t="shared" si="523"/>
        <v>7.42</v>
      </c>
      <c r="BJ3777" s="9">
        <f t="shared" si="524"/>
        <v>9.64</v>
      </c>
      <c r="BK3777" s="9">
        <f t="shared" si="525"/>
        <v>30.66</v>
      </c>
      <c r="BL3777" s="9">
        <f t="shared" si="526"/>
        <v>691.61395999999991</v>
      </c>
      <c r="BM3777" s="9">
        <f t="shared" si="527"/>
        <v>0</v>
      </c>
      <c r="BN3777" s="9">
        <f t="shared" si="528"/>
        <v>1387.6100000000001</v>
      </c>
      <c r="BO3777" s="9">
        <f t="shared" si="529"/>
        <v>6.43</v>
      </c>
      <c r="BP3777" s="9">
        <f t="shared" si="530"/>
        <v>0</v>
      </c>
    </row>
    <row r="3778" spans="1:68">
      <c r="A3778" s="6">
        <v>45243</v>
      </c>
      <c r="B3778" s="7">
        <v>3145</v>
      </c>
      <c r="C3778" s="8">
        <v>1244.03</v>
      </c>
      <c r="D3778" s="8">
        <v>219.59</v>
      </c>
      <c r="E3778" s="8"/>
      <c r="F3778" s="8"/>
      <c r="G3778" s="8"/>
      <c r="H3778" s="8"/>
      <c r="I3778" s="8"/>
      <c r="J3778" s="8"/>
      <c r="K3778" s="8"/>
      <c r="L3778" s="8"/>
      <c r="M3778" s="8">
        <v>4.1100000000000003</v>
      </c>
      <c r="N3778" s="8"/>
      <c r="O3778" s="8"/>
      <c r="P3778" s="8"/>
      <c r="Q3778" s="11"/>
      <c r="R3778" s="11"/>
      <c r="S3778" s="8">
        <v>6.89</v>
      </c>
      <c r="T3778" s="8"/>
      <c r="U3778" s="8">
        <v>22</v>
      </c>
      <c r="V3778" s="8"/>
      <c r="W3778" s="8"/>
      <c r="X3778" s="8"/>
      <c r="Y3778" s="8"/>
      <c r="Z3778" s="8"/>
      <c r="AA3778" s="8"/>
      <c r="AB3778" s="8"/>
      <c r="AC3778" s="8">
        <v>5.86</v>
      </c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11"/>
      <c r="AQ3778" s="8"/>
      <c r="AR3778" s="8"/>
      <c r="AS3778" s="8"/>
      <c r="AT3778" s="8">
        <v>976.95</v>
      </c>
      <c r="AU3778" s="8"/>
      <c r="AV3778" s="8"/>
      <c r="AW3778" s="8"/>
      <c r="AX3778" s="8"/>
      <c r="AY3778" s="8"/>
      <c r="AZ3778" s="8"/>
      <c r="BA3778" s="8"/>
      <c r="BB3778" s="8"/>
      <c r="BC3778" s="8"/>
      <c r="BD3778" s="8">
        <v>3.67</v>
      </c>
      <c r="BE3778" s="8">
        <f>1375*9.77/1000</f>
        <v>13.43375</v>
      </c>
      <c r="BF3778" s="8">
        <v>102.61</v>
      </c>
      <c r="BG3778" s="8">
        <v>75.989999999999995</v>
      </c>
      <c r="BH3778" s="9">
        <f t="shared" si="522"/>
        <v>1463.62</v>
      </c>
      <c r="BI3778" s="9">
        <f t="shared" si="523"/>
        <v>4.1100000000000003</v>
      </c>
      <c r="BJ3778" s="9">
        <f t="shared" si="524"/>
        <v>6.89</v>
      </c>
      <c r="BK3778" s="9">
        <f t="shared" si="525"/>
        <v>22</v>
      </c>
      <c r="BL3778" s="9">
        <f t="shared" si="526"/>
        <v>0</v>
      </c>
      <c r="BM3778" s="9">
        <f t="shared" si="527"/>
        <v>5.86</v>
      </c>
      <c r="BN3778" s="9">
        <f t="shared" si="528"/>
        <v>976.95</v>
      </c>
      <c r="BO3778" s="9">
        <f t="shared" si="529"/>
        <v>17.103749999999998</v>
      </c>
      <c r="BP3778" s="9">
        <f t="shared" si="530"/>
        <v>102.61</v>
      </c>
    </row>
    <row r="3779" spans="1:68">
      <c r="A3779" s="6">
        <v>45243</v>
      </c>
      <c r="B3779" s="7">
        <v>3106</v>
      </c>
      <c r="C3779" s="8">
        <v>4107.5200000000004</v>
      </c>
      <c r="D3779" s="8"/>
      <c r="E3779" s="8"/>
      <c r="F3779" s="8"/>
      <c r="G3779" s="8"/>
      <c r="H3779" s="8"/>
      <c r="I3779" s="8"/>
      <c r="J3779" s="8"/>
      <c r="K3779" s="8"/>
      <c r="L3779" s="8"/>
      <c r="M3779" s="8">
        <v>10.67</v>
      </c>
      <c r="N3779" s="8"/>
      <c r="O3779" s="8"/>
      <c r="P3779" s="8"/>
      <c r="Q3779" s="11"/>
      <c r="R3779" s="11"/>
      <c r="S3779" s="8">
        <v>12.36</v>
      </c>
      <c r="T3779" s="8"/>
      <c r="U3779" s="8">
        <v>52.26</v>
      </c>
      <c r="V3779" s="8"/>
      <c r="W3779" s="8"/>
      <c r="X3779" s="8"/>
      <c r="Y3779" s="8"/>
      <c r="Z3779" s="8"/>
      <c r="AA3779" s="8"/>
      <c r="AB3779" s="8"/>
      <c r="AC3779" s="8">
        <v>10.28</v>
      </c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11"/>
      <c r="AQ3779" s="8"/>
      <c r="AR3779" s="8"/>
      <c r="AS3779" s="8"/>
      <c r="AT3779" s="8">
        <v>2341.61</v>
      </c>
      <c r="AU3779" s="8"/>
      <c r="AV3779" s="8"/>
      <c r="AW3779" s="8"/>
      <c r="AX3779" s="8">
        <v>5.14</v>
      </c>
      <c r="AY3779" s="8"/>
      <c r="AZ3779" s="8"/>
      <c r="BA3779" s="8"/>
      <c r="BB3779" s="8"/>
      <c r="BC3779" s="8"/>
      <c r="BD3779" s="8"/>
      <c r="BE3779" s="8"/>
      <c r="BF3779" s="8"/>
      <c r="BG3779" s="8">
        <v>176.49</v>
      </c>
      <c r="BH3779" s="9">
        <f t="shared" si="522"/>
        <v>4107.5200000000004</v>
      </c>
      <c r="BI3779" s="9">
        <f t="shared" si="523"/>
        <v>10.67</v>
      </c>
      <c r="BJ3779" s="9">
        <f t="shared" si="524"/>
        <v>12.36</v>
      </c>
      <c r="BK3779" s="9">
        <f t="shared" si="525"/>
        <v>52.26</v>
      </c>
      <c r="BL3779" s="9">
        <f t="shared" si="526"/>
        <v>0</v>
      </c>
      <c r="BM3779" s="9">
        <f t="shared" si="527"/>
        <v>10.28</v>
      </c>
      <c r="BN3779" s="9">
        <f t="shared" si="528"/>
        <v>2341.61</v>
      </c>
      <c r="BO3779" s="9">
        <f t="shared" si="529"/>
        <v>5.14</v>
      </c>
      <c r="BP3779" s="9">
        <f t="shared" si="530"/>
        <v>0</v>
      </c>
    </row>
    <row r="3780" spans="1:68">
      <c r="A3780" s="6">
        <v>45243</v>
      </c>
      <c r="B3780" s="7">
        <v>3113</v>
      </c>
      <c r="C3780" s="8">
        <v>1544.49</v>
      </c>
      <c r="D3780" s="8"/>
      <c r="E3780" s="8"/>
      <c r="F3780" s="8"/>
      <c r="G3780" s="8"/>
      <c r="H3780" s="8"/>
      <c r="I3780" s="8"/>
      <c r="J3780" s="8"/>
      <c r="K3780" s="8"/>
      <c r="L3780" s="8"/>
      <c r="M3780" s="8">
        <v>1.41</v>
      </c>
      <c r="N3780" s="8">
        <v>1.39</v>
      </c>
      <c r="O3780" s="8"/>
      <c r="P3780" s="8"/>
      <c r="Q3780" s="11"/>
      <c r="R3780" s="11"/>
      <c r="S3780" s="8">
        <v>4.6500000000000004</v>
      </c>
      <c r="T3780" s="8"/>
      <c r="U3780" s="8">
        <v>15.42</v>
      </c>
      <c r="V3780" s="8"/>
      <c r="W3780" s="8"/>
      <c r="X3780" s="8"/>
      <c r="Y3780" s="8"/>
      <c r="Z3780" s="8"/>
      <c r="AA3780" s="8"/>
      <c r="AB3780" s="8"/>
      <c r="AC3780" s="8">
        <v>6.17</v>
      </c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11"/>
      <c r="AQ3780" s="8"/>
      <c r="AR3780" s="8"/>
      <c r="AS3780" s="8"/>
      <c r="AT3780" s="8">
        <v>648.41</v>
      </c>
      <c r="AU3780" s="8"/>
      <c r="AV3780" s="8">
        <v>52.56</v>
      </c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>
        <v>46.45</v>
      </c>
      <c r="BH3780" s="9">
        <f t="shared" ref="BH3780:BH3843" si="531">SUM(C3780:L3780)</f>
        <v>1544.49</v>
      </c>
      <c r="BI3780" s="9">
        <f t="shared" ref="BI3780:BI3843" si="532">SUM(M3780:R3780)</f>
        <v>2.8</v>
      </c>
      <c r="BJ3780" s="9">
        <f t="shared" ref="BJ3780:BJ3843" si="533">SUM(S3780)</f>
        <v>4.6500000000000004</v>
      </c>
      <c r="BK3780" s="9">
        <f t="shared" ref="BK3780:BK3843" si="534">SUM(T3780:Y3780)</f>
        <v>15.42</v>
      </c>
      <c r="BL3780" s="9">
        <f t="shared" ref="BL3780:BL3843" si="535">SUM(Z3780:AA3780)</f>
        <v>0</v>
      </c>
      <c r="BM3780" s="9">
        <f t="shared" ref="BM3780:BM3843" si="536">SUM(AB3780:AS3780)</f>
        <v>6.17</v>
      </c>
      <c r="BN3780" s="9">
        <f t="shared" ref="BN3780:BN3843" si="537">SUM(AT3780:AU3780)</f>
        <v>648.41</v>
      </c>
      <c r="BO3780" s="9">
        <f t="shared" ref="BO3780:BO3843" si="538">SUM(AV3780:BE3780)</f>
        <v>52.56</v>
      </c>
      <c r="BP3780" s="9">
        <f t="shared" ref="BP3780:BP3843" si="539">SUM(BF3780)</f>
        <v>0</v>
      </c>
    </row>
    <row r="3781" spans="1:68">
      <c r="A3781" s="6">
        <v>45244</v>
      </c>
      <c r="B3781" s="7">
        <v>3601</v>
      </c>
      <c r="C3781" s="8">
        <v>286.39</v>
      </c>
      <c r="D3781" s="8"/>
      <c r="E3781" s="8"/>
      <c r="F3781" s="8"/>
      <c r="G3781" s="8">
        <v>431.89</v>
      </c>
      <c r="H3781" s="8"/>
      <c r="I3781" s="8"/>
      <c r="J3781" s="8"/>
      <c r="K3781" s="8"/>
      <c r="L3781" s="8"/>
      <c r="M3781" s="8">
        <v>0.85</v>
      </c>
      <c r="N3781" s="8"/>
      <c r="O3781" s="8"/>
      <c r="P3781" s="8"/>
      <c r="Q3781" s="11"/>
      <c r="R3781" s="11"/>
      <c r="S3781" s="8">
        <v>3.49</v>
      </c>
      <c r="T3781" s="8"/>
      <c r="U3781" s="8">
        <v>4.38</v>
      </c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11"/>
      <c r="AQ3781" s="8"/>
      <c r="AR3781" s="8"/>
      <c r="AS3781" s="8"/>
      <c r="AT3781" s="8">
        <v>354.95</v>
      </c>
      <c r="AU3781" s="8"/>
      <c r="AV3781" s="8"/>
      <c r="AW3781" s="8">
        <v>22.11</v>
      </c>
      <c r="AX3781" s="8"/>
      <c r="AY3781" s="8"/>
      <c r="AZ3781" s="8"/>
      <c r="BA3781" s="8"/>
      <c r="BB3781" s="8"/>
      <c r="BC3781" s="8"/>
      <c r="BD3781" s="8"/>
      <c r="BE3781" s="8"/>
      <c r="BF3781" s="8">
        <v>40.74</v>
      </c>
      <c r="BG3781" s="8">
        <v>25.95</v>
      </c>
      <c r="BH3781" s="9">
        <f t="shared" si="531"/>
        <v>718.28</v>
      </c>
      <c r="BI3781" s="9">
        <f t="shared" si="532"/>
        <v>0.85</v>
      </c>
      <c r="BJ3781" s="9">
        <f t="shared" si="533"/>
        <v>3.49</v>
      </c>
      <c r="BK3781" s="9">
        <f t="shared" si="534"/>
        <v>4.38</v>
      </c>
      <c r="BL3781" s="9">
        <f t="shared" si="535"/>
        <v>0</v>
      </c>
      <c r="BM3781" s="9">
        <f t="shared" si="536"/>
        <v>0</v>
      </c>
      <c r="BN3781" s="9">
        <f t="shared" si="537"/>
        <v>354.95</v>
      </c>
      <c r="BO3781" s="9">
        <f t="shared" si="538"/>
        <v>22.11</v>
      </c>
      <c r="BP3781" s="9">
        <f t="shared" si="539"/>
        <v>40.74</v>
      </c>
    </row>
    <row r="3782" spans="1:68">
      <c r="A3782" s="6">
        <v>45244</v>
      </c>
      <c r="B3782" s="7">
        <v>3602</v>
      </c>
      <c r="C3782" s="8">
        <v>283.55</v>
      </c>
      <c r="D3782" s="8"/>
      <c r="E3782" s="8"/>
      <c r="F3782" s="8"/>
      <c r="G3782" s="8">
        <v>424.52</v>
      </c>
      <c r="H3782" s="8"/>
      <c r="I3782" s="8"/>
      <c r="J3782" s="8"/>
      <c r="K3782" s="8"/>
      <c r="L3782" s="8"/>
      <c r="M3782" s="8">
        <v>0.85</v>
      </c>
      <c r="N3782" s="8"/>
      <c r="O3782" s="8"/>
      <c r="P3782" s="8"/>
      <c r="Q3782" s="11"/>
      <c r="R3782" s="11"/>
      <c r="S3782" s="8">
        <v>3.4</v>
      </c>
      <c r="T3782" s="8"/>
      <c r="U3782" s="8">
        <v>5.67</v>
      </c>
      <c r="V3782" s="8">
        <f>861*8.1/1000</f>
        <v>6.9740999999999991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11"/>
      <c r="AQ3782" s="8"/>
      <c r="AR3782" s="8"/>
      <c r="AS3782" s="8"/>
      <c r="AT3782" s="8">
        <v>284.81</v>
      </c>
      <c r="AU3782" s="8"/>
      <c r="AV3782" s="8"/>
      <c r="AW3782" s="8">
        <v>18.32</v>
      </c>
      <c r="AX3782" s="8"/>
      <c r="AY3782" s="8"/>
      <c r="AZ3782" s="8"/>
      <c r="BA3782" s="8"/>
      <c r="BB3782" s="8"/>
      <c r="BC3782" s="8"/>
      <c r="BD3782" s="8"/>
      <c r="BE3782" s="8"/>
      <c r="BF3782" s="8">
        <v>22.71</v>
      </c>
      <c r="BG3782" s="8">
        <v>21.01</v>
      </c>
      <c r="BH3782" s="9">
        <f t="shared" si="531"/>
        <v>708.06999999999994</v>
      </c>
      <c r="BI3782" s="9">
        <f t="shared" si="532"/>
        <v>0.85</v>
      </c>
      <c r="BJ3782" s="9">
        <f t="shared" si="533"/>
        <v>3.4</v>
      </c>
      <c r="BK3782" s="9">
        <f t="shared" si="534"/>
        <v>12.644099999999998</v>
      </c>
      <c r="BL3782" s="9">
        <f t="shared" si="535"/>
        <v>0</v>
      </c>
      <c r="BM3782" s="9">
        <f t="shared" si="536"/>
        <v>0</v>
      </c>
      <c r="BN3782" s="9">
        <f t="shared" si="537"/>
        <v>284.81</v>
      </c>
      <c r="BO3782" s="9">
        <f t="shared" si="538"/>
        <v>18.32</v>
      </c>
      <c r="BP3782" s="9">
        <f t="shared" si="539"/>
        <v>22.71</v>
      </c>
    </row>
    <row r="3783" spans="1:68">
      <c r="A3783" s="6">
        <v>45244</v>
      </c>
      <c r="B3783" s="7">
        <v>3200</v>
      </c>
      <c r="C3783" s="8">
        <v>2250.19</v>
      </c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>
        <v>5.63</v>
      </c>
      <c r="P3783" s="8"/>
      <c r="Q3783" s="11"/>
      <c r="R3783" s="11"/>
      <c r="S3783" s="8">
        <v>8.7799999999999994</v>
      </c>
      <c r="T3783" s="8"/>
      <c r="U3783" s="8">
        <v>33.74</v>
      </c>
      <c r="V3783" s="8"/>
      <c r="W3783" s="8"/>
      <c r="X3783" s="8"/>
      <c r="Y3783" s="8"/>
      <c r="Z3783" s="8">
        <v>472.76</v>
      </c>
      <c r="AA3783" s="8"/>
      <c r="AB3783" s="8"/>
      <c r="AC3783" s="8"/>
      <c r="AD3783" s="8"/>
      <c r="AE3783" s="8"/>
      <c r="AF3783" s="8">
        <v>111.96</v>
      </c>
      <c r="AG3783" s="8"/>
      <c r="AH3783" s="8"/>
      <c r="AI3783" s="8"/>
      <c r="AJ3783" s="8"/>
      <c r="AK3783" s="8"/>
      <c r="AL3783" s="8"/>
      <c r="AM3783" s="8"/>
      <c r="AN3783" s="8"/>
      <c r="AO3783" s="8"/>
      <c r="AP3783" s="11"/>
      <c r="AQ3783" s="8">
        <f>1503*22.5/1000</f>
        <v>33.817500000000003</v>
      </c>
      <c r="AR3783" s="8"/>
      <c r="AS3783" s="8"/>
      <c r="AT3783" s="8">
        <v>1541.78</v>
      </c>
      <c r="AU3783" s="8"/>
      <c r="AV3783" s="8"/>
      <c r="AW3783" s="8">
        <v>6.39</v>
      </c>
      <c r="AX3783" s="8"/>
      <c r="AY3783" s="8"/>
      <c r="AZ3783" s="8"/>
      <c r="BA3783" s="8"/>
      <c r="BB3783" s="8"/>
      <c r="BC3783" s="8"/>
      <c r="BD3783" s="8"/>
      <c r="BE3783" s="8"/>
      <c r="BF3783" s="8">
        <v>108.03</v>
      </c>
      <c r="BG3783" s="8">
        <v>110.87</v>
      </c>
      <c r="BH3783" s="9">
        <f t="shared" si="531"/>
        <v>2250.19</v>
      </c>
      <c r="BI3783" s="9">
        <f t="shared" si="532"/>
        <v>5.63</v>
      </c>
      <c r="BJ3783" s="9">
        <f t="shared" si="533"/>
        <v>8.7799999999999994</v>
      </c>
      <c r="BK3783" s="9">
        <f t="shared" si="534"/>
        <v>33.74</v>
      </c>
      <c r="BL3783" s="9">
        <f t="shared" si="535"/>
        <v>472.76</v>
      </c>
      <c r="BM3783" s="9">
        <f t="shared" si="536"/>
        <v>145.7775</v>
      </c>
      <c r="BN3783" s="9">
        <f t="shared" si="537"/>
        <v>1541.78</v>
      </c>
      <c r="BO3783" s="9">
        <f t="shared" si="538"/>
        <v>6.39</v>
      </c>
      <c r="BP3783" s="9">
        <f t="shared" si="539"/>
        <v>108.03</v>
      </c>
    </row>
    <row r="3784" spans="1:68">
      <c r="A3784" s="6">
        <v>45244</v>
      </c>
      <c r="B3784" s="7">
        <v>3200</v>
      </c>
      <c r="C3784" s="8">
        <v>1208.78</v>
      </c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>
        <v>3.03</v>
      </c>
      <c r="P3784" s="8"/>
      <c r="Q3784" s="11"/>
      <c r="R3784" s="11"/>
      <c r="S3784" s="8">
        <v>4.72</v>
      </c>
      <c r="T3784" s="8"/>
      <c r="U3784" s="8">
        <v>18.14</v>
      </c>
      <c r="V3784" s="8"/>
      <c r="W3784" s="8"/>
      <c r="X3784" s="8"/>
      <c r="Y3784" s="8"/>
      <c r="Z3784" s="8">
        <v>254.17</v>
      </c>
      <c r="AA3784" s="8"/>
      <c r="AB3784" s="8"/>
      <c r="AC3784" s="8"/>
      <c r="AD3784" s="8"/>
      <c r="AE3784" s="8"/>
      <c r="AF3784" s="8">
        <v>60.37</v>
      </c>
      <c r="AG3784" s="8"/>
      <c r="AH3784" s="8"/>
      <c r="AI3784" s="8"/>
      <c r="AJ3784" s="8"/>
      <c r="AK3784" s="8"/>
      <c r="AL3784" s="8"/>
      <c r="AM3784" s="8"/>
      <c r="AN3784" s="8"/>
      <c r="AO3784" s="8"/>
      <c r="AP3784" s="11"/>
      <c r="AQ3784" s="8">
        <f>1503*12.08/1000</f>
        <v>18.15624</v>
      </c>
      <c r="AR3784" s="8"/>
      <c r="AS3784" s="8"/>
      <c r="AT3784" s="8">
        <v>825.08</v>
      </c>
      <c r="AU3784" s="8"/>
      <c r="AV3784" s="8"/>
      <c r="AW3784" s="8">
        <v>3.49</v>
      </c>
      <c r="AX3784" s="8"/>
      <c r="AY3784" s="8"/>
      <c r="AZ3784" s="8"/>
      <c r="BA3784" s="8"/>
      <c r="BB3784" s="8"/>
      <c r="BC3784" s="8"/>
      <c r="BD3784" s="8"/>
      <c r="BE3784" s="8"/>
      <c r="BF3784" s="8">
        <v>58.09</v>
      </c>
      <c r="BG3784" s="8">
        <v>59.96</v>
      </c>
      <c r="BH3784" s="9">
        <f t="shared" si="531"/>
        <v>1208.78</v>
      </c>
      <c r="BI3784" s="9">
        <f t="shared" si="532"/>
        <v>3.03</v>
      </c>
      <c r="BJ3784" s="9">
        <f t="shared" si="533"/>
        <v>4.72</v>
      </c>
      <c r="BK3784" s="9">
        <f t="shared" si="534"/>
        <v>18.14</v>
      </c>
      <c r="BL3784" s="9">
        <f t="shared" si="535"/>
        <v>254.17</v>
      </c>
      <c r="BM3784" s="9">
        <f t="shared" si="536"/>
        <v>78.526240000000001</v>
      </c>
      <c r="BN3784" s="9">
        <f t="shared" si="537"/>
        <v>825.08</v>
      </c>
      <c r="BO3784" s="9">
        <f t="shared" si="538"/>
        <v>3.49</v>
      </c>
      <c r="BP3784" s="9">
        <f t="shared" si="539"/>
        <v>58.09</v>
      </c>
    </row>
    <row r="3785" spans="1:68">
      <c r="A3785" s="6">
        <v>45244</v>
      </c>
      <c r="B3785" s="7">
        <v>3141</v>
      </c>
      <c r="C3785" s="8">
        <v>2396.56</v>
      </c>
      <c r="D3785" s="8">
        <v>422.88</v>
      </c>
      <c r="E3785" s="8"/>
      <c r="F3785" s="8"/>
      <c r="G3785" s="8"/>
      <c r="H3785" s="8"/>
      <c r="I3785" s="8"/>
      <c r="J3785" s="8"/>
      <c r="K3785" s="8"/>
      <c r="L3785" s="8"/>
      <c r="M3785" s="8">
        <v>7.98</v>
      </c>
      <c r="N3785" s="8"/>
      <c r="O3785" s="8"/>
      <c r="P3785" s="8"/>
      <c r="Q3785" s="11"/>
      <c r="R3785" s="11"/>
      <c r="S3785" s="8">
        <v>13.27</v>
      </c>
      <c r="T3785" s="8"/>
      <c r="U3785" s="8">
        <v>42.32</v>
      </c>
      <c r="V3785" s="8"/>
      <c r="W3785" s="8"/>
      <c r="X3785" s="8"/>
      <c r="Y3785" s="8"/>
      <c r="Z3785" s="8"/>
      <c r="AA3785" s="8"/>
      <c r="AB3785" s="8"/>
      <c r="AC3785" s="8">
        <v>11.28</v>
      </c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11"/>
      <c r="AQ3785" s="8"/>
      <c r="AR3785" s="8"/>
      <c r="AS3785" s="8"/>
      <c r="AT3785" s="8">
        <v>1863.29</v>
      </c>
      <c r="AU3785" s="8"/>
      <c r="AV3785" s="8"/>
      <c r="AW3785" s="8"/>
      <c r="AX3785" s="8"/>
      <c r="AY3785" s="8"/>
      <c r="AZ3785" s="8"/>
      <c r="BA3785" s="8">
        <v>64.66</v>
      </c>
      <c r="BB3785" s="8"/>
      <c r="BC3785" s="8"/>
      <c r="BD3785" s="8"/>
      <c r="BE3785" s="8"/>
      <c r="BF3785" s="8">
        <v>197.45</v>
      </c>
      <c r="BG3785" s="8">
        <v>146.91999999999999</v>
      </c>
      <c r="BH3785" s="9">
        <f t="shared" si="531"/>
        <v>2819.44</v>
      </c>
      <c r="BI3785" s="9">
        <f t="shared" si="532"/>
        <v>7.98</v>
      </c>
      <c r="BJ3785" s="9">
        <f t="shared" si="533"/>
        <v>13.27</v>
      </c>
      <c r="BK3785" s="9">
        <f t="shared" si="534"/>
        <v>42.32</v>
      </c>
      <c r="BL3785" s="9">
        <f t="shared" si="535"/>
        <v>0</v>
      </c>
      <c r="BM3785" s="9">
        <f t="shared" si="536"/>
        <v>11.28</v>
      </c>
      <c r="BN3785" s="9">
        <f t="shared" si="537"/>
        <v>1863.29</v>
      </c>
      <c r="BO3785" s="9">
        <f t="shared" si="538"/>
        <v>64.66</v>
      </c>
      <c r="BP3785" s="9">
        <f t="shared" si="539"/>
        <v>197.45</v>
      </c>
    </row>
    <row r="3786" spans="1:68">
      <c r="A3786" s="6">
        <v>45244</v>
      </c>
      <c r="B3786" s="7">
        <v>3106</v>
      </c>
      <c r="C3786" s="8">
        <v>4090.49</v>
      </c>
      <c r="D3786" s="8"/>
      <c r="E3786" s="8"/>
      <c r="F3786" s="8"/>
      <c r="G3786" s="8"/>
      <c r="H3786" s="8"/>
      <c r="I3786" s="8"/>
      <c r="J3786" s="8"/>
      <c r="K3786" s="8"/>
      <c r="L3786" s="8"/>
      <c r="M3786" s="8">
        <v>11.04</v>
      </c>
      <c r="N3786" s="8"/>
      <c r="O3786" s="8"/>
      <c r="P3786" s="8"/>
      <c r="Q3786" s="11"/>
      <c r="R3786" s="11"/>
      <c r="S3786" s="8">
        <v>12.31</v>
      </c>
      <c r="T3786" s="8"/>
      <c r="U3786" s="8">
        <v>52</v>
      </c>
      <c r="V3786" s="8"/>
      <c r="W3786" s="8"/>
      <c r="X3786" s="8"/>
      <c r="Y3786" s="8"/>
      <c r="Z3786" s="8"/>
      <c r="AA3786" s="8"/>
      <c r="AB3786" s="8"/>
      <c r="AC3786" s="8">
        <v>10.23</v>
      </c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11"/>
      <c r="AQ3786" s="8"/>
      <c r="AR3786" s="8"/>
      <c r="AS3786" s="8"/>
      <c r="AT3786" s="8">
        <v>2332.39</v>
      </c>
      <c r="AU3786" s="8"/>
      <c r="AV3786" s="8"/>
      <c r="AW3786" s="8"/>
      <c r="AX3786" s="8">
        <v>5.12</v>
      </c>
      <c r="AY3786" s="8"/>
      <c r="AZ3786" s="8"/>
      <c r="BA3786" s="8"/>
      <c r="BB3786" s="8"/>
      <c r="BC3786" s="8"/>
      <c r="BD3786" s="8"/>
      <c r="BE3786" s="8"/>
      <c r="BF3786" s="8"/>
      <c r="BG3786" s="8">
        <v>176.2</v>
      </c>
      <c r="BH3786" s="9">
        <f t="shared" si="531"/>
        <v>4090.49</v>
      </c>
      <c r="BI3786" s="9">
        <f t="shared" si="532"/>
        <v>11.04</v>
      </c>
      <c r="BJ3786" s="9">
        <f t="shared" si="533"/>
        <v>12.31</v>
      </c>
      <c r="BK3786" s="9">
        <f t="shared" si="534"/>
        <v>52</v>
      </c>
      <c r="BL3786" s="9">
        <f t="shared" si="535"/>
        <v>0</v>
      </c>
      <c r="BM3786" s="9">
        <f t="shared" si="536"/>
        <v>10.23</v>
      </c>
      <c r="BN3786" s="9">
        <f t="shared" si="537"/>
        <v>2332.39</v>
      </c>
      <c r="BO3786" s="9">
        <f t="shared" si="538"/>
        <v>5.12</v>
      </c>
      <c r="BP3786" s="9">
        <f t="shared" si="539"/>
        <v>0</v>
      </c>
    </row>
    <row r="3787" spans="1:68">
      <c r="A3787" s="6">
        <v>45244</v>
      </c>
      <c r="B3787" s="7">
        <v>3156</v>
      </c>
      <c r="C3787" s="8">
        <v>1338.69</v>
      </c>
      <c r="D3787" s="8"/>
      <c r="E3787" s="8"/>
      <c r="F3787" s="8"/>
      <c r="G3787" s="8"/>
      <c r="H3787" s="8"/>
      <c r="I3787" s="8"/>
      <c r="J3787" s="8"/>
      <c r="K3787" s="8"/>
      <c r="L3787" s="8"/>
      <c r="M3787" s="8">
        <v>2.11</v>
      </c>
      <c r="N3787" s="8"/>
      <c r="O3787" s="8"/>
      <c r="P3787" s="8"/>
      <c r="Q3787" s="11"/>
      <c r="R3787" s="11"/>
      <c r="S3787" s="8">
        <v>5.35</v>
      </c>
      <c r="T3787" s="8"/>
      <c r="U3787" s="8">
        <v>13.4</v>
      </c>
      <c r="V3787" s="8"/>
      <c r="W3787" s="8"/>
      <c r="X3787" s="8"/>
      <c r="Y3787" s="8"/>
      <c r="Z3787" s="8"/>
      <c r="AA3787" s="8"/>
      <c r="AB3787" s="8"/>
      <c r="AC3787" s="8">
        <v>3.35</v>
      </c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11"/>
      <c r="AQ3787" s="8"/>
      <c r="AR3787" s="8"/>
      <c r="AS3787" s="8"/>
      <c r="AT3787" s="8">
        <v>629.97</v>
      </c>
      <c r="AU3787" s="8"/>
      <c r="AV3787" s="8"/>
      <c r="AW3787" s="8"/>
      <c r="AX3787" s="8">
        <v>2.9</v>
      </c>
      <c r="AY3787" s="8"/>
      <c r="AZ3787" s="8"/>
      <c r="BA3787" s="8"/>
      <c r="BB3787" s="8"/>
      <c r="BC3787" s="8"/>
      <c r="BD3787" s="8"/>
      <c r="BE3787" s="8"/>
      <c r="BF3787" s="8"/>
      <c r="BG3787" s="8">
        <v>48.87</v>
      </c>
      <c r="BH3787" s="9">
        <f t="shared" si="531"/>
        <v>1338.69</v>
      </c>
      <c r="BI3787" s="9">
        <f t="shared" si="532"/>
        <v>2.11</v>
      </c>
      <c r="BJ3787" s="9">
        <f t="shared" si="533"/>
        <v>5.35</v>
      </c>
      <c r="BK3787" s="9">
        <f t="shared" si="534"/>
        <v>13.4</v>
      </c>
      <c r="BL3787" s="9">
        <f t="shared" si="535"/>
        <v>0</v>
      </c>
      <c r="BM3787" s="9">
        <f t="shared" si="536"/>
        <v>3.35</v>
      </c>
      <c r="BN3787" s="9">
        <f t="shared" si="537"/>
        <v>629.97</v>
      </c>
      <c r="BO3787" s="9">
        <f t="shared" si="538"/>
        <v>2.9</v>
      </c>
      <c r="BP3787" s="9">
        <f t="shared" si="539"/>
        <v>0</v>
      </c>
    </row>
    <row r="3788" spans="1:68">
      <c r="A3788" s="6">
        <v>45244</v>
      </c>
      <c r="B3788" s="7">
        <v>3020</v>
      </c>
      <c r="C3788" s="8"/>
      <c r="D3788" s="8">
        <v>98.51</v>
      </c>
      <c r="E3788" s="8"/>
      <c r="F3788" s="8"/>
      <c r="G3788" s="8"/>
      <c r="H3788" s="8"/>
      <c r="I3788" s="8">
        <v>556.20000000000005</v>
      </c>
      <c r="J3788" s="8"/>
      <c r="K3788" s="8"/>
      <c r="L3788" s="8"/>
      <c r="M3788" s="8"/>
      <c r="N3788" s="8">
        <v>4</v>
      </c>
      <c r="O3788" s="8"/>
      <c r="P3788" s="8"/>
      <c r="Q3788" s="11"/>
      <c r="R3788" s="11"/>
      <c r="S3788" s="8">
        <v>1.18</v>
      </c>
      <c r="T3788" s="8"/>
      <c r="U3788" s="8"/>
      <c r="V3788" s="8"/>
      <c r="W3788" s="8">
        <v>6.56</v>
      </c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>
        <v>6.53</v>
      </c>
      <c r="AN3788" s="8"/>
      <c r="AO3788" s="8"/>
      <c r="AP3788" s="11"/>
      <c r="AQ3788" s="8"/>
      <c r="AR3788" s="8"/>
      <c r="AS3788" s="8">
        <f>3026*5.45/1000</f>
        <v>16.491700000000002</v>
      </c>
      <c r="AT3788" s="8">
        <v>321.79000000000002</v>
      </c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>
        <v>23.56</v>
      </c>
      <c r="BH3788" s="9">
        <f t="shared" si="531"/>
        <v>654.71</v>
      </c>
      <c r="BI3788" s="9">
        <f t="shared" si="532"/>
        <v>4</v>
      </c>
      <c r="BJ3788" s="9">
        <f t="shared" si="533"/>
        <v>1.18</v>
      </c>
      <c r="BK3788" s="9">
        <f t="shared" si="534"/>
        <v>6.56</v>
      </c>
      <c r="BL3788" s="9">
        <f t="shared" si="535"/>
        <v>0</v>
      </c>
      <c r="BM3788" s="9">
        <f t="shared" si="536"/>
        <v>23.021700000000003</v>
      </c>
      <c r="BN3788" s="9">
        <f t="shared" si="537"/>
        <v>321.79000000000002</v>
      </c>
      <c r="BO3788" s="9">
        <f t="shared" si="538"/>
        <v>0</v>
      </c>
      <c r="BP3788" s="9">
        <f t="shared" si="539"/>
        <v>0</v>
      </c>
    </row>
    <row r="3789" spans="1:68">
      <c r="A3789" s="6">
        <v>45244</v>
      </c>
      <c r="B3789" s="7">
        <v>3021</v>
      </c>
      <c r="C3789" s="8"/>
      <c r="D3789" s="8">
        <v>188.38</v>
      </c>
      <c r="E3789" s="8"/>
      <c r="F3789" s="8"/>
      <c r="G3789" s="8"/>
      <c r="H3789" s="8"/>
      <c r="I3789" s="8">
        <v>351.82</v>
      </c>
      <c r="J3789" s="8"/>
      <c r="K3789" s="8"/>
      <c r="L3789" s="8"/>
      <c r="M3789" s="8"/>
      <c r="N3789" s="8">
        <v>2.87</v>
      </c>
      <c r="O3789" s="8"/>
      <c r="P3789" s="8"/>
      <c r="Q3789" s="11"/>
      <c r="R3789" s="11"/>
      <c r="S3789" s="8">
        <v>0.97</v>
      </c>
      <c r="T3789" s="8"/>
      <c r="U3789" s="8"/>
      <c r="V3789" s="8"/>
      <c r="W3789" s="8">
        <v>5.41</v>
      </c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>
        <v>5.41</v>
      </c>
      <c r="AN3789" s="8"/>
      <c r="AO3789" s="8"/>
      <c r="AP3789" s="11"/>
      <c r="AQ3789" s="8"/>
      <c r="AR3789" s="8"/>
      <c r="AS3789" s="8">
        <f>2641*5.15/1000</f>
        <v>13.601150000000002</v>
      </c>
      <c r="AT3789" s="8">
        <v>254.81</v>
      </c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>
        <v>19.190000000000001</v>
      </c>
      <c r="BH3789" s="9">
        <f t="shared" si="531"/>
        <v>540.20000000000005</v>
      </c>
      <c r="BI3789" s="9">
        <f t="shared" si="532"/>
        <v>2.87</v>
      </c>
      <c r="BJ3789" s="9">
        <f t="shared" si="533"/>
        <v>0.97</v>
      </c>
      <c r="BK3789" s="9">
        <f t="shared" si="534"/>
        <v>5.41</v>
      </c>
      <c r="BL3789" s="9">
        <f t="shared" si="535"/>
        <v>0</v>
      </c>
      <c r="BM3789" s="9">
        <f t="shared" si="536"/>
        <v>19.011150000000001</v>
      </c>
      <c r="BN3789" s="9">
        <f t="shared" si="537"/>
        <v>254.81</v>
      </c>
      <c r="BO3789" s="9">
        <f t="shared" si="538"/>
        <v>0</v>
      </c>
      <c r="BP3789" s="9">
        <f t="shared" si="539"/>
        <v>0</v>
      </c>
    </row>
    <row r="3790" spans="1:68">
      <c r="A3790" s="6">
        <v>45244</v>
      </c>
      <c r="B3790" s="7">
        <v>3022</v>
      </c>
      <c r="C3790" s="8"/>
      <c r="D3790" s="8">
        <v>311.55</v>
      </c>
      <c r="E3790" s="8"/>
      <c r="F3790" s="8"/>
      <c r="G3790" s="8"/>
      <c r="H3790" s="8"/>
      <c r="I3790" s="8">
        <v>255.21</v>
      </c>
      <c r="J3790" s="8"/>
      <c r="K3790" s="8"/>
      <c r="L3790" s="8"/>
      <c r="M3790" s="8"/>
      <c r="N3790" s="8">
        <v>2.84</v>
      </c>
      <c r="O3790" s="8"/>
      <c r="P3790" s="8"/>
      <c r="Q3790" s="11"/>
      <c r="R3790" s="11"/>
      <c r="S3790" s="8">
        <v>1.02</v>
      </c>
      <c r="T3790" s="8"/>
      <c r="U3790" s="8"/>
      <c r="V3790" s="8"/>
      <c r="W3790" s="8">
        <v>5.67</v>
      </c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>
        <v>7.36</v>
      </c>
      <c r="AN3790" s="8"/>
      <c r="AO3790" s="8"/>
      <c r="AP3790" s="11"/>
      <c r="AQ3790" s="8"/>
      <c r="AR3790" s="8"/>
      <c r="AS3790" s="8">
        <f>3894*5.15/1000</f>
        <v>20.054100000000002</v>
      </c>
      <c r="AT3790" s="8">
        <v>264.98</v>
      </c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>
        <v>20.37</v>
      </c>
      <c r="BH3790" s="9">
        <f t="shared" si="531"/>
        <v>566.76</v>
      </c>
      <c r="BI3790" s="9">
        <f t="shared" si="532"/>
        <v>2.84</v>
      </c>
      <c r="BJ3790" s="9">
        <f t="shared" si="533"/>
        <v>1.02</v>
      </c>
      <c r="BK3790" s="9">
        <f t="shared" si="534"/>
        <v>5.67</v>
      </c>
      <c r="BL3790" s="9">
        <f t="shared" si="535"/>
        <v>0</v>
      </c>
      <c r="BM3790" s="9">
        <f t="shared" si="536"/>
        <v>27.414100000000001</v>
      </c>
      <c r="BN3790" s="9">
        <f t="shared" si="537"/>
        <v>264.98</v>
      </c>
      <c r="BO3790" s="9">
        <f t="shared" si="538"/>
        <v>0</v>
      </c>
      <c r="BP3790" s="9">
        <f t="shared" si="539"/>
        <v>0</v>
      </c>
    </row>
    <row r="3791" spans="1:68">
      <c r="A3791" s="6">
        <v>45244</v>
      </c>
      <c r="B3791" s="7">
        <v>3023</v>
      </c>
      <c r="C3791" s="8"/>
      <c r="D3791" s="8">
        <v>920.84</v>
      </c>
      <c r="E3791" s="8"/>
      <c r="F3791" s="8"/>
      <c r="G3791" s="8"/>
      <c r="H3791" s="8"/>
      <c r="I3791" s="8">
        <v>496.21</v>
      </c>
      <c r="J3791" s="8"/>
      <c r="K3791" s="8"/>
      <c r="L3791" s="8"/>
      <c r="M3791" s="8"/>
      <c r="N3791" s="8">
        <v>7.93</v>
      </c>
      <c r="O3791" s="8"/>
      <c r="P3791" s="8"/>
      <c r="Q3791" s="11"/>
      <c r="R3791" s="11"/>
      <c r="S3791" s="8">
        <v>2.27</v>
      </c>
      <c r="T3791" s="8"/>
      <c r="U3791" s="8"/>
      <c r="V3791" s="8"/>
      <c r="W3791" s="8">
        <v>12.76</v>
      </c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>
        <v>14.16</v>
      </c>
      <c r="AN3791" s="8">
        <f>1032*9.77/1000</f>
        <v>10.08264</v>
      </c>
      <c r="AO3791" s="8"/>
      <c r="AP3791" s="11"/>
      <c r="AQ3791" s="8"/>
      <c r="AR3791" s="8"/>
      <c r="AS3791" s="8">
        <f>4798*9.77/1000</f>
        <v>46.876460000000002</v>
      </c>
      <c r="AT3791" s="8">
        <v>582.17999999999995</v>
      </c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>
        <v>43.91</v>
      </c>
      <c r="BH3791" s="9">
        <f t="shared" si="531"/>
        <v>1417.05</v>
      </c>
      <c r="BI3791" s="9">
        <f t="shared" si="532"/>
        <v>7.93</v>
      </c>
      <c r="BJ3791" s="9">
        <f t="shared" si="533"/>
        <v>2.27</v>
      </c>
      <c r="BK3791" s="9">
        <f t="shared" si="534"/>
        <v>12.76</v>
      </c>
      <c r="BL3791" s="9">
        <f t="shared" si="535"/>
        <v>0</v>
      </c>
      <c r="BM3791" s="9">
        <f t="shared" si="536"/>
        <v>71.119100000000003</v>
      </c>
      <c r="BN3791" s="9">
        <f t="shared" si="537"/>
        <v>582.17999999999995</v>
      </c>
      <c r="BO3791" s="9">
        <f t="shared" si="538"/>
        <v>0</v>
      </c>
      <c r="BP3791" s="9">
        <f t="shared" si="539"/>
        <v>0</v>
      </c>
    </row>
    <row r="3792" spans="1:68">
      <c r="A3792" s="6">
        <v>45244</v>
      </c>
      <c r="B3792" s="7">
        <v>3079</v>
      </c>
      <c r="C3792" s="8"/>
      <c r="D3792" s="8"/>
      <c r="E3792" s="8"/>
      <c r="F3792" s="8">
        <v>497.09</v>
      </c>
      <c r="G3792" s="8"/>
      <c r="H3792" s="8"/>
      <c r="I3792" s="8">
        <v>4028.66</v>
      </c>
      <c r="J3792" s="8"/>
      <c r="K3792" s="8"/>
      <c r="L3792" s="8"/>
      <c r="M3792" s="8"/>
      <c r="N3792" s="8">
        <v>33.08</v>
      </c>
      <c r="O3792" s="8"/>
      <c r="P3792" s="8"/>
      <c r="Q3792" s="11"/>
      <c r="R3792" s="11"/>
      <c r="S3792" s="8">
        <v>1.8</v>
      </c>
      <c r="T3792" s="8"/>
      <c r="U3792" s="8"/>
      <c r="V3792" s="8"/>
      <c r="W3792" s="8">
        <v>45.3</v>
      </c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>
        <v>18.07</v>
      </c>
      <c r="AN3792" s="8">
        <f>1724*26.65/1000</f>
        <v>45.944600000000001</v>
      </c>
      <c r="AO3792" s="8"/>
      <c r="AP3792" s="11"/>
      <c r="AQ3792" s="8"/>
      <c r="AR3792" s="8">
        <f>4329*26.65/1000</f>
        <v>115.36784999999999</v>
      </c>
      <c r="AS3792" s="8"/>
      <c r="AT3792" s="8">
        <v>1746.94</v>
      </c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>
        <v>126.6</v>
      </c>
      <c r="BH3792" s="9">
        <f t="shared" si="531"/>
        <v>4525.75</v>
      </c>
      <c r="BI3792" s="9">
        <f t="shared" si="532"/>
        <v>33.08</v>
      </c>
      <c r="BJ3792" s="9">
        <f t="shared" si="533"/>
        <v>1.8</v>
      </c>
      <c r="BK3792" s="9">
        <f t="shared" si="534"/>
        <v>45.3</v>
      </c>
      <c r="BL3792" s="9">
        <f t="shared" si="535"/>
        <v>0</v>
      </c>
      <c r="BM3792" s="9">
        <f t="shared" si="536"/>
        <v>179.38245000000001</v>
      </c>
      <c r="BN3792" s="9">
        <f t="shared" si="537"/>
        <v>1746.94</v>
      </c>
      <c r="BO3792" s="9">
        <f t="shared" si="538"/>
        <v>0</v>
      </c>
      <c r="BP3792" s="9">
        <f t="shared" si="539"/>
        <v>0</v>
      </c>
    </row>
    <row r="3793" spans="1:68">
      <c r="A3793" s="6">
        <v>45245</v>
      </c>
      <c r="B3793" s="7">
        <v>3204</v>
      </c>
      <c r="C3793" s="8"/>
      <c r="D3793" s="8">
        <v>1001.86</v>
      </c>
      <c r="E3793" s="8">
        <v>426.28</v>
      </c>
      <c r="F3793" s="8"/>
      <c r="G3793" s="8"/>
      <c r="H3793" s="8"/>
      <c r="I3793" s="8"/>
      <c r="J3793" s="8"/>
      <c r="K3793" s="8"/>
      <c r="L3793" s="8"/>
      <c r="M3793" s="8"/>
      <c r="N3793" s="8"/>
      <c r="O3793" s="8">
        <v>7.11</v>
      </c>
      <c r="P3793" s="8"/>
      <c r="Q3793" s="11"/>
      <c r="R3793" s="11"/>
      <c r="S3793" s="8">
        <v>4.8600000000000003</v>
      </c>
      <c r="T3793" s="8"/>
      <c r="U3793" s="8">
        <v>15.78</v>
      </c>
      <c r="V3793" s="8"/>
      <c r="W3793" s="8"/>
      <c r="X3793" s="8"/>
      <c r="Y3793" s="8"/>
      <c r="Z3793" s="8">
        <v>214.88</v>
      </c>
      <c r="AA3793" s="8"/>
      <c r="AB3793" s="8">
        <f>720*10.22/1000</f>
        <v>7.3584000000000005</v>
      </c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11"/>
      <c r="AQ3793" s="8"/>
      <c r="AR3793" s="8"/>
      <c r="AS3793" s="8"/>
      <c r="AT3793" s="8">
        <v>631.33000000000004</v>
      </c>
      <c r="AU3793" s="8"/>
      <c r="AV3793" s="8"/>
      <c r="AW3793" s="8">
        <v>4.5999999999999996</v>
      </c>
      <c r="AX3793" s="8"/>
      <c r="AY3793" s="8"/>
      <c r="AZ3793" s="8"/>
      <c r="BA3793" s="8"/>
      <c r="BB3793" s="8"/>
      <c r="BC3793" s="8"/>
      <c r="BD3793" s="8"/>
      <c r="BE3793" s="8"/>
      <c r="BF3793" s="8"/>
      <c r="BG3793" s="8">
        <v>46.54</v>
      </c>
      <c r="BH3793" s="9">
        <f t="shared" si="531"/>
        <v>1428.1399999999999</v>
      </c>
      <c r="BI3793" s="9">
        <f t="shared" si="532"/>
        <v>7.11</v>
      </c>
      <c r="BJ3793" s="9">
        <f t="shared" si="533"/>
        <v>4.8600000000000003</v>
      </c>
      <c r="BK3793" s="9">
        <f t="shared" si="534"/>
        <v>15.78</v>
      </c>
      <c r="BL3793" s="9">
        <f t="shared" si="535"/>
        <v>214.88</v>
      </c>
      <c r="BM3793" s="9">
        <f t="shared" si="536"/>
        <v>7.3584000000000005</v>
      </c>
      <c r="BN3793" s="9">
        <f t="shared" si="537"/>
        <v>631.33000000000004</v>
      </c>
      <c r="BO3793" s="9">
        <f t="shared" si="538"/>
        <v>4.5999999999999996</v>
      </c>
      <c r="BP3793" s="9">
        <f t="shared" si="539"/>
        <v>0</v>
      </c>
    </row>
    <row r="3794" spans="1:68">
      <c r="A3794" s="6">
        <v>45245</v>
      </c>
      <c r="B3794" s="7">
        <v>3106</v>
      </c>
      <c r="C3794" s="8">
        <v>4120.09</v>
      </c>
      <c r="D3794" s="8"/>
      <c r="E3794" s="8"/>
      <c r="F3794" s="8"/>
      <c r="G3794" s="8"/>
      <c r="H3794" s="8"/>
      <c r="I3794" s="8"/>
      <c r="J3794" s="8"/>
      <c r="K3794" s="8"/>
      <c r="L3794" s="8"/>
      <c r="M3794" s="8">
        <v>11.71</v>
      </c>
      <c r="N3794" s="8"/>
      <c r="O3794" s="8"/>
      <c r="P3794" s="8"/>
      <c r="Q3794" s="11"/>
      <c r="R3794" s="11"/>
      <c r="S3794" s="8">
        <v>12.37</v>
      </c>
      <c r="T3794" s="8"/>
      <c r="U3794" s="8">
        <v>52.37</v>
      </c>
      <c r="V3794" s="8"/>
      <c r="W3794" s="8"/>
      <c r="X3794" s="8"/>
      <c r="Y3794" s="8"/>
      <c r="Z3794" s="8"/>
      <c r="AA3794" s="8"/>
      <c r="AB3794" s="8"/>
      <c r="AC3794" s="8">
        <v>10.29</v>
      </c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11"/>
      <c r="AQ3794" s="8"/>
      <c r="AR3794" s="8"/>
      <c r="AS3794" s="8"/>
      <c r="AT3794" s="8">
        <v>2346.39</v>
      </c>
      <c r="AU3794" s="8"/>
      <c r="AV3794" s="8"/>
      <c r="AW3794" s="8"/>
      <c r="AX3794" s="8">
        <v>5.15</v>
      </c>
      <c r="AY3794" s="8"/>
      <c r="AZ3794" s="8"/>
      <c r="BA3794" s="8"/>
      <c r="BB3794" s="8"/>
      <c r="BC3794" s="8"/>
      <c r="BD3794" s="8"/>
      <c r="BE3794" s="8"/>
      <c r="BF3794" s="8"/>
      <c r="BG3794" s="8">
        <v>176.83</v>
      </c>
      <c r="BH3794" s="9">
        <f t="shared" si="531"/>
        <v>4120.09</v>
      </c>
      <c r="BI3794" s="9">
        <f t="shared" si="532"/>
        <v>11.71</v>
      </c>
      <c r="BJ3794" s="9">
        <f t="shared" si="533"/>
        <v>12.37</v>
      </c>
      <c r="BK3794" s="9">
        <f t="shared" si="534"/>
        <v>52.37</v>
      </c>
      <c r="BL3794" s="9">
        <f t="shared" si="535"/>
        <v>0</v>
      </c>
      <c r="BM3794" s="9">
        <f t="shared" si="536"/>
        <v>10.29</v>
      </c>
      <c r="BN3794" s="9">
        <f t="shared" si="537"/>
        <v>2346.39</v>
      </c>
      <c r="BO3794" s="9">
        <f t="shared" si="538"/>
        <v>5.15</v>
      </c>
      <c r="BP3794" s="9">
        <f t="shared" si="539"/>
        <v>0</v>
      </c>
    </row>
    <row r="3795" spans="1:68">
      <c r="A3795" s="6">
        <v>45245</v>
      </c>
      <c r="B3795" s="7">
        <v>3083</v>
      </c>
      <c r="C3795" s="8"/>
      <c r="D3795" s="8">
        <v>735.26</v>
      </c>
      <c r="E3795" s="8"/>
      <c r="F3795" s="8"/>
      <c r="G3795" s="8"/>
      <c r="H3795" s="8"/>
      <c r="I3795" s="8">
        <v>1716.05</v>
      </c>
      <c r="J3795" s="8"/>
      <c r="K3795" s="8"/>
      <c r="L3795" s="8"/>
      <c r="M3795" s="8"/>
      <c r="N3795" s="8">
        <v>15.96</v>
      </c>
      <c r="O3795" s="8"/>
      <c r="P3795" s="8"/>
      <c r="Q3795" s="11"/>
      <c r="R3795" s="11"/>
      <c r="S3795" s="8">
        <v>1.71</v>
      </c>
      <c r="T3795" s="8"/>
      <c r="U3795" s="8"/>
      <c r="V3795" s="8"/>
      <c r="W3795" s="8">
        <v>19.63</v>
      </c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>
        <v>9.75</v>
      </c>
      <c r="AN3795" s="8">
        <f>1926*18.18/1000</f>
        <v>35.014679999999998</v>
      </c>
      <c r="AO3795" s="8"/>
      <c r="AP3795" s="11"/>
      <c r="AQ3795" s="8"/>
      <c r="AR3795" s="8">
        <f>3448*18.18/1000</f>
        <v>62.684640000000002</v>
      </c>
      <c r="AS3795" s="8"/>
      <c r="AT3795" s="8">
        <v>1154.55</v>
      </c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>
        <v>91.65</v>
      </c>
      <c r="BH3795" s="9">
        <f t="shared" si="531"/>
        <v>2451.31</v>
      </c>
      <c r="BI3795" s="9">
        <f t="shared" si="532"/>
        <v>15.96</v>
      </c>
      <c r="BJ3795" s="9">
        <f t="shared" si="533"/>
        <v>1.71</v>
      </c>
      <c r="BK3795" s="9">
        <f t="shared" si="534"/>
        <v>19.63</v>
      </c>
      <c r="BL3795" s="9">
        <f t="shared" si="535"/>
        <v>0</v>
      </c>
      <c r="BM3795" s="9">
        <f t="shared" si="536"/>
        <v>107.44932</v>
      </c>
      <c r="BN3795" s="9">
        <f t="shared" si="537"/>
        <v>1154.55</v>
      </c>
      <c r="BO3795" s="9">
        <f t="shared" si="538"/>
        <v>0</v>
      </c>
      <c r="BP3795" s="9">
        <f t="shared" si="539"/>
        <v>0</v>
      </c>
    </row>
    <row r="3796" spans="1:68">
      <c r="A3796" s="6">
        <v>45245</v>
      </c>
      <c r="B3796" s="7">
        <v>3016</v>
      </c>
      <c r="C3796" s="8"/>
      <c r="D3796" s="8">
        <v>1621.24</v>
      </c>
      <c r="E3796" s="8"/>
      <c r="F3796" s="8"/>
      <c r="G3796" s="8"/>
      <c r="H3796" s="8"/>
      <c r="I3796" s="8">
        <v>1497.22</v>
      </c>
      <c r="J3796" s="8"/>
      <c r="K3796" s="8"/>
      <c r="L3796" s="8"/>
      <c r="M3796" s="8"/>
      <c r="N3796" s="8">
        <v>19.3</v>
      </c>
      <c r="O3796" s="8"/>
      <c r="P3796" s="8"/>
      <c r="Q3796" s="11"/>
      <c r="R3796" s="11"/>
      <c r="S3796" s="8">
        <v>2.19</v>
      </c>
      <c r="T3796" s="8"/>
      <c r="U3796" s="8"/>
      <c r="V3796" s="8"/>
      <c r="W3796" s="8">
        <v>31.2</v>
      </c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>
        <v>12.41</v>
      </c>
      <c r="AN3796" s="8">
        <f>2068*18.33/1000</f>
        <v>37.906439999999996</v>
      </c>
      <c r="AO3796" s="8"/>
      <c r="AP3796" s="11"/>
      <c r="AQ3796" s="8"/>
      <c r="AR3796" s="8">
        <f>4294*18.33/1000</f>
        <v>78.709019999999995</v>
      </c>
      <c r="AS3796" s="8"/>
      <c r="AT3796" s="8">
        <v>1157.31</v>
      </c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>
        <v>84.72</v>
      </c>
      <c r="BH3796" s="9">
        <f t="shared" si="531"/>
        <v>3118.46</v>
      </c>
      <c r="BI3796" s="9">
        <f t="shared" si="532"/>
        <v>19.3</v>
      </c>
      <c r="BJ3796" s="9">
        <f t="shared" si="533"/>
        <v>2.19</v>
      </c>
      <c r="BK3796" s="9">
        <f t="shared" si="534"/>
        <v>31.2</v>
      </c>
      <c r="BL3796" s="9">
        <f t="shared" si="535"/>
        <v>0</v>
      </c>
      <c r="BM3796" s="9">
        <f t="shared" si="536"/>
        <v>129.02546000000001</v>
      </c>
      <c r="BN3796" s="9">
        <f t="shared" si="537"/>
        <v>1157.31</v>
      </c>
      <c r="BO3796" s="9">
        <f t="shared" si="538"/>
        <v>0</v>
      </c>
      <c r="BP3796" s="9">
        <f t="shared" si="539"/>
        <v>0</v>
      </c>
    </row>
    <row r="3797" spans="1:68">
      <c r="A3797" s="6">
        <v>45245</v>
      </c>
      <c r="B3797" s="7">
        <v>3154</v>
      </c>
      <c r="C3797" s="8">
        <v>700.69</v>
      </c>
      <c r="D3797" s="8"/>
      <c r="E3797" s="8"/>
      <c r="F3797" s="8"/>
      <c r="G3797" s="8"/>
      <c r="H3797" s="8"/>
      <c r="I3797" s="8"/>
      <c r="J3797" s="8"/>
      <c r="K3797" s="8"/>
      <c r="L3797" s="8"/>
      <c r="M3797" s="8">
        <v>1.75</v>
      </c>
      <c r="N3797" s="8"/>
      <c r="O3797" s="8"/>
      <c r="P3797" s="8"/>
      <c r="Q3797" s="11"/>
      <c r="R3797" s="11"/>
      <c r="S3797" s="8">
        <v>2.5299999999999998</v>
      </c>
      <c r="T3797" s="8"/>
      <c r="U3797" s="8">
        <v>8.91</v>
      </c>
      <c r="V3797" s="8"/>
      <c r="W3797" s="8"/>
      <c r="X3797" s="8"/>
      <c r="Y3797" s="8"/>
      <c r="Z3797" s="8"/>
      <c r="AA3797" s="8"/>
      <c r="AB3797" s="8"/>
      <c r="AC3797" s="8">
        <v>2.8</v>
      </c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11"/>
      <c r="AQ3797" s="8"/>
      <c r="AR3797" s="8"/>
      <c r="AS3797" s="8"/>
      <c r="AT3797" s="8">
        <v>381.75</v>
      </c>
      <c r="AU3797" s="8"/>
      <c r="AV3797" s="8"/>
      <c r="AW3797" s="8"/>
      <c r="AX3797" s="8"/>
      <c r="AY3797" s="8"/>
      <c r="AZ3797" s="8"/>
      <c r="BA3797" s="8"/>
      <c r="BB3797" s="8"/>
      <c r="BC3797" s="8">
        <v>0.84</v>
      </c>
      <c r="BD3797" s="8"/>
      <c r="BE3797" s="8"/>
      <c r="BF3797" s="8"/>
      <c r="BG3797" s="8">
        <v>28.35</v>
      </c>
      <c r="BH3797" s="9">
        <f t="shared" si="531"/>
        <v>700.69</v>
      </c>
      <c r="BI3797" s="9">
        <f t="shared" si="532"/>
        <v>1.75</v>
      </c>
      <c r="BJ3797" s="9">
        <f t="shared" si="533"/>
        <v>2.5299999999999998</v>
      </c>
      <c r="BK3797" s="9">
        <f t="shared" si="534"/>
        <v>8.91</v>
      </c>
      <c r="BL3797" s="9">
        <f t="shared" si="535"/>
        <v>0</v>
      </c>
      <c r="BM3797" s="9">
        <f t="shared" si="536"/>
        <v>2.8</v>
      </c>
      <c r="BN3797" s="9">
        <f t="shared" si="537"/>
        <v>381.75</v>
      </c>
      <c r="BO3797" s="9">
        <f t="shared" si="538"/>
        <v>0.84</v>
      </c>
      <c r="BP3797" s="9">
        <f t="shared" si="539"/>
        <v>0</v>
      </c>
    </row>
    <row r="3798" spans="1:68">
      <c r="A3798" s="6">
        <v>45245</v>
      </c>
      <c r="B3798" s="7">
        <v>3139</v>
      </c>
      <c r="C3798" s="8">
        <v>937.68</v>
      </c>
      <c r="D3798" s="8"/>
      <c r="E3798" s="8"/>
      <c r="F3798" s="8"/>
      <c r="G3798" s="8"/>
      <c r="H3798" s="8">
        <v>389.34</v>
      </c>
      <c r="I3798" s="8"/>
      <c r="J3798" s="8"/>
      <c r="K3798" s="8"/>
      <c r="L3798" s="8"/>
      <c r="M3798" s="8">
        <v>2.2000000000000002</v>
      </c>
      <c r="N3798" s="8"/>
      <c r="O3798" s="8"/>
      <c r="P3798" s="8"/>
      <c r="Q3798" s="11"/>
      <c r="R3798" s="11"/>
      <c r="S3798" s="8">
        <v>4.1500000000000004</v>
      </c>
      <c r="T3798" s="8"/>
      <c r="U3798" s="8">
        <v>13.84</v>
      </c>
      <c r="V3798" s="8"/>
      <c r="W3798" s="8"/>
      <c r="X3798" s="8"/>
      <c r="Y3798" s="8"/>
      <c r="Z3798" s="8"/>
      <c r="AA3798" s="8"/>
      <c r="AB3798" s="8"/>
      <c r="AC3798" s="8">
        <v>4.62</v>
      </c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11"/>
      <c r="AQ3798" s="8"/>
      <c r="AR3798" s="8"/>
      <c r="AS3798" s="8"/>
      <c r="AT3798" s="8">
        <v>683.84</v>
      </c>
      <c r="AU3798" s="8"/>
      <c r="AV3798" s="8">
        <v>23.09</v>
      </c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>
        <v>49.64</v>
      </c>
      <c r="BH3798" s="9">
        <f t="shared" si="531"/>
        <v>1327.02</v>
      </c>
      <c r="BI3798" s="9">
        <f t="shared" si="532"/>
        <v>2.2000000000000002</v>
      </c>
      <c r="BJ3798" s="9">
        <f t="shared" si="533"/>
        <v>4.1500000000000004</v>
      </c>
      <c r="BK3798" s="9">
        <f t="shared" si="534"/>
        <v>13.84</v>
      </c>
      <c r="BL3798" s="9">
        <f t="shared" si="535"/>
        <v>0</v>
      </c>
      <c r="BM3798" s="9">
        <f t="shared" si="536"/>
        <v>4.62</v>
      </c>
      <c r="BN3798" s="9">
        <f t="shared" si="537"/>
        <v>683.84</v>
      </c>
      <c r="BO3798" s="9">
        <f t="shared" si="538"/>
        <v>23.09</v>
      </c>
      <c r="BP3798" s="9">
        <f t="shared" si="539"/>
        <v>0</v>
      </c>
    </row>
    <row r="3799" spans="1:68">
      <c r="A3799" s="6">
        <v>45245</v>
      </c>
      <c r="B3799" s="7">
        <v>3310</v>
      </c>
      <c r="C3799" s="8"/>
      <c r="D3799" s="8">
        <v>709.43</v>
      </c>
      <c r="E3799" s="8"/>
      <c r="F3799" s="8"/>
      <c r="G3799" s="8"/>
      <c r="H3799" s="8"/>
      <c r="I3799" s="8"/>
      <c r="J3799" s="8"/>
      <c r="K3799" s="8"/>
      <c r="L3799" s="8"/>
      <c r="M3799" s="8">
        <v>1.41</v>
      </c>
      <c r="N3799" s="8"/>
      <c r="O3799" s="8"/>
      <c r="P3799" s="8"/>
      <c r="Q3799" s="11"/>
      <c r="R3799" s="11"/>
      <c r="S3799" s="8">
        <v>1.06</v>
      </c>
      <c r="T3799" s="8"/>
      <c r="U3799" s="8">
        <v>6.4</v>
      </c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>
        <v>7.11</v>
      </c>
      <c r="AH3799" s="8"/>
      <c r="AI3799" s="8"/>
      <c r="AJ3799" s="8"/>
      <c r="AK3799" s="8"/>
      <c r="AL3799" s="8"/>
      <c r="AM3799" s="8"/>
      <c r="AN3799" s="8"/>
      <c r="AO3799" s="8"/>
      <c r="AP3799" s="11"/>
      <c r="AQ3799" s="8"/>
      <c r="AR3799" s="8"/>
      <c r="AS3799" s="8"/>
      <c r="AT3799" s="8">
        <v>188.23</v>
      </c>
      <c r="AU3799" s="8">
        <v>95</v>
      </c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>
        <v>19.79</v>
      </c>
      <c r="BH3799" s="9">
        <f t="shared" si="531"/>
        <v>709.43</v>
      </c>
      <c r="BI3799" s="9">
        <f t="shared" si="532"/>
        <v>1.41</v>
      </c>
      <c r="BJ3799" s="9">
        <f t="shared" si="533"/>
        <v>1.06</v>
      </c>
      <c r="BK3799" s="9">
        <f t="shared" si="534"/>
        <v>6.4</v>
      </c>
      <c r="BL3799" s="9">
        <f t="shared" si="535"/>
        <v>0</v>
      </c>
      <c r="BM3799" s="9">
        <f t="shared" si="536"/>
        <v>7.11</v>
      </c>
      <c r="BN3799" s="9">
        <f t="shared" si="537"/>
        <v>283.23</v>
      </c>
      <c r="BO3799" s="9">
        <f t="shared" si="538"/>
        <v>0</v>
      </c>
      <c r="BP3799" s="9">
        <f t="shared" si="539"/>
        <v>0</v>
      </c>
    </row>
    <row r="3800" spans="1:68">
      <c r="A3800" s="6">
        <v>45246</v>
      </c>
      <c r="B3800" s="7">
        <v>3602</v>
      </c>
      <c r="C3800" s="8">
        <v>570.78</v>
      </c>
      <c r="D3800" s="8"/>
      <c r="E3800" s="8"/>
      <c r="F3800" s="8"/>
      <c r="G3800" s="8">
        <v>854.85</v>
      </c>
      <c r="H3800" s="8"/>
      <c r="I3800" s="8"/>
      <c r="J3800" s="8"/>
      <c r="K3800" s="8"/>
      <c r="L3800" s="8"/>
      <c r="M3800" s="8">
        <v>1.72</v>
      </c>
      <c r="N3800" s="8"/>
      <c r="O3800" s="8"/>
      <c r="P3800" s="8"/>
      <c r="Q3800" s="11"/>
      <c r="R3800" s="11"/>
      <c r="S3800" s="8">
        <v>6.84</v>
      </c>
      <c r="T3800" s="8"/>
      <c r="U3800" s="8">
        <v>11.4</v>
      </c>
      <c r="V3800" s="8">
        <f>856*16.3/1000</f>
        <v>13.952800000000002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11"/>
      <c r="AQ3800" s="8"/>
      <c r="AR3800" s="8"/>
      <c r="AS3800" s="8"/>
      <c r="AT3800" s="8">
        <v>574.29999999999995</v>
      </c>
      <c r="AU3800" s="8"/>
      <c r="AV3800" s="8"/>
      <c r="AW3800" s="8">
        <v>36.86</v>
      </c>
      <c r="AX3800" s="8"/>
      <c r="AY3800" s="8"/>
      <c r="AZ3800" s="8"/>
      <c r="BA3800" s="8"/>
      <c r="BB3800" s="8"/>
      <c r="BC3800" s="8"/>
      <c r="BD3800" s="8"/>
      <c r="BE3800" s="8"/>
      <c r="BF3800" s="8">
        <v>45.67</v>
      </c>
      <c r="BG3800" s="8">
        <v>42.84</v>
      </c>
      <c r="BH3800" s="9">
        <f t="shared" si="531"/>
        <v>1425.63</v>
      </c>
      <c r="BI3800" s="9">
        <f t="shared" si="532"/>
        <v>1.72</v>
      </c>
      <c r="BJ3800" s="9">
        <f t="shared" si="533"/>
        <v>6.84</v>
      </c>
      <c r="BK3800" s="9">
        <f t="shared" si="534"/>
        <v>25.352800000000002</v>
      </c>
      <c r="BL3800" s="9">
        <f t="shared" si="535"/>
        <v>0</v>
      </c>
      <c r="BM3800" s="9">
        <f t="shared" si="536"/>
        <v>0</v>
      </c>
      <c r="BN3800" s="9">
        <f t="shared" si="537"/>
        <v>574.29999999999995</v>
      </c>
      <c r="BO3800" s="9">
        <f t="shared" si="538"/>
        <v>36.86</v>
      </c>
      <c r="BP3800" s="9">
        <f t="shared" si="539"/>
        <v>45.67</v>
      </c>
    </row>
    <row r="3801" spans="1:68">
      <c r="A3801" s="6">
        <v>45246</v>
      </c>
      <c r="B3801" s="7">
        <v>3304</v>
      </c>
      <c r="C3801" s="8"/>
      <c r="D3801" s="8">
        <v>1133.79</v>
      </c>
      <c r="E3801" s="8"/>
      <c r="F3801" s="8"/>
      <c r="G3801" s="8"/>
      <c r="H3801" s="8"/>
      <c r="I3801" s="8"/>
      <c r="J3801" s="8"/>
      <c r="K3801" s="8"/>
      <c r="L3801" s="8"/>
      <c r="M3801" s="8">
        <v>2.27</v>
      </c>
      <c r="N3801" s="8"/>
      <c r="O3801" s="8"/>
      <c r="P3801" s="8"/>
      <c r="Q3801" s="11"/>
      <c r="R3801" s="11"/>
      <c r="S3801" s="8">
        <v>1.7</v>
      </c>
      <c r="T3801" s="8"/>
      <c r="U3801" s="8">
        <v>10.210000000000001</v>
      </c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>
        <v>11.34</v>
      </c>
      <c r="AH3801" s="8"/>
      <c r="AI3801" s="8"/>
      <c r="AJ3801" s="8"/>
      <c r="AK3801" s="8"/>
      <c r="AL3801" s="8"/>
      <c r="AM3801" s="8"/>
      <c r="AN3801" s="8"/>
      <c r="AO3801" s="8"/>
      <c r="AP3801" s="11"/>
      <c r="AQ3801" s="8"/>
      <c r="AR3801" s="8"/>
      <c r="AS3801" s="8"/>
      <c r="AT3801" s="8">
        <v>302.56</v>
      </c>
      <c r="AU3801" s="8">
        <v>151.69999999999999</v>
      </c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>
        <v>31.52</v>
      </c>
      <c r="BH3801" s="9">
        <f t="shared" si="531"/>
        <v>1133.79</v>
      </c>
      <c r="BI3801" s="9">
        <f t="shared" si="532"/>
        <v>2.27</v>
      </c>
      <c r="BJ3801" s="9">
        <f t="shared" si="533"/>
        <v>1.7</v>
      </c>
      <c r="BK3801" s="9">
        <f t="shared" si="534"/>
        <v>10.210000000000001</v>
      </c>
      <c r="BL3801" s="9">
        <f t="shared" si="535"/>
        <v>0</v>
      </c>
      <c r="BM3801" s="9">
        <f t="shared" si="536"/>
        <v>11.34</v>
      </c>
      <c r="BN3801" s="9">
        <f t="shared" si="537"/>
        <v>454.26</v>
      </c>
      <c r="BO3801" s="9">
        <f t="shared" si="538"/>
        <v>0</v>
      </c>
      <c r="BP3801" s="9">
        <f t="shared" si="539"/>
        <v>0</v>
      </c>
    </row>
    <row r="3802" spans="1:68">
      <c r="A3802" s="6">
        <v>45246</v>
      </c>
      <c r="B3802" s="7">
        <v>3200</v>
      </c>
      <c r="C3802" s="8">
        <v>2295.52</v>
      </c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>
        <v>5.73</v>
      </c>
      <c r="P3802" s="8"/>
      <c r="Q3802" s="11"/>
      <c r="R3802" s="11"/>
      <c r="S3802" s="8">
        <v>8.9600000000000009</v>
      </c>
      <c r="T3802" s="8"/>
      <c r="U3802" s="8">
        <v>34.43</v>
      </c>
      <c r="V3802" s="8"/>
      <c r="W3802" s="8"/>
      <c r="X3802" s="8"/>
      <c r="Y3802" s="8"/>
      <c r="Z3802" s="8">
        <v>482.6</v>
      </c>
      <c r="AA3802" s="8"/>
      <c r="AB3802" s="8"/>
      <c r="AC3802" s="8"/>
      <c r="AD3802" s="8"/>
      <c r="AE3802" s="8"/>
      <c r="AF3802" s="8">
        <v>114.34</v>
      </c>
      <c r="AG3802" s="8"/>
      <c r="AH3802" s="8"/>
      <c r="AI3802" s="8"/>
      <c r="AJ3802" s="8"/>
      <c r="AK3802" s="8"/>
      <c r="AL3802" s="8"/>
      <c r="AM3802" s="8"/>
      <c r="AN3802" s="8"/>
      <c r="AO3802" s="8"/>
      <c r="AP3802" s="11"/>
      <c r="AQ3802" s="8">
        <f>1514*22.95/1000</f>
        <v>34.746299999999998</v>
      </c>
      <c r="AR3802" s="8"/>
      <c r="AS3802" s="8"/>
      <c r="AT3802" s="8">
        <v>1572.77</v>
      </c>
      <c r="AU3802" s="8"/>
      <c r="AV3802" s="8"/>
      <c r="AW3802" s="8">
        <v>6.65</v>
      </c>
      <c r="AX3802" s="8"/>
      <c r="AY3802" s="8"/>
      <c r="AZ3802" s="8"/>
      <c r="BA3802" s="8"/>
      <c r="BB3802" s="8"/>
      <c r="BC3802" s="8"/>
      <c r="BD3802" s="8"/>
      <c r="BE3802" s="8"/>
      <c r="BF3802" s="8">
        <v>110.18</v>
      </c>
      <c r="BG3802" s="8">
        <v>113.82</v>
      </c>
      <c r="BH3802" s="9">
        <f t="shared" si="531"/>
        <v>2295.52</v>
      </c>
      <c r="BI3802" s="9">
        <f t="shared" si="532"/>
        <v>5.73</v>
      </c>
      <c r="BJ3802" s="9">
        <f t="shared" si="533"/>
        <v>8.9600000000000009</v>
      </c>
      <c r="BK3802" s="9">
        <f t="shared" si="534"/>
        <v>34.43</v>
      </c>
      <c r="BL3802" s="9">
        <f t="shared" si="535"/>
        <v>482.6</v>
      </c>
      <c r="BM3802" s="9">
        <f t="shared" si="536"/>
        <v>149.08629999999999</v>
      </c>
      <c r="BN3802" s="9">
        <f t="shared" si="537"/>
        <v>1572.77</v>
      </c>
      <c r="BO3802" s="9">
        <f t="shared" si="538"/>
        <v>6.65</v>
      </c>
      <c r="BP3802" s="9">
        <f t="shared" si="539"/>
        <v>110.18</v>
      </c>
    </row>
    <row r="3803" spans="1:68">
      <c r="A3803" s="6">
        <v>45246</v>
      </c>
      <c r="B3803" s="7">
        <v>3005</v>
      </c>
      <c r="C3803" s="8">
        <v>729</v>
      </c>
      <c r="D3803" s="8">
        <v>485.18</v>
      </c>
      <c r="E3803" s="8"/>
      <c r="F3803" s="8"/>
      <c r="G3803" s="8"/>
      <c r="H3803" s="8"/>
      <c r="I3803" s="8"/>
      <c r="J3803" s="8"/>
      <c r="K3803" s="8"/>
      <c r="L3803" s="8"/>
      <c r="M3803" s="8"/>
      <c r="N3803" s="8">
        <v>1.21</v>
      </c>
      <c r="O3803" s="8"/>
      <c r="P3803" s="8"/>
      <c r="Q3803" s="11"/>
      <c r="R3803" s="11"/>
      <c r="S3803" s="8">
        <v>4.25</v>
      </c>
      <c r="T3803" s="8"/>
      <c r="U3803" s="8"/>
      <c r="V3803" s="8"/>
      <c r="W3803" s="8">
        <v>13.37</v>
      </c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11"/>
      <c r="AQ3803" s="8"/>
      <c r="AR3803" s="8"/>
      <c r="AS3803" s="8"/>
      <c r="AT3803" s="8">
        <v>594.75</v>
      </c>
      <c r="AU3803" s="8"/>
      <c r="AV3803" s="8"/>
      <c r="AW3803" s="8">
        <v>13.48</v>
      </c>
      <c r="AX3803" s="8"/>
      <c r="AY3803" s="8"/>
      <c r="AZ3803" s="8"/>
      <c r="BA3803" s="8"/>
      <c r="BB3803" s="8"/>
      <c r="BC3803" s="8"/>
      <c r="BD3803" s="8"/>
      <c r="BE3803" s="8"/>
      <c r="BF3803" s="8"/>
      <c r="BG3803" s="8">
        <v>44.26</v>
      </c>
      <c r="BH3803" s="9">
        <f t="shared" si="531"/>
        <v>1214.18</v>
      </c>
      <c r="BI3803" s="9">
        <f t="shared" si="532"/>
        <v>1.21</v>
      </c>
      <c r="BJ3803" s="9">
        <f t="shared" si="533"/>
        <v>4.25</v>
      </c>
      <c r="BK3803" s="9">
        <f t="shared" si="534"/>
        <v>13.37</v>
      </c>
      <c r="BL3803" s="9">
        <f t="shared" si="535"/>
        <v>0</v>
      </c>
      <c r="BM3803" s="9">
        <f t="shared" si="536"/>
        <v>0</v>
      </c>
      <c r="BN3803" s="9">
        <f t="shared" si="537"/>
        <v>594.75</v>
      </c>
      <c r="BO3803" s="9">
        <f t="shared" si="538"/>
        <v>13.48</v>
      </c>
      <c r="BP3803" s="9">
        <f t="shared" si="539"/>
        <v>0</v>
      </c>
    </row>
    <row r="3804" spans="1:68">
      <c r="A3804" s="6">
        <v>45246</v>
      </c>
      <c r="B3804" s="7">
        <v>3029</v>
      </c>
      <c r="C3804" s="8"/>
      <c r="D3804" s="8">
        <v>458.54</v>
      </c>
      <c r="E3804" s="8"/>
      <c r="F3804" s="8">
        <v>323.08999999999997</v>
      </c>
      <c r="G3804" s="8"/>
      <c r="H3804" s="8"/>
      <c r="I3804" s="8">
        <v>1912.17</v>
      </c>
      <c r="J3804" s="8"/>
      <c r="K3804" s="8"/>
      <c r="L3804" s="8"/>
      <c r="M3804" s="8"/>
      <c r="N3804" s="8">
        <v>21.31</v>
      </c>
      <c r="O3804" s="8"/>
      <c r="P3804" s="8"/>
      <c r="Q3804" s="11"/>
      <c r="R3804" s="11"/>
      <c r="S3804" s="8">
        <v>1.62</v>
      </c>
      <c r="T3804" s="8"/>
      <c r="U3804" s="8"/>
      <c r="V3804" s="8"/>
      <c r="W3804" s="8">
        <v>26.98</v>
      </c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>
        <v>9.41</v>
      </c>
      <c r="AN3804" s="8">
        <f>769*17.97/1000</f>
        <v>13.818929999999998</v>
      </c>
      <c r="AO3804" s="8"/>
      <c r="AP3804" s="11"/>
      <c r="AQ3804" s="8"/>
      <c r="AR3804" s="8">
        <f>4523*17.97/1000</f>
        <v>81.278310000000005</v>
      </c>
      <c r="AS3804" s="8"/>
      <c r="AT3804" s="8">
        <v>1025.51</v>
      </c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>
        <v>71.73</v>
      </c>
      <c r="BH3804" s="9">
        <f t="shared" si="531"/>
        <v>2693.8</v>
      </c>
      <c r="BI3804" s="9">
        <f t="shared" si="532"/>
        <v>21.31</v>
      </c>
      <c r="BJ3804" s="9">
        <f t="shared" si="533"/>
        <v>1.62</v>
      </c>
      <c r="BK3804" s="9">
        <f t="shared" si="534"/>
        <v>26.98</v>
      </c>
      <c r="BL3804" s="9">
        <f t="shared" si="535"/>
        <v>0</v>
      </c>
      <c r="BM3804" s="9">
        <f t="shared" si="536"/>
        <v>104.50724</v>
      </c>
      <c r="BN3804" s="9">
        <f t="shared" si="537"/>
        <v>1025.51</v>
      </c>
      <c r="BO3804" s="9">
        <f t="shared" si="538"/>
        <v>0</v>
      </c>
      <c r="BP3804" s="9">
        <f t="shared" si="539"/>
        <v>0</v>
      </c>
    </row>
    <row r="3805" spans="1:68">
      <c r="A3805" s="6">
        <v>45246</v>
      </c>
      <c r="B3805" s="7">
        <v>3081</v>
      </c>
      <c r="C3805" s="8"/>
      <c r="D3805" s="8">
        <v>287.89</v>
      </c>
      <c r="E3805" s="8"/>
      <c r="F3805" s="8">
        <v>322.67</v>
      </c>
      <c r="G3805" s="8"/>
      <c r="H3805" s="8"/>
      <c r="I3805" s="8">
        <v>1176.54</v>
      </c>
      <c r="J3805" s="8"/>
      <c r="K3805" s="8"/>
      <c r="L3805" s="8"/>
      <c r="M3805" s="8"/>
      <c r="N3805" s="8">
        <v>13.19</v>
      </c>
      <c r="O3805" s="8"/>
      <c r="P3805" s="8">
        <f>632*11.65/1000</f>
        <v>7.3628</v>
      </c>
      <c r="Q3805" s="11"/>
      <c r="R3805" s="11"/>
      <c r="S3805" s="8">
        <v>1.25</v>
      </c>
      <c r="T3805" s="8"/>
      <c r="U3805" s="8"/>
      <c r="V3805" s="8"/>
      <c r="W3805" s="8">
        <v>18.11</v>
      </c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11"/>
      <c r="AQ3805" s="8">
        <f>1562*11.65/1000</f>
        <v>18.197299999999998</v>
      </c>
      <c r="AR3805" s="8">
        <f>5431*11.65/1000</f>
        <v>63.271149999999999</v>
      </c>
      <c r="AS3805" s="8"/>
      <c r="AT3805" s="8">
        <v>563.65</v>
      </c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>
        <v>37.770000000000003</v>
      </c>
      <c r="BH3805" s="9">
        <f t="shared" si="531"/>
        <v>1787.1</v>
      </c>
      <c r="BI3805" s="9">
        <f t="shared" si="532"/>
        <v>20.552799999999998</v>
      </c>
      <c r="BJ3805" s="9">
        <f t="shared" si="533"/>
        <v>1.25</v>
      </c>
      <c r="BK3805" s="9">
        <f t="shared" si="534"/>
        <v>18.11</v>
      </c>
      <c r="BL3805" s="9">
        <f t="shared" si="535"/>
        <v>0</v>
      </c>
      <c r="BM3805" s="9">
        <f t="shared" si="536"/>
        <v>81.46844999999999</v>
      </c>
      <c r="BN3805" s="9">
        <f t="shared" si="537"/>
        <v>563.65</v>
      </c>
      <c r="BO3805" s="9">
        <f t="shared" si="538"/>
        <v>0</v>
      </c>
      <c r="BP3805" s="9">
        <f t="shared" si="539"/>
        <v>0</v>
      </c>
    </row>
    <row r="3806" spans="1:68">
      <c r="A3806" s="6">
        <v>45247</v>
      </c>
      <c r="B3806" s="7">
        <v>3141</v>
      </c>
      <c r="C3806" s="8">
        <v>1249.83</v>
      </c>
      <c r="D3806" s="8">
        <v>220.5</v>
      </c>
      <c r="E3806" s="8"/>
      <c r="F3806" s="8"/>
      <c r="G3806" s="8"/>
      <c r="H3806" s="8"/>
      <c r="I3806" s="8"/>
      <c r="J3806" s="8"/>
      <c r="K3806" s="8"/>
      <c r="L3806" s="8"/>
      <c r="M3806" s="8">
        <v>4.3499999999999996</v>
      </c>
      <c r="N3806" s="8"/>
      <c r="O3806" s="8"/>
      <c r="P3806" s="8"/>
      <c r="Q3806" s="11"/>
      <c r="R3806" s="11"/>
      <c r="S3806" s="8">
        <v>6.92</v>
      </c>
      <c r="T3806" s="8"/>
      <c r="U3806" s="8">
        <v>22.06</v>
      </c>
      <c r="V3806" s="8"/>
      <c r="W3806" s="8"/>
      <c r="X3806" s="8"/>
      <c r="Y3806" s="8"/>
      <c r="Z3806" s="8"/>
      <c r="AA3806" s="8"/>
      <c r="AB3806" s="8"/>
      <c r="AC3806" s="8">
        <v>5.89</v>
      </c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11"/>
      <c r="AQ3806" s="8"/>
      <c r="AR3806" s="8"/>
      <c r="AS3806" s="8"/>
      <c r="AT3806" s="8">
        <v>970.56</v>
      </c>
      <c r="AU3806" s="8"/>
      <c r="AV3806" s="8"/>
      <c r="AW3806" s="8"/>
      <c r="AX3806" s="8"/>
      <c r="AY3806" s="8"/>
      <c r="AZ3806" s="8"/>
      <c r="BA3806" s="8">
        <v>33.72</v>
      </c>
      <c r="BB3806" s="8"/>
      <c r="BC3806" s="8"/>
      <c r="BD3806" s="8"/>
      <c r="BE3806" s="8"/>
      <c r="BF3806" s="8">
        <v>103.03</v>
      </c>
      <c r="BG3806" s="8">
        <v>76.55</v>
      </c>
      <c r="BH3806" s="9">
        <f t="shared" si="531"/>
        <v>1470.33</v>
      </c>
      <c r="BI3806" s="9">
        <f t="shared" si="532"/>
        <v>4.3499999999999996</v>
      </c>
      <c r="BJ3806" s="9">
        <f t="shared" si="533"/>
        <v>6.92</v>
      </c>
      <c r="BK3806" s="9">
        <f t="shared" si="534"/>
        <v>22.06</v>
      </c>
      <c r="BL3806" s="9">
        <f t="shared" si="535"/>
        <v>0</v>
      </c>
      <c r="BM3806" s="9">
        <f t="shared" si="536"/>
        <v>5.89</v>
      </c>
      <c r="BN3806" s="9">
        <f t="shared" si="537"/>
        <v>970.56</v>
      </c>
      <c r="BO3806" s="9">
        <f t="shared" si="538"/>
        <v>33.72</v>
      </c>
      <c r="BP3806" s="9">
        <f t="shared" si="539"/>
        <v>103.03</v>
      </c>
    </row>
    <row r="3807" spans="1:68">
      <c r="A3807" s="6">
        <v>45247</v>
      </c>
      <c r="B3807" s="7">
        <v>3145</v>
      </c>
      <c r="C3807" s="8">
        <v>1215.21</v>
      </c>
      <c r="D3807" s="8">
        <v>214.45</v>
      </c>
      <c r="E3807" s="8"/>
      <c r="F3807" s="8"/>
      <c r="G3807" s="8"/>
      <c r="H3807" s="8"/>
      <c r="I3807" s="8"/>
      <c r="J3807" s="8"/>
      <c r="K3807" s="8"/>
      <c r="L3807" s="8"/>
      <c r="M3807" s="8">
        <v>3.92</v>
      </c>
      <c r="N3807" s="8"/>
      <c r="O3807" s="8"/>
      <c r="P3807" s="8"/>
      <c r="Q3807" s="11"/>
      <c r="R3807" s="11"/>
      <c r="S3807" s="8">
        <v>6.73</v>
      </c>
      <c r="T3807" s="8"/>
      <c r="U3807" s="8">
        <v>21.46</v>
      </c>
      <c r="V3807" s="8"/>
      <c r="W3807" s="8"/>
      <c r="X3807" s="8"/>
      <c r="Y3807" s="8"/>
      <c r="Z3807" s="8"/>
      <c r="AA3807" s="8"/>
      <c r="AB3807" s="8"/>
      <c r="AC3807" s="8">
        <v>5.72</v>
      </c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11"/>
      <c r="AQ3807" s="8"/>
      <c r="AR3807" s="8"/>
      <c r="AS3807" s="8"/>
      <c r="AT3807" s="8">
        <v>946.68</v>
      </c>
      <c r="AU3807" s="8"/>
      <c r="AV3807" s="8"/>
      <c r="AW3807" s="8"/>
      <c r="AX3807" s="8"/>
      <c r="AY3807" s="8"/>
      <c r="AZ3807" s="8"/>
      <c r="BA3807" s="8"/>
      <c r="BB3807" s="8"/>
      <c r="BC3807" s="8"/>
      <c r="BD3807" s="8">
        <v>3.58</v>
      </c>
      <c r="BE3807" s="8">
        <f>1357*9.53/1000</f>
        <v>12.93221</v>
      </c>
      <c r="BF3807" s="8">
        <v>100.17</v>
      </c>
      <c r="BG3807" s="8">
        <v>74.599999999999994</v>
      </c>
      <c r="BH3807" s="9">
        <f t="shared" si="531"/>
        <v>1429.66</v>
      </c>
      <c r="BI3807" s="9">
        <f t="shared" si="532"/>
        <v>3.92</v>
      </c>
      <c r="BJ3807" s="9">
        <f t="shared" si="533"/>
        <v>6.73</v>
      </c>
      <c r="BK3807" s="9">
        <f t="shared" si="534"/>
        <v>21.46</v>
      </c>
      <c r="BL3807" s="9">
        <f t="shared" si="535"/>
        <v>0</v>
      </c>
      <c r="BM3807" s="9">
        <f t="shared" si="536"/>
        <v>5.72</v>
      </c>
      <c r="BN3807" s="9">
        <f t="shared" si="537"/>
        <v>946.68</v>
      </c>
      <c r="BO3807" s="9">
        <f t="shared" si="538"/>
        <v>16.51221</v>
      </c>
      <c r="BP3807" s="9">
        <f t="shared" si="539"/>
        <v>100.17</v>
      </c>
    </row>
    <row r="3808" spans="1:68">
      <c r="A3808" s="6">
        <v>45247</v>
      </c>
      <c r="B3808" s="7">
        <v>3106</v>
      </c>
      <c r="C3808" s="8">
        <v>4116.4799999999996</v>
      </c>
      <c r="D3808" s="8"/>
      <c r="E3808" s="8"/>
      <c r="F3808" s="8"/>
      <c r="G3808" s="8"/>
      <c r="H3808" s="8"/>
      <c r="I3808" s="8"/>
      <c r="J3808" s="8"/>
      <c r="K3808" s="8"/>
      <c r="L3808" s="8"/>
      <c r="M3808" s="8">
        <v>11.14</v>
      </c>
      <c r="N3808" s="8"/>
      <c r="O3808" s="8"/>
      <c r="P3808" s="8"/>
      <c r="Q3808" s="11"/>
      <c r="R3808" s="11"/>
      <c r="S3808" s="8">
        <v>12.38</v>
      </c>
      <c r="T3808" s="8"/>
      <c r="U3808" s="8">
        <v>52.57</v>
      </c>
      <c r="V3808" s="8"/>
      <c r="W3808" s="8"/>
      <c r="X3808" s="8"/>
      <c r="Y3808" s="8"/>
      <c r="Z3808" s="8"/>
      <c r="AA3808" s="8"/>
      <c r="AB3808" s="8"/>
      <c r="AC3808" s="8">
        <v>10.3</v>
      </c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11"/>
      <c r="AQ3808" s="8"/>
      <c r="AR3808" s="8"/>
      <c r="AS3808" s="8"/>
      <c r="AT3808" s="8">
        <v>2348.73</v>
      </c>
      <c r="AU3808" s="8"/>
      <c r="AV3808" s="8"/>
      <c r="AW3808" s="8"/>
      <c r="AX3808" s="8">
        <v>5.15</v>
      </c>
      <c r="AY3808" s="8"/>
      <c r="AZ3808" s="8"/>
      <c r="BA3808" s="8"/>
      <c r="BB3808" s="8"/>
      <c r="BC3808" s="8"/>
      <c r="BD3808" s="8"/>
      <c r="BE3808" s="8"/>
      <c r="BF3808" s="8"/>
      <c r="BG3808" s="8">
        <v>176.94</v>
      </c>
      <c r="BH3808" s="9">
        <f t="shared" si="531"/>
        <v>4116.4799999999996</v>
      </c>
      <c r="BI3808" s="9">
        <f t="shared" si="532"/>
        <v>11.14</v>
      </c>
      <c r="BJ3808" s="9">
        <f t="shared" si="533"/>
        <v>12.38</v>
      </c>
      <c r="BK3808" s="9">
        <f t="shared" si="534"/>
        <v>52.57</v>
      </c>
      <c r="BL3808" s="9">
        <f t="shared" si="535"/>
        <v>0</v>
      </c>
      <c r="BM3808" s="9">
        <f t="shared" si="536"/>
        <v>10.3</v>
      </c>
      <c r="BN3808" s="9">
        <f t="shared" si="537"/>
        <v>2348.73</v>
      </c>
      <c r="BO3808" s="9">
        <f t="shared" si="538"/>
        <v>5.15</v>
      </c>
      <c r="BP3808" s="9">
        <f t="shared" si="539"/>
        <v>0</v>
      </c>
    </row>
    <row r="3809" spans="1:68">
      <c r="A3809" s="6">
        <v>45247</v>
      </c>
      <c r="B3809" s="7">
        <v>3125</v>
      </c>
      <c r="C3809" s="8">
        <v>1093.02</v>
      </c>
      <c r="D3809" s="8"/>
      <c r="E3809" s="8"/>
      <c r="F3809" s="8"/>
      <c r="G3809" s="8"/>
      <c r="H3809" s="8"/>
      <c r="I3809" s="8"/>
      <c r="J3809" s="8"/>
      <c r="K3809" s="8"/>
      <c r="L3809" s="8"/>
      <c r="M3809" s="8">
        <v>2.92</v>
      </c>
      <c r="N3809" s="8"/>
      <c r="O3809" s="8"/>
      <c r="P3809" s="8"/>
      <c r="Q3809" s="11"/>
      <c r="R3809" s="11"/>
      <c r="S3809" s="8">
        <v>3.3</v>
      </c>
      <c r="T3809" s="8"/>
      <c r="U3809" s="8">
        <v>13.9</v>
      </c>
      <c r="V3809" s="8"/>
      <c r="W3809" s="8"/>
      <c r="X3809" s="8"/>
      <c r="Y3809" s="8"/>
      <c r="Z3809" s="8"/>
      <c r="AA3809" s="8"/>
      <c r="AB3809" s="8"/>
      <c r="AC3809" s="8">
        <v>4.3600000000000003</v>
      </c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11"/>
      <c r="AQ3809" s="8"/>
      <c r="AR3809" s="8"/>
      <c r="AS3809" s="8"/>
      <c r="AT3809" s="8">
        <v>625.1</v>
      </c>
      <c r="AU3809" s="8"/>
      <c r="AV3809" s="8">
        <v>16.38</v>
      </c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>
        <v>47.06</v>
      </c>
      <c r="BH3809" s="9">
        <f t="shared" si="531"/>
        <v>1093.02</v>
      </c>
      <c r="BI3809" s="9">
        <f t="shared" si="532"/>
        <v>2.92</v>
      </c>
      <c r="BJ3809" s="9">
        <f t="shared" si="533"/>
        <v>3.3</v>
      </c>
      <c r="BK3809" s="9">
        <f t="shared" si="534"/>
        <v>13.9</v>
      </c>
      <c r="BL3809" s="9">
        <f t="shared" si="535"/>
        <v>0</v>
      </c>
      <c r="BM3809" s="9">
        <f t="shared" si="536"/>
        <v>4.3600000000000003</v>
      </c>
      <c r="BN3809" s="9">
        <f t="shared" si="537"/>
        <v>625.1</v>
      </c>
      <c r="BO3809" s="9">
        <f t="shared" si="538"/>
        <v>16.38</v>
      </c>
      <c r="BP3809" s="9">
        <f t="shared" si="539"/>
        <v>0</v>
      </c>
    </row>
    <row r="3810" spans="1:68">
      <c r="A3810" s="6">
        <v>45247</v>
      </c>
      <c r="B3810" s="7">
        <v>3023</v>
      </c>
      <c r="C3810" s="8"/>
      <c r="D3810" s="8">
        <v>900.31</v>
      </c>
      <c r="E3810" s="8"/>
      <c r="F3810" s="8"/>
      <c r="G3810" s="8"/>
      <c r="H3810" s="8"/>
      <c r="I3810" s="8">
        <v>482.44</v>
      </c>
      <c r="J3810" s="8"/>
      <c r="K3810" s="8"/>
      <c r="L3810" s="8"/>
      <c r="M3810" s="8"/>
      <c r="N3810" s="8">
        <v>7.74</v>
      </c>
      <c r="O3810" s="8"/>
      <c r="P3810" s="8"/>
      <c r="Q3810" s="11"/>
      <c r="R3810" s="11"/>
      <c r="S3810" s="8">
        <v>2.21</v>
      </c>
      <c r="T3810" s="8"/>
      <c r="U3810" s="8"/>
      <c r="V3810" s="8"/>
      <c r="W3810" s="8">
        <v>12.45</v>
      </c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>
        <v>13.68</v>
      </c>
      <c r="AN3810" s="8">
        <f>1036*9.53/1000</f>
        <v>9.8730799999999999</v>
      </c>
      <c r="AO3810" s="8"/>
      <c r="AP3810" s="11"/>
      <c r="AQ3810" s="8"/>
      <c r="AR3810" s="8"/>
      <c r="AS3810" s="8">
        <f>4759*9.53/1000</f>
        <v>45.353269999999995</v>
      </c>
      <c r="AT3810" s="8">
        <v>565.82000000000005</v>
      </c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>
        <v>42.85</v>
      </c>
      <c r="BH3810" s="9">
        <f t="shared" si="531"/>
        <v>1382.75</v>
      </c>
      <c r="BI3810" s="9">
        <f t="shared" si="532"/>
        <v>7.74</v>
      </c>
      <c r="BJ3810" s="9">
        <f t="shared" si="533"/>
        <v>2.21</v>
      </c>
      <c r="BK3810" s="9">
        <f t="shared" si="534"/>
        <v>12.45</v>
      </c>
      <c r="BL3810" s="9">
        <f t="shared" si="535"/>
        <v>0</v>
      </c>
      <c r="BM3810" s="9">
        <f t="shared" si="536"/>
        <v>68.906350000000003</v>
      </c>
      <c r="BN3810" s="9">
        <f t="shared" si="537"/>
        <v>565.82000000000005</v>
      </c>
      <c r="BO3810" s="9">
        <f t="shared" si="538"/>
        <v>0</v>
      </c>
      <c r="BP3810" s="9">
        <f t="shared" si="539"/>
        <v>0</v>
      </c>
    </row>
    <row r="3811" spans="1:68">
      <c r="A3811" s="6">
        <v>45247</v>
      </c>
      <c r="B3811" s="7">
        <v>3028</v>
      </c>
      <c r="C3811" s="8"/>
      <c r="D3811" s="8">
        <v>392.93</v>
      </c>
      <c r="E3811" s="8"/>
      <c r="F3811" s="8">
        <v>358.5</v>
      </c>
      <c r="G3811" s="8"/>
      <c r="H3811" s="8"/>
      <c r="I3811" s="8">
        <v>810.49</v>
      </c>
      <c r="J3811" s="8"/>
      <c r="K3811" s="8"/>
      <c r="L3811" s="8"/>
      <c r="M3811" s="8"/>
      <c r="N3811" s="8">
        <v>12.02</v>
      </c>
      <c r="O3811" s="8"/>
      <c r="P3811" s="8"/>
      <c r="Q3811" s="11"/>
      <c r="R3811" s="11"/>
      <c r="S3811" s="8">
        <v>2.19</v>
      </c>
      <c r="T3811" s="8"/>
      <c r="U3811" s="8"/>
      <c r="V3811" s="8"/>
      <c r="W3811" s="8">
        <v>11.71</v>
      </c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>
        <v>15.58</v>
      </c>
      <c r="AN3811" s="8">
        <f>1069*10.4/1000</f>
        <v>11.117599999999999</v>
      </c>
      <c r="AO3811" s="8"/>
      <c r="AP3811" s="11"/>
      <c r="AQ3811" s="8"/>
      <c r="AR3811" s="8"/>
      <c r="AS3811" s="8">
        <f>4985*10.4/1000</f>
        <v>51.844000000000001</v>
      </c>
      <c r="AT3811" s="8">
        <v>521.05999999999995</v>
      </c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>
        <v>35.54</v>
      </c>
      <c r="BH3811" s="9">
        <f t="shared" si="531"/>
        <v>1561.92</v>
      </c>
      <c r="BI3811" s="9">
        <f t="shared" si="532"/>
        <v>12.02</v>
      </c>
      <c r="BJ3811" s="9">
        <f t="shared" si="533"/>
        <v>2.19</v>
      </c>
      <c r="BK3811" s="9">
        <f t="shared" si="534"/>
        <v>11.71</v>
      </c>
      <c r="BL3811" s="9">
        <f t="shared" si="535"/>
        <v>0</v>
      </c>
      <c r="BM3811" s="9">
        <f t="shared" si="536"/>
        <v>78.541600000000003</v>
      </c>
      <c r="BN3811" s="9">
        <f t="shared" si="537"/>
        <v>521.05999999999995</v>
      </c>
      <c r="BO3811" s="9">
        <f t="shared" si="538"/>
        <v>0</v>
      </c>
      <c r="BP3811" s="9">
        <f t="shared" si="539"/>
        <v>0</v>
      </c>
    </row>
    <row r="3812" spans="1:68">
      <c r="A3812" s="6">
        <v>45247</v>
      </c>
      <c r="B3812" s="7">
        <v>3205</v>
      </c>
      <c r="C3812" s="8">
        <v>687.37</v>
      </c>
      <c r="D3812" s="8">
        <v>381.68</v>
      </c>
      <c r="E3812" s="8">
        <v>457.67</v>
      </c>
      <c r="F3812" s="8"/>
      <c r="G3812" s="8"/>
      <c r="H3812" s="8"/>
      <c r="I3812" s="8"/>
      <c r="J3812" s="8"/>
      <c r="K3812" s="8"/>
      <c r="L3812" s="8"/>
      <c r="M3812" s="8"/>
      <c r="N3812" s="8"/>
      <c r="O3812" s="8">
        <v>6.1</v>
      </c>
      <c r="P3812" s="8"/>
      <c r="Q3812" s="11"/>
      <c r="R3812" s="11"/>
      <c r="S3812" s="8">
        <v>5.66</v>
      </c>
      <c r="T3812" s="8"/>
      <c r="U3812" s="8">
        <v>18.32</v>
      </c>
      <c r="V3812" s="8"/>
      <c r="W3812" s="8"/>
      <c r="X3812" s="8"/>
      <c r="Y3812" s="8"/>
      <c r="Z3812" s="8">
        <v>152.87</v>
      </c>
      <c r="AA3812" s="8"/>
      <c r="AB3812" s="8">
        <f>1027*15.27/1000</f>
        <v>15.682289999999998</v>
      </c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11"/>
      <c r="AQ3812" s="8">
        <f>505*15.27/1000</f>
        <v>7.7113499999999995</v>
      </c>
      <c r="AR3812" s="8"/>
      <c r="AS3812" s="8"/>
      <c r="AT3812" s="8">
        <v>399.09</v>
      </c>
      <c r="AU3812" s="8">
        <v>199.15</v>
      </c>
      <c r="AV3812" s="8"/>
      <c r="AW3812" s="8">
        <v>6.58</v>
      </c>
      <c r="AX3812" s="8"/>
      <c r="AY3812" s="8"/>
      <c r="AZ3812" s="8"/>
      <c r="BA3812" s="8"/>
      <c r="BB3812" s="8"/>
      <c r="BC3812" s="8"/>
      <c r="BD3812" s="8"/>
      <c r="BE3812" s="8"/>
      <c r="BF3812" s="8"/>
      <c r="BG3812" s="8">
        <v>35.83</v>
      </c>
      <c r="BH3812" s="9">
        <f t="shared" si="531"/>
        <v>1526.72</v>
      </c>
      <c r="BI3812" s="9">
        <f t="shared" si="532"/>
        <v>6.1</v>
      </c>
      <c r="BJ3812" s="9">
        <f t="shared" si="533"/>
        <v>5.66</v>
      </c>
      <c r="BK3812" s="9">
        <f t="shared" si="534"/>
        <v>18.32</v>
      </c>
      <c r="BL3812" s="9">
        <f t="shared" si="535"/>
        <v>152.87</v>
      </c>
      <c r="BM3812" s="9">
        <f t="shared" si="536"/>
        <v>23.393639999999998</v>
      </c>
      <c r="BN3812" s="9">
        <f t="shared" si="537"/>
        <v>598.24</v>
      </c>
      <c r="BO3812" s="9">
        <f t="shared" si="538"/>
        <v>6.58</v>
      </c>
      <c r="BP3812" s="9">
        <f t="shared" si="539"/>
        <v>0</v>
      </c>
    </row>
    <row r="3813" spans="1:68">
      <c r="A3813" s="6">
        <v>45250</v>
      </c>
      <c r="B3813" s="7">
        <v>3602</v>
      </c>
      <c r="C3813" s="8">
        <v>554.01</v>
      </c>
      <c r="D3813" s="8"/>
      <c r="E3813" s="8"/>
      <c r="F3813" s="8"/>
      <c r="G3813" s="8">
        <v>834.41</v>
      </c>
      <c r="H3813" s="8"/>
      <c r="I3813" s="8"/>
      <c r="J3813" s="8"/>
      <c r="K3813" s="8"/>
      <c r="L3813" s="8"/>
      <c r="M3813" s="8">
        <v>1.67</v>
      </c>
      <c r="N3813" s="8"/>
      <c r="O3813" s="8"/>
      <c r="P3813" s="8"/>
      <c r="Q3813" s="11"/>
      <c r="R3813" s="11"/>
      <c r="S3813" s="8">
        <v>6.7</v>
      </c>
      <c r="T3813" s="8"/>
      <c r="U3813" s="8">
        <v>11.19</v>
      </c>
      <c r="V3813" s="8">
        <f>852*15.95/1000</f>
        <v>13.589399999999999</v>
      </c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11"/>
      <c r="AQ3813" s="8"/>
      <c r="AR3813" s="8"/>
      <c r="AS3813" s="8"/>
      <c r="AT3813" s="8">
        <v>561.21</v>
      </c>
      <c r="AU3813" s="8"/>
      <c r="AV3813" s="8"/>
      <c r="AW3813" s="8">
        <v>36.1</v>
      </c>
      <c r="AX3813" s="8"/>
      <c r="AY3813" s="8"/>
      <c r="AZ3813" s="8"/>
      <c r="BA3813" s="8"/>
      <c r="BB3813" s="8"/>
      <c r="BC3813" s="8"/>
      <c r="BD3813" s="8"/>
      <c r="BE3813" s="8"/>
      <c r="BF3813" s="8">
        <v>44.68</v>
      </c>
      <c r="BG3813" s="8">
        <v>42.06</v>
      </c>
      <c r="BH3813" s="9">
        <f t="shared" si="531"/>
        <v>1388.42</v>
      </c>
      <c r="BI3813" s="9">
        <f t="shared" si="532"/>
        <v>1.67</v>
      </c>
      <c r="BJ3813" s="9">
        <f t="shared" si="533"/>
        <v>6.7</v>
      </c>
      <c r="BK3813" s="9">
        <f t="shared" si="534"/>
        <v>24.779399999999999</v>
      </c>
      <c r="BL3813" s="9">
        <f t="shared" si="535"/>
        <v>0</v>
      </c>
      <c r="BM3813" s="9">
        <f t="shared" si="536"/>
        <v>0</v>
      </c>
      <c r="BN3813" s="9">
        <f t="shared" si="537"/>
        <v>561.21</v>
      </c>
      <c r="BO3813" s="9">
        <f t="shared" si="538"/>
        <v>36.1</v>
      </c>
      <c r="BP3813" s="9">
        <f t="shared" si="539"/>
        <v>44.68</v>
      </c>
    </row>
    <row r="3814" spans="1:68">
      <c r="A3814" s="6">
        <v>45250</v>
      </c>
      <c r="B3814" s="7">
        <v>3121</v>
      </c>
      <c r="C3814" s="8">
        <v>2241.0700000000002</v>
      </c>
      <c r="D3814" s="8"/>
      <c r="E3814" s="8"/>
      <c r="F3814" s="8"/>
      <c r="G3814" s="8"/>
      <c r="H3814" s="8"/>
      <c r="I3814" s="8"/>
      <c r="J3814" s="8"/>
      <c r="K3814" s="8"/>
      <c r="L3814" s="8"/>
      <c r="M3814" s="8">
        <v>5.61</v>
      </c>
      <c r="N3814" s="8"/>
      <c r="O3814" s="8"/>
      <c r="P3814" s="8"/>
      <c r="Q3814" s="11"/>
      <c r="R3814" s="11"/>
      <c r="S3814" s="8">
        <v>7.19</v>
      </c>
      <c r="T3814" s="8"/>
      <c r="U3814" s="8">
        <v>22.5</v>
      </c>
      <c r="V3814" s="8"/>
      <c r="W3814" s="8"/>
      <c r="X3814" s="8"/>
      <c r="Y3814" s="8"/>
      <c r="Z3814" s="8"/>
      <c r="AA3814" s="8"/>
      <c r="AB3814" s="8"/>
      <c r="AC3814" s="8">
        <v>8.99</v>
      </c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11">
        <f>2233*10.2/1000</f>
        <v>22.776599999999998</v>
      </c>
      <c r="AQ3814" s="8"/>
      <c r="AR3814" s="8"/>
      <c r="AS3814" s="8"/>
      <c r="AT3814" s="8">
        <v>1187.5899999999999</v>
      </c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>
        <v>87.49</v>
      </c>
      <c r="BH3814" s="9">
        <f t="shared" si="531"/>
        <v>2241.0700000000002</v>
      </c>
      <c r="BI3814" s="9">
        <f t="shared" si="532"/>
        <v>5.61</v>
      </c>
      <c r="BJ3814" s="9">
        <f t="shared" si="533"/>
        <v>7.19</v>
      </c>
      <c r="BK3814" s="9">
        <f t="shared" si="534"/>
        <v>22.5</v>
      </c>
      <c r="BL3814" s="9">
        <f t="shared" si="535"/>
        <v>0</v>
      </c>
      <c r="BM3814" s="9">
        <f t="shared" si="536"/>
        <v>31.766599999999997</v>
      </c>
      <c r="BN3814" s="9">
        <f t="shared" si="537"/>
        <v>1187.5899999999999</v>
      </c>
      <c r="BO3814" s="9">
        <f t="shared" si="538"/>
        <v>0</v>
      </c>
      <c r="BP3814" s="9">
        <f t="shared" si="539"/>
        <v>0</v>
      </c>
    </row>
    <row r="3815" spans="1:68">
      <c r="A3815" s="6">
        <v>45250</v>
      </c>
      <c r="B3815" s="7">
        <v>3016</v>
      </c>
      <c r="C3815" s="8"/>
      <c r="D3815" s="8">
        <v>857.89</v>
      </c>
      <c r="E3815" s="8"/>
      <c r="F3815" s="8"/>
      <c r="G3815" s="8"/>
      <c r="H3815" s="8"/>
      <c r="I3815" s="8">
        <v>789.17</v>
      </c>
      <c r="J3815" s="8"/>
      <c r="K3815" s="8"/>
      <c r="L3815" s="8"/>
      <c r="M3815" s="8"/>
      <c r="N3815" s="8">
        <v>10.23</v>
      </c>
      <c r="O3815" s="8"/>
      <c r="P3815" s="8"/>
      <c r="Q3815" s="11"/>
      <c r="R3815" s="11"/>
      <c r="S3815" s="8">
        <v>1.1499999999999999</v>
      </c>
      <c r="T3815" s="8"/>
      <c r="U3815" s="8"/>
      <c r="V3815" s="8"/>
      <c r="W3815" s="8">
        <v>16.52</v>
      </c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>
        <v>6.55</v>
      </c>
      <c r="AN3815" s="8">
        <f>2051*9.7/1000</f>
        <v>19.894699999999997</v>
      </c>
      <c r="AO3815" s="8"/>
      <c r="AP3815" s="11"/>
      <c r="AQ3815" s="8"/>
      <c r="AR3815" s="8">
        <f>4257*9.7/1000</f>
        <v>41.292899999999996</v>
      </c>
      <c r="AS3815" s="8"/>
      <c r="AT3815" s="8">
        <v>612.88</v>
      </c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>
        <v>44.85</v>
      </c>
      <c r="BH3815" s="9">
        <f t="shared" si="531"/>
        <v>1647.06</v>
      </c>
      <c r="BI3815" s="9">
        <f t="shared" si="532"/>
        <v>10.23</v>
      </c>
      <c r="BJ3815" s="9">
        <f t="shared" si="533"/>
        <v>1.1499999999999999</v>
      </c>
      <c r="BK3815" s="9">
        <f t="shared" si="534"/>
        <v>16.52</v>
      </c>
      <c r="BL3815" s="9">
        <f t="shared" si="535"/>
        <v>0</v>
      </c>
      <c r="BM3815" s="9">
        <f t="shared" si="536"/>
        <v>67.737599999999986</v>
      </c>
      <c r="BN3815" s="9">
        <f t="shared" si="537"/>
        <v>612.88</v>
      </c>
      <c r="BO3815" s="9">
        <f t="shared" si="538"/>
        <v>0</v>
      </c>
      <c r="BP3815" s="9">
        <f t="shared" si="539"/>
        <v>0</v>
      </c>
    </row>
    <row r="3816" spans="1:68">
      <c r="A3816" s="6">
        <v>45251</v>
      </c>
      <c r="B3816" s="7">
        <v>3106</v>
      </c>
      <c r="C3816" s="8">
        <v>6105.67</v>
      </c>
      <c r="D3816" s="8"/>
      <c r="E3816" s="8"/>
      <c r="F3816" s="8"/>
      <c r="G3816" s="8"/>
      <c r="H3816" s="8"/>
      <c r="I3816" s="8"/>
      <c r="J3816" s="8"/>
      <c r="K3816" s="8"/>
      <c r="L3816" s="8"/>
      <c r="M3816" s="8">
        <v>16.79</v>
      </c>
      <c r="N3816" s="8"/>
      <c r="O3816" s="8"/>
      <c r="P3816" s="8"/>
      <c r="Q3816" s="11"/>
      <c r="R3816" s="11"/>
      <c r="S3816" s="8">
        <v>18.32</v>
      </c>
      <c r="T3816" s="8"/>
      <c r="U3816" s="8">
        <v>77.52</v>
      </c>
      <c r="V3816" s="8"/>
      <c r="W3816" s="8"/>
      <c r="X3816" s="8"/>
      <c r="Y3816" s="8"/>
      <c r="Z3816" s="8"/>
      <c r="AA3816" s="8"/>
      <c r="AB3816" s="8"/>
      <c r="AC3816" s="8">
        <v>15.24</v>
      </c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11"/>
      <c r="AQ3816" s="8"/>
      <c r="AR3816" s="8"/>
      <c r="AS3816" s="8"/>
      <c r="AT3816" s="8">
        <v>3475.37</v>
      </c>
      <c r="AU3816" s="8"/>
      <c r="AV3816" s="8"/>
      <c r="AW3816" s="8"/>
      <c r="AX3816" s="8">
        <v>7.63</v>
      </c>
      <c r="AY3816" s="8"/>
      <c r="AZ3816" s="8"/>
      <c r="BA3816" s="8"/>
      <c r="BB3816" s="8"/>
      <c r="BC3816" s="8"/>
      <c r="BD3816" s="8"/>
      <c r="BE3816" s="8"/>
      <c r="BF3816" s="8"/>
      <c r="BG3816" s="8">
        <v>262.51</v>
      </c>
      <c r="BH3816" s="9">
        <f t="shared" si="531"/>
        <v>6105.67</v>
      </c>
      <c r="BI3816" s="9">
        <f t="shared" si="532"/>
        <v>16.79</v>
      </c>
      <c r="BJ3816" s="9">
        <f t="shared" si="533"/>
        <v>18.32</v>
      </c>
      <c r="BK3816" s="9">
        <f t="shared" si="534"/>
        <v>77.52</v>
      </c>
      <c r="BL3816" s="9">
        <f t="shared" si="535"/>
        <v>0</v>
      </c>
      <c r="BM3816" s="9">
        <f t="shared" si="536"/>
        <v>15.24</v>
      </c>
      <c r="BN3816" s="9">
        <f t="shared" si="537"/>
        <v>3475.37</v>
      </c>
      <c r="BO3816" s="9">
        <f t="shared" si="538"/>
        <v>7.63</v>
      </c>
      <c r="BP3816" s="9">
        <f t="shared" si="539"/>
        <v>0</v>
      </c>
    </row>
    <row r="3817" spans="1:68">
      <c r="A3817" s="6">
        <v>45251</v>
      </c>
      <c r="B3817" s="7">
        <v>3116</v>
      </c>
      <c r="C3817" s="8">
        <v>1516.8</v>
      </c>
      <c r="D3817" s="8"/>
      <c r="E3817" s="8"/>
      <c r="F3817" s="8"/>
      <c r="G3817" s="8"/>
      <c r="H3817" s="8"/>
      <c r="I3817" s="8"/>
      <c r="J3817" s="8"/>
      <c r="K3817" s="8"/>
      <c r="L3817" s="8"/>
      <c r="M3817" s="8">
        <v>3.78</v>
      </c>
      <c r="N3817" s="8"/>
      <c r="O3817" s="8"/>
      <c r="P3817" s="8"/>
      <c r="Q3817" s="11"/>
      <c r="R3817" s="11"/>
      <c r="S3817" s="8">
        <v>6.08</v>
      </c>
      <c r="T3817" s="8"/>
      <c r="U3817" s="8">
        <v>22.32</v>
      </c>
      <c r="V3817" s="8"/>
      <c r="W3817" s="8"/>
      <c r="X3817" s="8"/>
      <c r="Y3817" s="8"/>
      <c r="Z3817" s="8"/>
      <c r="AA3817" s="8"/>
      <c r="AB3817" s="8"/>
      <c r="AC3817" s="8">
        <v>6.07</v>
      </c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11"/>
      <c r="AQ3817" s="8">
        <f>1405*10.85/1000</f>
        <v>15.244249999999999</v>
      </c>
      <c r="AR3817" s="8"/>
      <c r="AS3817" s="8"/>
      <c r="AT3817" s="8">
        <v>928.3</v>
      </c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>
        <v>60.82</v>
      </c>
      <c r="BG3817" s="8">
        <v>69.040000000000006</v>
      </c>
      <c r="BH3817" s="9">
        <f t="shared" si="531"/>
        <v>1516.8</v>
      </c>
      <c r="BI3817" s="9">
        <f t="shared" si="532"/>
        <v>3.78</v>
      </c>
      <c r="BJ3817" s="9">
        <f t="shared" si="533"/>
        <v>6.08</v>
      </c>
      <c r="BK3817" s="9">
        <f t="shared" si="534"/>
        <v>22.32</v>
      </c>
      <c r="BL3817" s="9">
        <f t="shared" si="535"/>
        <v>0</v>
      </c>
      <c r="BM3817" s="9">
        <f t="shared" si="536"/>
        <v>21.314250000000001</v>
      </c>
      <c r="BN3817" s="9">
        <f t="shared" si="537"/>
        <v>928.3</v>
      </c>
      <c r="BO3817" s="9">
        <f t="shared" si="538"/>
        <v>0</v>
      </c>
      <c r="BP3817" s="9">
        <f t="shared" si="539"/>
        <v>60.82</v>
      </c>
    </row>
    <row r="3818" spans="1:68">
      <c r="A3818" s="6">
        <v>45251</v>
      </c>
      <c r="B3818" s="7">
        <v>3200</v>
      </c>
      <c r="C3818" s="8">
        <v>1202.46</v>
      </c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>
        <v>3.02</v>
      </c>
      <c r="P3818" s="8"/>
      <c r="Q3818" s="11"/>
      <c r="R3818" s="11"/>
      <c r="S3818" s="8">
        <v>4.6900000000000004</v>
      </c>
      <c r="T3818" s="8"/>
      <c r="U3818" s="8">
        <v>18.03</v>
      </c>
      <c r="V3818" s="8"/>
      <c r="W3818" s="8"/>
      <c r="X3818" s="8"/>
      <c r="Y3818" s="8"/>
      <c r="Z3818" s="8">
        <v>252.76</v>
      </c>
      <c r="AA3818" s="8"/>
      <c r="AB3818" s="8"/>
      <c r="AC3818" s="8"/>
      <c r="AD3818" s="8"/>
      <c r="AE3818" s="8"/>
      <c r="AF3818" s="8">
        <v>59.8</v>
      </c>
      <c r="AG3818" s="8"/>
      <c r="AH3818" s="8"/>
      <c r="AI3818" s="8"/>
      <c r="AJ3818" s="8"/>
      <c r="AK3818" s="8"/>
      <c r="AL3818" s="8"/>
      <c r="AM3818" s="8"/>
      <c r="AN3818" s="8"/>
      <c r="AO3818" s="8"/>
      <c r="AP3818" s="11"/>
      <c r="AQ3818" s="8">
        <f>1524*12.02/1000</f>
        <v>18.318480000000001</v>
      </c>
      <c r="AR3818" s="8"/>
      <c r="AS3818" s="8"/>
      <c r="AT3818" s="8">
        <v>823.48</v>
      </c>
      <c r="AU3818" s="8"/>
      <c r="AV3818" s="8"/>
      <c r="AW3818" s="8">
        <v>3.46</v>
      </c>
      <c r="AX3818" s="8"/>
      <c r="AY3818" s="8"/>
      <c r="AZ3818" s="8"/>
      <c r="BA3818" s="8"/>
      <c r="BB3818" s="8"/>
      <c r="BC3818" s="8"/>
      <c r="BD3818" s="8"/>
      <c r="BE3818" s="8"/>
      <c r="BF3818" s="8">
        <v>57.73</v>
      </c>
      <c r="BG3818" s="8">
        <v>59.49</v>
      </c>
      <c r="BH3818" s="9">
        <f t="shared" si="531"/>
        <v>1202.46</v>
      </c>
      <c r="BI3818" s="9">
        <f t="shared" si="532"/>
        <v>3.02</v>
      </c>
      <c r="BJ3818" s="9">
        <f t="shared" si="533"/>
        <v>4.6900000000000004</v>
      </c>
      <c r="BK3818" s="9">
        <f t="shared" si="534"/>
        <v>18.03</v>
      </c>
      <c r="BL3818" s="9">
        <f t="shared" si="535"/>
        <v>252.76</v>
      </c>
      <c r="BM3818" s="9">
        <f t="shared" si="536"/>
        <v>78.118480000000005</v>
      </c>
      <c r="BN3818" s="9">
        <f t="shared" si="537"/>
        <v>823.48</v>
      </c>
      <c r="BO3818" s="9">
        <f t="shared" si="538"/>
        <v>3.46</v>
      </c>
      <c r="BP3818" s="9">
        <f t="shared" si="539"/>
        <v>57.73</v>
      </c>
    </row>
    <row r="3819" spans="1:68">
      <c r="A3819" s="6">
        <v>45251</v>
      </c>
      <c r="B3819" s="7">
        <v>3021</v>
      </c>
      <c r="C3819" s="8"/>
      <c r="D3819" s="8">
        <v>206.92</v>
      </c>
      <c r="E3819" s="8"/>
      <c r="F3819" s="8"/>
      <c r="G3819" s="8"/>
      <c r="H3819" s="8"/>
      <c r="I3819" s="8">
        <v>384.82</v>
      </c>
      <c r="J3819" s="8"/>
      <c r="K3819" s="8"/>
      <c r="L3819" s="8"/>
      <c r="M3819" s="8"/>
      <c r="N3819" s="8">
        <v>3.14</v>
      </c>
      <c r="O3819" s="8"/>
      <c r="P3819" s="8"/>
      <c r="Q3819" s="11"/>
      <c r="R3819" s="11"/>
      <c r="S3819" s="8">
        <v>1.07</v>
      </c>
      <c r="T3819" s="8"/>
      <c r="U3819" s="8"/>
      <c r="V3819" s="8"/>
      <c r="W3819" s="8">
        <v>5.93</v>
      </c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>
        <v>5.89</v>
      </c>
      <c r="AN3819" s="8"/>
      <c r="AO3819" s="8"/>
      <c r="AP3819" s="11"/>
      <c r="AQ3819" s="8"/>
      <c r="AR3819" s="8"/>
      <c r="AS3819" s="8">
        <f>2649*5.63/1000</f>
        <v>14.913869999999999</v>
      </c>
      <c r="AT3819" s="8">
        <v>279.91000000000003</v>
      </c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>
        <v>21.05</v>
      </c>
      <c r="BH3819" s="9">
        <f t="shared" si="531"/>
        <v>591.74</v>
      </c>
      <c r="BI3819" s="9">
        <f t="shared" si="532"/>
        <v>3.14</v>
      </c>
      <c r="BJ3819" s="9">
        <f t="shared" si="533"/>
        <v>1.07</v>
      </c>
      <c r="BK3819" s="9">
        <f t="shared" si="534"/>
        <v>5.93</v>
      </c>
      <c r="BL3819" s="9">
        <f t="shared" si="535"/>
        <v>0</v>
      </c>
      <c r="BM3819" s="9">
        <f t="shared" si="536"/>
        <v>20.80387</v>
      </c>
      <c r="BN3819" s="9">
        <f t="shared" si="537"/>
        <v>279.91000000000003</v>
      </c>
      <c r="BO3819" s="9">
        <f t="shared" si="538"/>
        <v>0</v>
      </c>
      <c r="BP3819" s="9">
        <f t="shared" si="539"/>
        <v>0</v>
      </c>
    </row>
    <row r="3820" spans="1:68">
      <c r="A3820" s="6">
        <v>45251</v>
      </c>
      <c r="B3820" s="7">
        <v>3022</v>
      </c>
      <c r="C3820" s="8"/>
      <c r="D3820" s="8">
        <v>301.82</v>
      </c>
      <c r="E3820" s="8"/>
      <c r="F3820" s="8"/>
      <c r="G3820" s="8"/>
      <c r="H3820" s="8"/>
      <c r="I3820" s="8">
        <v>247.79</v>
      </c>
      <c r="J3820" s="8"/>
      <c r="K3820" s="8"/>
      <c r="L3820" s="8"/>
      <c r="M3820" s="8"/>
      <c r="N3820" s="8">
        <v>2.75</v>
      </c>
      <c r="O3820" s="8"/>
      <c r="P3820" s="8"/>
      <c r="Q3820" s="11"/>
      <c r="R3820" s="11"/>
      <c r="S3820" s="8">
        <v>0.99</v>
      </c>
      <c r="T3820" s="8"/>
      <c r="U3820" s="8"/>
      <c r="V3820" s="8"/>
      <c r="W3820" s="8">
        <v>5.51</v>
      </c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>
        <v>7.13</v>
      </c>
      <c r="AN3820" s="8"/>
      <c r="AO3820" s="8"/>
      <c r="AP3820" s="11"/>
      <c r="AQ3820" s="8"/>
      <c r="AR3820" s="8"/>
      <c r="AS3820" s="8">
        <f>3886*5.02/1000</f>
        <v>19.507719999999999</v>
      </c>
      <c r="AT3820" s="8">
        <v>256.99</v>
      </c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>
        <v>19.8</v>
      </c>
      <c r="BH3820" s="9">
        <f t="shared" si="531"/>
        <v>549.61</v>
      </c>
      <c r="BI3820" s="9">
        <f t="shared" si="532"/>
        <v>2.75</v>
      </c>
      <c r="BJ3820" s="9">
        <f t="shared" si="533"/>
        <v>0.99</v>
      </c>
      <c r="BK3820" s="9">
        <f t="shared" si="534"/>
        <v>5.51</v>
      </c>
      <c r="BL3820" s="9">
        <f t="shared" si="535"/>
        <v>0</v>
      </c>
      <c r="BM3820" s="9">
        <f t="shared" si="536"/>
        <v>26.637719999999998</v>
      </c>
      <c r="BN3820" s="9">
        <f t="shared" si="537"/>
        <v>256.99</v>
      </c>
      <c r="BO3820" s="9">
        <f t="shared" si="538"/>
        <v>0</v>
      </c>
      <c r="BP3820" s="9">
        <f t="shared" si="539"/>
        <v>0</v>
      </c>
    </row>
    <row r="3821" spans="1:68">
      <c r="A3821" s="6">
        <v>45251</v>
      </c>
      <c r="B3821" s="7">
        <v>3079</v>
      </c>
      <c r="C3821" s="8"/>
      <c r="D3821" s="8"/>
      <c r="E3821" s="8"/>
      <c r="F3821" s="8">
        <v>340.14</v>
      </c>
      <c r="G3821" s="8"/>
      <c r="H3821" s="8"/>
      <c r="I3821" s="8">
        <v>2751.98</v>
      </c>
      <c r="J3821" s="8"/>
      <c r="K3821" s="8"/>
      <c r="L3821" s="8"/>
      <c r="M3821" s="8"/>
      <c r="N3821" s="8">
        <v>22.58</v>
      </c>
      <c r="O3821" s="8"/>
      <c r="P3821" s="8"/>
      <c r="Q3821" s="11"/>
      <c r="R3821" s="11"/>
      <c r="S3821" s="8">
        <v>1.22</v>
      </c>
      <c r="T3821" s="8"/>
      <c r="U3821" s="8"/>
      <c r="V3821" s="8"/>
      <c r="W3821" s="8">
        <v>30.96</v>
      </c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>
        <v>12.32</v>
      </c>
      <c r="AN3821" s="8">
        <f>1732*18.2/1000</f>
        <v>31.522399999999998</v>
      </c>
      <c r="AO3821" s="8"/>
      <c r="AP3821" s="11"/>
      <c r="AQ3821" s="8"/>
      <c r="AR3821" s="8">
        <f>4280*18.2/1000</f>
        <v>77.896000000000001</v>
      </c>
      <c r="AS3821" s="8"/>
      <c r="AT3821" s="8">
        <v>1192.73</v>
      </c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>
        <v>86.75</v>
      </c>
      <c r="BH3821" s="9">
        <f t="shared" si="531"/>
        <v>3092.12</v>
      </c>
      <c r="BI3821" s="9">
        <f t="shared" si="532"/>
        <v>22.58</v>
      </c>
      <c r="BJ3821" s="9">
        <f t="shared" si="533"/>
        <v>1.22</v>
      </c>
      <c r="BK3821" s="9">
        <f t="shared" si="534"/>
        <v>30.96</v>
      </c>
      <c r="BL3821" s="9">
        <f t="shared" si="535"/>
        <v>0</v>
      </c>
      <c r="BM3821" s="9">
        <f t="shared" si="536"/>
        <v>121.7384</v>
      </c>
      <c r="BN3821" s="9">
        <f t="shared" si="537"/>
        <v>1192.73</v>
      </c>
      <c r="BO3821" s="9">
        <f t="shared" si="538"/>
        <v>0</v>
      </c>
      <c r="BP3821" s="9">
        <f t="shared" si="539"/>
        <v>0</v>
      </c>
    </row>
    <row r="3822" spans="1:68">
      <c r="A3822" s="6">
        <v>45251</v>
      </c>
      <c r="B3822" s="7">
        <v>3204</v>
      </c>
      <c r="C3822" s="8"/>
      <c r="D3822" s="8">
        <v>934.91</v>
      </c>
      <c r="E3822" s="8">
        <v>399.45</v>
      </c>
      <c r="F3822" s="8"/>
      <c r="G3822" s="8"/>
      <c r="H3822" s="8"/>
      <c r="I3822" s="8"/>
      <c r="J3822" s="8"/>
      <c r="K3822" s="8"/>
      <c r="L3822" s="8"/>
      <c r="M3822" s="8"/>
      <c r="N3822" s="8"/>
      <c r="O3822" s="8">
        <v>6.67</v>
      </c>
      <c r="P3822" s="8"/>
      <c r="Q3822" s="11"/>
      <c r="R3822" s="11"/>
      <c r="S3822" s="8">
        <v>4.54</v>
      </c>
      <c r="T3822" s="8"/>
      <c r="U3822" s="8">
        <v>14.7</v>
      </c>
      <c r="V3822" s="8"/>
      <c r="W3822" s="8"/>
      <c r="X3822" s="8"/>
      <c r="Y3822" s="8"/>
      <c r="Z3822" s="8">
        <v>200.44</v>
      </c>
      <c r="AA3822" s="8"/>
      <c r="AB3822" s="8">
        <f>702*9.53/1000</f>
        <v>6.6900599999999999</v>
      </c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11"/>
      <c r="AQ3822" s="8"/>
      <c r="AR3822" s="8"/>
      <c r="AS3822" s="8"/>
      <c r="AT3822" s="8">
        <v>588.61</v>
      </c>
      <c r="AU3822" s="8"/>
      <c r="AV3822" s="8"/>
      <c r="AW3822" s="8">
        <v>4.25</v>
      </c>
      <c r="AX3822" s="8"/>
      <c r="AY3822" s="8"/>
      <c r="AZ3822" s="8"/>
      <c r="BA3822" s="8"/>
      <c r="BB3822" s="8"/>
      <c r="BC3822" s="8"/>
      <c r="BD3822" s="8"/>
      <c r="BE3822" s="8"/>
      <c r="BF3822" s="8"/>
      <c r="BG3822" s="8">
        <v>43.43</v>
      </c>
      <c r="BH3822" s="9">
        <f t="shared" si="531"/>
        <v>1334.36</v>
      </c>
      <c r="BI3822" s="9">
        <f t="shared" si="532"/>
        <v>6.67</v>
      </c>
      <c r="BJ3822" s="9">
        <f t="shared" si="533"/>
        <v>4.54</v>
      </c>
      <c r="BK3822" s="9">
        <f t="shared" si="534"/>
        <v>14.7</v>
      </c>
      <c r="BL3822" s="9">
        <f t="shared" si="535"/>
        <v>200.44</v>
      </c>
      <c r="BM3822" s="9">
        <f t="shared" si="536"/>
        <v>6.6900599999999999</v>
      </c>
      <c r="BN3822" s="9">
        <f t="shared" si="537"/>
        <v>588.61</v>
      </c>
      <c r="BO3822" s="9">
        <f t="shared" si="538"/>
        <v>4.25</v>
      </c>
      <c r="BP3822" s="9">
        <f t="shared" si="539"/>
        <v>0</v>
      </c>
    </row>
    <row r="3823" spans="1:68">
      <c r="A3823" s="6">
        <v>45252</v>
      </c>
      <c r="B3823" s="7">
        <v>3203</v>
      </c>
      <c r="C3823" s="8">
        <v>881.62</v>
      </c>
      <c r="D3823" s="8"/>
      <c r="E3823" s="8">
        <v>378.77</v>
      </c>
      <c r="F3823" s="8"/>
      <c r="G3823" s="8"/>
      <c r="H3823" s="8"/>
      <c r="I3823" s="8"/>
      <c r="J3823" s="8"/>
      <c r="K3823" s="8"/>
      <c r="L3823" s="8"/>
      <c r="M3823" s="8"/>
      <c r="N3823" s="8"/>
      <c r="O3823" s="8">
        <v>3.81</v>
      </c>
      <c r="P3823" s="8"/>
      <c r="Q3823" s="11"/>
      <c r="R3823" s="11"/>
      <c r="S3823" s="8">
        <v>4.9800000000000004</v>
      </c>
      <c r="T3823" s="8"/>
      <c r="U3823" s="8">
        <v>15.85</v>
      </c>
      <c r="V3823" s="8"/>
      <c r="W3823" s="8"/>
      <c r="X3823" s="8"/>
      <c r="Y3823" s="8"/>
      <c r="Z3823" s="8">
        <v>200.85</v>
      </c>
      <c r="AA3823" s="8">
        <f>10513*14.98/1000</f>
        <v>157.48473999999999</v>
      </c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11"/>
      <c r="AQ3823" s="8"/>
      <c r="AR3823" s="8"/>
      <c r="AS3823" s="8"/>
      <c r="AT3823" s="8">
        <v>472.29</v>
      </c>
      <c r="AU3823" s="8">
        <v>237.82</v>
      </c>
      <c r="AV3823" s="8"/>
      <c r="AW3823" s="8"/>
      <c r="AX3823" s="8"/>
      <c r="AY3823" s="8"/>
      <c r="AZ3823" s="8"/>
      <c r="BA3823" s="8"/>
      <c r="BB3823" s="8"/>
      <c r="BC3823" s="8">
        <v>3.32</v>
      </c>
      <c r="BD3823" s="8"/>
      <c r="BE3823" s="8"/>
      <c r="BF3823" s="8"/>
      <c r="BG3823" s="8">
        <v>46.03</v>
      </c>
      <c r="BH3823" s="9">
        <f t="shared" si="531"/>
        <v>1260.3899999999999</v>
      </c>
      <c r="BI3823" s="9">
        <f t="shared" si="532"/>
        <v>3.81</v>
      </c>
      <c r="BJ3823" s="9">
        <f t="shared" si="533"/>
        <v>4.9800000000000004</v>
      </c>
      <c r="BK3823" s="9">
        <f t="shared" si="534"/>
        <v>15.85</v>
      </c>
      <c r="BL3823" s="9">
        <f t="shared" si="535"/>
        <v>358.33474000000001</v>
      </c>
      <c r="BM3823" s="9">
        <f t="shared" si="536"/>
        <v>0</v>
      </c>
      <c r="BN3823" s="9">
        <f t="shared" si="537"/>
        <v>710.11</v>
      </c>
      <c r="BO3823" s="9">
        <f t="shared" si="538"/>
        <v>3.32</v>
      </c>
      <c r="BP3823" s="9">
        <f t="shared" si="539"/>
        <v>0</v>
      </c>
    </row>
    <row r="3824" spans="1:68">
      <c r="A3824" s="6">
        <v>45252</v>
      </c>
      <c r="B3824" s="7">
        <v>3200</v>
      </c>
      <c r="C3824" s="8">
        <v>2246.98</v>
      </c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>
        <v>5.62</v>
      </c>
      <c r="P3824" s="8"/>
      <c r="Q3824" s="11"/>
      <c r="R3824" s="11"/>
      <c r="S3824" s="8">
        <v>8.7799999999999994</v>
      </c>
      <c r="T3824" s="8"/>
      <c r="U3824" s="8">
        <v>33.700000000000003</v>
      </c>
      <c r="V3824" s="8"/>
      <c r="W3824" s="8"/>
      <c r="X3824" s="8"/>
      <c r="Y3824" s="8"/>
      <c r="Z3824" s="8">
        <v>472.27</v>
      </c>
      <c r="AA3824" s="8"/>
      <c r="AB3824" s="8"/>
      <c r="AC3824" s="8"/>
      <c r="AD3824" s="8"/>
      <c r="AE3824" s="8"/>
      <c r="AF3824" s="8">
        <v>112.23</v>
      </c>
      <c r="AG3824" s="8"/>
      <c r="AH3824" s="8"/>
      <c r="AI3824" s="8"/>
      <c r="AJ3824" s="8"/>
      <c r="AK3824" s="8"/>
      <c r="AL3824" s="8"/>
      <c r="AM3824" s="8"/>
      <c r="AN3824" s="8"/>
      <c r="AO3824" s="8"/>
      <c r="AP3824" s="11"/>
      <c r="AQ3824" s="8">
        <f>1517*22.47/1000</f>
        <v>34.08699</v>
      </c>
      <c r="AR3824" s="8"/>
      <c r="AS3824" s="8"/>
      <c r="AT3824" s="8">
        <v>1540.09</v>
      </c>
      <c r="AU3824" s="8"/>
      <c r="AV3824" s="8"/>
      <c r="AW3824" s="8">
        <v>6.5</v>
      </c>
      <c r="AX3824" s="8"/>
      <c r="AY3824" s="8"/>
      <c r="AZ3824" s="8"/>
      <c r="BA3824" s="8"/>
      <c r="BB3824" s="8"/>
      <c r="BC3824" s="8"/>
      <c r="BD3824" s="8"/>
      <c r="BE3824" s="8"/>
      <c r="BF3824" s="8">
        <v>107.94</v>
      </c>
      <c r="BG3824" s="8">
        <v>111.28</v>
      </c>
      <c r="BH3824" s="9">
        <f t="shared" si="531"/>
        <v>2246.98</v>
      </c>
      <c r="BI3824" s="9">
        <f t="shared" si="532"/>
        <v>5.62</v>
      </c>
      <c r="BJ3824" s="9">
        <f t="shared" si="533"/>
        <v>8.7799999999999994</v>
      </c>
      <c r="BK3824" s="9">
        <f t="shared" si="534"/>
        <v>33.700000000000003</v>
      </c>
      <c r="BL3824" s="9">
        <f t="shared" si="535"/>
        <v>472.27</v>
      </c>
      <c r="BM3824" s="9">
        <f t="shared" si="536"/>
        <v>146.31699</v>
      </c>
      <c r="BN3824" s="9">
        <f t="shared" si="537"/>
        <v>1540.09</v>
      </c>
      <c r="BO3824" s="9">
        <f t="shared" si="538"/>
        <v>6.5</v>
      </c>
      <c r="BP3824" s="9">
        <f t="shared" si="539"/>
        <v>107.94</v>
      </c>
    </row>
    <row r="3825" spans="1:68">
      <c r="A3825" s="6">
        <v>45252</v>
      </c>
      <c r="B3825" s="7">
        <v>3141</v>
      </c>
      <c r="C3825" s="8">
        <v>3584.71</v>
      </c>
      <c r="D3825" s="8">
        <v>632.79</v>
      </c>
      <c r="E3825" s="8"/>
      <c r="F3825" s="8"/>
      <c r="G3825" s="8"/>
      <c r="H3825" s="8"/>
      <c r="I3825" s="8"/>
      <c r="J3825" s="8"/>
      <c r="K3825" s="8"/>
      <c r="L3825" s="8"/>
      <c r="M3825" s="8">
        <v>11.63</v>
      </c>
      <c r="N3825" s="8"/>
      <c r="O3825" s="8"/>
      <c r="P3825" s="8"/>
      <c r="Q3825" s="11"/>
      <c r="R3825" s="11"/>
      <c r="S3825" s="8">
        <v>19.850000000000001</v>
      </c>
      <c r="T3825" s="8"/>
      <c r="U3825" s="8">
        <v>63.31</v>
      </c>
      <c r="V3825" s="8"/>
      <c r="W3825" s="8"/>
      <c r="X3825" s="8"/>
      <c r="Y3825" s="8"/>
      <c r="Z3825" s="8"/>
      <c r="AA3825" s="8"/>
      <c r="AB3825" s="8"/>
      <c r="AC3825" s="8">
        <v>16.89</v>
      </c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11"/>
      <c r="AQ3825" s="8"/>
      <c r="AR3825" s="8"/>
      <c r="AS3825" s="8"/>
      <c r="AT3825" s="8">
        <v>2787.86</v>
      </c>
      <c r="AU3825" s="8"/>
      <c r="AV3825" s="8"/>
      <c r="AW3825" s="8"/>
      <c r="AX3825" s="8"/>
      <c r="AY3825" s="8"/>
      <c r="AZ3825" s="8"/>
      <c r="BA3825" s="8">
        <v>96.73</v>
      </c>
      <c r="BB3825" s="8"/>
      <c r="BC3825" s="8"/>
      <c r="BD3825" s="8"/>
      <c r="BE3825" s="8"/>
      <c r="BF3825" s="8">
        <v>295.42</v>
      </c>
      <c r="BG3825" s="8">
        <v>219.76</v>
      </c>
      <c r="BH3825" s="9">
        <f t="shared" si="531"/>
        <v>4217.5</v>
      </c>
      <c r="BI3825" s="9">
        <f t="shared" si="532"/>
        <v>11.63</v>
      </c>
      <c r="BJ3825" s="9">
        <f t="shared" si="533"/>
        <v>19.850000000000001</v>
      </c>
      <c r="BK3825" s="9">
        <f t="shared" si="534"/>
        <v>63.31</v>
      </c>
      <c r="BL3825" s="9">
        <f t="shared" si="535"/>
        <v>0</v>
      </c>
      <c r="BM3825" s="9">
        <f t="shared" si="536"/>
        <v>16.89</v>
      </c>
      <c r="BN3825" s="9">
        <f t="shared" si="537"/>
        <v>2787.86</v>
      </c>
      <c r="BO3825" s="9">
        <f t="shared" si="538"/>
        <v>96.73</v>
      </c>
      <c r="BP3825" s="9">
        <f t="shared" si="539"/>
        <v>295.42</v>
      </c>
    </row>
    <row r="3826" spans="1:68">
      <c r="A3826" s="6">
        <v>45252</v>
      </c>
      <c r="B3826" s="7">
        <v>3111</v>
      </c>
      <c r="C3826" s="8">
        <v>971.06</v>
      </c>
      <c r="D3826" s="8"/>
      <c r="E3826" s="8"/>
      <c r="F3826" s="8"/>
      <c r="G3826" s="8"/>
      <c r="H3826" s="8"/>
      <c r="I3826" s="8"/>
      <c r="J3826" s="8"/>
      <c r="K3826" s="8"/>
      <c r="L3826" s="8"/>
      <c r="M3826" s="8">
        <v>1.46</v>
      </c>
      <c r="N3826" s="8"/>
      <c r="O3826" s="8"/>
      <c r="P3826" s="8"/>
      <c r="Q3826" s="11"/>
      <c r="R3826" s="11"/>
      <c r="S3826" s="8">
        <v>2.93</v>
      </c>
      <c r="T3826" s="8"/>
      <c r="U3826" s="8">
        <v>9.74</v>
      </c>
      <c r="V3826" s="8"/>
      <c r="W3826" s="8"/>
      <c r="X3826" s="8"/>
      <c r="Y3826" s="8"/>
      <c r="Z3826" s="8"/>
      <c r="AA3826" s="8"/>
      <c r="AB3826" s="8"/>
      <c r="AC3826" s="8">
        <v>3.89</v>
      </c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11"/>
      <c r="AQ3826" s="8"/>
      <c r="AR3826" s="8"/>
      <c r="AS3826" s="8"/>
      <c r="AT3826" s="8">
        <v>454.92</v>
      </c>
      <c r="AU3826" s="8"/>
      <c r="AV3826" s="8"/>
      <c r="AW3826" s="8"/>
      <c r="AX3826" s="8"/>
      <c r="AY3826" s="8"/>
      <c r="AZ3826" s="8"/>
      <c r="BA3826" s="8">
        <v>36.17</v>
      </c>
      <c r="BB3826" s="8"/>
      <c r="BC3826" s="8"/>
      <c r="BD3826" s="8"/>
      <c r="BE3826" s="8"/>
      <c r="BF3826" s="8"/>
      <c r="BG3826" s="8">
        <v>31.69</v>
      </c>
      <c r="BH3826" s="9">
        <f t="shared" si="531"/>
        <v>971.06</v>
      </c>
      <c r="BI3826" s="9">
        <f t="shared" si="532"/>
        <v>1.46</v>
      </c>
      <c r="BJ3826" s="9">
        <f t="shared" si="533"/>
        <v>2.93</v>
      </c>
      <c r="BK3826" s="9">
        <f t="shared" si="534"/>
        <v>9.74</v>
      </c>
      <c r="BL3826" s="9">
        <f t="shared" si="535"/>
        <v>0</v>
      </c>
      <c r="BM3826" s="9">
        <f t="shared" si="536"/>
        <v>3.89</v>
      </c>
      <c r="BN3826" s="9">
        <f t="shared" si="537"/>
        <v>454.92</v>
      </c>
      <c r="BO3826" s="9">
        <f t="shared" si="538"/>
        <v>36.17</v>
      </c>
      <c r="BP3826" s="9">
        <f t="shared" si="539"/>
        <v>0</v>
      </c>
    </row>
    <row r="3827" spans="1:68">
      <c r="A3827" s="6">
        <v>45252</v>
      </c>
      <c r="B3827" s="7">
        <v>3016</v>
      </c>
      <c r="C3827" s="8"/>
      <c r="D3827" s="8">
        <f>1639.56+68.27</f>
        <v>1707.83</v>
      </c>
      <c r="E3827" s="8"/>
      <c r="F3827" s="8"/>
      <c r="G3827" s="8"/>
      <c r="H3827" s="8"/>
      <c r="I3827" s="8">
        <f>62.77+1512.61</f>
        <v>1575.3799999999999</v>
      </c>
      <c r="J3827" s="8"/>
      <c r="K3827" s="8"/>
      <c r="L3827" s="8"/>
      <c r="M3827" s="8"/>
      <c r="N3827" s="8">
        <f>0.81+19.55</f>
        <v>20.36</v>
      </c>
      <c r="O3827" s="8"/>
      <c r="P3827" s="8"/>
      <c r="Q3827" s="11"/>
      <c r="R3827" s="11"/>
      <c r="S3827" s="8">
        <f>0.09+2.2</f>
        <v>2.29</v>
      </c>
      <c r="T3827" s="8"/>
      <c r="U3827" s="8"/>
      <c r="V3827" s="8"/>
      <c r="W3827" s="8">
        <f>1.32+31.53</f>
        <v>32.85</v>
      </c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>
        <f>0.53+12.58</f>
        <v>13.11</v>
      </c>
      <c r="AN3827" s="8">
        <f>2045*19.32/1000</f>
        <v>39.509399999999999</v>
      </c>
      <c r="AO3827" s="8"/>
      <c r="AP3827" s="11"/>
      <c r="AQ3827" s="8"/>
      <c r="AR3827" s="8">
        <f>4273*19.32/1000</f>
        <v>82.554360000000003</v>
      </c>
      <c r="AS3827" s="8"/>
      <c r="AT3827" s="8">
        <f>48.89+1170.25</f>
        <v>1219.1400000000001</v>
      </c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>
        <f>3.57+85.69</f>
        <v>89.259999999999991</v>
      </c>
      <c r="BH3827" s="9">
        <f t="shared" si="531"/>
        <v>3283.21</v>
      </c>
      <c r="BI3827" s="9">
        <f t="shared" si="532"/>
        <v>20.36</v>
      </c>
      <c r="BJ3827" s="9">
        <f t="shared" si="533"/>
        <v>2.29</v>
      </c>
      <c r="BK3827" s="9">
        <f t="shared" si="534"/>
        <v>32.85</v>
      </c>
      <c r="BL3827" s="9">
        <f t="shared" si="535"/>
        <v>0</v>
      </c>
      <c r="BM3827" s="9">
        <f t="shared" si="536"/>
        <v>135.17376000000002</v>
      </c>
      <c r="BN3827" s="9">
        <f t="shared" si="537"/>
        <v>1219.1400000000001</v>
      </c>
      <c r="BO3827" s="9">
        <f t="shared" si="538"/>
        <v>0</v>
      </c>
      <c r="BP3827" s="9">
        <f t="shared" si="539"/>
        <v>0</v>
      </c>
    </row>
    <row r="3828" spans="1:68">
      <c r="A3828" s="6">
        <v>45252</v>
      </c>
      <c r="B3828" s="7">
        <v>3023</v>
      </c>
      <c r="C3828" s="8"/>
      <c r="D3828" s="8">
        <v>1696.89</v>
      </c>
      <c r="E3828" s="8"/>
      <c r="F3828" s="8"/>
      <c r="G3828" s="8"/>
      <c r="H3828" s="8"/>
      <c r="I3828" s="8">
        <v>914.62</v>
      </c>
      <c r="J3828" s="8"/>
      <c r="K3828" s="8"/>
      <c r="L3828" s="8"/>
      <c r="M3828" s="8"/>
      <c r="N3828" s="8">
        <v>14.63</v>
      </c>
      <c r="O3828" s="8"/>
      <c r="P3828" s="8"/>
      <c r="Q3828" s="11"/>
      <c r="R3828" s="11"/>
      <c r="S3828" s="8">
        <v>4.17</v>
      </c>
      <c r="T3828" s="8"/>
      <c r="U3828" s="8"/>
      <c r="V3828" s="8"/>
      <c r="W3828" s="8">
        <v>23.52</v>
      </c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>
        <v>26.02</v>
      </c>
      <c r="AN3828" s="8">
        <f>1017*18/1000</f>
        <v>18.306000000000001</v>
      </c>
      <c r="AO3828" s="8"/>
      <c r="AP3828" s="11"/>
      <c r="AQ3828" s="8"/>
      <c r="AR3828" s="8"/>
      <c r="AS3828" s="8">
        <f>4794*18/1000</f>
        <v>86.292000000000002</v>
      </c>
      <c r="AT3828" s="8">
        <v>1071.71</v>
      </c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>
        <v>80.900000000000006</v>
      </c>
      <c r="BH3828" s="9">
        <f t="shared" si="531"/>
        <v>2611.5100000000002</v>
      </c>
      <c r="BI3828" s="9">
        <f t="shared" si="532"/>
        <v>14.63</v>
      </c>
      <c r="BJ3828" s="9">
        <f t="shared" si="533"/>
        <v>4.17</v>
      </c>
      <c r="BK3828" s="9">
        <f t="shared" si="534"/>
        <v>23.52</v>
      </c>
      <c r="BL3828" s="9">
        <f t="shared" si="535"/>
        <v>0</v>
      </c>
      <c r="BM3828" s="9">
        <f t="shared" si="536"/>
        <v>130.61799999999999</v>
      </c>
      <c r="BN3828" s="9">
        <f t="shared" si="537"/>
        <v>1071.71</v>
      </c>
      <c r="BO3828" s="9">
        <f t="shared" si="538"/>
        <v>0</v>
      </c>
      <c r="BP3828" s="9">
        <f t="shared" si="539"/>
        <v>0</v>
      </c>
    </row>
    <row r="3829" spans="1:68">
      <c r="A3829" s="6">
        <v>45252</v>
      </c>
      <c r="B3829" s="7">
        <v>3704</v>
      </c>
      <c r="C3829" s="8">
        <v>351.41</v>
      </c>
      <c r="D3829" s="8">
        <v>527.14</v>
      </c>
      <c r="E3829" s="8"/>
      <c r="F3829" s="8"/>
      <c r="G3829" s="8"/>
      <c r="H3829" s="8"/>
      <c r="I3829" s="8"/>
      <c r="J3829" s="8"/>
      <c r="K3829" s="8"/>
      <c r="L3829" s="8"/>
      <c r="M3829" s="8">
        <v>2.64</v>
      </c>
      <c r="N3829" s="8"/>
      <c r="O3829" s="8"/>
      <c r="P3829" s="8"/>
      <c r="Q3829" s="11"/>
      <c r="R3829" s="11"/>
      <c r="S3829" s="8">
        <v>3.07</v>
      </c>
      <c r="T3829" s="8"/>
      <c r="U3829" s="8">
        <v>6.59</v>
      </c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>
        <v>10.53</v>
      </c>
      <c r="AN3829" s="8"/>
      <c r="AO3829" s="8"/>
      <c r="AP3829" s="11"/>
      <c r="AQ3829" s="8"/>
      <c r="AR3829" s="8"/>
      <c r="AS3829" s="8"/>
      <c r="AT3829" s="8">
        <v>152.93</v>
      </c>
      <c r="AU3829" s="8">
        <v>76.3</v>
      </c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>
        <v>14.06</v>
      </c>
      <c r="BH3829" s="9">
        <f t="shared" si="531"/>
        <v>878.55</v>
      </c>
      <c r="BI3829" s="9">
        <f t="shared" si="532"/>
        <v>2.64</v>
      </c>
      <c r="BJ3829" s="9">
        <f t="shared" si="533"/>
        <v>3.07</v>
      </c>
      <c r="BK3829" s="9">
        <f t="shared" si="534"/>
        <v>6.59</v>
      </c>
      <c r="BL3829" s="9">
        <f t="shared" si="535"/>
        <v>0</v>
      </c>
      <c r="BM3829" s="9">
        <f t="shared" si="536"/>
        <v>10.53</v>
      </c>
      <c r="BN3829" s="9">
        <f t="shared" si="537"/>
        <v>229.23000000000002</v>
      </c>
      <c r="BO3829" s="9">
        <f t="shared" si="538"/>
        <v>0</v>
      </c>
      <c r="BP3829" s="9">
        <f t="shared" si="539"/>
        <v>0</v>
      </c>
    </row>
    <row r="3830" spans="1:68">
      <c r="A3830" s="6">
        <v>45252</v>
      </c>
      <c r="B3830" s="7">
        <v>3702</v>
      </c>
      <c r="C3830" s="8">
        <v>514.02</v>
      </c>
      <c r="D3830" s="8">
        <v>343.18</v>
      </c>
      <c r="E3830" s="8"/>
      <c r="F3830" s="8"/>
      <c r="G3830" s="8"/>
      <c r="H3830" s="8"/>
      <c r="I3830" s="8"/>
      <c r="J3830" s="8"/>
      <c r="K3830" s="8"/>
      <c r="L3830" s="8"/>
      <c r="M3830" s="8">
        <v>1.72</v>
      </c>
      <c r="N3830" s="8"/>
      <c r="O3830" s="8"/>
      <c r="P3830" s="8"/>
      <c r="Q3830" s="11"/>
      <c r="R3830" s="11"/>
      <c r="S3830" s="8">
        <v>4.04</v>
      </c>
      <c r="T3830" s="8"/>
      <c r="U3830" s="8">
        <v>6.44</v>
      </c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11"/>
      <c r="AQ3830" s="8"/>
      <c r="AR3830" s="8"/>
      <c r="AS3830" s="8"/>
      <c r="AT3830" s="8">
        <v>208.73</v>
      </c>
      <c r="AU3830" s="8">
        <v>104.57</v>
      </c>
      <c r="AV3830" s="8"/>
      <c r="AW3830" s="8">
        <v>1.91</v>
      </c>
      <c r="AX3830" s="8"/>
      <c r="AY3830" s="8"/>
      <c r="AZ3830" s="8"/>
      <c r="BA3830" s="8"/>
      <c r="BB3830" s="8"/>
      <c r="BC3830" s="8"/>
      <c r="BD3830" s="8"/>
      <c r="BE3830" s="8"/>
      <c r="BF3830" s="8"/>
      <c r="BG3830" s="8">
        <v>21.95</v>
      </c>
      <c r="BH3830" s="9">
        <f t="shared" si="531"/>
        <v>857.2</v>
      </c>
      <c r="BI3830" s="9">
        <f t="shared" si="532"/>
        <v>1.72</v>
      </c>
      <c r="BJ3830" s="9">
        <f t="shared" si="533"/>
        <v>4.04</v>
      </c>
      <c r="BK3830" s="9">
        <f t="shared" si="534"/>
        <v>6.44</v>
      </c>
      <c r="BL3830" s="9">
        <f t="shared" si="535"/>
        <v>0</v>
      </c>
      <c r="BM3830" s="9">
        <f t="shared" si="536"/>
        <v>0</v>
      </c>
      <c r="BN3830" s="9">
        <f t="shared" si="537"/>
        <v>313.29999999999995</v>
      </c>
      <c r="BO3830" s="9">
        <f t="shared" si="538"/>
        <v>1.91</v>
      </c>
      <c r="BP3830" s="9">
        <f t="shared" si="539"/>
        <v>0</v>
      </c>
    </row>
    <row r="3831" spans="1:68">
      <c r="A3831" s="6">
        <v>45253</v>
      </c>
      <c r="B3831" s="7">
        <v>3122</v>
      </c>
      <c r="C3831" s="8">
        <v>796.81</v>
      </c>
      <c r="D3831" s="8"/>
      <c r="E3831" s="8"/>
      <c r="F3831" s="8"/>
      <c r="G3831" s="8"/>
      <c r="H3831" s="8"/>
      <c r="I3831" s="8"/>
      <c r="J3831" s="8"/>
      <c r="K3831" s="8"/>
      <c r="L3831" s="8"/>
      <c r="M3831" s="8">
        <v>1.42</v>
      </c>
      <c r="N3831" s="8">
        <v>1.43</v>
      </c>
      <c r="O3831" s="8"/>
      <c r="P3831" s="8"/>
      <c r="Q3831" s="11"/>
      <c r="R3831" s="11"/>
      <c r="S3831" s="8">
        <v>3.26</v>
      </c>
      <c r="T3831" s="8"/>
      <c r="U3831" s="8">
        <v>7.97</v>
      </c>
      <c r="V3831" s="8"/>
      <c r="W3831" s="8"/>
      <c r="X3831" s="8"/>
      <c r="Y3831" s="8"/>
      <c r="Z3831" s="8"/>
      <c r="AA3831" s="8"/>
      <c r="AB3831" s="8"/>
      <c r="AC3831" s="8">
        <v>3.18</v>
      </c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11"/>
      <c r="AQ3831" s="8"/>
      <c r="AR3831" s="8"/>
      <c r="AS3831" s="8"/>
      <c r="AT3831" s="8">
        <v>351.51</v>
      </c>
      <c r="AU3831" s="8"/>
      <c r="AV3831" s="8">
        <v>27.03</v>
      </c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>
        <v>25.85</v>
      </c>
      <c r="BH3831" s="9">
        <f t="shared" si="531"/>
        <v>796.81</v>
      </c>
      <c r="BI3831" s="9">
        <f t="shared" si="532"/>
        <v>2.8499999999999996</v>
      </c>
      <c r="BJ3831" s="9">
        <f t="shared" si="533"/>
        <v>3.26</v>
      </c>
      <c r="BK3831" s="9">
        <f t="shared" si="534"/>
        <v>7.97</v>
      </c>
      <c r="BL3831" s="9">
        <f t="shared" si="535"/>
        <v>0</v>
      </c>
      <c r="BM3831" s="9">
        <f t="shared" si="536"/>
        <v>3.18</v>
      </c>
      <c r="BN3831" s="9">
        <f t="shared" si="537"/>
        <v>351.51</v>
      </c>
      <c r="BO3831" s="9">
        <f t="shared" si="538"/>
        <v>27.03</v>
      </c>
      <c r="BP3831" s="9">
        <f t="shared" si="539"/>
        <v>0</v>
      </c>
    </row>
    <row r="3832" spans="1:68">
      <c r="A3832" s="6">
        <v>45253</v>
      </c>
      <c r="B3832" s="7">
        <v>3117</v>
      </c>
      <c r="C3832" s="8">
        <v>806.72</v>
      </c>
      <c r="D3832" s="8"/>
      <c r="E3832" s="8"/>
      <c r="F3832" s="8"/>
      <c r="G3832" s="8"/>
      <c r="H3832" s="8"/>
      <c r="I3832" s="8"/>
      <c r="J3832" s="8"/>
      <c r="K3832" s="8"/>
      <c r="L3832" s="8"/>
      <c r="M3832" s="8">
        <v>2.2799999999999998</v>
      </c>
      <c r="N3832" s="8"/>
      <c r="O3832" s="8"/>
      <c r="P3832" s="8"/>
      <c r="Q3832" s="11"/>
      <c r="R3832" s="11"/>
      <c r="S3832" s="8">
        <v>3.23</v>
      </c>
      <c r="T3832" s="8"/>
      <c r="U3832" s="8">
        <v>8.06</v>
      </c>
      <c r="V3832" s="8"/>
      <c r="W3832" s="8"/>
      <c r="X3832" s="8"/>
      <c r="Y3832" s="8"/>
      <c r="Z3832" s="8"/>
      <c r="AA3832" s="8"/>
      <c r="AB3832" s="8"/>
      <c r="AC3832" s="8">
        <v>3.23</v>
      </c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11"/>
      <c r="AQ3832" s="8"/>
      <c r="AR3832" s="8"/>
      <c r="AS3832" s="8"/>
      <c r="AT3832" s="8">
        <v>508.38</v>
      </c>
      <c r="AU3832" s="8"/>
      <c r="AV3832" s="8">
        <v>20.14</v>
      </c>
      <c r="AW3832" s="8"/>
      <c r="AX3832" s="8"/>
      <c r="AY3832" s="8"/>
      <c r="AZ3832" s="8"/>
      <c r="BA3832" s="8"/>
      <c r="BB3832" s="8"/>
      <c r="BC3832" s="8"/>
      <c r="BD3832" s="8"/>
      <c r="BE3832" s="8"/>
      <c r="BF3832" s="8">
        <v>40.299999999999997</v>
      </c>
      <c r="BG3832" s="8">
        <v>38.71</v>
      </c>
      <c r="BH3832" s="9">
        <f t="shared" si="531"/>
        <v>806.72</v>
      </c>
      <c r="BI3832" s="9">
        <f t="shared" si="532"/>
        <v>2.2799999999999998</v>
      </c>
      <c r="BJ3832" s="9">
        <f t="shared" si="533"/>
        <v>3.23</v>
      </c>
      <c r="BK3832" s="9">
        <f t="shared" si="534"/>
        <v>8.06</v>
      </c>
      <c r="BL3832" s="9">
        <f t="shared" si="535"/>
        <v>0</v>
      </c>
      <c r="BM3832" s="9">
        <f t="shared" si="536"/>
        <v>3.23</v>
      </c>
      <c r="BN3832" s="9">
        <f t="shared" si="537"/>
        <v>508.38</v>
      </c>
      <c r="BO3832" s="9">
        <f t="shared" si="538"/>
        <v>20.14</v>
      </c>
      <c r="BP3832" s="9">
        <f t="shared" si="539"/>
        <v>40.299999999999997</v>
      </c>
    </row>
    <row r="3833" spans="1:68">
      <c r="A3833" s="6">
        <v>45253</v>
      </c>
      <c r="B3833" s="7">
        <v>3157</v>
      </c>
      <c r="C3833" s="8">
        <v>369.88</v>
      </c>
      <c r="D3833" s="8">
        <v>370.1</v>
      </c>
      <c r="E3833" s="8"/>
      <c r="F3833" s="8"/>
      <c r="G3833" s="8"/>
      <c r="H3833" s="8"/>
      <c r="I3833" s="8"/>
      <c r="J3833" s="8"/>
      <c r="K3833" s="8"/>
      <c r="L3833" s="8"/>
      <c r="M3833" s="8">
        <v>2.96</v>
      </c>
      <c r="N3833" s="8"/>
      <c r="O3833" s="8"/>
      <c r="P3833" s="8"/>
      <c r="Q3833" s="11"/>
      <c r="R3833" s="11"/>
      <c r="S3833" s="8">
        <v>3.7</v>
      </c>
      <c r="T3833" s="8"/>
      <c r="U3833" s="8">
        <v>11.85</v>
      </c>
      <c r="V3833" s="8"/>
      <c r="W3833" s="8"/>
      <c r="X3833" s="8"/>
      <c r="Y3833" s="8"/>
      <c r="Z3833" s="8"/>
      <c r="AA3833" s="8"/>
      <c r="AB3833" s="8"/>
      <c r="AC3833" s="8">
        <v>2.96</v>
      </c>
      <c r="AD3833" s="8"/>
      <c r="AE3833" s="8"/>
      <c r="AF3833" s="8"/>
      <c r="AG3833" s="8">
        <v>3.71</v>
      </c>
      <c r="AH3833" s="8"/>
      <c r="AI3833" s="8"/>
      <c r="AJ3833" s="8"/>
      <c r="AK3833" s="8"/>
      <c r="AL3833" s="8"/>
      <c r="AM3833" s="8"/>
      <c r="AN3833" s="8"/>
      <c r="AO3833" s="8"/>
      <c r="AP3833" s="11"/>
      <c r="AQ3833" s="8"/>
      <c r="AR3833" s="8"/>
      <c r="AS3833" s="8"/>
      <c r="AT3833" s="8">
        <v>474.8</v>
      </c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>
        <v>96.28</v>
      </c>
      <c r="BG3833" s="8">
        <v>38.39</v>
      </c>
      <c r="BH3833" s="9">
        <f t="shared" si="531"/>
        <v>739.98</v>
      </c>
      <c r="BI3833" s="9">
        <f t="shared" si="532"/>
        <v>2.96</v>
      </c>
      <c r="BJ3833" s="9">
        <f t="shared" si="533"/>
        <v>3.7</v>
      </c>
      <c r="BK3833" s="9">
        <f t="shared" si="534"/>
        <v>11.85</v>
      </c>
      <c r="BL3833" s="9">
        <f t="shared" si="535"/>
        <v>0</v>
      </c>
      <c r="BM3833" s="9">
        <f t="shared" si="536"/>
        <v>6.67</v>
      </c>
      <c r="BN3833" s="9">
        <f t="shared" si="537"/>
        <v>474.8</v>
      </c>
      <c r="BO3833" s="9">
        <f t="shared" si="538"/>
        <v>0</v>
      </c>
      <c r="BP3833" s="9">
        <f t="shared" si="539"/>
        <v>96.28</v>
      </c>
    </row>
    <row r="3834" spans="1:68">
      <c r="A3834" s="6">
        <v>45253</v>
      </c>
      <c r="B3834" s="7">
        <v>3155</v>
      </c>
      <c r="C3834" s="8">
        <v>223.64</v>
      </c>
      <c r="D3834" s="8">
        <v>223.84</v>
      </c>
      <c r="E3834" s="8"/>
      <c r="F3834" s="8"/>
      <c r="G3834" s="8"/>
      <c r="H3834" s="8"/>
      <c r="I3834" s="8"/>
      <c r="J3834" s="8"/>
      <c r="K3834" s="8"/>
      <c r="L3834" s="8"/>
      <c r="M3834" s="8">
        <v>1.3</v>
      </c>
      <c r="N3834" s="8"/>
      <c r="O3834" s="8"/>
      <c r="P3834" s="8"/>
      <c r="Q3834" s="11"/>
      <c r="R3834" s="11"/>
      <c r="S3834" s="8">
        <v>2.2400000000000002</v>
      </c>
      <c r="T3834" s="8"/>
      <c r="U3834" s="8">
        <v>7.17</v>
      </c>
      <c r="V3834" s="8"/>
      <c r="W3834" s="8"/>
      <c r="X3834" s="8"/>
      <c r="Y3834" s="8"/>
      <c r="Z3834" s="8"/>
      <c r="AA3834" s="8"/>
      <c r="AB3834" s="8"/>
      <c r="AC3834" s="8">
        <v>1.79</v>
      </c>
      <c r="AD3834" s="8"/>
      <c r="AE3834" s="8"/>
      <c r="AF3834" s="8"/>
      <c r="AG3834" s="8">
        <v>2.25</v>
      </c>
      <c r="AH3834" s="8"/>
      <c r="AI3834" s="8"/>
      <c r="AJ3834" s="8"/>
      <c r="AK3834" s="8"/>
      <c r="AL3834" s="8"/>
      <c r="AM3834" s="8"/>
      <c r="AN3834" s="8"/>
      <c r="AO3834" s="8"/>
      <c r="AP3834" s="11"/>
      <c r="AQ3834" s="8"/>
      <c r="AR3834" s="8"/>
      <c r="AS3834" s="8"/>
      <c r="AT3834" s="8">
        <v>288.52999999999997</v>
      </c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>
        <v>58.2</v>
      </c>
      <c r="BG3834" s="8">
        <v>23.34</v>
      </c>
      <c r="BH3834" s="9">
        <f t="shared" si="531"/>
        <v>447.48</v>
      </c>
      <c r="BI3834" s="9">
        <f t="shared" si="532"/>
        <v>1.3</v>
      </c>
      <c r="BJ3834" s="9">
        <f t="shared" si="533"/>
        <v>2.2400000000000002</v>
      </c>
      <c r="BK3834" s="9">
        <f t="shared" si="534"/>
        <v>7.17</v>
      </c>
      <c r="BL3834" s="9">
        <f t="shared" si="535"/>
        <v>0</v>
      </c>
      <c r="BM3834" s="9">
        <f t="shared" si="536"/>
        <v>4.04</v>
      </c>
      <c r="BN3834" s="9">
        <f t="shared" si="537"/>
        <v>288.52999999999997</v>
      </c>
      <c r="BO3834" s="9">
        <f t="shared" si="538"/>
        <v>0</v>
      </c>
      <c r="BP3834" s="9">
        <f t="shared" si="539"/>
        <v>58.2</v>
      </c>
    </row>
    <row r="3835" spans="1:68">
      <c r="A3835" s="6">
        <v>45253</v>
      </c>
      <c r="B3835" s="7">
        <v>3201</v>
      </c>
      <c r="C3835" s="8">
        <v>1487.0399999999997</v>
      </c>
      <c r="D3835" s="8">
        <v>0</v>
      </c>
      <c r="E3835" s="8">
        <v>0</v>
      </c>
      <c r="F3835" s="8">
        <v>0</v>
      </c>
      <c r="G3835" s="8">
        <v>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3.7000000000000006</v>
      </c>
      <c r="P3835" s="8">
        <v>0</v>
      </c>
      <c r="Q3835" s="11">
        <v>0</v>
      </c>
      <c r="R3835" s="11">
        <v>0</v>
      </c>
      <c r="S3835" s="8">
        <v>5.660000000000001</v>
      </c>
      <c r="T3835" s="8">
        <v>0</v>
      </c>
      <c r="U3835" s="8">
        <v>22.309999999999995</v>
      </c>
      <c r="V3835" s="8">
        <v>0</v>
      </c>
      <c r="W3835" s="8">
        <v>0</v>
      </c>
      <c r="X3835" s="8">
        <v>0</v>
      </c>
      <c r="Y3835" s="8">
        <v>0</v>
      </c>
      <c r="Z3835" s="8">
        <v>312.8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74.649999999999991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11">
        <v>0</v>
      </c>
      <c r="AQ3835" s="8">
        <f>1524*14.85/1000</f>
        <v>22.631399999999999</v>
      </c>
      <c r="AR3835" s="8">
        <v>0</v>
      </c>
      <c r="AS3835" s="8">
        <v>0</v>
      </c>
      <c r="AT3835" s="8">
        <v>1021.32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3.8699999999999997</v>
      </c>
      <c r="BD3835" s="8">
        <v>0</v>
      </c>
      <c r="BE3835" s="8">
        <v>0</v>
      </c>
      <c r="BF3835" s="8">
        <v>71.39</v>
      </c>
      <c r="BG3835" s="8">
        <v>73.260000000000005</v>
      </c>
      <c r="BH3835" s="9">
        <f t="shared" si="531"/>
        <v>1487.0399999999997</v>
      </c>
      <c r="BI3835" s="9">
        <f t="shared" si="532"/>
        <v>3.7000000000000006</v>
      </c>
      <c r="BJ3835" s="9">
        <f t="shared" si="533"/>
        <v>5.660000000000001</v>
      </c>
      <c r="BK3835" s="9">
        <f t="shared" si="534"/>
        <v>22.309999999999995</v>
      </c>
      <c r="BL3835" s="9">
        <f t="shared" si="535"/>
        <v>312.8</v>
      </c>
      <c r="BM3835" s="9">
        <f t="shared" si="536"/>
        <v>97.281399999999991</v>
      </c>
      <c r="BN3835" s="9">
        <f t="shared" si="537"/>
        <v>1021.32</v>
      </c>
      <c r="BO3835" s="9">
        <f t="shared" si="538"/>
        <v>3.8699999999999997</v>
      </c>
      <c r="BP3835" s="9">
        <f t="shared" si="539"/>
        <v>71.39</v>
      </c>
    </row>
    <row r="3836" spans="1:68">
      <c r="A3836" s="6">
        <v>45253</v>
      </c>
      <c r="B3836" s="7">
        <v>3031</v>
      </c>
      <c r="C3836" s="8"/>
      <c r="D3836" s="8"/>
      <c r="E3836" s="8"/>
      <c r="F3836" s="8"/>
      <c r="G3836" s="8"/>
      <c r="H3836" s="8"/>
      <c r="I3836" s="8">
        <v>1168.79</v>
      </c>
      <c r="J3836" s="8"/>
      <c r="K3836" s="8"/>
      <c r="L3836" s="8"/>
      <c r="M3836" s="8"/>
      <c r="N3836" s="8">
        <v>8.06</v>
      </c>
      <c r="O3836" s="8"/>
      <c r="P3836" s="8"/>
      <c r="Q3836" s="11"/>
      <c r="R3836" s="11"/>
      <c r="S3836" s="8">
        <v>0.82</v>
      </c>
      <c r="T3836" s="8"/>
      <c r="U3836" s="8"/>
      <c r="V3836" s="8"/>
      <c r="W3836" s="8">
        <v>11.7</v>
      </c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>
        <f>1782*9.73/1000</f>
        <v>17.33886</v>
      </c>
      <c r="AJ3836" s="8"/>
      <c r="AK3836" s="8"/>
      <c r="AL3836" s="8"/>
      <c r="AM3836" s="8"/>
      <c r="AN3836" s="8">
        <f>1218*9.73/1000</f>
        <v>11.851140000000001</v>
      </c>
      <c r="AO3836" s="8"/>
      <c r="AP3836" s="11"/>
      <c r="AQ3836" s="8"/>
      <c r="AR3836" s="8">
        <f>3679*9.73/1000</f>
        <v>35.796669999999999</v>
      </c>
      <c r="AS3836" s="8"/>
      <c r="AT3836" s="8">
        <v>556.39</v>
      </c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>
        <v>37.71</v>
      </c>
      <c r="BH3836" s="9">
        <f t="shared" si="531"/>
        <v>1168.79</v>
      </c>
      <c r="BI3836" s="9">
        <f t="shared" si="532"/>
        <v>8.06</v>
      </c>
      <c r="BJ3836" s="9">
        <f t="shared" si="533"/>
        <v>0.82</v>
      </c>
      <c r="BK3836" s="9">
        <f t="shared" si="534"/>
        <v>11.7</v>
      </c>
      <c r="BL3836" s="9">
        <f t="shared" si="535"/>
        <v>0</v>
      </c>
      <c r="BM3836" s="9">
        <f t="shared" si="536"/>
        <v>64.986670000000004</v>
      </c>
      <c r="BN3836" s="9">
        <f t="shared" si="537"/>
        <v>556.39</v>
      </c>
      <c r="BO3836" s="9">
        <f t="shared" si="538"/>
        <v>0</v>
      </c>
      <c r="BP3836" s="9">
        <f t="shared" si="539"/>
        <v>0</v>
      </c>
    </row>
    <row r="3837" spans="1:68">
      <c r="A3837" s="6">
        <v>45253</v>
      </c>
      <c r="B3837" s="7">
        <v>3083</v>
      </c>
      <c r="C3837" s="8"/>
      <c r="D3837" s="8">
        <f>736.57+25.78</f>
        <v>762.35</v>
      </c>
      <c r="E3837" s="8"/>
      <c r="F3837" s="8"/>
      <c r="G3837" s="8"/>
      <c r="H3837" s="8"/>
      <c r="I3837" s="8">
        <f>60.2+1715.32</f>
        <v>1775.52</v>
      </c>
      <c r="J3837" s="8"/>
      <c r="K3837" s="8"/>
      <c r="L3837" s="8"/>
      <c r="M3837" s="8"/>
      <c r="N3837" s="8">
        <f>15.95+0.56</f>
        <v>16.509999999999998</v>
      </c>
      <c r="O3837" s="8"/>
      <c r="P3837" s="8"/>
      <c r="Q3837" s="11"/>
      <c r="R3837" s="11"/>
      <c r="S3837" s="8">
        <f>1.71+0.06</f>
        <v>1.77</v>
      </c>
      <c r="T3837" s="8"/>
      <c r="U3837" s="8"/>
      <c r="V3837" s="8"/>
      <c r="W3837" s="8">
        <f>0.69+19.63</f>
        <v>20.32</v>
      </c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>
        <f>0.34+9.75</f>
        <v>10.09</v>
      </c>
      <c r="AN3837" s="8">
        <f>1912*18.78/1000</f>
        <v>35.907359999999997</v>
      </c>
      <c r="AO3837" s="8"/>
      <c r="AP3837" s="11"/>
      <c r="AQ3837" s="8"/>
      <c r="AR3837" s="8"/>
      <c r="AS3837" s="8"/>
      <c r="AT3837" s="8">
        <f>1154.02+40.41</f>
        <v>1194.43</v>
      </c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>
        <f>3.21+91.34</f>
        <v>94.55</v>
      </c>
      <c r="BH3837" s="9">
        <f t="shared" si="531"/>
        <v>2537.87</v>
      </c>
      <c r="BI3837" s="9">
        <f t="shared" si="532"/>
        <v>16.509999999999998</v>
      </c>
      <c r="BJ3837" s="9">
        <f t="shared" si="533"/>
        <v>1.77</v>
      </c>
      <c r="BK3837" s="9">
        <f t="shared" si="534"/>
        <v>20.32</v>
      </c>
      <c r="BL3837" s="9">
        <f t="shared" si="535"/>
        <v>0</v>
      </c>
      <c r="BM3837" s="9">
        <f t="shared" si="536"/>
        <v>45.99736</v>
      </c>
      <c r="BN3837" s="9">
        <f t="shared" si="537"/>
        <v>1194.43</v>
      </c>
      <c r="BO3837" s="9">
        <f t="shared" si="538"/>
        <v>0</v>
      </c>
      <c r="BP3837" s="9">
        <f t="shared" si="539"/>
        <v>0</v>
      </c>
    </row>
    <row r="3838" spans="1:68">
      <c r="A3838" s="6">
        <v>45254</v>
      </c>
      <c r="B3838" s="7">
        <v>3145</v>
      </c>
      <c r="C3838" s="8">
        <v>1237.78</v>
      </c>
      <c r="D3838" s="8">
        <v>218.37</v>
      </c>
      <c r="E3838" s="8"/>
      <c r="F3838" s="8"/>
      <c r="G3838" s="8"/>
      <c r="H3838" s="8"/>
      <c r="I3838" s="8"/>
      <c r="J3838" s="8"/>
      <c r="K3838" s="8"/>
      <c r="L3838" s="8"/>
      <c r="M3838" s="8">
        <v>4.1399999999999997</v>
      </c>
      <c r="N3838" s="8"/>
      <c r="O3838" s="8"/>
      <c r="P3838" s="8"/>
      <c r="Q3838" s="11"/>
      <c r="R3838" s="11"/>
      <c r="S3838" s="8">
        <v>6.85</v>
      </c>
      <c r="T3838" s="8"/>
      <c r="U3838" s="8">
        <v>21.85</v>
      </c>
      <c r="V3838" s="8"/>
      <c r="W3838" s="8"/>
      <c r="X3838" s="8"/>
      <c r="Y3838" s="8"/>
      <c r="Z3838" s="8"/>
      <c r="AA3838" s="8"/>
      <c r="AB3838" s="8"/>
      <c r="AC3838" s="8">
        <v>5.83</v>
      </c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11"/>
      <c r="AQ3838" s="8"/>
      <c r="AR3838" s="8"/>
      <c r="AS3838" s="8"/>
      <c r="AT3838" s="8">
        <v>965.67</v>
      </c>
      <c r="AU3838" s="8"/>
      <c r="AV3838" s="8"/>
      <c r="AW3838" s="8"/>
      <c r="AX3838" s="8"/>
      <c r="AY3838" s="8"/>
      <c r="AZ3838" s="8"/>
      <c r="BA3838" s="8"/>
      <c r="BB3838" s="8"/>
      <c r="BC3838" s="8"/>
      <c r="BD3838" s="8">
        <v>3.64</v>
      </c>
      <c r="BE3838" s="8">
        <f>1352*9.7/1000</f>
        <v>13.1144</v>
      </c>
      <c r="BF3838" s="8">
        <v>101.97</v>
      </c>
      <c r="BG3838" s="8">
        <v>75.790000000000006</v>
      </c>
      <c r="BH3838" s="9">
        <f t="shared" si="531"/>
        <v>1456.15</v>
      </c>
      <c r="BI3838" s="9">
        <f t="shared" si="532"/>
        <v>4.1399999999999997</v>
      </c>
      <c r="BJ3838" s="9">
        <f t="shared" si="533"/>
        <v>6.85</v>
      </c>
      <c r="BK3838" s="9">
        <f t="shared" si="534"/>
        <v>21.85</v>
      </c>
      <c r="BL3838" s="9">
        <f t="shared" si="535"/>
        <v>0</v>
      </c>
      <c r="BM3838" s="9">
        <f t="shared" si="536"/>
        <v>5.83</v>
      </c>
      <c r="BN3838" s="9">
        <f t="shared" si="537"/>
        <v>965.67</v>
      </c>
      <c r="BO3838" s="9">
        <f t="shared" si="538"/>
        <v>16.7544</v>
      </c>
      <c r="BP3838" s="9">
        <f t="shared" si="539"/>
        <v>101.97</v>
      </c>
    </row>
    <row r="3839" spans="1:68">
      <c r="A3839" s="6">
        <v>45254</v>
      </c>
      <c r="B3839" s="7">
        <v>3141</v>
      </c>
      <c r="C3839" s="8">
        <v>2397.44</v>
      </c>
      <c r="D3839" s="8">
        <v>422.59</v>
      </c>
      <c r="E3839" s="8"/>
      <c r="F3839" s="8"/>
      <c r="G3839" s="8"/>
      <c r="H3839" s="8"/>
      <c r="I3839" s="8"/>
      <c r="J3839" s="8"/>
      <c r="K3839" s="8"/>
      <c r="L3839" s="8"/>
      <c r="M3839" s="8">
        <v>7.91</v>
      </c>
      <c r="N3839" s="8"/>
      <c r="O3839" s="8"/>
      <c r="P3839" s="8"/>
      <c r="Q3839" s="11"/>
      <c r="R3839" s="11"/>
      <c r="S3839" s="8">
        <v>13.25</v>
      </c>
      <c r="T3839" s="8"/>
      <c r="U3839" s="8">
        <v>42.28</v>
      </c>
      <c r="V3839" s="8"/>
      <c r="W3839" s="8"/>
      <c r="X3839" s="8"/>
      <c r="Y3839" s="8"/>
      <c r="Z3839" s="8"/>
      <c r="AA3839" s="8"/>
      <c r="AB3839" s="8"/>
      <c r="AC3839" s="8">
        <v>11.27</v>
      </c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11"/>
      <c r="AQ3839" s="8"/>
      <c r="AR3839" s="8"/>
      <c r="AS3839" s="8"/>
      <c r="AT3839" s="8">
        <v>1861.98</v>
      </c>
      <c r="AU3839" s="8"/>
      <c r="AV3839" s="8"/>
      <c r="AW3839" s="8"/>
      <c r="AX3839" s="8"/>
      <c r="AY3839" s="8"/>
      <c r="AZ3839" s="8"/>
      <c r="BA3839" s="8">
        <v>64.61</v>
      </c>
      <c r="BB3839" s="8"/>
      <c r="BC3839" s="8"/>
      <c r="BD3839" s="8"/>
      <c r="BE3839" s="8"/>
      <c r="BF3839" s="8">
        <v>197.25</v>
      </c>
      <c r="BG3839" s="8">
        <v>146.32</v>
      </c>
      <c r="BH3839" s="9">
        <f t="shared" si="531"/>
        <v>2820.03</v>
      </c>
      <c r="BI3839" s="9">
        <f t="shared" si="532"/>
        <v>7.91</v>
      </c>
      <c r="BJ3839" s="9">
        <f t="shared" si="533"/>
        <v>13.25</v>
      </c>
      <c r="BK3839" s="9">
        <f t="shared" si="534"/>
        <v>42.28</v>
      </c>
      <c r="BL3839" s="9">
        <f t="shared" si="535"/>
        <v>0</v>
      </c>
      <c r="BM3839" s="9">
        <f t="shared" si="536"/>
        <v>11.27</v>
      </c>
      <c r="BN3839" s="9">
        <f t="shared" si="537"/>
        <v>1861.98</v>
      </c>
      <c r="BO3839" s="9">
        <f t="shared" si="538"/>
        <v>64.61</v>
      </c>
      <c r="BP3839" s="9">
        <f t="shared" si="539"/>
        <v>197.25</v>
      </c>
    </row>
    <row r="3840" spans="1:68">
      <c r="A3840" s="6">
        <v>45254</v>
      </c>
      <c r="B3840" s="7">
        <v>3106</v>
      </c>
      <c r="C3840" s="8">
        <v>4085.51</v>
      </c>
      <c r="D3840" s="8"/>
      <c r="E3840" s="8"/>
      <c r="F3840" s="8"/>
      <c r="G3840" s="8"/>
      <c r="H3840" s="8"/>
      <c r="I3840" s="8"/>
      <c r="J3840" s="8"/>
      <c r="K3840" s="8"/>
      <c r="L3840" s="8"/>
      <c r="M3840" s="8">
        <v>11.02</v>
      </c>
      <c r="N3840" s="8"/>
      <c r="O3840" s="8"/>
      <c r="P3840" s="8"/>
      <c r="Q3840" s="11"/>
      <c r="R3840" s="11"/>
      <c r="S3840" s="8">
        <v>12.28</v>
      </c>
      <c r="T3840" s="8"/>
      <c r="U3840" s="8">
        <v>51.96</v>
      </c>
      <c r="V3840" s="8"/>
      <c r="W3840" s="8"/>
      <c r="X3840" s="8"/>
      <c r="Y3840" s="8"/>
      <c r="Z3840" s="8"/>
      <c r="AA3840" s="8"/>
      <c r="AB3840" s="8"/>
      <c r="AC3840" s="8">
        <v>10.220000000000001</v>
      </c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11"/>
      <c r="AQ3840" s="8"/>
      <c r="AR3840" s="8"/>
      <c r="AS3840" s="8"/>
      <c r="AT3840" s="8">
        <v>2330.19</v>
      </c>
      <c r="AU3840" s="8"/>
      <c r="AV3840" s="8"/>
      <c r="AW3840" s="8"/>
      <c r="AX3840" s="8">
        <v>5.12</v>
      </c>
      <c r="AY3840" s="8"/>
      <c r="AZ3840" s="8"/>
      <c r="BA3840" s="8"/>
      <c r="BB3840" s="8"/>
      <c r="BC3840" s="8"/>
      <c r="BD3840" s="8"/>
      <c r="BE3840" s="8"/>
      <c r="BF3840" s="8"/>
      <c r="BG3840" s="8">
        <v>175.78</v>
      </c>
      <c r="BH3840" s="9">
        <f t="shared" si="531"/>
        <v>4085.51</v>
      </c>
      <c r="BI3840" s="9">
        <f t="shared" si="532"/>
        <v>11.02</v>
      </c>
      <c r="BJ3840" s="9">
        <f t="shared" si="533"/>
        <v>12.28</v>
      </c>
      <c r="BK3840" s="9">
        <f t="shared" si="534"/>
        <v>51.96</v>
      </c>
      <c r="BL3840" s="9">
        <f t="shared" si="535"/>
        <v>0</v>
      </c>
      <c r="BM3840" s="9">
        <f t="shared" si="536"/>
        <v>10.220000000000001</v>
      </c>
      <c r="BN3840" s="9">
        <f t="shared" si="537"/>
        <v>2330.19</v>
      </c>
      <c r="BO3840" s="9">
        <f t="shared" si="538"/>
        <v>5.12</v>
      </c>
      <c r="BP3840" s="9">
        <f t="shared" si="539"/>
        <v>0</v>
      </c>
    </row>
    <row r="3841" spans="1:68">
      <c r="A3841" s="6">
        <v>45254</v>
      </c>
      <c r="B3841" s="7">
        <v>3203</v>
      </c>
      <c r="C3841" s="8">
        <v>889.41</v>
      </c>
      <c r="D3841" s="8"/>
      <c r="E3841" s="8">
        <v>382.69</v>
      </c>
      <c r="F3841" s="8"/>
      <c r="G3841" s="8"/>
      <c r="H3841" s="8"/>
      <c r="I3841" s="8"/>
      <c r="J3841" s="8"/>
      <c r="K3841" s="8"/>
      <c r="L3841" s="8"/>
      <c r="M3841" s="8"/>
      <c r="N3841" s="8"/>
      <c r="O3841" s="8">
        <v>3.84</v>
      </c>
      <c r="P3841" s="8"/>
      <c r="Q3841" s="11"/>
      <c r="R3841" s="11"/>
      <c r="S3841" s="8">
        <v>4.99</v>
      </c>
      <c r="T3841" s="8"/>
      <c r="U3841" s="8">
        <v>15.87</v>
      </c>
      <c r="V3841" s="8"/>
      <c r="W3841" s="8"/>
      <c r="X3841" s="8"/>
      <c r="Y3841" s="8"/>
      <c r="Z3841" s="8">
        <v>201.49</v>
      </c>
      <c r="AA3841" s="8">
        <f>10522*15.05/1000</f>
        <v>158.3561</v>
      </c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11"/>
      <c r="AQ3841" s="8"/>
      <c r="AR3841" s="8"/>
      <c r="AS3841" s="8"/>
      <c r="AT3841" s="8">
        <v>477.68</v>
      </c>
      <c r="AU3841" s="8">
        <v>239.26</v>
      </c>
      <c r="AV3841" s="8"/>
      <c r="AW3841" s="8"/>
      <c r="AX3841" s="8"/>
      <c r="AY3841" s="8"/>
      <c r="AZ3841" s="8"/>
      <c r="BA3841" s="8"/>
      <c r="BB3841" s="8"/>
      <c r="BC3841" s="8">
        <v>3.33</v>
      </c>
      <c r="BD3841" s="8"/>
      <c r="BE3841" s="8"/>
      <c r="BF3841" s="8"/>
      <c r="BG3841" s="8">
        <v>46.79</v>
      </c>
      <c r="BH3841" s="9">
        <f t="shared" si="531"/>
        <v>1272.0999999999999</v>
      </c>
      <c r="BI3841" s="9">
        <f t="shared" si="532"/>
        <v>3.84</v>
      </c>
      <c r="BJ3841" s="9">
        <f t="shared" si="533"/>
        <v>4.99</v>
      </c>
      <c r="BK3841" s="9">
        <f t="shared" si="534"/>
        <v>15.87</v>
      </c>
      <c r="BL3841" s="9">
        <f t="shared" si="535"/>
        <v>359.84609999999998</v>
      </c>
      <c r="BM3841" s="9">
        <f t="shared" si="536"/>
        <v>0</v>
      </c>
      <c r="BN3841" s="9">
        <f t="shared" si="537"/>
        <v>716.94</v>
      </c>
      <c r="BO3841" s="9">
        <f t="shared" si="538"/>
        <v>3.33</v>
      </c>
      <c r="BP3841" s="9">
        <f t="shared" si="539"/>
        <v>0</v>
      </c>
    </row>
    <row r="3842" spans="1:68">
      <c r="A3842" s="6">
        <v>45254</v>
      </c>
      <c r="B3842" s="7">
        <v>3203</v>
      </c>
      <c r="C3842" s="8">
        <v>904.14</v>
      </c>
      <c r="D3842" s="8"/>
      <c r="E3842" s="8">
        <v>387.44</v>
      </c>
      <c r="F3842" s="8"/>
      <c r="G3842" s="8"/>
      <c r="H3842" s="8"/>
      <c r="I3842" s="8"/>
      <c r="J3842" s="8"/>
      <c r="K3842" s="8"/>
      <c r="L3842" s="8"/>
      <c r="M3842" s="8"/>
      <c r="N3842" s="8"/>
      <c r="O3842" s="8">
        <v>3.85</v>
      </c>
      <c r="P3842" s="8"/>
      <c r="Q3842" s="11"/>
      <c r="R3842" s="11"/>
      <c r="S3842" s="8">
        <v>5.01</v>
      </c>
      <c r="T3842" s="8"/>
      <c r="U3842" s="8">
        <v>15.99</v>
      </c>
      <c r="V3842" s="8"/>
      <c r="W3842" s="8"/>
      <c r="X3842" s="8"/>
      <c r="Y3842" s="8"/>
      <c r="Z3842" s="8">
        <v>202.87</v>
      </c>
      <c r="AA3842" s="8">
        <f>10522*15.13/1000</f>
        <v>159.19786000000002</v>
      </c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11"/>
      <c r="AQ3842" s="8"/>
      <c r="AR3842" s="8"/>
      <c r="AS3842" s="8"/>
      <c r="AT3842" s="8">
        <v>480.89</v>
      </c>
      <c r="AU3842" s="8">
        <v>240.75</v>
      </c>
      <c r="AV3842" s="8"/>
      <c r="AW3842" s="8"/>
      <c r="AX3842" s="8"/>
      <c r="AY3842" s="8"/>
      <c r="AZ3842" s="8"/>
      <c r="BA3842" s="8"/>
      <c r="BB3842" s="8"/>
      <c r="BC3842" s="8">
        <v>3.35</v>
      </c>
      <c r="BD3842" s="8"/>
      <c r="BE3842" s="8"/>
      <c r="BF3842" s="8"/>
      <c r="BG3842" s="8">
        <v>46.45</v>
      </c>
      <c r="BH3842" s="9">
        <f t="shared" si="531"/>
        <v>1291.58</v>
      </c>
      <c r="BI3842" s="9">
        <f t="shared" si="532"/>
        <v>3.85</v>
      </c>
      <c r="BJ3842" s="9">
        <f t="shared" si="533"/>
        <v>5.01</v>
      </c>
      <c r="BK3842" s="9">
        <f t="shared" si="534"/>
        <v>15.99</v>
      </c>
      <c r="BL3842" s="9">
        <f t="shared" si="535"/>
        <v>362.06786</v>
      </c>
      <c r="BM3842" s="9">
        <f t="shared" si="536"/>
        <v>0</v>
      </c>
      <c r="BN3842" s="9">
        <f t="shared" si="537"/>
        <v>721.64</v>
      </c>
      <c r="BO3842" s="9">
        <f t="shared" si="538"/>
        <v>3.35</v>
      </c>
      <c r="BP3842" s="9">
        <f t="shared" si="539"/>
        <v>0</v>
      </c>
    </row>
    <row r="3843" spans="1:68">
      <c r="A3843" s="6">
        <v>45254</v>
      </c>
      <c r="B3843" s="7">
        <v>3023</v>
      </c>
      <c r="C3843" s="8"/>
      <c r="D3843" s="8">
        <v>111.59</v>
      </c>
      <c r="E3843" s="8"/>
      <c r="F3843" s="8"/>
      <c r="G3843" s="8"/>
      <c r="H3843" s="8"/>
      <c r="I3843" s="8">
        <v>60.1</v>
      </c>
      <c r="J3843" s="8"/>
      <c r="K3843" s="8"/>
      <c r="L3843" s="8"/>
      <c r="M3843" s="8"/>
      <c r="N3843" s="8">
        <v>0.96</v>
      </c>
      <c r="O3843" s="8"/>
      <c r="P3843" s="8"/>
      <c r="Q3843" s="11"/>
      <c r="R3843" s="11"/>
      <c r="S3843" s="8">
        <v>0.27</v>
      </c>
      <c r="T3843" s="8"/>
      <c r="U3843" s="8"/>
      <c r="V3843" s="8"/>
      <c r="W3843" s="8">
        <v>1.54</v>
      </c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>
        <v>1.71</v>
      </c>
      <c r="AN3843" s="8">
        <f>1018*1.17/1000</f>
        <v>1.19106</v>
      </c>
      <c r="AO3843" s="8"/>
      <c r="AP3843" s="11"/>
      <c r="AQ3843" s="8"/>
      <c r="AR3843" s="8"/>
      <c r="AS3843" s="8">
        <f>4817*1.17/1000</f>
        <v>5.6358899999999998</v>
      </c>
      <c r="AT3843" s="8">
        <v>70.25</v>
      </c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>
        <v>5.31</v>
      </c>
      <c r="BH3843" s="9">
        <f t="shared" si="531"/>
        <v>171.69</v>
      </c>
      <c r="BI3843" s="9">
        <f t="shared" si="532"/>
        <v>0.96</v>
      </c>
      <c r="BJ3843" s="9">
        <f t="shared" si="533"/>
        <v>0.27</v>
      </c>
      <c r="BK3843" s="9">
        <f t="shared" si="534"/>
        <v>1.54</v>
      </c>
      <c r="BL3843" s="9">
        <f t="shared" si="535"/>
        <v>0</v>
      </c>
      <c r="BM3843" s="9">
        <f t="shared" si="536"/>
        <v>8.5369500000000009</v>
      </c>
      <c r="BN3843" s="9">
        <f t="shared" si="537"/>
        <v>70.25</v>
      </c>
      <c r="BO3843" s="9">
        <f t="shared" si="538"/>
        <v>0</v>
      </c>
      <c r="BP3843" s="9">
        <f t="shared" si="539"/>
        <v>0</v>
      </c>
    </row>
    <row r="3844" spans="1:68">
      <c r="A3844" s="6">
        <v>45255</v>
      </c>
      <c r="B3844" s="7">
        <v>3081</v>
      </c>
      <c r="C3844" s="8"/>
      <c r="D3844" s="8">
        <v>295.10000000000002</v>
      </c>
      <c r="E3844" s="8"/>
      <c r="F3844" s="8">
        <v>331.27</v>
      </c>
      <c r="G3844" s="8"/>
      <c r="H3844" s="8"/>
      <c r="I3844" s="8">
        <v>1208.8399999999999</v>
      </c>
      <c r="J3844" s="8"/>
      <c r="K3844" s="8"/>
      <c r="L3844" s="8"/>
      <c r="M3844" s="8"/>
      <c r="N3844" s="8">
        <v>13.44</v>
      </c>
      <c r="O3844" s="8"/>
      <c r="P3844" s="8">
        <f>630*11.88/1000</f>
        <v>7.4844000000000008</v>
      </c>
      <c r="Q3844" s="11"/>
      <c r="R3844" s="11"/>
      <c r="S3844" s="8">
        <v>1.29</v>
      </c>
      <c r="T3844" s="8"/>
      <c r="U3844" s="8"/>
      <c r="V3844" s="8"/>
      <c r="W3844" s="8">
        <v>18.43</v>
      </c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11"/>
      <c r="AQ3844" s="8">
        <f>1557*11.88/1000</f>
        <v>18.497160000000001</v>
      </c>
      <c r="AR3844" s="8">
        <f>5558*11.88/1000</f>
        <v>66.029040000000009</v>
      </c>
      <c r="AS3844" s="8"/>
      <c r="AT3844" s="8">
        <v>576.61</v>
      </c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>
        <v>38.43</v>
      </c>
      <c r="BH3844" s="9">
        <f t="shared" ref="BH3844:BH3907" si="540">SUM(C3844:L3844)</f>
        <v>1835.21</v>
      </c>
      <c r="BI3844" s="9">
        <f t="shared" ref="BI3844:BI3907" si="541">SUM(M3844:R3844)</f>
        <v>20.924399999999999</v>
      </c>
      <c r="BJ3844" s="9">
        <f t="shared" ref="BJ3844:BJ3907" si="542">SUM(S3844)</f>
        <v>1.29</v>
      </c>
      <c r="BK3844" s="9">
        <f t="shared" ref="BK3844:BK3907" si="543">SUM(T3844:Y3844)</f>
        <v>18.43</v>
      </c>
      <c r="BL3844" s="9">
        <f t="shared" ref="BL3844:BL3907" si="544">SUM(Z3844:AA3844)</f>
        <v>0</v>
      </c>
      <c r="BM3844" s="9">
        <f t="shared" ref="BM3844:BM3907" si="545">SUM(AB3844:AS3844)</f>
        <v>84.526200000000017</v>
      </c>
      <c r="BN3844" s="9">
        <f t="shared" ref="BN3844:BN3907" si="546">SUM(AT3844:AU3844)</f>
        <v>576.61</v>
      </c>
      <c r="BO3844" s="9">
        <f t="shared" ref="BO3844:BO3907" si="547">SUM(AV3844:BE3844)</f>
        <v>0</v>
      </c>
      <c r="BP3844" s="9">
        <f t="shared" ref="BP3844:BP3907" si="548">SUM(BF3844)</f>
        <v>0</v>
      </c>
    </row>
    <row r="3845" spans="1:68">
      <c r="A3845" s="6">
        <v>45255</v>
      </c>
      <c r="B3845" s="7">
        <v>3029</v>
      </c>
      <c r="C3845" s="8"/>
      <c r="D3845" s="8">
        <v>465.58</v>
      </c>
      <c r="E3845" s="8"/>
      <c r="F3845" s="8">
        <v>327.76</v>
      </c>
      <c r="G3845" s="8"/>
      <c r="H3845" s="8"/>
      <c r="I3845" s="8">
        <v>1941.6</v>
      </c>
      <c r="J3845" s="8"/>
      <c r="K3845" s="8"/>
      <c r="L3845" s="8"/>
      <c r="M3845" s="8"/>
      <c r="N3845" s="8">
        <v>21.61</v>
      </c>
      <c r="O3845" s="8"/>
      <c r="P3845" s="8"/>
      <c r="Q3845" s="11"/>
      <c r="R3845" s="11"/>
      <c r="S3845" s="8">
        <v>1.63</v>
      </c>
      <c r="T3845" s="8"/>
      <c r="U3845" s="8"/>
      <c r="V3845" s="8"/>
      <c r="W3845" s="8">
        <v>27.38</v>
      </c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>
        <v>9.4700000000000006</v>
      </c>
      <c r="AN3845" s="8">
        <f>764*18.25/1000</f>
        <v>13.943</v>
      </c>
      <c r="AO3845" s="8"/>
      <c r="AP3845" s="11"/>
      <c r="AQ3845" s="8"/>
      <c r="AR3845" s="8">
        <f>4512*18.25/1000</f>
        <v>82.343999999999994</v>
      </c>
      <c r="AS3845" s="8"/>
      <c r="AT3845" s="8">
        <v>1038.29</v>
      </c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>
        <v>72.260000000000005</v>
      </c>
      <c r="BH3845" s="9">
        <f t="shared" si="540"/>
        <v>2734.9399999999996</v>
      </c>
      <c r="BI3845" s="9">
        <f t="shared" si="541"/>
        <v>21.61</v>
      </c>
      <c r="BJ3845" s="9">
        <f t="shared" si="542"/>
        <v>1.63</v>
      </c>
      <c r="BK3845" s="9">
        <f t="shared" si="543"/>
        <v>27.38</v>
      </c>
      <c r="BL3845" s="9">
        <f t="shared" si="544"/>
        <v>0</v>
      </c>
      <c r="BM3845" s="9">
        <f t="shared" si="545"/>
        <v>105.75699999999999</v>
      </c>
      <c r="BN3845" s="9">
        <f t="shared" si="546"/>
        <v>1038.29</v>
      </c>
      <c r="BO3845" s="9">
        <f t="shared" si="547"/>
        <v>0</v>
      </c>
      <c r="BP3845" s="9">
        <f t="shared" si="548"/>
        <v>0</v>
      </c>
    </row>
    <row r="3846" spans="1:68">
      <c r="A3846" s="6">
        <v>45255</v>
      </c>
      <c r="B3846" s="7">
        <v>3022</v>
      </c>
      <c r="C3846" s="8"/>
      <c r="D3846" s="8">
        <v>589.73</v>
      </c>
      <c r="E3846" s="8"/>
      <c r="F3846" s="8"/>
      <c r="G3846" s="8"/>
      <c r="H3846" s="8"/>
      <c r="I3846" s="8">
        <v>488.16</v>
      </c>
      <c r="J3846" s="8"/>
      <c r="K3846" s="8"/>
      <c r="L3846" s="8"/>
      <c r="M3846" s="8"/>
      <c r="N3846" s="8">
        <v>5.35</v>
      </c>
      <c r="O3846" s="8"/>
      <c r="P3846" s="8"/>
      <c r="Q3846" s="11"/>
      <c r="R3846" s="11"/>
      <c r="S3846" s="8">
        <v>1.92</v>
      </c>
      <c r="T3846" s="8"/>
      <c r="U3846" s="8"/>
      <c r="V3846" s="8"/>
      <c r="W3846" s="8">
        <v>10.72</v>
      </c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>
        <v>13.81</v>
      </c>
      <c r="AN3846" s="8"/>
      <c r="AO3846" s="8"/>
      <c r="AP3846" s="11"/>
      <c r="AQ3846" s="8"/>
      <c r="AR3846" s="8"/>
      <c r="AS3846" s="8">
        <f>3856*9.72/1000</f>
        <v>37.480319999999999</v>
      </c>
      <c r="AT3846" s="8">
        <v>499.06</v>
      </c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>
        <v>38.49</v>
      </c>
      <c r="BH3846" s="9">
        <f t="shared" si="540"/>
        <v>1077.8900000000001</v>
      </c>
      <c r="BI3846" s="9">
        <f t="shared" si="541"/>
        <v>5.35</v>
      </c>
      <c r="BJ3846" s="9">
        <f t="shared" si="542"/>
        <v>1.92</v>
      </c>
      <c r="BK3846" s="9">
        <f t="shared" si="543"/>
        <v>10.72</v>
      </c>
      <c r="BL3846" s="9">
        <f t="shared" si="544"/>
        <v>0</v>
      </c>
      <c r="BM3846" s="9">
        <f t="shared" si="545"/>
        <v>51.290320000000001</v>
      </c>
      <c r="BN3846" s="9">
        <f t="shared" si="546"/>
        <v>499.06</v>
      </c>
      <c r="BO3846" s="9">
        <f t="shared" si="547"/>
        <v>0</v>
      </c>
      <c r="BP3846" s="9">
        <f t="shared" si="548"/>
        <v>0</v>
      </c>
    </row>
    <row r="3847" spans="1:68">
      <c r="A3847" s="6">
        <v>45255</v>
      </c>
      <c r="B3847" s="7">
        <v>3023</v>
      </c>
      <c r="C3847" s="8"/>
      <c r="D3847" s="8">
        <v>1706.06</v>
      </c>
      <c r="E3847" s="8"/>
      <c r="F3847" s="8"/>
      <c r="G3847" s="8"/>
      <c r="H3847" s="8"/>
      <c r="I3847" s="8">
        <v>920.25</v>
      </c>
      <c r="J3847" s="8"/>
      <c r="K3847" s="8"/>
      <c r="L3847" s="8"/>
      <c r="M3847" s="8"/>
      <c r="N3847" s="8">
        <v>14.72</v>
      </c>
      <c r="O3847" s="8"/>
      <c r="P3847" s="8"/>
      <c r="Q3847" s="11"/>
      <c r="R3847" s="11"/>
      <c r="S3847" s="8">
        <v>4.2</v>
      </c>
      <c r="T3847" s="8"/>
      <c r="U3847" s="8"/>
      <c r="V3847" s="8"/>
      <c r="W3847" s="8">
        <v>23.68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>
        <v>26.26</v>
      </c>
      <c r="AN3847" s="8">
        <f>1018*18.12/1000</f>
        <v>18.446159999999999</v>
      </c>
      <c r="AO3847" s="8"/>
      <c r="AP3847" s="11"/>
      <c r="AQ3847" s="8"/>
      <c r="AR3847" s="8"/>
      <c r="AS3847" s="8">
        <f>4817*18.12/1000</f>
        <v>87.284040000000005</v>
      </c>
      <c r="AT3847" s="8">
        <v>1076.4000000000001</v>
      </c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>
        <v>81.42</v>
      </c>
      <c r="BH3847" s="9">
        <f t="shared" si="540"/>
        <v>2626.31</v>
      </c>
      <c r="BI3847" s="9">
        <f t="shared" si="541"/>
        <v>14.72</v>
      </c>
      <c r="BJ3847" s="9">
        <f t="shared" si="542"/>
        <v>4.2</v>
      </c>
      <c r="BK3847" s="9">
        <f t="shared" si="543"/>
        <v>23.68</v>
      </c>
      <c r="BL3847" s="9">
        <f t="shared" si="544"/>
        <v>0</v>
      </c>
      <c r="BM3847" s="9">
        <f t="shared" si="545"/>
        <v>131.99020000000002</v>
      </c>
      <c r="BN3847" s="9">
        <f t="shared" si="546"/>
        <v>1076.4000000000001</v>
      </c>
      <c r="BO3847" s="9">
        <f t="shared" si="547"/>
        <v>0</v>
      </c>
      <c r="BP3847" s="9">
        <f t="shared" si="548"/>
        <v>0</v>
      </c>
    </row>
    <row r="3848" spans="1:68">
      <c r="A3848" s="6">
        <v>45255</v>
      </c>
      <c r="B3848" s="7">
        <v>3028</v>
      </c>
      <c r="C3848" s="8"/>
      <c r="D3848" s="8">
        <v>404.2</v>
      </c>
      <c r="E3848" s="8"/>
      <c r="F3848" s="8">
        <v>369.62</v>
      </c>
      <c r="G3848" s="8"/>
      <c r="H3848" s="8"/>
      <c r="I3848" s="8">
        <v>833.84</v>
      </c>
      <c r="J3848" s="8"/>
      <c r="K3848" s="8"/>
      <c r="L3848" s="8"/>
      <c r="M3848" s="8"/>
      <c r="N3848" s="8">
        <v>12.36</v>
      </c>
      <c r="O3848" s="8"/>
      <c r="P3848" s="8"/>
      <c r="Q3848" s="11"/>
      <c r="R3848" s="11"/>
      <c r="S3848" s="8">
        <v>2.25</v>
      </c>
      <c r="T3848" s="8"/>
      <c r="U3848" s="8"/>
      <c r="V3848" s="8"/>
      <c r="W3848" s="8">
        <v>12.05</v>
      </c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>
        <v>16.04</v>
      </c>
      <c r="AN3848" s="8">
        <f>1062*10.7/1000</f>
        <v>11.3634</v>
      </c>
      <c r="AO3848" s="8"/>
      <c r="AP3848" s="11"/>
      <c r="AQ3848" s="8"/>
      <c r="AR3848" s="8"/>
      <c r="AS3848" s="8">
        <f>4955*10.7/1000</f>
        <v>53.018500000000003</v>
      </c>
      <c r="AT3848" s="8">
        <v>537.12</v>
      </c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>
        <v>36.549999999999997</v>
      </c>
      <c r="BH3848" s="9">
        <f t="shared" si="540"/>
        <v>1607.6599999999999</v>
      </c>
      <c r="BI3848" s="9">
        <f t="shared" si="541"/>
        <v>12.36</v>
      </c>
      <c r="BJ3848" s="9">
        <f t="shared" si="542"/>
        <v>2.25</v>
      </c>
      <c r="BK3848" s="9">
        <f t="shared" si="543"/>
        <v>12.05</v>
      </c>
      <c r="BL3848" s="9">
        <f t="shared" si="544"/>
        <v>0</v>
      </c>
      <c r="BM3848" s="9">
        <f t="shared" si="545"/>
        <v>80.421899999999994</v>
      </c>
      <c r="BN3848" s="9">
        <f t="shared" si="546"/>
        <v>537.12</v>
      </c>
      <c r="BO3848" s="9">
        <f t="shared" si="547"/>
        <v>0</v>
      </c>
      <c r="BP3848" s="9">
        <f t="shared" si="548"/>
        <v>0</v>
      </c>
    </row>
    <row r="3849" spans="1:68">
      <c r="A3849" s="6">
        <v>45257</v>
      </c>
      <c r="B3849" s="7">
        <v>3031</v>
      </c>
      <c r="C3849" s="8"/>
      <c r="D3849" s="8"/>
      <c r="E3849" s="8"/>
      <c r="F3849" s="8"/>
      <c r="G3849" s="8"/>
      <c r="H3849" s="8"/>
      <c r="I3849" s="8">
        <f>124.39+1167.76</f>
        <v>1292.1500000000001</v>
      </c>
      <c r="J3849" s="8"/>
      <c r="K3849" s="8"/>
      <c r="L3849" s="8"/>
      <c r="M3849" s="8"/>
      <c r="N3849" s="8">
        <f>8.06+0.86</f>
        <v>8.92</v>
      </c>
      <c r="O3849" s="8"/>
      <c r="P3849" s="8"/>
      <c r="Q3849" s="11"/>
      <c r="R3849" s="11"/>
      <c r="S3849" s="8">
        <f>0.82+0.09</f>
        <v>0.90999999999999992</v>
      </c>
      <c r="T3849" s="8"/>
      <c r="U3849" s="8"/>
      <c r="V3849" s="8"/>
      <c r="W3849" s="8">
        <f>11.69+1.25</f>
        <v>12.94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>
        <f>1796*10.76/1000</f>
        <v>19.324960000000001</v>
      </c>
      <c r="AJ3849" s="8"/>
      <c r="AK3849" s="8"/>
      <c r="AL3849" s="8"/>
      <c r="AM3849" s="8"/>
      <c r="AN3849" s="8">
        <f>1209*10.76/1000</f>
        <v>13.008839999999999</v>
      </c>
      <c r="AO3849" s="8"/>
      <c r="AP3849" s="11"/>
      <c r="AQ3849" s="8"/>
      <c r="AR3849" s="8">
        <f>3699*10.76/1000</f>
        <v>39.80124</v>
      </c>
      <c r="AS3849" s="8"/>
      <c r="AT3849" s="8">
        <f>554.31+59.36</f>
        <v>613.66999999999996</v>
      </c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>
        <f>37.74+4.04</f>
        <v>41.78</v>
      </c>
      <c r="BH3849" s="9">
        <f t="shared" si="540"/>
        <v>1292.1500000000001</v>
      </c>
      <c r="BI3849" s="9">
        <f t="shared" si="541"/>
        <v>8.92</v>
      </c>
      <c r="BJ3849" s="9">
        <f t="shared" si="542"/>
        <v>0.90999999999999992</v>
      </c>
      <c r="BK3849" s="9">
        <f t="shared" si="543"/>
        <v>12.94</v>
      </c>
      <c r="BL3849" s="9">
        <f t="shared" si="544"/>
        <v>0</v>
      </c>
      <c r="BM3849" s="9">
        <f t="shared" si="545"/>
        <v>72.135040000000004</v>
      </c>
      <c r="BN3849" s="9">
        <f t="shared" si="546"/>
        <v>613.66999999999996</v>
      </c>
      <c r="BO3849" s="9">
        <f t="shared" si="547"/>
        <v>0</v>
      </c>
      <c r="BP3849" s="9">
        <f t="shared" si="548"/>
        <v>0</v>
      </c>
    </row>
    <row r="3850" spans="1:68">
      <c r="A3850" s="6">
        <v>45257</v>
      </c>
      <c r="B3850" s="7">
        <v>3016</v>
      </c>
      <c r="C3850" s="8"/>
      <c r="D3850" s="8">
        <v>2411.8200000000002</v>
      </c>
      <c r="E3850" s="8"/>
      <c r="F3850" s="8"/>
      <c r="G3850" s="8"/>
      <c r="H3850" s="8"/>
      <c r="I3850" s="8">
        <v>2227.8000000000002</v>
      </c>
      <c r="J3850" s="8"/>
      <c r="K3850" s="8"/>
      <c r="L3850" s="8"/>
      <c r="M3850" s="8"/>
      <c r="N3850" s="8">
        <v>28.78</v>
      </c>
      <c r="O3850" s="8"/>
      <c r="P3850" s="8"/>
      <c r="Q3850" s="11"/>
      <c r="R3850" s="11"/>
      <c r="S3850" s="8">
        <v>3.25</v>
      </c>
      <c r="T3850" s="8"/>
      <c r="U3850" s="8"/>
      <c r="V3850" s="8"/>
      <c r="W3850" s="8">
        <v>46.44</v>
      </c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>
        <v>18.48</v>
      </c>
      <c r="AN3850" s="8">
        <f>2062*27.3/1000</f>
        <v>56.2926</v>
      </c>
      <c r="AO3850" s="8"/>
      <c r="AP3850" s="11"/>
      <c r="AQ3850" s="8"/>
      <c r="AR3850" s="8">
        <f>4325*27.3/1000</f>
        <v>118.07250000000001</v>
      </c>
      <c r="AS3850" s="8"/>
      <c r="AT3850" s="8">
        <v>1723.63</v>
      </c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>
        <v>126.44</v>
      </c>
      <c r="BH3850" s="9">
        <f t="shared" si="540"/>
        <v>4639.6200000000008</v>
      </c>
      <c r="BI3850" s="9">
        <f t="shared" si="541"/>
        <v>28.78</v>
      </c>
      <c r="BJ3850" s="9">
        <f t="shared" si="542"/>
        <v>3.25</v>
      </c>
      <c r="BK3850" s="9">
        <f t="shared" si="543"/>
        <v>46.44</v>
      </c>
      <c r="BL3850" s="9">
        <f t="shared" si="544"/>
        <v>0</v>
      </c>
      <c r="BM3850" s="9">
        <f t="shared" si="545"/>
        <v>192.8451</v>
      </c>
      <c r="BN3850" s="9">
        <f t="shared" si="546"/>
        <v>1723.63</v>
      </c>
      <c r="BO3850" s="9">
        <f t="shared" si="547"/>
        <v>0</v>
      </c>
      <c r="BP3850" s="9">
        <f t="shared" si="548"/>
        <v>0</v>
      </c>
    </row>
    <row r="3851" spans="1:68">
      <c r="A3851" s="6">
        <v>45257</v>
      </c>
      <c r="B3851" s="7">
        <v>3154</v>
      </c>
      <c r="C3851" s="8">
        <v>681.47</v>
      </c>
      <c r="D3851" s="8"/>
      <c r="E3851" s="8"/>
      <c r="F3851" s="8"/>
      <c r="G3851" s="8"/>
      <c r="H3851" s="8"/>
      <c r="I3851" s="8"/>
      <c r="J3851" s="8"/>
      <c r="K3851" s="8"/>
      <c r="L3851" s="8"/>
      <c r="M3851" s="8">
        <v>1.71</v>
      </c>
      <c r="N3851" s="8"/>
      <c r="O3851" s="8"/>
      <c r="P3851" s="8"/>
      <c r="Q3851" s="11"/>
      <c r="R3851" s="11"/>
      <c r="S3851" s="8">
        <v>2.46</v>
      </c>
      <c r="T3851" s="8"/>
      <c r="U3851" s="8">
        <v>8.67</v>
      </c>
      <c r="V3851" s="8"/>
      <c r="W3851" s="8"/>
      <c r="X3851" s="8"/>
      <c r="Y3851" s="8"/>
      <c r="Z3851" s="8"/>
      <c r="AA3851" s="8"/>
      <c r="AB3851" s="8"/>
      <c r="AC3851" s="8">
        <v>2.73</v>
      </c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11"/>
      <c r="AQ3851" s="8"/>
      <c r="AR3851" s="8"/>
      <c r="AS3851" s="8"/>
      <c r="AT3851" s="8">
        <v>370.32</v>
      </c>
      <c r="AU3851" s="8"/>
      <c r="AV3851" s="8"/>
      <c r="AW3851" s="8"/>
      <c r="AX3851" s="8"/>
      <c r="AY3851" s="8"/>
      <c r="AZ3851" s="8"/>
      <c r="BA3851" s="8"/>
      <c r="BB3851" s="8"/>
      <c r="BC3851" s="8">
        <v>0.82</v>
      </c>
      <c r="BD3851" s="8"/>
      <c r="BE3851" s="8"/>
      <c r="BF3851" s="8"/>
      <c r="BG3851" s="8">
        <v>27.88</v>
      </c>
      <c r="BH3851" s="9">
        <f t="shared" si="540"/>
        <v>681.47</v>
      </c>
      <c r="BI3851" s="9">
        <f t="shared" si="541"/>
        <v>1.71</v>
      </c>
      <c r="BJ3851" s="9">
        <f t="shared" si="542"/>
        <v>2.46</v>
      </c>
      <c r="BK3851" s="9">
        <f t="shared" si="543"/>
        <v>8.67</v>
      </c>
      <c r="BL3851" s="9">
        <f t="shared" si="544"/>
        <v>0</v>
      </c>
      <c r="BM3851" s="9">
        <f t="shared" si="545"/>
        <v>2.73</v>
      </c>
      <c r="BN3851" s="9">
        <f t="shared" si="546"/>
        <v>370.32</v>
      </c>
      <c r="BO3851" s="9">
        <f t="shared" si="547"/>
        <v>0.82</v>
      </c>
      <c r="BP3851" s="9">
        <f t="shared" si="548"/>
        <v>0</v>
      </c>
    </row>
    <row r="3852" spans="1:68">
      <c r="A3852" s="6">
        <v>45257</v>
      </c>
      <c r="B3852" s="7">
        <v>3309</v>
      </c>
      <c r="C3852" s="8"/>
      <c r="D3852" s="8">
        <v>1186.46</v>
      </c>
      <c r="E3852" s="8"/>
      <c r="F3852" s="8"/>
      <c r="G3852" s="8"/>
      <c r="H3852" s="8"/>
      <c r="I3852" s="8"/>
      <c r="J3852" s="8"/>
      <c r="K3852" s="8"/>
      <c r="L3852" s="8"/>
      <c r="M3852" s="8">
        <v>2.37</v>
      </c>
      <c r="N3852" s="8"/>
      <c r="O3852" s="8"/>
      <c r="P3852" s="8"/>
      <c r="Q3852" s="11"/>
      <c r="R3852" s="11"/>
      <c r="S3852" s="8">
        <v>1.78</v>
      </c>
      <c r="T3852" s="8"/>
      <c r="U3852" s="8">
        <v>10.68</v>
      </c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>
        <v>11.87</v>
      </c>
      <c r="AH3852" s="8"/>
      <c r="AI3852" s="8"/>
      <c r="AJ3852" s="8"/>
      <c r="AK3852" s="8"/>
      <c r="AL3852" s="8"/>
      <c r="AM3852" s="8"/>
      <c r="AN3852" s="8"/>
      <c r="AO3852" s="8"/>
      <c r="AP3852" s="11"/>
      <c r="AQ3852" s="8"/>
      <c r="AR3852" s="8"/>
      <c r="AS3852" s="8"/>
      <c r="AT3852" s="8">
        <v>317.02</v>
      </c>
      <c r="AU3852" s="8">
        <v>158.65</v>
      </c>
      <c r="AV3852" s="8"/>
      <c r="AW3852" s="8"/>
      <c r="AX3852" s="8"/>
      <c r="AY3852" s="8"/>
      <c r="AZ3852" s="8"/>
      <c r="BA3852" s="8"/>
      <c r="BB3852" s="8"/>
      <c r="BC3852" s="8">
        <v>1.1000000000000001</v>
      </c>
      <c r="BD3852" s="8"/>
      <c r="BE3852" s="8"/>
      <c r="BF3852" s="8"/>
      <c r="BG3852" s="8">
        <v>32.950000000000003</v>
      </c>
      <c r="BH3852" s="9">
        <f t="shared" si="540"/>
        <v>1186.46</v>
      </c>
      <c r="BI3852" s="9">
        <f t="shared" si="541"/>
        <v>2.37</v>
      </c>
      <c r="BJ3852" s="9">
        <f t="shared" si="542"/>
        <v>1.78</v>
      </c>
      <c r="BK3852" s="9">
        <f t="shared" si="543"/>
        <v>10.68</v>
      </c>
      <c r="BL3852" s="9">
        <f t="shared" si="544"/>
        <v>0</v>
      </c>
      <c r="BM3852" s="9">
        <f t="shared" si="545"/>
        <v>11.87</v>
      </c>
      <c r="BN3852" s="9">
        <f t="shared" si="546"/>
        <v>475.66999999999996</v>
      </c>
      <c r="BO3852" s="9">
        <f t="shared" si="547"/>
        <v>1.1000000000000001</v>
      </c>
      <c r="BP3852" s="9">
        <f t="shared" si="548"/>
        <v>0</v>
      </c>
    </row>
    <row r="3853" spans="1:68">
      <c r="A3853" s="6">
        <v>45257</v>
      </c>
      <c r="B3853" s="7">
        <v>3601</v>
      </c>
      <c r="C3853" s="8">
        <v>291.56</v>
      </c>
      <c r="D3853" s="8"/>
      <c r="E3853" s="8"/>
      <c r="F3853" s="8"/>
      <c r="G3853" s="8">
        <v>437.4</v>
      </c>
      <c r="H3853" s="8"/>
      <c r="I3853" s="8"/>
      <c r="J3853" s="8"/>
      <c r="K3853" s="8"/>
      <c r="L3853" s="8"/>
      <c r="M3853" s="8">
        <v>0.88</v>
      </c>
      <c r="N3853" s="8"/>
      <c r="O3853" s="8"/>
      <c r="P3853" s="8"/>
      <c r="Q3853" s="11"/>
      <c r="R3853" s="11"/>
      <c r="S3853" s="8">
        <v>3.5</v>
      </c>
      <c r="T3853" s="8"/>
      <c r="U3853" s="8">
        <v>4.38</v>
      </c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11"/>
      <c r="AQ3853" s="8"/>
      <c r="AR3853" s="8"/>
      <c r="AS3853" s="8"/>
      <c r="AT3853" s="8">
        <v>357.96</v>
      </c>
      <c r="AU3853" s="8"/>
      <c r="AV3853" s="8"/>
      <c r="AW3853" s="8">
        <v>22.17</v>
      </c>
      <c r="AX3853" s="8"/>
      <c r="AY3853" s="8"/>
      <c r="AZ3853" s="8"/>
      <c r="BA3853" s="8"/>
      <c r="BB3853" s="8"/>
      <c r="BC3853" s="8"/>
      <c r="BD3853" s="8"/>
      <c r="BE3853" s="8"/>
      <c r="BF3853" s="8">
        <v>40.89</v>
      </c>
      <c r="BG3853" s="8">
        <v>25.89</v>
      </c>
      <c r="BH3853" s="9">
        <f t="shared" si="540"/>
        <v>728.96</v>
      </c>
      <c r="BI3853" s="9">
        <f t="shared" si="541"/>
        <v>0.88</v>
      </c>
      <c r="BJ3853" s="9">
        <f t="shared" si="542"/>
        <v>3.5</v>
      </c>
      <c r="BK3853" s="9">
        <f t="shared" si="543"/>
        <v>4.38</v>
      </c>
      <c r="BL3853" s="9">
        <f t="shared" si="544"/>
        <v>0</v>
      </c>
      <c r="BM3853" s="9">
        <f t="shared" si="545"/>
        <v>0</v>
      </c>
      <c r="BN3853" s="9">
        <f t="shared" si="546"/>
        <v>357.96</v>
      </c>
      <c r="BO3853" s="9">
        <f t="shared" si="547"/>
        <v>22.17</v>
      </c>
      <c r="BP3853" s="9">
        <f t="shared" si="548"/>
        <v>40.89</v>
      </c>
    </row>
    <row r="3854" spans="1:68">
      <c r="A3854" s="6">
        <v>45257</v>
      </c>
      <c r="B3854" s="7">
        <v>3602</v>
      </c>
      <c r="C3854" s="8">
        <v>553.49</v>
      </c>
      <c r="D3854" s="8"/>
      <c r="E3854" s="8"/>
      <c r="F3854" s="8"/>
      <c r="G3854" s="8">
        <v>829.53</v>
      </c>
      <c r="H3854" s="8"/>
      <c r="I3854" s="8"/>
      <c r="J3854" s="8"/>
      <c r="K3854" s="8"/>
      <c r="L3854" s="8"/>
      <c r="M3854" s="8">
        <v>1.66</v>
      </c>
      <c r="N3854" s="8"/>
      <c r="O3854" s="8"/>
      <c r="P3854" s="8"/>
      <c r="Q3854" s="11"/>
      <c r="R3854" s="11"/>
      <c r="S3854" s="8">
        <v>6.64</v>
      </c>
      <c r="T3854" s="8"/>
      <c r="U3854" s="8">
        <v>11.08</v>
      </c>
      <c r="V3854" s="8">
        <f>850*15.82/1000</f>
        <v>13.446999999999999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11"/>
      <c r="AQ3854" s="8"/>
      <c r="AR3854" s="8"/>
      <c r="AS3854" s="8"/>
      <c r="AT3854" s="8">
        <v>558.34</v>
      </c>
      <c r="AU3854" s="8"/>
      <c r="AV3854" s="8"/>
      <c r="AW3854" s="8">
        <v>35.76</v>
      </c>
      <c r="AX3854" s="8"/>
      <c r="AY3854" s="8"/>
      <c r="AZ3854" s="8"/>
      <c r="BA3854" s="8"/>
      <c r="BB3854" s="8"/>
      <c r="BC3854" s="8"/>
      <c r="BD3854" s="8"/>
      <c r="BE3854" s="8"/>
      <c r="BF3854" s="8">
        <v>44.35</v>
      </c>
      <c r="BG3854" s="8">
        <v>41.39</v>
      </c>
      <c r="BH3854" s="9">
        <f t="shared" si="540"/>
        <v>1383.02</v>
      </c>
      <c r="BI3854" s="9">
        <f t="shared" si="541"/>
        <v>1.66</v>
      </c>
      <c r="BJ3854" s="9">
        <f t="shared" si="542"/>
        <v>6.64</v>
      </c>
      <c r="BK3854" s="9">
        <f t="shared" si="543"/>
        <v>24.527000000000001</v>
      </c>
      <c r="BL3854" s="9">
        <f t="shared" si="544"/>
        <v>0</v>
      </c>
      <c r="BM3854" s="9">
        <f t="shared" si="545"/>
        <v>0</v>
      </c>
      <c r="BN3854" s="9">
        <f t="shared" si="546"/>
        <v>558.34</v>
      </c>
      <c r="BO3854" s="9">
        <f t="shared" si="547"/>
        <v>35.76</v>
      </c>
      <c r="BP3854" s="9">
        <f t="shared" si="548"/>
        <v>44.35</v>
      </c>
    </row>
    <row r="3855" spans="1:68">
      <c r="A3855" s="6">
        <v>45257</v>
      </c>
      <c r="B3855" s="7">
        <v>8310</v>
      </c>
      <c r="C3855" s="8"/>
      <c r="D3855" s="8">
        <v>1901.09</v>
      </c>
      <c r="E3855" s="8"/>
      <c r="F3855" s="8"/>
      <c r="G3855" s="8"/>
      <c r="H3855" s="8"/>
      <c r="I3855" s="8"/>
      <c r="J3855" s="8"/>
      <c r="K3855" s="8"/>
      <c r="L3855" s="8"/>
      <c r="M3855" s="8">
        <v>5.37</v>
      </c>
      <c r="N3855" s="8"/>
      <c r="O3855" s="8"/>
      <c r="P3855" s="8"/>
      <c r="Q3855" s="11"/>
      <c r="R3855" s="11"/>
      <c r="S3855" s="8">
        <v>6.65</v>
      </c>
      <c r="T3855" s="8"/>
      <c r="U3855" s="8">
        <v>14.25</v>
      </c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11"/>
      <c r="AQ3855" s="8"/>
      <c r="AR3855" s="8"/>
      <c r="AS3855" s="8"/>
      <c r="AT3855" s="8">
        <v>315.01</v>
      </c>
      <c r="AU3855" s="8">
        <v>157.52000000000001</v>
      </c>
      <c r="AV3855" s="8"/>
      <c r="AW3855" s="8"/>
      <c r="AX3855" s="8"/>
      <c r="AY3855" s="8"/>
      <c r="AZ3855" s="8"/>
      <c r="BA3855" s="8"/>
      <c r="BB3855" s="8"/>
      <c r="BC3855" s="8">
        <v>2.85</v>
      </c>
      <c r="BD3855" s="8"/>
      <c r="BE3855" s="8"/>
      <c r="BF3855" s="8"/>
      <c r="BG3855" s="8">
        <v>31.51</v>
      </c>
      <c r="BH3855" s="9">
        <f t="shared" si="540"/>
        <v>1901.09</v>
      </c>
      <c r="BI3855" s="9">
        <f t="shared" si="541"/>
        <v>5.37</v>
      </c>
      <c r="BJ3855" s="9">
        <f t="shared" si="542"/>
        <v>6.65</v>
      </c>
      <c r="BK3855" s="9">
        <f t="shared" si="543"/>
        <v>14.25</v>
      </c>
      <c r="BL3855" s="9">
        <f t="shared" si="544"/>
        <v>0</v>
      </c>
      <c r="BM3855" s="9">
        <f t="shared" si="545"/>
        <v>0</v>
      </c>
      <c r="BN3855" s="9">
        <f t="shared" si="546"/>
        <v>472.53</v>
      </c>
      <c r="BO3855" s="9">
        <f t="shared" si="547"/>
        <v>2.85</v>
      </c>
      <c r="BP3855" s="9">
        <f t="shared" si="548"/>
        <v>0</v>
      </c>
    </row>
    <row r="3856" spans="1:68">
      <c r="A3856" s="6">
        <v>45258</v>
      </c>
      <c r="B3856" s="7">
        <v>3200</v>
      </c>
      <c r="C3856" s="8">
        <v>2324.1</v>
      </c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>
        <v>5.85</v>
      </c>
      <c r="P3856" s="8"/>
      <c r="Q3856" s="11"/>
      <c r="R3856" s="11"/>
      <c r="S3856" s="8">
        <v>9.16</v>
      </c>
      <c r="T3856" s="8"/>
      <c r="U3856" s="8">
        <v>35.21</v>
      </c>
      <c r="V3856" s="8"/>
      <c r="W3856" s="8"/>
      <c r="X3856" s="8"/>
      <c r="Y3856" s="8"/>
      <c r="Z3856" s="8">
        <v>492.46</v>
      </c>
      <c r="AA3856" s="8"/>
      <c r="AB3856" s="8"/>
      <c r="AC3856" s="8"/>
      <c r="AD3856" s="8"/>
      <c r="AE3856" s="8"/>
      <c r="AF3856" s="8">
        <v>117.49</v>
      </c>
      <c r="AG3856" s="8"/>
      <c r="AH3856" s="8"/>
      <c r="AI3856" s="8"/>
      <c r="AJ3856" s="8"/>
      <c r="AK3856" s="8"/>
      <c r="AL3856" s="8"/>
      <c r="AM3856" s="8"/>
      <c r="AN3856" s="8"/>
      <c r="AO3856" s="8"/>
      <c r="AP3856" s="11"/>
      <c r="AQ3856" s="8">
        <f>1510*23.45/1000</f>
        <v>35.409500000000001</v>
      </c>
      <c r="AR3856" s="8"/>
      <c r="AS3856" s="8"/>
      <c r="AT3856" s="8">
        <v>1602.04</v>
      </c>
      <c r="AU3856" s="8"/>
      <c r="AV3856" s="8"/>
      <c r="AW3856" s="8">
        <v>6.83</v>
      </c>
      <c r="AX3856" s="8"/>
      <c r="AY3856" s="8"/>
      <c r="AZ3856" s="8"/>
      <c r="BA3856" s="8"/>
      <c r="BB3856" s="8"/>
      <c r="BC3856" s="8"/>
      <c r="BD3856" s="8"/>
      <c r="BE3856" s="8"/>
      <c r="BF3856" s="8">
        <v>112.59</v>
      </c>
      <c r="BG3856" s="8">
        <v>116.14</v>
      </c>
      <c r="BH3856" s="9">
        <f t="shared" si="540"/>
        <v>2324.1</v>
      </c>
      <c r="BI3856" s="9">
        <f t="shared" si="541"/>
        <v>5.85</v>
      </c>
      <c r="BJ3856" s="9">
        <f t="shared" si="542"/>
        <v>9.16</v>
      </c>
      <c r="BK3856" s="9">
        <f t="shared" si="543"/>
        <v>35.21</v>
      </c>
      <c r="BL3856" s="9">
        <f t="shared" si="544"/>
        <v>492.46</v>
      </c>
      <c r="BM3856" s="9">
        <f t="shared" si="545"/>
        <v>152.89949999999999</v>
      </c>
      <c r="BN3856" s="9">
        <f t="shared" si="546"/>
        <v>1602.04</v>
      </c>
      <c r="BO3856" s="9">
        <f t="shared" si="547"/>
        <v>6.83</v>
      </c>
      <c r="BP3856" s="9">
        <f t="shared" si="548"/>
        <v>112.59</v>
      </c>
    </row>
    <row r="3857" spans="1:68">
      <c r="A3857" s="6">
        <v>45258</v>
      </c>
      <c r="B3857" s="7">
        <v>3104</v>
      </c>
      <c r="C3857" s="8">
        <v>1515.77</v>
      </c>
      <c r="D3857" s="8"/>
      <c r="E3857" s="8"/>
      <c r="F3857" s="8"/>
      <c r="G3857" s="8"/>
      <c r="H3857" s="8">
        <v>388.88</v>
      </c>
      <c r="I3857" s="8"/>
      <c r="J3857" s="8"/>
      <c r="K3857" s="8"/>
      <c r="L3857" s="8"/>
      <c r="M3857" s="8">
        <v>4.33</v>
      </c>
      <c r="N3857" s="8"/>
      <c r="O3857" s="8"/>
      <c r="P3857" s="8"/>
      <c r="Q3857" s="11"/>
      <c r="R3857" s="11"/>
      <c r="S3857" s="8">
        <v>7.44</v>
      </c>
      <c r="T3857" s="8"/>
      <c r="U3857" s="8">
        <v>19.88</v>
      </c>
      <c r="V3857" s="8"/>
      <c r="W3857" s="8"/>
      <c r="X3857" s="8"/>
      <c r="Y3857" s="8"/>
      <c r="Z3857" s="8"/>
      <c r="AA3857" s="8"/>
      <c r="AB3857" s="8"/>
      <c r="AC3857" s="8">
        <v>6.92</v>
      </c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11"/>
      <c r="AQ3857" s="8"/>
      <c r="AR3857" s="8"/>
      <c r="AS3857" s="8"/>
      <c r="AT3857" s="8">
        <v>1106.3699999999999</v>
      </c>
      <c r="AU3857" s="8"/>
      <c r="AV3857" s="8"/>
      <c r="AW3857" s="8"/>
      <c r="AX3857" s="8"/>
      <c r="AY3857" s="8"/>
      <c r="AZ3857" s="8"/>
      <c r="BA3857" s="8">
        <v>39.53</v>
      </c>
      <c r="BB3857" s="8"/>
      <c r="BC3857" s="8"/>
      <c r="BD3857" s="8"/>
      <c r="BE3857" s="8"/>
      <c r="BF3857" s="8">
        <v>34.590000000000003</v>
      </c>
      <c r="BG3857" s="8">
        <v>85.62</v>
      </c>
      <c r="BH3857" s="9">
        <f t="shared" si="540"/>
        <v>1904.65</v>
      </c>
      <c r="BI3857" s="9">
        <f t="shared" si="541"/>
        <v>4.33</v>
      </c>
      <c r="BJ3857" s="9">
        <f t="shared" si="542"/>
        <v>7.44</v>
      </c>
      <c r="BK3857" s="9">
        <f t="shared" si="543"/>
        <v>19.88</v>
      </c>
      <c r="BL3857" s="9">
        <f t="shared" si="544"/>
        <v>0</v>
      </c>
      <c r="BM3857" s="9">
        <f t="shared" si="545"/>
        <v>6.92</v>
      </c>
      <c r="BN3857" s="9">
        <f t="shared" si="546"/>
        <v>1106.3699999999999</v>
      </c>
      <c r="BO3857" s="9">
        <f t="shared" si="547"/>
        <v>39.53</v>
      </c>
      <c r="BP3857" s="9">
        <f t="shared" si="548"/>
        <v>34.590000000000003</v>
      </c>
    </row>
    <row r="3858" spans="1:68">
      <c r="A3858" s="6">
        <v>45258</v>
      </c>
      <c r="B3858" s="7">
        <v>3108</v>
      </c>
      <c r="C3858" s="8">
        <v>2236.16</v>
      </c>
      <c r="D3858" s="8"/>
      <c r="E3858" s="8"/>
      <c r="F3858" s="8"/>
      <c r="G3858" s="8"/>
      <c r="H3858" s="8"/>
      <c r="I3858" s="8"/>
      <c r="J3858" s="8"/>
      <c r="K3858" s="8"/>
      <c r="L3858" s="8"/>
      <c r="M3858" s="8">
        <v>5.59</v>
      </c>
      <c r="N3858" s="8"/>
      <c r="O3858" s="8"/>
      <c r="P3858" s="8"/>
      <c r="Q3858" s="11"/>
      <c r="R3858" s="11"/>
      <c r="S3858" s="8">
        <v>7.17</v>
      </c>
      <c r="T3858" s="8"/>
      <c r="U3858" s="8">
        <v>28.42</v>
      </c>
      <c r="V3858" s="8"/>
      <c r="W3858" s="8"/>
      <c r="X3858" s="8"/>
      <c r="Y3858" s="8"/>
      <c r="Z3858" s="8"/>
      <c r="AA3858" s="8"/>
      <c r="AB3858" s="8"/>
      <c r="AC3858" s="8">
        <v>8.94</v>
      </c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11"/>
      <c r="AQ3858" s="8"/>
      <c r="AR3858" s="8"/>
      <c r="AS3858" s="8"/>
      <c r="AT3858" s="8">
        <v>1216.3800000000001</v>
      </c>
      <c r="AU3858" s="8"/>
      <c r="AV3858" s="8"/>
      <c r="AW3858" s="8"/>
      <c r="AX3858" s="8"/>
      <c r="AY3858" s="8"/>
      <c r="AZ3858" s="8"/>
      <c r="BA3858" s="8">
        <v>83.15</v>
      </c>
      <c r="BB3858" s="8"/>
      <c r="BC3858" s="8"/>
      <c r="BD3858" s="8"/>
      <c r="BE3858" s="8"/>
      <c r="BF3858" s="8"/>
      <c r="BG3858" s="8">
        <v>90.58</v>
      </c>
      <c r="BH3858" s="9">
        <f t="shared" si="540"/>
        <v>2236.16</v>
      </c>
      <c r="BI3858" s="9">
        <f t="shared" si="541"/>
        <v>5.59</v>
      </c>
      <c r="BJ3858" s="9">
        <f t="shared" si="542"/>
        <v>7.17</v>
      </c>
      <c r="BK3858" s="9">
        <f t="shared" si="543"/>
        <v>28.42</v>
      </c>
      <c r="BL3858" s="9">
        <f t="shared" si="544"/>
        <v>0</v>
      </c>
      <c r="BM3858" s="9">
        <f t="shared" si="545"/>
        <v>8.94</v>
      </c>
      <c r="BN3858" s="9">
        <f t="shared" si="546"/>
        <v>1216.3800000000001</v>
      </c>
      <c r="BO3858" s="9">
        <f t="shared" si="547"/>
        <v>83.15</v>
      </c>
      <c r="BP3858" s="9">
        <f t="shared" si="548"/>
        <v>0</v>
      </c>
    </row>
    <row r="3859" spans="1:68">
      <c r="A3859" s="6">
        <v>45258</v>
      </c>
      <c r="B3859" s="7">
        <v>3106</v>
      </c>
      <c r="C3859" s="8">
        <v>4158.16</v>
      </c>
      <c r="D3859" s="8"/>
      <c r="E3859" s="8"/>
      <c r="F3859" s="8"/>
      <c r="G3859" s="8"/>
      <c r="H3859" s="8"/>
      <c r="I3859" s="8"/>
      <c r="J3859" s="8"/>
      <c r="K3859" s="8"/>
      <c r="L3859" s="8"/>
      <c r="M3859" s="8">
        <v>11.23</v>
      </c>
      <c r="N3859" s="8"/>
      <c r="O3859" s="8"/>
      <c r="P3859" s="8"/>
      <c r="Q3859" s="11"/>
      <c r="R3859" s="11"/>
      <c r="S3859" s="8">
        <v>12.49</v>
      </c>
      <c r="T3859" s="8"/>
      <c r="U3859" s="8">
        <v>52.86</v>
      </c>
      <c r="V3859" s="8"/>
      <c r="W3859" s="8"/>
      <c r="X3859" s="8"/>
      <c r="Y3859" s="8"/>
      <c r="Z3859" s="8"/>
      <c r="AA3859" s="8"/>
      <c r="AB3859" s="8"/>
      <c r="AC3859" s="8">
        <v>10.4</v>
      </c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11"/>
      <c r="AQ3859" s="8"/>
      <c r="AR3859" s="8"/>
      <c r="AS3859" s="8"/>
      <c r="AT3859" s="8">
        <v>2368.81</v>
      </c>
      <c r="AU3859" s="8"/>
      <c r="AV3859" s="8"/>
      <c r="AW3859" s="8"/>
      <c r="AX3859" s="8">
        <v>5.2</v>
      </c>
      <c r="AY3859" s="8"/>
      <c r="AZ3859" s="8"/>
      <c r="BA3859" s="8"/>
      <c r="BB3859" s="8"/>
      <c r="BC3859" s="8"/>
      <c r="BD3859" s="8"/>
      <c r="BE3859" s="8"/>
      <c r="BF3859" s="8"/>
      <c r="BG3859" s="8">
        <v>179.29</v>
      </c>
      <c r="BH3859" s="9">
        <f t="shared" si="540"/>
        <v>4158.16</v>
      </c>
      <c r="BI3859" s="9">
        <f t="shared" si="541"/>
        <v>11.23</v>
      </c>
      <c r="BJ3859" s="9">
        <f t="shared" si="542"/>
        <v>12.49</v>
      </c>
      <c r="BK3859" s="9">
        <f t="shared" si="543"/>
        <v>52.86</v>
      </c>
      <c r="BL3859" s="9">
        <f t="shared" si="544"/>
        <v>0</v>
      </c>
      <c r="BM3859" s="9">
        <f t="shared" si="545"/>
        <v>10.4</v>
      </c>
      <c r="BN3859" s="9">
        <f t="shared" si="546"/>
        <v>2368.81</v>
      </c>
      <c r="BO3859" s="9">
        <f t="shared" si="547"/>
        <v>5.2</v>
      </c>
      <c r="BP3859" s="9">
        <f t="shared" si="548"/>
        <v>0</v>
      </c>
    </row>
    <row r="3860" spans="1:68">
      <c r="A3860" s="6">
        <v>45258</v>
      </c>
      <c r="B3860" s="7">
        <v>3030</v>
      </c>
      <c r="C3860" s="8"/>
      <c r="D3860" s="8">
        <v>446.65</v>
      </c>
      <c r="E3860" s="8"/>
      <c r="F3860" s="8"/>
      <c r="G3860" s="8"/>
      <c r="H3860" s="8"/>
      <c r="I3860" s="8">
        <v>179.64</v>
      </c>
      <c r="J3860" s="8"/>
      <c r="K3860" s="8"/>
      <c r="L3860" s="8"/>
      <c r="M3860" s="8"/>
      <c r="N3860" s="8">
        <v>4.3600000000000003</v>
      </c>
      <c r="O3860" s="8"/>
      <c r="P3860" s="8"/>
      <c r="Q3860" s="11"/>
      <c r="R3860" s="11"/>
      <c r="S3860" s="8">
        <v>0.44</v>
      </c>
      <c r="T3860" s="8"/>
      <c r="U3860" s="8"/>
      <c r="V3860" s="8"/>
      <c r="W3860" s="8">
        <v>5.0599999999999996</v>
      </c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>
        <v>2.4700000000000002</v>
      </c>
      <c r="AN3860" s="8">
        <f>1695*5.25/1000</f>
        <v>8.8987499999999997</v>
      </c>
      <c r="AO3860" s="8"/>
      <c r="AP3860" s="11"/>
      <c r="AQ3860" s="8"/>
      <c r="AR3860" s="8">
        <f>3988*5.25/1000</f>
        <v>20.937000000000001</v>
      </c>
      <c r="AS3860" s="8"/>
      <c r="AT3860" s="8">
        <v>220.84</v>
      </c>
      <c r="AU3860" s="8">
        <v>55.07</v>
      </c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>
        <v>21.76</v>
      </c>
      <c r="BH3860" s="9">
        <f t="shared" si="540"/>
        <v>626.29</v>
      </c>
      <c r="BI3860" s="9">
        <f t="shared" si="541"/>
        <v>4.3600000000000003</v>
      </c>
      <c r="BJ3860" s="9">
        <f t="shared" si="542"/>
        <v>0.44</v>
      </c>
      <c r="BK3860" s="9">
        <f t="shared" si="543"/>
        <v>5.0599999999999996</v>
      </c>
      <c r="BL3860" s="9">
        <f t="shared" si="544"/>
        <v>0</v>
      </c>
      <c r="BM3860" s="9">
        <f t="shared" si="545"/>
        <v>32.305750000000003</v>
      </c>
      <c r="BN3860" s="9">
        <f t="shared" si="546"/>
        <v>275.91000000000003</v>
      </c>
      <c r="BO3860" s="9">
        <f t="shared" si="547"/>
        <v>0</v>
      </c>
      <c r="BP3860" s="9">
        <f t="shared" si="548"/>
        <v>0</v>
      </c>
    </row>
    <row r="3861" spans="1:68">
      <c r="A3861" s="6">
        <v>45258</v>
      </c>
      <c r="B3861" s="7">
        <v>3028</v>
      </c>
      <c r="C3861" s="8"/>
      <c r="D3861" s="8">
        <v>404.14</v>
      </c>
      <c r="E3861" s="8"/>
      <c r="F3861" s="8">
        <v>373.09</v>
      </c>
      <c r="G3861" s="8"/>
      <c r="H3861" s="8"/>
      <c r="I3861" s="8">
        <v>841.63</v>
      </c>
      <c r="J3861" s="8"/>
      <c r="K3861" s="8"/>
      <c r="L3861" s="8"/>
      <c r="M3861" s="8"/>
      <c r="N3861" s="8">
        <v>12.46</v>
      </c>
      <c r="O3861" s="8"/>
      <c r="P3861" s="8"/>
      <c r="Q3861" s="11"/>
      <c r="R3861" s="11"/>
      <c r="S3861" s="8">
        <v>2.27</v>
      </c>
      <c r="T3861" s="8"/>
      <c r="U3861" s="8"/>
      <c r="V3861" s="8"/>
      <c r="W3861" s="8">
        <v>12.17</v>
      </c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>
        <v>16.100000000000001</v>
      </c>
      <c r="AN3861" s="8">
        <f>1068*10.8/1000</f>
        <v>11.534400000000002</v>
      </c>
      <c r="AO3861" s="8"/>
      <c r="AP3861" s="11"/>
      <c r="AQ3861" s="8"/>
      <c r="AR3861" s="8"/>
      <c r="AS3861" s="8">
        <f>4997*10.8/1000</f>
        <v>53.967600000000004</v>
      </c>
      <c r="AT3861" s="8">
        <v>539.54999999999995</v>
      </c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>
        <v>36.74</v>
      </c>
      <c r="BH3861" s="9">
        <f t="shared" si="540"/>
        <v>1618.8600000000001</v>
      </c>
      <c r="BI3861" s="9">
        <f t="shared" si="541"/>
        <v>12.46</v>
      </c>
      <c r="BJ3861" s="9">
        <f t="shared" si="542"/>
        <v>2.27</v>
      </c>
      <c r="BK3861" s="9">
        <f t="shared" si="543"/>
        <v>12.17</v>
      </c>
      <c r="BL3861" s="9">
        <f t="shared" si="544"/>
        <v>0</v>
      </c>
      <c r="BM3861" s="9">
        <f t="shared" si="545"/>
        <v>81.602000000000004</v>
      </c>
      <c r="BN3861" s="9">
        <f t="shared" si="546"/>
        <v>539.54999999999995</v>
      </c>
      <c r="BO3861" s="9">
        <f t="shared" si="547"/>
        <v>0</v>
      </c>
      <c r="BP3861" s="9">
        <f t="shared" si="548"/>
        <v>0</v>
      </c>
    </row>
    <row r="3862" spans="1:68">
      <c r="A3862" s="6">
        <v>45258</v>
      </c>
      <c r="B3862" s="7">
        <v>3025</v>
      </c>
      <c r="C3862" s="8"/>
      <c r="D3862" s="8">
        <f>121.2+62.33</f>
        <v>183.53</v>
      </c>
      <c r="E3862" s="8"/>
      <c r="F3862" s="8"/>
      <c r="G3862" s="8"/>
      <c r="H3862" s="8"/>
      <c r="I3862" s="8">
        <f>682.36+351.75</f>
        <v>1034.1100000000001</v>
      </c>
      <c r="J3862" s="8"/>
      <c r="K3862" s="8"/>
      <c r="L3862" s="8"/>
      <c r="M3862" s="8"/>
      <c r="N3862" s="8">
        <f>4.51+2.33</f>
        <v>6.84</v>
      </c>
      <c r="O3862" s="8"/>
      <c r="P3862" s="8"/>
      <c r="Q3862" s="11"/>
      <c r="R3862" s="11"/>
      <c r="S3862" s="8">
        <f>1.29+0.66</f>
        <v>1.9500000000000002</v>
      </c>
      <c r="T3862" s="8"/>
      <c r="U3862" s="8"/>
      <c r="V3862" s="8"/>
      <c r="W3862" s="8">
        <f>7.25+3.73</f>
        <v>10.98</v>
      </c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>
        <f>7.94+4.15</f>
        <v>12.09</v>
      </c>
      <c r="AN3862" s="8">
        <f>715*12.18/1000</f>
        <v>8.7086999999999986</v>
      </c>
      <c r="AO3862" s="8"/>
      <c r="AP3862" s="11"/>
      <c r="AQ3862" s="8"/>
      <c r="AR3862" s="8"/>
      <c r="AS3862" s="8">
        <f>3329*12.18/1000</f>
        <v>40.547220000000003</v>
      </c>
      <c r="AT3862" s="8">
        <f>277.34+144.29</f>
        <v>421.63</v>
      </c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>
        <f>18.41+9.53</f>
        <v>27.939999999999998</v>
      </c>
      <c r="BH3862" s="9">
        <f t="shared" si="540"/>
        <v>1217.6400000000001</v>
      </c>
      <c r="BI3862" s="9">
        <f t="shared" si="541"/>
        <v>6.84</v>
      </c>
      <c r="BJ3862" s="9">
        <f t="shared" si="542"/>
        <v>1.9500000000000002</v>
      </c>
      <c r="BK3862" s="9">
        <f t="shared" si="543"/>
        <v>10.98</v>
      </c>
      <c r="BL3862" s="9">
        <f t="shared" si="544"/>
        <v>0</v>
      </c>
      <c r="BM3862" s="9">
        <f t="shared" si="545"/>
        <v>61.34592</v>
      </c>
      <c r="BN3862" s="9">
        <f t="shared" si="546"/>
        <v>421.63</v>
      </c>
      <c r="BO3862" s="9">
        <f t="shared" si="547"/>
        <v>0</v>
      </c>
      <c r="BP3862" s="9">
        <f t="shared" si="548"/>
        <v>0</v>
      </c>
    </row>
    <row r="3863" spans="1:68">
      <c r="A3863" s="6">
        <v>45258</v>
      </c>
      <c r="B3863" s="7">
        <v>3204</v>
      </c>
      <c r="C3863" s="8"/>
      <c r="D3863" s="8">
        <v>1760.71</v>
      </c>
      <c r="E3863" s="8">
        <v>752.61</v>
      </c>
      <c r="F3863" s="8"/>
      <c r="G3863" s="8"/>
      <c r="H3863" s="8"/>
      <c r="I3863" s="8"/>
      <c r="J3863" s="8"/>
      <c r="K3863" s="8"/>
      <c r="L3863" s="8"/>
      <c r="M3863" s="8"/>
      <c r="N3863" s="8"/>
      <c r="O3863" s="8">
        <v>12.6</v>
      </c>
      <c r="P3863" s="8"/>
      <c r="Q3863" s="11"/>
      <c r="R3863" s="11"/>
      <c r="S3863" s="8">
        <v>8.5500000000000007</v>
      </c>
      <c r="T3863" s="8"/>
      <c r="U3863" s="8">
        <v>27.68</v>
      </c>
      <c r="V3863" s="8"/>
      <c r="W3863" s="8"/>
      <c r="X3863" s="8"/>
      <c r="Y3863" s="8"/>
      <c r="Z3863" s="8">
        <v>377.86</v>
      </c>
      <c r="AA3863" s="8"/>
      <c r="AB3863" s="8">
        <f>717*17.98/1000</f>
        <v>12.89166</v>
      </c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11"/>
      <c r="AQ3863" s="8"/>
      <c r="AR3863" s="8"/>
      <c r="AS3863" s="8"/>
      <c r="AT3863" s="8">
        <v>1110.1400000000001</v>
      </c>
      <c r="AU3863" s="8"/>
      <c r="AV3863" s="8"/>
      <c r="AW3863" s="8">
        <v>8.02</v>
      </c>
      <c r="AX3863" s="8"/>
      <c r="AY3863" s="8"/>
      <c r="AZ3863" s="8"/>
      <c r="BA3863" s="8"/>
      <c r="BB3863" s="8"/>
      <c r="BC3863" s="8"/>
      <c r="BD3863" s="8"/>
      <c r="BE3863" s="8"/>
      <c r="BF3863" s="8"/>
      <c r="BG3863" s="8">
        <v>81.89</v>
      </c>
      <c r="BH3863" s="9">
        <f t="shared" si="540"/>
        <v>2513.3200000000002</v>
      </c>
      <c r="BI3863" s="9">
        <f t="shared" si="541"/>
        <v>12.6</v>
      </c>
      <c r="BJ3863" s="9">
        <f t="shared" si="542"/>
        <v>8.5500000000000007</v>
      </c>
      <c r="BK3863" s="9">
        <f t="shared" si="543"/>
        <v>27.68</v>
      </c>
      <c r="BL3863" s="9">
        <f t="shared" si="544"/>
        <v>377.86</v>
      </c>
      <c r="BM3863" s="9">
        <f t="shared" si="545"/>
        <v>12.89166</v>
      </c>
      <c r="BN3863" s="9">
        <f t="shared" si="546"/>
        <v>1110.1400000000001</v>
      </c>
      <c r="BO3863" s="9">
        <f t="shared" si="547"/>
        <v>8.02</v>
      </c>
      <c r="BP3863" s="9">
        <f t="shared" si="548"/>
        <v>0</v>
      </c>
    </row>
    <row r="3864" spans="1:68">
      <c r="A3864" s="6">
        <v>45260</v>
      </c>
      <c r="B3864" s="7">
        <v>3136</v>
      </c>
      <c r="C3864" s="8">
        <v>1280.73</v>
      </c>
      <c r="D3864" s="8"/>
      <c r="E3864" s="8"/>
      <c r="F3864" s="8"/>
      <c r="G3864" s="8"/>
      <c r="H3864" s="8">
        <v>530.64</v>
      </c>
      <c r="I3864" s="8"/>
      <c r="J3864" s="8"/>
      <c r="K3864" s="8"/>
      <c r="L3864" s="8"/>
      <c r="M3864" s="8">
        <v>2.37</v>
      </c>
      <c r="N3864" s="8"/>
      <c r="O3864" s="8"/>
      <c r="P3864" s="8"/>
      <c r="Q3864" s="11"/>
      <c r="R3864" s="11"/>
      <c r="S3864" s="8">
        <v>6.8</v>
      </c>
      <c r="T3864" s="8"/>
      <c r="U3864" s="8">
        <v>20.59</v>
      </c>
      <c r="V3864" s="8"/>
      <c r="W3864" s="8"/>
      <c r="X3864" s="8"/>
      <c r="Y3864" s="8"/>
      <c r="Z3864" s="8"/>
      <c r="AA3864" s="8"/>
      <c r="AB3864" s="8"/>
      <c r="AC3864" s="8">
        <v>6.33</v>
      </c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11"/>
      <c r="AQ3864" s="8"/>
      <c r="AR3864" s="8"/>
      <c r="AS3864" s="8"/>
      <c r="AT3864" s="8">
        <v>1026.5999999999999</v>
      </c>
      <c r="AU3864" s="8"/>
      <c r="AV3864" s="8"/>
      <c r="AW3864" s="8"/>
      <c r="AX3864" s="8"/>
      <c r="AY3864" s="8"/>
      <c r="AZ3864" s="8"/>
      <c r="BA3864" s="8">
        <v>15.66</v>
      </c>
      <c r="BB3864" s="8"/>
      <c r="BC3864" s="8"/>
      <c r="BD3864" s="8"/>
      <c r="BE3864" s="8"/>
      <c r="BF3864" s="8">
        <v>63.39</v>
      </c>
      <c r="BG3864" s="8">
        <v>77.62</v>
      </c>
      <c r="BH3864" s="9">
        <f t="shared" si="540"/>
        <v>1811.37</v>
      </c>
      <c r="BI3864" s="9">
        <f t="shared" si="541"/>
        <v>2.37</v>
      </c>
      <c r="BJ3864" s="9">
        <f t="shared" si="542"/>
        <v>6.8</v>
      </c>
      <c r="BK3864" s="9">
        <f t="shared" si="543"/>
        <v>20.59</v>
      </c>
      <c r="BL3864" s="9">
        <f t="shared" si="544"/>
        <v>0</v>
      </c>
      <c r="BM3864" s="9">
        <f t="shared" si="545"/>
        <v>6.33</v>
      </c>
      <c r="BN3864" s="9">
        <f t="shared" si="546"/>
        <v>1026.5999999999999</v>
      </c>
      <c r="BO3864" s="9">
        <f t="shared" si="547"/>
        <v>15.66</v>
      </c>
      <c r="BP3864" s="9">
        <f t="shared" si="548"/>
        <v>63.39</v>
      </c>
    </row>
    <row r="3865" spans="1:68">
      <c r="A3865" s="6">
        <v>45260</v>
      </c>
      <c r="B3865" s="7">
        <v>3139</v>
      </c>
      <c r="C3865" s="8">
        <f>227.16+1103.3</f>
        <v>1330.46</v>
      </c>
      <c r="D3865" s="8"/>
      <c r="E3865" s="8"/>
      <c r="F3865" s="8"/>
      <c r="G3865" s="8"/>
      <c r="H3865" s="8">
        <f>94.26+457.82</f>
        <v>552.08000000000004</v>
      </c>
      <c r="I3865" s="8"/>
      <c r="J3865" s="8"/>
      <c r="K3865" s="8"/>
      <c r="L3865" s="8"/>
      <c r="M3865" s="8">
        <f>0.53+2.59</f>
        <v>3.12</v>
      </c>
      <c r="N3865" s="8"/>
      <c r="O3865" s="8"/>
      <c r="P3865" s="8"/>
      <c r="Q3865" s="11"/>
      <c r="R3865" s="11"/>
      <c r="S3865" s="8">
        <f>1.01+4.9</f>
        <v>5.91</v>
      </c>
      <c r="T3865" s="8"/>
      <c r="U3865" s="8">
        <f>3.36+16.33</f>
        <v>19.689999999999998</v>
      </c>
      <c r="V3865" s="8"/>
      <c r="W3865" s="8"/>
      <c r="X3865" s="8"/>
      <c r="Y3865" s="8"/>
      <c r="Z3865" s="8"/>
      <c r="AA3865" s="8"/>
      <c r="AB3865" s="8"/>
      <c r="AC3865" s="8">
        <f>1.12+5.45</f>
        <v>6.57</v>
      </c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11"/>
      <c r="AQ3865" s="8"/>
      <c r="AR3865" s="8"/>
      <c r="AS3865" s="8"/>
      <c r="AT3865" s="8">
        <f>165.61+805.41</f>
        <v>971.02</v>
      </c>
      <c r="AU3865" s="8"/>
      <c r="AV3865" s="8">
        <f>5.6+27.26</f>
        <v>32.86</v>
      </c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>
        <f>12.03+58.55</f>
        <v>70.58</v>
      </c>
      <c r="BH3865" s="9">
        <f t="shared" si="540"/>
        <v>1882.54</v>
      </c>
      <c r="BI3865" s="9">
        <f t="shared" si="541"/>
        <v>3.12</v>
      </c>
      <c r="BJ3865" s="9">
        <f t="shared" si="542"/>
        <v>5.91</v>
      </c>
      <c r="BK3865" s="9">
        <f t="shared" si="543"/>
        <v>19.689999999999998</v>
      </c>
      <c r="BL3865" s="9">
        <f t="shared" si="544"/>
        <v>0</v>
      </c>
      <c r="BM3865" s="9">
        <f t="shared" si="545"/>
        <v>6.57</v>
      </c>
      <c r="BN3865" s="9">
        <f t="shared" si="546"/>
        <v>971.02</v>
      </c>
      <c r="BO3865" s="9">
        <f t="shared" si="547"/>
        <v>32.86</v>
      </c>
      <c r="BP3865" s="9">
        <f t="shared" si="548"/>
        <v>0</v>
      </c>
    </row>
    <row r="3866" spans="1:68">
      <c r="A3866" s="6">
        <v>45260</v>
      </c>
      <c r="B3866" s="7">
        <v>3010</v>
      </c>
      <c r="C3866" s="8">
        <v>655.30999999999995</v>
      </c>
      <c r="D3866" s="8">
        <v>438.08</v>
      </c>
      <c r="E3866" s="8"/>
      <c r="F3866" s="8"/>
      <c r="G3866" s="8"/>
      <c r="H3866" s="8"/>
      <c r="I3866" s="8"/>
      <c r="J3866" s="8"/>
      <c r="K3866" s="8"/>
      <c r="L3866" s="8"/>
      <c r="M3866" s="8"/>
      <c r="N3866" s="8">
        <v>2.19</v>
      </c>
      <c r="O3866" s="8"/>
      <c r="P3866" s="8"/>
      <c r="Q3866" s="11"/>
      <c r="R3866" s="11"/>
      <c r="S3866" s="8">
        <v>2.95</v>
      </c>
      <c r="T3866" s="8"/>
      <c r="U3866" s="8"/>
      <c r="V3866" s="8"/>
      <c r="W3866" s="8">
        <v>10.95</v>
      </c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11"/>
      <c r="AQ3866" s="8"/>
      <c r="AR3866" s="8"/>
      <c r="AS3866" s="8"/>
      <c r="AT3866" s="8">
        <v>366.04</v>
      </c>
      <c r="AU3866" s="8"/>
      <c r="AV3866" s="8"/>
      <c r="AW3866" s="8">
        <v>12.15</v>
      </c>
      <c r="AX3866" s="8"/>
      <c r="AY3866" s="8"/>
      <c r="AZ3866" s="8"/>
      <c r="BA3866" s="8"/>
      <c r="BB3866" s="8"/>
      <c r="BC3866" s="8"/>
      <c r="BD3866" s="8"/>
      <c r="BE3866" s="8"/>
      <c r="BF3866" s="8"/>
      <c r="BG3866" s="8">
        <v>24.13</v>
      </c>
      <c r="BH3866" s="9">
        <f t="shared" si="540"/>
        <v>1093.3899999999999</v>
      </c>
      <c r="BI3866" s="9">
        <f t="shared" si="541"/>
        <v>2.19</v>
      </c>
      <c r="BJ3866" s="9">
        <f t="shared" si="542"/>
        <v>2.95</v>
      </c>
      <c r="BK3866" s="9">
        <f t="shared" si="543"/>
        <v>10.95</v>
      </c>
      <c r="BL3866" s="9">
        <f t="shared" si="544"/>
        <v>0</v>
      </c>
      <c r="BM3866" s="9">
        <f t="shared" si="545"/>
        <v>0</v>
      </c>
      <c r="BN3866" s="9">
        <f t="shared" si="546"/>
        <v>366.04</v>
      </c>
      <c r="BO3866" s="9">
        <f t="shared" si="547"/>
        <v>12.15</v>
      </c>
      <c r="BP3866" s="9">
        <f t="shared" si="548"/>
        <v>0</v>
      </c>
    </row>
    <row r="3867" spans="1:68">
      <c r="A3867" s="6">
        <v>45260</v>
      </c>
      <c r="B3867" s="7">
        <v>3020</v>
      </c>
      <c r="C3867" s="8"/>
      <c r="D3867" s="8">
        <v>172.07</v>
      </c>
      <c r="E3867" s="8"/>
      <c r="F3867" s="8"/>
      <c r="G3867" s="8"/>
      <c r="H3867" s="8"/>
      <c r="I3867" s="8">
        <v>975.86</v>
      </c>
      <c r="J3867" s="8"/>
      <c r="K3867" s="8"/>
      <c r="L3867" s="8"/>
      <c r="M3867" s="8"/>
      <c r="N3867" s="8">
        <v>6.99</v>
      </c>
      <c r="O3867" s="8"/>
      <c r="P3867" s="8"/>
      <c r="Q3867" s="11"/>
      <c r="R3867" s="11"/>
      <c r="S3867" s="8">
        <v>2.0699999999999998</v>
      </c>
      <c r="T3867" s="8"/>
      <c r="U3867" s="8"/>
      <c r="V3867" s="8"/>
      <c r="W3867" s="8">
        <v>11.48</v>
      </c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>
        <v>11.45</v>
      </c>
      <c r="AN3867" s="8"/>
      <c r="AO3867" s="8"/>
      <c r="AP3867" s="11"/>
      <c r="AQ3867" s="8"/>
      <c r="AR3867" s="8"/>
      <c r="AS3867" s="8">
        <f>3027*9.55/1000</f>
        <v>28.907850000000003</v>
      </c>
      <c r="AT3867" s="8">
        <v>563.03</v>
      </c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>
        <v>41.27</v>
      </c>
      <c r="BH3867" s="9">
        <f t="shared" si="540"/>
        <v>1147.93</v>
      </c>
      <c r="BI3867" s="9">
        <f t="shared" si="541"/>
        <v>6.99</v>
      </c>
      <c r="BJ3867" s="9">
        <f t="shared" si="542"/>
        <v>2.0699999999999998</v>
      </c>
      <c r="BK3867" s="9">
        <f t="shared" si="543"/>
        <v>11.48</v>
      </c>
      <c r="BL3867" s="9">
        <f t="shared" si="544"/>
        <v>0</v>
      </c>
      <c r="BM3867" s="9">
        <f t="shared" si="545"/>
        <v>40.357849999999999</v>
      </c>
      <c r="BN3867" s="9">
        <f t="shared" si="546"/>
        <v>563.03</v>
      </c>
      <c r="BO3867" s="9">
        <f t="shared" si="547"/>
        <v>0</v>
      </c>
      <c r="BP3867" s="9">
        <f t="shared" si="548"/>
        <v>0</v>
      </c>
    </row>
    <row r="3868" spans="1:68">
      <c r="A3868" s="6">
        <v>45260</v>
      </c>
      <c r="B3868" s="7">
        <v>3022</v>
      </c>
      <c r="C3868" s="8"/>
      <c r="D3868" s="8">
        <v>580.94000000000005</v>
      </c>
      <c r="E3868" s="8"/>
      <c r="F3868" s="8"/>
      <c r="G3868" s="8"/>
      <c r="H3868" s="8"/>
      <c r="I3868" s="8">
        <v>478.18</v>
      </c>
      <c r="J3868" s="8"/>
      <c r="K3868" s="8"/>
      <c r="L3868" s="8"/>
      <c r="M3868" s="8"/>
      <c r="N3868" s="8">
        <v>5.3</v>
      </c>
      <c r="O3868" s="8"/>
      <c r="P3868" s="8"/>
      <c r="Q3868" s="11"/>
      <c r="R3868" s="11"/>
      <c r="S3868" s="8">
        <v>1.91</v>
      </c>
      <c r="T3868" s="8"/>
      <c r="U3868" s="8"/>
      <c r="V3868" s="8"/>
      <c r="W3868" s="8">
        <v>10.59</v>
      </c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>
        <v>13.74</v>
      </c>
      <c r="AN3868" s="8"/>
      <c r="AO3868" s="8"/>
      <c r="AP3868" s="11"/>
      <c r="AQ3868" s="8"/>
      <c r="AR3868" s="8"/>
      <c r="AS3868" s="8">
        <f>3861*9.63/1000</f>
        <v>37.181429999999999</v>
      </c>
      <c r="AT3868" s="8">
        <v>494.5</v>
      </c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>
        <v>38.1</v>
      </c>
      <c r="BH3868" s="9">
        <f t="shared" si="540"/>
        <v>1059.1200000000001</v>
      </c>
      <c r="BI3868" s="9">
        <f t="shared" si="541"/>
        <v>5.3</v>
      </c>
      <c r="BJ3868" s="9">
        <f t="shared" si="542"/>
        <v>1.91</v>
      </c>
      <c r="BK3868" s="9">
        <f t="shared" si="543"/>
        <v>10.59</v>
      </c>
      <c r="BL3868" s="9">
        <f t="shared" si="544"/>
        <v>0</v>
      </c>
      <c r="BM3868" s="9">
        <f t="shared" si="545"/>
        <v>50.921430000000001</v>
      </c>
      <c r="BN3868" s="9">
        <f t="shared" si="546"/>
        <v>494.5</v>
      </c>
      <c r="BO3868" s="9">
        <f t="shared" si="547"/>
        <v>0</v>
      </c>
      <c r="BP3868" s="9">
        <f t="shared" si="548"/>
        <v>0</v>
      </c>
    </row>
    <row r="3869" spans="1:68">
      <c r="A3869" s="6">
        <v>45260</v>
      </c>
      <c r="B3869" s="7">
        <v>3602</v>
      </c>
      <c r="C3869" s="8">
        <v>571.49</v>
      </c>
      <c r="D3869" s="8"/>
      <c r="E3869" s="8"/>
      <c r="F3869" s="8"/>
      <c r="G3869" s="8">
        <v>858.35</v>
      </c>
      <c r="H3869" s="8"/>
      <c r="I3869" s="8"/>
      <c r="J3869" s="8"/>
      <c r="K3869" s="8"/>
      <c r="L3869" s="8"/>
      <c r="M3869" s="8">
        <v>1.71</v>
      </c>
      <c r="N3869" s="8"/>
      <c r="O3869" s="8"/>
      <c r="P3869" s="8"/>
      <c r="Q3869" s="11"/>
      <c r="R3869" s="11"/>
      <c r="S3869" s="8">
        <v>6.86</v>
      </c>
      <c r="T3869" s="8"/>
      <c r="U3869" s="8">
        <v>11.46</v>
      </c>
      <c r="V3869" s="8">
        <f>862*16.35/1000</f>
        <v>14.0937</v>
      </c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11"/>
      <c r="AQ3869" s="8"/>
      <c r="AR3869" s="8"/>
      <c r="AS3869" s="8"/>
      <c r="AT3869" s="8">
        <v>576.42999999999995</v>
      </c>
      <c r="AU3869" s="8"/>
      <c r="AV3869" s="8"/>
      <c r="AW3869" s="8">
        <v>36.96</v>
      </c>
      <c r="AX3869" s="8"/>
      <c r="AY3869" s="8"/>
      <c r="AZ3869" s="8"/>
      <c r="BA3869" s="8"/>
      <c r="BB3869" s="8"/>
      <c r="BC3869" s="8"/>
      <c r="BD3869" s="8"/>
      <c r="BE3869" s="8"/>
      <c r="BF3869" s="8"/>
      <c r="BG3869" s="8">
        <v>42.94</v>
      </c>
      <c r="BH3869" s="9">
        <f t="shared" si="540"/>
        <v>1429.8400000000001</v>
      </c>
      <c r="BI3869" s="9">
        <f t="shared" si="541"/>
        <v>1.71</v>
      </c>
      <c r="BJ3869" s="9">
        <f t="shared" si="542"/>
        <v>6.86</v>
      </c>
      <c r="BK3869" s="9">
        <f t="shared" si="543"/>
        <v>25.553699999999999</v>
      </c>
      <c r="BL3869" s="9">
        <f t="shared" si="544"/>
        <v>0</v>
      </c>
      <c r="BM3869" s="9">
        <f t="shared" si="545"/>
        <v>0</v>
      </c>
      <c r="BN3869" s="9">
        <f t="shared" si="546"/>
        <v>576.42999999999995</v>
      </c>
      <c r="BO3869" s="9">
        <f t="shared" si="547"/>
        <v>36.96</v>
      </c>
      <c r="BP3869" s="9">
        <f t="shared" si="548"/>
        <v>0</v>
      </c>
    </row>
    <row r="3870" spans="1:68">
      <c r="A3870" s="6">
        <v>45261</v>
      </c>
      <c r="B3870" s="7">
        <v>3153</v>
      </c>
      <c r="C3870" s="8">
        <v>783.96</v>
      </c>
      <c r="D3870" s="8"/>
      <c r="E3870" s="8"/>
      <c r="F3870" s="8"/>
      <c r="G3870" s="8"/>
      <c r="H3870" s="8"/>
      <c r="I3870" s="8"/>
      <c r="J3870" s="8"/>
      <c r="K3870" s="8"/>
      <c r="L3870" s="8"/>
      <c r="M3870" s="8">
        <v>1.4</v>
      </c>
      <c r="N3870" s="8">
        <v>1.41</v>
      </c>
      <c r="O3870" s="8"/>
      <c r="P3870" s="8"/>
      <c r="Q3870" s="11"/>
      <c r="R3870" s="11"/>
      <c r="S3870" s="8">
        <v>3.21</v>
      </c>
      <c r="T3870" s="8"/>
      <c r="U3870" s="8">
        <v>7.84</v>
      </c>
      <c r="V3870" s="8"/>
      <c r="W3870" s="8"/>
      <c r="X3870" s="8"/>
      <c r="Y3870" s="8"/>
      <c r="Z3870" s="8"/>
      <c r="AA3870" s="8"/>
      <c r="AB3870" s="8"/>
      <c r="AC3870" s="8">
        <v>3.13</v>
      </c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11"/>
      <c r="AQ3870" s="8"/>
      <c r="AR3870" s="8"/>
      <c r="AS3870" s="8"/>
      <c r="AT3870" s="8">
        <v>346.33</v>
      </c>
      <c r="AU3870" s="8"/>
      <c r="AV3870" s="8"/>
      <c r="AW3870" s="8"/>
      <c r="AX3870" s="8"/>
      <c r="AY3870" s="8"/>
      <c r="AZ3870" s="8"/>
      <c r="BA3870" s="8"/>
      <c r="BB3870" s="8"/>
      <c r="BC3870" s="8">
        <v>0.78</v>
      </c>
      <c r="BD3870" s="8"/>
      <c r="BE3870" s="8"/>
      <c r="BF3870" s="8"/>
      <c r="BG3870" s="8">
        <v>25.43</v>
      </c>
      <c r="BH3870" s="9">
        <f t="shared" si="540"/>
        <v>783.96</v>
      </c>
      <c r="BI3870" s="9">
        <f t="shared" si="541"/>
        <v>2.8099999999999996</v>
      </c>
      <c r="BJ3870" s="9">
        <f t="shared" si="542"/>
        <v>3.21</v>
      </c>
      <c r="BK3870" s="9">
        <f t="shared" si="543"/>
        <v>7.84</v>
      </c>
      <c r="BL3870" s="9">
        <f t="shared" si="544"/>
        <v>0</v>
      </c>
      <c r="BM3870" s="9">
        <f t="shared" si="545"/>
        <v>3.13</v>
      </c>
      <c r="BN3870" s="9">
        <f t="shared" si="546"/>
        <v>346.33</v>
      </c>
      <c r="BO3870" s="9">
        <f t="shared" si="547"/>
        <v>0.78</v>
      </c>
      <c r="BP3870" s="9">
        <f t="shared" si="548"/>
        <v>0</v>
      </c>
    </row>
    <row r="3871" spans="1:68">
      <c r="A3871" s="6">
        <v>45261</v>
      </c>
      <c r="B3871" s="7">
        <v>3206</v>
      </c>
      <c r="C3871" s="8">
        <v>317.33999999999997</v>
      </c>
      <c r="D3871" s="8">
        <v>576.61</v>
      </c>
      <c r="E3871" s="8">
        <v>382.58</v>
      </c>
      <c r="F3871" s="8"/>
      <c r="G3871" s="8"/>
      <c r="H3871" s="8"/>
      <c r="I3871" s="8"/>
      <c r="J3871" s="8"/>
      <c r="K3871" s="8"/>
      <c r="L3871" s="8"/>
      <c r="M3871" s="8"/>
      <c r="N3871" s="8"/>
      <c r="O3871" s="8">
        <v>2.57</v>
      </c>
      <c r="P3871" s="8"/>
      <c r="Q3871" s="11"/>
      <c r="R3871" s="11"/>
      <c r="S3871" s="8">
        <v>6.42</v>
      </c>
      <c r="T3871" s="8"/>
      <c r="U3871" s="8">
        <v>4.51</v>
      </c>
      <c r="V3871" s="8"/>
      <c r="W3871" s="8"/>
      <c r="X3871" s="8"/>
      <c r="Y3871" s="8"/>
      <c r="Z3871" s="8">
        <v>77.17</v>
      </c>
      <c r="AA3871" s="8"/>
      <c r="AB3871" s="8">
        <f>818*8.02/1000</f>
        <v>6.5603599999999993</v>
      </c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11"/>
      <c r="AQ3871" s="8"/>
      <c r="AR3871" s="8"/>
      <c r="AS3871" s="8"/>
      <c r="AT3871" s="8">
        <v>227.09</v>
      </c>
      <c r="AU3871" s="8">
        <v>111.88</v>
      </c>
      <c r="AV3871" s="8"/>
      <c r="AW3871" s="8">
        <v>4.87</v>
      </c>
      <c r="AX3871" s="8"/>
      <c r="AY3871" s="8"/>
      <c r="AZ3871" s="8"/>
      <c r="BA3871" s="8"/>
      <c r="BB3871" s="8"/>
      <c r="BC3871" s="8"/>
      <c r="BD3871" s="8"/>
      <c r="BE3871" s="8"/>
      <c r="BF3871" s="8"/>
      <c r="BG3871" s="8">
        <v>22.21</v>
      </c>
      <c r="BH3871" s="9">
        <f t="shared" si="540"/>
        <v>1276.53</v>
      </c>
      <c r="BI3871" s="9">
        <f t="shared" si="541"/>
        <v>2.57</v>
      </c>
      <c r="BJ3871" s="9">
        <f t="shared" si="542"/>
        <v>6.42</v>
      </c>
      <c r="BK3871" s="9">
        <f t="shared" si="543"/>
        <v>4.51</v>
      </c>
      <c r="BL3871" s="9">
        <f t="shared" si="544"/>
        <v>77.17</v>
      </c>
      <c r="BM3871" s="9">
        <f t="shared" si="545"/>
        <v>6.5603599999999993</v>
      </c>
      <c r="BN3871" s="9">
        <f t="shared" si="546"/>
        <v>338.97</v>
      </c>
      <c r="BO3871" s="9">
        <f t="shared" si="547"/>
        <v>4.87</v>
      </c>
      <c r="BP3871" s="9">
        <f t="shared" si="548"/>
        <v>0</v>
      </c>
    </row>
    <row r="3872" spans="1:68">
      <c r="A3872" s="6">
        <v>45261</v>
      </c>
      <c r="B3872" s="7">
        <v>3112</v>
      </c>
      <c r="C3872" s="8">
        <v>3221.76</v>
      </c>
      <c r="D3872" s="8"/>
      <c r="E3872" s="8"/>
      <c r="F3872" s="8"/>
      <c r="G3872" s="8"/>
      <c r="H3872" s="8"/>
      <c r="I3872" s="8"/>
      <c r="J3872" s="8"/>
      <c r="K3872" s="8"/>
      <c r="L3872" s="8"/>
      <c r="M3872" s="8">
        <v>2.92</v>
      </c>
      <c r="N3872" s="8">
        <v>2.91</v>
      </c>
      <c r="O3872" s="8"/>
      <c r="P3872" s="8"/>
      <c r="Q3872" s="11"/>
      <c r="R3872" s="11"/>
      <c r="S3872" s="8">
        <v>9.67</v>
      </c>
      <c r="T3872" s="8"/>
      <c r="U3872" s="8">
        <v>32.26</v>
      </c>
      <c r="V3872" s="8"/>
      <c r="W3872" s="8"/>
      <c r="X3872" s="8"/>
      <c r="Y3872" s="8"/>
      <c r="Z3872" s="8"/>
      <c r="AA3872" s="8"/>
      <c r="AB3872" s="8"/>
      <c r="AC3872" s="8">
        <v>12.88</v>
      </c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11"/>
      <c r="AQ3872" s="8"/>
      <c r="AR3872" s="8"/>
      <c r="AS3872" s="8"/>
      <c r="AT3872" s="8">
        <v>1346.16</v>
      </c>
      <c r="AU3872" s="8"/>
      <c r="AV3872" s="8"/>
      <c r="AW3872" s="8"/>
      <c r="AX3872" s="8"/>
      <c r="AY3872" s="8"/>
      <c r="AZ3872" s="8"/>
      <c r="BA3872" s="8">
        <v>42.8</v>
      </c>
      <c r="BB3872" s="8"/>
      <c r="BC3872" s="8"/>
      <c r="BD3872" s="8"/>
      <c r="BE3872" s="8"/>
      <c r="BF3872" s="8"/>
      <c r="BG3872" s="8">
        <v>96.62</v>
      </c>
      <c r="BH3872" s="9">
        <f t="shared" si="540"/>
        <v>3221.76</v>
      </c>
      <c r="BI3872" s="9">
        <f t="shared" si="541"/>
        <v>5.83</v>
      </c>
      <c r="BJ3872" s="9">
        <f t="shared" si="542"/>
        <v>9.67</v>
      </c>
      <c r="BK3872" s="9">
        <f t="shared" si="543"/>
        <v>32.26</v>
      </c>
      <c r="BL3872" s="9">
        <f t="shared" si="544"/>
        <v>0</v>
      </c>
      <c r="BM3872" s="9">
        <f t="shared" si="545"/>
        <v>12.88</v>
      </c>
      <c r="BN3872" s="9">
        <f t="shared" si="546"/>
        <v>1346.16</v>
      </c>
      <c r="BO3872" s="9">
        <f t="shared" si="547"/>
        <v>42.8</v>
      </c>
      <c r="BP3872" s="9">
        <f t="shared" si="548"/>
        <v>0</v>
      </c>
    </row>
    <row r="3873" spans="1:68">
      <c r="A3873" s="6">
        <v>45261</v>
      </c>
      <c r="B3873" s="7">
        <v>3106</v>
      </c>
      <c r="C3873" s="8">
        <v>7100.72</v>
      </c>
      <c r="D3873" s="8"/>
      <c r="E3873" s="8"/>
      <c r="F3873" s="8"/>
      <c r="G3873" s="8"/>
      <c r="H3873" s="8"/>
      <c r="I3873" s="8"/>
      <c r="J3873" s="8"/>
      <c r="K3873" s="8"/>
      <c r="L3873" s="8"/>
      <c r="M3873" s="8">
        <v>19.14</v>
      </c>
      <c r="N3873" s="8"/>
      <c r="O3873" s="8"/>
      <c r="P3873" s="8"/>
      <c r="Q3873" s="11"/>
      <c r="R3873" s="11"/>
      <c r="S3873" s="8">
        <v>21.33</v>
      </c>
      <c r="T3873" s="8"/>
      <c r="U3873" s="8">
        <v>90.23</v>
      </c>
      <c r="V3873" s="8"/>
      <c r="W3873" s="8"/>
      <c r="X3873" s="8"/>
      <c r="Y3873" s="8"/>
      <c r="Z3873" s="8"/>
      <c r="AA3873" s="8"/>
      <c r="AB3873" s="8"/>
      <c r="AC3873" s="8">
        <v>17.75</v>
      </c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11"/>
      <c r="AQ3873" s="8"/>
      <c r="AR3873" s="8"/>
      <c r="AS3873" s="8"/>
      <c r="AT3873" s="8">
        <v>4042.15</v>
      </c>
      <c r="AU3873" s="8"/>
      <c r="AV3873" s="8"/>
      <c r="AW3873" s="8"/>
      <c r="AX3873" s="8">
        <v>8.8699999999999992</v>
      </c>
      <c r="AY3873" s="8"/>
      <c r="AZ3873" s="8"/>
      <c r="BA3873" s="8"/>
      <c r="BB3873" s="8"/>
      <c r="BC3873" s="8"/>
      <c r="BD3873" s="8"/>
      <c r="BE3873" s="8"/>
      <c r="BF3873" s="8"/>
      <c r="BG3873" s="8">
        <v>304.61</v>
      </c>
      <c r="BH3873" s="9">
        <f t="shared" si="540"/>
        <v>7100.72</v>
      </c>
      <c r="BI3873" s="9">
        <f t="shared" si="541"/>
        <v>19.14</v>
      </c>
      <c r="BJ3873" s="9">
        <f t="shared" si="542"/>
        <v>21.33</v>
      </c>
      <c r="BK3873" s="9">
        <f t="shared" si="543"/>
        <v>90.23</v>
      </c>
      <c r="BL3873" s="9">
        <f t="shared" si="544"/>
        <v>0</v>
      </c>
      <c r="BM3873" s="9">
        <f t="shared" si="545"/>
        <v>17.75</v>
      </c>
      <c r="BN3873" s="9">
        <f t="shared" si="546"/>
        <v>4042.15</v>
      </c>
      <c r="BO3873" s="9">
        <f t="shared" si="547"/>
        <v>8.8699999999999992</v>
      </c>
      <c r="BP3873" s="9">
        <f t="shared" si="548"/>
        <v>0</v>
      </c>
    </row>
    <row r="3874" spans="1:68">
      <c r="A3874" s="6">
        <v>45261</v>
      </c>
      <c r="B3874" s="7">
        <v>3127</v>
      </c>
      <c r="C3874" s="8">
        <v>1083.03</v>
      </c>
      <c r="D3874" s="8"/>
      <c r="E3874" s="8"/>
      <c r="F3874" s="8"/>
      <c r="G3874" s="8"/>
      <c r="H3874" s="8"/>
      <c r="I3874" s="8"/>
      <c r="J3874" s="8"/>
      <c r="K3874" s="8"/>
      <c r="L3874" s="8"/>
      <c r="M3874" s="8">
        <v>3.02</v>
      </c>
      <c r="N3874" s="8"/>
      <c r="O3874" s="8"/>
      <c r="P3874" s="8"/>
      <c r="Q3874" s="11"/>
      <c r="R3874" s="11"/>
      <c r="S3874" s="8">
        <v>5.19</v>
      </c>
      <c r="T3874" s="8"/>
      <c r="U3874" s="8">
        <v>10.82</v>
      </c>
      <c r="V3874" s="8"/>
      <c r="W3874" s="8"/>
      <c r="X3874" s="8"/>
      <c r="Y3874" s="8"/>
      <c r="Z3874" s="8">
        <v>162.53</v>
      </c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11"/>
      <c r="AQ3874" s="8"/>
      <c r="AR3874" s="8"/>
      <c r="AS3874" s="8"/>
      <c r="AT3874" s="8">
        <v>531.25</v>
      </c>
      <c r="AU3874" s="8"/>
      <c r="AV3874" s="8">
        <v>21.67</v>
      </c>
      <c r="AW3874" s="8"/>
      <c r="AX3874" s="8"/>
      <c r="AY3874" s="8"/>
      <c r="AZ3874" s="8"/>
      <c r="BA3874" s="8"/>
      <c r="BB3874" s="8"/>
      <c r="BC3874" s="8"/>
      <c r="BD3874" s="8"/>
      <c r="BE3874" s="8"/>
      <c r="BF3874" s="8">
        <v>54.11</v>
      </c>
      <c r="BG3874" s="8">
        <v>37.92</v>
      </c>
      <c r="BH3874" s="9">
        <f t="shared" si="540"/>
        <v>1083.03</v>
      </c>
      <c r="BI3874" s="9">
        <f t="shared" si="541"/>
        <v>3.02</v>
      </c>
      <c r="BJ3874" s="9">
        <f t="shared" si="542"/>
        <v>5.19</v>
      </c>
      <c r="BK3874" s="9">
        <f t="shared" si="543"/>
        <v>10.82</v>
      </c>
      <c r="BL3874" s="9">
        <f t="shared" si="544"/>
        <v>162.53</v>
      </c>
      <c r="BM3874" s="9">
        <f t="shared" si="545"/>
        <v>0</v>
      </c>
      <c r="BN3874" s="9">
        <f t="shared" si="546"/>
        <v>531.25</v>
      </c>
      <c r="BO3874" s="9">
        <f t="shared" si="547"/>
        <v>21.67</v>
      </c>
      <c r="BP3874" s="9">
        <f t="shared" si="548"/>
        <v>54.11</v>
      </c>
    </row>
    <row r="3875" spans="1:68">
      <c r="A3875" s="6">
        <v>45261</v>
      </c>
      <c r="B3875" s="7">
        <v>3031</v>
      </c>
      <c r="C3875" s="8"/>
      <c r="D3875" s="8"/>
      <c r="E3875" s="8"/>
      <c r="F3875" s="8"/>
      <c r="G3875" s="8"/>
      <c r="H3875" s="8"/>
      <c r="I3875" s="8">
        <v>1178.56</v>
      </c>
      <c r="J3875" s="8"/>
      <c r="K3875" s="8"/>
      <c r="L3875" s="8"/>
      <c r="M3875" s="8"/>
      <c r="N3875" s="8">
        <v>8.14</v>
      </c>
      <c r="O3875" s="8"/>
      <c r="P3875" s="8"/>
      <c r="Q3875" s="11"/>
      <c r="R3875" s="11"/>
      <c r="S3875" s="8">
        <v>0.83</v>
      </c>
      <c r="T3875" s="8"/>
      <c r="U3875" s="8"/>
      <c r="V3875" s="8"/>
      <c r="W3875" s="8">
        <v>11.8</v>
      </c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>
        <f>1803*9.82/1000</f>
        <v>17.705459999999999</v>
      </c>
      <c r="AJ3875" s="8"/>
      <c r="AK3875" s="8"/>
      <c r="AL3875" s="8"/>
      <c r="AM3875" s="8"/>
      <c r="AN3875" s="8">
        <f>1218*9.82/1000</f>
        <v>11.960760000000001</v>
      </c>
      <c r="AO3875" s="8"/>
      <c r="AP3875" s="11"/>
      <c r="AQ3875" s="8"/>
      <c r="AR3875" s="8">
        <f>3678*9.82/1000</f>
        <v>36.117959999999997</v>
      </c>
      <c r="AS3875" s="8"/>
      <c r="AT3875" s="8">
        <v>561.05999999999995</v>
      </c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>
        <v>38.08</v>
      </c>
      <c r="BH3875" s="9">
        <f t="shared" si="540"/>
        <v>1178.56</v>
      </c>
      <c r="BI3875" s="9">
        <f t="shared" si="541"/>
        <v>8.14</v>
      </c>
      <c r="BJ3875" s="9">
        <f t="shared" si="542"/>
        <v>0.83</v>
      </c>
      <c r="BK3875" s="9">
        <f t="shared" si="543"/>
        <v>11.8</v>
      </c>
      <c r="BL3875" s="9">
        <f t="shared" si="544"/>
        <v>0</v>
      </c>
      <c r="BM3875" s="9">
        <f t="shared" si="545"/>
        <v>65.784179999999992</v>
      </c>
      <c r="BN3875" s="9">
        <f t="shared" si="546"/>
        <v>561.05999999999995</v>
      </c>
      <c r="BO3875" s="9">
        <f t="shared" si="547"/>
        <v>0</v>
      </c>
      <c r="BP3875" s="9">
        <f t="shared" si="548"/>
        <v>0</v>
      </c>
    </row>
    <row r="3876" spans="1:68">
      <c r="A3876" s="6">
        <v>45261</v>
      </c>
      <c r="B3876" s="7">
        <v>3079</v>
      </c>
      <c r="C3876" s="8"/>
      <c r="D3876" s="8"/>
      <c r="E3876" s="8"/>
      <c r="F3876" s="8">
        <v>343.29</v>
      </c>
      <c r="G3876" s="8"/>
      <c r="H3876" s="8"/>
      <c r="I3876" s="8">
        <v>2780.08</v>
      </c>
      <c r="J3876" s="8"/>
      <c r="K3876" s="8"/>
      <c r="L3876" s="8"/>
      <c r="M3876" s="8"/>
      <c r="N3876" s="8">
        <v>22.77</v>
      </c>
      <c r="O3876" s="8"/>
      <c r="P3876" s="8"/>
      <c r="Q3876" s="11"/>
      <c r="R3876" s="11"/>
      <c r="S3876" s="8">
        <v>1.25</v>
      </c>
      <c r="T3876" s="8"/>
      <c r="U3876" s="8"/>
      <c r="V3876" s="8"/>
      <c r="W3876" s="8">
        <v>31.22</v>
      </c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>
        <v>12.47</v>
      </c>
      <c r="AN3876" s="8">
        <f>1712*18.35/1000</f>
        <v>31.415200000000002</v>
      </c>
      <c r="AO3876" s="8"/>
      <c r="AP3876" s="11"/>
      <c r="AQ3876" s="8"/>
      <c r="AR3876" s="8">
        <f>4273*18.35/1000</f>
        <v>78.409549999999996</v>
      </c>
      <c r="AS3876" s="8"/>
      <c r="AT3876" s="8">
        <v>1202.92</v>
      </c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>
        <v>87.2</v>
      </c>
      <c r="BH3876" s="9">
        <f t="shared" si="540"/>
        <v>3123.37</v>
      </c>
      <c r="BI3876" s="9">
        <f t="shared" si="541"/>
        <v>22.77</v>
      </c>
      <c r="BJ3876" s="9">
        <f t="shared" si="542"/>
        <v>1.25</v>
      </c>
      <c r="BK3876" s="9">
        <f t="shared" si="543"/>
        <v>31.22</v>
      </c>
      <c r="BL3876" s="9">
        <f t="shared" si="544"/>
        <v>0</v>
      </c>
      <c r="BM3876" s="9">
        <f t="shared" si="545"/>
        <v>122.29474999999999</v>
      </c>
      <c r="BN3876" s="9">
        <f t="shared" si="546"/>
        <v>1202.92</v>
      </c>
      <c r="BO3876" s="9">
        <f t="shared" si="547"/>
        <v>0</v>
      </c>
      <c r="BP3876" s="9">
        <f t="shared" si="548"/>
        <v>0</v>
      </c>
    </row>
    <row r="3877" spans="1:68">
      <c r="A3877" s="6">
        <v>45261</v>
      </c>
      <c r="B3877" s="7">
        <v>3200</v>
      </c>
      <c r="C3877" s="8">
        <v>2297.44</v>
      </c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>
        <v>5.75</v>
      </c>
      <c r="P3877" s="8"/>
      <c r="Q3877" s="11"/>
      <c r="R3877" s="11"/>
      <c r="S3877" s="8">
        <v>8.9700000000000006</v>
      </c>
      <c r="T3877" s="8"/>
      <c r="U3877" s="8">
        <v>34.450000000000003</v>
      </c>
      <c r="V3877" s="8"/>
      <c r="W3877" s="8"/>
      <c r="X3877" s="8"/>
      <c r="Y3877" s="8"/>
      <c r="Z3877" s="8">
        <v>483.02</v>
      </c>
      <c r="AA3877" s="8"/>
      <c r="AB3877" s="8"/>
      <c r="AC3877" s="8"/>
      <c r="AD3877" s="8"/>
      <c r="AE3877" s="8"/>
      <c r="AF3877" s="8">
        <v>115.12</v>
      </c>
      <c r="AG3877" s="8"/>
      <c r="AH3877" s="8"/>
      <c r="AI3877" s="8"/>
      <c r="AJ3877" s="8"/>
      <c r="AK3877" s="8"/>
      <c r="AL3877" s="8"/>
      <c r="AM3877" s="8"/>
      <c r="AN3877" s="8"/>
      <c r="AO3877" s="8"/>
      <c r="AP3877" s="11"/>
      <c r="AQ3877" s="8">
        <f>1515*22.98/1000</f>
        <v>34.814699999999995</v>
      </c>
      <c r="AR3877" s="8"/>
      <c r="AS3877" s="8"/>
      <c r="AT3877" s="8">
        <v>1570.9</v>
      </c>
      <c r="AU3877" s="8"/>
      <c r="AV3877" s="8"/>
      <c r="AW3877" s="8">
        <v>6.7</v>
      </c>
      <c r="AX3877" s="8"/>
      <c r="AY3877" s="8"/>
      <c r="AZ3877" s="8"/>
      <c r="BA3877" s="8"/>
      <c r="BB3877" s="8"/>
      <c r="BC3877" s="8"/>
      <c r="BD3877" s="8"/>
      <c r="BE3877" s="8"/>
      <c r="BF3877" s="8">
        <v>110.25</v>
      </c>
      <c r="BG3877" s="8">
        <v>113.74</v>
      </c>
      <c r="BH3877" s="9">
        <f t="shared" si="540"/>
        <v>2297.44</v>
      </c>
      <c r="BI3877" s="9">
        <f t="shared" si="541"/>
        <v>5.75</v>
      </c>
      <c r="BJ3877" s="9">
        <f t="shared" si="542"/>
        <v>8.9700000000000006</v>
      </c>
      <c r="BK3877" s="9">
        <f t="shared" si="543"/>
        <v>34.450000000000003</v>
      </c>
      <c r="BL3877" s="9">
        <f t="shared" si="544"/>
        <v>483.02</v>
      </c>
      <c r="BM3877" s="9">
        <f t="shared" si="545"/>
        <v>149.93469999999999</v>
      </c>
      <c r="BN3877" s="9">
        <f t="shared" si="546"/>
        <v>1570.9</v>
      </c>
      <c r="BO3877" s="9">
        <f t="shared" si="547"/>
        <v>6.7</v>
      </c>
      <c r="BP3877" s="9">
        <f t="shared" si="548"/>
        <v>110.25</v>
      </c>
    </row>
    <row r="3878" spans="1:68">
      <c r="A3878" s="6">
        <v>45265</v>
      </c>
      <c r="B3878" s="7">
        <v>3106</v>
      </c>
      <c r="C3878" s="8">
        <v>7087.67</v>
      </c>
      <c r="D3878" s="8"/>
      <c r="E3878" s="8"/>
      <c r="F3878" s="8"/>
      <c r="G3878" s="8"/>
      <c r="H3878" s="8"/>
      <c r="I3878" s="8"/>
      <c r="J3878" s="8"/>
      <c r="K3878" s="8"/>
      <c r="L3878" s="8"/>
      <c r="M3878" s="8">
        <v>19.100000000000001</v>
      </c>
      <c r="N3878" s="8"/>
      <c r="O3878" s="8"/>
      <c r="P3878" s="8"/>
      <c r="Q3878" s="11"/>
      <c r="R3878" s="11"/>
      <c r="S3878" s="8">
        <v>21.26</v>
      </c>
      <c r="T3878" s="8"/>
      <c r="U3878" s="8">
        <v>90.03</v>
      </c>
      <c r="V3878" s="8"/>
      <c r="W3878" s="8"/>
      <c r="X3878" s="8"/>
      <c r="Y3878" s="8"/>
      <c r="Z3878" s="8"/>
      <c r="AA3878" s="8"/>
      <c r="AB3878" s="8"/>
      <c r="AC3878" s="8">
        <v>17.7</v>
      </c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11"/>
      <c r="AQ3878" s="8"/>
      <c r="AR3878" s="8"/>
      <c r="AS3878" s="8"/>
      <c r="AT3878" s="8">
        <v>4036.63</v>
      </c>
      <c r="AU3878" s="8"/>
      <c r="AV3878" s="8"/>
      <c r="AW3878" s="8"/>
      <c r="AX3878" s="8">
        <v>8.85</v>
      </c>
      <c r="AY3878" s="8"/>
      <c r="AZ3878" s="8"/>
      <c r="BA3878" s="8"/>
      <c r="BB3878" s="8"/>
      <c r="BC3878" s="8"/>
      <c r="BD3878" s="8"/>
      <c r="BE3878" s="8"/>
      <c r="BF3878" s="8"/>
      <c r="BG3878" s="8">
        <v>304.94</v>
      </c>
      <c r="BH3878" s="9">
        <f t="shared" si="540"/>
        <v>7087.67</v>
      </c>
      <c r="BI3878" s="9">
        <f t="shared" si="541"/>
        <v>19.100000000000001</v>
      </c>
      <c r="BJ3878" s="9">
        <f t="shared" si="542"/>
        <v>21.26</v>
      </c>
      <c r="BK3878" s="9">
        <f t="shared" si="543"/>
        <v>90.03</v>
      </c>
      <c r="BL3878" s="9">
        <f t="shared" si="544"/>
        <v>0</v>
      </c>
      <c r="BM3878" s="9">
        <f t="shared" si="545"/>
        <v>17.7</v>
      </c>
      <c r="BN3878" s="9">
        <f t="shared" si="546"/>
        <v>4036.63</v>
      </c>
      <c r="BO3878" s="9">
        <f t="shared" si="547"/>
        <v>8.85</v>
      </c>
      <c r="BP3878" s="9">
        <f t="shared" si="548"/>
        <v>0</v>
      </c>
    </row>
    <row r="3879" spans="1:68">
      <c r="A3879" s="6">
        <v>45265</v>
      </c>
      <c r="B3879" s="7">
        <v>3111</v>
      </c>
      <c r="C3879" s="8">
        <v>1476.32</v>
      </c>
      <c r="D3879" s="8"/>
      <c r="E3879" s="8"/>
      <c r="F3879" s="8"/>
      <c r="G3879" s="8"/>
      <c r="H3879" s="8"/>
      <c r="I3879" s="8"/>
      <c r="J3879" s="8"/>
      <c r="K3879" s="8"/>
      <c r="L3879" s="8"/>
      <c r="M3879" s="8">
        <v>2.2200000000000002</v>
      </c>
      <c r="N3879" s="8"/>
      <c r="O3879" s="8"/>
      <c r="P3879" s="8"/>
      <c r="Q3879" s="11"/>
      <c r="R3879" s="11"/>
      <c r="S3879" s="8">
        <v>4.43</v>
      </c>
      <c r="T3879" s="8"/>
      <c r="U3879" s="8">
        <v>14.74</v>
      </c>
      <c r="V3879" s="8"/>
      <c r="W3879" s="8"/>
      <c r="X3879" s="8"/>
      <c r="Y3879" s="8"/>
      <c r="Z3879" s="8"/>
      <c r="AA3879" s="8"/>
      <c r="AB3879" s="8"/>
      <c r="AC3879" s="8">
        <v>5.89</v>
      </c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11"/>
      <c r="AQ3879" s="8"/>
      <c r="AR3879" s="8"/>
      <c r="AS3879" s="8"/>
      <c r="AT3879" s="8">
        <v>688.94</v>
      </c>
      <c r="AU3879" s="8"/>
      <c r="AV3879" s="8"/>
      <c r="AW3879" s="8"/>
      <c r="AX3879" s="8"/>
      <c r="AY3879" s="8"/>
      <c r="AZ3879" s="8"/>
      <c r="BA3879" s="8">
        <v>54.92</v>
      </c>
      <c r="BB3879" s="8"/>
      <c r="BC3879" s="8"/>
      <c r="BD3879" s="8"/>
      <c r="BE3879" s="8"/>
      <c r="BF3879" s="8"/>
      <c r="BG3879" s="8">
        <v>48.14</v>
      </c>
      <c r="BH3879" s="9">
        <f t="shared" si="540"/>
        <v>1476.32</v>
      </c>
      <c r="BI3879" s="9">
        <f t="shared" si="541"/>
        <v>2.2200000000000002</v>
      </c>
      <c r="BJ3879" s="9">
        <f t="shared" si="542"/>
        <v>4.43</v>
      </c>
      <c r="BK3879" s="9">
        <f t="shared" si="543"/>
        <v>14.74</v>
      </c>
      <c r="BL3879" s="9">
        <f t="shared" si="544"/>
        <v>0</v>
      </c>
      <c r="BM3879" s="9">
        <f t="shared" si="545"/>
        <v>5.89</v>
      </c>
      <c r="BN3879" s="9">
        <f t="shared" si="546"/>
        <v>688.94</v>
      </c>
      <c r="BO3879" s="9">
        <f t="shared" si="547"/>
        <v>54.92</v>
      </c>
      <c r="BP3879" s="9">
        <f t="shared" si="548"/>
        <v>0</v>
      </c>
    </row>
    <row r="3880" spans="1:68">
      <c r="A3880" s="6">
        <v>45265</v>
      </c>
      <c r="B3880" s="7">
        <v>3113</v>
      </c>
      <c r="C3880" s="8">
        <v>1604.13</v>
      </c>
      <c r="D3880" s="8"/>
      <c r="E3880" s="8"/>
      <c r="F3880" s="8"/>
      <c r="G3880" s="8"/>
      <c r="H3880" s="8"/>
      <c r="I3880" s="8"/>
      <c r="J3880" s="8"/>
      <c r="K3880" s="8"/>
      <c r="L3880" s="8"/>
      <c r="M3880" s="8">
        <v>1.44</v>
      </c>
      <c r="N3880" s="8">
        <v>1.44</v>
      </c>
      <c r="O3880" s="8"/>
      <c r="P3880" s="8"/>
      <c r="Q3880" s="11"/>
      <c r="R3880" s="11"/>
      <c r="S3880" s="8">
        <v>4.83</v>
      </c>
      <c r="T3880" s="8"/>
      <c r="U3880" s="8">
        <v>16.04</v>
      </c>
      <c r="V3880" s="8"/>
      <c r="W3880" s="8"/>
      <c r="X3880" s="8"/>
      <c r="Y3880" s="8"/>
      <c r="Z3880" s="8"/>
      <c r="AA3880" s="8"/>
      <c r="AB3880" s="8"/>
      <c r="AC3880" s="8">
        <v>6.42</v>
      </c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11"/>
      <c r="AQ3880" s="8"/>
      <c r="AR3880" s="8"/>
      <c r="AS3880" s="8"/>
      <c r="AT3880" s="8">
        <v>673.53</v>
      </c>
      <c r="AU3880" s="8"/>
      <c r="AV3880" s="8">
        <v>54.58</v>
      </c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>
        <v>48.37</v>
      </c>
      <c r="BH3880" s="9">
        <f t="shared" si="540"/>
        <v>1604.13</v>
      </c>
      <c r="BI3880" s="9">
        <f t="shared" si="541"/>
        <v>2.88</v>
      </c>
      <c r="BJ3880" s="9">
        <f t="shared" si="542"/>
        <v>4.83</v>
      </c>
      <c r="BK3880" s="9">
        <f t="shared" si="543"/>
        <v>16.04</v>
      </c>
      <c r="BL3880" s="9">
        <f t="shared" si="544"/>
        <v>0</v>
      </c>
      <c r="BM3880" s="9">
        <f t="shared" si="545"/>
        <v>6.42</v>
      </c>
      <c r="BN3880" s="9">
        <f t="shared" si="546"/>
        <v>673.53</v>
      </c>
      <c r="BO3880" s="9">
        <f t="shared" si="547"/>
        <v>54.58</v>
      </c>
      <c r="BP3880" s="9">
        <f t="shared" si="548"/>
        <v>0</v>
      </c>
    </row>
    <row r="3881" spans="1:68">
      <c r="A3881" s="6">
        <v>45265</v>
      </c>
      <c r="B3881" s="7">
        <v>3020</v>
      </c>
      <c r="C3881" s="8"/>
      <c r="D3881" s="8">
        <v>174.77</v>
      </c>
      <c r="E3881" s="8"/>
      <c r="F3881" s="8"/>
      <c r="G3881" s="8"/>
      <c r="H3881" s="8"/>
      <c r="I3881" s="8">
        <v>988.24</v>
      </c>
      <c r="J3881" s="8"/>
      <c r="K3881" s="8"/>
      <c r="L3881" s="8"/>
      <c r="M3881" s="8"/>
      <c r="N3881" s="8">
        <v>7.09</v>
      </c>
      <c r="O3881" s="8"/>
      <c r="P3881" s="8"/>
      <c r="Q3881" s="11"/>
      <c r="R3881" s="11"/>
      <c r="S3881" s="8">
        <v>2.09</v>
      </c>
      <c r="T3881" s="8"/>
      <c r="U3881" s="8"/>
      <c r="V3881" s="8"/>
      <c r="W3881" s="8">
        <v>11.64</v>
      </c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>
        <v>11.61</v>
      </c>
      <c r="AN3881" s="8"/>
      <c r="AO3881" s="8"/>
      <c r="AP3881" s="11"/>
      <c r="AQ3881" s="8"/>
      <c r="AR3881" s="8"/>
      <c r="AS3881" s="8">
        <f>3029*9.68/1000</f>
        <v>29.320719999999998</v>
      </c>
      <c r="AT3881" s="8">
        <v>571.12</v>
      </c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>
        <v>41.82</v>
      </c>
      <c r="BH3881" s="9">
        <f t="shared" si="540"/>
        <v>1163.01</v>
      </c>
      <c r="BI3881" s="9">
        <f t="shared" si="541"/>
        <v>7.09</v>
      </c>
      <c r="BJ3881" s="9">
        <f t="shared" si="542"/>
        <v>2.09</v>
      </c>
      <c r="BK3881" s="9">
        <f t="shared" si="543"/>
        <v>11.64</v>
      </c>
      <c r="BL3881" s="9">
        <f t="shared" si="544"/>
        <v>0</v>
      </c>
      <c r="BM3881" s="9">
        <f t="shared" si="545"/>
        <v>40.930719999999994</v>
      </c>
      <c r="BN3881" s="9">
        <f t="shared" si="546"/>
        <v>571.12</v>
      </c>
      <c r="BO3881" s="9">
        <f t="shared" si="547"/>
        <v>0</v>
      </c>
      <c r="BP3881" s="9">
        <f t="shared" si="548"/>
        <v>0</v>
      </c>
    </row>
    <row r="3882" spans="1:68">
      <c r="A3882" s="6">
        <v>45265</v>
      </c>
      <c r="B3882" s="7">
        <v>3028</v>
      </c>
      <c r="C3882" s="8"/>
      <c r="D3882" s="8">
        <v>759.5</v>
      </c>
      <c r="E3882" s="8"/>
      <c r="F3882" s="8">
        <v>700.54</v>
      </c>
      <c r="G3882" s="8"/>
      <c r="H3882" s="8"/>
      <c r="I3882" s="8">
        <v>1583.99</v>
      </c>
      <c r="J3882" s="8"/>
      <c r="K3882" s="8"/>
      <c r="L3882" s="8"/>
      <c r="M3882" s="8"/>
      <c r="N3882" s="8">
        <v>23.41</v>
      </c>
      <c r="O3882" s="8"/>
      <c r="P3882" s="8"/>
      <c r="Q3882" s="11"/>
      <c r="R3882" s="11"/>
      <c r="S3882" s="8">
        <v>4.2699999999999996</v>
      </c>
      <c r="T3882" s="8"/>
      <c r="U3882" s="8"/>
      <c r="V3882" s="8"/>
      <c r="W3882" s="8">
        <v>22.82</v>
      </c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>
        <v>30.45</v>
      </c>
      <c r="AN3882" s="8">
        <f>1075*20.3/1000</f>
        <v>21.822500000000002</v>
      </c>
      <c r="AO3882" s="8"/>
      <c r="AP3882" s="11"/>
      <c r="AQ3882" s="8"/>
      <c r="AR3882" s="8"/>
      <c r="AS3882" s="8">
        <f>4933*20.3/1000</f>
        <v>100.13990000000001</v>
      </c>
      <c r="AT3882" s="8">
        <v>1016.79</v>
      </c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>
        <v>69.2</v>
      </c>
      <c r="BH3882" s="9">
        <f t="shared" si="540"/>
        <v>3044.0299999999997</v>
      </c>
      <c r="BI3882" s="9">
        <f t="shared" si="541"/>
        <v>23.41</v>
      </c>
      <c r="BJ3882" s="9">
        <f t="shared" si="542"/>
        <v>4.2699999999999996</v>
      </c>
      <c r="BK3882" s="9">
        <f t="shared" si="543"/>
        <v>22.82</v>
      </c>
      <c r="BL3882" s="9">
        <f t="shared" si="544"/>
        <v>0</v>
      </c>
      <c r="BM3882" s="9">
        <f t="shared" si="545"/>
        <v>152.41240000000002</v>
      </c>
      <c r="BN3882" s="9">
        <f t="shared" si="546"/>
        <v>1016.79</v>
      </c>
      <c r="BO3882" s="9">
        <f t="shared" si="547"/>
        <v>0</v>
      </c>
      <c r="BP3882" s="9">
        <f t="shared" si="548"/>
        <v>0</v>
      </c>
    </row>
    <row r="3883" spans="1:68">
      <c r="A3883" s="6">
        <v>45265</v>
      </c>
      <c r="B3883" s="7">
        <v>3117</v>
      </c>
      <c r="C3883" s="8">
        <v>807.19</v>
      </c>
      <c r="D3883" s="8"/>
      <c r="E3883" s="8"/>
      <c r="F3883" s="8"/>
      <c r="G3883" s="8"/>
      <c r="H3883" s="8"/>
      <c r="I3883" s="8"/>
      <c r="J3883" s="8"/>
      <c r="K3883" s="8"/>
      <c r="L3883" s="8"/>
      <c r="M3883" s="8">
        <v>2.3199999999999998</v>
      </c>
      <c r="N3883" s="8"/>
      <c r="O3883" s="8"/>
      <c r="P3883" s="8"/>
      <c r="Q3883" s="11"/>
      <c r="R3883" s="11"/>
      <c r="S3883" s="8">
        <v>3.23</v>
      </c>
      <c r="T3883" s="8"/>
      <c r="U3883" s="8">
        <v>8.08</v>
      </c>
      <c r="V3883" s="8"/>
      <c r="W3883" s="8"/>
      <c r="X3883" s="8"/>
      <c r="Y3883" s="8"/>
      <c r="Z3883" s="8"/>
      <c r="AA3883" s="8"/>
      <c r="AB3883" s="8"/>
      <c r="AC3883" s="8">
        <v>3.23</v>
      </c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11"/>
      <c r="AQ3883" s="8"/>
      <c r="AR3883" s="8"/>
      <c r="AS3883" s="8"/>
      <c r="AT3883" s="8">
        <v>508.03</v>
      </c>
      <c r="AU3883" s="8"/>
      <c r="AV3883" s="8">
        <v>20.170000000000002</v>
      </c>
      <c r="AW3883" s="8"/>
      <c r="AX3883" s="8"/>
      <c r="AY3883" s="8"/>
      <c r="AZ3883" s="8"/>
      <c r="BA3883" s="8"/>
      <c r="BB3883" s="8"/>
      <c r="BC3883" s="8"/>
      <c r="BD3883" s="8"/>
      <c r="BE3883" s="8"/>
      <c r="BF3883" s="8">
        <v>40.33</v>
      </c>
      <c r="BG3883" s="8">
        <v>38.68</v>
      </c>
      <c r="BH3883" s="9">
        <f t="shared" si="540"/>
        <v>807.19</v>
      </c>
      <c r="BI3883" s="9">
        <f t="shared" si="541"/>
        <v>2.3199999999999998</v>
      </c>
      <c r="BJ3883" s="9">
        <f t="shared" si="542"/>
        <v>3.23</v>
      </c>
      <c r="BK3883" s="9">
        <f t="shared" si="543"/>
        <v>8.08</v>
      </c>
      <c r="BL3883" s="9">
        <f t="shared" si="544"/>
        <v>0</v>
      </c>
      <c r="BM3883" s="9">
        <f t="shared" si="545"/>
        <v>3.23</v>
      </c>
      <c r="BN3883" s="9">
        <f t="shared" si="546"/>
        <v>508.03</v>
      </c>
      <c r="BO3883" s="9">
        <f t="shared" si="547"/>
        <v>20.170000000000002</v>
      </c>
      <c r="BP3883" s="9">
        <f t="shared" si="548"/>
        <v>40.33</v>
      </c>
    </row>
    <row r="3884" spans="1:68">
      <c r="A3884" s="6">
        <v>45265</v>
      </c>
      <c r="B3884" s="7">
        <v>3122</v>
      </c>
      <c r="C3884" s="8">
        <v>930.65</v>
      </c>
      <c r="D3884" s="8"/>
      <c r="E3884" s="8"/>
      <c r="F3884" s="8"/>
      <c r="G3884" s="8"/>
      <c r="H3884" s="8"/>
      <c r="I3884" s="8"/>
      <c r="J3884" s="8"/>
      <c r="K3884" s="8"/>
      <c r="L3884" s="8"/>
      <c r="M3884" s="8">
        <v>1.68</v>
      </c>
      <c r="N3884" s="8">
        <v>1.67</v>
      </c>
      <c r="O3884" s="8"/>
      <c r="P3884" s="8"/>
      <c r="Q3884" s="11"/>
      <c r="R3884" s="11"/>
      <c r="S3884" s="8">
        <v>3.82</v>
      </c>
      <c r="T3884" s="8"/>
      <c r="U3884" s="8">
        <v>9.3000000000000007</v>
      </c>
      <c r="V3884" s="8"/>
      <c r="W3884" s="8"/>
      <c r="X3884" s="8"/>
      <c r="Y3884" s="8"/>
      <c r="Z3884" s="8"/>
      <c r="AA3884" s="8"/>
      <c r="AB3884" s="8"/>
      <c r="AC3884" s="8">
        <v>3.72</v>
      </c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11"/>
      <c r="AQ3884" s="8"/>
      <c r="AR3884" s="8"/>
      <c r="AS3884" s="8"/>
      <c r="AT3884" s="8">
        <v>412.27</v>
      </c>
      <c r="AU3884" s="8"/>
      <c r="AV3884" s="8">
        <v>31.62</v>
      </c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>
        <v>30.23</v>
      </c>
      <c r="BH3884" s="9">
        <f t="shared" si="540"/>
        <v>930.65</v>
      </c>
      <c r="BI3884" s="9">
        <f t="shared" si="541"/>
        <v>3.3499999999999996</v>
      </c>
      <c r="BJ3884" s="9">
        <f t="shared" si="542"/>
        <v>3.82</v>
      </c>
      <c r="BK3884" s="9">
        <f t="shared" si="543"/>
        <v>9.3000000000000007</v>
      </c>
      <c r="BL3884" s="9">
        <f t="shared" si="544"/>
        <v>0</v>
      </c>
      <c r="BM3884" s="9">
        <f t="shared" si="545"/>
        <v>3.72</v>
      </c>
      <c r="BN3884" s="9">
        <f t="shared" si="546"/>
        <v>412.27</v>
      </c>
      <c r="BO3884" s="9">
        <f t="shared" si="547"/>
        <v>31.62</v>
      </c>
      <c r="BP3884" s="9">
        <f t="shared" si="548"/>
        <v>0</v>
      </c>
    </row>
    <row r="3885" spans="1:68">
      <c r="A3885" s="6">
        <v>45265</v>
      </c>
      <c r="B3885" s="7">
        <v>3703</v>
      </c>
      <c r="C3885" s="8">
        <v>515.29999999999995</v>
      </c>
      <c r="D3885" s="8">
        <v>343.7</v>
      </c>
      <c r="E3885" s="8"/>
      <c r="F3885" s="8"/>
      <c r="G3885" s="8"/>
      <c r="H3885" s="8"/>
      <c r="I3885" s="8"/>
      <c r="J3885" s="8"/>
      <c r="K3885" s="8"/>
      <c r="L3885" s="8"/>
      <c r="M3885" s="8">
        <v>1.71</v>
      </c>
      <c r="N3885" s="8"/>
      <c r="O3885" s="8"/>
      <c r="P3885" s="8"/>
      <c r="Q3885" s="11"/>
      <c r="R3885" s="11"/>
      <c r="S3885" s="8">
        <v>4.2</v>
      </c>
      <c r="T3885" s="8"/>
      <c r="U3885" s="8">
        <v>6.86</v>
      </c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>
        <v>8.5500000000000007</v>
      </c>
      <c r="AN3885" s="8"/>
      <c r="AO3885" s="8"/>
      <c r="AP3885" s="11"/>
      <c r="AQ3885" s="8"/>
      <c r="AR3885" s="8"/>
      <c r="AS3885" s="8"/>
      <c r="AT3885" s="8">
        <v>207.05</v>
      </c>
      <c r="AU3885" s="8">
        <v>103.79</v>
      </c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>
        <v>21.93</v>
      </c>
      <c r="BH3885" s="9">
        <f t="shared" si="540"/>
        <v>859</v>
      </c>
      <c r="BI3885" s="9">
        <f t="shared" si="541"/>
        <v>1.71</v>
      </c>
      <c r="BJ3885" s="9">
        <f t="shared" si="542"/>
        <v>4.2</v>
      </c>
      <c r="BK3885" s="9">
        <f t="shared" si="543"/>
        <v>6.86</v>
      </c>
      <c r="BL3885" s="9">
        <f t="shared" si="544"/>
        <v>0</v>
      </c>
      <c r="BM3885" s="9">
        <f t="shared" si="545"/>
        <v>8.5500000000000007</v>
      </c>
      <c r="BN3885" s="9">
        <f t="shared" si="546"/>
        <v>310.84000000000003</v>
      </c>
      <c r="BO3885" s="9">
        <f t="shared" si="547"/>
        <v>0</v>
      </c>
      <c r="BP3885" s="9">
        <f t="shared" si="548"/>
        <v>0</v>
      </c>
    </row>
    <row r="3886" spans="1:68">
      <c r="A3886" s="6">
        <v>45265</v>
      </c>
      <c r="B3886" s="7">
        <v>3704</v>
      </c>
      <c r="C3886" s="8">
        <v>331.18</v>
      </c>
      <c r="D3886" s="8">
        <v>495.42</v>
      </c>
      <c r="E3886" s="8"/>
      <c r="F3886" s="8"/>
      <c r="G3886" s="8"/>
      <c r="H3886" s="8"/>
      <c r="I3886" s="8"/>
      <c r="J3886" s="8"/>
      <c r="K3886" s="8"/>
      <c r="L3886" s="8"/>
      <c r="M3886" s="8">
        <v>2.4700000000000002</v>
      </c>
      <c r="N3886" s="8"/>
      <c r="O3886" s="8"/>
      <c r="P3886" s="8"/>
      <c r="Q3886" s="11"/>
      <c r="R3886" s="11"/>
      <c r="S3886" s="8">
        <v>2.9</v>
      </c>
      <c r="T3886" s="8"/>
      <c r="U3886" s="8">
        <v>6.17</v>
      </c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>
        <v>9.89</v>
      </c>
      <c r="AN3886" s="8"/>
      <c r="AO3886" s="8"/>
      <c r="AP3886" s="11"/>
      <c r="AQ3886" s="8"/>
      <c r="AR3886" s="8"/>
      <c r="AS3886" s="8"/>
      <c r="AT3886" s="8">
        <v>143.41</v>
      </c>
      <c r="AU3886" s="8">
        <v>71.900000000000006</v>
      </c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>
        <v>13.11</v>
      </c>
      <c r="BH3886" s="9">
        <f t="shared" si="540"/>
        <v>826.6</v>
      </c>
      <c r="BI3886" s="9">
        <f t="shared" si="541"/>
        <v>2.4700000000000002</v>
      </c>
      <c r="BJ3886" s="9">
        <f t="shared" si="542"/>
        <v>2.9</v>
      </c>
      <c r="BK3886" s="9">
        <f t="shared" si="543"/>
        <v>6.17</v>
      </c>
      <c r="BL3886" s="9">
        <f t="shared" si="544"/>
        <v>0</v>
      </c>
      <c r="BM3886" s="9">
        <f t="shared" si="545"/>
        <v>9.89</v>
      </c>
      <c r="BN3886" s="9">
        <f t="shared" si="546"/>
        <v>215.31</v>
      </c>
      <c r="BO3886" s="9">
        <f t="shared" si="547"/>
        <v>0</v>
      </c>
      <c r="BP3886" s="9">
        <f t="shared" si="548"/>
        <v>0</v>
      </c>
    </row>
    <row r="3887" spans="1:68">
      <c r="A3887" s="6">
        <v>45265</v>
      </c>
      <c r="B3887" s="7">
        <v>3601</v>
      </c>
      <c r="C3887" s="8">
        <v>295.52999999999997</v>
      </c>
      <c r="D3887" s="8"/>
      <c r="E3887" s="8"/>
      <c r="F3887" s="8"/>
      <c r="G3887" s="8">
        <v>442.85</v>
      </c>
      <c r="H3887" s="8"/>
      <c r="I3887" s="8"/>
      <c r="J3887" s="8"/>
      <c r="K3887" s="8"/>
      <c r="L3887" s="8"/>
      <c r="M3887" s="8">
        <v>0.89</v>
      </c>
      <c r="N3887" s="8"/>
      <c r="O3887" s="8"/>
      <c r="P3887" s="8"/>
      <c r="Q3887" s="11"/>
      <c r="R3887" s="11"/>
      <c r="S3887" s="8">
        <v>3.54</v>
      </c>
      <c r="T3887" s="8"/>
      <c r="U3887" s="8">
        <v>4.43</v>
      </c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11"/>
      <c r="AQ3887" s="8"/>
      <c r="AR3887" s="8"/>
      <c r="AS3887" s="8"/>
      <c r="AT3887" s="8">
        <v>361.91</v>
      </c>
      <c r="AU3887" s="8"/>
      <c r="AV3887" s="8"/>
      <c r="AW3887" s="8">
        <v>22.45</v>
      </c>
      <c r="AX3887" s="8"/>
      <c r="AY3887" s="8"/>
      <c r="AZ3887" s="8"/>
      <c r="BA3887" s="8"/>
      <c r="BB3887" s="8"/>
      <c r="BC3887" s="8"/>
      <c r="BD3887" s="8"/>
      <c r="BE3887" s="8"/>
      <c r="BF3887" s="8">
        <v>41.37</v>
      </c>
      <c r="BG3887" s="8">
        <v>26.33</v>
      </c>
      <c r="BH3887" s="9">
        <f t="shared" si="540"/>
        <v>738.38</v>
      </c>
      <c r="BI3887" s="9">
        <f t="shared" si="541"/>
        <v>0.89</v>
      </c>
      <c r="BJ3887" s="9">
        <f t="shared" si="542"/>
        <v>3.54</v>
      </c>
      <c r="BK3887" s="9">
        <f t="shared" si="543"/>
        <v>4.43</v>
      </c>
      <c r="BL3887" s="9">
        <f t="shared" si="544"/>
        <v>0</v>
      </c>
      <c r="BM3887" s="9">
        <f t="shared" si="545"/>
        <v>0</v>
      </c>
      <c r="BN3887" s="9">
        <f t="shared" si="546"/>
        <v>361.91</v>
      </c>
      <c r="BO3887" s="9">
        <f t="shared" si="547"/>
        <v>22.45</v>
      </c>
      <c r="BP3887" s="9">
        <f t="shared" si="548"/>
        <v>41.37</v>
      </c>
    </row>
    <row r="3888" spans="1:68">
      <c r="A3888" s="6">
        <v>45265</v>
      </c>
      <c r="B3888" s="7">
        <v>3602</v>
      </c>
      <c r="C3888" s="8">
        <v>549.79999999999995</v>
      </c>
      <c r="D3888" s="8"/>
      <c r="E3888" s="8"/>
      <c r="F3888" s="8"/>
      <c r="G3888" s="8">
        <v>824</v>
      </c>
      <c r="H3888" s="8"/>
      <c r="I3888" s="8"/>
      <c r="J3888" s="8"/>
      <c r="K3888" s="8"/>
      <c r="L3888" s="8"/>
      <c r="M3888" s="8">
        <v>1.65</v>
      </c>
      <c r="N3888" s="8"/>
      <c r="O3888" s="8"/>
      <c r="P3888" s="8"/>
      <c r="Q3888" s="11"/>
      <c r="R3888" s="11"/>
      <c r="S3888" s="8">
        <v>6.59</v>
      </c>
      <c r="T3888" s="8"/>
      <c r="U3888" s="8">
        <v>10.99</v>
      </c>
      <c r="V3888" s="8">
        <f>868*15.72/1000</f>
        <v>13.644960000000001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11"/>
      <c r="AQ3888" s="8"/>
      <c r="AR3888" s="8"/>
      <c r="AS3888" s="8"/>
      <c r="AT3888" s="8">
        <v>555.53</v>
      </c>
      <c r="AU3888" s="8"/>
      <c r="AV3888" s="8"/>
      <c r="AW3888" s="8">
        <v>35.5</v>
      </c>
      <c r="AX3888" s="8"/>
      <c r="AY3888" s="8"/>
      <c r="AZ3888" s="8"/>
      <c r="BA3888" s="8"/>
      <c r="BB3888" s="8"/>
      <c r="BC3888" s="8"/>
      <c r="BD3888" s="8"/>
      <c r="BE3888" s="8"/>
      <c r="BF3888" s="8">
        <v>44.02</v>
      </c>
      <c r="BG3888" s="8">
        <v>41.39</v>
      </c>
      <c r="BH3888" s="9">
        <f t="shared" si="540"/>
        <v>1373.8</v>
      </c>
      <c r="BI3888" s="9">
        <f t="shared" si="541"/>
        <v>1.65</v>
      </c>
      <c r="BJ3888" s="9">
        <f t="shared" si="542"/>
        <v>6.59</v>
      </c>
      <c r="BK3888" s="9">
        <f t="shared" si="543"/>
        <v>24.63496</v>
      </c>
      <c r="BL3888" s="9">
        <f t="shared" si="544"/>
        <v>0</v>
      </c>
      <c r="BM3888" s="9">
        <f t="shared" si="545"/>
        <v>0</v>
      </c>
      <c r="BN3888" s="9">
        <f t="shared" si="546"/>
        <v>555.53</v>
      </c>
      <c r="BO3888" s="9">
        <f t="shared" si="547"/>
        <v>35.5</v>
      </c>
      <c r="BP3888" s="9">
        <f t="shared" si="548"/>
        <v>44.02</v>
      </c>
    </row>
    <row r="3889" spans="1:68">
      <c r="A3889" s="6">
        <v>45266</v>
      </c>
      <c r="B3889" s="7">
        <v>3200</v>
      </c>
      <c r="C3889" s="8">
        <v>2325.4899999999998</v>
      </c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>
        <v>5.84</v>
      </c>
      <c r="P3889" s="8"/>
      <c r="Q3889" s="11"/>
      <c r="R3889" s="11"/>
      <c r="S3889" s="8">
        <v>9.1</v>
      </c>
      <c r="T3889" s="8"/>
      <c r="U3889" s="8">
        <v>35.08</v>
      </c>
      <c r="V3889" s="8"/>
      <c r="W3889" s="8"/>
      <c r="X3889" s="8"/>
      <c r="Y3889" s="8"/>
      <c r="Z3889" s="8">
        <v>490.84</v>
      </c>
      <c r="AA3889" s="8"/>
      <c r="AB3889" s="8"/>
      <c r="AC3889" s="8"/>
      <c r="AD3889" s="8"/>
      <c r="AE3889" s="8"/>
      <c r="AF3889" s="8">
        <v>116.74</v>
      </c>
      <c r="AG3889" s="8"/>
      <c r="AH3889" s="8"/>
      <c r="AI3889" s="8"/>
      <c r="AJ3889" s="8"/>
      <c r="AK3889" s="8"/>
      <c r="AL3889" s="8"/>
      <c r="AM3889" s="8"/>
      <c r="AN3889" s="8"/>
      <c r="AO3889" s="8"/>
      <c r="AP3889" s="11"/>
      <c r="AQ3889" s="8">
        <f>1510*23.33/1000</f>
        <v>35.228299999999997</v>
      </c>
      <c r="AR3889" s="8"/>
      <c r="AS3889" s="8"/>
      <c r="AT3889" s="8">
        <v>1594.59</v>
      </c>
      <c r="AU3889" s="8"/>
      <c r="AV3889" s="8"/>
      <c r="AW3889" s="8">
        <v>6.77</v>
      </c>
      <c r="AX3889" s="8"/>
      <c r="AY3889" s="8"/>
      <c r="AZ3889" s="8"/>
      <c r="BA3889" s="8"/>
      <c r="BB3889" s="8"/>
      <c r="BC3889" s="8"/>
      <c r="BD3889" s="8"/>
      <c r="BE3889" s="8"/>
      <c r="BF3889" s="8">
        <v>112.01</v>
      </c>
      <c r="BG3889" s="8">
        <v>115.26</v>
      </c>
      <c r="BH3889" s="9">
        <f t="shared" si="540"/>
        <v>2325.4899999999998</v>
      </c>
      <c r="BI3889" s="9">
        <f t="shared" si="541"/>
        <v>5.84</v>
      </c>
      <c r="BJ3889" s="9">
        <f t="shared" si="542"/>
        <v>9.1</v>
      </c>
      <c r="BK3889" s="9">
        <f t="shared" si="543"/>
        <v>35.08</v>
      </c>
      <c r="BL3889" s="9">
        <f t="shared" si="544"/>
        <v>490.84</v>
      </c>
      <c r="BM3889" s="9">
        <f t="shared" si="545"/>
        <v>151.9683</v>
      </c>
      <c r="BN3889" s="9">
        <f t="shared" si="546"/>
        <v>1594.59</v>
      </c>
      <c r="BO3889" s="9">
        <f t="shared" si="547"/>
        <v>6.77</v>
      </c>
      <c r="BP3889" s="9">
        <f t="shared" si="548"/>
        <v>112.01</v>
      </c>
    </row>
    <row r="3890" spans="1:68">
      <c r="A3890" s="6">
        <v>45266</v>
      </c>
      <c r="B3890" s="7">
        <v>8064</v>
      </c>
      <c r="C3890" s="8">
        <v>1443.31</v>
      </c>
      <c r="D3890" s="8">
        <v>254.46</v>
      </c>
      <c r="E3890" s="8"/>
      <c r="F3890" s="8"/>
      <c r="G3890" s="8"/>
      <c r="H3890" s="8"/>
      <c r="I3890" s="8"/>
      <c r="J3890" s="8"/>
      <c r="K3890" s="8"/>
      <c r="L3890" s="8"/>
      <c r="M3890" s="8">
        <v>1.25</v>
      </c>
      <c r="N3890" s="8">
        <v>1.26</v>
      </c>
      <c r="O3890" s="8"/>
      <c r="P3890" s="8"/>
      <c r="Q3890" s="11"/>
      <c r="R3890" s="11"/>
      <c r="S3890" s="8">
        <v>5.44</v>
      </c>
      <c r="T3890" s="8"/>
      <c r="U3890" s="8">
        <v>16.989999999999998</v>
      </c>
      <c r="V3890" s="8"/>
      <c r="W3890" s="8"/>
      <c r="X3890" s="8"/>
      <c r="Y3890" s="8"/>
      <c r="Z3890" s="8"/>
      <c r="AA3890" s="8"/>
      <c r="AB3890" s="8"/>
      <c r="AC3890" s="8">
        <v>6.8</v>
      </c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11"/>
      <c r="AQ3890" s="8"/>
      <c r="AR3890" s="8"/>
      <c r="AS3890" s="8"/>
      <c r="AT3890" s="8">
        <v>698.86</v>
      </c>
      <c r="AU3890" s="8"/>
      <c r="AV3890" s="8"/>
      <c r="AW3890" s="8"/>
      <c r="AX3890" s="8"/>
      <c r="AY3890" s="8"/>
      <c r="AZ3890" s="8"/>
      <c r="BA3890" s="8">
        <v>10.199999999999999</v>
      </c>
      <c r="BB3890" s="8"/>
      <c r="BC3890" s="8"/>
      <c r="BD3890" s="8"/>
      <c r="BE3890" s="8"/>
      <c r="BF3890" s="8"/>
      <c r="BG3890" s="8">
        <v>50.84</v>
      </c>
      <c r="BH3890" s="9">
        <f t="shared" si="540"/>
        <v>1697.77</v>
      </c>
      <c r="BI3890" s="9">
        <f t="shared" si="541"/>
        <v>2.5099999999999998</v>
      </c>
      <c r="BJ3890" s="9">
        <f t="shared" si="542"/>
        <v>5.44</v>
      </c>
      <c r="BK3890" s="9">
        <f t="shared" si="543"/>
        <v>16.989999999999998</v>
      </c>
      <c r="BL3890" s="9">
        <f t="shared" si="544"/>
        <v>0</v>
      </c>
      <c r="BM3890" s="9">
        <f t="shared" si="545"/>
        <v>6.8</v>
      </c>
      <c r="BN3890" s="9">
        <f t="shared" si="546"/>
        <v>698.86</v>
      </c>
      <c r="BO3890" s="9">
        <f t="shared" si="547"/>
        <v>10.199999999999999</v>
      </c>
      <c r="BP3890" s="9">
        <f t="shared" si="548"/>
        <v>0</v>
      </c>
    </row>
    <row r="3891" spans="1:68">
      <c r="A3891" s="6">
        <v>45266</v>
      </c>
      <c r="B3891" s="7">
        <v>3110</v>
      </c>
      <c r="C3891" s="8">
        <v>1226.6099999999999</v>
      </c>
      <c r="D3891" s="8"/>
      <c r="E3891" s="8"/>
      <c r="F3891" s="8"/>
      <c r="G3891" s="8"/>
      <c r="H3891" s="8"/>
      <c r="I3891" s="8"/>
      <c r="J3891" s="8"/>
      <c r="K3891" s="8"/>
      <c r="L3891" s="8"/>
      <c r="M3891" s="8">
        <v>2.4500000000000002</v>
      </c>
      <c r="N3891" s="8"/>
      <c r="O3891" s="8"/>
      <c r="P3891" s="8"/>
      <c r="Q3891" s="11"/>
      <c r="R3891" s="11"/>
      <c r="S3891" s="8">
        <v>4.18</v>
      </c>
      <c r="T3891" s="8"/>
      <c r="U3891" s="8">
        <v>12.27</v>
      </c>
      <c r="V3891" s="8"/>
      <c r="W3891" s="8"/>
      <c r="X3891" s="8"/>
      <c r="Y3891" s="8"/>
      <c r="Z3891" s="8"/>
      <c r="AA3891" s="8"/>
      <c r="AB3891" s="8"/>
      <c r="AC3891" s="8">
        <v>4.91</v>
      </c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11"/>
      <c r="AQ3891" s="8"/>
      <c r="AR3891" s="8"/>
      <c r="AS3891" s="8"/>
      <c r="AT3891" s="8">
        <v>640.41</v>
      </c>
      <c r="AU3891" s="8"/>
      <c r="AV3891" s="8">
        <v>20.85</v>
      </c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>
        <v>47.3</v>
      </c>
      <c r="BH3891" s="9">
        <f t="shared" si="540"/>
        <v>1226.6099999999999</v>
      </c>
      <c r="BI3891" s="9">
        <f t="shared" si="541"/>
        <v>2.4500000000000002</v>
      </c>
      <c r="BJ3891" s="9">
        <f t="shared" si="542"/>
        <v>4.18</v>
      </c>
      <c r="BK3891" s="9">
        <f t="shared" si="543"/>
        <v>12.27</v>
      </c>
      <c r="BL3891" s="9">
        <f t="shared" si="544"/>
        <v>0</v>
      </c>
      <c r="BM3891" s="9">
        <f t="shared" si="545"/>
        <v>4.91</v>
      </c>
      <c r="BN3891" s="9">
        <f t="shared" si="546"/>
        <v>640.41</v>
      </c>
      <c r="BO3891" s="9">
        <f t="shared" si="547"/>
        <v>20.85</v>
      </c>
      <c r="BP3891" s="9">
        <f t="shared" si="548"/>
        <v>0</v>
      </c>
    </row>
    <row r="3892" spans="1:68">
      <c r="A3892" s="6">
        <v>45266</v>
      </c>
      <c r="B3892" s="7">
        <v>3029</v>
      </c>
      <c r="C3892" s="8"/>
      <c r="D3892" s="8">
        <v>467.3</v>
      </c>
      <c r="E3892" s="8"/>
      <c r="F3892" s="8">
        <v>329.44</v>
      </c>
      <c r="G3892" s="8"/>
      <c r="H3892" s="8"/>
      <c r="I3892" s="8">
        <v>1949.52</v>
      </c>
      <c r="J3892" s="8"/>
      <c r="K3892" s="8"/>
      <c r="L3892" s="8"/>
      <c r="M3892" s="8"/>
      <c r="N3892" s="8">
        <v>21.71</v>
      </c>
      <c r="O3892" s="8"/>
      <c r="P3892" s="8"/>
      <c r="Q3892" s="11"/>
      <c r="R3892" s="11"/>
      <c r="S3892" s="8">
        <v>1.64</v>
      </c>
      <c r="T3892" s="8"/>
      <c r="U3892" s="8"/>
      <c r="V3892" s="8"/>
      <c r="W3892" s="8">
        <v>27.49</v>
      </c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>
        <v>9.59</v>
      </c>
      <c r="AN3892" s="8">
        <f>753*18.32/1000</f>
        <v>13.794960000000001</v>
      </c>
      <c r="AO3892" s="8"/>
      <c r="AP3892" s="11"/>
      <c r="AQ3892" s="8"/>
      <c r="AR3892" s="8">
        <f>4610*18.32/1000</f>
        <v>84.455199999999991</v>
      </c>
      <c r="AS3892" s="8"/>
      <c r="AT3892" s="8">
        <v>1043.31</v>
      </c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>
        <v>72.59</v>
      </c>
      <c r="BH3892" s="9">
        <f t="shared" si="540"/>
        <v>2746.26</v>
      </c>
      <c r="BI3892" s="9">
        <f t="shared" si="541"/>
        <v>21.71</v>
      </c>
      <c r="BJ3892" s="9">
        <f t="shared" si="542"/>
        <v>1.64</v>
      </c>
      <c r="BK3892" s="9">
        <f t="shared" si="543"/>
        <v>27.49</v>
      </c>
      <c r="BL3892" s="9">
        <f t="shared" si="544"/>
        <v>0</v>
      </c>
      <c r="BM3892" s="9">
        <f t="shared" si="545"/>
        <v>107.84016</v>
      </c>
      <c r="BN3892" s="9">
        <f t="shared" si="546"/>
        <v>1043.31</v>
      </c>
      <c r="BO3892" s="9">
        <f t="shared" si="547"/>
        <v>0</v>
      </c>
      <c r="BP3892" s="9">
        <f t="shared" si="548"/>
        <v>0</v>
      </c>
    </row>
    <row r="3893" spans="1:68">
      <c r="A3893" s="6">
        <v>45266</v>
      </c>
      <c r="B3893" s="7">
        <v>3016</v>
      </c>
      <c r="C3893" s="8"/>
      <c r="D3893" s="8">
        <v>1628.46</v>
      </c>
      <c r="E3893" s="8"/>
      <c r="F3893" s="8"/>
      <c r="G3893" s="8"/>
      <c r="H3893" s="8"/>
      <c r="I3893" s="8">
        <v>1505.44</v>
      </c>
      <c r="J3893" s="8"/>
      <c r="K3893" s="8"/>
      <c r="L3893" s="8"/>
      <c r="M3893" s="8"/>
      <c r="N3893" s="8">
        <v>19.440000000000001</v>
      </c>
      <c r="O3893" s="8"/>
      <c r="P3893" s="8"/>
      <c r="Q3893" s="11"/>
      <c r="R3893" s="11"/>
      <c r="S3893" s="8">
        <v>2.2000000000000002</v>
      </c>
      <c r="T3893" s="8"/>
      <c r="U3893" s="8"/>
      <c r="V3893" s="8"/>
      <c r="W3893" s="8">
        <v>31.44</v>
      </c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>
        <v>12.5</v>
      </c>
      <c r="AN3893" s="8">
        <f>2049*18.45/1000</f>
        <v>37.804049999999997</v>
      </c>
      <c r="AO3893" s="8"/>
      <c r="AP3893" s="11"/>
      <c r="AQ3893" s="8"/>
      <c r="AR3893" s="8">
        <f>4318*18.45/1000</f>
        <v>79.667099999999991</v>
      </c>
      <c r="AS3893" s="8"/>
      <c r="AT3893" s="8">
        <v>1164.81</v>
      </c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>
        <v>85.08</v>
      </c>
      <c r="BH3893" s="9">
        <f t="shared" si="540"/>
        <v>3133.9</v>
      </c>
      <c r="BI3893" s="9">
        <f t="shared" si="541"/>
        <v>19.440000000000001</v>
      </c>
      <c r="BJ3893" s="9">
        <f t="shared" si="542"/>
        <v>2.2000000000000002</v>
      </c>
      <c r="BK3893" s="9">
        <f t="shared" si="543"/>
        <v>31.44</v>
      </c>
      <c r="BL3893" s="9">
        <f t="shared" si="544"/>
        <v>0</v>
      </c>
      <c r="BM3893" s="9">
        <f t="shared" si="545"/>
        <v>129.97114999999999</v>
      </c>
      <c r="BN3893" s="9">
        <f t="shared" si="546"/>
        <v>1164.81</v>
      </c>
      <c r="BO3893" s="9">
        <f t="shared" si="547"/>
        <v>0</v>
      </c>
      <c r="BP3893" s="9">
        <f t="shared" si="548"/>
        <v>0</v>
      </c>
    </row>
    <row r="3894" spans="1:68">
      <c r="A3894" s="6">
        <v>45266</v>
      </c>
      <c r="B3894" s="7">
        <v>3022</v>
      </c>
      <c r="C3894" s="8"/>
      <c r="D3894" s="8">
        <v>596.92999999999995</v>
      </c>
      <c r="E3894" s="8"/>
      <c r="F3894" s="8"/>
      <c r="G3894" s="8"/>
      <c r="H3894" s="8"/>
      <c r="I3894" s="8">
        <v>488.23</v>
      </c>
      <c r="J3894" s="8"/>
      <c r="K3894" s="8"/>
      <c r="L3894" s="8"/>
      <c r="M3894" s="8"/>
      <c r="N3894" s="8">
        <v>5.44</v>
      </c>
      <c r="O3894" s="8"/>
      <c r="P3894" s="8"/>
      <c r="Q3894" s="11"/>
      <c r="R3894" s="11"/>
      <c r="S3894" s="8">
        <v>1.96</v>
      </c>
      <c r="T3894" s="8"/>
      <c r="U3894" s="8"/>
      <c r="V3894" s="8"/>
      <c r="W3894" s="8">
        <v>10.88</v>
      </c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>
        <v>14.04</v>
      </c>
      <c r="AN3894" s="8"/>
      <c r="AO3894" s="8"/>
      <c r="AP3894" s="11"/>
      <c r="AQ3894" s="8"/>
      <c r="AR3894" s="8"/>
      <c r="AS3894" s="8">
        <f>3902*9.87/1000</f>
        <v>38.512740000000001</v>
      </c>
      <c r="AT3894" s="8">
        <v>508.49</v>
      </c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>
        <v>39.119999999999997</v>
      </c>
      <c r="BH3894" s="9">
        <f t="shared" si="540"/>
        <v>1085.1599999999999</v>
      </c>
      <c r="BI3894" s="9">
        <f t="shared" si="541"/>
        <v>5.44</v>
      </c>
      <c r="BJ3894" s="9">
        <f t="shared" si="542"/>
        <v>1.96</v>
      </c>
      <c r="BK3894" s="9">
        <f t="shared" si="543"/>
        <v>10.88</v>
      </c>
      <c r="BL3894" s="9">
        <f t="shared" si="544"/>
        <v>0</v>
      </c>
      <c r="BM3894" s="9">
        <f t="shared" si="545"/>
        <v>52.55274</v>
      </c>
      <c r="BN3894" s="9">
        <f t="shared" si="546"/>
        <v>508.49</v>
      </c>
      <c r="BO3894" s="9">
        <f t="shared" si="547"/>
        <v>0</v>
      </c>
      <c r="BP3894" s="9">
        <f t="shared" si="548"/>
        <v>0</v>
      </c>
    </row>
    <row r="3895" spans="1:68">
      <c r="A3895" s="6">
        <v>45266</v>
      </c>
      <c r="B3895" s="7">
        <v>3023</v>
      </c>
      <c r="C3895" s="8"/>
      <c r="D3895" s="8">
        <v>2518.88</v>
      </c>
      <c r="E3895" s="8"/>
      <c r="F3895" s="8"/>
      <c r="G3895" s="8"/>
      <c r="H3895" s="8"/>
      <c r="I3895" s="8">
        <v>1356.9</v>
      </c>
      <c r="J3895" s="8"/>
      <c r="K3895" s="8"/>
      <c r="L3895" s="8"/>
      <c r="M3895" s="8"/>
      <c r="N3895" s="8">
        <v>21.68</v>
      </c>
      <c r="O3895" s="8"/>
      <c r="P3895" s="8"/>
      <c r="Q3895" s="11"/>
      <c r="R3895" s="11"/>
      <c r="S3895" s="8">
        <v>6.19</v>
      </c>
      <c r="T3895" s="8"/>
      <c r="U3895" s="8"/>
      <c r="V3895" s="8"/>
      <c r="W3895" s="8">
        <v>34.89</v>
      </c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>
        <v>38.68</v>
      </c>
      <c r="AN3895" s="8">
        <f>1033*26.73/1000</f>
        <v>27.612089999999998</v>
      </c>
      <c r="AO3895" s="8"/>
      <c r="AP3895" s="11"/>
      <c r="AQ3895" s="8"/>
      <c r="AR3895" s="8"/>
      <c r="AS3895" s="8">
        <f>4794*26.73/1000</f>
        <v>128.14362</v>
      </c>
      <c r="AT3895" s="8">
        <v>1588.34</v>
      </c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>
        <v>120.06</v>
      </c>
      <c r="BH3895" s="9">
        <f t="shared" si="540"/>
        <v>3875.78</v>
      </c>
      <c r="BI3895" s="9">
        <f t="shared" si="541"/>
        <v>21.68</v>
      </c>
      <c r="BJ3895" s="9">
        <f t="shared" si="542"/>
        <v>6.19</v>
      </c>
      <c r="BK3895" s="9">
        <f t="shared" si="543"/>
        <v>34.89</v>
      </c>
      <c r="BL3895" s="9">
        <f t="shared" si="544"/>
        <v>0</v>
      </c>
      <c r="BM3895" s="9">
        <f t="shared" si="545"/>
        <v>194.43571</v>
      </c>
      <c r="BN3895" s="9">
        <f t="shared" si="546"/>
        <v>1588.34</v>
      </c>
      <c r="BO3895" s="9">
        <f t="shared" si="547"/>
        <v>0</v>
      </c>
      <c r="BP3895" s="9">
        <f t="shared" si="548"/>
        <v>0</v>
      </c>
    </row>
    <row r="3896" spans="1:68">
      <c r="A3896" s="6">
        <v>45266</v>
      </c>
      <c r="B3896" s="7">
        <v>3206</v>
      </c>
      <c r="C3896" s="8">
        <v>617.05999999999995</v>
      </c>
      <c r="D3896" s="8">
        <v>1117.95</v>
      </c>
      <c r="E3896" s="8">
        <v>743.4</v>
      </c>
      <c r="F3896" s="8"/>
      <c r="G3896" s="8"/>
      <c r="H3896" s="8"/>
      <c r="I3896" s="8"/>
      <c r="J3896" s="8"/>
      <c r="K3896" s="8"/>
      <c r="L3896" s="8"/>
      <c r="M3896" s="8"/>
      <c r="N3896" s="8"/>
      <c r="O3896" s="8">
        <v>4.9800000000000004</v>
      </c>
      <c r="P3896" s="8"/>
      <c r="Q3896" s="11"/>
      <c r="R3896" s="11"/>
      <c r="S3896" s="8">
        <v>12.43</v>
      </c>
      <c r="T3896" s="8"/>
      <c r="U3896" s="8">
        <v>8.73</v>
      </c>
      <c r="V3896" s="8"/>
      <c r="W3896" s="8"/>
      <c r="X3896" s="8"/>
      <c r="Y3896" s="8"/>
      <c r="Z3896" s="8">
        <v>149.26</v>
      </c>
      <c r="AA3896" s="8"/>
      <c r="AB3896" s="8">
        <f>817*15.53/1000</f>
        <v>12.68801</v>
      </c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11"/>
      <c r="AQ3896" s="8"/>
      <c r="AR3896" s="8"/>
      <c r="AS3896" s="8"/>
      <c r="AT3896" s="8">
        <v>437.31</v>
      </c>
      <c r="AU3896" s="8">
        <v>217.29</v>
      </c>
      <c r="AV3896" s="8"/>
      <c r="AW3896" s="8">
        <v>9.4499999999999993</v>
      </c>
      <c r="AX3896" s="8"/>
      <c r="AY3896" s="8"/>
      <c r="AZ3896" s="8"/>
      <c r="BA3896" s="8"/>
      <c r="BB3896" s="8"/>
      <c r="BC3896" s="8"/>
      <c r="BD3896" s="8"/>
      <c r="BE3896" s="8"/>
      <c r="BF3896" s="8"/>
      <c r="BG3896" s="8">
        <v>43.28</v>
      </c>
      <c r="BH3896" s="9">
        <f t="shared" si="540"/>
        <v>2478.41</v>
      </c>
      <c r="BI3896" s="9">
        <f t="shared" si="541"/>
        <v>4.9800000000000004</v>
      </c>
      <c r="BJ3896" s="9">
        <f t="shared" si="542"/>
        <v>12.43</v>
      </c>
      <c r="BK3896" s="9">
        <f t="shared" si="543"/>
        <v>8.73</v>
      </c>
      <c r="BL3896" s="9">
        <f t="shared" si="544"/>
        <v>149.26</v>
      </c>
      <c r="BM3896" s="9">
        <f t="shared" si="545"/>
        <v>12.68801</v>
      </c>
      <c r="BN3896" s="9">
        <f t="shared" si="546"/>
        <v>654.6</v>
      </c>
      <c r="BO3896" s="9">
        <f t="shared" si="547"/>
        <v>9.4499999999999993</v>
      </c>
      <c r="BP3896" s="9">
        <f t="shared" si="548"/>
        <v>0</v>
      </c>
    </row>
    <row r="3897" spans="1:68">
      <c r="A3897" s="6">
        <v>45267</v>
      </c>
      <c r="B3897" s="7">
        <v>3701</v>
      </c>
      <c r="C3897" s="8">
        <v>378.35</v>
      </c>
      <c r="D3897" s="8"/>
      <c r="E3897" s="8"/>
      <c r="F3897" s="8"/>
      <c r="G3897" s="8"/>
      <c r="H3897" s="8"/>
      <c r="I3897" s="8"/>
      <c r="J3897" s="8">
        <f>48336*12.78/1000</f>
        <v>617.73407999999995</v>
      </c>
      <c r="K3897" s="8"/>
      <c r="L3897" s="8"/>
      <c r="M3897" s="8"/>
      <c r="N3897" s="8">
        <v>2.35</v>
      </c>
      <c r="O3897" s="8"/>
      <c r="P3897" s="8"/>
      <c r="Q3897" s="11"/>
      <c r="R3897" s="11"/>
      <c r="S3897" s="8">
        <v>2.76</v>
      </c>
      <c r="T3897" s="8"/>
      <c r="U3897" s="8">
        <v>6.14</v>
      </c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>
        <v>20.47</v>
      </c>
      <c r="AH3897" s="8"/>
      <c r="AI3897" s="8"/>
      <c r="AJ3897" s="8">
        <f>2462*12.78/1000</f>
        <v>31.464359999999996</v>
      </c>
      <c r="AK3897" s="8"/>
      <c r="AL3897" s="8"/>
      <c r="AM3897" s="8"/>
      <c r="AN3897" s="8"/>
      <c r="AO3897" s="8"/>
      <c r="AP3897" s="11"/>
      <c r="AQ3897" s="8"/>
      <c r="AR3897" s="8"/>
      <c r="AS3897" s="8"/>
      <c r="AT3897" s="8"/>
      <c r="AU3897" s="8">
        <v>361.01</v>
      </c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>
        <v>24.7</v>
      </c>
      <c r="BH3897" s="9">
        <f t="shared" si="540"/>
        <v>996.08407999999997</v>
      </c>
      <c r="BI3897" s="9">
        <f t="shared" si="541"/>
        <v>2.35</v>
      </c>
      <c r="BJ3897" s="9">
        <f t="shared" si="542"/>
        <v>2.76</v>
      </c>
      <c r="BK3897" s="9">
        <f t="shared" si="543"/>
        <v>6.14</v>
      </c>
      <c r="BL3897" s="9">
        <f t="shared" si="544"/>
        <v>0</v>
      </c>
      <c r="BM3897" s="9">
        <f t="shared" si="545"/>
        <v>51.934359999999998</v>
      </c>
      <c r="BN3897" s="9">
        <f t="shared" si="546"/>
        <v>361.01</v>
      </c>
      <c r="BO3897" s="9">
        <f t="shared" si="547"/>
        <v>0</v>
      </c>
      <c r="BP3897" s="9">
        <f t="shared" si="548"/>
        <v>0</v>
      </c>
    </row>
    <row r="3898" spans="1:68">
      <c r="A3898" s="6">
        <v>45267</v>
      </c>
      <c r="B3898" s="7">
        <v>3149</v>
      </c>
      <c r="C3898" s="8">
        <v>697.6</v>
      </c>
      <c r="D3898" s="8">
        <v>123.21</v>
      </c>
      <c r="E3898" s="8"/>
      <c r="F3898" s="8"/>
      <c r="G3898" s="8"/>
      <c r="H3898" s="8"/>
      <c r="I3898" s="8"/>
      <c r="J3898" s="8"/>
      <c r="K3898" s="8"/>
      <c r="L3898" s="8"/>
      <c r="M3898" s="8">
        <v>2.71</v>
      </c>
      <c r="N3898" s="8"/>
      <c r="O3898" s="8"/>
      <c r="P3898" s="8"/>
      <c r="Q3898" s="11"/>
      <c r="R3898" s="11"/>
      <c r="S3898" s="8">
        <v>3.86</v>
      </c>
      <c r="T3898" s="8"/>
      <c r="U3898" s="8">
        <v>12.32</v>
      </c>
      <c r="V3898" s="8"/>
      <c r="W3898" s="8"/>
      <c r="X3898" s="8"/>
      <c r="Y3898" s="8"/>
      <c r="Z3898" s="8"/>
      <c r="AA3898" s="8"/>
      <c r="AB3898" s="27"/>
      <c r="AC3898" s="8">
        <v>3.28</v>
      </c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11"/>
      <c r="AQ3898" s="8"/>
      <c r="AR3898" s="8"/>
      <c r="AS3898" s="8"/>
      <c r="AT3898" s="8">
        <v>537.26</v>
      </c>
      <c r="AU3898" s="8"/>
      <c r="AV3898" s="8"/>
      <c r="AW3898" s="8">
        <v>26.52</v>
      </c>
      <c r="AX3898" s="8"/>
      <c r="AY3898" s="8"/>
      <c r="AZ3898" s="8"/>
      <c r="BA3898" s="8"/>
      <c r="BB3898" s="8"/>
      <c r="BC3898" s="8"/>
      <c r="BD3898" s="8"/>
      <c r="BE3898" s="8"/>
      <c r="BF3898" s="8">
        <v>57.55</v>
      </c>
      <c r="BG3898" s="8">
        <v>42.64</v>
      </c>
      <c r="BH3898" s="9">
        <f t="shared" si="540"/>
        <v>820.81000000000006</v>
      </c>
      <c r="BI3898" s="9">
        <f t="shared" si="541"/>
        <v>2.71</v>
      </c>
      <c r="BJ3898" s="9">
        <f t="shared" si="542"/>
        <v>3.86</v>
      </c>
      <c r="BK3898" s="9">
        <f t="shared" si="543"/>
        <v>12.32</v>
      </c>
      <c r="BL3898" s="9">
        <f t="shared" si="544"/>
        <v>0</v>
      </c>
      <c r="BM3898" s="9">
        <f t="shared" si="545"/>
        <v>3.28</v>
      </c>
      <c r="BN3898" s="9">
        <f t="shared" si="546"/>
        <v>537.26</v>
      </c>
      <c r="BO3898" s="9">
        <f t="shared" si="547"/>
        <v>26.52</v>
      </c>
      <c r="BP3898" s="9">
        <f t="shared" si="548"/>
        <v>57.55</v>
      </c>
    </row>
    <row r="3899" spans="1:68">
      <c r="A3899" s="6">
        <v>45267</v>
      </c>
      <c r="B3899" s="7">
        <v>3149</v>
      </c>
      <c r="C3899" s="8">
        <v>690.11</v>
      </c>
      <c r="D3899" s="8">
        <v>121.51</v>
      </c>
      <c r="E3899" s="8"/>
      <c r="F3899" s="8"/>
      <c r="G3899" s="8"/>
      <c r="H3899" s="8"/>
      <c r="I3899" s="8"/>
      <c r="J3899" s="8"/>
      <c r="K3899" s="8"/>
      <c r="L3899" s="8"/>
      <c r="M3899" s="8">
        <v>2.68</v>
      </c>
      <c r="N3899" s="8"/>
      <c r="O3899" s="8"/>
      <c r="P3899" s="8"/>
      <c r="Q3899" s="11"/>
      <c r="R3899" s="11"/>
      <c r="S3899" s="8">
        <v>3.82</v>
      </c>
      <c r="T3899" s="8"/>
      <c r="U3899" s="8">
        <v>12.18</v>
      </c>
      <c r="V3899" s="8"/>
      <c r="W3899" s="8"/>
      <c r="X3899" s="8"/>
      <c r="Y3899" s="8"/>
      <c r="Z3899" s="8"/>
      <c r="AA3899" s="8"/>
      <c r="AB3899" s="8"/>
      <c r="AC3899" s="8">
        <v>3.25</v>
      </c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11"/>
      <c r="AQ3899" s="8"/>
      <c r="AR3899" s="8"/>
      <c r="AS3899" s="8"/>
      <c r="AT3899" s="8">
        <v>532.58000000000004</v>
      </c>
      <c r="AU3899" s="8"/>
      <c r="AV3899" s="8"/>
      <c r="AW3899" s="8">
        <v>26.22</v>
      </c>
      <c r="AX3899" s="8"/>
      <c r="AY3899" s="8"/>
      <c r="AZ3899" s="8"/>
      <c r="BA3899" s="8"/>
      <c r="BB3899" s="8"/>
      <c r="BC3899" s="8"/>
      <c r="BD3899" s="8"/>
      <c r="BE3899" s="8"/>
      <c r="BF3899" s="8">
        <v>56.85</v>
      </c>
      <c r="BG3899" s="8">
        <v>42.06</v>
      </c>
      <c r="BH3899" s="9">
        <f t="shared" si="540"/>
        <v>811.62</v>
      </c>
      <c r="BI3899" s="9">
        <f t="shared" si="541"/>
        <v>2.68</v>
      </c>
      <c r="BJ3899" s="9">
        <f t="shared" si="542"/>
        <v>3.82</v>
      </c>
      <c r="BK3899" s="9">
        <f t="shared" si="543"/>
        <v>12.18</v>
      </c>
      <c r="BL3899" s="9">
        <f t="shared" si="544"/>
        <v>0</v>
      </c>
      <c r="BM3899" s="9">
        <f t="shared" si="545"/>
        <v>3.25</v>
      </c>
      <c r="BN3899" s="9">
        <f t="shared" si="546"/>
        <v>532.58000000000004</v>
      </c>
      <c r="BO3899" s="9">
        <f t="shared" si="547"/>
        <v>26.22</v>
      </c>
      <c r="BP3899" s="9">
        <f t="shared" si="548"/>
        <v>56.85</v>
      </c>
    </row>
    <row r="3900" spans="1:68">
      <c r="A3900" s="6">
        <v>45267</v>
      </c>
      <c r="B3900" s="7">
        <v>3200</v>
      </c>
      <c r="C3900" s="8">
        <v>2277</v>
      </c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>
        <v>5.71</v>
      </c>
      <c r="P3900" s="8"/>
      <c r="Q3900" s="11"/>
      <c r="R3900" s="11"/>
      <c r="S3900" s="8">
        <v>8.89</v>
      </c>
      <c r="T3900" s="8"/>
      <c r="U3900" s="8">
        <v>34.17</v>
      </c>
      <c r="V3900" s="8"/>
      <c r="W3900" s="8"/>
      <c r="X3900" s="8"/>
      <c r="Y3900" s="8"/>
      <c r="Z3900" s="8">
        <v>478.86</v>
      </c>
      <c r="AA3900" s="8"/>
      <c r="AB3900" s="8"/>
      <c r="AC3900" s="8"/>
      <c r="AD3900" s="8"/>
      <c r="AE3900" s="8"/>
      <c r="AF3900" s="8">
        <v>113.88</v>
      </c>
      <c r="AG3900" s="8"/>
      <c r="AH3900" s="8"/>
      <c r="AI3900" s="8"/>
      <c r="AJ3900" s="8"/>
      <c r="AK3900" s="8"/>
      <c r="AL3900" s="8"/>
      <c r="AM3900" s="8"/>
      <c r="AN3900" s="8"/>
      <c r="AO3900" s="8"/>
      <c r="AP3900" s="11"/>
      <c r="AQ3900" s="8">
        <f>1534*22.78/1000</f>
        <v>34.944520000000004</v>
      </c>
      <c r="AR3900" s="8"/>
      <c r="AS3900" s="8"/>
      <c r="AT3900" s="8">
        <v>1559.77</v>
      </c>
      <c r="AU3900" s="8"/>
      <c r="AV3900" s="8"/>
      <c r="AW3900" s="8">
        <v>6.72</v>
      </c>
      <c r="AX3900" s="8"/>
      <c r="AY3900" s="8"/>
      <c r="AZ3900" s="8"/>
      <c r="BA3900" s="8"/>
      <c r="BB3900" s="8"/>
      <c r="BC3900" s="8"/>
      <c r="BD3900" s="8"/>
      <c r="BE3900" s="8"/>
      <c r="BF3900" s="8">
        <v>109.35</v>
      </c>
      <c r="BG3900" s="8">
        <v>112.76</v>
      </c>
      <c r="BH3900" s="9">
        <f t="shared" si="540"/>
        <v>2277</v>
      </c>
      <c r="BI3900" s="9">
        <f t="shared" si="541"/>
        <v>5.71</v>
      </c>
      <c r="BJ3900" s="9">
        <f t="shared" si="542"/>
        <v>8.89</v>
      </c>
      <c r="BK3900" s="9">
        <f t="shared" si="543"/>
        <v>34.17</v>
      </c>
      <c r="BL3900" s="9">
        <f t="shared" si="544"/>
        <v>478.86</v>
      </c>
      <c r="BM3900" s="9">
        <f t="shared" si="545"/>
        <v>148.82452000000001</v>
      </c>
      <c r="BN3900" s="9">
        <f t="shared" si="546"/>
        <v>1559.77</v>
      </c>
      <c r="BO3900" s="9">
        <f t="shared" si="547"/>
        <v>6.72</v>
      </c>
      <c r="BP3900" s="9">
        <f t="shared" si="548"/>
        <v>109.35</v>
      </c>
    </row>
    <row r="3901" spans="1:68">
      <c r="A3901" s="6">
        <v>45267</v>
      </c>
      <c r="B3901" s="7">
        <v>3145</v>
      </c>
      <c r="C3901" s="8">
        <v>1234.92</v>
      </c>
      <c r="D3901" s="8">
        <v>217.29</v>
      </c>
      <c r="E3901" s="8"/>
      <c r="F3901" s="8"/>
      <c r="G3901" s="8"/>
      <c r="H3901" s="8"/>
      <c r="I3901" s="8"/>
      <c r="J3901" s="8"/>
      <c r="K3901" s="8"/>
      <c r="L3901" s="8"/>
      <c r="M3901" s="8">
        <v>4.18</v>
      </c>
      <c r="N3901" s="8"/>
      <c r="O3901" s="8"/>
      <c r="P3901" s="8"/>
      <c r="Q3901" s="11"/>
      <c r="R3901" s="11"/>
      <c r="S3901" s="8">
        <v>6.81</v>
      </c>
      <c r="T3901" s="8"/>
      <c r="U3901" s="8">
        <v>21.75</v>
      </c>
      <c r="V3901" s="8"/>
      <c r="W3901" s="8"/>
      <c r="X3901" s="8"/>
      <c r="Y3901" s="8"/>
      <c r="Z3901" s="8"/>
      <c r="AA3901" s="8"/>
      <c r="AB3901" s="8"/>
      <c r="AC3901" s="8">
        <v>5.8</v>
      </c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11"/>
      <c r="AQ3901" s="8"/>
      <c r="AR3901" s="8"/>
      <c r="AS3901" s="8"/>
      <c r="AT3901" s="8">
        <v>960.07</v>
      </c>
      <c r="AU3901" s="8"/>
      <c r="AV3901" s="8"/>
      <c r="AW3901" s="8"/>
      <c r="AX3901" s="8"/>
      <c r="AY3901" s="8"/>
      <c r="AZ3901" s="8"/>
      <c r="BA3901" s="8"/>
      <c r="BB3901" s="8"/>
      <c r="BC3901" s="8"/>
      <c r="BD3901" s="8">
        <v>3.63</v>
      </c>
      <c r="BE3901" s="8">
        <f>1369*9.67/1000</f>
        <v>13.23823</v>
      </c>
      <c r="BF3901" s="8">
        <v>101.54</v>
      </c>
      <c r="BG3901" s="8">
        <v>75.41</v>
      </c>
      <c r="BH3901" s="9">
        <f t="shared" si="540"/>
        <v>1452.21</v>
      </c>
      <c r="BI3901" s="9">
        <f t="shared" si="541"/>
        <v>4.18</v>
      </c>
      <c r="BJ3901" s="9">
        <f t="shared" si="542"/>
        <v>6.81</v>
      </c>
      <c r="BK3901" s="9">
        <f t="shared" si="543"/>
        <v>21.75</v>
      </c>
      <c r="BL3901" s="9">
        <f t="shared" si="544"/>
        <v>0</v>
      </c>
      <c r="BM3901" s="9">
        <f t="shared" si="545"/>
        <v>5.8</v>
      </c>
      <c r="BN3901" s="9">
        <f t="shared" si="546"/>
        <v>960.07</v>
      </c>
      <c r="BO3901" s="9">
        <f t="shared" si="547"/>
        <v>16.868230000000001</v>
      </c>
      <c r="BP3901" s="9">
        <f t="shared" si="548"/>
        <v>101.54</v>
      </c>
    </row>
    <row r="3902" spans="1:68">
      <c r="A3902" s="6">
        <v>45267</v>
      </c>
      <c r="B3902" s="7">
        <v>3141</v>
      </c>
      <c r="C3902" s="8">
        <v>2371.7399999999998</v>
      </c>
      <c r="D3902" s="8">
        <v>418.05</v>
      </c>
      <c r="E3902" s="8"/>
      <c r="F3902" s="8"/>
      <c r="G3902" s="8"/>
      <c r="H3902" s="8"/>
      <c r="I3902" s="8"/>
      <c r="J3902" s="8"/>
      <c r="K3902" s="8"/>
      <c r="L3902" s="8"/>
      <c r="M3902" s="8">
        <v>8.07</v>
      </c>
      <c r="N3902" s="8"/>
      <c r="O3902" s="8"/>
      <c r="P3902" s="8"/>
      <c r="Q3902" s="11"/>
      <c r="R3902" s="11"/>
      <c r="S3902" s="8">
        <v>13.11</v>
      </c>
      <c r="T3902" s="8"/>
      <c r="U3902" s="8">
        <v>41.83</v>
      </c>
      <c r="V3902" s="8"/>
      <c r="W3902" s="8"/>
      <c r="X3902" s="8"/>
      <c r="Y3902" s="8"/>
      <c r="Z3902" s="8"/>
      <c r="AA3902" s="8"/>
      <c r="AB3902" s="8"/>
      <c r="AC3902" s="8">
        <v>11.15</v>
      </c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11"/>
      <c r="AQ3902" s="8"/>
      <c r="AR3902" s="8"/>
      <c r="AS3902" s="8"/>
      <c r="AT3902" s="8">
        <v>1839.18</v>
      </c>
      <c r="AU3902" s="8"/>
      <c r="AV3902" s="8"/>
      <c r="AW3902" s="8"/>
      <c r="AX3902" s="8"/>
      <c r="AY3902" s="8"/>
      <c r="AZ3902" s="8"/>
      <c r="BA3902" s="8">
        <v>63.9</v>
      </c>
      <c r="BB3902" s="8"/>
      <c r="BC3902" s="8"/>
      <c r="BD3902" s="8"/>
      <c r="BE3902" s="8"/>
      <c r="BF3902" s="8">
        <v>195.07</v>
      </c>
      <c r="BG3902" s="8">
        <v>144.94999999999999</v>
      </c>
      <c r="BH3902" s="9">
        <f t="shared" si="540"/>
        <v>2789.79</v>
      </c>
      <c r="BI3902" s="9">
        <f t="shared" si="541"/>
        <v>8.07</v>
      </c>
      <c r="BJ3902" s="9">
        <f t="shared" si="542"/>
        <v>13.11</v>
      </c>
      <c r="BK3902" s="9">
        <f t="shared" si="543"/>
        <v>41.83</v>
      </c>
      <c r="BL3902" s="9">
        <f t="shared" si="544"/>
        <v>0</v>
      </c>
      <c r="BM3902" s="9">
        <f t="shared" si="545"/>
        <v>11.15</v>
      </c>
      <c r="BN3902" s="9">
        <f t="shared" si="546"/>
        <v>1839.18</v>
      </c>
      <c r="BO3902" s="9">
        <f t="shared" si="547"/>
        <v>63.9</v>
      </c>
      <c r="BP3902" s="9">
        <f t="shared" si="548"/>
        <v>195.07</v>
      </c>
    </row>
    <row r="3903" spans="1:68">
      <c r="A3903" s="6">
        <v>45267</v>
      </c>
      <c r="B3903" s="7">
        <v>3106</v>
      </c>
      <c r="C3903" s="8">
        <v>6147.89</v>
      </c>
      <c r="D3903" s="8"/>
      <c r="E3903" s="8"/>
      <c r="F3903" s="8"/>
      <c r="G3903" s="8"/>
      <c r="H3903" s="8"/>
      <c r="I3903" s="8"/>
      <c r="J3903" s="8"/>
      <c r="K3903" s="8"/>
      <c r="L3903" s="8"/>
      <c r="M3903" s="8">
        <v>16.61</v>
      </c>
      <c r="N3903" s="8"/>
      <c r="O3903" s="8"/>
      <c r="P3903" s="8"/>
      <c r="Q3903" s="11"/>
      <c r="R3903" s="11"/>
      <c r="S3903" s="8">
        <v>18.489999999999998</v>
      </c>
      <c r="T3903" s="8"/>
      <c r="U3903" s="8">
        <v>78.23</v>
      </c>
      <c r="V3903" s="8"/>
      <c r="W3903" s="8"/>
      <c r="X3903" s="8"/>
      <c r="Y3903" s="8"/>
      <c r="Z3903" s="8"/>
      <c r="AA3903" s="8"/>
      <c r="AB3903" s="8"/>
      <c r="AC3903" s="8">
        <v>15.38</v>
      </c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11"/>
      <c r="AQ3903" s="8"/>
      <c r="AR3903" s="8"/>
      <c r="AS3903" s="8"/>
      <c r="AT3903" s="8">
        <v>3503.08</v>
      </c>
      <c r="AU3903" s="8"/>
      <c r="AV3903" s="8"/>
      <c r="AW3903" s="8"/>
      <c r="AX3903" s="8">
        <v>7.7</v>
      </c>
      <c r="AY3903" s="8"/>
      <c r="AZ3903" s="8"/>
      <c r="BA3903" s="8"/>
      <c r="BB3903" s="8"/>
      <c r="BC3903" s="8"/>
      <c r="BD3903" s="8"/>
      <c r="BE3903" s="8"/>
      <c r="BF3903" s="8"/>
      <c r="BG3903" s="8">
        <v>264.27</v>
      </c>
      <c r="BH3903" s="9">
        <f t="shared" si="540"/>
        <v>6147.89</v>
      </c>
      <c r="BI3903" s="9">
        <f t="shared" si="541"/>
        <v>16.61</v>
      </c>
      <c r="BJ3903" s="9">
        <f t="shared" si="542"/>
        <v>18.489999999999998</v>
      </c>
      <c r="BK3903" s="9">
        <f t="shared" si="543"/>
        <v>78.23</v>
      </c>
      <c r="BL3903" s="9">
        <f t="shared" si="544"/>
        <v>0</v>
      </c>
      <c r="BM3903" s="9">
        <f t="shared" si="545"/>
        <v>15.38</v>
      </c>
      <c r="BN3903" s="9">
        <f t="shared" si="546"/>
        <v>3503.08</v>
      </c>
      <c r="BO3903" s="9">
        <f t="shared" si="547"/>
        <v>7.7</v>
      </c>
      <c r="BP3903" s="9">
        <f t="shared" si="548"/>
        <v>0</v>
      </c>
    </row>
    <row r="3904" spans="1:68">
      <c r="A3904" s="6">
        <v>45268</v>
      </c>
      <c r="B3904" s="7">
        <v>3139</v>
      </c>
      <c r="C3904" s="8">
        <v>1158.19</v>
      </c>
      <c r="D3904" s="8"/>
      <c r="E3904" s="8"/>
      <c r="F3904" s="8"/>
      <c r="G3904" s="8"/>
      <c r="H3904" s="8">
        <v>478.34</v>
      </c>
      <c r="I3904" s="8"/>
      <c r="J3904" s="8"/>
      <c r="K3904" s="8"/>
      <c r="L3904" s="8"/>
      <c r="M3904" s="8">
        <v>2.71</v>
      </c>
      <c r="N3904" s="8"/>
      <c r="O3904" s="8"/>
      <c r="P3904" s="8"/>
      <c r="Q3904" s="11"/>
      <c r="R3904" s="11"/>
      <c r="S3904" s="8">
        <v>5.15</v>
      </c>
      <c r="T3904" s="8"/>
      <c r="U3904" s="8">
        <v>17.22</v>
      </c>
      <c r="V3904" s="8"/>
      <c r="W3904" s="8"/>
      <c r="X3904" s="8"/>
      <c r="Y3904" s="8"/>
      <c r="Z3904" s="8"/>
      <c r="AA3904" s="8"/>
      <c r="AB3904" s="8"/>
      <c r="AC3904" s="8">
        <v>5.73</v>
      </c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11"/>
      <c r="AQ3904" s="8"/>
      <c r="AR3904" s="8"/>
      <c r="AS3904" s="8"/>
      <c r="AT3904" s="8">
        <v>845.37</v>
      </c>
      <c r="AU3904" s="8"/>
      <c r="AV3904" s="8">
        <v>28.6</v>
      </c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>
        <v>61.56</v>
      </c>
      <c r="BH3904" s="9">
        <f t="shared" si="540"/>
        <v>1636.53</v>
      </c>
      <c r="BI3904" s="9">
        <f t="shared" si="541"/>
        <v>2.71</v>
      </c>
      <c r="BJ3904" s="9">
        <f t="shared" si="542"/>
        <v>5.15</v>
      </c>
      <c r="BK3904" s="9">
        <f t="shared" si="543"/>
        <v>17.22</v>
      </c>
      <c r="BL3904" s="9">
        <f t="shared" si="544"/>
        <v>0</v>
      </c>
      <c r="BM3904" s="9">
        <f t="shared" si="545"/>
        <v>5.73</v>
      </c>
      <c r="BN3904" s="9">
        <f t="shared" si="546"/>
        <v>845.37</v>
      </c>
      <c r="BO3904" s="9">
        <f t="shared" si="547"/>
        <v>28.6</v>
      </c>
      <c r="BP3904" s="9">
        <f t="shared" si="548"/>
        <v>0</v>
      </c>
    </row>
    <row r="3905" spans="1:68">
      <c r="A3905" s="6">
        <v>45268</v>
      </c>
      <c r="B3905" s="7">
        <v>3117</v>
      </c>
      <c r="C3905" s="8">
        <v>321.18</v>
      </c>
      <c r="D3905" s="8"/>
      <c r="E3905" s="8"/>
      <c r="F3905" s="8"/>
      <c r="G3905" s="8"/>
      <c r="H3905" s="8"/>
      <c r="I3905" s="8"/>
      <c r="J3905" s="8"/>
      <c r="K3905" s="8"/>
      <c r="L3905" s="8"/>
      <c r="M3905" s="8">
        <v>0.89</v>
      </c>
      <c r="N3905" s="8"/>
      <c r="O3905" s="8"/>
      <c r="P3905" s="8"/>
      <c r="Q3905" s="11"/>
      <c r="R3905" s="11"/>
      <c r="S3905" s="8">
        <v>1.27</v>
      </c>
      <c r="T3905" s="8"/>
      <c r="U3905" s="8">
        <v>3.23</v>
      </c>
      <c r="V3905" s="8"/>
      <c r="W3905" s="8"/>
      <c r="X3905" s="8"/>
      <c r="Y3905" s="8"/>
      <c r="Z3905" s="8"/>
      <c r="AA3905" s="8"/>
      <c r="AB3905" s="8"/>
      <c r="AC3905" s="8">
        <v>1.29</v>
      </c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11"/>
      <c r="AQ3905" s="8"/>
      <c r="AR3905" s="8"/>
      <c r="AS3905" s="8"/>
      <c r="AT3905" s="8">
        <v>202.46</v>
      </c>
      <c r="AU3905" s="8"/>
      <c r="AV3905" s="8">
        <v>8.02</v>
      </c>
      <c r="AW3905" s="8"/>
      <c r="AX3905" s="8"/>
      <c r="AY3905" s="8"/>
      <c r="AZ3905" s="8"/>
      <c r="BA3905" s="8"/>
      <c r="BB3905" s="8"/>
      <c r="BC3905" s="8"/>
      <c r="BD3905" s="8"/>
      <c r="BE3905" s="8"/>
      <c r="BF3905" s="8">
        <v>16.059999999999999</v>
      </c>
      <c r="BG3905" s="8">
        <v>15.43</v>
      </c>
      <c r="BH3905" s="9">
        <f t="shared" si="540"/>
        <v>321.18</v>
      </c>
      <c r="BI3905" s="9">
        <f t="shared" si="541"/>
        <v>0.89</v>
      </c>
      <c r="BJ3905" s="9">
        <f t="shared" si="542"/>
        <v>1.27</v>
      </c>
      <c r="BK3905" s="9">
        <f t="shared" si="543"/>
        <v>3.23</v>
      </c>
      <c r="BL3905" s="9">
        <f t="shared" si="544"/>
        <v>0</v>
      </c>
      <c r="BM3905" s="9">
        <f t="shared" si="545"/>
        <v>1.29</v>
      </c>
      <c r="BN3905" s="9">
        <f t="shared" si="546"/>
        <v>202.46</v>
      </c>
      <c r="BO3905" s="9">
        <f t="shared" si="547"/>
        <v>8.02</v>
      </c>
      <c r="BP3905" s="9">
        <f t="shared" si="548"/>
        <v>16.059999999999999</v>
      </c>
    </row>
    <row r="3906" spans="1:68">
      <c r="A3906" s="6">
        <v>45268</v>
      </c>
      <c r="B3906" s="7">
        <v>3704</v>
      </c>
      <c r="C3906" s="8">
        <v>660.51</v>
      </c>
      <c r="D3906" s="8">
        <v>991.87</v>
      </c>
      <c r="E3906" s="8"/>
      <c r="F3906" s="8"/>
      <c r="G3906" s="8"/>
      <c r="H3906" s="8"/>
      <c r="I3906" s="8"/>
      <c r="J3906" s="8"/>
      <c r="K3906" s="8"/>
      <c r="L3906" s="8"/>
      <c r="M3906" s="8">
        <v>4.95</v>
      </c>
      <c r="N3906" s="8"/>
      <c r="O3906" s="8"/>
      <c r="P3906" s="8"/>
      <c r="Q3906" s="11"/>
      <c r="R3906" s="11"/>
      <c r="S3906" s="8">
        <v>5.77</v>
      </c>
      <c r="T3906" s="8"/>
      <c r="U3906" s="8">
        <v>12.39</v>
      </c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>
        <v>19.739999999999998</v>
      </c>
      <c r="AN3906" s="8"/>
      <c r="AO3906" s="8"/>
      <c r="AP3906" s="11"/>
      <c r="AQ3906" s="8"/>
      <c r="AR3906" s="8"/>
      <c r="AS3906" s="8"/>
      <c r="AT3906" s="8">
        <v>288.32</v>
      </c>
      <c r="AU3906" s="8">
        <v>143.4</v>
      </c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>
        <v>26.15</v>
      </c>
      <c r="BH3906" s="9">
        <f t="shared" si="540"/>
        <v>1652.38</v>
      </c>
      <c r="BI3906" s="9">
        <f t="shared" si="541"/>
        <v>4.95</v>
      </c>
      <c r="BJ3906" s="9">
        <f t="shared" si="542"/>
        <v>5.77</v>
      </c>
      <c r="BK3906" s="9">
        <f t="shared" si="543"/>
        <v>12.39</v>
      </c>
      <c r="BL3906" s="9">
        <f t="shared" si="544"/>
        <v>0</v>
      </c>
      <c r="BM3906" s="9">
        <f t="shared" si="545"/>
        <v>19.739999999999998</v>
      </c>
      <c r="BN3906" s="9">
        <f t="shared" si="546"/>
        <v>431.72</v>
      </c>
      <c r="BO3906" s="9">
        <f t="shared" si="547"/>
        <v>0</v>
      </c>
      <c r="BP3906" s="9">
        <f t="shared" si="548"/>
        <v>0</v>
      </c>
    </row>
    <row r="3907" spans="1:68">
      <c r="A3907" s="6">
        <v>45268</v>
      </c>
      <c r="B3907" s="7">
        <v>3801</v>
      </c>
      <c r="C3907" s="8">
        <v>315.39999999999998</v>
      </c>
      <c r="D3907" s="8"/>
      <c r="E3907" s="8"/>
      <c r="F3907" s="8"/>
      <c r="G3907" s="8"/>
      <c r="H3907" s="8"/>
      <c r="I3907" s="8"/>
      <c r="J3907" s="8"/>
      <c r="K3907" s="8"/>
      <c r="L3907" s="8">
        <f>42240*6.12/1000</f>
        <v>258.50880000000001</v>
      </c>
      <c r="M3907" s="8"/>
      <c r="N3907" s="8">
        <v>0.64</v>
      </c>
      <c r="O3907" s="8"/>
      <c r="P3907" s="8"/>
      <c r="Q3907" s="11"/>
      <c r="R3907" s="11"/>
      <c r="S3907" s="8">
        <v>2.5299999999999998</v>
      </c>
      <c r="T3907" s="8"/>
      <c r="U3907" s="8">
        <v>2.76</v>
      </c>
      <c r="V3907" s="8"/>
      <c r="W3907" s="8"/>
      <c r="X3907" s="8"/>
      <c r="Y3907" s="8"/>
      <c r="Z3907" s="8">
        <v>45.91</v>
      </c>
      <c r="AA3907" s="8">
        <f>3060*6.12/1000</f>
        <v>18.7272</v>
      </c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11"/>
      <c r="AQ3907" s="8">
        <f>268*6.12/1000</f>
        <v>1.6401600000000001</v>
      </c>
      <c r="AR3907" s="8"/>
      <c r="AS3907" s="8"/>
      <c r="AT3907" s="8">
        <v>223.43</v>
      </c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>
        <v>17.170000000000002</v>
      </c>
      <c r="BH3907" s="9">
        <f t="shared" si="540"/>
        <v>573.90879999999993</v>
      </c>
      <c r="BI3907" s="9">
        <f t="shared" si="541"/>
        <v>0.64</v>
      </c>
      <c r="BJ3907" s="9">
        <f t="shared" si="542"/>
        <v>2.5299999999999998</v>
      </c>
      <c r="BK3907" s="9">
        <f t="shared" si="543"/>
        <v>2.76</v>
      </c>
      <c r="BL3907" s="9">
        <f t="shared" si="544"/>
        <v>64.637199999999993</v>
      </c>
      <c r="BM3907" s="9">
        <f t="shared" si="545"/>
        <v>1.6401600000000001</v>
      </c>
      <c r="BN3907" s="9">
        <f t="shared" si="546"/>
        <v>223.43</v>
      </c>
      <c r="BO3907" s="9">
        <f t="shared" si="547"/>
        <v>0</v>
      </c>
      <c r="BP3907" s="9">
        <f t="shared" si="548"/>
        <v>0</v>
      </c>
    </row>
    <row r="3908" spans="1:68">
      <c r="A3908" s="6">
        <v>45268</v>
      </c>
      <c r="B3908" s="7">
        <v>8040</v>
      </c>
      <c r="C3908" s="8">
        <v>140.59</v>
      </c>
      <c r="D3908" s="8"/>
      <c r="E3908" s="8"/>
      <c r="F3908" s="8"/>
      <c r="G3908" s="8"/>
      <c r="H3908" s="8"/>
      <c r="I3908" s="8"/>
      <c r="J3908" s="8"/>
      <c r="K3908" s="8"/>
      <c r="L3908" s="8">
        <f>45252*6.15/1000</f>
        <v>278.2998</v>
      </c>
      <c r="M3908" s="8"/>
      <c r="N3908" s="8">
        <v>0.53</v>
      </c>
      <c r="O3908" s="8"/>
      <c r="P3908" s="8"/>
      <c r="Q3908" s="11"/>
      <c r="R3908" s="11"/>
      <c r="S3908" s="8">
        <v>1.6</v>
      </c>
      <c r="T3908" s="8"/>
      <c r="U3908" s="8">
        <v>2.95</v>
      </c>
      <c r="V3908" s="8"/>
      <c r="W3908" s="8"/>
      <c r="X3908" s="8"/>
      <c r="Y3908" s="8"/>
      <c r="Z3908" s="8">
        <v>49.63</v>
      </c>
      <c r="AA3908" s="8">
        <f>3372*6.15/1000</f>
        <v>20.737800000000004</v>
      </c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11"/>
      <c r="AQ3908" s="8"/>
      <c r="AR3908" s="8"/>
      <c r="AS3908" s="8">
        <f>968*6.15/1000</f>
        <v>5.9532000000000007</v>
      </c>
      <c r="AT3908" s="8">
        <v>176</v>
      </c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>
        <v>13.97</v>
      </c>
      <c r="BH3908" s="9">
        <f t="shared" ref="BH3908:BH3971" si="549">SUM(C3908:L3908)</f>
        <v>418.88980000000004</v>
      </c>
      <c r="BI3908" s="9">
        <f t="shared" ref="BI3908:BI3971" si="550">SUM(M3908:R3908)</f>
        <v>0.53</v>
      </c>
      <c r="BJ3908" s="9">
        <f t="shared" ref="BJ3908:BJ3971" si="551">SUM(S3908)</f>
        <v>1.6</v>
      </c>
      <c r="BK3908" s="9">
        <f t="shared" ref="BK3908:BK3971" si="552">SUM(T3908:Y3908)</f>
        <v>2.95</v>
      </c>
      <c r="BL3908" s="9">
        <f t="shared" ref="BL3908:BL3971" si="553">SUM(Z3908:AA3908)</f>
        <v>70.367800000000003</v>
      </c>
      <c r="BM3908" s="9">
        <f t="shared" ref="BM3908:BM3971" si="554">SUM(AB3908:AS3908)</f>
        <v>5.9532000000000007</v>
      </c>
      <c r="BN3908" s="9">
        <f t="shared" ref="BN3908:BN3971" si="555">SUM(AT3908:AU3908)</f>
        <v>176</v>
      </c>
      <c r="BO3908" s="9">
        <f t="shared" ref="BO3908:BO3971" si="556">SUM(AV3908:BE3908)</f>
        <v>0</v>
      </c>
      <c r="BP3908" s="9">
        <f t="shared" ref="BP3908:BP3971" si="557">SUM(BF3908)</f>
        <v>0</v>
      </c>
    </row>
    <row r="3909" spans="1:68">
      <c r="A3909" s="6">
        <v>45268</v>
      </c>
      <c r="B3909" s="7">
        <v>3155</v>
      </c>
      <c r="C3909" s="8">
        <v>400.22</v>
      </c>
      <c r="D3909" s="8">
        <v>402.06</v>
      </c>
      <c r="E3909" s="8"/>
      <c r="F3909" s="8"/>
      <c r="G3909" s="8"/>
      <c r="H3909" s="8"/>
      <c r="I3909" s="8"/>
      <c r="J3909" s="8"/>
      <c r="K3909" s="8"/>
      <c r="L3909" s="8"/>
      <c r="M3909" s="8">
        <v>2.33</v>
      </c>
      <c r="N3909" s="8"/>
      <c r="O3909" s="8"/>
      <c r="P3909" s="8"/>
      <c r="Q3909" s="11"/>
      <c r="R3909" s="11"/>
      <c r="S3909" s="8">
        <v>4</v>
      </c>
      <c r="T3909" s="8"/>
      <c r="U3909" s="8">
        <v>12.83</v>
      </c>
      <c r="V3909" s="8"/>
      <c r="W3909" s="8"/>
      <c r="X3909" s="8"/>
      <c r="Y3909" s="8"/>
      <c r="Z3909" s="8"/>
      <c r="AA3909" s="8"/>
      <c r="AB3909" s="8"/>
      <c r="AC3909" s="8">
        <v>3.21</v>
      </c>
      <c r="AD3909" s="8"/>
      <c r="AE3909" s="8"/>
      <c r="AF3909" s="8"/>
      <c r="AG3909" s="8">
        <v>4</v>
      </c>
      <c r="AH3909" s="8"/>
      <c r="AI3909" s="8"/>
      <c r="AJ3909" s="8"/>
      <c r="AK3909" s="8"/>
      <c r="AL3909" s="8"/>
      <c r="AM3909" s="8"/>
      <c r="AN3909" s="8"/>
      <c r="AO3909" s="8"/>
      <c r="AP3909" s="11"/>
      <c r="AQ3909" s="8"/>
      <c r="AR3909" s="8"/>
      <c r="AS3909" s="8"/>
      <c r="AT3909" s="8">
        <v>515.44000000000005</v>
      </c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>
        <v>104.22</v>
      </c>
      <c r="BG3909" s="8">
        <v>41.9</v>
      </c>
      <c r="BH3909" s="9">
        <f t="shared" si="549"/>
        <v>802.28</v>
      </c>
      <c r="BI3909" s="9">
        <f t="shared" si="550"/>
        <v>2.33</v>
      </c>
      <c r="BJ3909" s="9">
        <f t="shared" si="551"/>
        <v>4</v>
      </c>
      <c r="BK3909" s="9">
        <f t="shared" si="552"/>
        <v>12.83</v>
      </c>
      <c r="BL3909" s="9">
        <f t="shared" si="553"/>
        <v>0</v>
      </c>
      <c r="BM3909" s="9">
        <f t="shared" si="554"/>
        <v>7.21</v>
      </c>
      <c r="BN3909" s="9">
        <f t="shared" si="555"/>
        <v>515.44000000000005</v>
      </c>
      <c r="BO3909" s="9">
        <f t="shared" si="556"/>
        <v>0</v>
      </c>
      <c r="BP3909" s="9">
        <f t="shared" si="557"/>
        <v>104.22</v>
      </c>
    </row>
    <row r="3910" spans="1:68">
      <c r="A3910" s="6">
        <v>45268</v>
      </c>
      <c r="B3910" s="7">
        <v>3204</v>
      </c>
      <c r="C3910" s="8"/>
      <c r="D3910" s="8">
        <v>1774.7</v>
      </c>
      <c r="E3910" s="8">
        <v>759.35</v>
      </c>
      <c r="F3910" s="8"/>
      <c r="G3910" s="8"/>
      <c r="H3910" s="8"/>
      <c r="I3910" s="8"/>
      <c r="J3910" s="8"/>
      <c r="K3910" s="8"/>
      <c r="L3910" s="8"/>
      <c r="M3910" s="8"/>
      <c r="N3910" s="8"/>
      <c r="O3910" s="8">
        <v>12.66</v>
      </c>
      <c r="P3910" s="8"/>
      <c r="Q3910" s="11"/>
      <c r="R3910" s="11"/>
      <c r="S3910" s="8">
        <v>8.61</v>
      </c>
      <c r="T3910" s="8"/>
      <c r="U3910" s="8">
        <v>27.89</v>
      </c>
      <c r="V3910" s="8"/>
      <c r="W3910" s="8"/>
      <c r="X3910" s="8"/>
      <c r="Y3910" s="8"/>
      <c r="Z3910" s="8">
        <v>380.37</v>
      </c>
      <c r="AA3910" s="8"/>
      <c r="AB3910" s="8">
        <f>710*18.1/1000</f>
        <v>12.851000000000003</v>
      </c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11"/>
      <c r="AQ3910" s="8"/>
      <c r="AR3910" s="8"/>
      <c r="AS3910" s="8"/>
      <c r="AT3910" s="8">
        <v>1117.26</v>
      </c>
      <c r="AU3910" s="8"/>
      <c r="AV3910" s="8"/>
      <c r="AW3910" s="8">
        <v>8.1300000000000008</v>
      </c>
      <c r="AX3910" s="8"/>
      <c r="AY3910" s="8"/>
      <c r="AZ3910" s="8"/>
      <c r="BA3910" s="8"/>
      <c r="BB3910" s="8"/>
      <c r="BC3910" s="8"/>
      <c r="BD3910" s="8"/>
      <c r="BE3910" s="8"/>
      <c r="BF3910" s="8"/>
      <c r="BG3910" s="8">
        <v>82.39</v>
      </c>
      <c r="BH3910" s="9">
        <f t="shared" si="549"/>
        <v>2534.0500000000002</v>
      </c>
      <c r="BI3910" s="9">
        <f t="shared" si="550"/>
        <v>12.66</v>
      </c>
      <c r="BJ3910" s="9">
        <f t="shared" si="551"/>
        <v>8.61</v>
      </c>
      <c r="BK3910" s="9">
        <f t="shared" si="552"/>
        <v>27.89</v>
      </c>
      <c r="BL3910" s="9">
        <f t="shared" si="553"/>
        <v>380.37</v>
      </c>
      <c r="BM3910" s="9">
        <f t="shared" si="554"/>
        <v>12.851000000000003</v>
      </c>
      <c r="BN3910" s="9">
        <f t="shared" si="555"/>
        <v>1117.26</v>
      </c>
      <c r="BO3910" s="9">
        <f t="shared" si="556"/>
        <v>8.1300000000000008</v>
      </c>
      <c r="BP3910" s="9">
        <f t="shared" si="557"/>
        <v>0</v>
      </c>
    </row>
    <row r="3911" spans="1:68">
      <c r="A3911" s="6">
        <v>45268</v>
      </c>
      <c r="B3911" s="7">
        <v>3139</v>
      </c>
      <c r="C3911" s="8">
        <v>1059.6199999999999</v>
      </c>
      <c r="D3911" s="8"/>
      <c r="E3911" s="8"/>
      <c r="F3911" s="8"/>
      <c r="G3911" s="8"/>
      <c r="H3911" s="8">
        <v>439.97</v>
      </c>
      <c r="I3911" s="8"/>
      <c r="J3911" s="8"/>
      <c r="K3911" s="8"/>
      <c r="L3911" s="8"/>
      <c r="M3911" s="8">
        <v>2.5</v>
      </c>
      <c r="N3911" s="8"/>
      <c r="O3911" s="8"/>
      <c r="P3911" s="8"/>
      <c r="Q3911" s="11"/>
      <c r="R3911" s="11"/>
      <c r="S3911" s="8">
        <v>4.7</v>
      </c>
      <c r="T3911" s="8"/>
      <c r="U3911" s="8">
        <v>15.69</v>
      </c>
      <c r="V3911" s="8"/>
      <c r="W3911" s="8"/>
      <c r="X3911" s="8"/>
      <c r="Y3911" s="8"/>
      <c r="Z3911" s="8"/>
      <c r="AA3911" s="8"/>
      <c r="AB3911" s="8"/>
      <c r="AC3911" s="8">
        <v>5.23</v>
      </c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11"/>
      <c r="AQ3911" s="8"/>
      <c r="AR3911" s="8"/>
      <c r="AS3911" s="8"/>
      <c r="AT3911" s="8">
        <v>775.84</v>
      </c>
      <c r="AU3911" s="8"/>
      <c r="AV3911" s="8">
        <v>26.11</v>
      </c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>
        <v>56.17</v>
      </c>
      <c r="BH3911" s="9">
        <f t="shared" si="549"/>
        <v>1499.59</v>
      </c>
      <c r="BI3911" s="9">
        <f t="shared" si="550"/>
        <v>2.5</v>
      </c>
      <c r="BJ3911" s="9">
        <f t="shared" si="551"/>
        <v>4.7</v>
      </c>
      <c r="BK3911" s="9">
        <f t="shared" si="552"/>
        <v>15.69</v>
      </c>
      <c r="BL3911" s="9">
        <f t="shared" si="553"/>
        <v>0</v>
      </c>
      <c r="BM3911" s="9">
        <f t="shared" si="554"/>
        <v>5.23</v>
      </c>
      <c r="BN3911" s="9">
        <f t="shared" si="555"/>
        <v>775.84</v>
      </c>
      <c r="BO3911" s="9">
        <f t="shared" si="556"/>
        <v>26.11</v>
      </c>
      <c r="BP3911" s="9">
        <f t="shared" si="557"/>
        <v>0</v>
      </c>
    </row>
    <row r="3912" spans="1:68">
      <c r="A3912" s="6">
        <v>45268</v>
      </c>
      <c r="B3912" s="7">
        <v>3031</v>
      </c>
      <c r="C3912" s="8"/>
      <c r="D3912" s="8"/>
      <c r="E3912" s="8"/>
      <c r="F3912" s="8"/>
      <c r="G3912" s="8"/>
      <c r="H3912" s="8"/>
      <c r="I3912" s="8">
        <v>1179.43</v>
      </c>
      <c r="J3912" s="8"/>
      <c r="K3912" s="8"/>
      <c r="L3912" s="8"/>
      <c r="M3912" s="8"/>
      <c r="N3912" s="8">
        <v>8.14</v>
      </c>
      <c r="O3912" s="8"/>
      <c r="P3912" s="8"/>
      <c r="Q3912" s="11"/>
      <c r="R3912" s="11"/>
      <c r="S3912" s="8">
        <v>0.82</v>
      </c>
      <c r="T3912" s="8"/>
      <c r="U3912" s="8"/>
      <c r="V3912" s="8"/>
      <c r="W3912" s="8">
        <v>11.81</v>
      </c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>
        <f>1796*9.82/1000</f>
        <v>17.63672</v>
      </c>
      <c r="AJ3912" s="8"/>
      <c r="AK3912" s="8"/>
      <c r="AL3912" s="8"/>
      <c r="AM3912" s="8"/>
      <c r="AN3912" s="8">
        <f>1216*9.82/1000</f>
        <v>11.941120000000002</v>
      </c>
      <c r="AO3912" s="8"/>
      <c r="AP3912" s="11"/>
      <c r="AQ3912" s="8"/>
      <c r="AR3912" s="8">
        <f>3698*9.82/1000</f>
        <v>36.314360000000001</v>
      </c>
      <c r="AS3912" s="8"/>
      <c r="AT3912" s="8">
        <v>562.16</v>
      </c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  <c r="BF3912" s="8"/>
      <c r="BG3912" s="8">
        <v>38.17</v>
      </c>
      <c r="BH3912" s="9">
        <f t="shared" si="549"/>
        <v>1179.43</v>
      </c>
      <c r="BI3912" s="9">
        <f t="shared" si="550"/>
        <v>8.14</v>
      </c>
      <c r="BJ3912" s="9">
        <f t="shared" si="551"/>
        <v>0.82</v>
      </c>
      <c r="BK3912" s="9">
        <f t="shared" si="552"/>
        <v>11.81</v>
      </c>
      <c r="BL3912" s="9">
        <f t="shared" si="553"/>
        <v>0</v>
      </c>
      <c r="BM3912" s="9">
        <f t="shared" si="554"/>
        <v>65.892200000000003</v>
      </c>
      <c r="BN3912" s="9">
        <f t="shared" si="555"/>
        <v>562.16</v>
      </c>
      <c r="BO3912" s="9">
        <f t="shared" si="556"/>
        <v>0</v>
      </c>
      <c r="BP3912" s="9">
        <f t="shared" si="557"/>
        <v>0</v>
      </c>
    </row>
    <row r="3913" spans="1:68">
      <c r="A3913" s="6">
        <v>45268</v>
      </c>
      <c r="B3913" s="7">
        <v>3083</v>
      </c>
      <c r="C3913" s="8"/>
      <c r="D3913" s="8">
        <v>736.96</v>
      </c>
      <c r="E3913" s="8"/>
      <c r="F3913" s="8"/>
      <c r="G3913" s="8"/>
      <c r="H3913" s="8"/>
      <c r="I3913" s="8">
        <v>1723.43</v>
      </c>
      <c r="J3913" s="8"/>
      <c r="K3913" s="8"/>
      <c r="L3913" s="8"/>
      <c r="M3913" s="8"/>
      <c r="N3913" s="8">
        <v>16.010000000000002</v>
      </c>
      <c r="O3913" s="8"/>
      <c r="P3913" s="8"/>
      <c r="Q3913" s="11"/>
      <c r="R3913" s="11"/>
      <c r="S3913" s="8">
        <v>1.72</v>
      </c>
      <c r="T3913" s="8"/>
      <c r="U3913" s="8"/>
      <c r="V3913" s="8"/>
      <c r="W3913" s="8">
        <v>19.7</v>
      </c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>
        <v>9.86</v>
      </c>
      <c r="AN3913" s="8">
        <f>1921*18.23/1000</f>
        <v>35.019829999999999</v>
      </c>
      <c r="AO3913" s="8"/>
      <c r="AP3913" s="11"/>
      <c r="AQ3913" s="8"/>
      <c r="AR3913" s="8">
        <f>3386*18.23/1000</f>
        <v>61.726779999999998</v>
      </c>
      <c r="AS3913" s="8"/>
      <c r="AT3913" s="8">
        <v>1158.4000000000001</v>
      </c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  <c r="BF3913" s="8"/>
      <c r="BG3913" s="8">
        <v>91.8</v>
      </c>
      <c r="BH3913" s="9">
        <f t="shared" si="549"/>
        <v>2460.3900000000003</v>
      </c>
      <c r="BI3913" s="9">
        <f t="shared" si="550"/>
        <v>16.010000000000002</v>
      </c>
      <c r="BJ3913" s="9">
        <f t="shared" si="551"/>
        <v>1.72</v>
      </c>
      <c r="BK3913" s="9">
        <f t="shared" si="552"/>
        <v>19.7</v>
      </c>
      <c r="BL3913" s="9">
        <f t="shared" si="553"/>
        <v>0</v>
      </c>
      <c r="BM3913" s="9">
        <f t="shared" si="554"/>
        <v>106.60660999999999</v>
      </c>
      <c r="BN3913" s="9">
        <f t="shared" si="555"/>
        <v>1158.4000000000001</v>
      </c>
      <c r="BO3913" s="9">
        <f t="shared" si="556"/>
        <v>0</v>
      </c>
      <c r="BP3913" s="9">
        <f t="shared" si="557"/>
        <v>0</v>
      </c>
    </row>
    <row r="3914" spans="1:68">
      <c r="A3914" s="6">
        <v>45271</v>
      </c>
      <c r="B3914" s="7">
        <v>3203</v>
      </c>
      <c r="C3914" s="8">
        <v>1718.72</v>
      </c>
      <c r="D3914" s="8"/>
      <c r="E3914" s="8">
        <v>736.83</v>
      </c>
      <c r="F3914" s="8"/>
      <c r="G3914" s="8"/>
      <c r="H3914" s="8"/>
      <c r="I3914" s="8"/>
      <c r="J3914" s="8"/>
      <c r="K3914" s="8"/>
      <c r="L3914" s="8"/>
      <c r="M3914" s="8"/>
      <c r="N3914" s="8"/>
      <c r="O3914" s="8">
        <v>7.39</v>
      </c>
      <c r="P3914" s="8"/>
      <c r="Q3914" s="11"/>
      <c r="R3914" s="11"/>
      <c r="S3914" s="8">
        <v>9.61</v>
      </c>
      <c r="T3914" s="8"/>
      <c r="U3914" s="8">
        <v>30.57</v>
      </c>
      <c r="V3914" s="8"/>
      <c r="W3914" s="8"/>
      <c r="X3914" s="8"/>
      <c r="Y3914" s="8"/>
      <c r="Z3914" s="8">
        <v>388.17</v>
      </c>
      <c r="AA3914" s="8">
        <f>10523*28.98/1000</f>
        <v>304.95653999999996</v>
      </c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11"/>
      <c r="AQ3914" s="8"/>
      <c r="AR3914" s="8"/>
      <c r="AS3914" s="8"/>
      <c r="AT3914" s="8">
        <v>920.32</v>
      </c>
      <c r="AU3914" s="8">
        <v>460.9</v>
      </c>
      <c r="AV3914" s="8"/>
      <c r="AW3914" s="8"/>
      <c r="AX3914" s="8"/>
      <c r="AY3914" s="8"/>
      <c r="AZ3914" s="8"/>
      <c r="BA3914" s="8"/>
      <c r="BB3914" s="8"/>
      <c r="BC3914" s="8">
        <v>6.41</v>
      </c>
      <c r="BD3914" s="8"/>
      <c r="BE3914" s="8"/>
      <c r="BF3914" s="8"/>
      <c r="BG3914" s="8">
        <v>89.84</v>
      </c>
      <c r="BH3914" s="9">
        <f t="shared" si="549"/>
        <v>2455.5500000000002</v>
      </c>
      <c r="BI3914" s="9">
        <f t="shared" si="550"/>
        <v>7.39</v>
      </c>
      <c r="BJ3914" s="9">
        <f t="shared" si="551"/>
        <v>9.61</v>
      </c>
      <c r="BK3914" s="9">
        <f t="shared" si="552"/>
        <v>30.57</v>
      </c>
      <c r="BL3914" s="9">
        <f t="shared" si="553"/>
        <v>693.12653999999998</v>
      </c>
      <c r="BM3914" s="9">
        <f t="shared" si="554"/>
        <v>0</v>
      </c>
      <c r="BN3914" s="9">
        <f t="shared" si="555"/>
        <v>1381.22</v>
      </c>
      <c r="BO3914" s="9">
        <f t="shared" si="556"/>
        <v>6.41</v>
      </c>
      <c r="BP3914" s="9">
        <f t="shared" si="557"/>
        <v>0</v>
      </c>
    </row>
    <row r="3915" spans="1:68">
      <c r="A3915" s="6">
        <v>45271</v>
      </c>
      <c r="B3915" s="7">
        <v>3200</v>
      </c>
      <c r="C3915" s="8">
        <v>2306.41</v>
      </c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>
        <v>5.76</v>
      </c>
      <c r="P3915" s="8"/>
      <c r="Q3915" s="11"/>
      <c r="R3915" s="11"/>
      <c r="S3915" s="8">
        <v>8.99</v>
      </c>
      <c r="T3915" s="8"/>
      <c r="U3915" s="8">
        <v>34.619999999999997</v>
      </c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>
        <v>115.77</v>
      </c>
      <c r="AG3915" s="8"/>
      <c r="AH3915" s="8"/>
      <c r="AI3915" s="8"/>
      <c r="AJ3915" s="8"/>
      <c r="AK3915" s="8"/>
      <c r="AL3915" s="8"/>
      <c r="AM3915" s="8"/>
      <c r="AN3915" s="8"/>
      <c r="AO3915" s="8"/>
      <c r="AP3915" s="11"/>
      <c r="AQ3915" s="8">
        <f>1519*23.07/1000</f>
        <v>35.043330000000005</v>
      </c>
      <c r="AR3915" s="8"/>
      <c r="AS3915" s="8"/>
      <c r="AT3915" s="8">
        <v>1578.25</v>
      </c>
      <c r="AU3915" s="8"/>
      <c r="AV3915" s="8"/>
      <c r="AW3915" s="8">
        <v>6.69</v>
      </c>
      <c r="AX3915" s="8"/>
      <c r="AY3915" s="8"/>
      <c r="AZ3915" s="8"/>
      <c r="BA3915" s="8"/>
      <c r="BB3915" s="8"/>
      <c r="BC3915" s="8"/>
      <c r="BD3915" s="8"/>
      <c r="BE3915" s="8"/>
      <c r="BF3915" s="8">
        <v>110.86</v>
      </c>
      <c r="BG3915" s="8">
        <v>114.35</v>
      </c>
      <c r="BH3915" s="9">
        <f t="shared" si="549"/>
        <v>2306.41</v>
      </c>
      <c r="BI3915" s="9">
        <f t="shared" si="550"/>
        <v>5.76</v>
      </c>
      <c r="BJ3915" s="9">
        <f t="shared" si="551"/>
        <v>8.99</v>
      </c>
      <c r="BK3915" s="9">
        <f t="shared" si="552"/>
        <v>34.619999999999997</v>
      </c>
      <c r="BL3915" s="9">
        <f t="shared" si="553"/>
        <v>0</v>
      </c>
      <c r="BM3915" s="9">
        <f t="shared" si="554"/>
        <v>150.81333000000001</v>
      </c>
      <c r="BN3915" s="9">
        <f t="shared" si="555"/>
        <v>1578.25</v>
      </c>
      <c r="BO3915" s="9">
        <f t="shared" si="556"/>
        <v>6.69</v>
      </c>
      <c r="BP3915" s="9">
        <f t="shared" si="557"/>
        <v>110.86</v>
      </c>
    </row>
    <row r="3916" spans="1:68">
      <c r="A3916" s="6">
        <v>45271</v>
      </c>
      <c r="B3916" s="7">
        <v>3141</v>
      </c>
      <c r="C3916" s="8">
        <v>2400.29</v>
      </c>
      <c r="D3916" s="8">
        <v>423.88</v>
      </c>
      <c r="E3916" s="8"/>
      <c r="F3916" s="8"/>
      <c r="G3916" s="8"/>
      <c r="H3916" s="8"/>
      <c r="I3916" s="8"/>
      <c r="J3916" s="8"/>
      <c r="K3916" s="8"/>
      <c r="L3916" s="8"/>
      <c r="M3916" s="8">
        <v>8.2200000000000006</v>
      </c>
      <c r="N3916" s="8"/>
      <c r="O3916" s="8"/>
      <c r="P3916" s="8"/>
      <c r="Q3916" s="11"/>
      <c r="R3916" s="11"/>
      <c r="S3916" s="8">
        <v>13.29</v>
      </c>
      <c r="T3916" s="8"/>
      <c r="U3916" s="8">
        <v>42.41</v>
      </c>
      <c r="V3916" s="8"/>
      <c r="W3916" s="8"/>
      <c r="X3916" s="8"/>
      <c r="Y3916" s="8"/>
      <c r="Z3916" s="8"/>
      <c r="AA3916" s="8"/>
      <c r="AB3916" s="8"/>
      <c r="AC3916" s="8">
        <v>11.3</v>
      </c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11"/>
      <c r="AQ3916" s="8"/>
      <c r="AR3916" s="8"/>
      <c r="AS3916" s="8"/>
      <c r="AT3916" s="8">
        <v>1867.25</v>
      </c>
      <c r="AU3916" s="8"/>
      <c r="AV3916" s="8"/>
      <c r="AW3916" s="8"/>
      <c r="AX3916" s="8"/>
      <c r="AY3916" s="8"/>
      <c r="AZ3916" s="8"/>
      <c r="BA3916" s="8">
        <v>64.8</v>
      </c>
      <c r="BB3916" s="8"/>
      <c r="BC3916" s="8"/>
      <c r="BD3916" s="8"/>
      <c r="BE3916" s="8"/>
      <c r="BF3916" s="8">
        <v>197.94</v>
      </c>
      <c r="BG3916" s="8">
        <v>146.68</v>
      </c>
      <c r="BH3916" s="9">
        <f t="shared" si="549"/>
        <v>2824.17</v>
      </c>
      <c r="BI3916" s="9">
        <f t="shared" si="550"/>
        <v>8.2200000000000006</v>
      </c>
      <c r="BJ3916" s="9">
        <f t="shared" si="551"/>
        <v>13.29</v>
      </c>
      <c r="BK3916" s="9">
        <f t="shared" si="552"/>
        <v>42.41</v>
      </c>
      <c r="BL3916" s="9">
        <f t="shared" si="553"/>
        <v>0</v>
      </c>
      <c r="BM3916" s="9">
        <f t="shared" si="554"/>
        <v>11.3</v>
      </c>
      <c r="BN3916" s="9">
        <f t="shared" si="555"/>
        <v>1867.25</v>
      </c>
      <c r="BO3916" s="9">
        <f t="shared" si="556"/>
        <v>64.8</v>
      </c>
      <c r="BP3916" s="9">
        <f t="shared" si="557"/>
        <v>197.94</v>
      </c>
    </row>
    <row r="3917" spans="1:68">
      <c r="A3917" s="6">
        <v>45271</v>
      </c>
      <c r="B3917" s="7">
        <v>3106</v>
      </c>
      <c r="C3917" s="8">
        <v>6083.46</v>
      </c>
      <c r="D3917" s="8"/>
      <c r="E3917" s="8"/>
      <c r="F3917" s="8"/>
      <c r="G3917" s="8"/>
      <c r="H3917" s="8"/>
      <c r="I3917" s="8"/>
      <c r="J3917" s="8"/>
      <c r="K3917" s="8"/>
      <c r="L3917" s="8"/>
      <c r="M3917" s="8">
        <v>16.39</v>
      </c>
      <c r="N3917" s="8"/>
      <c r="O3917" s="8"/>
      <c r="P3917" s="8"/>
      <c r="Q3917" s="11"/>
      <c r="R3917" s="11"/>
      <c r="S3917" s="8">
        <v>18.29</v>
      </c>
      <c r="T3917" s="8"/>
      <c r="U3917" s="8">
        <v>77.48</v>
      </c>
      <c r="V3917" s="8"/>
      <c r="W3917" s="8"/>
      <c r="X3917" s="8"/>
      <c r="Y3917" s="8"/>
      <c r="Z3917" s="8"/>
      <c r="AA3917" s="8"/>
      <c r="AB3917" s="8"/>
      <c r="AC3917" s="8">
        <v>15.21</v>
      </c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11"/>
      <c r="AQ3917" s="8"/>
      <c r="AR3917" s="8"/>
      <c r="AS3917" s="8"/>
      <c r="AT3917" s="8">
        <v>3466.6</v>
      </c>
      <c r="AU3917" s="8"/>
      <c r="AV3917" s="8"/>
      <c r="AW3917" s="8"/>
      <c r="AX3917" s="8">
        <v>7.61</v>
      </c>
      <c r="AY3917" s="8"/>
      <c r="AZ3917" s="8"/>
      <c r="BA3917" s="8"/>
      <c r="BB3917" s="8"/>
      <c r="BC3917" s="8"/>
      <c r="BD3917" s="8"/>
      <c r="BE3917" s="8"/>
      <c r="BF3917" s="8"/>
      <c r="BG3917" s="8">
        <v>261.57</v>
      </c>
      <c r="BH3917" s="9">
        <f t="shared" si="549"/>
        <v>6083.46</v>
      </c>
      <c r="BI3917" s="9">
        <f t="shared" si="550"/>
        <v>16.39</v>
      </c>
      <c r="BJ3917" s="9">
        <f t="shared" si="551"/>
        <v>18.29</v>
      </c>
      <c r="BK3917" s="9">
        <f t="shared" si="552"/>
        <v>77.48</v>
      </c>
      <c r="BL3917" s="9">
        <f t="shared" si="553"/>
        <v>0</v>
      </c>
      <c r="BM3917" s="9">
        <f t="shared" si="554"/>
        <v>15.21</v>
      </c>
      <c r="BN3917" s="9">
        <f t="shared" si="555"/>
        <v>3466.6</v>
      </c>
      <c r="BO3917" s="9">
        <f t="shared" si="556"/>
        <v>7.61</v>
      </c>
      <c r="BP3917" s="9">
        <f t="shared" si="557"/>
        <v>0</v>
      </c>
    </row>
    <row r="3918" spans="1:68">
      <c r="A3918" s="6">
        <v>45271</v>
      </c>
      <c r="B3918" s="7">
        <v>3020</v>
      </c>
      <c r="C3918" s="8"/>
      <c r="D3918" s="8">
        <v>174.36</v>
      </c>
      <c r="E3918" s="8"/>
      <c r="F3918" s="8"/>
      <c r="G3918" s="8"/>
      <c r="H3918" s="8"/>
      <c r="I3918" s="8">
        <v>987.05</v>
      </c>
      <c r="J3918" s="8"/>
      <c r="K3918" s="8"/>
      <c r="L3918" s="8"/>
      <c r="M3918" s="8"/>
      <c r="N3918" s="8">
        <v>7.09</v>
      </c>
      <c r="O3918" s="8"/>
      <c r="P3918" s="8"/>
      <c r="Q3918" s="11"/>
      <c r="R3918" s="11"/>
      <c r="S3918" s="8">
        <v>2.09</v>
      </c>
      <c r="T3918" s="8"/>
      <c r="U3918" s="8"/>
      <c r="V3918" s="8"/>
      <c r="W3918" s="8">
        <v>11.64</v>
      </c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>
        <v>11.59</v>
      </c>
      <c r="AN3918" s="8"/>
      <c r="AO3918" s="8"/>
      <c r="AP3918" s="11"/>
      <c r="AQ3918" s="8"/>
      <c r="AR3918" s="8"/>
      <c r="AS3918" s="8">
        <f>3050*9.68/1000</f>
        <v>29.524000000000001</v>
      </c>
      <c r="AT3918" s="8">
        <v>571.83000000000004</v>
      </c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  <c r="BF3918" s="8"/>
      <c r="BG3918" s="8">
        <v>41.81</v>
      </c>
      <c r="BH3918" s="9">
        <f t="shared" si="549"/>
        <v>1161.4099999999999</v>
      </c>
      <c r="BI3918" s="9">
        <f t="shared" si="550"/>
        <v>7.09</v>
      </c>
      <c r="BJ3918" s="9">
        <f t="shared" si="551"/>
        <v>2.09</v>
      </c>
      <c r="BK3918" s="9">
        <f t="shared" si="552"/>
        <v>11.64</v>
      </c>
      <c r="BL3918" s="9">
        <f t="shared" si="553"/>
        <v>0</v>
      </c>
      <c r="BM3918" s="9">
        <f t="shared" si="554"/>
        <v>41.114000000000004</v>
      </c>
      <c r="BN3918" s="9">
        <f t="shared" si="555"/>
        <v>571.83000000000004</v>
      </c>
      <c r="BO3918" s="9">
        <f t="shared" si="556"/>
        <v>0</v>
      </c>
      <c r="BP3918" s="9">
        <f t="shared" si="557"/>
        <v>0</v>
      </c>
    </row>
    <row r="3919" spans="1:68">
      <c r="A3919" s="6">
        <v>45271</v>
      </c>
      <c r="B3919" s="7">
        <v>3023</v>
      </c>
      <c r="C3919" s="8"/>
      <c r="D3919" s="8">
        <v>1701.09</v>
      </c>
      <c r="E3919" s="8"/>
      <c r="F3919" s="8"/>
      <c r="G3919" s="8"/>
      <c r="H3919" s="8"/>
      <c r="I3919" s="8">
        <v>918.64</v>
      </c>
      <c r="J3919" s="8"/>
      <c r="K3919" s="8"/>
      <c r="L3919" s="8"/>
      <c r="M3919" s="8"/>
      <c r="N3919" s="8">
        <v>14.67</v>
      </c>
      <c r="O3919" s="8"/>
      <c r="P3919" s="8"/>
      <c r="Q3919" s="11"/>
      <c r="R3919" s="11"/>
      <c r="S3919" s="8">
        <v>4.1900000000000004</v>
      </c>
      <c r="T3919" s="8"/>
      <c r="U3919" s="8"/>
      <c r="V3919" s="8"/>
      <c r="W3919" s="8">
        <v>23.59</v>
      </c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>
        <v>26.16</v>
      </c>
      <c r="AN3919" s="8">
        <f>1025*18.05/1000</f>
        <v>18.501249999999999</v>
      </c>
      <c r="AO3919" s="8"/>
      <c r="AP3919" s="11"/>
      <c r="AQ3919" s="8"/>
      <c r="AR3919" s="8"/>
      <c r="AS3919" s="8">
        <f>4796*18.05/1000</f>
        <v>86.567800000000005</v>
      </c>
      <c r="AT3919" s="8">
        <v>1072.23</v>
      </c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  <c r="BF3919" s="8"/>
      <c r="BG3919" s="8">
        <v>81.14</v>
      </c>
      <c r="BH3919" s="9">
        <f t="shared" si="549"/>
        <v>2619.73</v>
      </c>
      <c r="BI3919" s="9">
        <f t="shared" si="550"/>
        <v>14.67</v>
      </c>
      <c r="BJ3919" s="9">
        <f t="shared" si="551"/>
        <v>4.1900000000000004</v>
      </c>
      <c r="BK3919" s="9">
        <f t="shared" si="552"/>
        <v>23.59</v>
      </c>
      <c r="BL3919" s="9">
        <f t="shared" si="553"/>
        <v>0</v>
      </c>
      <c r="BM3919" s="9">
        <f t="shared" si="554"/>
        <v>131.22905</v>
      </c>
      <c r="BN3919" s="9">
        <f t="shared" si="555"/>
        <v>1072.23</v>
      </c>
      <c r="BO3919" s="9">
        <f t="shared" si="556"/>
        <v>0</v>
      </c>
      <c r="BP3919" s="9">
        <f t="shared" si="557"/>
        <v>0</v>
      </c>
    </row>
    <row r="3920" spans="1:68">
      <c r="A3920" s="6">
        <v>45271</v>
      </c>
      <c r="B3920" s="7">
        <v>3028</v>
      </c>
      <c r="C3920" s="8"/>
      <c r="D3920" s="8">
        <v>404</v>
      </c>
      <c r="E3920" s="8"/>
      <c r="F3920" s="8">
        <v>369.76</v>
      </c>
      <c r="G3920" s="8"/>
      <c r="H3920" s="8"/>
      <c r="I3920" s="8">
        <v>834.67</v>
      </c>
      <c r="J3920" s="8"/>
      <c r="K3920" s="8"/>
      <c r="L3920" s="8"/>
      <c r="M3920" s="8"/>
      <c r="N3920" s="8">
        <v>12.37</v>
      </c>
      <c r="O3920" s="8"/>
      <c r="P3920" s="8"/>
      <c r="Q3920" s="11"/>
      <c r="R3920" s="11"/>
      <c r="S3920" s="8">
        <v>2.25</v>
      </c>
      <c r="T3920" s="8"/>
      <c r="U3920" s="8"/>
      <c r="V3920" s="8"/>
      <c r="W3920" s="8">
        <v>12.05</v>
      </c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>
        <v>16.079999999999998</v>
      </c>
      <c r="AN3920" s="8">
        <f>1065*10.72/1000</f>
        <v>11.4168</v>
      </c>
      <c r="AO3920" s="8"/>
      <c r="AP3920" s="11"/>
      <c r="AQ3920" s="8"/>
      <c r="AR3920" s="8"/>
      <c r="AS3920" s="8">
        <f>4966*10.72/1000</f>
        <v>53.235520000000001</v>
      </c>
      <c r="AT3920" s="8">
        <v>537.11</v>
      </c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  <c r="BF3920" s="8"/>
      <c r="BG3920" s="8">
        <v>36.64</v>
      </c>
      <c r="BH3920" s="9">
        <f t="shared" si="549"/>
        <v>1608.4299999999998</v>
      </c>
      <c r="BI3920" s="9">
        <f t="shared" si="550"/>
        <v>12.37</v>
      </c>
      <c r="BJ3920" s="9">
        <f t="shared" si="551"/>
        <v>2.25</v>
      </c>
      <c r="BK3920" s="9">
        <f t="shared" si="552"/>
        <v>12.05</v>
      </c>
      <c r="BL3920" s="9">
        <f t="shared" si="553"/>
        <v>0</v>
      </c>
      <c r="BM3920" s="9">
        <f t="shared" si="554"/>
        <v>80.732320000000001</v>
      </c>
      <c r="BN3920" s="9">
        <f t="shared" si="555"/>
        <v>537.11</v>
      </c>
      <c r="BO3920" s="9">
        <f t="shared" si="556"/>
        <v>0</v>
      </c>
      <c r="BP3920" s="9">
        <f t="shared" si="557"/>
        <v>0</v>
      </c>
    </row>
    <row r="3921" spans="1:68">
      <c r="A3921" s="6">
        <v>45272</v>
      </c>
      <c r="B3921" s="7">
        <v>3005</v>
      </c>
      <c r="C3921" s="8">
        <v>398.35</v>
      </c>
      <c r="D3921" s="8">
        <v>266.99</v>
      </c>
      <c r="E3921" s="8"/>
      <c r="F3921" s="8"/>
      <c r="G3921" s="8"/>
      <c r="H3921" s="8"/>
      <c r="I3921" s="8"/>
      <c r="J3921" s="8"/>
      <c r="K3921" s="8"/>
      <c r="L3921" s="8"/>
      <c r="M3921" s="8"/>
      <c r="N3921" s="8">
        <v>0.68</v>
      </c>
      <c r="O3921" s="8"/>
      <c r="P3921" s="8"/>
      <c r="Q3921" s="11"/>
      <c r="R3921" s="11"/>
      <c r="S3921" s="8">
        <v>2.35</v>
      </c>
      <c r="T3921" s="8"/>
      <c r="U3921" s="8"/>
      <c r="V3921" s="8"/>
      <c r="W3921" s="8">
        <v>7.4</v>
      </c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11"/>
      <c r="AQ3921" s="8"/>
      <c r="AR3921" s="8"/>
      <c r="AS3921" s="8"/>
      <c r="AT3921" s="8">
        <v>327.33</v>
      </c>
      <c r="AU3921" s="8"/>
      <c r="AV3921" s="8"/>
      <c r="AW3921" s="8">
        <v>7.45</v>
      </c>
      <c r="AX3921" s="8"/>
      <c r="AY3921" s="8"/>
      <c r="AZ3921" s="8"/>
      <c r="BA3921" s="8"/>
      <c r="BB3921" s="8"/>
      <c r="BC3921" s="8"/>
      <c r="BD3921" s="8"/>
      <c r="BE3921" s="8"/>
      <c r="BF3921" s="8"/>
      <c r="BG3921" s="8">
        <v>24.47</v>
      </c>
      <c r="BH3921" s="9">
        <f t="shared" si="549"/>
        <v>665.34</v>
      </c>
      <c r="BI3921" s="9">
        <f t="shared" si="550"/>
        <v>0.68</v>
      </c>
      <c r="BJ3921" s="9">
        <f t="shared" si="551"/>
        <v>2.35</v>
      </c>
      <c r="BK3921" s="9">
        <f t="shared" si="552"/>
        <v>7.4</v>
      </c>
      <c r="BL3921" s="9">
        <f t="shared" si="553"/>
        <v>0</v>
      </c>
      <c r="BM3921" s="9">
        <f t="shared" si="554"/>
        <v>0</v>
      </c>
      <c r="BN3921" s="9">
        <f t="shared" si="555"/>
        <v>327.33</v>
      </c>
      <c r="BO3921" s="9">
        <f t="shared" si="556"/>
        <v>7.45</v>
      </c>
      <c r="BP3921" s="9">
        <f t="shared" si="557"/>
        <v>0</v>
      </c>
    </row>
    <row r="3922" spans="1:68">
      <c r="A3922" s="6">
        <v>45272</v>
      </c>
      <c r="B3922" s="7">
        <v>3106</v>
      </c>
      <c r="C3922" s="8">
        <v>6195.35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16.73</v>
      </c>
      <c r="N3922" s="8">
        <v>0</v>
      </c>
      <c r="O3922" s="8">
        <v>0</v>
      </c>
      <c r="P3922" s="8">
        <v>0</v>
      </c>
      <c r="Q3922" s="11">
        <v>0</v>
      </c>
      <c r="R3922" s="11">
        <v>0</v>
      </c>
      <c r="S3922" s="8">
        <v>18.649999999999999</v>
      </c>
      <c r="T3922" s="8">
        <v>0</v>
      </c>
      <c r="U3922" s="8">
        <v>78.84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15.510000000000002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11">
        <v>0</v>
      </c>
      <c r="AQ3922" s="8">
        <v>0</v>
      </c>
      <c r="AR3922" s="8">
        <v>0</v>
      </c>
      <c r="AS3922" s="8">
        <v>0</v>
      </c>
      <c r="AT3922" s="8">
        <v>3533.86</v>
      </c>
      <c r="AU3922" s="8">
        <v>0</v>
      </c>
      <c r="AV3922" s="8">
        <v>0</v>
      </c>
      <c r="AW3922" s="8">
        <v>0</v>
      </c>
      <c r="AX3922" s="8">
        <v>7.76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266.66999999999996</v>
      </c>
      <c r="BH3922" s="9">
        <f t="shared" si="549"/>
        <v>6195.35</v>
      </c>
      <c r="BI3922" s="9">
        <f t="shared" si="550"/>
        <v>16.73</v>
      </c>
      <c r="BJ3922" s="9">
        <f t="shared" si="551"/>
        <v>18.649999999999999</v>
      </c>
      <c r="BK3922" s="9">
        <f t="shared" si="552"/>
        <v>78.84</v>
      </c>
      <c r="BL3922" s="9">
        <f t="shared" si="553"/>
        <v>0</v>
      </c>
      <c r="BM3922" s="9">
        <f t="shared" si="554"/>
        <v>15.510000000000002</v>
      </c>
      <c r="BN3922" s="9">
        <f t="shared" si="555"/>
        <v>3533.86</v>
      </c>
      <c r="BO3922" s="9">
        <f t="shared" si="556"/>
        <v>7.76</v>
      </c>
      <c r="BP3922" s="9">
        <f t="shared" si="557"/>
        <v>0</v>
      </c>
    </row>
    <row r="3923" spans="1:68">
      <c r="A3923" s="6">
        <v>45272</v>
      </c>
      <c r="B3923" s="7">
        <v>3080</v>
      </c>
      <c r="C3923" s="8">
        <v>0</v>
      </c>
      <c r="D3923" s="8">
        <v>0</v>
      </c>
      <c r="E3923" s="8">
        <v>0</v>
      </c>
      <c r="F3923" s="8">
        <v>526.41999999999996</v>
      </c>
      <c r="G3923" s="8">
        <v>0</v>
      </c>
      <c r="H3923" s="8">
        <v>0</v>
      </c>
      <c r="I3923" s="8">
        <v>790.16000000000008</v>
      </c>
      <c r="J3923" s="8">
        <v>0</v>
      </c>
      <c r="K3923" s="8">
        <v>0</v>
      </c>
      <c r="L3923" s="8">
        <v>0</v>
      </c>
      <c r="M3923" s="8">
        <v>0</v>
      </c>
      <c r="N3923" s="8">
        <v>8.99</v>
      </c>
      <c r="O3923" s="8">
        <v>0</v>
      </c>
      <c r="P3923" s="8">
        <f>626*8.54/1000</f>
        <v>5.3460399999999995</v>
      </c>
      <c r="Q3923" s="11">
        <v>0</v>
      </c>
      <c r="R3923" s="11">
        <v>0</v>
      </c>
      <c r="S3923" s="8">
        <v>0.79</v>
      </c>
      <c r="T3923" s="8">
        <v>0</v>
      </c>
      <c r="U3923" s="8">
        <v>0</v>
      </c>
      <c r="V3923" s="8">
        <v>0</v>
      </c>
      <c r="W3923" s="8">
        <v>13.26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f>2388*8.54/1000</f>
        <v>20.393519999999995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11">
        <v>0</v>
      </c>
      <c r="AQ3923" s="8">
        <f>1563*8.54/1000</f>
        <v>13.348019999999998</v>
      </c>
      <c r="AR3923" s="8">
        <f>5557*8.54/1000</f>
        <v>47.456780000000002</v>
      </c>
      <c r="AS3923" s="8">
        <v>0</v>
      </c>
      <c r="AT3923" s="8">
        <v>463.9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0</v>
      </c>
      <c r="BF3923" s="8">
        <v>0</v>
      </c>
      <c r="BG3923" s="8">
        <v>25.35</v>
      </c>
      <c r="BH3923" s="9">
        <f t="shared" si="549"/>
        <v>1316.58</v>
      </c>
      <c r="BI3923" s="9">
        <f t="shared" si="550"/>
        <v>14.336040000000001</v>
      </c>
      <c r="BJ3923" s="9">
        <f t="shared" si="551"/>
        <v>0.79</v>
      </c>
      <c r="BK3923" s="9">
        <f t="shared" si="552"/>
        <v>13.26</v>
      </c>
      <c r="BL3923" s="9">
        <f t="shared" si="553"/>
        <v>0</v>
      </c>
      <c r="BM3923" s="9">
        <f t="shared" si="554"/>
        <v>81.198319999999995</v>
      </c>
      <c r="BN3923" s="9">
        <f t="shared" si="555"/>
        <v>463.9</v>
      </c>
      <c r="BO3923" s="9">
        <f t="shared" si="556"/>
        <v>0</v>
      </c>
      <c r="BP3923" s="9">
        <f t="shared" si="557"/>
        <v>0</v>
      </c>
    </row>
    <row r="3924" spans="1:68">
      <c r="A3924" s="6">
        <v>45272</v>
      </c>
      <c r="B3924" s="7">
        <v>3602</v>
      </c>
      <c r="C3924" s="8">
        <v>567.08000000000004</v>
      </c>
      <c r="D3924" s="8"/>
      <c r="E3924" s="8"/>
      <c r="F3924" s="8"/>
      <c r="G3924" s="8">
        <v>841.07</v>
      </c>
      <c r="H3924" s="8"/>
      <c r="I3924" s="8"/>
      <c r="J3924" s="8"/>
      <c r="K3924" s="8"/>
      <c r="L3924" s="8"/>
      <c r="M3924" s="8">
        <v>1.67</v>
      </c>
      <c r="N3924" s="8"/>
      <c r="O3924" s="8"/>
      <c r="P3924" s="8"/>
      <c r="Q3924" s="11"/>
      <c r="R3924" s="11"/>
      <c r="S3924" s="8">
        <v>6.71</v>
      </c>
      <c r="T3924" s="8"/>
      <c r="U3924" s="8">
        <v>11.21</v>
      </c>
      <c r="V3924" s="8">
        <f>852*15.98/1000</f>
        <v>13.614960000000002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11"/>
      <c r="AQ3924" s="8"/>
      <c r="AR3924" s="8"/>
      <c r="AS3924" s="8"/>
      <c r="AT3924" s="8">
        <v>560.32000000000005</v>
      </c>
      <c r="AU3924" s="8"/>
      <c r="AV3924" s="8"/>
      <c r="AW3924" s="8">
        <v>36.15</v>
      </c>
      <c r="AX3924" s="8"/>
      <c r="AY3924" s="8"/>
      <c r="AZ3924" s="8"/>
      <c r="BA3924" s="8"/>
      <c r="BB3924" s="8"/>
      <c r="BC3924" s="8"/>
      <c r="BD3924" s="8"/>
      <c r="BE3924" s="8"/>
      <c r="BF3924" s="8">
        <v>44.76</v>
      </c>
      <c r="BG3924" s="8">
        <v>42.29</v>
      </c>
      <c r="BH3924" s="9">
        <f t="shared" si="549"/>
        <v>1408.15</v>
      </c>
      <c r="BI3924" s="9">
        <f t="shared" si="550"/>
        <v>1.67</v>
      </c>
      <c r="BJ3924" s="9">
        <f t="shared" si="551"/>
        <v>6.71</v>
      </c>
      <c r="BK3924" s="9">
        <f t="shared" si="552"/>
        <v>24.824960000000004</v>
      </c>
      <c r="BL3924" s="9">
        <f t="shared" si="553"/>
        <v>0</v>
      </c>
      <c r="BM3924" s="9">
        <f t="shared" si="554"/>
        <v>0</v>
      </c>
      <c r="BN3924" s="9">
        <f t="shared" si="555"/>
        <v>560.32000000000005</v>
      </c>
      <c r="BO3924" s="9">
        <f t="shared" si="556"/>
        <v>36.15</v>
      </c>
      <c r="BP3924" s="9">
        <f t="shared" si="557"/>
        <v>44.76</v>
      </c>
    </row>
    <row r="3925" spans="1:68">
      <c r="A3925" s="6">
        <v>45273</v>
      </c>
      <c r="B3925" s="7">
        <v>8333</v>
      </c>
      <c r="C3925" s="8">
        <v>691.48</v>
      </c>
      <c r="D3925" s="8">
        <v>122.1</v>
      </c>
      <c r="E3925" s="8"/>
      <c r="F3925" s="8"/>
      <c r="G3925" s="8"/>
      <c r="H3925" s="8"/>
      <c r="I3925" s="8"/>
      <c r="J3925" s="8"/>
      <c r="K3925" s="8"/>
      <c r="L3925" s="8"/>
      <c r="M3925" s="8">
        <v>2.69</v>
      </c>
      <c r="N3925" s="8"/>
      <c r="O3925" s="8"/>
      <c r="P3925" s="8"/>
      <c r="Q3925" s="11"/>
      <c r="R3925" s="11"/>
      <c r="S3925" s="8">
        <v>3.83</v>
      </c>
      <c r="T3925" s="8"/>
      <c r="U3925" s="8">
        <v>12.24</v>
      </c>
      <c r="V3925" s="8"/>
      <c r="W3925" s="8"/>
      <c r="X3925" s="8"/>
      <c r="Y3925" s="8"/>
      <c r="Z3925" s="8"/>
      <c r="AA3925" s="8"/>
      <c r="AB3925" s="8"/>
      <c r="AC3925" s="8">
        <v>3.26</v>
      </c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11"/>
      <c r="AQ3925" s="8"/>
      <c r="AR3925" s="8"/>
      <c r="AS3925" s="8"/>
      <c r="AT3925" s="8">
        <v>536.24</v>
      </c>
      <c r="AU3925" s="8"/>
      <c r="AV3925" s="8"/>
      <c r="AW3925" s="8"/>
      <c r="AX3925" s="8"/>
      <c r="AY3925" s="8"/>
      <c r="AZ3925" s="8"/>
      <c r="BA3925" s="8"/>
      <c r="BB3925" s="8"/>
      <c r="BC3925" s="8">
        <v>1.43</v>
      </c>
      <c r="BD3925" s="8"/>
      <c r="BE3925" s="8"/>
      <c r="BF3925" s="8">
        <v>57.12</v>
      </c>
      <c r="BG3925" s="8">
        <v>42.41</v>
      </c>
      <c r="BH3925" s="9">
        <f t="shared" si="549"/>
        <v>813.58</v>
      </c>
      <c r="BI3925" s="9">
        <f t="shared" si="550"/>
        <v>2.69</v>
      </c>
      <c r="BJ3925" s="9">
        <f t="shared" si="551"/>
        <v>3.83</v>
      </c>
      <c r="BK3925" s="9">
        <f t="shared" si="552"/>
        <v>12.24</v>
      </c>
      <c r="BL3925" s="9">
        <f t="shared" si="553"/>
        <v>0</v>
      </c>
      <c r="BM3925" s="9">
        <f t="shared" si="554"/>
        <v>3.26</v>
      </c>
      <c r="BN3925" s="9">
        <f t="shared" si="555"/>
        <v>536.24</v>
      </c>
      <c r="BO3925" s="9">
        <f t="shared" si="556"/>
        <v>1.43</v>
      </c>
      <c r="BP3925" s="9">
        <f t="shared" si="557"/>
        <v>57.12</v>
      </c>
    </row>
    <row r="3926" spans="1:68">
      <c r="A3926" s="6">
        <v>45273</v>
      </c>
      <c r="B3926" s="7">
        <v>8334</v>
      </c>
      <c r="C3926" s="8">
        <v>754.34</v>
      </c>
      <c r="D3926" s="8">
        <v>133.94</v>
      </c>
      <c r="E3926" s="8"/>
      <c r="F3926" s="8"/>
      <c r="G3926" s="8"/>
      <c r="H3926" s="8"/>
      <c r="I3926" s="8"/>
      <c r="J3926" s="8"/>
      <c r="K3926" s="8"/>
      <c r="L3926" s="8"/>
      <c r="M3926" s="8">
        <v>2.77</v>
      </c>
      <c r="N3926" s="8"/>
      <c r="O3926" s="8"/>
      <c r="P3926" s="8"/>
      <c r="Q3926" s="11"/>
      <c r="R3926" s="11"/>
      <c r="S3926" s="8">
        <v>4.17</v>
      </c>
      <c r="T3926" s="8"/>
      <c r="U3926" s="8">
        <v>13.33</v>
      </c>
      <c r="V3926" s="8"/>
      <c r="W3926" s="8"/>
      <c r="X3926" s="8"/>
      <c r="Y3926" s="8"/>
      <c r="Z3926" s="8"/>
      <c r="AA3926" s="8"/>
      <c r="AB3926" s="8"/>
      <c r="AC3926" s="8">
        <v>3.56</v>
      </c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11"/>
      <c r="AQ3926" s="8"/>
      <c r="AR3926" s="8"/>
      <c r="AS3926" s="8"/>
      <c r="AT3926" s="8">
        <v>585.76</v>
      </c>
      <c r="AU3926" s="8"/>
      <c r="AV3926" s="8"/>
      <c r="AW3926" s="8"/>
      <c r="AX3926" s="8"/>
      <c r="AY3926" s="8"/>
      <c r="AZ3926" s="8"/>
      <c r="BA3926" s="8"/>
      <c r="BB3926" s="8"/>
      <c r="BC3926" s="8">
        <v>1.55</v>
      </c>
      <c r="BD3926" s="8"/>
      <c r="BE3926" s="8"/>
      <c r="BF3926" s="8">
        <v>62.16</v>
      </c>
      <c r="BG3926" s="8">
        <v>46.48</v>
      </c>
      <c r="BH3926" s="9">
        <f t="shared" si="549"/>
        <v>888.28</v>
      </c>
      <c r="BI3926" s="9">
        <f t="shared" si="550"/>
        <v>2.77</v>
      </c>
      <c r="BJ3926" s="9">
        <f t="shared" si="551"/>
        <v>4.17</v>
      </c>
      <c r="BK3926" s="9">
        <f t="shared" si="552"/>
        <v>13.33</v>
      </c>
      <c r="BL3926" s="9">
        <f t="shared" si="553"/>
        <v>0</v>
      </c>
      <c r="BM3926" s="9">
        <f t="shared" si="554"/>
        <v>3.56</v>
      </c>
      <c r="BN3926" s="9">
        <f t="shared" si="555"/>
        <v>585.76</v>
      </c>
      <c r="BO3926" s="9">
        <f t="shared" si="556"/>
        <v>1.55</v>
      </c>
      <c r="BP3926" s="9">
        <f t="shared" si="557"/>
        <v>62.16</v>
      </c>
    </row>
    <row r="3927" spans="1:68">
      <c r="A3927" s="6">
        <v>45273</v>
      </c>
      <c r="B3927" s="7">
        <v>3022</v>
      </c>
      <c r="C3927" s="8"/>
      <c r="D3927" s="8">
        <v>344.44</v>
      </c>
      <c r="E3927" s="8"/>
      <c r="F3927" s="8"/>
      <c r="G3927" s="8"/>
      <c r="H3927" s="8"/>
      <c r="I3927" s="8">
        <v>282.58999999999997</v>
      </c>
      <c r="J3927" s="8"/>
      <c r="K3927" s="8"/>
      <c r="L3927" s="8"/>
      <c r="M3927" s="8"/>
      <c r="N3927" s="8">
        <v>3.13</v>
      </c>
      <c r="O3927" s="8"/>
      <c r="P3927" s="8"/>
      <c r="Q3927" s="11"/>
      <c r="R3927" s="11"/>
      <c r="S3927" s="8">
        <v>1.1299999999999999</v>
      </c>
      <c r="T3927" s="8"/>
      <c r="U3927" s="8"/>
      <c r="V3927" s="8"/>
      <c r="W3927" s="8">
        <v>6.28</v>
      </c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>
        <v>8.14</v>
      </c>
      <c r="AN3927" s="8"/>
      <c r="AO3927" s="8"/>
      <c r="AP3927" s="11"/>
      <c r="AQ3927" s="8"/>
      <c r="AR3927" s="8"/>
      <c r="AS3927" s="8">
        <f>3896*5.7/1000</f>
        <v>22.2072</v>
      </c>
      <c r="AT3927" s="8">
        <v>292.49</v>
      </c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  <c r="BF3927" s="8"/>
      <c r="BG3927" s="8">
        <v>22.67</v>
      </c>
      <c r="BH3927" s="9">
        <f t="shared" si="549"/>
        <v>627.03</v>
      </c>
      <c r="BI3927" s="9">
        <f t="shared" si="550"/>
        <v>3.13</v>
      </c>
      <c r="BJ3927" s="9">
        <f t="shared" si="551"/>
        <v>1.1299999999999999</v>
      </c>
      <c r="BK3927" s="9">
        <f t="shared" si="552"/>
        <v>6.28</v>
      </c>
      <c r="BL3927" s="9">
        <f t="shared" si="553"/>
        <v>0</v>
      </c>
      <c r="BM3927" s="9">
        <f t="shared" si="554"/>
        <v>30.347200000000001</v>
      </c>
      <c r="BN3927" s="9">
        <f t="shared" si="555"/>
        <v>292.49</v>
      </c>
      <c r="BO3927" s="9">
        <f t="shared" si="556"/>
        <v>0</v>
      </c>
      <c r="BP3927" s="9">
        <f t="shared" si="557"/>
        <v>0</v>
      </c>
    </row>
    <row r="3928" spans="1:68">
      <c r="A3928" s="6">
        <v>45273</v>
      </c>
      <c r="B3928" s="7">
        <v>3028</v>
      </c>
      <c r="C3928" s="8"/>
      <c r="D3928" s="8">
        <v>757.89</v>
      </c>
      <c r="E3928" s="8"/>
      <c r="F3928" s="8">
        <v>696.71</v>
      </c>
      <c r="G3928" s="8"/>
      <c r="H3928" s="8"/>
      <c r="I3928" s="8">
        <v>1573.82</v>
      </c>
      <c r="J3928" s="8"/>
      <c r="K3928" s="8"/>
      <c r="L3928" s="8"/>
      <c r="M3928" s="8"/>
      <c r="N3928" s="8">
        <v>23.29</v>
      </c>
      <c r="O3928" s="8"/>
      <c r="P3928" s="8"/>
      <c r="Q3928" s="11"/>
      <c r="R3928" s="11"/>
      <c r="S3928" s="8">
        <v>4.2300000000000004</v>
      </c>
      <c r="T3928" s="8"/>
      <c r="U3928" s="8"/>
      <c r="V3928" s="8"/>
      <c r="W3928" s="8">
        <v>22.72</v>
      </c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>
        <v>30.24</v>
      </c>
      <c r="AN3928" s="8">
        <f>1061*20.18/1000</f>
        <v>21.410979999999999</v>
      </c>
      <c r="AO3928" s="8"/>
      <c r="AP3928" s="11"/>
      <c r="AQ3928" s="8"/>
      <c r="AR3928" s="8"/>
      <c r="AS3928" s="8">
        <f>4951*20.18/1000</f>
        <v>99.911179999999987</v>
      </c>
      <c r="AT3928" s="8">
        <v>1011.07</v>
      </c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  <c r="BF3928" s="8"/>
      <c r="BG3928" s="8">
        <v>68.540000000000006</v>
      </c>
      <c r="BH3928" s="9">
        <f t="shared" si="549"/>
        <v>3028.42</v>
      </c>
      <c r="BI3928" s="9">
        <f t="shared" si="550"/>
        <v>23.29</v>
      </c>
      <c r="BJ3928" s="9">
        <f t="shared" si="551"/>
        <v>4.2300000000000004</v>
      </c>
      <c r="BK3928" s="9">
        <f t="shared" si="552"/>
        <v>22.72</v>
      </c>
      <c r="BL3928" s="9">
        <f t="shared" si="553"/>
        <v>0</v>
      </c>
      <c r="BM3928" s="9">
        <f t="shared" si="554"/>
        <v>151.56215999999998</v>
      </c>
      <c r="BN3928" s="9">
        <f t="shared" si="555"/>
        <v>1011.07</v>
      </c>
      <c r="BO3928" s="9">
        <f t="shared" si="556"/>
        <v>0</v>
      </c>
      <c r="BP3928" s="9">
        <f t="shared" si="557"/>
        <v>0</v>
      </c>
    </row>
    <row r="3929" spans="1:68">
      <c r="A3929" s="6">
        <v>45273</v>
      </c>
      <c r="B3929" s="7">
        <v>3025</v>
      </c>
      <c r="C3929" s="8"/>
      <c r="D3929" s="8">
        <v>120.73</v>
      </c>
      <c r="E3929" s="8"/>
      <c r="F3929" s="8"/>
      <c r="G3929" s="8"/>
      <c r="H3929" s="8"/>
      <c r="I3929" s="8">
        <v>677.34</v>
      </c>
      <c r="J3929" s="8"/>
      <c r="K3929" s="8"/>
      <c r="L3929" s="8"/>
      <c r="M3929" s="8"/>
      <c r="N3929" s="8">
        <v>4.4800000000000004</v>
      </c>
      <c r="O3929" s="8"/>
      <c r="P3929" s="8"/>
      <c r="Q3929" s="11"/>
      <c r="R3929" s="11"/>
      <c r="S3929" s="8">
        <v>1.29</v>
      </c>
      <c r="T3929" s="8"/>
      <c r="U3929" s="8"/>
      <c r="V3929" s="8"/>
      <c r="W3929" s="8">
        <v>7.17</v>
      </c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>
        <v>7.99</v>
      </c>
      <c r="AN3929" s="8">
        <f>716*7.98/1000</f>
        <v>5.7136800000000001</v>
      </c>
      <c r="AO3929" s="8"/>
      <c r="AP3929" s="11"/>
      <c r="AQ3929" s="8"/>
      <c r="AR3929" s="8"/>
      <c r="AS3929" s="8">
        <f>3342*7.98/1000</f>
        <v>26.669160000000002</v>
      </c>
      <c r="AT3929" s="8">
        <v>276.11</v>
      </c>
      <c r="AU3929" s="8"/>
      <c r="AV3929" s="8"/>
      <c r="AW3929" s="8"/>
      <c r="AX3929" s="8"/>
      <c r="AY3929" s="8"/>
      <c r="AZ3929" s="8"/>
      <c r="BA3929" s="8"/>
      <c r="BB3929" s="8"/>
      <c r="BC3929" s="8"/>
      <c r="BD3929" s="8"/>
      <c r="BE3929" s="8"/>
      <c r="BF3929" s="8"/>
      <c r="BG3929" s="8">
        <v>18.34</v>
      </c>
      <c r="BH3929" s="9">
        <f t="shared" si="549"/>
        <v>798.07</v>
      </c>
      <c r="BI3929" s="9">
        <f t="shared" si="550"/>
        <v>4.4800000000000004</v>
      </c>
      <c r="BJ3929" s="9">
        <f t="shared" si="551"/>
        <v>1.29</v>
      </c>
      <c r="BK3929" s="9">
        <f t="shared" si="552"/>
        <v>7.17</v>
      </c>
      <c r="BL3929" s="9">
        <f t="shared" si="553"/>
        <v>0</v>
      </c>
      <c r="BM3929" s="9">
        <f t="shared" si="554"/>
        <v>40.372840000000004</v>
      </c>
      <c r="BN3929" s="9">
        <f t="shared" si="555"/>
        <v>276.11</v>
      </c>
      <c r="BO3929" s="9">
        <f t="shared" si="556"/>
        <v>0</v>
      </c>
      <c r="BP3929" s="9">
        <f t="shared" si="557"/>
        <v>0</v>
      </c>
    </row>
    <row r="3930" spans="1:68">
      <c r="A3930" s="6">
        <v>45273</v>
      </c>
      <c r="B3930" s="7">
        <v>3016</v>
      </c>
      <c r="C3930" s="8">
        <v>0</v>
      </c>
      <c r="D3930" s="8">
        <v>2364.81</v>
      </c>
      <c r="E3930" s="8">
        <v>0</v>
      </c>
      <c r="F3930" s="8">
        <v>0</v>
      </c>
      <c r="G3930" s="8">
        <v>0</v>
      </c>
      <c r="H3930" s="8">
        <v>0</v>
      </c>
      <c r="I3930" s="8">
        <v>2184.83</v>
      </c>
      <c r="J3930" s="8">
        <v>0</v>
      </c>
      <c r="K3930" s="8">
        <v>0</v>
      </c>
      <c r="L3930" s="8">
        <v>0</v>
      </c>
      <c r="M3930" s="8">
        <v>0</v>
      </c>
      <c r="N3930" s="8">
        <v>28.42</v>
      </c>
      <c r="O3930" s="8">
        <v>0</v>
      </c>
      <c r="P3930" s="8">
        <v>0</v>
      </c>
      <c r="Q3930" s="11">
        <v>0</v>
      </c>
      <c r="R3930" s="11">
        <v>0</v>
      </c>
      <c r="S3930" s="8">
        <v>3.17</v>
      </c>
      <c r="T3930" s="8">
        <v>0</v>
      </c>
      <c r="U3930" s="8">
        <v>0</v>
      </c>
      <c r="V3930" s="8">
        <v>0</v>
      </c>
      <c r="W3930" s="8">
        <v>45.45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18.12</v>
      </c>
      <c r="AN3930" s="8">
        <f>2040*26.71/1000</f>
        <v>54.488399999999999</v>
      </c>
      <c r="AO3930" s="8">
        <v>0</v>
      </c>
      <c r="AP3930" s="11">
        <v>0</v>
      </c>
      <c r="AQ3930" s="8">
        <v>0</v>
      </c>
      <c r="AR3930" s="8">
        <f>4354*26.71/1000</f>
        <v>116.29534</v>
      </c>
      <c r="AS3930" s="8">
        <v>0</v>
      </c>
      <c r="AT3930" s="8">
        <v>1689.2800000000002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123.37</v>
      </c>
      <c r="BH3930" s="9">
        <f t="shared" si="549"/>
        <v>4549.6399999999994</v>
      </c>
      <c r="BI3930" s="9">
        <f t="shared" si="550"/>
        <v>28.42</v>
      </c>
      <c r="BJ3930" s="9">
        <f t="shared" si="551"/>
        <v>3.17</v>
      </c>
      <c r="BK3930" s="9">
        <f t="shared" si="552"/>
        <v>45.45</v>
      </c>
      <c r="BL3930" s="9">
        <f t="shared" si="553"/>
        <v>0</v>
      </c>
      <c r="BM3930" s="9">
        <f t="shared" si="554"/>
        <v>188.90374</v>
      </c>
      <c r="BN3930" s="9">
        <f t="shared" si="555"/>
        <v>1689.2800000000002</v>
      </c>
      <c r="BO3930" s="9">
        <f t="shared" si="556"/>
        <v>0</v>
      </c>
      <c r="BP3930" s="9">
        <f t="shared" si="557"/>
        <v>0</v>
      </c>
    </row>
    <row r="3931" spans="1:68">
      <c r="A3931" s="6">
        <v>45274</v>
      </c>
      <c r="B3931" s="7">
        <v>3203</v>
      </c>
      <c r="C3931" s="8">
        <v>887.47</v>
      </c>
      <c r="D3931" s="8"/>
      <c r="E3931" s="8">
        <v>384.47</v>
      </c>
      <c r="F3931" s="8"/>
      <c r="G3931" s="8"/>
      <c r="H3931" s="8"/>
      <c r="I3931" s="8"/>
      <c r="J3931" s="8"/>
      <c r="K3931" s="8"/>
      <c r="L3931" s="8"/>
      <c r="M3931" s="8"/>
      <c r="N3931" s="8"/>
      <c r="O3931" s="8">
        <v>3.86</v>
      </c>
      <c r="P3931" s="8"/>
      <c r="Q3931" s="11"/>
      <c r="R3931" s="11"/>
      <c r="S3931" s="8">
        <v>5.05</v>
      </c>
      <c r="T3931" s="8"/>
      <c r="U3931" s="8">
        <v>16.059999999999999</v>
      </c>
      <c r="V3931" s="8"/>
      <c r="W3931" s="8"/>
      <c r="X3931" s="8"/>
      <c r="Y3931" s="8"/>
      <c r="Z3931" s="8">
        <v>203.57</v>
      </c>
      <c r="AA3931" s="8">
        <f>10577*15.2/1000</f>
        <v>160.7704</v>
      </c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11"/>
      <c r="AQ3931" s="8"/>
      <c r="AR3931" s="8"/>
      <c r="AS3931" s="8"/>
      <c r="AT3931" s="8">
        <v>480.66</v>
      </c>
      <c r="AU3931" s="8">
        <v>241.96</v>
      </c>
      <c r="AV3931" s="8"/>
      <c r="AW3931" s="8"/>
      <c r="AX3931" s="8"/>
      <c r="AY3931" s="8"/>
      <c r="AZ3931" s="8"/>
      <c r="BA3931" s="8"/>
      <c r="BB3931" s="8"/>
      <c r="BC3931" s="8">
        <v>3.36</v>
      </c>
      <c r="BD3931" s="8"/>
      <c r="BE3931" s="8"/>
      <c r="BF3931" s="8"/>
      <c r="BG3931" s="8">
        <v>47.47</v>
      </c>
      <c r="BH3931" s="9">
        <f t="shared" si="549"/>
        <v>1271.94</v>
      </c>
      <c r="BI3931" s="9">
        <f t="shared" si="550"/>
        <v>3.86</v>
      </c>
      <c r="BJ3931" s="9">
        <f t="shared" si="551"/>
        <v>5.05</v>
      </c>
      <c r="BK3931" s="9">
        <f t="shared" si="552"/>
        <v>16.059999999999999</v>
      </c>
      <c r="BL3931" s="9">
        <f t="shared" si="553"/>
        <v>364.34039999999999</v>
      </c>
      <c r="BM3931" s="9">
        <f t="shared" si="554"/>
        <v>0</v>
      </c>
      <c r="BN3931" s="9">
        <f t="shared" si="555"/>
        <v>722.62</v>
      </c>
      <c r="BO3931" s="9">
        <f t="shared" si="556"/>
        <v>3.36</v>
      </c>
      <c r="BP3931" s="9">
        <f t="shared" si="557"/>
        <v>0</v>
      </c>
    </row>
    <row r="3932" spans="1:68">
      <c r="A3932" s="6">
        <v>45274</v>
      </c>
      <c r="B3932" s="7">
        <v>3141</v>
      </c>
      <c r="C3932" s="8">
        <v>2399.88</v>
      </c>
      <c r="D3932" s="8">
        <v>423.53</v>
      </c>
      <c r="E3932" s="8"/>
      <c r="F3932" s="8"/>
      <c r="G3932" s="8"/>
      <c r="H3932" s="8"/>
      <c r="I3932" s="8"/>
      <c r="J3932" s="8"/>
      <c r="K3932" s="8"/>
      <c r="L3932" s="8"/>
      <c r="M3932" s="8">
        <v>8.1999999999999993</v>
      </c>
      <c r="N3932" s="8"/>
      <c r="O3932" s="8"/>
      <c r="P3932" s="8"/>
      <c r="Q3932" s="11"/>
      <c r="R3932" s="11"/>
      <c r="S3932" s="8">
        <v>13.28</v>
      </c>
      <c r="T3932" s="8"/>
      <c r="U3932" s="8">
        <v>42.38</v>
      </c>
      <c r="V3932" s="8"/>
      <c r="W3932" s="8"/>
      <c r="X3932" s="8"/>
      <c r="Y3932" s="8"/>
      <c r="Z3932" s="8"/>
      <c r="AA3932" s="8"/>
      <c r="AB3932" s="8"/>
      <c r="AC3932" s="8">
        <v>11.3</v>
      </c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11"/>
      <c r="AQ3932" s="8"/>
      <c r="AR3932" s="8"/>
      <c r="AS3932" s="8"/>
      <c r="AT3932" s="8">
        <v>1867.1</v>
      </c>
      <c r="AU3932" s="8"/>
      <c r="AV3932" s="8"/>
      <c r="AW3932" s="8"/>
      <c r="AX3932" s="8"/>
      <c r="AY3932" s="8"/>
      <c r="AZ3932" s="8"/>
      <c r="BA3932" s="8">
        <v>64.75</v>
      </c>
      <c r="BB3932" s="8"/>
      <c r="BC3932" s="8"/>
      <c r="BD3932" s="8"/>
      <c r="BE3932" s="8"/>
      <c r="BF3932" s="8">
        <v>197.88</v>
      </c>
      <c r="BG3932" s="8">
        <v>146.68</v>
      </c>
      <c r="BH3932" s="9">
        <f t="shared" si="549"/>
        <v>2823.41</v>
      </c>
      <c r="BI3932" s="9">
        <f t="shared" si="550"/>
        <v>8.1999999999999993</v>
      </c>
      <c r="BJ3932" s="9">
        <f t="shared" si="551"/>
        <v>13.28</v>
      </c>
      <c r="BK3932" s="9">
        <f t="shared" si="552"/>
        <v>42.38</v>
      </c>
      <c r="BL3932" s="9">
        <f t="shared" si="553"/>
        <v>0</v>
      </c>
      <c r="BM3932" s="9">
        <f t="shared" si="554"/>
        <v>11.3</v>
      </c>
      <c r="BN3932" s="9">
        <f t="shared" si="555"/>
        <v>1867.1</v>
      </c>
      <c r="BO3932" s="9">
        <f t="shared" si="556"/>
        <v>64.75</v>
      </c>
      <c r="BP3932" s="9">
        <f t="shared" si="557"/>
        <v>197.88</v>
      </c>
    </row>
    <row r="3933" spans="1:68">
      <c r="A3933" s="6">
        <v>45274</v>
      </c>
      <c r="B3933" s="7">
        <v>3136</v>
      </c>
      <c r="C3933" s="8">
        <v>1281.52</v>
      </c>
      <c r="D3933" s="8"/>
      <c r="E3933" s="8"/>
      <c r="F3933" s="8"/>
      <c r="G3933" s="8"/>
      <c r="H3933" s="8">
        <v>530.73</v>
      </c>
      <c r="I3933" s="8"/>
      <c r="J3933" s="8"/>
      <c r="K3933" s="8"/>
      <c r="L3933" s="8"/>
      <c r="M3933" s="8">
        <v>2.37</v>
      </c>
      <c r="N3933" s="8"/>
      <c r="O3933" s="8"/>
      <c r="P3933" s="8"/>
      <c r="Q3933" s="11"/>
      <c r="R3933" s="11"/>
      <c r="S3933" s="8">
        <v>6.79</v>
      </c>
      <c r="T3933" s="8"/>
      <c r="U3933" s="8">
        <v>20.55</v>
      </c>
      <c r="V3933" s="8"/>
      <c r="W3933" s="8"/>
      <c r="X3933" s="8"/>
      <c r="Y3933" s="8"/>
      <c r="Z3933" s="8"/>
      <c r="AA3933" s="8"/>
      <c r="AB3933" s="8"/>
      <c r="AC3933" s="8">
        <v>6.31</v>
      </c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11"/>
      <c r="AQ3933" s="8"/>
      <c r="AR3933" s="8"/>
      <c r="AS3933" s="8"/>
      <c r="AT3933" s="8">
        <v>1023.88</v>
      </c>
      <c r="AU3933" s="8"/>
      <c r="AV3933" s="8"/>
      <c r="AW3933" s="8"/>
      <c r="AX3933" s="8"/>
      <c r="AY3933" s="8"/>
      <c r="AZ3933" s="8"/>
      <c r="BA3933" s="8">
        <v>15.62</v>
      </c>
      <c r="BB3933" s="8"/>
      <c r="BC3933" s="8"/>
      <c r="BD3933" s="8"/>
      <c r="BE3933" s="8"/>
      <c r="BF3933" s="8">
        <v>63.23</v>
      </c>
      <c r="BG3933" s="8">
        <v>76.92</v>
      </c>
      <c r="BH3933" s="9">
        <f t="shared" si="549"/>
        <v>1812.25</v>
      </c>
      <c r="BI3933" s="9">
        <f t="shared" si="550"/>
        <v>2.37</v>
      </c>
      <c r="BJ3933" s="9">
        <f t="shared" si="551"/>
        <v>6.79</v>
      </c>
      <c r="BK3933" s="9">
        <f t="shared" si="552"/>
        <v>20.55</v>
      </c>
      <c r="BL3933" s="9">
        <f t="shared" si="553"/>
        <v>0</v>
      </c>
      <c r="BM3933" s="9">
        <f t="shared" si="554"/>
        <v>6.31</v>
      </c>
      <c r="BN3933" s="9">
        <f t="shared" si="555"/>
        <v>1023.88</v>
      </c>
      <c r="BO3933" s="9">
        <f t="shared" si="556"/>
        <v>15.62</v>
      </c>
      <c r="BP3933" s="9">
        <f t="shared" si="557"/>
        <v>63.23</v>
      </c>
    </row>
    <row r="3934" spans="1:68">
      <c r="A3934" s="6">
        <v>45274</v>
      </c>
      <c r="B3934" s="7">
        <v>3106</v>
      </c>
      <c r="C3934" s="8">
        <v>6118.42</v>
      </c>
      <c r="D3934" s="8"/>
      <c r="E3934" s="8"/>
      <c r="F3934" s="8"/>
      <c r="G3934" s="8"/>
      <c r="H3934" s="8"/>
      <c r="I3934" s="8"/>
      <c r="J3934" s="8"/>
      <c r="K3934" s="8"/>
      <c r="L3934" s="8"/>
      <c r="M3934" s="8">
        <v>16.5</v>
      </c>
      <c r="N3934" s="8"/>
      <c r="O3934" s="8"/>
      <c r="P3934" s="8"/>
      <c r="Q3934" s="11"/>
      <c r="R3934" s="11"/>
      <c r="S3934" s="8">
        <v>18.399999999999999</v>
      </c>
      <c r="T3934" s="8"/>
      <c r="U3934" s="8">
        <v>77.83</v>
      </c>
      <c r="V3934" s="8"/>
      <c r="W3934" s="8"/>
      <c r="X3934" s="8"/>
      <c r="Y3934" s="8"/>
      <c r="Z3934" s="8"/>
      <c r="AA3934" s="8"/>
      <c r="AB3934" s="8"/>
      <c r="AC3934" s="8">
        <v>15.3</v>
      </c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11"/>
      <c r="AQ3934" s="8"/>
      <c r="AR3934" s="8"/>
      <c r="AS3934" s="8"/>
      <c r="AT3934" s="8">
        <v>3487.47</v>
      </c>
      <c r="AU3934" s="8"/>
      <c r="AV3934" s="8"/>
      <c r="AW3934" s="8"/>
      <c r="AX3934" s="8">
        <v>7.65</v>
      </c>
      <c r="AY3934" s="8"/>
      <c r="AZ3934" s="8"/>
      <c r="BA3934" s="8"/>
      <c r="BB3934" s="8"/>
      <c r="BC3934" s="8"/>
      <c r="BD3934" s="8"/>
      <c r="BE3934" s="8"/>
      <c r="BF3934" s="8"/>
      <c r="BG3934" s="8">
        <v>263.07</v>
      </c>
      <c r="BH3934" s="9">
        <f t="shared" si="549"/>
        <v>6118.42</v>
      </c>
      <c r="BI3934" s="9">
        <f t="shared" si="550"/>
        <v>16.5</v>
      </c>
      <c r="BJ3934" s="9">
        <f t="shared" si="551"/>
        <v>18.399999999999999</v>
      </c>
      <c r="BK3934" s="9">
        <f t="shared" si="552"/>
        <v>77.83</v>
      </c>
      <c r="BL3934" s="9">
        <f t="shared" si="553"/>
        <v>0</v>
      </c>
      <c r="BM3934" s="9">
        <f t="shared" si="554"/>
        <v>15.3</v>
      </c>
      <c r="BN3934" s="9">
        <f t="shared" si="555"/>
        <v>3487.47</v>
      </c>
      <c r="BO3934" s="9">
        <f t="shared" si="556"/>
        <v>7.65</v>
      </c>
      <c r="BP3934" s="9">
        <f t="shared" si="557"/>
        <v>0</v>
      </c>
    </row>
    <row r="3935" spans="1:68">
      <c r="A3935" s="6">
        <v>45274</v>
      </c>
      <c r="B3935" s="7">
        <v>3116</v>
      </c>
      <c r="C3935" s="8">
        <v>1521.69</v>
      </c>
      <c r="D3935" s="8"/>
      <c r="E3935" s="8"/>
      <c r="F3935" s="8"/>
      <c r="G3935" s="8"/>
      <c r="H3935" s="8"/>
      <c r="I3935" s="8"/>
      <c r="J3935" s="8"/>
      <c r="K3935" s="8"/>
      <c r="L3935" s="8"/>
      <c r="M3935" s="8">
        <v>3.81</v>
      </c>
      <c r="N3935" s="8"/>
      <c r="O3935" s="8"/>
      <c r="P3935" s="8"/>
      <c r="Q3935" s="11"/>
      <c r="R3935" s="11"/>
      <c r="S3935" s="8">
        <v>6.1</v>
      </c>
      <c r="T3935" s="8"/>
      <c r="U3935" s="8">
        <v>22.41</v>
      </c>
      <c r="V3935" s="8"/>
      <c r="W3935" s="8"/>
      <c r="X3935" s="8"/>
      <c r="Y3935" s="8"/>
      <c r="Z3935" s="8"/>
      <c r="AA3935" s="8"/>
      <c r="AB3935" s="8"/>
      <c r="AC3935" s="8">
        <v>6.09</v>
      </c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11"/>
      <c r="AQ3935" s="8">
        <f>1432*10.88/1000</f>
        <v>15.580160000000001</v>
      </c>
      <c r="AR3935" s="8"/>
      <c r="AS3935" s="8"/>
      <c r="AT3935" s="8">
        <v>930.89</v>
      </c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  <c r="BF3935" s="8">
        <v>60.96</v>
      </c>
      <c r="BG3935" s="8">
        <v>69.400000000000006</v>
      </c>
      <c r="BH3935" s="9">
        <f t="shared" si="549"/>
        <v>1521.69</v>
      </c>
      <c r="BI3935" s="9">
        <f t="shared" si="550"/>
        <v>3.81</v>
      </c>
      <c r="BJ3935" s="9">
        <f t="shared" si="551"/>
        <v>6.1</v>
      </c>
      <c r="BK3935" s="9">
        <f t="shared" si="552"/>
        <v>22.41</v>
      </c>
      <c r="BL3935" s="9">
        <f t="shared" si="553"/>
        <v>0</v>
      </c>
      <c r="BM3935" s="9">
        <f t="shared" si="554"/>
        <v>21.670160000000003</v>
      </c>
      <c r="BN3935" s="9">
        <f t="shared" si="555"/>
        <v>930.89</v>
      </c>
      <c r="BO3935" s="9">
        <f t="shared" si="556"/>
        <v>0</v>
      </c>
      <c r="BP3935" s="9">
        <f t="shared" si="557"/>
        <v>60.96</v>
      </c>
    </row>
    <row r="3936" spans="1:68">
      <c r="A3936" s="6">
        <v>45274</v>
      </c>
      <c r="B3936" s="7">
        <v>3079</v>
      </c>
      <c r="C3936" s="8"/>
      <c r="D3936" s="8"/>
      <c r="E3936" s="8"/>
      <c r="F3936" s="8">
        <v>342.36</v>
      </c>
      <c r="G3936" s="8"/>
      <c r="H3936" s="8"/>
      <c r="I3936" s="8">
        <v>2770.23</v>
      </c>
      <c r="J3936" s="8"/>
      <c r="K3936" s="8"/>
      <c r="L3936" s="8"/>
      <c r="M3936" s="8"/>
      <c r="N3936" s="8">
        <v>22.72</v>
      </c>
      <c r="O3936" s="8"/>
      <c r="P3936" s="8"/>
      <c r="Q3936" s="11"/>
      <c r="R3936" s="11"/>
      <c r="S3936" s="8">
        <v>1.24</v>
      </c>
      <c r="T3936" s="8"/>
      <c r="U3936" s="8"/>
      <c r="V3936" s="8"/>
      <c r="W3936" s="8">
        <v>31.13</v>
      </c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>
        <v>12.44</v>
      </c>
      <c r="AN3936" s="8">
        <f>1727*18.3/1000</f>
        <v>31.604100000000003</v>
      </c>
      <c r="AO3936" s="8"/>
      <c r="AP3936" s="11"/>
      <c r="AQ3936" s="8"/>
      <c r="AR3936" s="8">
        <f>4327*18.3/1000</f>
        <v>79.184100000000001</v>
      </c>
      <c r="AS3936" s="8"/>
      <c r="AT3936" s="8">
        <v>1197.8399999999999</v>
      </c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  <c r="BF3936" s="8"/>
      <c r="BG3936" s="8">
        <v>87.35</v>
      </c>
      <c r="BH3936" s="9">
        <f t="shared" si="549"/>
        <v>3112.59</v>
      </c>
      <c r="BI3936" s="9">
        <f t="shared" si="550"/>
        <v>22.72</v>
      </c>
      <c r="BJ3936" s="9">
        <f t="shared" si="551"/>
        <v>1.24</v>
      </c>
      <c r="BK3936" s="9">
        <f t="shared" si="552"/>
        <v>31.13</v>
      </c>
      <c r="BL3936" s="9">
        <f t="shared" si="553"/>
        <v>0</v>
      </c>
      <c r="BM3936" s="9">
        <f t="shared" si="554"/>
        <v>123.2282</v>
      </c>
      <c r="BN3936" s="9">
        <f t="shared" si="555"/>
        <v>1197.8399999999999</v>
      </c>
      <c r="BO3936" s="9">
        <f t="shared" si="556"/>
        <v>0</v>
      </c>
      <c r="BP3936" s="9">
        <f t="shared" si="557"/>
        <v>0</v>
      </c>
    </row>
    <row r="3937" spans="1:68">
      <c r="A3937" s="6">
        <v>45274</v>
      </c>
      <c r="B3937" s="7">
        <v>3081</v>
      </c>
      <c r="C3937" s="8"/>
      <c r="D3937" s="8">
        <v>293.18</v>
      </c>
      <c r="E3937" s="8"/>
      <c r="F3937" s="8">
        <v>329.87</v>
      </c>
      <c r="G3937" s="8"/>
      <c r="H3937" s="8"/>
      <c r="I3937" s="8">
        <v>1203</v>
      </c>
      <c r="J3937" s="8"/>
      <c r="K3937" s="8"/>
      <c r="L3937" s="8"/>
      <c r="M3937" s="8"/>
      <c r="N3937" s="8">
        <v>13.38</v>
      </c>
      <c r="O3937" s="8"/>
      <c r="P3937" s="8">
        <f>629*11.83/1000</f>
        <v>7.4410699999999999</v>
      </c>
      <c r="Q3937" s="11"/>
      <c r="R3937" s="11"/>
      <c r="S3937" s="8">
        <v>1.28</v>
      </c>
      <c r="T3937" s="8"/>
      <c r="U3937" s="8"/>
      <c r="V3937" s="8"/>
      <c r="W3937" s="8">
        <v>18.34</v>
      </c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11"/>
      <c r="AQ3937" s="8">
        <f>1574*11.83/1000</f>
        <v>18.620420000000003</v>
      </c>
      <c r="AR3937" s="8">
        <f>5433*11.83/1000</f>
        <v>64.272390000000001</v>
      </c>
      <c r="AS3937" s="8"/>
      <c r="AT3937" s="8">
        <v>573.28</v>
      </c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  <c r="BF3937" s="8"/>
      <c r="BG3937" s="8">
        <v>38.08</v>
      </c>
      <c r="BH3937" s="9">
        <f t="shared" si="549"/>
        <v>1826.05</v>
      </c>
      <c r="BI3937" s="9">
        <f t="shared" si="550"/>
        <v>20.821069999999999</v>
      </c>
      <c r="BJ3937" s="9">
        <f t="shared" si="551"/>
        <v>1.28</v>
      </c>
      <c r="BK3937" s="9">
        <f t="shared" si="552"/>
        <v>18.34</v>
      </c>
      <c r="BL3937" s="9">
        <f t="shared" si="553"/>
        <v>0</v>
      </c>
      <c r="BM3937" s="9">
        <f t="shared" si="554"/>
        <v>82.892809999999997</v>
      </c>
      <c r="BN3937" s="9">
        <f t="shared" si="555"/>
        <v>573.28</v>
      </c>
      <c r="BO3937" s="9">
        <f t="shared" si="556"/>
        <v>0</v>
      </c>
      <c r="BP3937" s="9">
        <f t="shared" si="557"/>
        <v>0</v>
      </c>
    </row>
    <row r="3938" spans="1:68">
      <c r="A3938" s="6">
        <v>45275</v>
      </c>
      <c r="B3938" s="7">
        <v>3200</v>
      </c>
      <c r="C3938" s="8">
        <v>2357.65</v>
      </c>
      <c r="D3938" s="8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>
        <v>5.9</v>
      </c>
      <c r="P3938" s="8"/>
      <c r="Q3938" s="11"/>
      <c r="R3938" s="11"/>
      <c r="S3938" s="8">
        <v>9.2100000000000009</v>
      </c>
      <c r="T3938" s="8"/>
      <c r="U3938" s="8">
        <v>35.4</v>
      </c>
      <c r="V3938" s="8"/>
      <c r="W3938" s="8"/>
      <c r="X3938" s="8"/>
      <c r="Y3938" s="8"/>
      <c r="Z3938" s="8">
        <v>495.95</v>
      </c>
      <c r="AA3938" s="8"/>
      <c r="AB3938" s="8"/>
      <c r="AC3938" s="8"/>
      <c r="AD3938" s="8"/>
      <c r="AE3938" s="8"/>
      <c r="AF3938" s="8">
        <v>117.86</v>
      </c>
      <c r="AG3938" s="8"/>
      <c r="AH3938" s="8"/>
      <c r="AI3938" s="8"/>
      <c r="AJ3938" s="8"/>
      <c r="AK3938" s="8"/>
      <c r="AL3938" s="8"/>
      <c r="AM3938" s="8"/>
      <c r="AN3938" s="8"/>
      <c r="AO3938" s="8"/>
      <c r="AP3938" s="11"/>
      <c r="AQ3938" s="8">
        <f>1521*23.6/1000</f>
        <v>35.895600000000002</v>
      </c>
      <c r="AR3938" s="8"/>
      <c r="AS3938" s="8"/>
      <c r="AT3938" s="8">
        <v>1614.28</v>
      </c>
      <c r="AU3938" s="8"/>
      <c r="AV3938" s="8"/>
      <c r="AW3938" s="8">
        <v>6.83</v>
      </c>
      <c r="AX3938" s="8"/>
      <c r="AY3938" s="8"/>
      <c r="AZ3938" s="8"/>
      <c r="BA3938" s="8"/>
      <c r="BB3938" s="8"/>
      <c r="BC3938" s="8"/>
      <c r="BD3938" s="8"/>
      <c r="BE3938" s="8"/>
      <c r="BF3938" s="8">
        <v>113.32</v>
      </c>
      <c r="BG3938" s="8">
        <v>116.91</v>
      </c>
      <c r="BH3938" s="9">
        <f t="shared" si="549"/>
        <v>2357.65</v>
      </c>
      <c r="BI3938" s="9">
        <f t="shared" si="550"/>
        <v>5.9</v>
      </c>
      <c r="BJ3938" s="9">
        <f t="shared" si="551"/>
        <v>9.2100000000000009</v>
      </c>
      <c r="BK3938" s="9">
        <f t="shared" si="552"/>
        <v>35.4</v>
      </c>
      <c r="BL3938" s="9">
        <f t="shared" si="553"/>
        <v>495.95</v>
      </c>
      <c r="BM3938" s="9">
        <f t="shared" si="554"/>
        <v>153.75560000000002</v>
      </c>
      <c r="BN3938" s="9">
        <f t="shared" si="555"/>
        <v>1614.28</v>
      </c>
      <c r="BO3938" s="9">
        <f t="shared" si="556"/>
        <v>6.83</v>
      </c>
      <c r="BP3938" s="9">
        <f t="shared" si="557"/>
        <v>113.32</v>
      </c>
    </row>
    <row r="3939" spans="1:68">
      <c r="A3939" s="6">
        <v>45275</v>
      </c>
      <c r="B3939" s="7">
        <v>3020</v>
      </c>
      <c r="C3939" s="8"/>
      <c r="D3939" s="8">
        <v>173.96</v>
      </c>
      <c r="E3939" s="8"/>
      <c r="F3939" s="8"/>
      <c r="G3939" s="8"/>
      <c r="H3939" s="8"/>
      <c r="I3939" s="8">
        <v>983.44</v>
      </c>
      <c r="J3939" s="8"/>
      <c r="K3939" s="8"/>
      <c r="L3939" s="8"/>
      <c r="M3939" s="8"/>
      <c r="N3939" s="8">
        <v>7.06</v>
      </c>
      <c r="O3939" s="8"/>
      <c r="P3939" s="8"/>
      <c r="Q3939" s="11"/>
      <c r="R3939" s="11"/>
      <c r="S3939" s="8">
        <v>2.08</v>
      </c>
      <c r="T3939" s="8"/>
      <c r="U3939" s="8"/>
      <c r="V3939" s="8"/>
      <c r="W3939" s="8">
        <v>11.59</v>
      </c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>
        <v>11.57</v>
      </c>
      <c r="AN3939" s="8"/>
      <c r="AO3939" s="8"/>
      <c r="AP3939" s="11"/>
      <c r="AQ3939" s="8"/>
      <c r="AR3939" s="8"/>
      <c r="AS3939" s="8">
        <f>3028*9.63/1000</f>
        <v>29.159640000000003</v>
      </c>
      <c r="AT3939" s="8">
        <v>568.52</v>
      </c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  <c r="BF3939" s="8"/>
      <c r="BG3939" s="8">
        <v>41.61</v>
      </c>
      <c r="BH3939" s="9">
        <f t="shared" si="549"/>
        <v>1157.4000000000001</v>
      </c>
      <c r="BI3939" s="9">
        <f t="shared" si="550"/>
        <v>7.06</v>
      </c>
      <c r="BJ3939" s="9">
        <f t="shared" si="551"/>
        <v>2.08</v>
      </c>
      <c r="BK3939" s="9">
        <f t="shared" si="552"/>
        <v>11.59</v>
      </c>
      <c r="BL3939" s="9">
        <f t="shared" si="553"/>
        <v>0</v>
      </c>
      <c r="BM3939" s="9">
        <f t="shared" si="554"/>
        <v>40.729640000000003</v>
      </c>
      <c r="BN3939" s="9">
        <f t="shared" si="555"/>
        <v>568.52</v>
      </c>
      <c r="BO3939" s="9">
        <f t="shared" si="556"/>
        <v>0</v>
      </c>
      <c r="BP3939" s="9">
        <f t="shared" si="557"/>
        <v>0</v>
      </c>
    </row>
    <row r="3940" spans="1:68">
      <c r="A3940" s="6">
        <v>45275</v>
      </c>
      <c r="B3940" s="7">
        <v>3023</v>
      </c>
      <c r="C3940" s="8"/>
      <c r="D3940" s="8">
        <v>902.48</v>
      </c>
      <c r="E3940" s="8"/>
      <c r="F3940" s="8"/>
      <c r="G3940" s="8"/>
      <c r="H3940" s="8"/>
      <c r="I3940" s="8">
        <v>489.63</v>
      </c>
      <c r="J3940" s="8"/>
      <c r="K3940" s="8"/>
      <c r="L3940" s="8"/>
      <c r="M3940" s="8"/>
      <c r="N3940" s="8">
        <v>7.8</v>
      </c>
      <c r="O3940" s="8"/>
      <c r="P3940" s="8"/>
      <c r="Q3940" s="11"/>
      <c r="R3940" s="11"/>
      <c r="S3940" s="8">
        <v>2.23</v>
      </c>
      <c r="T3940" s="8"/>
      <c r="U3940" s="8"/>
      <c r="V3940" s="8"/>
      <c r="W3940" s="8">
        <v>12.54</v>
      </c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>
        <v>13.93</v>
      </c>
      <c r="AN3940" s="8">
        <f>1027*9.6/1000</f>
        <v>9.8591999999999995</v>
      </c>
      <c r="AO3940" s="8"/>
      <c r="AP3940" s="11"/>
      <c r="AQ3940" s="8"/>
      <c r="AR3940" s="8"/>
      <c r="AS3940" s="8">
        <f>4798*9.6/1000</f>
        <v>46.060799999999993</v>
      </c>
      <c r="AT3940" s="8">
        <v>572.16</v>
      </c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  <c r="BF3940" s="8"/>
      <c r="BG3940" s="8">
        <v>43.16</v>
      </c>
      <c r="BH3940" s="9">
        <f t="shared" si="549"/>
        <v>1392.1100000000001</v>
      </c>
      <c r="BI3940" s="9">
        <f t="shared" si="550"/>
        <v>7.8</v>
      </c>
      <c r="BJ3940" s="9">
        <f t="shared" si="551"/>
        <v>2.23</v>
      </c>
      <c r="BK3940" s="9">
        <f t="shared" si="552"/>
        <v>12.54</v>
      </c>
      <c r="BL3940" s="9">
        <f t="shared" si="553"/>
        <v>0</v>
      </c>
      <c r="BM3940" s="9">
        <f t="shared" si="554"/>
        <v>69.849999999999994</v>
      </c>
      <c r="BN3940" s="9">
        <f t="shared" si="555"/>
        <v>572.16</v>
      </c>
      <c r="BO3940" s="9">
        <f t="shared" si="556"/>
        <v>0</v>
      </c>
      <c r="BP3940" s="9">
        <f t="shared" si="557"/>
        <v>0</v>
      </c>
    </row>
    <row r="3941" spans="1:68">
      <c r="A3941" s="6">
        <v>45275</v>
      </c>
      <c r="B3941" s="7">
        <v>3027</v>
      </c>
      <c r="C3941" s="8"/>
      <c r="D3941" s="8">
        <v>540.57000000000005</v>
      </c>
      <c r="E3941" s="8"/>
      <c r="F3941" s="8"/>
      <c r="G3941" s="8"/>
      <c r="H3941" s="8"/>
      <c r="I3941" s="8">
        <v>441.41</v>
      </c>
      <c r="J3941" s="8"/>
      <c r="K3941" s="8"/>
      <c r="L3941" s="8"/>
      <c r="M3941" s="8"/>
      <c r="N3941" s="8">
        <v>5.59</v>
      </c>
      <c r="O3941" s="8"/>
      <c r="P3941" s="8"/>
      <c r="Q3941" s="11"/>
      <c r="R3941" s="11"/>
      <c r="S3941" s="8">
        <v>1.57</v>
      </c>
      <c r="T3941" s="8"/>
      <c r="U3941" s="8"/>
      <c r="V3941" s="8"/>
      <c r="W3941" s="8">
        <v>7.37</v>
      </c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>
        <v>9.82</v>
      </c>
      <c r="AN3941" s="8">
        <f>1247*5.6/1000</f>
        <v>6.9832000000000001</v>
      </c>
      <c r="AO3941" s="8"/>
      <c r="AP3941" s="11"/>
      <c r="AQ3941" s="8"/>
      <c r="AR3941" s="8"/>
      <c r="AS3941" s="8">
        <f>5816*5.6/1000</f>
        <v>32.569600000000001</v>
      </c>
      <c r="AT3941" s="8">
        <v>327.20999999999998</v>
      </c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  <c r="BF3941" s="8"/>
      <c r="BG3941" s="8">
        <v>23.18</v>
      </c>
      <c r="BH3941" s="9">
        <f t="shared" si="549"/>
        <v>981.98</v>
      </c>
      <c r="BI3941" s="9">
        <f t="shared" si="550"/>
        <v>5.59</v>
      </c>
      <c r="BJ3941" s="9">
        <f t="shared" si="551"/>
        <v>1.57</v>
      </c>
      <c r="BK3941" s="9">
        <f t="shared" si="552"/>
        <v>7.37</v>
      </c>
      <c r="BL3941" s="9">
        <f t="shared" si="553"/>
        <v>0</v>
      </c>
      <c r="BM3941" s="9">
        <f t="shared" si="554"/>
        <v>49.372799999999998</v>
      </c>
      <c r="BN3941" s="9">
        <f t="shared" si="555"/>
        <v>327.20999999999998</v>
      </c>
      <c r="BO3941" s="9">
        <f t="shared" si="556"/>
        <v>0</v>
      </c>
      <c r="BP3941" s="9">
        <f t="shared" si="557"/>
        <v>0</v>
      </c>
    </row>
    <row r="3942" spans="1:68">
      <c r="A3942" s="6">
        <v>45275</v>
      </c>
      <c r="B3942" s="7">
        <v>3016</v>
      </c>
      <c r="C3942" s="8"/>
      <c r="D3942" s="8">
        <v>1329.59</v>
      </c>
      <c r="E3942" s="8"/>
      <c r="F3942" s="8"/>
      <c r="G3942" s="8"/>
      <c r="H3942" s="8"/>
      <c r="I3942" s="8">
        <v>1226.57</v>
      </c>
      <c r="J3942" s="8"/>
      <c r="K3942" s="8"/>
      <c r="L3942" s="8"/>
      <c r="M3942" s="8"/>
      <c r="N3942" s="8">
        <v>16.13</v>
      </c>
      <c r="O3942" s="8"/>
      <c r="P3942" s="8"/>
      <c r="Q3942" s="11"/>
      <c r="R3942" s="11"/>
      <c r="S3942" s="8">
        <v>1.79</v>
      </c>
      <c r="T3942" s="8"/>
      <c r="U3942" s="8"/>
      <c r="V3942" s="8"/>
      <c r="W3942" s="8">
        <v>25.58</v>
      </c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>
        <v>10.23</v>
      </c>
      <c r="AN3942" s="8">
        <f>2059*15.05/1000</f>
        <v>30.987950000000001</v>
      </c>
      <c r="AO3942" s="8"/>
      <c r="AP3942" s="11"/>
      <c r="AQ3942" s="8"/>
      <c r="AR3942" s="8">
        <f>4278*15.05/1000</f>
        <v>64.383899999999997</v>
      </c>
      <c r="AS3942" s="8"/>
      <c r="AT3942" s="8">
        <v>951.62</v>
      </c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  <c r="BF3942" s="8"/>
      <c r="BG3942" s="8">
        <v>69.52</v>
      </c>
      <c r="BH3942" s="9">
        <f t="shared" si="549"/>
        <v>2556.16</v>
      </c>
      <c r="BI3942" s="9">
        <f t="shared" si="550"/>
        <v>16.13</v>
      </c>
      <c r="BJ3942" s="9">
        <f t="shared" si="551"/>
        <v>1.79</v>
      </c>
      <c r="BK3942" s="9">
        <f t="shared" si="552"/>
        <v>25.58</v>
      </c>
      <c r="BL3942" s="9">
        <f t="shared" si="553"/>
        <v>0</v>
      </c>
      <c r="BM3942" s="9">
        <f t="shared" si="554"/>
        <v>105.60185</v>
      </c>
      <c r="BN3942" s="9">
        <f t="shared" si="555"/>
        <v>951.62</v>
      </c>
      <c r="BO3942" s="9">
        <f t="shared" si="556"/>
        <v>0</v>
      </c>
      <c r="BP3942" s="9">
        <f t="shared" si="557"/>
        <v>0</v>
      </c>
    </row>
    <row r="3943" spans="1:68">
      <c r="A3943" s="6">
        <v>45278</v>
      </c>
      <c r="B3943" s="7">
        <v>3200</v>
      </c>
      <c r="C3943" s="8">
        <v>2274.9899999999998</v>
      </c>
      <c r="D3943" s="8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>
        <v>5.74</v>
      </c>
      <c r="P3943" s="8"/>
      <c r="Q3943" s="11"/>
      <c r="R3943" s="11"/>
      <c r="S3943" s="8">
        <v>8.89</v>
      </c>
      <c r="T3943" s="8"/>
      <c r="U3943" s="8">
        <v>34.26</v>
      </c>
      <c r="V3943" s="8"/>
      <c r="W3943" s="8"/>
      <c r="X3943" s="8"/>
      <c r="Y3943" s="8"/>
      <c r="Z3943" s="8">
        <v>479.44</v>
      </c>
      <c r="AA3943" s="8"/>
      <c r="AB3943" s="8"/>
      <c r="AC3943" s="8"/>
      <c r="AD3943" s="8"/>
      <c r="AE3943" s="8"/>
      <c r="AF3943" s="8">
        <v>113.85</v>
      </c>
      <c r="AG3943" s="8"/>
      <c r="AH3943" s="8"/>
      <c r="AI3943" s="8"/>
      <c r="AJ3943" s="8"/>
      <c r="AK3943" s="8"/>
      <c r="AL3943" s="8"/>
      <c r="AM3943" s="8"/>
      <c r="AN3943" s="8"/>
      <c r="AO3943" s="8"/>
      <c r="AP3943" s="11"/>
      <c r="AQ3943" s="8">
        <f>1521*22.82/1000</f>
        <v>34.709220000000002</v>
      </c>
      <c r="AR3943" s="8"/>
      <c r="AS3943" s="8"/>
      <c r="AT3943" s="8">
        <v>1562.9</v>
      </c>
      <c r="AU3943" s="8"/>
      <c r="AV3943" s="8"/>
      <c r="AW3943" s="8">
        <v>6.55</v>
      </c>
      <c r="AX3943" s="8"/>
      <c r="AY3943" s="8"/>
      <c r="AZ3943" s="8"/>
      <c r="BA3943" s="8"/>
      <c r="BB3943" s="8"/>
      <c r="BC3943" s="8"/>
      <c r="BD3943" s="8"/>
      <c r="BE3943" s="8"/>
      <c r="BF3943" s="8">
        <v>109.59</v>
      </c>
      <c r="BG3943" s="8">
        <v>112.69</v>
      </c>
      <c r="BH3943" s="9">
        <f t="shared" si="549"/>
        <v>2274.9899999999998</v>
      </c>
      <c r="BI3943" s="9">
        <f t="shared" si="550"/>
        <v>5.74</v>
      </c>
      <c r="BJ3943" s="9">
        <f t="shared" si="551"/>
        <v>8.89</v>
      </c>
      <c r="BK3943" s="9">
        <f t="shared" si="552"/>
        <v>34.26</v>
      </c>
      <c r="BL3943" s="9">
        <f t="shared" si="553"/>
        <v>479.44</v>
      </c>
      <c r="BM3943" s="9">
        <f t="shared" si="554"/>
        <v>148.55921999999998</v>
      </c>
      <c r="BN3943" s="9">
        <f t="shared" si="555"/>
        <v>1562.9</v>
      </c>
      <c r="BO3943" s="9">
        <f t="shared" si="556"/>
        <v>6.55</v>
      </c>
      <c r="BP3943" s="9">
        <f t="shared" si="557"/>
        <v>109.59</v>
      </c>
    </row>
    <row r="3944" spans="1:68">
      <c r="A3944" s="6">
        <v>45278</v>
      </c>
      <c r="B3944" s="7">
        <v>3031</v>
      </c>
      <c r="C3944" s="8"/>
      <c r="D3944" s="8"/>
      <c r="E3944" s="8"/>
      <c r="F3944" s="8"/>
      <c r="G3944" s="8"/>
      <c r="H3944" s="8"/>
      <c r="I3944" s="8">
        <v>2192.4699999999998</v>
      </c>
      <c r="J3944" s="8"/>
      <c r="K3944" s="8"/>
      <c r="L3944" s="8"/>
      <c r="M3944" s="8"/>
      <c r="N3944" s="8">
        <v>15.13</v>
      </c>
      <c r="O3944" s="8"/>
      <c r="P3944" s="8"/>
      <c r="Q3944" s="11"/>
      <c r="R3944" s="11"/>
      <c r="S3944" s="8">
        <v>1.54</v>
      </c>
      <c r="T3944" s="8"/>
      <c r="U3944" s="8"/>
      <c r="V3944" s="8"/>
      <c r="W3944" s="8">
        <v>21.96</v>
      </c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>
        <f>1768*18.27/1000</f>
        <v>32.301360000000003</v>
      </c>
      <c r="AJ3944" s="8"/>
      <c r="AK3944" s="8"/>
      <c r="AL3944" s="8"/>
      <c r="AM3944" s="8"/>
      <c r="AN3944" s="8">
        <f>1199*18.27/1000</f>
        <v>21.905729999999998</v>
      </c>
      <c r="AO3944" s="8"/>
      <c r="AP3944" s="11"/>
      <c r="AQ3944" s="8"/>
      <c r="AR3944" s="8">
        <f>3669*18.27/1000</f>
        <v>67.032630000000012</v>
      </c>
      <c r="AS3944" s="8"/>
      <c r="AT3944" s="8">
        <v>1043.98</v>
      </c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  <c r="BF3944" s="8"/>
      <c r="BG3944" s="8">
        <v>70.81</v>
      </c>
      <c r="BH3944" s="9">
        <f t="shared" si="549"/>
        <v>2192.4699999999998</v>
      </c>
      <c r="BI3944" s="9">
        <f t="shared" si="550"/>
        <v>15.13</v>
      </c>
      <c r="BJ3944" s="9">
        <f t="shared" si="551"/>
        <v>1.54</v>
      </c>
      <c r="BK3944" s="9">
        <f t="shared" si="552"/>
        <v>21.96</v>
      </c>
      <c r="BL3944" s="9">
        <f t="shared" si="553"/>
        <v>0</v>
      </c>
      <c r="BM3944" s="9">
        <f t="shared" si="554"/>
        <v>121.23972000000001</v>
      </c>
      <c r="BN3944" s="9">
        <f t="shared" si="555"/>
        <v>1043.98</v>
      </c>
      <c r="BO3944" s="9">
        <f t="shared" si="556"/>
        <v>0</v>
      </c>
      <c r="BP3944" s="9">
        <f t="shared" si="557"/>
        <v>0</v>
      </c>
    </row>
    <row r="3945" spans="1:68">
      <c r="A3945" s="6">
        <v>45278</v>
      </c>
      <c r="B3945" s="7">
        <v>3602</v>
      </c>
      <c r="C3945" s="8">
        <v>565.88</v>
      </c>
      <c r="D3945" s="8"/>
      <c r="E3945" s="8"/>
      <c r="F3945" s="8"/>
      <c r="G3945" s="8">
        <v>849.05</v>
      </c>
      <c r="H3945" s="8"/>
      <c r="I3945" s="8"/>
      <c r="J3945" s="8"/>
      <c r="K3945" s="8"/>
      <c r="L3945" s="8"/>
      <c r="M3945" s="8">
        <v>1.7</v>
      </c>
      <c r="N3945" s="8"/>
      <c r="O3945" s="8"/>
      <c r="P3945" s="8"/>
      <c r="Q3945" s="11"/>
      <c r="R3945" s="11"/>
      <c r="S3945" s="8">
        <v>6.79</v>
      </c>
      <c r="T3945" s="8"/>
      <c r="U3945" s="8">
        <v>11.33</v>
      </c>
      <c r="V3945" s="8">
        <f>859*16.18/1000</f>
        <v>13.898619999999999</v>
      </c>
      <c r="W3945" s="8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11"/>
      <c r="AQ3945" s="8"/>
      <c r="AR3945" s="8"/>
      <c r="AS3945" s="8"/>
      <c r="AT3945" s="8">
        <v>572.16999999999996</v>
      </c>
      <c r="AU3945" s="8"/>
      <c r="AV3945" s="8"/>
      <c r="AW3945" s="8">
        <v>36.61</v>
      </c>
      <c r="AX3945" s="8"/>
      <c r="AY3945" s="8"/>
      <c r="AZ3945" s="8"/>
      <c r="BA3945" s="8"/>
      <c r="BB3945" s="8"/>
      <c r="BC3945" s="8"/>
      <c r="BD3945" s="8"/>
      <c r="BE3945" s="8"/>
      <c r="BF3945" s="8">
        <v>45.35</v>
      </c>
      <c r="BG3945" s="8">
        <v>42.54</v>
      </c>
      <c r="BH3945" s="9">
        <f t="shared" si="549"/>
        <v>1414.9299999999998</v>
      </c>
      <c r="BI3945" s="9">
        <f t="shared" si="550"/>
        <v>1.7</v>
      </c>
      <c r="BJ3945" s="9">
        <f t="shared" si="551"/>
        <v>6.79</v>
      </c>
      <c r="BK3945" s="9">
        <f t="shared" si="552"/>
        <v>25.228619999999999</v>
      </c>
      <c r="BL3945" s="9">
        <f t="shared" si="553"/>
        <v>0</v>
      </c>
      <c r="BM3945" s="9">
        <f t="shared" si="554"/>
        <v>0</v>
      </c>
      <c r="BN3945" s="9">
        <f t="shared" si="555"/>
        <v>572.16999999999996</v>
      </c>
      <c r="BO3945" s="9">
        <f t="shared" si="556"/>
        <v>36.61</v>
      </c>
      <c r="BP3945" s="9">
        <f t="shared" si="557"/>
        <v>45.35</v>
      </c>
    </row>
    <row r="3946" spans="1:68">
      <c r="A3946" s="6">
        <v>45279</v>
      </c>
      <c r="B3946" s="7">
        <v>3204</v>
      </c>
      <c r="C3946" s="8"/>
      <c r="D3946" s="8">
        <v>941.33</v>
      </c>
      <c r="E3946" s="8">
        <v>403.21</v>
      </c>
      <c r="F3946" s="8"/>
      <c r="G3946" s="8"/>
      <c r="H3946" s="8"/>
      <c r="I3946" s="8"/>
      <c r="J3946" s="8"/>
      <c r="K3946" s="8"/>
      <c r="L3946" s="8"/>
      <c r="M3946" s="8"/>
      <c r="N3946" s="8"/>
      <c r="O3946" s="8">
        <v>6.72</v>
      </c>
      <c r="P3946" s="8"/>
      <c r="Q3946" s="11"/>
      <c r="R3946" s="11"/>
      <c r="S3946" s="8">
        <v>4.57</v>
      </c>
      <c r="T3946" s="8"/>
      <c r="U3946" s="8">
        <v>14.8</v>
      </c>
      <c r="V3946" s="8"/>
      <c r="W3946" s="8"/>
      <c r="X3946" s="8"/>
      <c r="Y3946" s="8"/>
      <c r="Z3946" s="8">
        <v>201.89</v>
      </c>
      <c r="AA3946" s="8"/>
      <c r="AB3946" s="8">
        <f>719*9.6/1000</f>
        <v>6.9023999999999992</v>
      </c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11"/>
      <c r="AQ3946" s="8"/>
      <c r="AR3946" s="8"/>
      <c r="AS3946" s="8"/>
      <c r="AT3946" s="8">
        <v>592.24</v>
      </c>
      <c r="AU3946" s="8"/>
      <c r="AV3946" s="8"/>
      <c r="AW3946" s="8">
        <v>4.32</v>
      </c>
      <c r="AX3946" s="8"/>
      <c r="AY3946" s="8"/>
      <c r="AZ3946" s="8"/>
      <c r="BA3946" s="8"/>
      <c r="BB3946" s="8"/>
      <c r="BC3946" s="8"/>
      <c r="BD3946" s="8"/>
      <c r="BE3946" s="8"/>
      <c r="BF3946" s="8"/>
      <c r="BG3946" s="8">
        <v>43.73</v>
      </c>
      <c r="BH3946" s="9">
        <f t="shared" si="549"/>
        <v>1344.54</v>
      </c>
      <c r="BI3946" s="9">
        <f t="shared" si="550"/>
        <v>6.72</v>
      </c>
      <c r="BJ3946" s="9">
        <f t="shared" si="551"/>
        <v>4.57</v>
      </c>
      <c r="BK3946" s="9">
        <f t="shared" si="552"/>
        <v>14.8</v>
      </c>
      <c r="BL3946" s="9">
        <f t="shared" si="553"/>
        <v>201.89</v>
      </c>
      <c r="BM3946" s="9">
        <f t="shared" si="554"/>
        <v>6.9023999999999992</v>
      </c>
      <c r="BN3946" s="9">
        <f t="shared" si="555"/>
        <v>592.24</v>
      </c>
      <c r="BO3946" s="9">
        <f t="shared" si="556"/>
        <v>4.32</v>
      </c>
      <c r="BP3946" s="9">
        <f t="shared" si="557"/>
        <v>0</v>
      </c>
    </row>
    <row r="3947" spans="1:68">
      <c r="A3947" s="6">
        <v>45279</v>
      </c>
      <c r="B3947" s="7">
        <v>3201</v>
      </c>
      <c r="C3947" s="8">
        <v>1172.04</v>
      </c>
      <c r="D3947" s="8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>
        <v>2.95</v>
      </c>
      <c r="P3947" s="8"/>
      <c r="Q3947" s="11"/>
      <c r="R3947" s="11"/>
      <c r="S3947" s="8">
        <v>4.46</v>
      </c>
      <c r="T3947" s="8"/>
      <c r="U3947" s="8">
        <v>17.600000000000001</v>
      </c>
      <c r="V3947" s="8"/>
      <c r="W3947" s="8"/>
      <c r="X3947" s="8"/>
      <c r="Y3947" s="8"/>
      <c r="Z3947" s="8">
        <v>246.6</v>
      </c>
      <c r="AA3947" s="8"/>
      <c r="AB3947" s="8"/>
      <c r="AC3947" s="8"/>
      <c r="AD3947" s="8"/>
      <c r="AE3947" s="8"/>
      <c r="AF3947" s="8">
        <v>58.4</v>
      </c>
      <c r="AG3947" s="8"/>
      <c r="AH3947" s="8"/>
      <c r="AI3947" s="8"/>
      <c r="AJ3947" s="8"/>
      <c r="AK3947" s="8"/>
      <c r="AL3947" s="8"/>
      <c r="AM3947" s="8"/>
      <c r="AN3947" s="8"/>
      <c r="AO3947" s="8"/>
      <c r="AP3947" s="11"/>
      <c r="AQ3947" s="8">
        <f>1519*11.73/1000</f>
        <v>17.817869999999999</v>
      </c>
      <c r="AR3947" s="8"/>
      <c r="AS3947" s="8"/>
      <c r="AT3947" s="8">
        <v>803.74</v>
      </c>
      <c r="AU3947" s="8"/>
      <c r="AV3947" s="8"/>
      <c r="AW3947" s="8"/>
      <c r="AX3947" s="8"/>
      <c r="AY3947" s="8"/>
      <c r="AZ3947" s="8"/>
      <c r="BA3947" s="8"/>
      <c r="BB3947" s="8"/>
      <c r="BC3947" s="8">
        <v>3.05</v>
      </c>
      <c r="BD3947" s="8"/>
      <c r="BE3947" s="8"/>
      <c r="BF3947" s="8">
        <v>56.43</v>
      </c>
      <c r="BG3947" s="8">
        <v>58.32</v>
      </c>
      <c r="BH3947" s="9">
        <f t="shared" si="549"/>
        <v>1172.04</v>
      </c>
      <c r="BI3947" s="9">
        <f t="shared" si="550"/>
        <v>2.95</v>
      </c>
      <c r="BJ3947" s="9">
        <f t="shared" si="551"/>
        <v>4.46</v>
      </c>
      <c r="BK3947" s="9">
        <f t="shared" si="552"/>
        <v>17.600000000000001</v>
      </c>
      <c r="BL3947" s="9">
        <f t="shared" si="553"/>
        <v>246.6</v>
      </c>
      <c r="BM3947" s="9">
        <f t="shared" si="554"/>
        <v>76.217870000000005</v>
      </c>
      <c r="BN3947" s="9">
        <f t="shared" si="555"/>
        <v>803.74</v>
      </c>
      <c r="BO3947" s="9">
        <f t="shared" si="556"/>
        <v>3.05</v>
      </c>
      <c r="BP3947" s="9">
        <f t="shared" si="557"/>
        <v>56.43</v>
      </c>
    </row>
    <row r="3948" spans="1:68">
      <c r="A3948" s="6">
        <v>45279</v>
      </c>
      <c r="B3948" s="7">
        <v>3145</v>
      </c>
      <c r="C3948" s="8">
        <v>1261.23</v>
      </c>
      <c r="D3948" s="8">
        <v>222.63</v>
      </c>
      <c r="E3948" s="8"/>
      <c r="F3948" s="8"/>
      <c r="G3948" s="8"/>
      <c r="H3948" s="8"/>
      <c r="I3948" s="8"/>
      <c r="J3948" s="8"/>
      <c r="K3948" s="8"/>
      <c r="L3948" s="8"/>
      <c r="M3948" s="8">
        <v>4.3099999999999996</v>
      </c>
      <c r="N3948" s="8"/>
      <c r="O3948" s="8"/>
      <c r="P3948" s="8"/>
      <c r="Q3948" s="11"/>
      <c r="R3948" s="11"/>
      <c r="S3948" s="8">
        <v>6.98</v>
      </c>
      <c r="T3948" s="8"/>
      <c r="U3948" s="8">
        <v>22.28</v>
      </c>
      <c r="V3948" s="8"/>
      <c r="W3948" s="8"/>
      <c r="X3948" s="8"/>
      <c r="Y3948" s="8"/>
      <c r="Z3948" s="8"/>
      <c r="AA3948" s="8"/>
      <c r="AB3948" s="8"/>
      <c r="AC3948" s="8">
        <v>5.94</v>
      </c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11"/>
      <c r="AQ3948" s="8"/>
      <c r="AR3948" s="8"/>
      <c r="AS3948" s="8"/>
      <c r="AT3948" s="8">
        <v>974.35</v>
      </c>
      <c r="AU3948" s="8"/>
      <c r="AV3948" s="8"/>
      <c r="AW3948" s="8"/>
      <c r="AX3948" s="8"/>
      <c r="AY3948" s="8"/>
      <c r="AZ3948" s="8"/>
      <c r="BA3948" s="8"/>
      <c r="BB3948" s="8"/>
      <c r="BC3948" s="8"/>
      <c r="BD3948" s="8">
        <v>3.71</v>
      </c>
      <c r="BE3948" s="8">
        <f>1343*9.9/1000</f>
        <v>13.2957</v>
      </c>
      <c r="BF3948" s="8">
        <v>103.96</v>
      </c>
      <c r="BG3948" s="8">
        <v>77.260000000000005</v>
      </c>
      <c r="BH3948" s="9">
        <f t="shared" si="549"/>
        <v>1483.8600000000001</v>
      </c>
      <c r="BI3948" s="9">
        <f t="shared" si="550"/>
        <v>4.3099999999999996</v>
      </c>
      <c r="BJ3948" s="9">
        <f t="shared" si="551"/>
        <v>6.98</v>
      </c>
      <c r="BK3948" s="9">
        <f t="shared" si="552"/>
        <v>22.28</v>
      </c>
      <c r="BL3948" s="9">
        <f t="shared" si="553"/>
        <v>0</v>
      </c>
      <c r="BM3948" s="9">
        <f t="shared" si="554"/>
        <v>5.94</v>
      </c>
      <c r="BN3948" s="9">
        <f t="shared" si="555"/>
        <v>974.35</v>
      </c>
      <c r="BO3948" s="9">
        <f t="shared" si="556"/>
        <v>17.005700000000001</v>
      </c>
      <c r="BP3948" s="9">
        <f t="shared" si="557"/>
        <v>103.96</v>
      </c>
    </row>
    <row r="3949" spans="1:68">
      <c r="A3949" s="6">
        <v>45279</v>
      </c>
      <c r="B3949" s="7">
        <v>3141</v>
      </c>
      <c r="C3949" s="8">
        <v>1233.9100000000001</v>
      </c>
      <c r="D3949" s="8">
        <v>217.75</v>
      </c>
      <c r="E3949" s="8"/>
      <c r="F3949" s="8"/>
      <c r="G3949" s="8"/>
      <c r="H3949" s="8"/>
      <c r="I3949" s="8"/>
      <c r="J3949" s="8"/>
      <c r="K3949" s="8"/>
      <c r="L3949" s="8"/>
      <c r="M3949" s="8">
        <v>4.2</v>
      </c>
      <c r="N3949" s="8"/>
      <c r="O3949" s="8"/>
      <c r="P3949" s="8"/>
      <c r="Q3949" s="11"/>
      <c r="R3949" s="11"/>
      <c r="S3949" s="8">
        <v>6.83</v>
      </c>
      <c r="T3949" s="8"/>
      <c r="U3949" s="8">
        <v>21.78</v>
      </c>
      <c r="V3949" s="8"/>
      <c r="W3949" s="8"/>
      <c r="X3949" s="8"/>
      <c r="Y3949" s="8"/>
      <c r="Z3949" s="8"/>
      <c r="AA3949" s="8"/>
      <c r="AB3949" s="8"/>
      <c r="AC3949" s="8">
        <v>5.8</v>
      </c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11"/>
      <c r="AQ3949" s="8"/>
      <c r="AR3949" s="8"/>
      <c r="AS3949" s="8"/>
      <c r="AT3949" s="8">
        <v>958.13</v>
      </c>
      <c r="AU3949" s="8"/>
      <c r="AV3949" s="8"/>
      <c r="AW3949" s="8"/>
      <c r="AX3949" s="8"/>
      <c r="AY3949" s="8"/>
      <c r="AZ3949" s="8"/>
      <c r="BA3949" s="8">
        <v>33.28</v>
      </c>
      <c r="BB3949" s="8"/>
      <c r="BC3949" s="8"/>
      <c r="BD3949" s="8"/>
      <c r="BE3949" s="8"/>
      <c r="BF3949" s="8">
        <v>101.64</v>
      </c>
      <c r="BG3949" s="8">
        <v>75.239999999999995</v>
      </c>
      <c r="BH3949" s="9">
        <f t="shared" si="549"/>
        <v>1451.66</v>
      </c>
      <c r="BI3949" s="9">
        <f t="shared" si="550"/>
        <v>4.2</v>
      </c>
      <c r="BJ3949" s="9">
        <f t="shared" si="551"/>
        <v>6.83</v>
      </c>
      <c r="BK3949" s="9">
        <f t="shared" si="552"/>
        <v>21.78</v>
      </c>
      <c r="BL3949" s="9">
        <f t="shared" si="553"/>
        <v>0</v>
      </c>
      <c r="BM3949" s="9">
        <f t="shared" si="554"/>
        <v>5.8</v>
      </c>
      <c r="BN3949" s="9">
        <f t="shared" si="555"/>
        <v>958.13</v>
      </c>
      <c r="BO3949" s="9">
        <f t="shared" si="556"/>
        <v>33.28</v>
      </c>
      <c r="BP3949" s="9">
        <f t="shared" si="557"/>
        <v>101.64</v>
      </c>
    </row>
    <row r="3950" spans="1:68">
      <c r="A3950" s="6">
        <v>45279</v>
      </c>
      <c r="B3950" s="7">
        <v>3106</v>
      </c>
      <c r="C3950" s="8">
        <v>8127.38</v>
      </c>
      <c r="D3950" s="8"/>
      <c r="E3950" s="8"/>
      <c r="F3950" s="8"/>
      <c r="G3950" s="8"/>
      <c r="H3950" s="8"/>
      <c r="I3950" s="8"/>
      <c r="J3950" s="8"/>
      <c r="K3950" s="8"/>
      <c r="L3950" s="8"/>
      <c r="M3950" s="8">
        <v>21.95</v>
      </c>
      <c r="N3950" s="8"/>
      <c r="O3950" s="8"/>
      <c r="P3950" s="8"/>
      <c r="Q3950" s="11"/>
      <c r="R3950" s="11"/>
      <c r="S3950" s="8">
        <v>24.44</v>
      </c>
      <c r="T3950" s="8"/>
      <c r="U3950" s="8">
        <v>103.34</v>
      </c>
      <c r="V3950" s="8"/>
      <c r="W3950" s="8"/>
      <c r="X3950" s="8"/>
      <c r="Y3950" s="8"/>
      <c r="Z3950" s="8"/>
      <c r="AA3950" s="8"/>
      <c r="AB3950" s="8"/>
      <c r="AC3950" s="8">
        <v>20.32</v>
      </c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11"/>
      <c r="AQ3950" s="8"/>
      <c r="AR3950" s="8"/>
      <c r="AS3950" s="8"/>
      <c r="AT3950" s="8">
        <v>4634.8599999999997</v>
      </c>
      <c r="AU3950" s="8"/>
      <c r="AV3950" s="8"/>
      <c r="AW3950" s="8"/>
      <c r="AX3950" s="8">
        <v>10.17</v>
      </c>
      <c r="AY3950" s="8"/>
      <c r="AZ3950" s="8"/>
      <c r="BA3950" s="8"/>
      <c r="BB3950" s="8"/>
      <c r="BC3950" s="8"/>
      <c r="BD3950" s="8"/>
      <c r="BE3950" s="8"/>
      <c r="BF3950" s="8"/>
      <c r="BG3950" s="8">
        <v>349.78</v>
      </c>
      <c r="BH3950" s="9">
        <f t="shared" si="549"/>
        <v>8127.38</v>
      </c>
      <c r="BI3950" s="9">
        <f t="shared" si="550"/>
        <v>21.95</v>
      </c>
      <c r="BJ3950" s="9">
        <f t="shared" si="551"/>
        <v>24.44</v>
      </c>
      <c r="BK3950" s="9">
        <f t="shared" si="552"/>
        <v>103.34</v>
      </c>
      <c r="BL3950" s="9">
        <f t="shared" si="553"/>
        <v>0</v>
      </c>
      <c r="BM3950" s="9">
        <f t="shared" si="554"/>
        <v>20.32</v>
      </c>
      <c r="BN3950" s="9">
        <f t="shared" si="555"/>
        <v>4634.8599999999997</v>
      </c>
      <c r="BO3950" s="9">
        <f t="shared" si="556"/>
        <v>10.17</v>
      </c>
      <c r="BP3950" s="9">
        <f t="shared" si="557"/>
        <v>0</v>
      </c>
    </row>
    <row r="3951" spans="1:68">
      <c r="A3951" s="6">
        <v>45279</v>
      </c>
      <c r="B3951" s="7">
        <v>3119</v>
      </c>
      <c r="C3951" s="8">
        <v>2597.3000000000002</v>
      </c>
      <c r="D3951" s="8"/>
      <c r="E3951" s="8"/>
      <c r="F3951" s="8"/>
      <c r="G3951" s="8"/>
      <c r="H3951" s="8"/>
      <c r="I3951" s="8"/>
      <c r="J3951" s="8"/>
      <c r="K3951" s="8"/>
      <c r="L3951" s="8"/>
      <c r="M3951" s="8">
        <v>8.32</v>
      </c>
      <c r="N3951" s="8"/>
      <c r="O3951" s="8"/>
      <c r="P3951" s="8"/>
      <c r="Q3951" s="11"/>
      <c r="R3951" s="11"/>
      <c r="S3951" s="8">
        <v>11.96</v>
      </c>
      <c r="T3951" s="8"/>
      <c r="U3951" s="8">
        <v>25.99</v>
      </c>
      <c r="V3951" s="8"/>
      <c r="W3951" s="8"/>
      <c r="X3951" s="8"/>
      <c r="Y3951" s="8"/>
      <c r="Z3951" s="8"/>
      <c r="AA3951" s="8"/>
      <c r="AB3951" s="8"/>
      <c r="AC3951" s="8">
        <v>6.49</v>
      </c>
      <c r="AD3951" s="8"/>
      <c r="AE3951" s="8"/>
      <c r="AF3951" s="8"/>
      <c r="AG3951" s="8">
        <v>7.82</v>
      </c>
      <c r="AH3951" s="8"/>
      <c r="AI3951" s="8"/>
      <c r="AJ3951" s="8"/>
      <c r="AK3951" s="8"/>
      <c r="AL3951" s="8"/>
      <c r="AM3951" s="8"/>
      <c r="AN3951" s="8"/>
      <c r="AO3951" s="8"/>
      <c r="AP3951" s="11"/>
      <c r="AQ3951" s="8"/>
      <c r="AR3951" s="8"/>
      <c r="AS3951" s="8"/>
      <c r="AT3951" s="8">
        <v>972.61</v>
      </c>
      <c r="AU3951" s="8"/>
      <c r="AV3951" s="8"/>
      <c r="AW3951" s="8"/>
      <c r="AX3951" s="8"/>
      <c r="AY3951" s="8"/>
      <c r="AZ3951" s="8"/>
      <c r="BA3951" s="8"/>
      <c r="BB3951" s="8"/>
      <c r="BC3951" s="8"/>
      <c r="BD3951" s="8"/>
      <c r="BE3951" s="8"/>
      <c r="BF3951" s="8">
        <v>182.01</v>
      </c>
      <c r="BG3951" s="8">
        <v>69.19</v>
      </c>
      <c r="BH3951" s="9">
        <f t="shared" si="549"/>
        <v>2597.3000000000002</v>
      </c>
      <c r="BI3951" s="9">
        <f t="shared" si="550"/>
        <v>8.32</v>
      </c>
      <c r="BJ3951" s="9">
        <f t="shared" si="551"/>
        <v>11.96</v>
      </c>
      <c r="BK3951" s="9">
        <f t="shared" si="552"/>
        <v>25.99</v>
      </c>
      <c r="BL3951" s="9">
        <f t="shared" si="553"/>
        <v>0</v>
      </c>
      <c r="BM3951" s="9">
        <f t="shared" si="554"/>
        <v>14.31</v>
      </c>
      <c r="BN3951" s="9">
        <f t="shared" si="555"/>
        <v>972.61</v>
      </c>
      <c r="BO3951" s="9">
        <f t="shared" si="556"/>
        <v>0</v>
      </c>
      <c r="BP3951" s="9">
        <f t="shared" si="557"/>
        <v>182.01</v>
      </c>
    </row>
    <row r="3952" spans="1:68">
      <c r="A3952" s="6">
        <v>45279</v>
      </c>
      <c r="B3952" s="7">
        <v>3021</v>
      </c>
      <c r="C3952" s="8"/>
      <c r="D3952" s="8">
        <v>207.81</v>
      </c>
      <c r="E3952" s="8"/>
      <c r="F3952" s="8"/>
      <c r="G3952" s="8"/>
      <c r="H3952" s="8"/>
      <c r="I3952" s="8">
        <v>385.22</v>
      </c>
      <c r="J3952" s="8"/>
      <c r="K3952" s="8"/>
      <c r="L3952" s="8"/>
      <c r="M3952" s="8"/>
      <c r="N3952" s="8">
        <v>3.14</v>
      </c>
      <c r="O3952" s="8"/>
      <c r="P3952" s="8"/>
      <c r="Q3952" s="11"/>
      <c r="R3952" s="11"/>
      <c r="S3952" s="8">
        <v>1.07</v>
      </c>
      <c r="T3952" s="8"/>
      <c r="U3952" s="8"/>
      <c r="V3952" s="8"/>
      <c r="W3952" s="8">
        <v>5.93</v>
      </c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>
        <v>5.93</v>
      </c>
      <c r="AN3952" s="8"/>
      <c r="AO3952" s="8"/>
      <c r="AP3952" s="11"/>
      <c r="AQ3952" s="8"/>
      <c r="AR3952" s="8"/>
      <c r="AS3952" s="8">
        <f>2615*5.65/1000</f>
        <v>14.774750000000001</v>
      </c>
      <c r="AT3952" s="8">
        <v>279.45</v>
      </c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  <c r="BF3952" s="8"/>
      <c r="BG3952" s="8">
        <v>21.04</v>
      </c>
      <c r="BH3952" s="9">
        <f t="shared" si="549"/>
        <v>593.03</v>
      </c>
      <c r="BI3952" s="9">
        <f t="shared" si="550"/>
        <v>3.14</v>
      </c>
      <c r="BJ3952" s="9">
        <f t="shared" si="551"/>
        <v>1.07</v>
      </c>
      <c r="BK3952" s="9">
        <f t="shared" si="552"/>
        <v>5.93</v>
      </c>
      <c r="BL3952" s="9">
        <f t="shared" si="553"/>
        <v>0</v>
      </c>
      <c r="BM3952" s="9">
        <f t="shared" si="554"/>
        <v>20.704750000000001</v>
      </c>
      <c r="BN3952" s="9">
        <f t="shared" si="555"/>
        <v>279.45</v>
      </c>
      <c r="BO3952" s="9">
        <f t="shared" si="556"/>
        <v>0</v>
      </c>
      <c r="BP3952" s="9">
        <f t="shared" si="557"/>
        <v>0</v>
      </c>
    </row>
    <row r="3953" spans="1:68">
      <c r="A3953" s="6">
        <v>45279</v>
      </c>
      <c r="B3953" s="7">
        <v>3022</v>
      </c>
      <c r="C3953" s="8"/>
      <c r="D3953" s="8">
        <v>400.02</v>
      </c>
      <c r="E3953" s="8"/>
      <c r="F3953" s="8"/>
      <c r="G3953" s="8"/>
      <c r="H3953" s="8"/>
      <c r="I3953" s="8">
        <v>328.47</v>
      </c>
      <c r="J3953" s="8"/>
      <c r="K3953" s="8"/>
      <c r="L3953" s="8"/>
      <c r="M3953" s="8"/>
      <c r="N3953" s="8">
        <v>3.64</v>
      </c>
      <c r="O3953" s="8"/>
      <c r="P3953" s="8"/>
      <c r="Q3953" s="11"/>
      <c r="R3953" s="11"/>
      <c r="S3953" s="8">
        <v>1.31</v>
      </c>
      <c r="T3953" s="8"/>
      <c r="U3953" s="8"/>
      <c r="V3953" s="8"/>
      <c r="W3953" s="8">
        <v>7.29</v>
      </c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>
        <v>9.44</v>
      </c>
      <c r="AN3953" s="8"/>
      <c r="AO3953" s="8"/>
      <c r="AP3953" s="11"/>
      <c r="AQ3953" s="8"/>
      <c r="AR3953" s="8"/>
      <c r="AS3953" s="8">
        <f>3871*6.62/1000</f>
        <v>25.62602</v>
      </c>
      <c r="AT3953" s="8">
        <v>341.12</v>
      </c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>
        <v>26.22</v>
      </c>
      <c r="BH3953" s="9">
        <f t="shared" si="549"/>
        <v>728.49</v>
      </c>
      <c r="BI3953" s="9">
        <f t="shared" si="550"/>
        <v>3.64</v>
      </c>
      <c r="BJ3953" s="9">
        <f t="shared" si="551"/>
        <v>1.31</v>
      </c>
      <c r="BK3953" s="9">
        <f t="shared" si="552"/>
        <v>7.29</v>
      </c>
      <c r="BL3953" s="9">
        <f t="shared" si="553"/>
        <v>0</v>
      </c>
      <c r="BM3953" s="9">
        <f t="shared" si="554"/>
        <v>35.066020000000002</v>
      </c>
      <c r="BN3953" s="9">
        <f t="shared" si="555"/>
        <v>341.12</v>
      </c>
      <c r="BO3953" s="9">
        <f t="shared" si="556"/>
        <v>0</v>
      </c>
      <c r="BP3953" s="9">
        <f t="shared" si="557"/>
        <v>0</v>
      </c>
    </row>
    <row r="3954" spans="1:68">
      <c r="A3954" s="6">
        <v>45280</v>
      </c>
      <c r="B3954" s="7">
        <v>3205</v>
      </c>
      <c r="C3954" s="8">
        <v>694.93</v>
      </c>
      <c r="D3954" s="8">
        <v>385.54</v>
      </c>
      <c r="E3954" s="8">
        <v>463.26</v>
      </c>
      <c r="F3954" s="8"/>
      <c r="G3954" s="8"/>
      <c r="H3954" s="8"/>
      <c r="I3954" s="8"/>
      <c r="J3954" s="8"/>
      <c r="K3954" s="8"/>
      <c r="L3954" s="8"/>
      <c r="M3954" s="8"/>
      <c r="N3954" s="8"/>
      <c r="O3954" s="8">
        <v>6.2</v>
      </c>
      <c r="P3954" s="8"/>
      <c r="Q3954" s="11"/>
      <c r="R3954" s="11"/>
      <c r="S3954" s="8">
        <v>5.72</v>
      </c>
      <c r="T3954" s="8"/>
      <c r="U3954" s="8">
        <v>18.559999999999999</v>
      </c>
      <c r="V3954" s="8"/>
      <c r="W3954" s="8"/>
      <c r="X3954" s="8"/>
      <c r="Y3954" s="8"/>
      <c r="Z3954" s="8">
        <v>154.71</v>
      </c>
      <c r="AA3954" s="8"/>
      <c r="AB3954" s="8">
        <f>1017*15.45/1000</f>
        <v>15.71265</v>
      </c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11"/>
      <c r="AQ3954" s="8">
        <f>510*15.45/1000</f>
        <v>7.8795000000000002</v>
      </c>
      <c r="AR3954" s="8"/>
      <c r="AS3954" s="8"/>
      <c r="AT3954" s="8">
        <v>403.16</v>
      </c>
      <c r="AU3954" s="8">
        <v>201.22</v>
      </c>
      <c r="AV3954" s="8"/>
      <c r="AW3954" s="8">
        <v>6.65</v>
      </c>
      <c r="AX3954" s="8"/>
      <c r="AY3954" s="8"/>
      <c r="AZ3954" s="8"/>
      <c r="BA3954" s="8"/>
      <c r="BB3954" s="8"/>
      <c r="BC3954" s="8"/>
      <c r="BD3954" s="8"/>
      <c r="BE3954" s="8"/>
      <c r="BF3954" s="8"/>
      <c r="BG3954" s="8">
        <v>36.159999999999997</v>
      </c>
      <c r="BH3954" s="9">
        <f t="shared" si="549"/>
        <v>1543.73</v>
      </c>
      <c r="BI3954" s="9">
        <f t="shared" si="550"/>
        <v>6.2</v>
      </c>
      <c r="BJ3954" s="9">
        <f t="shared" si="551"/>
        <v>5.72</v>
      </c>
      <c r="BK3954" s="9">
        <f t="shared" si="552"/>
        <v>18.559999999999999</v>
      </c>
      <c r="BL3954" s="9">
        <f t="shared" si="553"/>
        <v>154.71</v>
      </c>
      <c r="BM3954" s="9">
        <f t="shared" si="554"/>
        <v>23.59215</v>
      </c>
      <c r="BN3954" s="9">
        <f t="shared" si="555"/>
        <v>604.38</v>
      </c>
      <c r="BO3954" s="9">
        <f t="shared" si="556"/>
        <v>6.65</v>
      </c>
      <c r="BP3954" s="9">
        <f t="shared" si="557"/>
        <v>0</v>
      </c>
    </row>
    <row r="3955" spans="1:68">
      <c r="A3955" s="6">
        <v>45280</v>
      </c>
      <c r="B3955" s="7">
        <v>3083</v>
      </c>
      <c r="C3955" s="8"/>
      <c r="D3955" s="8">
        <v>744.73</v>
      </c>
      <c r="E3955" s="8"/>
      <c r="F3955" s="8"/>
      <c r="G3955" s="8"/>
      <c r="H3955" s="8"/>
      <c r="I3955" s="8">
        <v>1735.79</v>
      </c>
      <c r="J3955" s="8"/>
      <c r="K3955" s="8"/>
      <c r="L3955" s="8"/>
      <c r="M3955" s="8"/>
      <c r="N3955" s="8">
        <v>16.12</v>
      </c>
      <c r="O3955" s="8"/>
      <c r="P3955" s="8"/>
      <c r="Q3955" s="11"/>
      <c r="R3955" s="11"/>
      <c r="S3955" s="8">
        <v>1.73</v>
      </c>
      <c r="T3955" s="8"/>
      <c r="U3955" s="8"/>
      <c r="V3955" s="8"/>
      <c r="W3955" s="8">
        <v>19.84</v>
      </c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>
        <v>9.8800000000000008</v>
      </c>
      <c r="AN3955" s="8">
        <f>1906*18.37/1000</f>
        <v>35.013220000000004</v>
      </c>
      <c r="AO3955" s="8"/>
      <c r="AP3955" s="11"/>
      <c r="AQ3955" s="8"/>
      <c r="AR3955" s="8">
        <f>3438*18.37/1000</f>
        <v>63.156060000000004</v>
      </c>
      <c r="AS3955" s="8"/>
      <c r="AT3955" s="8">
        <v>1167.76</v>
      </c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>
        <v>92.54</v>
      </c>
      <c r="BH3955" s="9">
        <f t="shared" si="549"/>
        <v>2480.52</v>
      </c>
      <c r="BI3955" s="9">
        <f t="shared" si="550"/>
        <v>16.12</v>
      </c>
      <c r="BJ3955" s="9">
        <f t="shared" si="551"/>
        <v>1.73</v>
      </c>
      <c r="BK3955" s="9">
        <f t="shared" si="552"/>
        <v>19.84</v>
      </c>
      <c r="BL3955" s="9">
        <f t="shared" si="553"/>
        <v>0</v>
      </c>
      <c r="BM3955" s="9">
        <f t="shared" si="554"/>
        <v>108.04928000000001</v>
      </c>
      <c r="BN3955" s="9">
        <f t="shared" si="555"/>
        <v>1167.76</v>
      </c>
      <c r="BO3955" s="9">
        <f t="shared" si="556"/>
        <v>0</v>
      </c>
      <c r="BP3955" s="9">
        <f t="shared" si="557"/>
        <v>0</v>
      </c>
    </row>
    <row r="3956" spans="1:68">
      <c r="A3956" s="6">
        <v>45280</v>
      </c>
      <c r="B3956" s="7">
        <v>3016</v>
      </c>
      <c r="C3956" s="8"/>
      <c r="D3956" s="8">
        <v>2389.83</v>
      </c>
      <c r="E3956" s="8"/>
      <c r="F3956" s="8"/>
      <c r="G3956" s="8"/>
      <c r="H3956" s="8"/>
      <c r="I3956" s="8">
        <v>2206.1999999999998</v>
      </c>
      <c r="J3956" s="8"/>
      <c r="K3956" s="8"/>
      <c r="L3956" s="8"/>
      <c r="M3956" s="8"/>
      <c r="N3956" s="8">
        <v>28.95</v>
      </c>
      <c r="O3956" s="8"/>
      <c r="P3956" s="8"/>
      <c r="Q3956" s="11"/>
      <c r="R3956" s="11"/>
      <c r="S3956" s="8">
        <v>3.21</v>
      </c>
      <c r="T3956" s="8"/>
      <c r="U3956" s="8"/>
      <c r="V3956" s="8"/>
      <c r="W3956" s="8">
        <v>45.99</v>
      </c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>
        <v>18.38</v>
      </c>
      <c r="AN3956" s="8">
        <f>2059*27.03/1000</f>
        <v>55.654770000000006</v>
      </c>
      <c r="AO3956" s="8"/>
      <c r="AP3956" s="11"/>
      <c r="AQ3956" s="8"/>
      <c r="AR3956" s="8">
        <f>4291*27.03/1000</f>
        <v>115.98573</v>
      </c>
      <c r="AS3956" s="8"/>
      <c r="AT3956" s="8">
        <v>1709.58</v>
      </c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>
        <v>124.91</v>
      </c>
      <c r="BH3956" s="9">
        <f t="shared" si="549"/>
        <v>4596.03</v>
      </c>
      <c r="BI3956" s="9">
        <f t="shared" si="550"/>
        <v>28.95</v>
      </c>
      <c r="BJ3956" s="9">
        <f t="shared" si="551"/>
        <v>3.21</v>
      </c>
      <c r="BK3956" s="9">
        <f t="shared" si="552"/>
        <v>45.99</v>
      </c>
      <c r="BL3956" s="9">
        <f t="shared" si="553"/>
        <v>0</v>
      </c>
      <c r="BM3956" s="9">
        <f t="shared" si="554"/>
        <v>190.02050000000003</v>
      </c>
      <c r="BN3956" s="9">
        <f t="shared" si="555"/>
        <v>1709.58</v>
      </c>
      <c r="BO3956" s="9">
        <f t="shared" si="556"/>
        <v>0</v>
      </c>
      <c r="BP3956" s="9">
        <f t="shared" si="557"/>
        <v>0</v>
      </c>
    </row>
    <row r="3957" spans="1:68">
      <c r="A3957" s="6">
        <v>45280</v>
      </c>
      <c r="B3957" s="7">
        <v>3701</v>
      </c>
      <c r="C3957" s="8">
        <v>370.08</v>
      </c>
      <c r="D3957" s="8"/>
      <c r="E3957" s="8"/>
      <c r="F3957" s="8"/>
      <c r="G3957" s="8"/>
      <c r="H3957" s="8"/>
      <c r="I3957" s="8"/>
      <c r="J3957" s="8">
        <f>48204*12.5/1000</f>
        <v>602.54999999999995</v>
      </c>
      <c r="K3957" s="8"/>
      <c r="L3957" s="8"/>
      <c r="M3957" s="8"/>
      <c r="N3957" s="8">
        <v>2.29</v>
      </c>
      <c r="O3957" s="8"/>
      <c r="P3957" s="8"/>
      <c r="Q3957" s="11"/>
      <c r="R3957" s="11"/>
      <c r="S3957" s="8">
        <v>2.7</v>
      </c>
      <c r="T3957" s="8"/>
      <c r="U3957" s="8">
        <v>6.01</v>
      </c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>
        <v>20.059999999999999</v>
      </c>
      <c r="AH3957" s="8"/>
      <c r="AI3957" s="8"/>
      <c r="AJ3957" s="8">
        <f>2450*12.5/1000</f>
        <v>30.625</v>
      </c>
      <c r="AK3957" s="8"/>
      <c r="AL3957" s="8"/>
      <c r="AM3957" s="8"/>
      <c r="AN3957" s="8"/>
      <c r="AO3957" s="8"/>
      <c r="AP3957" s="11"/>
      <c r="AQ3957" s="8"/>
      <c r="AR3957" s="8"/>
      <c r="AS3957" s="8"/>
      <c r="AT3957" s="8"/>
      <c r="AU3957" s="8">
        <v>352.85</v>
      </c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>
        <v>23.98</v>
      </c>
      <c r="BH3957" s="9">
        <f t="shared" si="549"/>
        <v>972.62999999999988</v>
      </c>
      <c r="BI3957" s="9">
        <f t="shared" si="550"/>
        <v>2.29</v>
      </c>
      <c r="BJ3957" s="9">
        <f t="shared" si="551"/>
        <v>2.7</v>
      </c>
      <c r="BK3957" s="9">
        <f t="shared" si="552"/>
        <v>6.01</v>
      </c>
      <c r="BL3957" s="9">
        <f t="shared" si="553"/>
        <v>0</v>
      </c>
      <c r="BM3957" s="9">
        <f t="shared" si="554"/>
        <v>50.685000000000002</v>
      </c>
      <c r="BN3957" s="9">
        <f t="shared" si="555"/>
        <v>352.85</v>
      </c>
      <c r="BO3957" s="9">
        <f t="shared" si="556"/>
        <v>0</v>
      </c>
      <c r="BP3957" s="9">
        <f t="shared" si="557"/>
        <v>0</v>
      </c>
    </row>
    <row r="3958" spans="1:68">
      <c r="A3958" s="6">
        <v>45281</v>
      </c>
      <c r="B3958" s="7">
        <v>3304</v>
      </c>
      <c r="C3958" s="8"/>
      <c r="D3958" s="8">
        <v>2221.7800000000002</v>
      </c>
      <c r="E3958" s="8"/>
      <c r="F3958" s="8"/>
      <c r="G3958" s="8"/>
      <c r="H3958" s="8"/>
      <c r="I3958" s="8"/>
      <c r="J3958" s="8"/>
      <c r="K3958" s="8"/>
      <c r="L3958" s="8"/>
      <c r="M3958" s="8">
        <v>4.43</v>
      </c>
      <c r="N3958" s="8"/>
      <c r="O3958" s="8"/>
      <c r="P3958" s="8"/>
      <c r="Q3958" s="11"/>
      <c r="R3958" s="11"/>
      <c r="S3958" s="8">
        <v>3.33</v>
      </c>
      <c r="T3958" s="8"/>
      <c r="U3958" s="8">
        <v>20.05</v>
      </c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>
        <v>22.25</v>
      </c>
      <c r="AH3958" s="8"/>
      <c r="AI3958" s="8"/>
      <c r="AJ3958" s="8"/>
      <c r="AK3958" s="8"/>
      <c r="AL3958" s="8"/>
      <c r="AM3958" s="8"/>
      <c r="AN3958" s="8"/>
      <c r="AO3958" s="8"/>
      <c r="AP3958" s="11"/>
      <c r="AQ3958" s="8"/>
      <c r="AR3958" s="8"/>
      <c r="AS3958" s="8"/>
      <c r="AT3958" s="8">
        <v>588.58000000000004</v>
      </c>
      <c r="AU3958" s="8">
        <v>296.81</v>
      </c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>
        <v>62.2</v>
      </c>
      <c r="BH3958" s="9">
        <f t="shared" si="549"/>
        <v>2221.7800000000002</v>
      </c>
      <c r="BI3958" s="9">
        <f t="shared" si="550"/>
        <v>4.43</v>
      </c>
      <c r="BJ3958" s="9">
        <f t="shared" si="551"/>
        <v>3.33</v>
      </c>
      <c r="BK3958" s="9">
        <f t="shared" si="552"/>
        <v>20.05</v>
      </c>
      <c r="BL3958" s="9">
        <f t="shared" si="553"/>
        <v>0</v>
      </c>
      <c r="BM3958" s="9">
        <f t="shared" si="554"/>
        <v>22.25</v>
      </c>
      <c r="BN3958" s="9">
        <f t="shared" si="555"/>
        <v>885.3900000000001</v>
      </c>
      <c r="BO3958" s="9">
        <f t="shared" si="556"/>
        <v>0</v>
      </c>
      <c r="BP3958" s="9">
        <f t="shared" si="557"/>
        <v>0</v>
      </c>
    </row>
    <row r="3959" spans="1:68">
      <c r="A3959" s="6">
        <v>45281</v>
      </c>
      <c r="B3959" s="7">
        <v>3704</v>
      </c>
      <c r="C3959" s="8">
        <v>359.29</v>
      </c>
      <c r="D3959" s="8">
        <v>531</v>
      </c>
      <c r="E3959" s="8"/>
      <c r="F3959" s="8"/>
      <c r="G3959" s="8"/>
      <c r="H3959" s="8"/>
      <c r="I3959" s="8"/>
      <c r="J3959" s="8"/>
      <c r="K3959" s="8"/>
      <c r="L3959" s="8"/>
      <c r="M3959" s="8">
        <v>2.67</v>
      </c>
      <c r="N3959" s="8"/>
      <c r="O3959" s="8"/>
      <c r="P3959" s="8"/>
      <c r="Q3959" s="11"/>
      <c r="R3959" s="11"/>
      <c r="S3959" s="8">
        <v>3.1</v>
      </c>
      <c r="T3959" s="8"/>
      <c r="U3959" s="8">
        <v>6.68</v>
      </c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>
        <v>10.63</v>
      </c>
      <c r="AN3959" s="8"/>
      <c r="AO3959" s="8"/>
      <c r="AP3959" s="11"/>
      <c r="AQ3959" s="8"/>
      <c r="AR3959" s="8"/>
      <c r="AS3959" s="8"/>
      <c r="AT3959" s="8">
        <v>152.88999999999999</v>
      </c>
      <c r="AU3959" s="8">
        <v>76.73</v>
      </c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>
        <v>14.44</v>
      </c>
      <c r="BH3959" s="9">
        <f t="shared" si="549"/>
        <v>890.29</v>
      </c>
      <c r="BI3959" s="9">
        <f t="shared" si="550"/>
        <v>2.67</v>
      </c>
      <c r="BJ3959" s="9">
        <f t="shared" si="551"/>
        <v>3.1</v>
      </c>
      <c r="BK3959" s="9">
        <f t="shared" si="552"/>
        <v>6.68</v>
      </c>
      <c r="BL3959" s="9">
        <f t="shared" si="553"/>
        <v>0</v>
      </c>
      <c r="BM3959" s="9">
        <f t="shared" si="554"/>
        <v>10.63</v>
      </c>
      <c r="BN3959" s="9">
        <f t="shared" si="555"/>
        <v>229.62</v>
      </c>
      <c r="BO3959" s="9">
        <f t="shared" si="556"/>
        <v>0</v>
      </c>
      <c r="BP3959" s="9">
        <f t="shared" si="557"/>
        <v>0</v>
      </c>
    </row>
    <row r="3960" spans="1:68">
      <c r="A3960" s="6">
        <v>45281</v>
      </c>
      <c r="B3960" s="7">
        <v>3151</v>
      </c>
      <c r="C3960" s="8">
        <v>1331.21</v>
      </c>
      <c r="D3960" s="8"/>
      <c r="E3960" s="8"/>
      <c r="F3960" s="8"/>
      <c r="G3960" s="8"/>
      <c r="H3960" s="8"/>
      <c r="I3960" s="8"/>
      <c r="J3960" s="8"/>
      <c r="K3960" s="8"/>
      <c r="L3960" s="8"/>
      <c r="M3960" s="8">
        <v>4.01</v>
      </c>
      <c r="N3960" s="8"/>
      <c r="O3960" s="8"/>
      <c r="P3960" s="8"/>
      <c r="Q3960" s="11"/>
      <c r="R3960" s="11"/>
      <c r="S3960" s="8">
        <v>5.09</v>
      </c>
      <c r="T3960" s="8"/>
      <c r="U3960" s="8">
        <v>17.03</v>
      </c>
      <c r="V3960" s="8"/>
      <c r="W3960" s="8"/>
      <c r="X3960" s="8"/>
      <c r="Y3960" s="8"/>
      <c r="Z3960" s="8"/>
      <c r="AA3960" s="8"/>
      <c r="AB3960" s="8"/>
      <c r="AC3960" s="8">
        <v>3.34</v>
      </c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11"/>
      <c r="AQ3960" s="8"/>
      <c r="AR3960" s="8"/>
      <c r="AS3960" s="8"/>
      <c r="AT3960" s="8">
        <v>599.59</v>
      </c>
      <c r="AU3960" s="8"/>
      <c r="AV3960" s="8">
        <v>13.35</v>
      </c>
      <c r="AW3960" s="8"/>
      <c r="AX3960" s="8"/>
      <c r="AY3960" s="8"/>
      <c r="AZ3960" s="8"/>
      <c r="BA3960" s="8"/>
      <c r="BB3960" s="8"/>
      <c r="BC3960" s="8"/>
      <c r="BD3960" s="8"/>
      <c r="BE3960" s="8"/>
      <c r="BF3960" s="8">
        <v>53.63</v>
      </c>
      <c r="BG3960" s="8">
        <v>42.97</v>
      </c>
      <c r="BH3960" s="9">
        <f t="shared" si="549"/>
        <v>1331.21</v>
      </c>
      <c r="BI3960" s="9">
        <f t="shared" si="550"/>
        <v>4.01</v>
      </c>
      <c r="BJ3960" s="9">
        <f t="shared" si="551"/>
        <v>5.09</v>
      </c>
      <c r="BK3960" s="9">
        <f t="shared" si="552"/>
        <v>17.03</v>
      </c>
      <c r="BL3960" s="9">
        <f t="shared" si="553"/>
        <v>0</v>
      </c>
      <c r="BM3960" s="9">
        <f t="shared" si="554"/>
        <v>3.34</v>
      </c>
      <c r="BN3960" s="9">
        <f t="shared" si="555"/>
        <v>599.59</v>
      </c>
      <c r="BO3960" s="9">
        <f t="shared" si="556"/>
        <v>13.35</v>
      </c>
      <c r="BP3960" s="9">
        <f t="shared" si="557"/>
        <v>53.63</v>
      </c>
    </row>
    <row r="3961" spans="1:68">
      <c r="A3961" s="6">
        <v>45281</v>
      </c>
      <c r="B3961" s="7">
        <v>3145</v>
      </c>
      <c r="C3961" s="8">
        <v>699.75</v>
      </c>
      <c r="D3961" s="8">
        <v>122.74</v>
      </c>
      <c r="E3961" s="8"/>
      <c r="F3961" s="8"/>
      <c r="G3961" s="8"/>
      <c r="H3961" s="8"/>
      <c r="I3961" s="8"/>
      <c r="J3961" s="8"/>
      <c r="K3961" s="8"/>
      <c r="L3961" s="8"/>
      <c r="M3961" s="8">
        <v>2.37</v>
      </c>
      <c r="N3961" s="8"/>
      <c r="O3961" s="8"/>
      <c r="P3961" s="8"/>
      <c r="Q3961" s="11"/>
      <c r="R3961" s="11"/>
      <c r="S3961" s="8">
        <v>3.85</v>
      </c>
      <c r="T3961" s="8"/>
      <c r="U3961" s="8">
        <v>12.3</v>
      </c>
      <c r="V3961" s="8"/>
      <c r="W3961" s="8"/>
      <c r="X3961" s="8"/>
      <c r="Y3961" s="8"/>
      <c r="Z3961" s="8"/>
      <c r="AA3961" s="8"/>
      <c r="AB3961" s="8"/>
      <c r="AC3961" s="8">
        <v>3.28</v>
      </c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11"/>
      <c r="AQ3961" s="8"/>
      <c r="AR3961" s="8"/>
      <c r="AS3961" s="8"/>
      <c r="AT3961" s="8">
        <v>540.21</v>
      </c>
      <c r="AU3961" s="8"/>
      <c r="AV3961" s="8"/>
      <c r="AW3961" s="8"/>
      <c r="AX3961" s="8"/>
      <c r="AY3961" s="8"/>
      <c r="AZ3961" s="8"/>
      <c r="BA3961" s="8"/>
      <c r="BB3961" s="8"/>
      <c r="BC3961" s="8"/>
      <c r="BD3961" s="8">
        <v>2.0499999999999998</v>
      </c>
      <c r="BE3961" s="8">
        <f>1373*5.45/1000</f>
        <v>7.48285</v>
      </c>
      <c r="BF3961" s="8">
        <v>57.37</v>
      </c>
      <c r="BG3961" s="8">
        <v>42.42</v>
      </c>
      <c r="BH3961" s="9">
        <f t="shared" si="549"/>
        <v>822.49</v>
      </c>
      <c r="BI3961" s="9">
        <f t="shared" si="550"/>
        <v>2.37</v>
      </c>
      <c r="BJ3961" s="9">
        <f t="shared" si="551"/>
        <v>3.85</v>
      </c>
      <c r="BK3961" s="9">
        <f t="shared" si="552"/>
        <v>12.3</v>
      </c>
      <c r="BL3961" s="9">
        <f t="shared" si="553"/>
        <v>0</v>
      </c>
      <c r="BM3961" s="9">
        <f t="shared" si="554"/>
        <v>3.28</v>
      </c>
      <c r="BN3961" s="9">
        <f t="shared" si="555"/>
        <v>540.21</v>
      </c>
      <c r="BO3961" s="9">
        <f t="shared" si="556"/>
        <v>9.5328499999999998</v>
      </c>
      <c r="BP3961" s="9">
        <f t="shared" si="557"/>
        <v>57.37</v>
      </c>
    </row>
    <row r="3962" spans="1:68">
      <c r="A3962" s="6">
        <v>45281</v>
      </c>
      <c r="B3962" s="7">
        <v>3141</v>
      </c>
      <c r="C3962" s="8">
        <v>1224.23</v>
      </c>
      <c r="D3962" s="8">
        <v>215.77</v>
      </c>
      <c r="E3962" s="8"/>
      <c r="F3962" s="8"/>
      <c r="G3962" s="8"/>
      <c r="H3962" s="8"/>
      <c r="I3962" s="8"/>
      <c r="J3962" s="8"/>
      <c r="K3962" s="8"/>
      <c r="L3962" s="8"/>
      <c r="M3962" s="8">
        <v>4.16</v>
      </c>
      <c r="N3962" s="8"/>
      <c r="O3962" s="8"/>
      <c r="P3962" s="8"/>
      <c r="Q3962" s="11"/>
      <c r="R3962" s="11"/>
      <c r="S3962" s="8">
        <v>6.77</v>
      </c>
      <c r="T3962" s="8"/>
      <c r="U3962" s="8">
        <v>21.6</v>
      </c>
      <c r="V3962" s="8"/>
      <c r="W3962" s="8"/>
      <c r="X3962" s="8"/>
      <c r="Y3962" s="8"/>
      <c r="Z3962" s="8"/>
      <c r="AA3962" s="8"/>
      <c r="AB3962" s="8"/>
      <c r="AC3962" s="8">
        <v>5.76</v>
      </c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11"/>
      <c r="AQ3962" s="8"/>
      <c r="AR3962" s="8"/>
      <c r="AS3962" s="8"/>
      <c r="AT3962" s="8">
        <v>945.97</v>
      </c>
      <c r="AU3962" s="8"/>
      <c r="AV3962" s="8"/>
      <c r="AW3962" s="8"/>
      <c r="AX3962" s="8"/>
      <c r="AY3962" s="8"/>
      <c r="AZ3962" s="8"/>
      <c r="BA3962" s="8">
        <v>32.979999999999997</v>
      </c>
      <c r="BB3962" s="8"/>
      <c r="BC3962" s="8"/>
      <c r="BD3962" s="8"/>
      <c r="BE3962" s="8"/>
      <c r="BF3962" s="8">
        <v>100.68</v>
      </c>
      <c r="BG3962" s="8">
        <v>74.78</v>
      </c>
      <c r="BH3962" s="9">
        <f t="shared" si="549"/>
        <v>1440</v>
      </c>
      <c r="BI3962" s="9">
        <f t="shared" si="550"/>
        <v>4.16</v>
      </c>
      <c r="BJ3962" s="9">
        <f t="shared" si="551"/>
        <v>6.77</v>
      </c>
      <c r="BK3962" s="9">
        <f t="shared" si="552"/>
        <v>21.6</v>
      </c>
      <c r="BL3962" s="9">
        <f t="shared" si="553"/>
        <v>0</v>
      </c>
      <c r="BM3962" s="9">
        <f t="shared" si="554"/>
        <v>5.76</v>
      </c>
      <c r="BN3962" s="9">
        <f t="shared" si="555"/>
        <v>945.97</v>
      </c>
      <c r="BO3962" s="9">
        <f t="shared" si="556"/>
        <v>32.979999999999997</v>
      </c>
      <c r="BP3962" s="9">
        <f t="shared" si="557"/>
        <v>100.68</v>
      </c>
    </row>
    <row r="3963" spans="1:68">
      <c r="A3963" s="6">
        <v>45281</v>
      </c>
      <c r="B3963" s="7">
        <v>3106</v>
      </c>
      <c r="C3963" s="8">
        <v>6110.22</v>
      </c>
      <c r="D3963" s="8"/>
      <c r="E3963" s="8"/>
      <c r="F3963" s="8"/>
      <c r="G3963" s="8"/>
      <c r="H3963" s="8"/>
      <c r="I3963" s="8"/>
      <c r="J3963" s="8"/>
      <c r="K3963" s="8"/>
      <c r="L3963" s="8"/>
      <c r="M3963" s="8">
        <v>16.46</v>
      </c>
      <c r="N3963" s="8"/>
      <c r="O3963" s="8"/>
      <c r="P3963" s="8"/>
      <c r="Q3963" s="11"/>
      <c r="R3963" s="11"/>
      <c r="S3963" s="8">
        <v>18.36</v>
      </c>
      <c r="T3963" s="8"/>
      <c r="U3963" s="8">
        <v>77.7</v>
      </c>
      <c r="V3963" s="8"/>
      <c r="W3963" s="8"/>
      <c r="X3963" s="8"/>
      <c r="Y3963" s="8"/>
      <c r="Z3963" s="8"/>
      <c r="AA3963" s="8"/>
      <c r="AB3963" s="8"/>
      <c r="AC3963" s="8">
        <v>15.27</v>
      </c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11"/>
      <c r="AQ3963" s="8"/>
      <c r="AR3963" s="8"/>
      <c r="AS3963" s="8"/>
      <c r="AT3963" s="8">
        <v>3481.95</v>
      </c>
      <c r="AU3963" s="8"/>
      <c r="AV3963" s="8"/>
      <c r="AW3963" s="8"/>
      <c r="AX3963" s="8">
        <v>7.64</v>
      </c>
      <c r="AY3963" s="8"/>
      <c r="AZ3963" s="8"/>
      <c r="BA3963" s="8"/>
      <c r="BB3963" s="8"/>
      <c r="BC3963" s="8"/>
      <c r="BD3963" s="8"/>
      <c r="BE3963" s="8"/>
      <c r="BF3963" s="8"/>
      <c r="BG3963" s="8">
        <v>263.64999999999998</v>
      </c>
      <c r="BH3963" s="9">
        <f t="shared" si="549"/>
        <v>6110.22</v>
      </c>
      <c r="BI3963" s="9">
        <f t="shared" si="550"/>
        <v>16.46</v>
      </c>
      <c r="BJ3963" s="9">
        <f t="shared" si="551"/>
        <v>18.36</v>
      </c>
      <c r="BK3963" s="9">
        <f t="shared" si="552"/>
        <v>77.7</v>
      </c>
      <c r="BL3963" s="9">
        <f t="shared" si="553"/>
        <v>0</v>
      </c>
      <c r="BM3963" s="9">
        <f t="shared" si="554"/>
        <v>15.27</v>
      </c>
      <c r="BN3963" s="9">
        <f t="shared" si="555"/>
        <v>3481.95</v>
      </c>
      <c r="BO3963" s="9">
        <f t="shared" si="556"/>
        <v>7.64</v>
      </c>
      <c r="BP3963" s="9">
        <f t="shared" si="557"/>
        <v>0</v>
      </c>
    </row>
    <row r="3964" spans="1:68">
      <c r="A3964" s="6">
        <v>45281</v>
      </c>
      <c r="B3964" s="7">
        <v>3113</v>
      </c>
      <c r="C3964" s="8">
        <v>1552.68</v>
      </c>
      <c r="D3964" s="8"/>
      <c r="E3964" s="8"/>
      <c r="F3964" s="8"/>
      <c r="G3964" s="8"/>
      <c r="H3964" s="8"/>
      <c r="I3964" s="8"/>
      <c r="J3964" s="8"/>
      <c r="K3964" s="8"/>
      <c r="L3964" s="8"/>
      <c r="M3964" s="8">
        <v>1.41</v>
      </c>
      <c r="N3964" s="8">
        <v>1.41</v>
      </c>
      <c r="O3964" s="8"/>
      <c r="P3964" s="8"/>
      <c r="Q3964" s="11"/>
      <c r="R3964" s="11"/>
      <c r="S3964" s="8">
        <v>4.7</v>
      </c>
      <c r="T3964" s="8"/>
      <c r="U3964" s="8">
        <v>15.53</v>
      </c>
      <c r="V3964" s="8"/>
      <c r="W3964" s="8"/>
      <c r="X3964" s="8"/>
      <c r="Y3964" s="8"/>
      <c r="Z3964" s="8"/>
      <c r="AA3964" s="8"/>
      <c r="AB3964" s="8"/>
      <c r="AC3964" s="8">
        <v>6.21</v>
      </c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11"/>
      <c r="AQ3964" s="8"/>
      <c r="AR3964" s="8"/>
      <c r="AS3964" s="8"/>
      <c r="AT3964" s="8">
        <v>652.46</v>
      </c>
      <c r="AU3964" s="8"/>
      <c r="AV3964" s="8">
        <v>52.87</v>
      </c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>
        <v>46.59</v>
      </c>
      <c r="BH3964" s="9">
        <f t="shared" si="549"/>
        <v>1552.68</v>
      </c>
      <c r="BI3964" s="9">
        <f t="shared" si="550"/>
        <v>2.82</v>
      </c>
      <c r="BJ3964" s="9">
        <f t="shared" si="551"/>
        <v>4.7</v>
      </c>
      <c r="BK3964" s="9">
        <f t="shared" si="552"/>
        <v>15.53</v>
      </c>
      <c r="BL3964" s="9">
        <f t="shared" si="553"/>
        <v>0</v>
      </c>
      <c r="BM3964" s="9">
        <f t="shared" si="554"/>
        <v>6.21</v>
      </c>
      <c r="BN3964" s="9">
        <f t="shared" si="555"/>
        <v>652.46</v>
      </c>
      <c r="BO3964" s="9">
        <f t="shared" si="556"/>
        <v>52.87</v>
      </c>
      <c r="BP3964" s="9">
        <f t="shared" si="557"/>
        <v>0</v>
      </c>
    </row>
    <row r="3965" spans="1:68">
      <c r="A3965" s="6">
        <v>45281</v>
      </c>
      <c r="B3965" s="7">
        <v>3020</v>
      </c>
      <c r="C3965" s="8"/>
      <c r="D3965" s="8">
        <v>172.03</v>
      </c>
      <c r="E3965" s="8"/>
      <c r="F3965" s="8"/>
      <c r="G3965" s="8"/>
      <c r="H3965" s="8"/>
      <c r="I3965" s="8">
        <v>968.5</v>
      </c>
      <c r="J3965" s="8"/>
      <c r="K3965" s="8"/>
      <c r="L3965" s="8"/>
      <c r="M3965" s="8"/>
      <c r="N3965" s="8">
        <v>6.98</v>
      </c>
      <c r="O3965" s="8"/>
      <c r="P3965" s="8"/>
      <c r="Q3965" s="11"/>
      <c r="R3965" s="11"/>
      <c r="S3965" s="8">
        <v>2.0499999999999998</v>
      </c>
      <c r="T3965" s="8"/>
      <c r="U3965" s="8"/>
      <c r="V3965" s="8"/>
      <c r="W3965" s="8">
        <v>11.46</v>
      </c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>
        <v>11.41</v>
      </c>
      <c r="AN3965" s="8"/>
      <c r="AO3965" s="8"/>
      <c r="AP3965" s="11"/>
      <c r="AQ3965" s="8"/>
      <c r="AR3965" s="8"/>
      <c r="AS3965" s="8">
        <f>3042*9.53/1000</f>
        <v>28.990259999999999</v>
      </c>
      <c r="AT3965" s="8">
        <v>562.53</v>
      </c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>
        <v>41.14</v>
      </c>
      <c r="BH3965" s="9">
        <f t="shared" si="549"/>
        <v>1140.53</v>
      </c>
      <c r="BI3965" s="9">
        <f t="shared" si="550"/>
        <v>6.98</v>
      </c>
      <c r="BJ3965" s="9">
        <f t="shared" si="551"/>
        <v>2.0499999999999998</v>
      </c>
      <c r="BK3965" s="9">
        <f t="shared" si="552"/>
        <v>11.46</v>
      </c>
      <c r="BL3965" s="9">
        <f t="shared" si="553"/>
        <v>0</v>
      </c>
      <c r="BM3965" s="9">
        <f t="shared" si="554"/>
        <v>40.400260000000003</v>
      </c>
      <c r="BN3965" s="9">
        <f t="shared" si="555"/>
        <v>562.53</v>
      </c>
      <c r="BO3965" s="9">
        <f t="shared" si="556"/>
        <v>0</v>
      </c>
      <c r="BP3965" s="9">
        <f t="shared" si="557"/>
        <v>0</v>
      </c>
    </row>
    <row r="3966" spans="1:68">
      <c r="A3966" s="6">
        <v>45281</v>
      </c>
      <c r="B3966" s="7">
        <v>3022</v>
      </c>
      <c r="C3966" s="8"/>
      <c r="D3966" s="8">
        <v>585.6</v>
      </c>
      <c r="E3966" s="8"/>
      <c r="F3966" s="8"/>
      <c r="G3966" s="8"/>
      <c r="H3966" s="8"/>
      <c r="I3966" s="8">
        <v>475.79</v>
      </c>
      <c r="J3966" s="8"/>
      <c r="K3966" s="8"/>
      <c r="L3966" s="8"/>
      <c r="M3966" s="8"/>
      <c r="N3966" s="8">
        <v>5.33</v>
      </c>
      <c r="O3966" s="8"/>
      <c r="P3966" s="8"/>
      <c r="Q3966" s="11"/>
      <c r="R3966" s="11"/>
      <c r="S3966" s="8">
        <v>1.91</v>
      </c>
      <c r="T3966" s="8"/>
      <c r="U3966" s="8"/>
      <c r="V3966" s="8"/>
      <c r="W3966" s="8">
        <v>10.61</v>
      </c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>
        <v>13.78</v>
      </c>
      <c r="AN3966" s="8"/>
      <c r="AO3966" s="8"/>
      <c r="AP3966" s="11"/>
      <c r="AQ3966" s="8"/>
      <c r="AR3966" s="8"/>
      <c r="AS3966" s="8">
        <f>3911*9.67/1000</f>
        <v>37.819369999999999</v>
      </c>
      <c r="AT3966" s="8">
        <v>497.92</v>
      </c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>
        <v>38.24</v>
      </c>
      <c r="BH3966" s="9">
        <f t="shared" si="549"/>
        <v>1061.3900000000001</v>
      </c>
      <c r="BI3966" s="9">
        <f t="shared" si="550"/>
        <v>5.33</v>
      </c>
      <c r="BJ3966" s="9">
        <f t="shared" si="551"/>
        <v>1.91</v>
      </c>
      <c r="BK3966" s="9">
        <f t="shared" si="552"/>
        <v>10.61</v>
      </c>
      <c r="BL3966" s="9">
        <f t="shared" si="553"/>
        <v>0</v>
      </c>
      <c r="BM3966" s="9">
        <f t="shared" si="554"/>
        <v>51.59937</v>
      </c>
      <c r="BN3966" s="9">
        <f t="shared" si="555"/>
        <v>497.92</v>
      </c>
      <c r="BO3966" s="9">
        <f t="shared" si="556"/>
        <v>0</v>
      </c>
      <c r="BP3966" s="9">
        <f t="shared" si="557"/>
        <v>0</v>
      </c>
    </row>
    <row r="3967" spans="1:68">
      <c r="A3967" s="6">
        <v>45282</v>
      </c>
      <c r="B3967" s="7">
        <v>3200</v>
      </c>
      <c r="C3967" s="8">
        <v>2307.4</v>
      </c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>
        <v>5.79</v>
      </c>
      <c r="P3967" s="8"/>
      <c r="Q3967" s="11"/>
      <c r="R3967" s="11"/>
      <c r="S3967" s="8">
        <v>9.01</v>
      </c>
      <c r="T3967" s="8"/>
      <c r="U3967" s="8">
        <v>34.67</v>
      </c>
      <c r="V3967" s="8"/>
      <c r="W3967" s="8"/>
      <c r="X3967" s="8"/>
      <c r="Y3967" s="8"/>
      <c r="Z3967" s="8">
        <v>484.84</v>
      </c>
      <c r="AA3967" s="8"/>
      <c r="AB3967" s="8"/>
      <c r="AC3967" s="8"/>
      <c r="AD3967" s="8"/>
      <c r="AE3967" s="8"/>
      <c r="AF3967" s="8">
        <v>114.88</v>
      </c>
      <c r="AG3967" s="8"/>
      <c r="AH3967" s="8"/>
      <c r="AI3967" s="8"/>
      <c r="AJ3967" s="8"/>
      <c r="AK3967" s="8"/>
      <c r="AL3967" s="8"/>
      <c r="AM3967" s="8"/>
      <c r="AN3967" s="8"/>
      <c r="AO3967" s="8"/>
      <c r="AP3967" s="11"/>
      <c r="AQ3967" s="8">
        <f>1538*23.08/1000</f>
        <v>35.497039999999998</v>
      </c>
      <c r="AR3967" s="8"/>
      <c r="AS3967" s="8"/>
      <c r="AT3967" s="8">
        <v>1579.11</v>
      </c>
      <c r="AU3967" s="8"/>
      <c r="AV3967" s="8"/>
      <c r="AW3967" s="8">
        <v>6.65</v>
      </c>
      <c r="AX3967" s="8"/>
      <c r="AY3967" s="8"/>
      <c r="AZ3967" s="8"/>
      <c r="BA3967" s="8"/>
      <c r="BB3967" s="8"/>
      <c r="BC3967" s="8"/>
      <c r="BD3967" s="8"/>
      <c r="BE3967" s="8"/>
      <c r="BF3967" s="8">
        <v>110.91</v>
      </c>
      <c r="BG3967" s="8">
        <v>114.38</v>
      </c>
      <c r="BH3967" s="9">
        <f t="shared" si="549"/>
        <v>2307.4</v>
      </c>
      <c r="BI3967" s="9">
        <f t="shared" si="550"/>
        <v>5.79</v>
      </c>
      <c r="BJ3967" s="9">
        <f t="shared" si="551"/>
        <v>9.01</v>
      </c>
      <c r="BK3967" s="9">
        <f t="shared" si="552"/>
        <v>34.67</v>
      </c>
      <c r="BL3967" s="9">
        <f t="shared" si="553"/>
        <v>484.84</v>
      </c>
      <c r="BM3967" s="9">
        <f t="shared" si="554"/>
        <v>150.37703999999999</v>
      </c>
      <c r="BN3967" s="9">
        <f t="shared" si="555"/>
        <v>1579.11</v>
      </c>
      <c r="BO3967" s="9">
        <f t="shared" si="556"/>
        <v>6.65</v>
      </c>
      <c r="BP3967" s="9">
        <f t="shared" si="557"/>
        <v>110.91</v>
      </c>
    </row>
    <row r="3968" spans="1:68">
      <c r="A3968" s="6">
        <v>45282</v>
      </c>
      <c r="B3968" s="7">
        <v>3023</v>
      </c>
      <c r="C3968" s="8"/>
      <c r="D3968" s="8">
        <v>912.68</v>
      </c>
      <c r="E3968" s="8"/>
      <c r="F3968" s="8"/>
      <c r="G3968" s="8"/>
      <c r="H3968" s="8"/>
      <c r="I3968" s="8">
        <v>491.89</v>
      </c>
      <c r="J3968" s="8"/>
      <c r="K3968" s="8"/>
      <c r="L3968" s="8"/>
      <c r="M3968" s="8"/>
      <c r="N3968" s="8">
        <v>7.88</v>
      </c>
      <c r="O3968" s="8"/>
      <c r="P3968" s="8"/>
      <c r="Q3968" s="11"/>
      <c r="R3968" s="11"/>
      <c r="S3968" s="8">
        <v>2.2400000000000002</v>
      </c>
      <c r="T3968" s="8"/>
      <c r="U3968" s="8"/>
      <c r="V3968" s="8"/>
      <c r="W3968" s="8">
        <v>12.64</v>
      </c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>
        <v>14.03</v>
      </c>
      <c r="AN3968" s="8">
        <f>1028*9.68/1000</f>
        <v>9.951039999999999</v>
      </c>
      <c r="AO3968" s="8"/>
      <c r="AP3968" s="11"/>
      <c r="AQ3968" s="8"/>
      <c r="AR3968" s="8"/>
      <c r="AS3968" s="8">
        <f>4795*9.68/1000</f>
        <v>46.415599999999998</v>
      </c>
      <c r="AT3968" s="8">
        <v>575.13</v>
      </c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>
        <v>43.55</v>
      </c>
      <c r="BH3968" s="9">
        <f t="shared" si="549"/>
        <v>1404.57</v>
      </c>
      <c r="BI3968" s="9">
        <f t="shared" si="550"/>
        <v>7.88</v>
      </c>
      <c r="BJ3968" s="9">
        <f t="shared" si="551"/>
        <v>2.2400000000000002</v>
      </c>
      <c r="BK3968" s="9">
        <f t="shared" si="552"/>
        <v>12.64</v>
      </c>
      <c r="BL3968" s="9">
        <f t="shared" si="553"/>
        <v>0</v>
      </c>
      <c r="BM3968" s="9">
        <f t="shared" si="554"/>
        <v>70.396639999999991</v>
      </c>
      <c r="BN3968" s="9">
        <f t="shared" si="555"/>
        <v>575.13</v>
      </c>
      <c r="BO3968" s="9">
        <f t="shared" si="556"/>
        <v>0</v>
      </c>
      <c r="BP3968" s="9">
        <f t="shared" si="557"/>
        <v>0</v>
      </c>
    </row>
    <row r="3969" spans="1:68">
      <c r="A3969" s="6">
        <v>45282</v>
      </c>
      <c r="B3969" s="7">
        <v>3028</v>
      </c>
      <c r="C3969" s="8"/>
      <c r="D3969" s="8">
        <v>404.43</v>
      </c>
      <c r="E3969" s="8"/>
      <c r="F3969" s="8">
        <v>370.16</v>
      </c>
      <c r="G3969" s="8"/>
      <c r="H3969" s="8"/>
      <c r="I3969" s="8">
        <v>835.26</v>
      </c>
      <c r="J3969" s="8"/>
      <c r="K3969" s="8"/>
      <c r="L3969" s="8"/>
      <c r="M3969" s="8"/>
      <c r="N3969" s="8">
        <v>12.38</v>
      </c>
      <c r="O3969" s="8"/>
      <c r="P3969" s="8"/>
      <c r="Q3969" s="11"/>
      <c r="R3969" s="11"/>
      <c r="S3969" s="8">
        <v>2.2599999999999998</v>
      </c>
      <c r="T3969" s="8"/>
      <c r="U3969" s="8"/>
      <c r="V3969" s="8"/>
      <c r="W3969" s="8">
        <v>12.07</v>
      </c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>
        <v>16.07</v>
      </c>
      <c r="AN3969" s="8">
        <f>1062*10.73/1000</f>
        <v>11.39526</v>
      </c>
      <c r="AO3969" s="8"/>
      <c r="AP3969" s="11"/>
      <c r="AQ3969" s="8"/>
      <c r="AR3969" s="8"/>
      <c r="AS3969" s="8">
        <f>4986*10.73/1000</f>
        <v>53.499780000000001</v>
      </c>
      <c r="AT3969" s="8">
        <v>537.62</v>
      </c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>
        <v>36.619999999999997</v>
      </c>
      <c r="BH3969" s="9">
        <f t="shared" si="549"/>
        <v>1609.85</v>
      </c>
      <c r="BI3969" s="9">
        <f t="shared" si="550"/>
        <v>12.38</v>
      </c>
      <c r="BJ3969" s="9">
        <f t="shared" si="551"/>
        <v>2.2599999999999998</v>
      </c>
      <c r="BK3969" s="9">
        <f t="shared" si="552"/>
        <v>12.07</v>
      </c>
      <c r="BL3969" s="9">
        <f t="shared" si="553"/>
        <v>0</v>
      </c>
      <c r="BM3969" s="9">
        <f t="shared" si="554"/>
        <v>80.965040000000002</v>
      </c>
      <c r="BN3969" s="9">
        <f t="shared" si="555"/>
        <v>537.62</v>
      </c>
      <c r="BO3969" s="9">
        <f t="shared" si="556"/>
        <v>0</v>
      </c>
      <c r="BP3969" s="9">
        <f t="shared" si="557"/>
        <v>0</v>
      </c>
    </row>
    <row r="3970" spans="1:68">
      <c r="A3970" s="6">
        <v>45282</v>
      </c>
      <c r="B3970" s="7">
        <v>3016</v>
      </c>
      <c r="C3970" s="8"/>
      <c r="D3970" s="8">
        <v>2408.59</v>
      </c>
      <c r="E3970" s="8"/>
      <c r="F3970" s="8"/>
      <c r="G3970" s="8"/>
      <c r="H3970" s="8"/>
      <c r="I3970" s="8">
        <v>2222.34</v>
      </c>
      <c r="J3970" s="8"/>
      <c r="K3970" s="8"/>
      <c r="L3970" s="8"/>
      <c r="M3970" s="8"/>
      <c r="N3970" s="8">
        <v>29.2</v>
      </c>
      <c r="O3970" s="8"/>
      <c r="P3970" s="8"/>
      <c r="Q3970" s="11"/>
      <c r="R3970" s="11"/>
      <c r="S3970" s="8">
        <v>3.22</v>
      </c>
      <c r="T3970" s="8"/>
      <c r="U3970" s="8"/>
      <c r="V3970" s="8"/>
      <c r="W3970" s="8">
        <v>46.36</v>
      </c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>
        <v>18.55</v>
      </c>
      <c r="AN3970" s="8">
        <f>2053*27.25/1000</f>
        <v>55.944249999999997</v>
      </c>
      <c r="AO3970" s="8"/>
      <c r="AP3970" s="11"/>
      <c r="AQ3970" s="8"/>
      <c r="AR3970" s="8">
        <f>4237*27.25/1000</f>
        <v>115.45825000000001</v>
      </c>
      <c r="AS3970" s="8"/>
      <c r="AT3970" s="8">
        <v>1721.98</v>
      </c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>
        <v>126.1</v>
      </c>
      <c r="BH3970" s="9">
        <f t="shared" si="549"/>
        <v>4630.93</v>
      </c>
      <c r="BI3970" s="9">
        <f t="shared" si="550"/>
        <v>29.2</v>
      </c>
      <c r="BJ3970" s="9">
        <f t="shared" si="551"/>
        <v>3.22</v>
      </c>
      <c r="BK3970" s="9">
        <f t="shared" si="552"/>
        <v>46.36</v>
      </c>
      <c r="BL3970" s="9">
        <f t="shared" si="553"/>
        <v>0</v>
      </c>
      <c r="BM3970" s="9">
        <f t="shared" si="554"/>
        <v>189.95249999999999</v>
      </c>
      <c r="BN3970" s="9">
        <f t="shared" si="555"/>
        <v>1721.98</v>
      </c>
      <c r="BO3970" s="9">
        <f t="shared" si="556"/>
        <v>0</v>
      </c>
      <c r="BP3970" s="9">
        <f t="shared" si="557"/>
        <v>0</v>
      </c>
    </row>
    <row r="3971" spans="1:68">
      <c r="A3971" s="6">
        <v>45282</v>
      </c>
      <c r="B3971" s="7">
        <v>3079</v>
      </c>
      <c r="C3971" s="8"/>
      <c r="D3971" s="8"/>
      <c r="E3971" s="8"/>
      <c r="F3971" s="8">
        <v>342.05</v>
      </c>
      <c r="G3971" s="8"/>
      <c r="H3971" s="8"/>
      <c r="I3971" s="8">
        <v>2771.21</v>
      </c>
      <c r="J3971" s="8"/>
      <c r="K3971" s="8"/>
      <c r="L3971" s="8"/>
      <c r="M3971" s="8"/>
      <c r="N3971" s="8">
        <v>22.7</v>
      </c>
      <c r="O3971" s="8"/>
      <c r="P3971" s="8"/>
      <c r="Q3971" s="11"/>
      <c r="R3971" s="11"/>
      <c r="S3971" s="8">
        <v>1.24</v>
      </c>
      <c r="T3971" s="8"/>
      <c r="U3971" s="8"/>
      <c r="V3971" s="8"/>
      <c r="W3971" s="8">
        <v>31.11</v>
      </c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>
        <v>12.44</v>
      </c>
      <c r="AN3971" s="8">
        <f>1713*18.28/1000</f>
        <v>31.313640000000003</v>
      </c>
      <c r="AO3971" s="8"/>
      <c r="AP3971" s="11"/>
      <c r="AQ3971" s="8"/>
      <c r="AR3971" s="8">
        <f>4257*18.28/1000</f>
        <v>77.817959999999999</v>
      </c>
      <c r="AS3971" s="8"/>
      <c r="AT3971" s="8">
        <v>1195.6600000000001</v>
      </c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>
        <v>87.14</v>
      </c>
      <c r="BH3971" s="9">
        <f t="shared" si="549"/>
        <v>3113.26</v>
      </c>
      <c r="BI3971" s="9">
        <f t="shared" si="550"/>
        <v>22.7</v>
      </c>
      <c r="BJ3971" s="9">
        <f t="shared" si="551"/>
        <v>1.24</v>
      </c>
      <c r="BK3971" s="9">
        <f t="shared" si="552"/>
        <v>31.11</v>
      </c>
      <c r="BL3971" s="9">
        <f t="shared" si="553"/>
        <v>0</v>
      </c>
      <c r="BM3971" s="9">
        <f t="shared" si="554"/>
        <v>121.5716</v>
      </c>
      <c r="BN3971" s="9">
        <f t="shared" si="555"/>
        <v>1195.6600000000001</v>
      </c>
      <c r="BO3971" s="9">
        <f t="shared" si="556"/>
        <v>0</v>
      </c>
      <c r="BP3971" s="9">
        <f t="shared" si="557"/>
        <v>0</v>
      </c>
    </row>
    <row r="3972" spans="1:68">
      <c r="A3972" s="6">
        <v>45282</v>
      </c>
      <c r="B3972" s="7">
        <v>3302</v>
      </c>
      <c r="C3972" s="8"/>
      <c r="D3972" s="8">
        <v>1024.1500000000001</v>
      </c>
      <c r="E3972" s="8"/>
      <c r="F3972" s="8"/>
      <c r="G3972" s="8"/>
      <c r="H3972" s="8"/>
      <c r="I3972" s="8"/>
      <c r="J3972" s="8"/>
      <c r="K3972" s="8"/>
      <c r="L3972" s="8"/>
      <c r="M3972" s="8">
        <v>1.1200000000000001</v>
      </c>
      <c r="N3972" s="8"/>
      <c r="O3972" s="8"/>
      <c r="P3972" s="8"/>
      <c r="Q3972" s="11"/>
      <c r="R3972" s="11"/>
      <c r="S3972" s="8">
        <v>7.68</v>
      </c>
      <c r="T3972" s="8"/>
      <c r="U3972" s="8">
        <v>10.25</v>
      </c>
      <c r="V3972" s="8"/>
      <c r="W3972" s="8"/>
      <c r="X3972" s="8"/>
      <c r="Y3972" s="8"/>
      <c r="Z3972" s="8"/>
      <c r="AA3972" s="8"/>
      <c r="AB3972" s="8"/>
      <c r="AC3972" s="8">
        <v>6.15</v>
      </c>
      <c r="AD3972" s="8"/>
      <c r="AE3972" s="8"/>
      <c r="AF3972" s="8"/>
      <c r="AG3972" s="8">
        <v>10.25</v>
      </c>
      <c r="AH3972" s="8"/>
      <c r="AI3972" s="8"/>
      <c r="AJ3972" s="8"/>
      <c r="AK3972" s="8"/>
      <c r="AL3972" s="8"/>
      <c r="AM3972" s="8"/>
      <c r="AN3972" s="8"/>
      <c r="AO3972" s="8"/>
      <c r="AP3972" s="11"/>
      <c r="AQ3972" s="8"/>
      <c r="AR3972" s="8"/>
      <c r="AS3972" s="8"/>
      <c r="AT3972" s="8"/>
      <c r="AU3972" s="8">
        <v>512.86</v>
      </c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>
        <v>36.89</v>
      </c>
      <c r="BH3972" s="9">
        <f t="shared" ref="BH3972:BH4035" si="558">SUM(C3972:L3972)</f>
        <v>1024.1500000000001</v>
      </c>
      <c r="BI3972" s="9">
        <f t="shared" ref="BI3972:BI4035" si="559">SUM(M3972:R3972)</f>
        <v>1.1200000000000001</v>
      </c>
      <c r="BJ3972" s="9">
        <f t="shared" ref="BJ3972:BJ4035" si="560">SUM(S3972)</f>
        <v>7.68</v>
      </c>
      <c r="BK3972" s="9">
        <f t="shared" ref="BK3972:BK4035" si="561">SUM(T3972:Y3972)</f>
        <v>10.25</v>
      </c>
      <c r="BL3972" s="9">
        <f t="shared" ref="BL3972:BL4035" si="562">SUM(Z3972:AA3972)</f>
        <v>0</v>
      </c>
      <c r="BM3972" s="9">
        <f t="shared" ref="BM3972:BM4035" si="563">SUM(AB3972:AS3972)</f>
        <v>16.399999999999999</v>
      </c>
      <c r="BN3972" s="9">
        <f t="shared" ref="BN3972:BN4035" si="564">SUM(AT3972:AU3972)</f>
        <v>512.86</v>
      </c>
      <c r="BO3972" s="9">
        <f t="shared" ref="BO3972:BO4035" si="565">SUM(AV3972:BE3972)</f>
        <v>0</v>
      </c>
      <c r="BP3972" s="9">
        <f t="shared" ref="BP3972:BP4035" si="566">SUM(BF3972)</f>
        <v>0</v>
      </c>
    </row>
    <row r="3973" spans="1:68">
      <c r="A3973" s="6">
        <v>45282</v>
      </c>
      <c r="B3973" s="7">
        <v>3601</v>
      </c>
      <c r="C3973" s="8">
        <v>291.36</v>
      </c>
      <c r="D3973" s="8"/>
      <c r="E3973" s="8"/>
      <c r="F3973" s="8"/>
      <c r="G3973" s="8">
        <v>437.46</v>
      </c>
      <c r="H3973" s="8"/>
      <c r="I3973" s="8"/>
      <c r="J3973" s="8"/>
      <c r="K3973" s="8"/>
      <c r="L3973" s="8"/>
      <c r="M3973" s="8">
        <v>0.88</v>
      </c>
      <c r="N3973" s="8"/>
      <c r="O3973" s="8"/>
      <c r="P3973" s="8"/>
      <c r="Q3973" s="11"/>
      <c r="R3973" s="11"/>
      <c r="S3973" s="8">
        <v>3.51</v>
      </c>
      <c r="T3973" s="8"/>
      <c r="U3973" s="8">
        <v>4.3899999999999997</v>
      </c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11"/>
      <c r="AQ3973" s="8"/>
      <c r="AR3973" s="8"/>
      <c r="AS3973" s="8"/>
      <c r="AT3973" s="8">
        <v>356.97</v>
      </c>
      <c r="AU3973" s="8"/>
      <c r="AV3973" s="8"/>
      <c r="AW3973" s="8">
        <v>22.25</v>
      </c>
      <c r="AX3973" s="8"/>
      <c r="AY3973" s="8"/>
      <c r="AZ3973" s="8"/>
      <c r="BA3973" s="8"/>
      <c r="BB3973" s="8"/>
      <c r="BC3973" s="8"/>
      <c r="BD3973" s="8"/>
      <c r="BE3973" s="8"/>
      <c r="BF3973" s="8">
        <v>40.96</v>
      </c>
      <c r="BG3973" s="8">
        <v>26.11</v>
      </c>
      <c r="BH3973" s="9">
        <f t="shared" si="558"/>
        <v>728.81999999999994</v>
      </c>
      <c r="BI3973" s="9">
        <f t="shared" si="559"/>
        <v>0.88</v>
      </c>
      <c r="BJ3973" s="9">
        <f t="shared" si="560"/>
        <v>3.51</v>
      </c>
      <c r="BK3973" s="9">
        <f t="shared" si="561"/>
        <v>4.3899999999999997</v>
      </c>
      <c r="BL3973" s="9">
        <f t="shared" si="562"/>
        <v>0</v>
      </c>
      <c r="BM3973" s="9">
        <f t="shared" si="563"/>
        <v>0</v>
      </c>
      <c r="BN3973" s="9">
        <f t="shared" si="564"/>
        <v>356.97</v>
      </c>
      <c r="BO3973" s="9">
        <f t="shared" si="565"/>
        <v>22.25</v>
      </c>
      <c r="BP3973" s="9">
        <f t="shared" si="566"/>
        <v>40.96</v>
      </c>
    </row>
    <row r="3974" spans="1:68">
      <c r="A3974" s="6">
        <v>45282</v>
      </c>
      <c r="B3974" s="7">
        <v>3602</v>
      </c>
      <c r="C3974" s="8">
        <v>550.83000000000004</v>
      </c>
      <c r="D3974" s="8"/>
      <c r="E3974" s="8"/>
      <c r="F3974" s="8"/>
      <c r="G3974" s="8">
        <v>827.48</v>
      </c>
      <c r="H3974" s="8"/>
      <c r="I3974" s="8"/>
      <c r="J3974" s="8"/>
      <c r="K3974" s="8"/>
      <c r="L3974" s="8"/>
      <c r="M3974" s="8">
        <v>1.67</v>
      </c>
      <c r="N3974" s="8"/>
      <c r="O3974" s="8"/>
      <c r="P3974" s="8"/>
      <c r="Q3974" s="11"/>
      <c r="R3974" s="11"/>
      <c r="S3974" s="8">
        <v>6.62</v>
      </c>
      <c r="T3974" s="8"/>
      <c r="U3974" s="8">
        <v>11.06</v>
      </c>
      <c r="V3974" s="8">
        <f>855*15.77/1000</f>
        <v>13.48335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11"/>
      <c r="AQ3974" s="8"/>
      <c r="AR3974" s="8"/>
      <c r="AS3974" s="8"/>
      <c r="AT3974" s="8">
        <v>556.49</v>
      </c>
      <c r="AU3974" s="8"/>
      <c r="AV3974" s="8"/>
      <c r="AW3974" s="8">
        <v>35.68</v>
      </c>
      <c r="AX3974" s="8"/>
      <c r="AY3974" s="8"/>
      <c r="AZ3974" s="8"/>
      <c r="BA3974" s="8"/>
      <c r="BB3974" s="8"/>
      <c r="BC3974" s="8"/>
      <c r="BD3974" s="8"/>
      <c r="BE3974" s="8"/>
      <c r="BF3974" s="8">
        <v>44.18</v>
      </c>
      <c r="BG3974" s="8">
        <v>40.840000000000003</v>
      </c>
      <c r="BH3974" s="9">
        <f t="shared" si="558"/>
        <v>1378.31</v>
      </c>
      <c r="BI3974" s="9">
        <f t="shared" si="559"/>
        <v>1.67</v>
      </c>
      <c r="BJ3974" s="9">
        <f t="shared" si="560"/>
        <v>6.62</v>
      </c>
      <c r="BK3974" s="9">
        <f t="shared" si="561"/>
        <v>24.54335</v>
      </c>
      <c r="BL3974" s="9">
        <f t="shared" si="562"/>
        <v>0</v>
      </c>
      <c r="BM3974" s="9">
        <f t="shared" si="563"/>
        <v>0</v>
      </c>
      <c r="BN3974" s="9">
        <f t="shared" si="564"/>
        <v>556.49</v>
      </c>
      <c r="BO3974" s="9">
        <f t="shared" si="565"/>
        <v>35.68</v>
      </c>
      <c r="BP3974" s="9">
        <f t="shared" si="566"/>
        <v>44.18</v>
      </c>
    </row>
    <row r="3975" spans="1:68">
      <c r="A3975" s="6">
        <v>45286</v>
      </c>
      <c r="B3975" s="7">
        <v>3705</v>
      </c>
      <c r="C3975" s="8"/>
      <c r="D3975" s="8">
        <v>361.82</v>
      </c>
      <c r="E3975" s="8"/>
      <c r="F3975" s="8"/>
      <c r="G3975" s="8"/>
      <c r="H3975" s="8"/>
      <c r="I3975" s="8">
        <v>79.97</v>
      </c>
      <c r="J3975" s="8"/>
      <c r="K3975" s="8"/>
      <c r="L3975" s="8"/>
      <c r="M3975" s="8">
        <v>1.32</v>
      </c>
      <c r="N3975" s="8"/>
      <c r="O3975" s="8"/>
      <c r="P3975" s="8"/>
      <c r="Q3975" s="11"/>
      <c r="R3975" s="11"/>
      <c r="S3975" s="8">
        <v>1.54</v>
      </c>
      <c r="T3975" s="8"/>
      <c r="U3975" s="8">
        <v>3.09</v>
      </c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11"/>
      <c r="AQ3975" s="8"/>
      <c r="AR3975" s="8"/>
      <c r="AS3975" s="8"/>
      <c r="AT3975" s="8">
        <v>26.15</v>
      </c>
      <c r="AU3975" s="8">
        <v>52.38</v>
      </c>
      <c r="AV3975" s="8">
        <v>0.88</v>
      </c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>
        <v>4.33</v>
      </c>
      <c r="BH3975" s="9">
        <f t="shared" si="558"/>
        <v>441.78999999999996</v>
      </c>
      <c r="BI3975" s="9">
        <f t="shared" si="559"/>
        <v>1.32</v>
      </c>
      <c r="BJ3975" s="9">
        <f t="shared" si="560"/>
        <v>1.54</v>
      </c>
      <c r="BK3975" s="9">
        <f t="shared" si="561"/>
        <v>3.09</v>
      </c>
      <c r="BL3975" s="9">
        <f t="shared" si="562"/>
        <v>0</v>
      </c>
      <c r="BM3975" s="9">
        <f t="shared" si="563"/>
        <v>0</v>
      </c>
      <c r="BN3975" s="9">
        <f t="shared" si="564"/>
        <v>78.53</v>
      </c>
      <c r="BO3975" s="9">
        <f t="shared" si="565"/>
        <v>0.88</v>
      </c>
      <c r="BP3975" s="9">
        <f t="shared" si="566"/>
        <v>0</v>
      </c>
    </row>
    <row r="3976" spans="1:68">
      <c r="A3976" s="6">
        <v>45286</v>
      </c>
      <c r="B3976" s="7">
        <v>3122</v>
      </c>
      <c r="C3976" s="8">
        <v>796.27</v>
      </c>
      <c r="D3976" s="8"/>
      <c r="E3976" s="8"/>
      <c r="F3976" s="8"/>
      <c r="G3976" s="8"/>
      <c r="H3976" s="8"/>
      <c r="I3976" s="8"/>
      <c r="J3976" s="8"/>
      <c r="K3976" s="8"/>
      <c r="L3976" s="8"/>
      <c r="M3976" s="8">
        <v>1.45</v>
      </c>
      <c r="N3976" s="8">
        <v>1.43</v>
      </c>
      <c r="O3976" s="8"/>
      <c r="P3976" s="8"/>
      <c r="Q3976" s="11"/>
      <c r="R3976" s="11"/>
      <c r="S3976" s="8">
        <v>3.29</v>
      </c>
      <c r="T3976" s="8"/>
      <c r="U3976" s="8">
        <v>8.02</v>
      </c>
      <c r="V3976" s="8"/>
      <c r="W3976" s="8"/>
      <c r="X3976" s="8"/>
      <c r="Y3976" s="8"/>
      <c r="Z3976" s="8"/>
      <c r="AA3976" s="8"/>
      <c r="AB3976" s="8"/>
      <c r="AC3976" s="8">
        <v>3.21</v>
      </c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11"/>
      <c r="AQ3976" s="8"/>
      <c r="AR3976" s="8"/>
      <c r="AS3976" s="8"/>
      <c r="AT3976" s="8">
        <v>355.51</v>
      </c>
      <c r="AU3976" s="8"/>
      <c r="AV3976" s="8">
        <v>27.23</v>
      </c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>
        <v>26.06</v>
      </c>
      <c r="BH3976" s="9">
        <f t="shared" si="558"/>
        <v>796.27</v>
      </c>
      <c r="BI3976" s="9">
        <f t="shared" si="559"/>
        <v>2.88</v>
      </c>
      <c r="BJ3976" s="9">
        <f t="shared" si="560"/>
        <v>3.29</v>
      </c>
      <c r="BK3976" s="9">
        <f t="shared" si="561"/>
        <v>8.02</v>
      </c>
      <c r="BL3976" s="9">
        <f t="shared" si="562"/>
        <v>0</v>
      </c>
      <c r="BM3976" s="9">
        <f t="shared" si="563"/>
        <v>3.21</v>
      </c>
      <c r="BN3976" s="9">
        <f t="shared" si="564"/>
        <v>355.51</v>
      </c>
      <c r="BO3976" s="9">
        <f t="shared" si="565"/>
        <v>27.23</v>
      </c>
      <c r="BP3976" s="9">
        <f t="shared" si="566"/>
        <v>0</v>
      </c>
    </row>
    <row r="3977" spans="1:68">
      <c r="A3977" s="6">
        <v>45286</v>
      </c>
      <c r="B3977" s="7">
        <v>3118</v>
      </c>
      <c r="C3977" s="8">
        <v>390.88</v>
      </c>
      <c r="D3977" s="8"/>
      <c r="E3977" s="8"/>
      <c r="F3977" s="8"/>
      <c r="G3977" s="8"/>
      <c r="H3977" s="8"/>
      <c r="I3977" s="8"/>
      <c r="J3977" s="8"/>
      <c r="K3977" s="8"/>
      <c r="L3977" s="8"/>
      <c r="M3977" s="8">
        <v>1.29</v>
      </c>
      <c r="N3977" s="8"/>
      <c r="O3977" s="8"/>
      <c r="P3977" s="8"/>
      <c r="Q3977" s="11"/>
      <c r="R3977" s="11"/>
      <c r="S3977" s="8">
        <v>2.16</v>
      </c>
      <c r="T3977" s="8"/>
      <c r="U3977" s="8">
        <v>4.71</v>
      </c>
      <c r="V3977" s="8"/>
      <c r="W3977" s="8"/>
      <c r="X3977" s="8"/>
      <c r="Y3977" s="8"/>
      <c r="Z3977" s="8"/>
      <c r="AA3977" s="8"/>
      <c r="AB3977" s="8"/>
      <c r="AC3977" s="8">
        <v>1.57</v>
      </c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11"/>
      <c r="AQ3977" s="8">
        <f>703*5.58/1000</f>
        <v>3.9227400000000001</v>
      </c>
      <c r="AR3977" s="8"/>
      <c r="AS3977" s="8"/>
      <c r="AT3977" s="8">
        <v>252.24</v>
      </c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>
        <v>19.47</v>
      </c>
      <c r="BH3977" s="9">
        <f t="shared" si="558"/>
        <v>390.88</v>
      </c>
      <c r="BI3977" s="9">
        <f t="shared" si="559"/>
        <v>1.29</v>
      </c>
      <c r="BJ3977" s="9">
        <f t="shared" si="560"/>
        <v>2.16</v>
      </c>
      <c r="BK3977" s="9">
        <f t="shared" si="561"/>
        <v>4.71</v>
      </c>
      <c r="BL3977" s="9">
        <f t="shared" si="562"/>
        <v>0</v>
      </c>
      <c r="BM3977" s="9">
        <f t="shared" si="563"/>
        <v>5.4927400000000004</v>
      </c>
      <c r="BN3977" s="9">
        <f t="shared" si="564"/>
        <v>252.24</v>
      </c>
      <c r="BO3977" s="9">
        <f t="shared" si="565"/>
        <v>0</v>
      </c>
      <c r="BP3977" s="9">
        <f t="shared" si="566"/>
        <v>0</v>
      </c>
    </row>
    <row r="3978" spans="1:68">
      <c r="A3978" s="6">
        <v>45286</v>
      </c>
      <c r="B3978" s="7">
        <v>3106</v>
      </c>
      <c r="C3978" s="8">
        <v>8168.57</v>
      </c>
      <c r="D3978" s="8"/>
      <c r="E3978" s="8"/>
      <c r="F3978" s="8"/>
      <c r="G3978" s="8"/>
      <c r="H3978" s="8"/>
      <c r="I3978" s="8"/>
      <c r="J3978" s="8"/>
      <c r="K3978" s="8"/>
      <c r="L3978" s="8"/>
      <c r="M3978" s="8">
        <v>22.05</v>
      </c>
      <c r="N3978" s="8"/>
      <c r="O3978" s="8"/>
      <c r="P3978" s="8"/>
      <c r="Q3978" s="11"/>
      <c r="R3978" s="11"/>
      <c r="S3978" s="8">
        <v>24.5</v>
      </c>
      <c r="T3978" s="8"/>
      <c r="U3978" s="8">
        <v>103.77</v>
      </c>
      <c r="V3978" s="8"/>
      <c r="W3978" s="8"/>
      <c r="X3978" s="8"/>
      <c r="Y3978" s="8"/>
      <c r="Z3978" s="8"/>
      <c r="AA3978" s="8"/>
      <c r="AB3978" s="8"/>
      <c r="AC3978" s="8">
        <v>20.41</v>
      </c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11"/>
      <c r="AQ3978" s="8"/>
      <c r="AR3978" s="8"/>
      <c r="AS3978" s="8"/>
      <c r="AT3978" s="8">
        <v>4647.12</v>
      </c>
      <c r="AU3978" s="8"/>
      <c r="AV3978" s="8"/>
      <c r="AW3978" s="8"/>
      <c r="AX3978" s="8">
        <v>10.210000000000001</v>
      </c>
      <c r="AY3978" s="8"/>
      <c r="AZ3978" s="8"/>
      <c r="BA3978" s="8"/>
      <c r="BB3978" s="8"/>
      <c r="BC3978" s="8"/>
      <c r="BD3978" s="8"/>
      <c r="BE3978" s="8"/>
      <c r="BF3978" s="8"/>
      <c r="BG3978" s="8">
        <v>350.76</v>
      </c>
      <c r="BH3978" s="9">
        <f t="shared" si="558"/>
        <v>8168.57</v>
      </c>
      <c r="BI3978" s="9">
        <f t="shared" si="559"/>
        <v>22.05</v>
      </c>
      <c r="BJ3978" s="9">
        <f t="shared" si="560"/>
        <v>24.5</v>
      </c>
      <c r="BK3978" s="9">
        <f t="shared" si="561"/>
        <v>103.77</v>
      </c>
      <c r="BL3978" s="9">
        <f t="shared" si="562"/>
        <v>0</v>
      </c>
      <c r="BM3978" s="9">
        <f t="shared" si="563"/>
        <v>20.41</v>
      </c>
      <c r="BN3978" s="9">
        <f t="shared" si="564"/>
        <v>4647.12</v>
      </c>
      <c r="BO3978" s="9">
        <f t="shared" si="565"/>
        <v>10.210000000000001</v>
      </c>
      <c r="BP3978" s="9">
        <f t="shared" si="566"/>
        <v>0</v>
      </c>
    </row>
    <row r="3979" spans="1:68">
      <c r="A3979" s="6">
        <v>45286</v>
      </c>
      <c r="B3979" s="7">
        <v>3121</v>
      </c>
      <c r="C3979" s="8">
        <v>333.05</v>
      </c>
      <c r="D3979" s="8"/>
      <c r="E3979" s="8"/>
      <c r="F3979" s="8"/>
      <c r="G3979" s="8"/>
      <c r="H3979" s="8"/>
      <c r="I3979" s="8"/>
      <c r="J3979" s="8"/>
      <c r="K3979" s="8"/>
      <c r="L3979" s="8"/>
      <c r="M3979" s="8">
        <v>0.83</v>
      </c>
      <c r="N3979" s="8"/>
      <c r="O3979" s="8"/>
      <c r="P3979" s="8"/>
      <c r="Q3979" s="11"/>
      <c r="R3979" s="11"/>
      <c r="S3979" s="8">
        <v>1.07</v>
      </c>
      <c r="T3979" s="8"/>
      <c r="U3979" s="8">
        <v>3.33</v>
      </c>
      <c r="V3979" s="8"/>
      <c r="W3979" s="8"/>
      <c r="X3979" s="8"/>
      <c r="Y3979" s="8"/>
      <c r="Z3979" s="8"/>
      <c r="AA3979" s="8"/>
      <c r="AB3979" s="8"/>
      <c r="AC3979" s="8">
        <v>1.32</v>
      </c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11">
        <f>2232*1.52/1000</f>
        <v>3.3926399999999997</v>
      </c>
      <c r="AQ3979" s="8"/>
      <c r="AR3979" s="8"/>
      <c r="AS3979" s="8"/>
      <c r="AT3979" s="8">
        <v>175.82</v>
      </c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>
        <v>13.01</v>
      </c>
      <c r="BH3979" s="9">
        <f t="shared" si="558"/>
        <v>333.05</v>
      </c>
      <c r="BI3979" s="9">
        <f t="shared" si="559"/>
        <v>0.83</v>
      </c>
      <c r="BJ3979" s="9">
        <f t="shared" si="560"/>
        <v>1.07</v>
      </c>
      <c r="BK3979" s="9">
        <f t="shared" si="561"/>
        <v>3.33</v>
      </c>
      <c r="BL3979" s="9">
        <f t="shared" si="562"/>
        <v>0</v>
      </c>
      <c r="BM3979" s="9">
        <f t="shared" si="563"/>
        <v>4.7126399999999995</v>
      </c>
      <c r="BN3979" s="9">
        <f t="shared" si="564"/>
        <v>175.82</v>
      </c>
      <c r="BO3979" s="9">
        <f t="shared" si="565"/>
        <v>0</v>
      </c>
      <c r="BP3979" s="9">
        <f t="shared" si="566"/>
        <v>0</v>
      </c>
    </row>
    <row r="3980" spans="1:68">
      <c r="A3980" s="6">
        <v>45286</v>
      </c>
      <c r="B3980" s="7">
        <v>8336</v>
      </c>
      <c r="C3980" s="8">
        <v>1102.8800000000001</v>
      </c>
      <c r="D3980" s="8"/>
      <c r="E3980" s="8"/>
      <c r="F3980" s="8"/>
      <c r="G3980" s="8"/>
      <c r="H3980" s="8"/>
      <c r="I3980" s="8"/>
      <c r="J3980" s="8"/>
      <c r="K3980" s="8"/>
      <c r="L3980" s="8"/>
      <c r="M3980" s="8">
        <v>1.99</v>
      </c>
      <c r="N3980" s="8"/>
      <c r="O3980" s="8"/>
      <c r="P3980" s="8"/>
      <c r="Q3980" s="11"/>
      <c r="R3980" s="11"/>
      <c r="S3980" s="8">
        <v>3.97</v>
      </c>
      <c r="T3980" s="8"/>
      <c r="U3980" s="8">
        <v>12.88</v>
      </c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11"/>
      <c r="AQ3980" s="8"/>
      <c r="AR3980" s="8"/>
      <c r="AS3980" s="8"/>
      <c r="AT3980" s="8">
        <v>617.91999999999996</v>
      </c>
      <c r="AU3980" s="8"/>
      <c r="AV3980" s="8">
        <v>22.04</v>
      </c>
      <c r="AW3980" s="8"/>
      <c r="AX3980" s="8"/>
      <c r="AY3980" s="8"/>
      <c r="AZ3980" s="8"/>
      <c r="BA3980" s="8"/>
      <c r="BB3980" s="8"/>
      <c r="BC3980" s="8"/>
      <c r="BD3980" s="8"/>
      <c r="BE3980" s="8"/>
      <c r="BF3980" s="8">
        <v>27.57</v>
      </c>
      <c r="BG3980" s="8">
        <v>44.19</v>
      </c>
      <c r="BH3980" s="9">
        <f t="shared" si="558"/>
        <v>1102.8800000000001</v>
      </c>
      <c r="BI3980" s="9">
        <f t="shared" si="559"/>
        <v>1.99</v>
      </c>
      <c r="BJ3980" s="9">
        <f t="shared" si="560"/>
        <v>3.97</v>
      </c>
      <c r="BK3980" s="9">
        <f t="shared" si="561"/>
        <v>12.88</v>
      </c>
      <c r="BL3980" s="9">
        <f t="shared" si="562"/>
        <v>0</v>
      </c>
      <c r="BM3980" s="9">
        <f t="shared" si="563"/>
        <v>0</v>
      </c>
      <c r="BN3980" s="9">
        <f t="shared" si="564"/>
        <v>617.91999999999996</v>
      </c>
      <c r="BO3980" s="9">
        <f t="shared" si="565"/>
        <v>22.04</v>
      </c>
      <c r="BP3980" s="9">
        <f t="shared" si="566"/>
        <v>27.57</v>
      </c>
    </row>
    <row r="3981" spans="1:68">
      <c r="A3981" s="6">
        <v>45286</v>
      </c>
      <c r="B3981" s="7">
        <v>3029</v>
      </c>
      <c r="C3981" s="8"/>
      <c r="D3981" s="8">
        <v>468.59</v>
      </c>
      <c r="E3981" s="8"/>
      <c r="F3981" s="8">
        <v>330.73</v>
      </c>
      <c r="G3981" s="8"/>
      <c r="H3981" s="8"/>
      <c r="I3981" s="8">
        <v>1958.4</v>
      </c>
      <c r="J3981" s="8"/>
      <c r="K3981" s="8"/>
      <c r="L3981" s="8"/>
      <c r="M3981" s="8"/>
      <c r="N3981" s="8">
        <v>21.81</v>
      </c>
      <c r="O3981" s="8"/>
      <c r="P3981" s="8"/>
      <c r="Q3981" s="11"/>
      <c r="R3981" s="11"/>
      <c r="S3981" s="8">
        <v>1.64</v>
      </c>
      <c r="T3981" s="8"/>
      <c r="U3981" s="8"/>
      <c r="V3981" s="8"/>
      <c r="W3981" s="8">
        <v>27.63</v>
      </c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>
        <v>9.67</v>
      </c>
      <c r="AN3981" s="8">
        <f>761*18.4/1000</f>
        <v>14.0024</v>
      </c>
      <c r="AO3981" s="8"/>
      <c r="AP3981" s="11"/>
      <c r="AQ3981" s="8"/>
      <c r="AR3981" s="8">
        <f>4620*18.4/1000</f>
        <v>85.007999999999996</v>
      </c>
      <c r="AS3981" s="8"/>
      <c r="AT3981" s="8">
        <v>1048.5899999999999</v>
      </c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>
        <v>73.22</v>
      </c>
      <c r="BH3981" s="9">
        <f t="shared" si="558"/>
        <v>2757.7200000000003</v>
      </c>
      <c r="BI3981" s="9">
        <f t="shared" si="559"/>
        <v>21.81</v>
      </c>
      <c r="BJ3981" s="9">
        <f t="shared" si="560"/>
        <v>1.64</v>
      </c>
      <c r="BK3981" s="9">
        <f t="shared" si="561"/>
        <v>27.63</v>
      </c>
      <c r="BL3981" s="9">
        <f t="shared" si="562"/>
        <v>0</v>
      </c>
      <c r="BM3981" s="9">
        <f t="shared" si="563"/>
        <v>108.68039999999999</v>
      </c>
      <c r="BN3981" s="9">
        <f t="shared" si="564"/>
        <v>1048.5899999999999</v>
      </c>
      <c r="BO3981" s="9">
        <f t="shared" si="565"/>
        <v>0</v>
      </c>
      <c r="BP3981" s="9">
        <f t="shared" si="566"/>
        <v>0</v>
      </c>
    </row>
    <row r="3982" spans="1:68">
      <c r="A3982" s="6">
        <v>45287</v>
      </c>
      <c r="B3982" s="7">
        <v>3005</v>
      </c>
      <c r="C3982" s="8">
        <v>407.03</v>
      </c>
      <c r="D3982" s="8">
        <v>274.32</v>
      </c>
      <c r="E3982" s="8"/>
      <c r="F3982" s="8"/>
      <c r="G3982" s="8"/>
      <c r="H3982" s="8"/>
      <c r="I3982" s="8"/>
      <c r="J3982" s="8"/>
      <c r="K3982" s="8"/>
      <c r="L3982" s="8"/>
      <c r="M3982" s="8"/>
      <c r="N3982" s="8">
        <v>0.69</v>
      </c>
      <c r="O3982" s="8"/>
      <c r="P3982" s="8"/>
      <c r="Q3982" s="11"/>
      <c r="R3982" s="11"/>
      <c r="S3982" s="8">
        <v>2.39</v>
      </c>
      <c r="T3982" s="8"/>
      <c r="U3982" s="8"/>
      <c r="V3982" s="8"/>
      <c r="W3982" s="8">
        <v>7.53</v>
      </c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11"/>
      <c r="AQ3982" s="8"/>
      <c r="AR3982" s="8"/>
      <c r="AS3982" s="8"/>
      <c r="AT3982" s="8">
        <v>333.92</v>
      </c>
      <c r="AU3982" s="8"/>
      <c r="AV3982" s="8"/>
      <c r="AW3982" s="8">
        <v>7.6</v>
      </c>
      <c r="AX3982" s="8"/>
      <c r="AY3982" s="8"/>
      <c r="AZ3982" s="8"/>
      <c r="BA3982" s="8"/>
      <c r="BB3982" s="8"/>
      <c r="BC3982" s="8"/>
      <c r="BD3982" s="8"/>
      <c r="BE3982" s="8"/>
      <c r="BF3982" s="8"/>
      <c r="BG3982" s="8">
        <v>24.95</v>
      </c>
      <c r="BH3982" s="9">
        <f t="shared" si="558"/>
        <v>681.34999999999991</v>
      </c>
      <c r="BI3982" s="9">
        <f t="shared" si="559"/>
        <v>0.69</v>
      </c>
      <c r="BJ3982" s="9">
        <f t="shared" si="560"/>
        <v>2.39</v>
      </c>
      <c r="BK3982" s="9">
        <f t="shared" si="561"/>
        <v>7.53</v>
      </c>
      <c r="BL3982" s="9">
        <f t="shared" si="562"/>
        <v>0</v>
      </c>
      <c r="BM3982" s="9">
        <f t="shared" si="563"/>
        <v>0</v>
      </c>
      <c r="BN3982" s="9">
        <f t="shared" si="564"/>
        <v>333.92</v>
      </c>
      <c r="BO3982" s="9">
        <f t="shared" si="565"/>
        <v>7.6</v>
      </c>
      <c r="BP3982" s="9">
        <f t="shared" si="566"/>
        <v>0</v>
      </c>
    </row>
    <row r="3983" spans="1:68">
      <c r="A3983" s="6">
        <v>45287</v>
      </c>
      <c r="B3983" s="7">
        <v>3200</v>
      </c>
      <c r="C3983" s="8">
        <v>2373.27</v>
      </c>
      <c r="D3983" s="8"/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>
        <v>5.95</v>
      </c>
      <c r="P3983" s="8"/>
      <c r="Q3983" s="11"/>
      <c r="R3983" s="11"/>
      <c r="S3983" s="8">
        <v>9.26</v>
      </c>
      <c r="T3983" s="8"/>
      <c r="U3983" s="8">
        <v>35.6</v>
      </c>
      <c r="V3983" s="8"/>
      <c r="W3983" s="8"/>
      <c r="X3983" s="8"/>
      <c r="Y3983" s="8"/>
      <c r="Z3983" s="8">
        <v>498.99</v>
      </c>
      <c r="AA3983" s="8"/>
      <c r="AB3983" s="8"/>
      <c r="AC3983" s="8"/>
      <c r="AD3983" s="8"/>
      <c r="AE3983" s="8"/>
      <c r="AF3983" s="8">
        <v>119.1</v>
      </c>
      <c r="AG3983" s="8"/>
      <c r="AH3983" s="8"/>
      <c r="AI3983" s="8"/>
      <c r="AJ3983" s="8"/>
      <c r="AK3983" s="8"/>
      <c r="AL3983" s="8"/>
      <c r="AM3983" s="8"/>
      <c r="AN3983" s="8"/>
      <c r="AO3983" s="8"/>
      <c r="AP3983" s="11"/>
      <c r="AQ3983" s="8">
        <f>1514*23.75/1000</f>
        <v>35.957500000000003</v>
      </c>
      <c r="AR3983" s="8"/>
      <c r="AS3983" s="8"/>
      <c r="AT3983" s="8">
        <v>1624.56</v>
      </c>
      <c r="AU3983" s="8"/>
      <c r="AV3983" s="8"/>
      <c r="AW3983" s="8">
        <v>6.97</v>
      </c>
      <c r="AX3983" s="8"/>
      <c r="AY3983" s="8"/>
      <c r="AZ3983" s="8"/>
      <c r="BA3983" s="8"/>
      <c r="BB3983" s="8"/>
      <c r="BC3983" s="8"/>
      <c r="BD3983" s="8"/>
      <c r="BE3983" s="8"/>
      <c r="BF3983" s="8">
        <v>114.05</v>
      </c>
      <c r="BG3983" s="8">
        <v>117.52</v>
      </c>
      <c r="BH3983" s="9">
        <f t="shared" si="558"/>
        <v>2373.27</v>
      </c>
      <c r="BI3983" s="9">
        <f t="shared" si="559"/>
        <v>5.95</v>
      </c>
      <c r="BJ3983" s="9">
        <f t="shared" si="560"/>
        <v>9.26</v>
      </c>
      <c r="BK3983" s="9">
        <f t="shared" si="561"/>
        <v>35.6</v>
      </c>
      <c r="BL3983" s="9">
        <f t="shared" si="562"/>
        <v>498.99</v>
      </c>
      <c r="BM3983" s="9">
        <f t="shared" si="563"/>
        <v>155.0575</v>
      </c>
      <c r="BN3983" s="9">
        <f t="shared" si="564"/>
        <v>1624.56</v>
      </c>
      <c r="BO3983" s="9">
        <f t="shared" si="565"/>
        <v>6.97</v>
      </c>
      <c r="BP3983" s="9">
        <f t="shared" si="566"/>
        <v>114.05</v>
      </c>
    </row>
    <row r="3984" spans="1:68">
      <c r="A3984" s="6">
        <v>45287</v>
      </c>
      <c r="B3984" s="7">
        <v>3141</v>
      </c>
      <c r="C3984" s="8">
        <v>2450.8000000000002</v>
      </c>
      <c r="D3984" s="8">
        <v>431.62</v>
      </c>
      <c r="E3984" s="8"/>
      <c r="F3984" s="8"/>
      <c r="G3984" s="8"/>
      <c r="H3984" s="8"/>
      <c r="I3984" s="8"/>
      <c r="J3984" s="8"/>
      <c r="K3984" s="8"/>
      <c r="L3984" s="8"/>
      <c r="M3984" s="8">
        <v>8.34</v>
      </c>
      <c r="N3984" s="8"/>
      <c r="O3984" s="8"/>
      <c r="P3984" s="8"/>
      <c r="Q3984" s="11"/>
      <c r="R3984" s="11"/>
      <c r="S3984" s="8">
        <v>13.54</v>
      </c>
      <c r="T3984" s="8"/>
      <c r="U3984" s="8">
        <v>43.19</v>
      </c>
      <c r="V3984" s="8"/>
      <c r="W3984" s="8"/>
      <c r="X3984" s="8"/>
      <c r="Y3984" s="8"/>
      <c r="Z3984" s="8"/>
      <c r="AA3984" s="8"/>
      <c r="AB3984" s="8"/>
      <c r="AC3984" s="8">
        <v>11.52</v>
      </c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11"/>
      <c r="AQ3984" s="8"/>
      <c r="AR3984" s="8"/>
      <c r="AS3984" s="8"/>
      <c r="AT3984" s="8">
        <v>1896.91</v>
      </c>
      <c r="AU3984" s="8"/>
      <c r="AV3984" s="8"/>
      <c r="AW3984" s="8"/>
      <c r="AX3984" s="8"/>
      <c r="AY3984" s="8"/>
      <c r="AZ3984" s="8"/>
      <c r="BA3984" s="8">
        <v>66.010000000000005</v>
      </c>
      <c r="BB3984" s="8"/>
      <c r="BC3984" s="8"/>
      <c r="BD3984" s="8"/>
      <c r="BE3984" s="8"/>
      <c r="BF3984" s="8">
        <v>201.53</v>
      </c>
      <c r="BG3984" s="8">
        <v>149.61000000000001</v>
      </c>
      <c r="BH3984" s="9">
        <f t="shared" si="558"/>
        <v>2882.42</v>
      </c>
      <c r="BI3984" s="9">
        <f t="shared" si="559"/>
        <v>8.34</v>
      </c>
      <c r="BJ3984" s="9">
        <f t="shared" si="560"/>
        <v>13.54</v>
      </c>
      <c r="BK3984" s="9">
        <f t="shared" si="561"/>
        <v>43.19</v>
      </c>
      <c r="BL3984" s="9">
        <f t="shared" si="562"/>
        <v>0</v>
      </c>
      <c r="BM3984" s="9">
        <f t="shared" si="563"/>
        <v>11.52</v>
      </c>
      <c r="BN3984" s="9">
        <f t="shared" si="564"/>
        <v>1896.91</v>
      </c>
      <c r="BO3984" s="9">
        <f t="shared" si="565"/>
        <v>66.010000000000005</v>
      </c>
      <c r="BP3984" s="9">
        <f t="shared" si="566"/>
        <v>201.53</v>
      </c>
    </row>
    <row r="3985" spans="1:68">
      <c r="A3985" s="6">
        <v>45287</v>
      </c>
      <c r="B3985" s="7">
        <v>3016</v>
      </c>
      <c r="C3985" s="8"/>
      <c r="D3985" s="8">
        <v>1624.1</v>
      </c>
      <c r="E3985" s="8"/>
      <c r="F3985" s="8"/>
      <c r="G3985" s="8"/>
      <c r="H3985" s="8"/>
      <c r="I3985" s="8">
        <v>1495.74</v>
      </c>
      <c r="J3985" s="8"/>
      <c r="K3985" s="8"/>
      <c r="L3985" s="8"/>
      <c r="M3985" s="8"/>
      <c r="N3985" s="8">
        <v>19.68</v>
      </c>
      <c r="O3985" s="8"/>
      <c r="P3985" s="8"/>
      <c r="Q3985" s="11"/>
      <c r="R3985" s="11"/>
      <c r="S3985" s="8">
        <v>2.1800000000000002</v>
      </c>
      <c r="T3985" s="8"/>
      <c r="U3985" s="8"/>
      <c r="V3985" s="8"/>
      <c r="W3985" s="8">
        <v>31.23</v>
      </c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>
        <v>12.46</v>
      </c>
      <c r="AN3985" s="8">
        <f>2074*18.35/1000</f>
        <v>38.057900000000004</v>
      </c>
      <c r="AO3985" s="8"/>
      <c r="AP3985" s="11"/>
      <c r="AQ3985" s="8"/>
      <c r="AR3985" s="8">
        <f>4349*18.35/1000</f>
        <v>79.804150000000007</v>
      </c>
      <c r="AS3985" s="8"/>
      <c r="AT3985" s="8">
        <v>1161.6199999999999</v>
      </c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>
        <v>84.86</v>
      </c>
      <c r="BH3985" s="9">
        <f t="shared" si="558"/>
        <v>3119.84</v>
      </c>
      <c r="BI3985" s="9">
        <f t="shared" si="559"/>
        <v>19.68</v>
      </c>
      <c r="BJ3985" s="9">
        <f t="shared" si="560"/>
        <v>2.1800000000000002</v>
      </c>
      <c r="BK3985" s="9">
        <f t="shared" si="561"/>
        <v>31.23</v>
      </c>
      <c r="BL3985" s="9">
        <f t="shared" si="562"/>
        <v>0</v>
      </c>
      <c r="BM3985" s="9">
        <f t="shared" si="563"/>
        <v>130.32205000000002</v>
      </c>
      <c r="BN3985" s="9">
        <f t="shared" si="564"/>
        <v>1161.6199999999999</v>
      </c>
      <c r="BO3985" s="9">
        <f t="shared" si="565"/>
        <v>0</v>
      </c>
      <c r="BP3985" s="9">
        <f t="shared" si="566"/>
        <v>0</v>
      </c>
    </row>
    <row r="3986" spans="1:68">
      <c r="A3986" s="6">
        <v>45287</v>
      </c>
      <c r="B3986" s="7">
        <v>3083</v>
      </c>
      <c r="C3986" s="8"/>
      <c r="D3986" s="8">
        <v>388.16</v>
      </c>
      <c r="E3986" s="8"/>
      <c r="F3986" s="8"/>
      <c r="G3986" s="8"/>
      <c r="H3986" s="8"/>
      <c r="I3986" s="8">
        <v>905.58</v>
      </c>
      <c r="J3986" s="8"/>
      <c r="K3986" s="8"/>
      <c r="L3986" s="8"/>
      <c r="M3986" s="8"/>
      <c r="N3986" s="8">
        <v>8.42</v>
      </c>
      <c r="O3986" s="8"/>
      <c r="P3986" s="8"/>
      <c r="Q3986" s="11"/>
      <c r="R3986" s="11"/>
      <c r="S3986" s="8">
        <v>0.9</v>
      </c>
      <c r="T3986" s="8"/>
      <c r="U3986" s="8"/>
      <c r="V3986" s="8"/>
      <c r="W3986" s="8">
        <v>10.38</v>
      </c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>
        <v>5.1100000000000003</v>
      </c>
      <c r="AN3986" s="8">
        <f>1889*9.6/1000</f>
        <v>18.134399999999999</v>
      </c>
      <c r="AO3986" s="8"/>
      <c r="AP3986" s="11"/>
      <c r="AQ3986" s="8"/>
      <c r="AR3986" s="8">
        <f>3453*9.6/1000</f>
        <v>33.148799999999994</v>
      </c>
      <c r="AS3986" s="8"/>
      <c r="AT3986" s="8">
        <v>609.45000000000005</v>
      </c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>
        <v>48.56</v>
      </c>
      <c r="BH3986" s="9">
        <f t="shared" si="558"/>
        <v>1293.74</v>
      </c>
      <c r="BI3986" s="9">
        <f t="shared" si="559"/>
        <v>8.42</v>
      </c>
      <c r="BJ3986" s="9">
        <f t="shared" si="560"/>
        <v>0.9</v>
      </c>
      <c r="BK3986" s="9">
        <f t="shared" si="561"/>
        <v>10.38</v>
      </c>
      <c r="BL3986" s="9">
        <f t="shared" si="562"/>
        <v>0</v>
      </c>
      <c r="BM3986" s="9">
        <f t="shared" si="563"/>
        <v>56.393199999999993</v>
      </c>
      <c r="BN3986" s="9">
        <f t="shared" si="564"/>
        <v>609.45000000000005</v>
      </c>
      <c r="BO3986" s="9">
        <f t="shared" si="565"/>
        <v>0</v>
      </c>
      <c r="BP3986" s="9">
        <f t="shared" si="566"/>
        <v>0</v>
      </c>
    </row>
    <row r="3987" spans="1:68">
      <c r="A3987" s="6">
        <v>45287</v>
      </c>
      <c r="B3987" s="7">
        <v>3079</v>
      </c>
      <c r="C3987" s="8"/>
      <c r="D3987" s="8"/>
      <c r="E3987" s="8"/>
      <c r="F3987" s="8">
        <v>179.57</v>
      </c>
      <c r="G3987" s="8"/>
      <c r="H3987" s="8"/>
      <c r="I3987" s="8">
        <v>1449.21</v>
      </c>
      <c r="J3987" s="8"/>
      <c r="K3987" s="8"/>
      <c r="L3987" s="8"/>
      <c r="M3987" s="8"/>
      <c r="N3987" s="8">
        <v>11.9</v>
      </c>
      <c r="O3987" s="8"/>
      <c r="P3987" s="8"/>
      <c r="Q3987" s="11"/>
      <c r="R3987" s="11"/>
      <c r="S3987" s="8">
        <v>0.65</v>
      </c>
      <c r="T3987" s="8"/>
      <c r="U3987" s="8"/>
      <c r="V3987" s="8"/>
      <c r="W3987" s="8">
        <v>16.309999999999999</v>
      </c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>
        <v>6.52</v>
      </c>
      <c r="AN3987" s="8">
        <f>1915*9.6/1000</f>
        <v>18.384</v>
      </c>
      <c r="AO3987" s="8"/>
      <c r="AP3987" s="11"/>
      <c r="AQ3987" s="8"/>
      <c r="AR3987" s="8">
        <f>4355*9.6/1000</f>
        <v>41.808</v>
      </c>
      <c r="AS3987" s="8"/>
      <c r="AT3987" s="8">
        <v>632.23</v>
      </c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>
        <v>45.96</v>
      </c>
      <c r="BH3987" s="9">
        <f t="shared" si="558"/>
        <v>1628.78</v>
      </c>
      <c r="BI3987" s="9">
        <f t="shared" si="559"/>
        <v>11.9</v>
      </c>
      <c r="BJ3987" s="9">
        <f t="shared" si="560"/>
        <v>0.65</v>
      </c>
      <c r="BK3987" s="9">
        <f t="shared" si="561"/>
        <v>16.309999999999999</v>
      </c>
      <c r="BL3987" s="9">
        <f t="shared" si="562"/>
        <v>0</v>
      </c>
      <c r="BM3987" s="9">
        <f t="shared" si="563"/>
        <v>66.712000000000003</v>
      </c>
      <c r="BN3987" s="9">
        <f t="shared" si="564"/>
        <v>632.23</v>
      </c>
      <c r="BO3987" s="9">
        <f t="shared" si="565"/>
        <v>0</v>
      </c>
      <c r="BP3987" s="9">
        <f t="shared" si="566"/>
        <v>0</v>
      </c>
    </row>
    <row r="3988" spans="1:68">
      <c r="A3988" s="6">
        <v>45287</v>
      </c>
      <c r="B3988" s="7">
        <v>3023</v>
      </c>
      <c r="C3988" s="8"/>
      <c r="D3988" s="8">
        <v>902.18</v>
      </c>
      <c r="E3988" s="8"/>
      <c r="F3988" s="8"/>
      <c r="G3988" s="8"/>
      <c r="H3988" s="8"/>
      <c r="I3988" s="8">
        <v>484.18</v>
      </c>
      <c r="J3988" s="8"/>
      <c r="K3988" s="8"/>
      <c r="L3988" s="8"/>
      <c r="M3988" s="8"/>
      <c r="N3988" s="8">
        <v>7.77</v>
      </c>
      <c r="O3988" s="8"/>
      <c r="P3988" s="8"/>
      <c r="Q3988" s="11"/>
      <c r="R3988" s="11"/>
      <c r="S3988" s="8">
        <v>2.21</v>
      </c>
      <c r="T3988" s="8"/>
      <c r="U3988" s="8"/>
      <c r="V3988" s="8"/>
      <c r="W3988" s="8">
        <v>12.5</v>
      </c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>
        <v>13.85</v>
      </c>
      <c r="AN3988" s="8">
        <f>1022*9.55/1000</f>
        <v>9.7600999999999996</v>
      </c>
      <c r="AO3988" s="8"/>
      <c r="AP3988" s="11"/>
      <c r="AQ3988" s="8"/>
      <c r="AR3988" s="8"/>
      <c r="AS3988" s="8">
        <f>4792*9.55/1000</f>
        <v>45.763600000000004</v>
      </c>
      <c r="AT3988" s="8">
        <v>569.05999999999995</v>
      </c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>
        <v>42.97</v>
      </c>
      <c r="BH3988" s="9">
        <f t="shared" si="558"/>
        <v>1386.36</v>
      </c>
      <c r="BI3988" s="9">
        <f t="shared" si="559"/>
        <v>7.77</v>
      </c>
      <c r="BJ3988" s="9">
        <f t="shared" si="560"/>
        <v>2.21</v>
      </c>
      <c r="BK3988" s="9">
        <f t="shared" si="561"/>
        <v>12.5</v>
      </c>
      <c r="BL3988" s="9">
        <f t="shared" si="562"/>
        <v>0</v>
      </c>
      <c r="BM3988" s="9">
        <f t="shared" si="563"/>
        <v>69.373699999999999</v>
      </c>
      <c r="BN3988" s="9">
        <f t="shared" si="564"/>
        <v>569.05999999999995</v>
      </c>
      <c r="BO3988" s="9">
        <f t="shared" si="565"/>
        <v>0</v>
      </c>
      <c r="BP3988" s="9">
        <f t="shared" si="566"/>
        <v>0</v>
      </c>
    </row>
    <row r="3989" spans="1:68">
      <c r="A3989" s="6">
        <v>45287</v>
      </c>
      <c r="B3989" s="7">
        <v>3020</v>
      </c>
      <c r="C3989" s="8"/>
      <c r="D3989" s="8">
        <v>172.67</v>
      </c>
      <c r="E3989" s="8"/>
      <c r="F3989" s="8"/>
      <c r="G3989" s="8"/>
      <c r="H3989" s="8"/>
      <c r="I3989" s="8">
        <v>958.34</v>
      </c>
      <c r="J3989" s="8"/>
      <c r="K3989" s="8"/>
      <c r="L3989" s="8"/>
      <c r="M3989" s="8"/>
      <c r="N3989" s="8">
        <v>6.91</v>
      </c>
      <c r="O3989" s="8"/>
      <c r="P3989" s="8"/>
      <c r="Q3989" s="11"/>
      <c r="R3989" s="11"/>
      <c r="S3989" s="8">
        <v>2.04</v>
      </c>
      <c r="T3989" s="8"/>
      <c r="U3989" s="8"/>
      <c r="V3989" s="8"/>
      <c r="W3989" s="8">
        <v>11.31</v>
      </c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>
        <v>11.34</v>
      </c>
      <c r="AN3989" s="8"/>
      <c r="AO3989" s="8"/>
      <c r="AP3989" s="11"/>
      <c r="AQ3989" s="8"/>
      <c r="AR3989" s="8"/>
      <c r="AS3989" s="8">
        <f>3033*9.43/1000</f>
        <v>28.601189999999999</v>
      </c>
      <c r="AT3989" s="8">
        <v>556.64</v>
      </c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>
        <v>40.71</v>
      </c>
      <c r="BH3989" s="9">
        <f t="shared" si="558"/>
        <v>1131.01</v>
      </c>
      <c r="BI3989" s="9">
        <f t="shared" si="559"/>
        <v>6.91</v>
      </c>
      <c r="BJ3989" s="9">
        <f t="shared" si="560"/>
        <v>2.04</v>
      </c>
      <c r="BK3989" s="9">
        <f t="shared" si="561"/>
        <v>11.31</v>
      </c>
      <c r="BL3989" s="9">
        <f t="shared" si="562"/>
        <v>0</v>
      </c>
      <c r="BM3989" s="9">
        <f t="shared" si="563"/>
        <v>39.941189999999999</v>
      </c>
      <c r="BN3989" s="9">
        <f t="shared" si="564"/>
        <v>556.64</v>
      </c>
      <c r="BO3989" s="9">
        <f t="shared" si="565"/>
        <v>0</v>
      </c>
      <c r="BP3989" s="9">
        <f t="shared" si="566"/>
        <v>0</v>
      </c>
    </row>
    <row r="3990" spans="1:68">
      <c r="A3990" s="6">
        <v>45287</v>
      </c>
      <c r="B3990" s="7">
        <v>3602</v>
      </c>
      <c r="C3990" s="8">
        <v>291.51</v>
      </c>
      <c r="D3990" s="8"/>
      <c r="E3990" s="8"/>
      <c r="F3990" s="8"/>
      <c r="G3990" s="8">
        <v>438.77</v>
      </c>
      <c r="H3990" s="8"/>
      <c r="I3990" s="8"/>
      <c r="J3990" s="8"/>
      <c r="K3990" s="8"/>
      <c r="L3990" s="8"/>
      <c r="M3990" s="8">
        <v>0.87</v>
      </c>
      <c r="N3990" s="8"/>
      <c r="O3990" s="8"/>
      <c r="P3990" s="8"/>
      <c r="Q3990" s="11"/>
      <c r="R3990" s="11"/>
      <c r="S3990" s="8">
        <v>3.52</v>
      </c>
      <c r="T3990" s="8"/>
      <c r="U3990" s="8">
        <v>5.89</v>
      </c>
      <c r="V3990" s="8">
        <f>855*8.38/1000</f>
        <v>7.1649000000000003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11"/>
      <c r="AQ3990" s="8"/>
      <c r="AR3990" s="8"/>
      <c r="AS3990" s="8"/>
      <c r="AT3990" s="8">
        <v>295.68</v>
      </c>
      <c r="AU3990" s="8"/>
      <c r="AV3990" s="8"/>
      <c r="AW3990" s="8">
        <v>19</v>
      </c>
      <c r="AX3990" s="8"/>
      <c r="AY3990" s="8"/>
      <c r="AZ3990" s="8"/>
      <c r="BA3990" s="8"/>
      <c r="BB3990" s="8"/>
      <c r="BC3990" s="8"/>
      <c r="BD3990" s="8"/>
      <c r="BE3990" s="8"/>
      <c r="BF3990" s="8">
        <v>23.53</v>
      </c>
      <c r="BG3990" s="8">
        <v>22.16</v>
      </c>
      <c r="BH3990" s="9">
        <f t="shared" si="558"/>
        <v>730.28</v>
      </c>
      <c r="BI3990" s="9">
        <f t="shared" si="559"/>
        <v>0.87</v>
      </c>
      <c r="BJ3990" s="9">
        <f t="shared" si="560"/>
        <v>3.52</v>
      </c>
      <c r="BK3990" s="9">
        <f t="shared" si="561"/>
        <v>13.0549</v>
      </c>
      <c r="BL3990" s="9">
        <f t="shared" si="562"/>
        <v>0</v>
      </c>
      <c r="BM3990" s="9">
        <f t="shared" si="563"/>
        <v>0</v>
      </c>
      <c r="BN3990" s="9">
        <f t="shared" si="564"/>
        <v>295.68</v>
      </c>
      <c r="BO3990" s="9">
        <f t="shared" si="565"/>
        <v>19</v>
      </c>
      <c r="BP3990" s="9">
        <f t="shared" si="566"/>
        <v>23.53</v>
      </c>
    </row>
    <row r="3991" spans="1:68">
      <c r="A3991" s="6">
        <v>45288</v>
      </c>
      <c r="B3991" s="7">
        <v>3106</v>
      </c>
      <c r="C3991" s="8">
        <v>6163.5</v>
      </c>
      <c r="D3991" s="8"/>
      <c r="E3991" s="8"/>
      <c r="F3991" s="8"/>
      <c r="G3991" s="8"/>
      <c r="H3991" s="8"/>
      <c r="I3991" s="8"/>
      <c r="J3991" s="8"/>
      <c r="K3991" s="8"/>
      <c r="L3991" s="8"/>
      <c r="M3991" s="8">
        <v>15.23</v>
      </c>
      <c r="N3991" s="8"/>
      <c r="O3991" s="8"/>
      <c r="P3991" s="8"/>
      <c r="Q3991" s="11"/>
      <c r="R3991" s="11"/>
      <c r="S3991" s="8">
        <v>18.53</v>
      </c>
      <c r="T3991" s="8"/>
      <c r="U3991" s="8">
        <v>78.400000000000006</v>
      </c>
      <c r="V3991" s="8"/>
      <c r="W3991" s="8"/>
      <c r="X3991" s="8"/>
      <c r="Y3991" s="8"/>
      <c r="Z3991" s="8"/>
      <c r="AA3991" s="8"/>
      <c r="AB3991" s="8"/>
      <c r="AC3991" s="8">
        <v>15.42</v>
      </c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11"/>
      <c r="AQ3991" s="8"/>
      <c r="AR3991" s="8"/>
      <c r="AS3991" s="8"/>
      <c r="AT3991" s="8">
        <v>3509.92</v>
      </c>
      <c r="AU3991" s="8"/>
      <c r="AV3991" s="8"/>
      <c r="AW3991" s="8"/>
      <c r="AX3991" s="8">
        <v>7.72</v>
      </c>
      <c r="AY3991" s="8"/>
      <c r="AZ3991" s="8"/>
      <c r="BA3991" s="8"/>
      <c r="BB3991" s="8"/>
      <c r="BC3991" s="8"/>
      <c r="BD3991" s="8"/>
      <c r="BE3991" s="8"/>
      <c r="BF3991" s="8"/>
      <c r="BG3991" s="8">
        <v>265.11</v>
      </c>
      <c r="BH3991" s="9">
        <f t="shared" si="558"/>
        <v>6163.5</v>
      </c>
      <c r="BI3991" s="9">
        <f t="shared" si="559"/>
        <v>15.23</v>
      </c>
      <c r="BJ3991" s="9">
        <f t="shared" si="560"/>
        <v>18.53</v>
      </c>
      <c r="BK3991" s="9">
        <f t="shared" si="561"/>
        <v>78.400000000000006</v>
      </c>
      <c r="BL3991" s="9">
        <f t="shared" si="562"/>
        <v>0</v>
      </c>
      <c r="BM3991" s="9">
        <f t="shared" si="563"/>
        <v>15.42</v>
      </c>
      <c r="BN3991" s="9">
        <f t="shared" si="564"/>
        <v>3509.92</v>
      </c>
      <c r="BO3991" s="9">
        <f t="shared" si="565"/>
        <v>7.72</v>
      </c>
      <c r="BP3991" s="9">
        <f t="shared" si="566"/>
        <v>0</v>
      </c>
    </row>
    <row r="3992" spans="1:68">
      <c r="A3992" s="6">
        <v>45288</v>
      </c>
      <c r="B3992" s="7">
        <v>3141</v>
      </c>
      <c r="C3992" s="8">
        <v>2374.44</v>
      </c>
      <c r="D3992" s="8">
        <v>416.86</v>
      </c>
      <c r="E3992" s="8"/>
      <c r="F3992" s="8"/>
      <c r="G3992" s="8"/>
      <c r="H3992" s="8"/>
      <c r="I3992" s="8"/>
      <c r="J3992" s="8"/>
      <c r="K3992" s="8"/>
      <c r="L3992" s="8"/>
      <c r="M3992" s="8">
        <v>7.85</v>
      </c>
      <c r="N3992" s="8"/>
      <c r="O3992" s="8"/>
      <c r="P3992" s="8"/>
      <c r="Q3992" s="11"/>
      <c r="R3992" s="11"/>
      <c r="S3992" s="8">
        <v>13.14</v>
      </c>
      <c r="T3992" s="8"/>
      <c r="U3992" s="8">
        <v>41.82</v>
      </c>
      <c r="V3992" s="8"/>
      <c r="W3992" s="8"/>
      <c r="X3992" s="8"/>
      <c r="Y3992" s="8"/>
      <c r="Z3992" s="8"/>
      <c r="AA3992" s="8"/>
      <c r="AB3992" s="8"/>
      <c r="AC3992" s="8">
        <v>11.18</v>
      </c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11"/>
      <c r="AQ3992" s="8"/>
      <c r="AR3992" s="8"/>
      <c r="AS3992" s="8"/>
      <c r="AT3992" s="8">
        <v>1848.43</v>
      </c>
      <c r="AU3992" s="8"/>
      <c r="AV3992" s="8"/>
      <c r="AW3992" s="8"/>
      <c r="AX3992" s="8"/>
      <c r="AY3992" s="8"/>
      <c r="AZ3992" s="8"/>
      <c r="BA3992" s="8">
        <v>64.069999999999993</v>
      </c>
      <c r="BB3992" s="8"/>
      <c r="BC3992" s="8"/>
      <c r="BD3992" s="8"/>
      <c r="BE3992" s="8"/>
      <c r="BF3992" s="8">
        <v>195.65</v>
      </c>
      <c r="BG3992" s="8">
        <v>145.52000000000001</v>
      </c>
      <c r="BH3992" s="9">
        <f t="shared" si="558"/>
        <v>2791.3</v>
      </c>
      <c r="BI3992" s="9">
        <f t="shared" si="559"/>
        <v>7.85</v>
      </c>
      <c r="BJ3992" s="9">
        <f t="shared" si="560"/>
        <v>13.14</v>
      </c>
      <c r="BK3992" s="9">
        <f t="shared" si="561"/>
        <v>41.82</v>
      </c>
      <c r="BL3992" s="9">
        <f t="shared" si="562"/>
        <v>0</v>
      </c>
      <c r="BM3992" s="9">
        <f t="shared" si="563"/>
        <v>11.18</v>
      </c>
      <c r="BN3992" s="9">
        <f t="shared" si="564"/>
        <v>1848.43</v>
      </c>
      <c r="BO3992" s="9">
        <f t="shared" si="565"/>
        <v>64.069999999999993</v>
      </c>
      <c r="BP3992" s="9">
        <f t="shared" si="566"/>
        <v>195.65</v>
      </c>
    </row>
    <row r="3993" spans="1:68">
      <c r="A3993" s="6">
        <v>45288</v>
      </c>
      <c r="B3993" s="7">
        <v>3028</v>
      </c>
      <c r="C3993" s="8"/>
      <c r="D3993" s="8">
        <v>404.48</v>
      </c>
      <c r="E3993" s="8"/>
      <c r="F3993" s="8">
        <v>372.31</v>
      </c>
      <c r="G3993" s="8"/>
      <c r="H3993" s="8"/>
      <c r="I3993" s="8">
        <v>840.98</v>
      </c>
      <c r="J3993" s="8"/>
      <c r="K3993" s="8"/>
      <c r="L3993" s="8"/>
      <c r="M3993" s="8"/>
      <c r="N3993" s="8">
        <v>12.44</v>
      </c>
      <c r="O3993" s="8"/>
      <c r="P3993" s="8"/>
      <c r="Q3993" s="11"/>
      <c r="R3993" s="11"/>
      <c r="S3993" s="8">
        <v>2.2599999999999998</v>
      </c>
      <c r="T3993" s="8"/>
      <c r="U3993" s="8"/>
      <c r="V3993" s="8"/>
      <c r="W3993" s="8">
        <v>12.14</v>
      </c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>
        <v>16.11</v>
      </c>
      <c r="AN3993" s="8">
        <f>1066*10.77/1000</f>
        <v>11.48082</v>
      </c>
      <c r="AO3993" s="8"/>
      <c r="AP3993" s="11"/>
      <c r="AQ3993" s="8"/>
      <c r="AR3993" s="8"/>
      <c r="AS3993" s="8">
        <f>4968*10.77/1000</f>
        <v>53.505360000000003</v>
      </c>
      <c r="AT3993" s="8">
        <v>539.95000000000005</v>
      </c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  <c r="BF3993" s="8"/>
      <c r="BG3993" s="8">
        <v>36.89</v>
      </c>
      <c r="BH3993" s="9">
        <f t="shared" si="558"/>
        <v>1617.77</v>
      </c>
      <c r="BI3993" s="9">
        <f t="shared" si="559"/>
        <v>12.44</v>
      </c>
      <c r="BJ3993" s="9">
        <f t="shared" si="560"/>
        <v>2.2599999999999998</v>
      </c>
      <c r="BK3993" s="9">
        <f t="shared" si="561"/>
        <v>12.14</v>
      </c>
      <c r="BL3993" s="9">
        <f t="shared" si="562"/>
        <v>0</v>
      </c>
      <c r="BM3993" s="9">
        <f t="shared" si="563"/>
        <v>81.096180000000004</v>
      </c>
      <c r="BN3993" s="9">
        <f t="shared" si="564"/>
        <v>539.95000000000005</v>
      </c>
      <c r="BO3993" s="9">
        <f t="shared" si="565"/>
        <v>0</v>
      </c>
      <c r="BP3993" s="9">
        <f t="shared" si="566"/>
        <v>0</v>
      </c>
    </row>
    <row r="3994" spans="1:68">
      <c r="A3994" s="6">
        <v>45288</v>
      </c>
      <c r="B3994" s="7">
        <v>3021</v>
      </c>
      <c r="C3994" s="8"/>
      <c r="D3994" s="8">
        <v>200.75</v>
      </c>
      <c r="E3994" s="8"/>
      <c r="F3994" s="8"/>
      <c r="G3994" s="8"/>
      <c r="H3994" s="8"/>
      <c r="I3994" s="8">
        <v>372.84</v>
      </c>
      <c r="J3994" s="8"/>
      <c r="K3994" s="8"/>
      <c r="L3994" s="8"/>
      <c r="M3994" s="8"/>
      <c r="N3994" s="8">
        <v>3.07</v>
      </c>
      <c r="O3994" s="8"/>
      <c r="P3994" s="8"/>
      <c r="Q3994" s="11"/>
      <c r="R3994" s="11"/>
      <c r="S3994" s="8">
        <v>1.03</v>
      </c>
      <c r="T3994" s="8"/>
      <c r="U3994" s="8"/>
      <c r="V3994" s="8"/>
      <c r="W3994" s="8">
        <v>5.76</v>
      </c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>
        <v>5.75</v>
      </c>
      <c r="AN3994" s="8"/>
      <c r="AO3994" s="8"/>
      <c r="AP3994" s="11"/>
      <c r="AQ3994" s="8"/>
      <c r="AR3994" s="8"/>
      <c r="AS3994" s="8">
        <f>2638*5.48/1000</f>
        <v>14.456240000000001</v>
      </c>
      <c r="AT3994" s="8">
        <v>271.08</v>
      </c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>
        <v>20.39</v>
      </c>
      <c r="BH3994" s="9">
        <f t="shared" si="558"/>
        <v>573.58999999999992</v>
      </c>
      <c r="BI3994" s="9">
        <f t="shared" si="559"/>
        <v>3.07</v>
      </c>
      <c r="BJ3994" s="9">
        <f t="shared" si="560"/>
        <v>1.03</v>
      </c>
      <c r="BK3994" s="9">
        <f t="shared" si="561"/>
        <v>5.76</v>
      </c>
      <c r="BL3994" s="9">
        <f t="shared" si="562"/>
        <v>0</v>
      </c>
      <c r="BM3994" s="9">
        <f t="shared" si="563"/>
        <v>20.206240000000001</v>
      </c>
      <c r="BN3994" s="9">
        <f t="shared" si="564"/>
        <v>271.08</v>
      </c>
      <c r="BO3994" s="9">
        <f t="shared" si="565"/>
        <v>0</v>
      </c>
      <c r="BP3994" s="9">
        <f t="shared" si="566"/>
        <v>0</v>
      </c>
    </row>
    <row r="3995" spans="1:68">
      <c r="A3995" s="6">
        <v>45288</v>
      </c>
      <c r="B3995" s="7">
        <v>3200</v>
      </c>
      <c r="C3995" s="8">
        <v>2282.17</v>
      </c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>
        <v>5.76</v>
      </c>
      <c r="P3995" s="8"/>
      <c r="Q3995" s="11"/>
      <c r="R3995" s="11"/>
      <c r="S3995" s="8">
        <v>8.9499999999999993</v>
      </c>
      <c r="T3995" s="8"/>
      <c r="U3995" s="8">
        <v>34.43</v>
      </c>
      <c r="V3995" s="8"/>
      <c r="W3995" s="8"/>
      <c r="X3995" s="8"/>
      <c r="Y3995" s="8"/>
      <c r="Z3995" s="8">
        <v>481.17</v>
      </c>
      <c r="AA3995" s="8"/>
      <c r="AB3995" s="8"/>
      <c r="AC3995" s="8"/>
      <c r="AD3995" s="8"/>
      <c r="AE3995" s="8"/>
      <c r="AF3995" s="8">
        <v>113.3</v>
      </c>
      <c r="AG3995" s="8"/>
      <c r="AH3995" s="8"/>
      <c r="AI3995" s="8"/>
      <c r="AJ3995" s="8"/>
      <c r="AK3995" s="8"/>
      <c r="AL3995" s="8"/>
      <c r="AM3995" s="8"/>
      <c r="AN3995" s="8"/>
      <c r="AO3995" s="8"/>
      <c r="AP3995" s="11"/>
      <c r="AQ3995" s="8"/>
      <c r="AR3995" s="8"/>
      <c r="AS3995" s="8"/>
      <c r="AT3995" s="8">
        <v>1563.03</v>
      </c>
      <c r="AU3995" s="8"/>
      <c r="AV3995" s="8"/>
      <c r="AW3995" s="8">
        <v>6.79</v>
      </c>
      <c r="AX3995" s="8"/>
      <c r="AY3995" s="8"/>
      <c r="AZ3995" s="8"/>
      <c r="BA3995" s="8"/>
      <c r="BB3995" s="8"/>
      <c r="BC3995" s="8"/>
      <c r="BD3995" s="8"/>
      <c r="BE3995" s="8"/>
      <c r="BF3995" s="8">
        <v>109.97</v>
      </c>
      <c r="BG3995" s="8">
        <v>112.45</v>
      </c>
      <c r="BH3995" s="9">
        <f t="shared" si="558"/>
        <v>2282.17</v>
      </c>
      <c r="BI3995" s="9">
        <f t="shared" si="559"/>
        <v>5.76</v>
      </c>
      <c r="BJ3995" s="9">
        <f t="shared" si="560"/>
        <v>8.9499999999999993</v>
      </c>
      <c r="BK3995" s="9">
        <f t="shared" si="561"/>
        <v>34.43</v>
      </c>
      <c r="BL3995" s="9">
        <f t="shared" si="562"/>
        <v>481.17</v>
      </c>
      <c r="BM3995" s="9">
        <f t="shared" si="563"/>
        <v>113.3</v>
      </c>
      <c r="BN3995" s="9">
        <f t="shared" si="564"/>
        <v>1563.03</v>
      </c>
      <c r="BO3995" s="9">
        <f t="shared" si="565"/>
        <v>6.79</v>
      </c>
      <c r="BP3995" s="9">
        <f t="shared" si="566"/>
        <v>109.97</v>
      </c>
    </row>
    <row r="3996" spans="1:68">
      <c r="A3996" s="6">
        <v>45288</v>
      </c>
      <c r="B3996" s="7">
        <v>3203</v>
      </c>
      <c r="C3996" s="8">
        <f>87.86+902.98</f>
        <v>990.84</v>
      </c>
      <c r="D3996" s="8"/>
      <c r="E3996" s="8">
        <f>37.67+387.86</f>
        <v>425.53000000000003</v>
      </c>
      <c r="F3996" s="8"/>
      <c r="G3996" s="8"/>
      <c r="H3996" s="8"/>
      <c r="I3996" s="8"/>
      <c r="J3996" s="8"/>
      <c r="K3996" s="8"/>
      <c r="L3996" s="8"/>
      <c r="M3996" s="8"/>
      <c r="N3996" s="8"/>
      <c r="O3996" s="8">
        <f>0.38+3.88</f>
        <v>4.26</v>
      </c>
      <c r="P3996" s="8"/>
      <c r="Q3996" s="11"/>
      <c r="R3996" s="11"/>
      <c r="S3996" s="8">
        <f>0.52+5.3</f>
        <v>5.82</v>
      </c>
      <c r="T3996" s="8"/>
      <c r="U3996" s="8">
        <f>1.57+16.05</f>
        <v>17.62</v>
      </c>
      <c r="V3996" s="8"/>
      <c r="W3996" s="8"/>
      <c r="X3996" s="8"/>
      <c r="Y3996" s="8"/>
      <c r="Z3996" s="8">
        <f>19.86+203.8</f>
        <v>223.66000000000003</v>
      </c>
      <c r="AA3996" s="8">
        <f>10558*16.67/1000</f>
        <v>176.00186000000002</v>
      </c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11"/>
      <c r="AQ3996" s="8"/>
      <c r="AR3996" s="8"/>
      <c r="AS3996" s="8"/>
      <c r="AT3996" s="8">
        <f>46.46+482.28</f>
        <v>528.74</v>
      </c>
      <c r="AU3996" s="8">
        <f>23.55+242.05</f>
        <v>265.60000000000002</v>
      </c>
      <c r="AV3996" s="8"/>
      <c r="AW3996" s="8"/>
      <c r="AX3996" s="8"/>
      <c r="AY3996" s="8"/>
      <c r="AZ3996" s="8"/>
      <c r="BA3996" s="8"/>
      <c r="BB3996" s="8"/>
      <c r="BC3996" s="8">
        <f>0.33+3.36</f>
        <v>3.69</v>
      </c>
      <c r="BD3996" s="8"/>
      <c r="BE3996" s="8"/>
      <c r="BF3996" s="8"/>
      <c r="BG3996" s="8">
        <f>4.63+47.01</f>
        <v>51.64</v>
      </c>
      <c r="BH3996" s="9">
        <f t="shared" si="558"/>
        <v>1416.3700000000001</v>
      </c>
      <c r="BI3996" s="9">
        <f t="shared" si="559"/>
        <v>4.26</v>
      </c>
      <c r="BJ3996" s="9">
        <f t="shared" si="560"/>
        <v>5.82</v>
      </c>
      <c r="BK3996" s="9">
        <f t="shared" si="561"/>
        <v>17.62</v>
      </c>
      <c r="BL3996" s="9">
        <f t="shared" si="562"/>
        <v>399.66186000000005</v>
      </c>
      <c r="BM3996" s="9">
        <f t="shared" si="563"/>
        <v>0</v>
      </c>
      <c r="BN3996" s="9">
        <f t="shared" si="564"/>
        <v>794.34</v>
      </c>
      <c r="BO3996" s="9">
        <f t="shared" si="565"/>
        <v>3.69</v>
      </c>
      <c r="BP3996" s="9">
        <f t="shared" si="566"/>
        <v>0</v>
      </c>
    </row>
    <row r="3997" spans="1:68">
      <c r="A3997" s="6">
        <v>45293</v>
      </c>
      <c r="B3997" s="7">
        <v>3145</v>
      </c>
      <c r="C3997" s="8">
        <v>1260.1600000000001</v>
      </c>
      <c r="D3997" s="8">
        <v>221.97</v>
      </c>
      <c r="E3997" s="8"/>
      <c r="F3997" s="8"/>
      <c r="G3997" s="8"/>
      <c r="H3997" s="8"/>
      <c r="I3997" s="8"/>
      <c r="J3997" s="8"/>
      <c r="K3997" s="8"/>
      <c r="L3997" s="8"/>
      <c r="M3997" s="8">
        <v>4.3</v>
      </c>
      <c r="N3997" s="8"/>
      <c r="O3997" s="8"/>
      <c r="P3997" s="8"/>
      <c r="Q3997" s="8"/>
      <c r="R3997" s="8"/>
      <c r="S3997" s="8">
        <v>6.98</v>
      </c>
      <c r="T3997" s="8"/>
      <c r="U3997" s="8">
        <v>22.28</v>
      </c>
      <c r="V3997" s="8"/>
      <c r="W3997" s="8"/>
      <c r="X3997" s="8"/>
      <c r="Y3997" s="8"/>
      <c r="Z3997" s="8"/>
      <c r="AA3997" s="8"/>
      <c r="AB3997" s="8"/>
      <c r="AC3997" s="8">
        <v>5.94</v>
      </c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>
        <v>984.53</v>
      </c>
      <c r="AU3997" s="8"/>
      <c r="AV3997" s="8"/>
      <c r="AW3997" s="8"/>
      <c r="AX3997" s="8"/>
      <c r="AY3997" s="8"/>
      <c r="AZ3997" s="8"/>
      <c r="BA3997" s="8"/>
      <c r="BB3997" s="8"/>
      <c r="BC3997" s="8"/>
      <c r="BD3997" s="8">
        <v>3.71</v>
      </c>
      <c r="BE3997" s="8">
        <f>1352*9.9/1000</f>
        <v>13.3848</v>
      </c>
      <c r="BF3997" s="8">
        <v>104.05</v>
      </c>
      <c r="BG3997" s="8">
        <v>77.37</v>
      </c>
      <c r="BH3997" s="9">
        <f t="shared" si="558"/>
        <v>1482.13</v>
      </c>
      <c r="BI3997" s="9">
        <f t="shared" si="559"/>
        <v>4.3</v>
      </c>
      <c r="BJ3997" s="9">
        <f t="shared" si="560"/>
        <v>6.98</v>
      </c>
      <c r="BK3997" s="9">
        <f t="shared" si="561"/>
        <v>22.28</v>
      </c>
      <c r="BL3997" s="9">
        <f t="shared" si="562"/>
        <v>0</v>
      </c>
      <c r="BM3997" s="9">
        <f t="shared" si="563"/>
        <v>5.94</v>
      </c>
      <c r="BN3997" s="9">
        <f t="shared" si="564"/>
        <v>984.53</v>
      </c>
      <c r="BO3997" s="9">
        <f t="shared" si="565"/>
        <v>17.094799999999999</v>
      </c>
      <c r="BP3997" s="9">
        <f t="shared" si="566"/>
        <v>104.05</v>
      </c>
    </row>
    <row r="3998" spans="1:68">
      <c r="A3998" s="6">
        <v>45293</v>
      </c>
      <c r="B3998" s="7">
        <v>3141</v>
      </c>
      <c r="C3998" s="8">
        <v>2374.1999999999998</v>
      </c>
      <c r="D3998" s="8">
        <v>418.98</v>
      </c>
      <c r="E3998" s="8"/>
      <c r="F3998" s="8"/>
      <c r="G3998" s="8"/>
      <c r="H3998" s="8"/>
      <c r="I3998" s="8"/>
      <c r="J3998" s="8"/>
      <c r="K3998" s="8"/>
      <c r="L3998" s="8"/>
      <c r="M3998" s="8">
        <v>8.1</v>
      </c>
      <c r="N3998" s="8"/>
      <c r="O3998" s="8"/>
      <c r="P3998" s="8"/>
      <c r="Q3998" s="8"/>
      <c r="R3998" s="8"/>
      <c r="S3998" s="8">
        <v>13.14</v>
      </c>
      <c r="T3998" s="8"/>
      <c r="U3998" s="8">
        <v>41.92</v>
      </c>
      <c r="V3998" s="8"/>
      <c r="W3998" s="8"/>
      <c r="X3998" s="8"/>
      <c r="Y3998" s="8"/>
      <c r="Z3998" s="8"/>
      <c r="AA3998" s="8"/>
      <c r="AB3998" s="8"/>
      <c r="AC3998" s="8">
        <v>11.17</v>
      </c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>
        <v>1855.35</v>
      </c>
      <c r="AU3998" s="8"/>
      <c r="AV3998" s="8"/>
      <c r="AW3998" s="8"/>
      <c r="AX3998" s="8"/>
      <c r="AY3998" s="8"/>
      <c r="AZ3998" s="8"/>
      <c r="BA3998" s="8">
        <v>64.05</v>
      </c>
      <c r="BB3998" s="8"/>
      <c r="BC3998" s="8"/>
      <c r="BD3998" s="8"/>
      <c r="BE3998" s="8"/>
      <c r="BF3998" s="8">
        <v>195.5</v>
      </c>
      <c r="BG3998" s="8">
        <v>145.72</v>
      </c>
      <c r="BH3998" s="9">
        <f t="shared" si="558"/>
        <v>2793.18</v>
      </c>
      <c r="BI3998" s="9">
        <f t="shared" si="559"/>
        <v>8.1</v>
      </c>
      <c r="BJ3998" s="9">
        <f t="shared" si="560"/>
        <v>13.14</v>
      </c>
      <c r="BK3998" s="9">
        <f t="shared" si="561"/>
        <v>41.92</v>
      </c>
      <c r="BL3998" s="9">
        <f t="shared" si="562"/>
        <v>0</v>
      </c>
      <c r="BM3998" s="9">
        <f t="shared" si="563"/>
        <v>11.17</v>
      </c>
      <c r="BN3998" s="9">
        <f t="shared" si="564"/>
        <v>1855.35</v>
      </c>
      <c r="BO3998" s="9">
        <f t="shared" si="565"/>
        <v>64.05</v>
      </c>
      <c r="BP3998" s="9">
        <f t="shared" si="566"/>
        <v>195.5</v>
      </c>
    </row>
    <row r="3999" spans="1:68">
      <c r="A3999" s="6">
        <v>45293</v>
      </c>
      <c r="B3999" s="7">
        <v>3108</v>
      </c>
      <c r="C3999" s="8">
        <v>2212.2199999999998</v>
      </c>
      <c r="D3999" s="8"/>
      <c r="E3999" s="8"/>
      <c r="F3999" s="8"/>
      <c r="G3999" s="8"/>
      <c r="H3999" s="8"/>
      <c r="I3999" s="8"/>
      <c r="J3999" s="8"/>
      <c r="K3999" s="8"/>
      <c r="L3999" s="8"/>
      <c r="M3999" s="8">
        <v>5.53</v>
      </c>
      <c r="N3999" s="8"/>
      <c r="O3999" s="8"/>
      <c r="P3999" s="8"/>
      <c r="Q3999" s="8"/>
      <c r="R3999" s="8"/>
      <c r="S3999" s="8">
        <v>7.11</v>
      </c>
      <c r="T3999" s="8"/>
      <c r="U3999" s="8">
        <v>28.17</v>
      </c>
      <c r="V3999" s="8"/>
      <c r="W3999" s="8"/>
      <c r="X3999" s="8"/>
      <c r="Y3999" s="8"/>
      <c r="Z3999" s="8"/>
      <c r="AA3999" s="8"/>
      <c r="AB3999" s="8"/>
      <c r="AC3999" s="8">
        <v>8.86</v>
      </c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>
        <v>1206.55</v>
      </c>
      <c r="AU3999" s="8"/>
      <c r="AV3999" s="8"/>
      <c r="AW3999" s="8"/>
      <c r="AX3999" s="8"/>
      <c r="AY3999" s="8"/>
      <c r="AZ3999" s="8"/>
      <c r="BA3999" s="8">
        <v>82.38</v>
      </c>
      <c r="BB3999" s="8"/>
      <c r="BC3999" s="8"/>
      <c r="BD3999" s="8"/>
      <c r="BE3999" s="8"/>
      <c r="BF3999" s="8"/>
      <c r="BG3999" s="8">
        <v>89.66</v>
      </c>
      <c r="BH3999" s="9">
        <f t="shared" si="558"/>
        <v>2212.2199999999998</v>
      </c>
      <c r="BI3999" s="9">
        <f t="shared" si="559"/>
        <v>5.53</v>
      </c>
      <c r="BJ3999" s="9">
        <f t="shared" si="560"/>
        <v>7.11</v>
      </c>
      <c r="BK3999" s="9">
        <f t="shared" si="561"/>
        <v>28.17</v>
      </c>
      <c r="BL3999" s="9">
        <f t="shared" si="562"/>
        <v>0</v>
      </c>
      <c r="BM3999" s="9">
        <f t="shared" si="563"/>
        <v>8.86</v>
      </c>
      <c r="BN3999" s="9">
        <f t="shared" si="564"/>
        <v>1206.55</v>
      </c>
      <c r="BO3999" s="9">
        <f t="shared" si="565"/>
        <v>82.38</v>
      </c>
      <c r="BP3999" s="9">
        <f t="shared" si="566"/>
        <v>0</v>
      </c>
    </row>
    <row r="4000" spans="1:68">
      <c r="A4000" s="6">
        <v>45293</v>
      </c>
      <c r="B4000" s="7">
        <v>3106</v>
      </c>
      <c r="C4000" s="8">
        <v>4102.4799999999996</v>
      </c>
      <c r="D4000" s="8"/>
      <c r="E4000" s="8"/>
      <c r="F4000" s="8"/>
      <c r="G4000" s="8"/>
      <c r="H4000" s="8"/>
      <c r="I4000" s="8"/>
      <c r="J4000" s="8"/>
      <c r="K4000" s="8"/>
      <c r="L4000" s="8"/>
      <c r="M4000" s="8">
        <v>11.08</v>
      </c>
      <c r="N4000" s="8"/>
      <c r="O4000" s="8"/>
      <c r="P4000" s="8"/>
      <c r="Q4000" s="8"/>
      <c r="R4000" s="8"/>
      <c r="S4000" s="8">
        <v>12.3</v>
      </c>
      <c r="T4000" s="8"/>
      <c r="U4000" s="8">
        <v>52.18</v>
      </c>
      <c r="V4000" s="8"/>
      <c r="W4000" s="8"/>
      <c r="X4000" s="8"/>
      <c r="Y4000" s="8"/>
      <c r="Z4000" s="8"/>
      <c r="AA4000" s="8"/>
      <c r="AB4000" s="8"/>
      <c r="AC4000" s="8">
        <v>10.26</v>
      </c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>
        <v>2339.85</v>
      </c>
      <c r="AU4000" s="8"/>
      <c r="AV4000" s="8"/>
      <c r="AW4000" s="8"/>
      <c r="AX4000" s="8">
        <v>5.13</v>
      </c>
      <c r="AY4000" s="8"/>
      <c r="AZ4000" s="8"/>
      <c r="BA4000" s="8"/>
      <c r="BB4000" s="8"/>
      <c r="BC4000" s="8"/>
      <c r="BD4000" s="8"/>
      <c r="BE4000" s="8"/>
      <c r="BF4000" s="8"/>
      <c r="BG4000" s="8">
        <v>176.48</v>
      </c>
      <c r="BH4000" s="9">
        <f t="shared" si="558"/>
        <v>4102.4799999999996</v>
      </c>
      <c r="BI4000" s="9">
        <f t="shared" si="559"/>
        <v>11.08</v>
      </c>
      <c r="BJ4000" s="9">
        <f t="shared" si="560"/>
        <v>12.3</v>
      </c>
      <c r="BK4000" s="9">
        <f t="shared" si="561"/>
        <v>52.18</v>
      </c>
      <c r="BL4000" s="9">
        <f t="shared" si="562"/>
        <v>0</v>
      </c>
      <c r="BM4000" s="9">
        <f t="shared" si="563"/>
        <v>10.26</v>
      </c>
      <c r="BN4000" s="9">
        <f t="shared" si="564"/>
        <v>2339.85</v>
      </c>
      <c r="BO4000" s="9">
        <f t="shared" si="565"/>
        <v>5.13</v>
      </c>
      <c r="BP4000" s="9">
        <f t="shared" si="566"/>
        <v>0</v>
      </c>
    </row>
    <row r="4001" spans="1:68">
      <c r="A4001" s="6">
        <v>45293</v>
      </c>
      <c r="B4001" s="7">
        <v>3083</v>
      </c>
      <c r="C4001" s="8"/>
      <c r="D4001" s="8">
        <v>743.32</v>
      </c>
      <c r="E4001" s="8"/>
      <c r="F4001" s="8"/>
      <c r="G4001" s="8"/>
      <c r="H4001" s="8"/>
      <c r="I4001" s="8">
        <v>1734.08</v>
      </c>
      <c r="J4001" s="8"/>
      <c r="K4001" s="8"/>
      <c r="L4001" s="8"/>
      <c r="M4001" s="8"/>
      <c r="N4001" s="8">
        <v>16.11</v>
      </c>
      <c r="O4001" s="8"/>
      <c r="P4001" s="8"/>
      <c r="Q4001" s="8"/>
      <c r="R4001" s="8"/>
      <c r="S4001" s="8">
        <v>1.73</v>
      </c>
      <c r="T4001" s="8"/>
      <c r="U4001" s="8"/>
      <c r="V4001" s="8"/>
      <c r="W4001" s="8">
        <v>19.829999999999998</v>
      </c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>
        <v>9.9</v>
      </c>
      <c r="AN4001" s="8">
        <f>1907*18.33/1000</f>
        <v>34.955309999999997</v>
      </c>
      <c r="AO4001" s="8"/>
      <c r="AP4001" s="8"/>
      <c r="AQ4001" s="8"/>
      <c r="AR4001" s="8">
        <f>3454*18.33/1000</f>
        <v>63.31181999999999</v>
      </c>
      <c r="AS4001" s="8"/>
      <c r="AT4001" s="8">
        <v>1165.17</v>
      </c>
      <c r="AU4001" s="8"/>
      <c r="AV4001" s="8"/>
      <c r="AW4001" s="8"/>
      <c r="AX4001" s="8"/>
      <c r="AY4001" s="8"/>
      <c r="AZ4001" s="8"/>
      <c r="BA4001" s="8"/>
      <c r="BB4001" s="8"/>
      <c r="BC4001" s="8"/>
      <c r="BD4001" s="8"/>
      <c r="BE4001" s="8"/>
      <c r="BF4001" s="8"/>
      <c r="BG4001" s="8">
        <v>92.42</v>
      </c>
      <c r="BH4001" s="9">
        <f t="shared" si="558"/>
        <v>2477.4</v>
      </c>
      <c r="BI4001" s="9">
        <f t="shared" si="559"/>
        <v>16.11</v>
      </c>
      <c r="BJ4001" s="9">
        <f t="shared" si="560"/>
        <v>1.73</v>
      </c>
      <c r="BK4001" s="9">
        <f t="shared" si="561"/>
        <v>19.829999999999998</v>
      </c>
      <c r="BL4001" s="9">
        <f t="shared" si="562"/>
        <v>0</v>
      </c>
      <c r="BM4001" s="9">
        <f t="shared" si="563"/>
        <v>108.16712999999999</v>
      </c>
      <c r="BN4001" s="9">
        <f t="shared" si="564"/>
        <v>1165.17</v>
      </c>
      <c r="BO4001" s="9">
        <f t="shared" si="565"/>
        <v>0</v>
      </c>
      <c r="BP4001" s="9">
        <f t="shared" si="566"/>
        <v>0</v>
      </c>
    </row>
    <row r="4002" spans="1:68">
      <c r="A4002" s="6">
        <v>45293</v>
      </c>
      <c r="B4002" s="7">
        <v>3016</v>
      </c>
      <c r="C4002" s="8"/>
      <c r="D4002" s="8">
        <v>1633.11</v>
      </c>
      <c r="E4002" s="8"/>
      <c r="F4002" s="8"/>
      <c r="G4002" s="8"/>
      <c r="H4002" s="8"/>
      <c r="I4002" s="8">
        <v>1508.33</v>
      </c>
      <c r="J4002" s="8"/>
      <c r="K4002" s="8"/>
      <c r="L4002" s="8"/>
      <c r="M4002" s="8"/>
      <c r="N4002" s="8">
        <v>19.78</v>
      </c>
      <c r="O4002" s="8"/>
      <c r="P4002" s="8"/>
      <c r="Q4002" s="8"/>
      <c r="R4002" s="8"/>
      <c r="S4002" s="8">
        <v>2.2000000000000002</v>
      </c>
      <c r="T4002" s="8"/>
      <c r="U4002" s="8"/>
      <c r="V4002" s="8"/>
      <c r="W4002" s="8">
        <v>31.43</v>
      </c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>
        <v>12.57</v>
      </c>
      <c r="AN4002" s="8">
        <f>2057*18.47/1000</f>
        <v>37.992789999999999</v>
      </c>
      <c r="AO4002" s="8"/>
      <c r="AP4002" s="8"/>
      <c r="AQ4002" s="8"/>
      <c r="AR4002" s="8">
        <f>4261*18.47/1000</f>
        <v>78.700670000000002</v>
      </c>
      <c r="AS4002" s="8"/>
      <c r="AT4002" s="8">
        <v>1167.95</v>
      </c>
      <c r="AU4002" s="8"/>
      <c r="AV4002" s="8"/>
      <c r="AW4002" s="8"/>
      <c r="AX4002" s="8"/>
      <c r="AY4002" s="8"/>
      <c r="AZ4002" s="8"/>
      <c r="BA4002" s="8"/>
      <c r="BB4002" s="8"/>
      <c r="BC4002" s="8"/>
      <c r="BD4002" s="8"/>
      <c r="BE4002" s="8"/>
      <c r="BF4002" s="8"/>
      <c r="BG4002" s="8">
        <v>85.36</v>
      </c>
      <c r="BH4002" s="9">
        <f t="shared" si="558"/>
        <v>3141.4399999999996</v>
      </c>
      <c r="BI4002" s="9">
        <f t="shared" si="559"/>
        <v>19.78</v>
      </c>
      <c r="BJ4002" s="9">
        <f t="shared" si="560"/>
        <v>2.2000000000000002</v>
      </c>
      <c r="BK4002" s="9">
        <f t="shared" si="561"/>
        <v>31.43</v>
      </c>
      <c r="BL4002" s="9">
        <f t="shared" si="562"/>
        <v>0</v>
      </c>
      <c r="BM4002" s="9">
        <f t="shared" si="563"/>
        <v>129.26346000000001</v>
      </c>
      <c r="BN4002" s="9">
        <f t="shared" si="564"/>
        <v>1167.95</v>
      </c>
      <c r="BO4002" s="9">
        <f t="shared" si="565"/>
        <v>0</v>
      </c>
      <c r="BP4002" s="9">
        <f t="shared" si="566"/>
        <v>0</v>
      </c>
    </row>
    <row r="4003" spans="1:68">
      <c r="A4003" s="6">
        <v>45293</v>
      </c>
      <c r="B4003" s="7">
        <v>3020</v>
      </c>
      <c r="C4003" s="8"/>
      <c r="D4003" s="8">
        <v>174.3</v>
      </c>
      <c r="E4003" s="8"/>
      <c r="F4003" s="8"/>
      <c r="G4003" s="8"/>
      <c r="H4003" s="8"/>
      <c r="I4003" s="8">
        <v>984.91</v>
      </c>
      <c r="J4003" s="8"/>
      <c r="K4003" s="8"/>
      <c r="L4003" s="8"/>
      <c r="M4003" s="8"/>
      <c r="N4003" s="8">
        <v>7.08</v>
      </c>
      <c r="O4003" s="8"/>
      <c r="P4003" s="8"/>
      <c r="Q4003" s="8"/>
      <c r="R4003" s="8"/>
      <c r="S4003" s="8">
        <v>2.08</v>
      </c>
      <c r="T4003" s="8"/>
      <c r="U4003" s="8"/>
      <c r="V4003" s="8"/>
      <c r="W4003" s="8">
        <v>11.6</v>
      </c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>
        <v>11.55</v>
      </c>
      <c r="AN4003" s="8"/>
      <c r="AO4003" s="8"/>
      <c r="AP4003" s="8"/>
      <c r="AQ4003" s="8"/>
      <c r="AR4003" s="8"/>
      <c r="AS4003" s="8">
        <f>3035*9.65/1000</f>
        <v>29.287749999999999</v>
      </c>
      <c r="AT4003" s="8">
        <v>569.63</v>
      </c>
      <c r="AU4003" s="8"/>
      <c r="AV4003" s="8"/>
      <c r="AW4003" s="8"/>
      <c r="AX4003" s="8"/>
      <c r="AY4003" s="8"/>
      <c r="AZ4003" s="8"/>
      <c r="BA4003" s="8"/>
      <c r="BB4003" s="8"/>
      <c r="BC4003" s="8"/>
      <c r="BD4003" s="8"/>
      <c r="BE4003" s="8"/>
      <c r="BF4003" s="8"/>
      <c r="BG4003" s="8">
        <v>41.68</v>
      </c>
      <c r="BH4003" s="9">
        <f t="shared" si="558"/>
        <v>1159.21</v>
      </c>
      <c r="BI4003" s="9">
        <f t="shared" si="559"/>
        <v>7.08</v>
      </c>
      <c r="BJ4003" s="9">
        <f t="shared" si="560"/>
        <v>2.08</v>
      </c>
      <c r="BK4003" s="9">
        <f t="shared" si="561"/>
        <v>11.6</v>
      </c>
      <c r="BL4003" s="9">
        <f t="shared" si="562"/>
        <v>0</v>
      </c>
      <c r="BM4003" s="9">
        <f t="shared" si="563"/>
        <v>40.83775</v>
      </c>
      <c r="BN4003" s="9">
        <f t="shared" si="564"/>
        <v>569.63</v>
      </c>
      <c r="BO4003" s="9">
        <f t="shared" si="565"/>
        <v>0</v>
      </c>
      <c r="BP4003" s="9">
        <f t="shared" si="566"/>
        <v>0</v>
      </c>
    </row>
    <row r="4004" spans="1:68">
      <c r="A4004" s="6">
        <v>45293</v>
      </c>
      <c r="B4004" s="7">
        <v>3023</v>
      </c>
      <c r="C4004" s="8"/>
      <c r="D4004" s="8">
        <v>1700.43</v>
      </c>
      <c r="E4004" s="8"/>
      <c r="F4004" s="8"/>
      <c r="G4004" s="8"/>
      <c r="H4004" s="8"/>
      <c r="I4004" s="8">
        <v>919.36</v>
      </c>
      <c r="J4004" s="8"/>
      <c r="K4004" s="8"/>
      <c r="L4004" s="8"/>
      <c r="M4004" s="8"/>
      <c r="N4004" s="8">
        <v>14.65</v>
      </c>
      <c r="O4004" s="8"/>
      <c r="P4004" s="8"/>
      <c r="Q4004" s="8"/>
      <c r="R4004" s="8"/>
      <c r="S4004" s="8">
        <v>4.1900000000000004</v>
      </c>
      <c r="T4004" s="8"/>
      <c r="U4004" s="8"/>
      <c r="V4004" s="8"/>
      <c r="W4004" s="8">
        <v>23.59</v>
      </c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>
        <v>26.2</v>
      </c>
      <c r="AN4004" s="8">
        <f>1033*18.07/1000</f>
        <v>18.666310000000003</v>
      </c>
      <c r="AO4004" s="8"/>
      <c r="AP4004" s="8"/>
      <c r="AQ4004" s="8"/>
      <c r="AR4004" s="8"/>
      <c r="AS4004" s="8">
        <f>4792*18.07/1000</f>
        <v>86.591440000000006</v>
      </c>
      <c r="AT4004" s="8">
        <v>1074.74</v>
      </c>
      <c r="AU4004" s="8"/>
      <c r="AV4004" s="8"/>
      <c r="AW4004" s="8"/>
      <c r="AX4004" s="8"/>
      <c r="AY4004" s="8"/>
      <c r="AZ4004" s="8"/>
      <c r="BA4004" s="8"/>
      <c r="BB4004" s="8"/>
      <c r="BC4004" s="8"/>
      <c r="BD4004" s="8"/>
      <c r="BE4004" s="8"/>
      <c r="BF4004" s="8"/>
      <c r="BG4004" s="8">
        <v>81.180000000000007</v>
      </c>
      <c r="BH4004" s="9">
        <f t="shared" si="558"/>
        <v>2619.79</v>
      </c>
      <c r="BI4004" s="9">
        <f t="shared" si="559"/>
        <v>14.65</v>
      </c>
      <c r="BJ4004" s="9">
        <f t="shared" si="560"/>
        <v>4.1900000000000004</v>
      </c>
      <c r="BK4004" s="9">
        <f t="shared" si="561"/>
        <v>23.59</v>
      </c>
      <c r="BL4004" s="9">
        <f t="shared" si="562"/>
        <v>0</v>
      </c>
      <c r="BM4004" s="9">
        <f t="shared" si="563"/>
        <v>131.45775</v>
      </c>
      <c r="BN4004" s="9">
        <f t="shared" si="564"/>
        <v>1074.74</v>
      </c>
      <c r="BO4004" s="9">
        <f t="shared" si="565"/>
        <v>0</v>
      </c>
      <c r="BP4004" s="9">
        <f t="shared" si="566"/>
        <v>0</v>
      </c>
    </row>
    <row r="4005" spans="1:68">
      <c r="A4005" s="6">
        <v>45293</v>
      </c>
      <c r="B4005" s="7">
        <v>3204</v>
      </c>
      <c r="C4005" s="8"/>
      <c r="D4005" s="8">
        <v>1767.06</v>
      </c>
      <c r="E4005" s="8">
        <v>757.18</v>
      </c>
      <c r="F4005" s="8"/>
      <c r="G4005" s="8"/>
      <c r="H4005" s="8"/>
      <c r="I4005" s="8"/>
      <c r="J4005" s="8"/>
      <c r="K4005" s="8"/>
      <c r="L4005" s="8"/>
      <c r="M4005" s="8"/>
      <c r="N4005" s="8"/>
      <c r="O4005" s="8">
        <v>12.64</v>
      </c>
      <c r="P4005" s="8"/>
      <c r="Q4005" s="8"/>
      <c r="R4005" s="8"/>
      <c r="S4005" s="8">
        <v>8.58</v>
      </c>
      <c r="T4005" s="8"/>
      <c r="U4005" s="8">
        <v>27.82</v>
      </c>
      <c r="V4005" s="8"/>
      <c r="W4005" s="8"/>
      <c r="X4005" s="8"/>
      <c r="Y4005" s="8"/>
      <c r="Z4005" s="8">
        <v>379.32</v>
      </c>
      <c r="AA4005" s="8"/>
      <c r="AB4005" s="8">
        <f>720*18.05/1000</f>
        <v>12.996</v>
      </c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>
        <v>1112.79</v>
      </c>
      <c r="AU4005" s="8"/>
      <c r="AV4005" s="8"/>
      <c r="AW4005" s="8">
        <v>8.08</v>
      </c>
      <c r="AX4005" s="8"/>
      <c r="AY4005" s="8"/>
      <c r="AZ4005" s="8"/>
      <c r="BA4005" s="8"/>
      <c r="BB4005" s="8"/>
      <c r="BC4005" s="8"/>
      <c r="BD4005" s="8"/>
      <c r="BE4005" s="8"/>
      <c r="BF4005" s="8"/>
      <c r="BG4005" s="8">
        <v>82.15</v>
      </c>
      <c r="BH4005" s="9">
        <f t="shared" si="558"/>
        <v>2524.2399999999998</v>
      </c>
      <c r="BI4005" s="9">
        <f t="shared" si="559"/>
        <v>12.64</v>
      </c>
      <c r="BJ4005" s="9">
        <f t="shared" si="560"/>
        <v>8.58</v>
      </c>
      <c r="BK4005" s="9">
        <f t="shared" si="561"/>
        <v>27.82</v>
      </c>
      <c r="BL4005" s="9">
        <f t="shared" si="562"/>
        <v>379.32</v>
      </c>
      <c r="BM4005" s="9">
        <f t="shared" si="563"/>
        <v>12.996</v>
      </c>
      <c r="BN4005" s="9">
        <f t="shared" si="564"/>
        <v>1112.79</v>
      </c>
      <c r="BO4005" s="9">
        <f t="shared" si="565"/>
        <v>8.08</v>
      </c>
      <c r="BP4005" s="9">
        <f t="shared" si="566"/>
        <v>0</v>
      </c>
    </row>
    <row r="4006" spans="1:68">
      <c r="A4006" s="6">
        <v>45294</v>
      </c>
      <c r="B4006" s="7">
        <v>3139</v>
      </c>
      <c r="C4006" s="8">
        <v>1050.52</v>
      </c>
      <c r="D4006" s="8"/>
      <c r="E4006" s="8"/>
      <c r="F4006" s="8"/>
      <c r="G4006" s="8"/>
      <c r="H4006" s="8">
        <v>435.56</v>
      </c>
      <c r="I4006" s="8"/>
      <c r="J4006" s="8"/>
      <c r="K4006" s="8"/>
      <c r="L4006" s="8"/>
      <c r="M4006" s="8">
        <v>2.4700000000000002</v>
      </c>
      <c r="N4006" s="8"/>
      <c r="O4006" s="8"/>
      <c r="P4006" s="8"/>
      <c r="Q4006" s="8"/>
      <c r="R4006" s="8"/>
      <c r="S4006" s="8">
        <v>4.66</v>
      </c>
      <c r="T4006" s="8"/>
      <c r="U4006" s="8">
        <v>15.54</v>
      </c>
      <c r="V4006" s="8"/>
      <c r="W4006" s="8"/>
      <c r="X4006" s="8"/>
      <c r="Y4006" s="8"/>
      <c r="Z4006" s="8"/>
      <c r="AA4006" s="8"/>
      <c r="AB4006" s="8"/>
      <c r="AC4006" s="8">
        <v>5.18</v>
      </c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>
        <v>760.71</v>
      </c>
      <c r="AU4006" s="8"/>
      <c r="AV4006" s="8">
        <v>25.9</v>
      </c>
      <c r="AW4006" s="8"/>
      <c r="AX4006" s="8"/>
      <c r="AY4006" s="8"/>
      <c r="AZ4006" s="8"/>
      <c r="BA4006" s="8"/>
      <c r="BB4006" s="8"/>
      <c r="BC4006" s="8"/>
      <c r="BD4006" s="8"/>
      <c r="BE4006" s="8"/>
      <c r="BF4006" s="8"/>
      <c r="BG4006" s="8">
        <v>55.61</v>
      </c>
      <c r="BH4006" s="9">
        <f t="shared" si="558"/>
        <v>1486.08</v>
      </c>
      <c r="BI4006" s="9">
        <f t="shared" si="559"/>
        <v>2.4700000000000002</v>
      </c>
      <c r="BJ4006" s="9">
        <f t="shared" si="560"/>
        <v>4.66</v>
      </c>
      <c r="BK4006" s="9">
        <f t="shared" si="561"/>
        <v>15.54</v>
      </c>
      <c r="BL4006" s="9">
        <f t="shared" si="562"/>
        <v>0</v>
      </c>
      <c r="BM4006" s="9">
        <f t="shared" si="563"/>
        <v>5.18</v>
      </c>
      <c r="BN4006" s="9">
        <f t="shared" si="564"/>
        <v>760.71</v>
      </c>
      <c r="BO4006" s="9">
        <f t="shared" si="565"/>
        <v>25.9</v>
      </c>
      <c r="BP4006" s="9">
        <f t="shared" si="566"/>
        <v>0</v>
      </c>
    </row>
    <row r="4007" spans="1:68">
      <c r="A4007" s="6">
        <v>45294</v>
      </c>
      <c r="B4007" s="7">
        <v>3139</v>
      </c>
      <c r="C4007" s="8">
        <v>956.37</v>
      </c>
      <c r="D4007" s="8"/>
      <c r="E4007" s="8"/>
      <c r="F4007" s="8"/>
      <c r="G4007" s="8"/>
      <c r="H4007" s="8">
        <v>395.71</v>
      </c>
      <c r="I4007" s="8"/>
      <c r="J4007" s="8"/>
      <c r="K4007" s="8"/>
      <c r="L4007" s="8"/>
      <c r="M4007" s="8">
        <v>2.25</v>
      </c>
      <c r="N4007" s="8"/>
      <c r="O4007" s="8"/>
      <c r="P4007" s="8"/>
      <c r="Q4007" s="8"/>
      <c r="R4007" s="8"/>
      <c r="S4007" s="8">
        <v>4.24</v>
      </c>
      <c r="T4007" s="8"/>
      <c r="U4007" s="8">
        <v>14.17</v>
      </c>
      <c r="V4007" s="8"/>
      <c r="W4007" s="8"/>
      <c r="X4007" s="8"/>
      <c r="Y4007" s="8"/>
      <c r="Z4007" s="8"/>
      <c r="AA4007" s="8"/>
      <c r="AB4007" s="8"/>
      <c r="AC4007" s="8">
        <v>4.72</v>
      </c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>
        <v>696.68</v>
      </c>
      <c r="AU4007" s="8"/>
      <c r="AV4007" s="8">
        <v>23.65</v>
      </c>
      <c r="AW4007" s="8"/>
      <c r="AX4007" s="8"/>
      <c r="AY4007" s="8"/>
      <c r="AZ4007" s="8"/>
      <c r="BA4007" s="8"/>
      <c r="BB4007" s="8"/>
      <c r="BC4007" s="8"/>
      <c r="BD4007" s="8"/>
      <c r="BE4007" s="8"/>
      <c r="BF4007" s="8"/>
      <c r="BG4007" s="8">
        <v>50.72</v>
      </c>
      <c r="BH4007" s="9">
        <f t="shared" si="558"/>
        <v>1352.08</v>
      </c>
      <c r="BI4007" s="9">
        <f t="shared" si="559"/>
        <v>2.25</v>
      </c>
      <c r="BJ4007" s="9">
        <f t="shared" si="560"/>
        <v>4.24</v>
      </c>
      <c r="BK4007" s="9">
        <f t="shared" si="561"/>
        <v>14.17</v>
      </c>
      <c r="BL4007" s="9">
        <f t="shared" si="562"/>
        <v>0</v>
      </c>
      <c r="BM4007" s="9">
        <f t="shared" si="563"/>
        <v>4.72</v>
      </c>
      <c r="BN4007" s="9">
        <f t="shared" si="564"/>
        <v>696.68</v>
      </c>
      <c r="BO4007" s="9">
        <f t="shared" si="565"/>
        <v>23.65</v>
      </c>
      <c r="BP4007" s="9">
        <f t="shared" si="566"/>
        <v>0</v>
      </c>
    </row>
    <row r="4008" spans="1:68">
      <c r="A4008" s="6">
        <v>45294</v>
      </c>
      <c r="B4008" s="7">
        <v>3601</v>
      </c>
      <c r="C4008" s="8">
        <v>291.54000000000002</v>
      </c>
      <c r="D4008" s="8"/>
      <c r="E4008" s="8"/>
      <c r="F4008" s="8"/>
      <c r="G4008" s="8">
        <v>438.16</v>
      </c>
      <c r="H4008" s="8"/>
      <c r="I4008" s="8"/>
      <c r="J4008" s="8"/>
      <c r="K4008" s="8"/>
      <c r="L4008" s="8"/>
      <c r="M4008" s="8">
        <v>0.9</v>
      </c>
      <c r="N4008" s="8"/>
      <c r="O4008" s="8"/>
      <c r="P4008" s="8"/>
      <c r="Q4008" s="8"/>
      <c r="R4008" s="8"/>
      <c r="S4008" s="8">
        <v>3.52</v>
      </c>
      <c r="T4008" s="8"/>
      <c r="U4008" s="8">
        <v>4.41</v>
      </c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>
        <v>359.51</v>
      </c>
      <c r="AU4008" s="8"/>
      <c r="AV4008" s="8"/>
      <c r="AW4008" s="8">
        <v>22.33</v>
      </c>
      <c r="AX4008" s="8"/>
      <c r="AY4008" s="8"/>
      <c r="AZ4008" s="8"/>
      <c r="BA4008" s="8"/>
      <c r="BB4008" s="8"/>
      <c r="BC4008" s="8"/>
      <c r="BD4008" s="8"/>
      <c r="BE4008" s="8"/>
      <c r="BF4008" s="8">
        <v>41.14</v>
      </c>
      <c r="BG4008" s="8">
        <v>26.2</v>
      </c>
      <c r="BH4008" s="9">
        <f t="shared" si="558"/>
        <v>729.7</v>
      </c>
      <c r="BI4008" s="9">
        <f t="shared" si="559"/>
        <v>0.9</v>
      </c>
      <c r="BJ4008" s="9">
        <f t="shared" si="560"/>
        <v>3.52</v>
      </c>
      <c r="BK4008" s="9">
        <f t="shared" si="561"/>
        <v>4.41</v>
      </c>
      <c r="BL4008" s="9">
        <f t="shared" si="562"/>
        <v>0</v>
      </c>
      <c r="BM4008" s="9">
        <f t="shared" si="563"/>
        <v>0</v>
      </c>
      <c r="BN4008" s="9">
        <f t="shared" si="564"/>
        <v>359.51</v>
      </c>
      <c r="BO4008" s="9">
        <f t="shared" si="565"/>
        <v>22.33</v>
      </c>
      <c r="BP4008" s="9">
        <f t="shared" si="566"/>
        <v>41.14</v>
      </c>
    </row>
    <row r="4009" spans="1:68">
      <c r="A4009" s="6">
        <v>45294</v>
      </c>
      <c r="B4009" s="7">
        <v>3602</v>
      </c>
      <c r="C4009" s="8">
        <v>553.22</v>
      </c>
      <c r="D4009" s="8"/>
      <c r="E4009" s="8"/>
      <c r="F4009" s="8"/>
      <c r="G4009" s="8">
        <v>831.53</v>
      </c>
      <c r="H4009" s="8"/>
      <c r="I4009" s="8"/>
      <c r="J4009" s="8"/>
      <c r="K4009" s="8"/>
      <c r="L4009" s="8"/>
      <c r="M4009" s="8">
        <v>1.65</v>
      </c>
      <c r="N4009" s="8"/>
      <c r="O4009" s="8"/>
      <c r="P4009" s="8"/>
      <c r="Q4009" s="8"/>
      <c r="R4009" s="8"/>
      <c r="S4009" s="8">
        <v>6.65</v>
      </c>
      <c r="T4009" s="8"/>
      <c r="U4009" s="8">
        <v>11.11</v>
      </c>
      <c r="V4009" s="8">
        <f>856*15.85/1000</f>
        <v>13.567600000000001</v>
      </c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>
        <v>559.29</v>
      </c>
      <c r="AU4009" s="8"/>
      <c r="AV4009" s="8"/>
      <c r="AW4009" s="8">
        <v>35.86</v>
      </c>
      <c r="AX4009" s="8"/>
      <c r="AY4009" s="8"/>
      <c r="AZ4009" s="8"/>
      <c r="BA4009" s="8"/>
      <c r="BB4009" s="8"/>
      <c r="BC4009" s="8"/>
      <c r="BD4009" s="8"/>
      <c r="BE4009" s="8"/>
      <c r="BF4009" s="8">
        <v>44.41</v>
      </c>
      <c r="BG4009" s="8">
        <v>41.04</v>
      </c>
      <c r="BH4009" s="9">
        <f t="shared" si="558"/>
        <v>1384.75</v>
      </c>
      <c r="BI4009" s="9">
        <f t="shared" si="559"/>
        <v>1.65</v>
      </c>
      <c r="BJ4009" s="9">
        <f t="shared" si="560"/>
        <v>6.65</v>
      </c>
      <c r="BK4009" s="9">
        <f t="shared" si="561"/>
        <v>24.677599999999998</v>
      </c>
      <c r="BL4009" s="9">
        <f t="shared" si="562"/>
        <v>0</v>
      </c>
      <c r="BM4009" s="9">
        <f t="shared" si="563"/>
        <v>0</v>
      </c>
      <c r="BN4009" s="9">
        <f t="shared" si="564"/>
        <v>559.29</v>
      </c>
      <c r="BO4009" s="9">
        <f t="shared" si="565"/>
        <v>35.86</v>
      </c>
      <c r="BP4009" s="9">
        <f t="shared" si="566"/>
        <v>44.41</v>
      </c>
    </row>
    <row r="4010" spans="1:68">
      <c r="A4010" s="6">
        <v>45294</v>
      </c>
      <c r="B4010" s="7">
        <v>3106</v>
      </c>
      <c r="C4010" s="8">
        <v>8089.36</v>
      </c>
      <c r="D4010" s="8"/>
      <c r="E4010" s="8"/>
      <c r="F4010" s="8"/>
      <c r="G4010" s="8"/>
      <c r="H4010" s="8"/>
      <c r="I4010" s="8"/>
      <c r="J4010" s="8"/>
      <c r="K4010" s="8"/>
      <c r="L4010" s="8"/>
      <c r="M4010" s="8">
        <v>21.89</v>
      </c>
      <c r="N4010" s="8"/>
      <c r="O4010" s="8"/>
      <c r="P4010" s="8"/>
      <c r="Q4010" s="8"/>
      <c r="R4010" s="8"/>
      <c r="S4010" s="8">
        <v>24.33</v>
      </c>
      <c r="T4010" s="8"/>
      <c r="U4010" s="8">
        <v>102.95</v>
      </c>
      <c r="V4010" s="8"/>
      <c r="W4010" s="8"/>
      <c r="X4010" s="8"/>
      <c r="Y4010" s="8"/>
      <c r="Z4010" s="8"/>
      <c r="AA4010" s="8"/>
      <c r="AB4010" s="8"/>
      <c r="AC4010" s="8">
        <v>20.23</v>
      </c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>
        <v>4609.55</v>
      </c>
      <c r="AU4010" s="8"/>
      <c r="AV4010" s="8"/>
      <c r="AW4010" s="8"/>
      <c r="AX4010" s="8">
        <v>10.119999999999999</v>
      </c>
      <c r="AY4010" s="8"/>
      <c r="AZ4010" s="8"/>
      <c r="BA4010" s="8"/>
      <c r="BB4010" s="8"/>
      <c r="BC4010" s="8"/>
      <c r="BD4010" s="8"/>
      <c r="BE4010" s="8"/>
      <c r="BF4010" s="8"/>
      <c r="BG4010" s="8">
        <v>347.57</v>
      </c>
      <c r="BH4010" s="9">
        <f t="shared" si="558"/>
        <v>8089.36</v>
      </c>
      <c r="BI4010" s="9">
        <f t="shared" si="559"/>
        <v>21.89</v>
      </c>
      <c r="BJ4010" s="9">
        <f t="shared" si="560"/>
        <v>24.33</v>
      </c>
      <c r="BK4010" s="9">
        <f t="shared" si="561"/>
        <v>102.95</v>
      </c>
      <c r="BL4010" s="9">
        <f t="shared" si="562"/>
        <v>0</v>
      </c>
      <c r="BM4010" s="9">
        <f t="shared" si="563"/>
        <v>20.23</v>
      </c>
      <c r="BN4010" s="9">
        <f t="shared" si="564"/>
        <v>4609.55</v>
      </c>
      <c r="BO4010" s="9">
        <f t="shared" si="565"/>
        <v>10.119999999999999</v>
      </c>
      <c r="BP4010" s="9">
        <f t="shared" si="566"/>
        <v>0</v>
      </c>
    </row>
    <row r="4011" spans="1:68">
      <c r="A4011" s="6">
        <v>45294</v>
      </c>
      <c r="B4011" s="7">
        <v>3083</v>
      </c>
      <c r="C4011" s="8"/>
      <c r="D4011" s="8">
        <v>737.19</v>
      </c>
      <c r="E4011" s="8"/>
      <c r="F4011" s="8"/>
      <c r="G4011" s="8"/>
      <c r="H4011" s="8"/>
      <c r="I4011" s="8">
        <v>1715.43</v>
      </c>
      <c r="J4011" s="8"/>
      <c r="K4011" s="8"/>
      <c r="L4011" s="8"/>
      <c r="M4011" s="8"/>
      <c r="N4011" s="8">
        <v>15.99</v>
      </c>
      <c r="O4011" s="8"/>
      <c r="P4011" s="8"/>
      <c r="Q4011" s="8"/>
      <c r="R4011" s="8"/>
      <c r="S4011" s="8">
        <v>1.72</v>
      </c>
      <c r="T4011" s="8"/>
      <c r="U4011" s="8"/>
      <c r="V4011" s="8"/>
      <c r="W4011" s="8">
        <v>19.73</v>
      </c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>
        <v>9.7799999999999994</v>
      </c>
      <c r="AN4011" s="8">
        <f>1926*18.25/1000</f>
        <v>35.149500000000003</v>
      </c>
      <c r="AO4011" s="8"/>
      <c r="AP4011" s="8"/>
      <c r="AQ4011" s="8"/>
      <c r="AR4011" s="8">
        <f>3416*18.25/1000</f>
        <v>62.341999999999999</v>
      </c>
      <c r="AS4011" s="8"/>
      <c r="AT4011" s="8">
        <v>1157.44</v>
      </c>
      <c r="AU4011" s="8"/>
      <c r="AV4011" s="8"/>
      <c r="AW4011" s="8"/>
      <c r="AX4011" s="8"/>
      <c r="AY4011" s="8"/>
      <c r="AZ4011" s="8"/>
      <c r="BA4011" s="8"/>
      <c r="BB4011" s="8"/>
      <c r="BC4011" s="8"/>
      <c r="BD4011" s="8"/>
      <c r="BE4011" s="8"/>
      <c r="BF4011" s="8"/>
      <c r="BG4011" s="8">
        <v>91.75</v>
      </c>
      <c r="BH4011" s="9">
        <f t="shared" si="558"/>
        <v>2452.62</v>
      </c>
      <c r="BI4011" s="9">
        <f t="shared" si="559"/>
        <v>15.99</v>
      </c>
      <c r="BJ4011" s="9">
        <f t="shared" si="560"/>
        <v>1.72</v>
      </c>
      <c r="BK4011" s="9">
        <f t="shared" si="561"/>
        <v>19.73</v>
      </c>
      <c r="BL4011" s="9">
        <f t="shared" si="562"/>
        <v>0</v>
      </c>
      <c r="BM4011" s="9">
        <f t="shared" si="563"/>
        <v>107.2715</v>
      </c>
      <c r="BN4011" s="9">
        <f t="shared" si="564"/>
        <v>1157.44</v>
      </c>
      <c r="BO4011" s="9">
        <f t="shared" si="565"/>
        <v>0</v>
      </c>
      <c r="BP4011" s="9">
        <f t="shared" si="566"/>
        <v>0</v>
      </c>
    </row>
    <row r="4012" spans="1:68">
      <c r="A4012" s="6">
        <v>45294</v>
      </c>
      <c r="B4012" s="7">
        <v>3025</v>
      </c>
      <c r="C4012" s="8"/>
      <c r="D4012" s="8">
        <v>125.35</v>
      </c>
      <c r="E4012" s="8"/>
      <c r="F4012" s="8"/>
      <c r="G4012" s="8"/>
      <c r="H4012" s="8"/>
      <c r="I4012" s="8">
        <v>714.89</v>
      </c>
      <c r="J4012" s="8"/>
      <c r="K4012" s="8"/>
      <c r="L4012" s="8"/>
      <c r="M4012" s="8"/>
      <c r="N4012" s="8">
        <v>4.71</v>
      </c>
      <c r="O4012" s="8"/>
      <c r="P4012" s="8"/>
      <c r="Q4012" s="8"/>
      <c r="R4012" s="8"/>
      <c r="S4012" s="8">
        <v>1.34</v>
      </c>
      <c r="T4012" s="8"/>
      <c r="U4012" s="8"/>
      <c r="V4012" s="8"/>
      <c r="W4012" s="8">
        <v>7.57</v>
      </c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>
        <v>8.3800000000000008</v>
      </c>
      <c r="AN4012" s="8">
        <f>702*8.4/1000</f>
        <v>5.8967999999999998</v>
      </c>
      <c r="AO4012" s="8"/>
      <c r="AP4012" s="8"/>
      <c r="AQ4012" s="8"/>
      <c r="AR4012" s="8"/>
      <c r="AS4012" s="8">
        <f>3324*8.4/1000</f>
        <v>27.921600000000002</v>
      </c>
      <c r="AT4012" s="8">
        <v>290.3</v>
      </c>
      <c r="AU4012" s="8"/>
      <c r="AV4012" s="8"/>
      <c r="AW4012" s="8"/>
      <c r="AX4012" s="8"/>
      <c r="AY4012" s="8"/>
      <c r="AZ4012" s="8"/>
      <c r="BA4012" s="8"/>
      <c r="BB4012" s="8"/>
      <c r="BC4012" s="8"/>
      <c r="BD4012" s="8"/>
      <c r="BE4012" s="8"/>
      <c r="BF4012" s="8"/>
      <c r="BG4012" s="8">
        <v>19.260000000000002</v>
      </c>
      <c r="BH4012" s="9">
        <f t="shared" si="558"/>
        <v>840.24</v>
      </c>
      <c r="BI4012" s="9">
        <f t="shared" si="559"/>
        <v>4.71</v>
      </c>
      <c r="BJ4012" s="9">
        <f t="shared" si="560"/>
        <v>1.34</v>
      </c>
      <c r="BK4012" s="9">
        <f t="shared" si="561"/>
        <v>7.57</v>
      </c>
      <c r="BL4012" s="9">
        <f t="shared" si="562"/>
        <v>0</v>
      </c>
      <c r="BM4012" s="9">
        <f t="shared" si="563"/>
        <v>42.198400000000007</v>
      </c>
      <c r="BN4012" s="9">
        <f t="shared" si="564"/>
        <v>290.3</v>
      </c>
      <c r="BO4012" s="9">
        <f t="shared" si="565"/>
        <v>0</v>
      </c>
      <c r="BP4012" s="9">
        <f t="shared" si="566"/>
        <v>0</v>
      </c>
    </row>
    <row r="4013" spans="1:68">
      <c r="A4013" s="6">
        <v>45294</v>
      </c>
      <c r="B4013" s="7">
        <v>3024</v>
      </c>
      <c r="C4013" s="8"/>
      <c r="D4013" s="8">
        <v>350.45</v>
      </c>
      <c r="E4013" s="8"/>
      <c r="F4013" s="8"/>
      <c r="G4013" s="8"/>
      <c r="H4013" s="8"/>
      <c r="I4013" s="8">
        <v>352.81</v>
      </c>
      <c r="J4013" s="8"/>
      <c r="K4013" s="8"/>
      <c r="L4013" s="8"/>
      <c r="M4013" s="8"/>
      <c r="N4013" s="8">
        <v>4.3600000000000003</v>
      </c>
      <c r="O4013" s="8"/>
      <c r="P4013" s="8"/>
      <c r="Q4013" s="8"/>
      <c r="R4013" s="8"/>
      <c r="S4013" s="8">
        <v>1.1299999999999999</v>
      </c>
      <c r="T4013" s="8"/>
      <c r="U4013" s="8"/>
      <c r="V4013" s="8"/>
      <c r="W4013" s="8">
        <v>5.63</v>
      </c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>
        <v>7.02</v>
      </c>
      <c r="AN4013" s="8">
        <f>852*5.87/1000</f>
        <v>5.0012400000000001</v>
      </c>
      <c r="AO4013" s="8"/>
      <c r="AP4013" s="8"/>
      <c r="AQ4013" s="8"/>
      <c r="AR4013" s="8"/>
      <c r="AS4013" s="8">
        <f>3971*5.87/1000</f>
        <v>23.30977</v>
      </c>
      <c r="AT4013" s="8">
        <v>270.16000000000003</v>
      </c>
      <c r="AU4013" s="8"/>
      <c r="AV4013" s="8"/>
      <c r="AW4013" s="8"/>
      <c r="AX4013" s="8"/>
      <c r="AY4013" s="8"/>
      <c r="AZ4013" s="8"/>
      <c r="BA4013" s="8"/>
      <c r="BB4013" s="8"/>
      <c r="BC4013" s="8"/>
      <c r="BD4013" s="8"/>
      <c r="BE4013" s="8"/>
      <c r="BF4013" s="8"/>
      <c r="BG4013" s="8">
        <v>19.68</v>
      </c>
      <c r="BH4013" s="9">
        <f t="shared" si="558"/>
        <v>703.26</v>
      </c>
      <c r="BI4013" s="9">
        <f t="shared" si="559"/>
        <v>4.3600000000000003</v>
      </c>
      <c r="BJ4013" s="9">
        <f t="shared" si="560"/>
        <v>1.1299999999999999</v>
      </c>
      <c r="BK4013" s="9">
        <f t="shared" si="561"/>
        <v>5.63</v>
      </c>
      <c r="BL4013" s="9">
        <f t="shared" si="562"/>
        <v>0</v>
      </c>
      <c r="BM4013" s="9">
        <f t="shared" si="563"/>
        <v>35.331009999999999</v>
      </c>
      <c r="BN4013" s="9">
        <f t="shared" si="564"/>
        <v>270.16000000000003</v>
      </c>
      <c r="BO4013" s="9">
        <f t="shared" si="565"/>
        <v>0</v>
      </c>
      <c r="BP4013" s="9">
        <f t="shared" si="566"/>
        <v>0</v>
      </c>
    </row>
    <row r="4014" spans="1:68">
      <c r="A4014" s="6">
        <v>45294</v>
      </c>
      <c r="B4014" s="7">
        <v>3204</v>
      </c>
      <c r="C4014" s="8"/>
      <c r="D4014" s="8">
        <v>1013.92</v>
      </c>
      <c r="E4014" s="8">
        <v>434.19</v>
      </c>
      <c r="F4014" s="8"/>
      <c r="G4014" s="8"/>
      <c r="H4014" s="8"/>
      <c r="I4014" s="8"/>
      <c r="J4014" s="8"/>
      <c r="K4014" s="8"/>
      <c r="L4014" s="8"/>
      <c r="M4014" s="8"/>
      <c r="N4014" s="8"/>
      <c r="O4014" s="8">
        <v>7.24</v>
      </c>
      <c r="P4014" s="8"/>
      <c r="Q4014" s="8"/>
      <c r="R4014" s="8"/>
      <c r="S4014" s="8">
        <v>4.92</v>
      </c>
      <c r="T4014" s="8"/>
      <c r="U4014" s="8">
        <v>15.95</v>
      </c>
      <c r="V4014" s="8"/>
      <c r="W4014" s="8"/>
      <c r="X4014" s="8"/>
      <c r="Y4014" s="8"/>
      <c r="Z4014" s="8">
        <v>217.42</v>
      </c>
      <c r="AA4014" s="8"/>
      <c r="AB4014" s="8">
        <f>718*10.35/1000</f>
        <v>7.4313000000000002</v>
      </c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>
        <v>638.13</v>
      </c>
      <c r="AU4014" s="8"/>
      <c r="AV4014" s="8"/>
      <c r="AW4014" s="8">
        <v>4.6399999999999997</v>
      </c>
      <c r="AX4014" s="8"/>
      <c r="AY4014" s="8"/>
      <c r="AZ4014" s="8"/>
      <c r="BA4014" s="8"/>
      <c r="BB4014" s="8"/>
      <c r="BC4014" s="8"/>
      <c r="BD4014" s="8"/>
      <c r="BE4014" s="8"/>
      <c r="BF4014" s="8"/>
      <c r="BG4014" s="8">
        <v>47.11</v>
      </c>
      <c r="BH4014" s="9">
        <f t="shared" si="558"/>
        <v>1448.11</v>
      </c>
      <c r="BI4014" s="9">
        <f t="shared" si="559"/>
        <v>7.24</v>
      </c>
      <c r="BJ4014" s="9">
        <f t="shared" si="560"/>
        <v>4.92</v>
      </c>
      <c r="BK4014" s="9">
        <f t="shared" si="561"/>
        <v>15.95</v>
      </c>
      <c r="BL4014" s="9">
        <f t="shared" si="562"/>
        <v>217.42</v>
      </c>
      <c r="BM4014" s="9">
        <f t="shared" si="563"/>
        <v>7.4313000000000002</v>
      </c>
      <c r="BN4014" s="9">
        <f t="shared" si="564"/>
        <v>638.13</v>
      </c>
      <c r="BO4014" s="9">
        <f t="shared" si="565"/>
        <v>4.6399999999999997</v>
      </c>
      <c r="BP4014" s="9">
        <f t="shared" si="566"/>
        <v>0</v>
      </c>
    </row>
    <row r="4015" spans="1:68">
      <c r="A4015" s="6">
        <v>45294</v>
      </c>
      <c r="B4015" s="7">
        <v>3200</v>
      </c>
      <c r="C4015" s="8">
        <v>2292.89</v>
      </c>
      <c r="D4015" s="8"/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>
        <v>5.71</v>
      </c>
      <c r="P4015" s="8"/>
      <c r="Q4015" s="8"/>
      <c r="R4015" s="8"/>
      <c r="S4015" s="8">
        <v>8.9499999999999993</v>
      </c>
      <c r="T4015" s="8"/>
      <c r="U4015" s="8">
        <v>34.4</v>
      </c>
      <c r="V4015" s="8"/>
      <c r="W4015" s="8"/>
      <c r="X4015" s="8"/>
      <c r="Y4015" s="8"/>
      <c r="Z4015" s="8">
        <v>482.03</v>
      </c>
      <c r="AA4015" s="8"/>
      <c r="AB4015" s="8"/>
      <c r="AC4015" s="8"/>
      <c r="AD4015" s="8"/>
      <c r="AE4015" s="8"/>
      <c r="AF4015" s="8">
        <v>114.75</v>
      </c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>
        <f>1507*22.93/1000</f>
        <v>34.555510000000005</v>
      </c>
      <c r="AR4015" s="8"/>
      <c r="AS4015" s="8"/>
      <c r="AT4015" s="8">
        <v>1570.23</v>
      </c>
      <c r="AU4015" s="8"/>
      <c r="AV4015" s="8"/>
      <c r="AW4015" s="8">
        <v>6.67</v>
      </c>
      <c r="AX4015" s="8"/>
      <c r="AY4015" s="8"/>
      <c r="AZ4015" s="8"/>
      <c r="BA4015" s="8"/>
      <c r="BB4015" s="8"/>
      <c r="BC4015" s="8"/>
      <c r="BD4015" s="8"/>
      <c r="BE4015" s="8"/>
      <c r="BF4015" s="8">
        <v>110.18</v>
      </c>
      <c r="BG4015" s="8">
        <v>113.49</v>
      </c>
      <c r="BH4015" s="9">
        <f t="shared" si="558"/>
        <v>2292.89</v>
      </c>
      <c r="BI4015" s="9">
        <f t="shared" si="559"/>
        <v>5.71</v>
      </c>
      <c r="BJ4015" s="9">
        <f t="shared" si="560"/>
        <v>8.9499999999999993</v>
      </c>
      <c r="BK4015" s="9">
        <f t="shared" si="561"/>
        <v>34.4</v>
      </c>
      <c r="BL4015" s="9">
        <f t="shared" si="562"/>
        <v>482.03</v>
      </c>
      <c r="BM4015" s="9">
        <f t="shared" si="563"/>
        <v>149.30551</v>
      </c>
      <c r="BN4015" s="9">
        <f t="shared" si="564"/>
        <v>1570.23</v>
      </c>
      <c r="BO4015" s="9">
        <f t="shared" si="565"/>
        <v>6.67</v>
      </c>
      <c r="BP4015" s="9">
        <f t="shared" si="566"/>
        <v>110.18</v>
      </c>
    </row>
    <row r="4016" spans="1:68">
      <c r="A4016" s="6">
        <v>45295</v>
      </c>
      <c r="B4016" s="7">
        <v>3141</v>
      </c>
      <c r="C4016" s="8">
        <v>3556.84</v>
      </c>
      <c r="D4016" s="8">
        <v>628.39</v>
      </c>
      <c r="E4016" s="8"/>
      <c r="F4016" s="8"/>
      <c r="G4016" s="8"/>
      <c r="H4016" s="8"/>
      <c r="I4016" s="8"/>
      <c r="J4016" s="8"/>
      <c r="K4016" s="8"/>
      <c r="L4016" s="8"/>
      <c r="M4016" s="8">
        <v>12.64</v>
      </c>
      <c r="N4016" s="8"/>
      <c r="O4016" s="8"/>
      <c r="P4016" s="8"/>
      <c r="Q4016" s="8"/>
      <c r="R4016" s="8"/>
      <c r="S4016" s="8">
        <v>19.71</v>
      </c>
      <c r="T4016" s="8"/>
      <c r="U4016" s="8">
        <v>62.89</v>
      </c>
      <c r="V4016" s="8"/>
      <c r="W4016" s="8"/>
      <c r="X4016" s="8"/>
      <c r="Y4016" s="8"/>
      <c r="Z4016" s="8"/>
      <c r="AA4016" s="8"/>
      <c r="AB4016" s="8"/>
      <c r="AC4016" s="8">
        <v>16.760000000000002</v>
      </c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>
        <v>2766.96</v>
      </c>
      <c r="AU4016" s="8"/>
      <c r="AV4016" s="8"/>
      <c r="AW4016" s="8"/>
      <c r="AX4016" s="8"/>
      <c r="AY4016" s="8"/>
      <c r="AZ4016" s="8"/>
      <c r="BA4016" s="8">
        <v>96.1</v>
      </c>
      <c r="BB4016" s="8"/>
      <c r="BC4016" s="8"/>
      <c r="BD4016" s="8"/>
      <c r="BE4016" s="8"/>
      <c r="BF4016" s="8">
        <v>293.32</v>
      </c>
      <c r="BG4016" s="8">
        <v>217.96</v>
      </c>
      <c r="BH4016" s="9">
        <f t="shared" si="558"/>
        <v>4185.2300000000005</v>
      </c>
      <c r="BI4016" s="9">
        <f t="shared" si="559"/>
        <v>12.64</v>
      </c>
      <c r="BJ4016" s="9">
        <f t="shared" si="560"/>
        <v>19.71</v>
      </c>
      <c r="BK4016" s="9">
        <f t="shared" si="561"/>
        <v>62.89</v>
      </c>
      <c r="BL4016" s="9">
        <f t="shared" si="562"/>
        <v>0</v>
      </c>
      <c r="BM4016" s="9">
        <f t="shared" si="563"/>
        <v>16.760000000000002</v>
      </c>
      <c r="BN4016" s="9">
        <f t="shared" si="564"/>
        <v>2766.96</v>
      </c>
      <c r="BO4016" s="9">
        <f t="shared" si="565"/>
        <v>96.1</v>
      </c>
      <c r="BP4016" s="9">
        <f t="shared" si="566"/>
        <v>293.32</v>
      </c>
    </row>
    <row r="4017" spans="1:68">
      <c r="A4017" s="6">
        <v>45295</v>
      </c>
      <c r="B4017" s="7">
        <v>3136</v>
      </c>
      <c r="C4017" s="8">
        <v>1232.93</v>
      </c>
      <c r="D4017" s="8"/>
      <c r="E4017" s="8"/>
      <c r="F4017" s="8"/>
      <c r="G4017" s="8"/>
      <c r="H4017" s="8">
        <v>510.47</v>
      </c>
      <c r="I4017" s="8"/>
      <c r="J4017" s="8"/>
      <c r="K4017" s="8"/>
      <c r="L4017" s="8"/>
      <c r="M4017" s="8">
        <v>2.2799999999999998</v>
      </c>
      <c r="N4017" s="8"/>
      <c r="O4017" s="8"/>
      <c r="P4017" s="8"/>
      <c r="Q4017" s="8"/>
      <c r="R4017" s="8"/>
      <c r="S4017" s="8">
        <v>6.52</v>
      </c>
      <c r="T4017" s="8"/>
      <c r="U4017" s="8">
        <v>19.7</v>
      </c>
      <c r="V4017" s="8"/>
      <c r="W4017" s="8"/>
      <c r="X4017" s="8"/>
      <c r="Y4017" s="8"/>
      <c r="Z4017" s="8"/>
      <c r="AA4017" s="8"/>
      <c r="AB4017" s="8"/>
      <c r="AC4017" s="8">
        <v>6.06</v>
      </c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>
        <v>985.79</v>
      </c>
      <c r="AU4017" s="8"/>
      <c r="AV4017" s="8"/>
      <c r="AW4017" s="8"/>
      <c r="AX4017" s="8"/>
      <c r="AY4017" s="8"/>
      <c r="AZ4017" s="8"/>
      <c r="BA4017" s="8">
        <v>15.05</v>
      </c>
      <c r="BB4017" s="8"/>
      <c r="BC4017" s="8"/>
      <c r="BD4017" s="8"/>
      <c r="BE4017" s="8"/>
      <c r="BF4017" s="8">
        <v>60.79</v>
      </c>
      <c r="BG4017" s="8">
        <v>74.459999999999994</v>
      </c>
      <c r="BH4017" s="9">
        <f t="shared" si="558"/>
        <v>1743.4</v>
      </c>
      <c r="BI4017" s="9">
        <f t="shared" si="559"/>
        <v>2.2799999999999998</v>
      </c>
      <c r="BJ4017" s="9">
        <f t="shared" si="560"/>
        <v>6.52</v>
      </c>
      <c r="BK4017" s="9">
        <f t="shared" si="561"/>
        <v>19.7</v>
      </c>
      <c r="BL4017" s="9">
        <f t="shared" si="562"/>
        <v>0</v>
      </c>
      <c r="BM4017" s="9">
        <f t="shared" si="563"/>
        <v>6.06</v>
      </c>
      <c r="BN4017" s="9">
        <f t="shared" si="564"/>
        <v>985.79</v>
      </c>
      <c r="BO4017" s="9">
        <f t="shared" si="565"/>
        <v>15.05</v>
      </c>
      <c r="BP4017" s="9">
        <f t="shared" si="566"/>
        <v>60.79</v>
      </c>
    </row>
    <row r="4018" spans="1:68">
      <c r="A4018" s="6">
        <v>45295</v>
      </c>
      <c r="B4018" s="7">
        <v>3127</v>
      </c>
      <c r="C4018" s="8">
        <v>1102.76</v>
      </c>
      <c r="D4018" s="8"/>
      <c r="E4018" s="8"/>
      <c r="F4018" s="8"/>
      <c r="G4018" s="8"/>
      <c r="H4018" s="8"/>
      <c r="I4018" s="8"/>
      <c r="J4018" s="8"/>
      <c r="K4018" s="8"/>
      <c r="L4018" s="8"/>
      <c r="M4018" s="8">
        <v>3.07</v>
      </c>
      <c r="N4018" s="8"/>
      <c r="O4018" s="8"/>
      <c r="P4018" s="8"/>
      <c r="Q4018" s="8"/>
      <c r="R4018" s="8"/>
      <c r="S4018" s="8">
        <v>5.31</v>
      </c>
      <c r="T4018" s="8"/>
      <c r="U4018" s="8">
        <v>11.1</v>
      </c>
      <c r="V4018" s="8"/>
      <c r="W4018" s="8"/>
      <c r="X4018" s="8"/>
      <c r="Y4018" s="8"/>
      <c r="Z4018" s="8">
        <v>166.42</v>
      </c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>
        <v>541.96</v>
      </c>
      <c r="AU4018" s="8"/>
      <c r="AV4018" s="8">
        <v>22.17</v>
      </c>
      <c r="AW4018" s="8"/>
      <c r="AX4018" s="8"/>
      <c r="AY4018" s="8"/>
      <c r="AZ4018" s="8"/>
      <c r="BA4018" s="8"/>
      <c r="BB4018" s="8"/>
      <c r="BC4018" s="8"/>
      <c r="BD4018" s="8"/>
      <c r="BE4018" s="8"/>
      <c r="BF4018" s="8">
        <v>55.36</v>
      </c>
      <c r="BG4018" s="8">
        <v>38.75</v>
      </c>
      <c r="BH4018" s="9">
        <f t="shared" si="558"/>
        <v>1102.76</v>
      </c>
      <c r="BI4018" s="9">
        <f t="shared" si="559"/>
        <v>3.07</v>
      </c>
      <c r="BJ4018" s="9">
        <f t="shared" si="560"/>
        <v>5.31</v>
      </c>
      <c r="BK4018" s="9">
        <f t="shared" si="561"/>
        <v>11.1</v>
      </c>
      <c r="BL4018" s="9">
        <f t="shared" si="562"/>
        <v>166.42</v>
      </c>
      <c r="BM4018" s="9">
        <f t="shared" si="563"/>
        <v>0</v>
      </c>
      <c r="BN4018" s="9">
        <f t="shared" si="564"/>
        <v>541.96</v>
      </c>
      <c r="BO4018" s="9">
        <f t="shared" si="565"/>
        <v>22.17</v>
      </c>
      <c r="BP4018" s="9">
        <f t="shared" si="566"/>
        <v>55.36</v>
      </c>
    </row>
    <row r="4019" spans="1:68">
      <c r="A4019" s="6">
        <v>45295</v>
      </c>
      <c r="B4019" s="7">
        <v>3020</v>
      </c>
      <c r="C4019" s="8"/>
      <c r="D4019" s="8">
        <v>171.69</v>
      </c>
      <c r="E4019" s="8"/>
      <c r="F4019" s="8"/>
      <c r="G4019" s="8"/>
      <c r="H4019" s="8"/>
      <c r="I4019" s="8">
        <v>969.23</v>
      </c>
      <c r="J4019" s="8"/>
      <c r="K4019" s="8"/>
      <c r="L4019" s="8"/>
      <c r="M4019" s="8"/>
      <c r="N4019" s="8">
        <v>6.97</v>
      </c>
      <c r="O4019" s="8"/>
      <c r="P4019" s="8"/>
      <c r="Q4019" s="8"/>
      <c r="R4019" s="8"/>
      <c r="S4019" s="8">
        <v>2.0499999999999998</v>
      </c>
      <c r="T4019" s="8"/>
      <c r="U4019" s="8"/>
      <c r="V4019" s="8"/>
      <c r="W4019" s="8">
        <v>11.44</v>
      </c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>
        <v>11.39</v>
      </c>
      <c r="AN4019" s="8"/>
      <c r="AO4019" s="8"/>
      <c r="AP4019" s="8"/>
      <c r="AQ4019" s="8"/>
      <c r="AR4019" s="8"/>
      <c r="AS4019" s="8">
        <f>3064*9.52/1000</f>
        <v>29.169280000000001</v>
      </c>
      <c r="AT4019" s="8">
        <v>560.73</v>
      </c>
      <c r="AU4019" s="8"/>
      <c r="AV4019" s="8"/>
      <c r="AW4019" s="8"/>
      <c r="AX4019" s="8"/>
      <c r="AY4019" s="8"/>
      <c r="AZ4019" s="8"/>
      <c r="BA4019" s="8"/>
      <c r="BB4019" s="8"/>
      <c r="BC4019" s="8"/>
      <c r="BD4019" s="8"/>
      <c r="BE4019" s="8"/>
      <c r="BF4019" s="8"/>
      <c r="BG4019" s="8">
        <v>41.06</v>
      </c>
      <c r="BH4019" s="9">
        <f t="shared" si="558"/>
        <v>1140.92</v>
      </c>
      <c r="BI4019" s="9">
        <f t="shared" si="559"/>
        <v>6.97</v>
      </c>
      <c r="BJ4019" s="9">
        <f t="shared" si="560"/>
        <v>2.0499999999999998</v>
      </c>
      <c r="BK4019" s="9">
        <f t="shared" si="561"/>
        <v>11.44</v>
      </c>
      <c r="BL4019" s="9">
        <f t="shared" si="562"/>
        <v>0</v>
      </c>
      <c r="BM4019" s="9">
        <f t="shared" si="563"/>
        <v>40.559280000000001</v>
      </c>
      <c r="BN4019" s="9">
        <f t="shared" si="564"/>
        <v>560.73</v>
      </c>
      <c r="BO4019" s="9">
        <f t="shared" si="565"/>
        <v>0</v>
      </c>
      <c r="BP4019" s="9">
        <f t="shared" si="566"/>
        <v>0</v>
      </c>
    </row>
    <row r="4020" spans="1:68">
      <c r="A4020" s="6">
        <v>45295</v>
      </c>
      <c r="B4020" s="7">
        <v>3022</v>
      </c>
      <c r="C4020" s="8"/>
      <c r="D4020" s="8">
        <v>310.36</v>
      </c>
      <c r="E4020" s="8"/>
      <c r="F4020" s="8"/>
      <c r="G4020" s="8"/>
      <c r="H4020" s="8"/>
      <c r="I4020" s="8">
        <v>255</v>
      </c>
      <c r="J4020" s="8"/>
      <c r="K4020" s="8"/>
      <c r="L4020" s="8"/>
      <c r="M4020" s="8"/>
      <c r="N4020" s="8">
        <v>2.83</v>
      </c>
      <c r="O4020" s="8"/>
      <c r="P4020" s="8"/>
      <c r="Q4020" s="8"/>
      <c r="R4020" s="8"/>
      <c r="S4020" s="8">
        <v>1.02</v>
      </c>
      <c r="T4020" s="8"/>
      <c r="U4020" s="8"/>
      <c r="V4020" s="8"/>
      <c r="W4020" s="8">
        <v>5.64</v>
      </c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>
        <v>7.31</v>
      </c>
      <c r="AN4020" s="8"/>
      <c r="AO4020" s="8"/>
      <c r="AP4020" s="8"/>
      <c r="AQ4020" s="8"/>
      <c r="AR4020" s="8"/>
      <c r="AS4020" s="8">
        <f>3873*5.13/1000</f>
        <v>19.868489999999998</v>
      </c>
      <c r="AT4020" s="8">
        <v>264.64999999999998</v>
      </c>
      <c r="AU4020" s="8"/>
      <c r="AV4020" s="8"/>
      <c r="AW4020" s="8"/>
      <c r="AX4020" s="8"/>
      <c r="AY4020" s="8"/>
      <c r="AZ4020" s="8"/>
      <c r="BA4020" s="8"/>
      <c r="BB4020" s="8"/>
      <c r="BC4020" s="8"/>
      <c r="BD4020" s="8"/>
      <c r="BE4020" s="8"/>
      <c r="BF4020" s="8"/>
      <c r="BG4020" s="8">
        <v>20.309999999999999</v>
      </c>
      <c r="BH4020" s="9">
        <f t="shared" si="558"/>
        <v>565.36</v>
      </c>
      <c r="BI4020" s="9">
        <f t="shared" si="559"/>
        <v>2.83</v>
      </c>
      <c r="BJ4020" s="9">
        <f t="shared" si="560"/>
        <v>1.02</v>
      </c>
      <c r="BK4020" s="9">
        <f t="shared" si="561"/>
        <v>5.64</v>
      </c>
      <c r="BL4020" s="9">
        <f t="shared" si="562"/>
        <v>0</v>
      </c>
      <c r="BM4020" s="9">
        <f t="shared" si="563"/>
        <v>27.178489999999996</v>
      </c>
      <c r="BN4020" s="9">
        <f t="shared" si="564"/>
        <v>264.64999999999998</v>
      </c>
      <c r="BO4020" s="9">
        <f t="shared" si="565"/>
        <v>0</v>
      </c>
      <c r="BP4020" s="9">
        <f t="shared" si="566"/>
        <v>0</v>
      </c>
    </row>
    <row r="4021" spans="1:68">
      <c r="A4021" s="6">
        <v>45295</v>
      </c>
      <c r="B4021" s="7">
        <v>3023</v>
      </c>
      <c r="C4021" s="8"/>
      <c r="D4021" s="8">
        <v>1694.66</v>
      </c>
      <c r="E4021" s="8"/>
      <c r="F4021" s="8"/>
      <c r="G4021" s="8"/>
      <c r="H4021" s="8"/>
      <c r="I4021" s="8">
        <v>914.86</v>
      </c>
      <c r="J4021" s="8"/>
      <c r="K4021" s="8"/>
      <c r="L4021" s="8"/>
      <c r="M4021" s="8"/>
      <c r="N4021" s="8">
        <v>14.6</v>
      </c>
      <c r="O4021" s="8"/>
      <c r="P4021" s="8"/>
      <c r="Q4021" s="8"/>
      <c r="R4021" s="8"/>
      <c r="S4021" s="8">
        <v>4.17</v>
      </c>
      <c r="T4021" s="8"/>
      <c r="U4021" s="8"/>
      <c r="V4021" s="8"/>
      <c r="W4021" s="8">
        <v>23.49</v>
      </c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>
        <v>26.02</v>
      </c>
      <c r="AN4021" s="8">
        <f>1018*17.98/1000</f>
        <v>18.303639999999998</v>
      </c>
      <c r="AO4021" s="8"/>
      <c r="AP4021" s="8"/>
      <c r="AQ4021" s="8"/>
      <c r="AR4021" s="8"/>
      <c r="AS4021" s="8">
        <f>4824*17.98/1000</f>
        <v>86.735520000000008</v>
      </c>
      <c r="AT4021" s="8">
        <v>1069.31</v>
      </c>
      <c r="AU4021" s="8"/>
      <c r="AV4021" s="8"/>
      <c r="AW4021" s="8"/>
      <c r="AX4021" s="8"/>
      <c r="AY4021" s="8"/>
      <c r="AZ4021" s="8"/>
      <c r="BA4021" s="8"/>
      <c r="BB4021" s="8"/>
      <c r="BC4021" s="8"/>
      <c r="BD4021" s="8"/>
      <c r="BE4021" s="8"/>
      <c r="BF4021" s="8"/>
      <c r="BG4021" s="8">
        <v>80.760000000000005</v>
      </c>
      <c r="BH4021" s="9">
        <f t="shared" si="558"/>
        <v>2609.52</v>
      </c>
      <c r="BI4021" s="9">
        <f t="shared" si="559"/>
        <v>14.6</v>
      </c>
      <c r="BJ4021" s="9">
        <f t="shared" si="560"/>
        <v>4.17</v>
      </c>
      <c r="BK4021" s="9">
        <f t="shared" si="561"/>
        <v>23.49</v>
      </c>
      <c r="BL4021" s="9">
        <f t="shared" si="562"/>
        <v>0</v>
      </c>
      <c r="BM4021" s="9">
        <f t="shared" si="563"/>
        <v>131.05916000000002</v>
      </c>
      <c r="BN4021" s="9">
        <f t="shared" si="564"/>
        <v>1069.31</v>
      </c>
      <c r="BO4021" s="9">
        <f t="shared" si="565"/>
        <v>0</v>
      </c>
      <c r="BP4021" s="9">
        <f t="shared" si="566"/>
        <v>0</v>
      </c>
    </row>
    <row r="4022" spans="1:68">
      <c r="A4022" s="6">
        <v>45295</v>
      </c>
      <c r="B4022" s="7">
        <v>3100</v>
      </c>
      <c r="C4022" s="8">
        <v>686.82</v>
      </c>
      <c r="D4022" s="8"/>
      <c r="E4022" s="8"/>
      <c r="F4022" s="8"/>
      <c r="G4022" s="8"/>
      <c r="H4022" s="8"/>
      <c r="I4022" s="8"/>
      <c r="J4022" s="8"/>
      <c r="K4022" s="8"/>
      <c r="L4022" s="8"/>
      <c r="M4022" s="8">
        <v>1.73</v>
      </c>
      <c r="N4022" s="8"/>
      <c r="O4022" s="8"/>
      <c r="P4022" s="8"/>
      <c r="Q4022" s="8"/>
      <c r="R4022" s="8"/>
      <c r="S4022" s="8">
        <v>3.94</v>
      </c>
      <c r="T4022" s="8"/>
      <c r="U4022" s="8">
        <v>11.08</v>
      </c>
      <c r="V4022" s="8"/>
      <c r="W4022" s="8"/>
      <c r="X4022" s="8"/>
      <c r="Y4022" s="8"/>
      <c r="Z4022" s="8"/>
      <c r="AA4022" s="8"/>
      <c r="AB4022" s="8"/>
      <c r="AC4022" s="8">
        <v>2.76</v>
      </c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>
        <v>466.4</v>
      </c>
      <c r="AU4022" s="8"/>
      <c r="AV4022" s="8"/>
      <c r="AW4022" s="8"/>
      <c r="AX4022" s="8"/>
      <c r="AY4022" s="8"/>
      <c r="AZ4022" s="8"/>
      <c r="BA4022" s="8"/>
      <c r="BB4022" s="8"/>
      <c r="BC4022" s="8"/>
      <c r="BD4022" s="8"/>
      <c r="BE4022" s="8"/>
      <c r="BF4022" s="8">
        <v>89.96</v>
      </c>
      <c r="BG4022" s="8">
        <v>35.54</v>
      </c>
      <c r="BH4022" s="9">
        <f t="shared" si="558"/>
        <v>686.82</v>
      </c>
      <c r="BI4022" s="9">
        <f t="shared" si="559"/>
        <v>1.73</v>
      </c>
      <c r="BJ4022" s="9">
        <f t="shared" si="560"/>
        <v>3.94</v>
      </c>
      <c r="BK4022" s="9">
        <f t="shared" si="561"/>
        <v>11.08</v>
      </c>
      <c r="BL4022" s="9">
        <f t="shared" si="562"/>
        <v>0</v>
      </c>
      <c r="BM4022" s="9">
        <f t="shared" si="563"/>
        <v>2.76</v>
      </c>
      <c r="BN4022" s="9">
        <f t="shared" si="564"/>
        <v>466.4</v>
      </c>
      <c r="BO4022" s="9">
        <f t="shared" si="565"/>
        <v>0</v>
      </c>
      <c r="BP4022" s="9">
        <f t="shared" si="566"/>
        <v>89.96</v>
      </c>
    </row>
    <row r="4023" spans="1:68">
      <c r="A4023" s="6">
        <v>45295</v>
      </c>
      <c r="B4023" s="7">
        <v>3703</v>
      </c>
      <c r="C4023" s="8">
        <v>525.26</v>
      </c>
      <c r="D4023" s="8">
        <v>345.36</v>
      </c>
      <c r="E4023" s="8"/>
      <c r="F4023" s="8"/>
      <c r="G4023" s="8"/>
      <c r="H4023" s="8"/>
      <c r="I4023" s="8"/>
      <c r="J4023" s="8"/>
      <c r="K4023" s="8"/>
      <c r="L4023" s="8"/>
      <c r="M4023" s="8">
        <v>1.74</v>
      </c>
      <c r="N4023" s="8"/>
      <c r="O4023" s="8"/>
      <c r="P4023" s="8"/>
      <c r="Q4023" s="8"/>
      <c r="R4023" s="8"/>
      <c r="S4023" s="8">
        <v>4.24</v>
      </c>
      <c r="T4023" s="8"/>
      <c r="U4023" s="8">
        <v>6.92</v>
      </c>
      <c r="V4023" s="8"/>
      <c r="W4023" s="8"/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>
        <v>8.6</v>
      </c>
      <c r="AN4023" s="8"/>
      <c r="AO4023" s="8"/>
      <c r="AP4023" s="8"/>
      <c r="AQ4023" s="8"/>
      <c r="AR4023" s="8"/>
      <c r="AS4023" s="8"/>
      <c r="AT4023" s="8">
        <v>207.76</v>
      </c>
      <c r="AU4023" s="8">
        <v>104.69</v>
      </c>
      <c r="AV4023" s="8"/>
      <c r="AW4023" s="8"/>
      <c r="AX4023" s="8"/>
      <c r="AY4023" s="8"/>
      <c r="AZ4023" s="8"/>
      <c r="BA4023" s="8"/>
      <c r="BB4023" s="8"/>
      <c r="BC4023" s="8"/>
      <c r="BD4023" s="8"/>
      <c r="BE4023" s="8"/>
      <c r="BF4023" s="8"/>
      <c r="BG4023" s="8">
        <v>22.1</v>
      </c>
      <c r="BH4023" s="9">
        <f t="shared" si="558"/>
        <v>870.62</v>
      </c>
      <c r="BI4023" s="9">
        <f t="shared" si="559"/>
        <v>1.74</v>
      </c>
      <c r="BJ4023" s="9">
        <f t="shared" si="560"/>
        <v>4.24</v>
      </c>
      <c r="BK4023" s="9">
        <f t="shared" si="561"/>
        <v>6.92</v>
      </c>
      <c r="BL4023" s="9">
        <f t="shared" si="562"/>
        <v>0</v>
      </c>
      <c r="BM4023" s="9">
        <f t="shared" si="563"/>
        <v>8.6</v>
      </c>
      <c r="BN4023" s="9">
        <f t="shared" si="564"/>
        <v>312.45</v>
      </c>
      <c r="BO4023" s="9">
        <f t="shared" si="565"/>
        <v>0</v>
      </c>
      <c r="BP4023" s="9">
        <f t="shared" si="566"/>
        <v>0</v>
      </c>
    </row>
    <row r="4024" spans="1:68">
      <c r="A4024" s="6">
        <v>45295</v>
      </c>
      <c r="B4024" s="7">
        <v>3704</v>
      </c>
      <c r="C4024" s="8">
        <v>341.51</v>
      </c>
      <c r="D4024" s="8">
        <v>512.13</v>
      </c>
      <c r="E4024" s="8"/>
      <c r="F4024" s="8"/>
      <c r="G4024" s="8"/>
      <c r="H4024" s="8"/>
      <c r="I4024" s="8"/>
      <c r="J4024" s="8"/>
      <c r="K4024" s="8"/>
      <c r="L4024" s="8"/>
      <c r="M4024" s="8">
        <v>2.5499999999999998</v>
      </c>
      <c r="N4024" s="8"/>
      <c r="O4024" s="8"/>
      <c r="P4024" s="8"/>
      <c r="Q4024" s="8"/>
      <c r="R4024" s="8"/>
      <c r="S4024" s="8">
        <v>2.99</v>
      </c>
      <c r="T4024" s="8"/>
      <c r="U4024" s="8">
        <v>6.34</v>
      </c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>
        <v>10.18</v>
      </c>
      <c r="AN4024" s="8"/>
      <c r="AO4024" s="8"/>
      <c r="AP4024" s="8"/>
      <c r="AQ4024" s="8"/>
      <c r="AR4024" s="8"/>
      <c r="AS4024" s="8"/>
      <c r="AT4024" s="8">
        <v>147.19</v>
      </c>
      <c r="AU4024" s="8">
        <v>74.239999999999995</v>
      </c>
      <c r="AV4024" s="8"/>
      <c r="AW4024" s="8"/>
      <c r="AX4024" s="8"/>
      <c r="AY4024" s="8"/>
      <c r="AZ4024" s="8"/>
      <c r="BA4024" s="8"/>
      <c r="BB4024" s="8"/>
      <c r="BC4024" s="8"/>
      <c r="BD4024" s="8"/>
      <c r="BE4024" s="8"/>
      <c r="BF4024" s="8"/>
      <c r="BG4024" s="8">
        <v>13.79</v>
      </c>
      <c r="BH4024" s="9">
        <f t="shared" si="558"/>
        <v>853.64</v>
      </c>
      <c r="BI4024" s="9">
        <f t="shared" si="559"/>
        <v>2.5499999999999998</v>
      </c>
      <c r="BJ4024" s="9">
        <f t="shared" si="560"/>
        <v>2.99</v>
      </c>
      <c r="BK4024" s="9">
        <f t="shared" si="561"/>
        <v>6.34</v>
      </c>
      <c r="BL4024" s="9">
        <f t="shared" si="562"/>
        <v>0</v>
      </c>
      <c r="BM4024" s="9">
        <f t="shared" si="563"/>
        <v>10.18</v>
      </c>
      <c r="BN4024" s="9">
        <f t="shared" si="564"/>
        <v>221.43</v>
      </c>
      <c r="BO4024" s="9">
        <f t="shared" si="565"/>
        <v>0</v>
      </c>
      <c r="BP4024" s="9">
        <f t="shared" si="566"/>
        <v>0</v>
      </c>
    </row>
    <row r="4025" spans="1:68">
      <c r="A4025" s="6">
        <v>45296</v>
      </c>
      <c r="B4025" s="7">
        <v>3602</v>
      </c>
      <c r="C4025" s="8">
        <v>564.98</v>
      </c>
      <c r="D4025" s="8"/>
      <c r="E4025" s="8"/>
      <c r="F4025" s="8"/>
      <c r="G4025" s="8">
        <v>847.63</v>
      </c>
      <c r="H4025" s="8"/>
      <c r="I4025" s="8"/>
      <c r="J4025" s="8"/>
      <c r="K4025" s="8"/>
      <c r="L4025" s="8"/>
      <c r="M4025" s="8">
        <v>1.72</v>
      </c>
      <c r="N4025" s="8"/>
      <c r="O4025" s="8"/>
      <c r="P4025" s="8"/>
      <c r="Q4025" s="8"/>
      <c r="R4025" s="8"/>
      <c r="S4025" s="8">
        <v>6.81</v>
      </c>
      <c r="T4025" s="8"/>
      <c r="U4025" s="8">
        <v>11.35</v>
      </c>
      <c r="V4025" s="8">
        <f>854*16.22/1000</f>
        <v>13.85188</v>
      </c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>
        <v>569.5</v>
      </c>
      <c r="AU4025" s="8"/>
      <c r="AV4025" s="8"/>
      <c r="AW4025" s="8">
        <v>36.700000000000003</v>
      </c>
      <c r="AX4025" s="8"/>
      <c r="AY4025" s="8"/>
      <c r="AZ4025" s="8"/>
      <c r="BA4025" s="8"/>
      <c r="BB4025" s="8"/>
      <c r="BC4025" s="8"/>
      <c r="BD4025" s="8"/>
      <c r="BE4025" s="8"/>
      <c r="BF4025" s="8">
        <v>45.42</v>
      </c>
      <c r="BG4025" s="8">
        <v>42.19</v>
      </c>
      <c r="BH4025" s="9">
        <f t="shared" si="558"/>
        <v>1412.6100000000001</v>
      </c>
      <c r="BI4025" s="9">
        <f t="shared" si="559"/>
        <v>1.72</v>
      </c>
      <c r="BJ4025" s="9">
        <f t="shared" si="560"/>
        <v>6.81</v>
      </c>
      <c r="BK4025" s="9">
        <f t="shared" si="561"/>
        <v>25.201879999999999</v>
      </c>
      <c r="BL4025" s="9">
        <f t="shared" si="562"/>
        <v>0</v>
      </c>
      <c r="BM4025" s="9">
        <f t="shared" si="563"/>
        <v>0</v>
      </c>
      <c r="BN4025" s="9">
        <f t="shared" si="564"/>
        <v>569.5</v>
      </c>
      <c r="BO4025" s="9">
        <f t="shared" si="565"/>
        <v>36.700000000000003</v>
      </c>
      <c r="BP4025" s="9">
        <f t="shared" si="566"/>
        <v>45.42</v>
      </c>
    </row>
    <row r="4026" spans="1:68">
      <c r="A4026" s="6">
        <v>45296</v>
      </c>
      <c r="B4026" s="7">
        <v>3200</v>
      </c>
      <c r="C4026" s="8">
        <v>2312.83</v>
      </c>
      <c r="D4026" s="8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>
        <v>5.79</v>
      </c>
      <c r="P4026" s="8"/>
      <c r="Q4026" s="8"/>
      <c r="R4026" s="8"/>
      <c r="S4026" s="8">
        <v>9.0299999999999994</v>
      </c>
      <c r="T4026" s="8"/>
      <c r="U4026" s="8">
        <v>34.700000000000003</v>
      </c>
      <c r="V4026" s="8"/>
      <c r="W4026" s="8"/>
      <c r="X4026" s="8"/>
      <c r="Y4026" s="8"/>
      <c r="Z4026" s="8">
        <v>486.05</v>
      </c>
      <c r="AA4026" s="8"/>
      <c r="AB4026" s="8"/>
      <c r="AC4026" s="8"/>
      <c r="AD4026" s="8"/>
      <c r="AE4026" s="8"/>
      <c r="AF4026" s="8">
        <v>115.75</v>
      </c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>
        <f>1503*23.13/1000</f>
        <v>34.764389999999999</v>
      </c>
      <c r="AR4026" s="8"/>
      <c r="AS4026" s="8"/>
      <c r="AT4026" s="8">
        <v>1585.27</v>
      </c>
      <c r="AU4026" s="8"/>
      <c r="AV4026" s="8"/>
      <c r="AW4026" s="8">
        <v>6.69</v>
      </c>
      <c r="AX4026" s="8"/>
      <c r="AY4026" s="8"/>
      <c r="AZ4026" s="8"/>
      <c r="BA4026" s="8"/>
      <c r="BB4026" s="8"/>
      <c r="BC4026" s="8"/>
      <c r="BD4026" s="8"/>
      <c r="BE4026" s="8"/>
      <c r="BF4026" s="8">
        <v>111.09</v>
      </c>
      <c r="BG4026" s="8">
        <v>114.81</v>
      </c>
      <c r="BH4026" s="9">
        <f t="shared" si="558"/>
        <v>2312.83</v>
      </c>
      <c r="BI4026" s="9">
        <f t="shared" si="559"/>
        <v>5.79</v>
      </c>
      <c r="BJ4026" s="9">
        <f t="shared" si="560"/>
        <v>9.0299999999999994</v>
      </c>
      <c r="BK4026" s="9">
        <f t="shared" si="561"/>
        <v>34.700000000000003</v>
      </c>
      <c r="BL4026" s="9">
        <f t="shared" si="562"/>
        <v>486.05</v>
      </c>
      <c r="BM4026" s="9">
        <f t="shared" si="563"/>
        <v>150.51438999999999</v>
      </c>
      <c r="BN4026" s="9">
        <f t="shared" si="564"/>
        <v>1585.27</v>
      </c>
      <c r="BO4026" s="9">
        <f t="shared" si="565"/>
        <v>6.69</v>
      </c>
      <c r="BP4026" s="9">
        <f t="shared" si="566"/>
        <v>111.09</v>
      </c>
    </row>
    <row r="4027" spans="1:68">
      <c r="A4027" s="6">
        <v>45296</v>
      </c>
      <c r="B4027" s="7">
        <v>3111</v>
      </c>
      <c r="C4027" s="8">
        <v>1727.75</v>
      </c>
      <c r="D4027" s="8"/>
      <c r="E4027" s="8"/>
      <c r="F4027" s="8"/>
      <c r="G4027" s="8"/>
      <c r="H4027" s="8"/>
      <c r="I4027" s="8"/>
      <c r="J4027" s="8"/>
      <c r="K4027" s="8"/>
      <c r="L4027" s="8"/>
      <c r="M4027" s="8">
        <v>2.59</v>
      </c>
      <c r="N4027" s="8"/>
      <c r="O4027" s="8"/>
      <c r="P4027" s="8"/>
      <c r="Q4027" s="8"/>
      <c r="R4027" s="8"/>
      <c r="S4027" s="8">
        <v>5.19</v>
      </c>
      <c r="T4027" s="8"/>
      <c r="U4027" s="8">
        <v>17.28</v>
      </c>
      <c r="V4027" s="8"/>
      <c r="W4027" s="8"/>
      <c r="X4027" s="8"/>
      <c r="Y4027" s="8"/>
      <c r="Z4027" s="8"/>
      <c r="AA4027" s="8"/>
      <c r="AB4027" s="8"/>
      <c r="AC4027" s="8">
        <v>6.91</v>
      </c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>
        <v>804.02</v>
      </c>
      <c r="AU4027" s="8"/>
      <c r="AV4027" s="8"/>
      <c r="AW4027" s="8"/>
      <c r="AX4027" s="8"/>
      <c r="AY4027" s="8"/>
      <c r="AZ4027" s="8"/>
      <c r="BA4027" s="8">
        <v>64.34</v>
      </c>
      <c r="BB4027" s="8"/>
      <c r="BC4027" s="8"/>
      <c r="BD4027" s="8"/>
      <c r="BE4027" s="8"/>
      <c r="BF4027" s="8"/>
      <c r="BG4027" s="8">
        <v>56.29</v>
      </c>
      <c r="BH4027" s="9">
        <f t="shared" si="558"/>
        <v>1727.75</v>
      </c>
      <c r="BI4027" s="9">
        <f t="shared" si="559"/>
        <v>2.59</v>
      </c>
      <c r="BJ4027" s="9">
        <f t="shared" si="560"/>
        <v>5.19</v>
      </c>
      <c r="BK4027" s="9">
        <f t="shared" si="561"/>
        <v>17.28</v>
      </c>
      <c r="BL4027" s="9">
        <f t="shared" si="562"/>
        <v>0</v>
      </c>
      <c r="BM4027" s="9">
        <f t="shared" si="563"/>
        <v>6.91</v>
      </c>
      <c r="BN4027" s="9">
        <f t="shared" si="564"/>
        <v>804.02</v>
      </c>
      <c r="BO4027" s="9">
        <f t="shared" si="565"/>
        <v>64.34</v>
      </c>
      <c r="BP4027" s="9">
        <f t="shared" si="566"/>
        <v>0</v>
      </c>
    </row>
    <row r="4028" spans="1:68">
      <c r="A4028" s="6">
        <v>45296</v>
      </c>
      <c r="B4028" s="7">
        <v>3081</v>
      </c>
      <c r="C4028" s="8"/>
      <c r="D4028" s="8">
        <v>294.92</v>
      </c>
      <c r="E4028" s="8"/>
      <c r="F4028" s="8">
        <v>331.51</v>
      </c>
      <c r="G4028" s="8"/>
      <c r="H4028" s="8"/>
      <c r="I4028" s="8">
        <v>1210.24</v>
      </c>
      <c r="J4028" s="8"/>
      <c r="K4028" s="8"/>
      <c r="L4028" s="8"/>
      <c r="M4028" s="8"/>
      <c r="N4028" s="8">
        <v>13.48</v>
      </c>
      <c r="O4028" s="8"/>
      <c r="P4028" s="8">
        <f>627*11.9/1000</f>
        <v>7.4613000000000005</v>
      </c>
      <c r="Q4028" s="8"/>
      <c r="R4028" s="8"/>
      <c r="S4028" s="8">
        <v>1.29</v>
      </c>
      <c r="T4028" s="8"/>
      <c r="U4028" s="8"/>
      <c r="V4028" s="8"/>
      <c r="W4028" s="8">
        <v>18.46</v>
      </c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>
        <f>1561*11.9/1000</f>
        <v>18.575900000000001</v>
      </c>
      <c r="AR4028" s="8">
        <f>5444*11.9/1000</f>
        <v>64.783599999999993</v>
      </c>
      <c r="AS4028" s="8"/>
      <c r="AT4028" s="8">
        <v>575.79999999999995</v>
      </c>
      <c r="AU4028" s="8"/>
      <c r="AV4028" s="8"/>
      <c r="AW4028" s="8"/>
      <c r="AX4028" s="8"/>
      <c r="AY4028" s="8"/>
      <c r="AZ4028" s="8"/>
      <c r="BA4028" s="8"/>
      <c r="BB4028" s="8"/>
      <c r="BC4028" s="8"/>
      <c r="BD4028" s="8"/>
      <c r="BE4028" s="8"/>
      <c r="BF4028" s="8"/>
      <c r="BG4028" s="8">
        <v>38.369999999999997</v>
      </c>
      <c r="BH4028" s="9">
        <f t="shared" si="558"/>
        <v>1836.67</v>
      </c>
      <c r="BI4028" s="9">
        <f t="shared" si="559"/>
        <v>20.941300000000002</v>
      </c>
      <c r="BJ4028" s="9">
        <f t="shared" si="560"/>
        <v>1.29</v>
      </c>
      <c r="BK4028" s="9">
        <f t="shared" si="561"/>
        <v>18.46</v>
      </c>
      <c r="BL4028" s="9">
        <f t="shared" si="562"/>
        <v>0</v>
      </c>
      <c r="BM4028" s="9">
        <f t="shared" si="563"/>
        <v>83.359499999999997</v>
      </c>
      <c r="BN4028" s="9">
        <f t="shared" si="564"/>
        <v>575.79999999999995</v>
      </c>
      <c r="BO4028" s="9">
        <f t="shared" si="565"/>
        <v>0</v>
      </c>
      <c r="BP4028" s="9">
        <f t="shared" si="566"/>
        <v>0</v>
      </c>
    </row>
    <row r="4029" spans="1:68">
      <c r="A4029" s="6">
        <v>45296</v>
      </c>
      <c r="B4029" s="7">
        <v>3016</v>
      </c>
      <c r="C4029" s="8"/>
      <c r="D4029" s="8">
        <v>1629.54</v>
      </c>
      <c r="E4029" s="8"/>
      <c r="F4029" s="8"/>
      <c r="G4029" s="8"/>
      <c r="H4029" s="8"/>
      <c r="I4029" s="8">
        <v>1502.1</v>
      </c>
      <c r="J4029" s="8"/>
      <c r="K4029" s="8"/>
      <c r="L4029" s="8"/>
      <c r="M4029" s="8"/>
      <c r="N4029" s="8">
        <v>19.73</v>
      </c>
      <c r="O4029" s="8"/>
      <c r="P4029" s="8"/>
      <c r="Q4029" s="8"/>
      <c r="R4029" s="8"/>
      <c r="S4029" s="8">
        <v>2.19</v>
      </c>
      <c r="T4029" s="8"/>
      <c r="U4029" s="8"/>
      <c r="V4029" s="8"/>
      <c r="W4029" s="8">
        <v>31.33</v>
      </c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>
        <v>12.49</v>
      </c>
      <c r="AN4029" s="8">
        <v>37.659999999999997</v>
      </c>
      <c r="AO4029" s="8"/>
      <c r="AP4029" s="8"/>
      <c r="AQ4029" s="8"/>
      <c r="AR4029" s="8">
        <f>4273*18.4/1000</f>
        <v>78.623199999999997</v>
      </c>
      <c r="AS4029" s="8"/>
      <c r="AT4029" s="8">
        <v>1162.2</v>
      </c>
      <c r="AU4029" s="8"/>
      <c r="AV4029" s="8"/>
      <c r="AW4029" s="8"/>
      <c r="AX4029" s="8"/>
      <c r="AY4029" s="8"/>
      <c r="AZ4029" s="8"/>
      <c r="BA4029" s="8"/>
      <c r="BB4029" s="8"/>
      <c r="BC4029" s="8"/>
      <c r="BD4029" s="8"/>
      <c r="BE4029" s="8"/>
      <c r="BF4029" s="8"/>
      <c r="BG4029" s="8">
        <v>85.46</v>
      </c>
      <c r="BH4029" s="9">
        <f t="shared" si="558"/>
        <v>3131.64</v>
      </c>
      <c r="BI4029" s="9">
        <f t="shared" si="559"/>
        <v>19.73</v>
      </c>
      <c r="BJ4029" s="9">
        <f t="shared" si="560"/>
        <v>2.19</v>
      </c>
      <c r="BK4029" s="9">
        <f t="shared" si="561"/>
        <v>31.33</v>
      </c>
      <c r="BL4029" s="9">
        <f t="shared" si="562"/>
        <v>0</v>
      </c>
      <c r="BM4029" s="9">
        <f t="shared" si="563"/>
        <v>128.7732</v>
      </c>
      <c r="BN4029" s="9">
        <f t="shared" si="564"/>
        <v>1162.2</v>
      </c>
      <c r="BO4029" s="9">
        <f t="shared" si="565"/>
        <v>0</v>
      </c>
      <c r="BP4029" s="9">
        <f t="shared" si="566"/>
        <v>0</v>
      </c>
    </row>
    <row r="4030" spans="1:68">
      <c r="A4030" s="6">
        <v>45296</v>
      </c>
      <c r="B4030" s="7">
        <v>3139</v>
      </c>
      <c r="C4030" s="8">
        <v>1053.27</v>
      </c>
      <c r="D4030" s="8"/>
      <c r="E4030" s="8"/>
      <c r="F4030" s="8"/>
      <c r="G4030" s="8"/>
      <c r="H4030" s="8">
        <v>437.06</v>
      </c>
      <c r="I4030" s="8"/>
      <c r="J4030" s="8"/>
      <c r="K4030" s="8"/>
      <c r="L4030" s="8"/>
      <c r="M4030" s="8">
        <v>2.4500000000000002</v>
      </c>
      <c r="N4030" s="8"/>
      <c r="O4030" s="8"/>
      <c r="P4030" s="8"/>
      <c r="Q4030" s="8"/>
      <c r="R4030" s="8"/>
      <c r="S4030" s="8">
        <v>4.66</v>
      </c>
      <c r="T4030" s="8"/>
      <c r="U4030" s="8">
        <v>15.55</v>
      </c>
      <c r="V4030" s="8"/>
      <c r="W4030" s="8"/>
      <c r="X4030" s="8"/>
      <c r="Y4030" s="8"/>
      <c r="Z4030" s="8"/>
      <c r="AA4030" s="8"/>
      <c r="AB4030" s="8"/>
      <c r="AC4030" s="8">
        <v>5.19</v>
      </c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>
        <v>766.1</v>
      </c>
      <c r="AU4030" s="8"/>
      <c r="AV4030" s="8">
        <v>25.92</v>
      </c>
      <c r="AW4030" s="8"/>
      <c r="AX4030" s="8"/>
      <c r="AY4030" s="8"/>
      <c r="AZ4030" s="8"/>
      <c r="BA4030" s="8"/>
      <c r="BB4030" s="8"/>
      <c r="BC4030" s="8"/>
      <c r="BD4030" s="8"/>
      <c r="BE4030" s="8"/>
      <c r="BF4030" s="8"/>
      <c r="BG4030" s="8">
        <v>55.75</v>
      </c>
      <c r="BH4030" s="9">
        <f t="shared" si="558"/>
        <v>1490.33</v>
      </c>
      <c r="BI4030" s="9">
        <f t="shared" si="559"/>
        <v>2.4500000000000002</v>
      </c>
      <c r="BJ4030" s="9">
        <f t="shared" si="560"/>
        <v>4.66</v>
      </c>
      <c r="BK4030" s="9">
        <f t="shared" si="561"/>
        <v>15.55</v>
      </c>
      <c r="BL4030" s="9">
        <f t="shared" si="562"/>
        <v>0</v>
      </c>
      <c r="BM4030" s="9">
        <f t="shared" si="563"/>
        <v>5.19</v>
      </c>
      <c r="BN4030" s="9">
        <f t="shared" si="564"/>
        <v>766.1</v>
      </c>
      <c r="BO4030" s="9">
        <f t="shared" si="565"/>
        <v>25.92</v>
      </c>
      <c r="BP4030" s="9">
        <f t="shared" si="566"/>
        <v>0</v>
      </c>
    </row>
    <row r="4031" spans="1:68">
      <c r="A4031" s="6">
        <v>45299</v>
      </c>
      <c r="B4031" s="7">
        <v>3145</v>
      </c>
      <c r="C4031" s="8">
        <v>1220.58</v>
      </c>
      <c r="D4031" s="8">
        <v>215.92</v>
      </c>
      <c r="E4031" s="8"/>
      <c r="F4031" s="8"/>
      <c r="G4031" s="8"/>
      <c r="H4031" s="8"/>
      <c r="I4031" s="8"/>
      <c r="J4031" s="8"/>
      <c r="K4031" s="8"/>
      <c r="L4031" s="8"/>
      <c r="M4031" s="8">
        <v>4.18</v>
      </c>
      <c r="N4031" s="8"/>
      <c r="O4031" s="8"/>
      <c r="P4031" s="8"/>
      <c r="Q4031" s="8"/>
      <c r="R4031" s="8"/>
      <c r="S4031" s="8">
        <v>6.77</v>
      </c>
      <c r="T4031" s="8"/>
      <c r="U4031" s="8">
        <v>21.61</v>
      </c>
      <c r="V4031" s="8"/>
      <c r="W4031" s="8"/>
      <c r="X4031" s="8"/>
      <c r="Y4031" s="8"/>
      <c r="Z4031" s="8"/>
      <c r="AA4031" s="8"/>
      <c r="AB4031" s="8"/>
      <c r="AC4031" s="8">
        <v>5.76</v>
      </c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>
        <v>954.01</v>
      </c>
      <c r="AU4031" s="8"/>
      <c r="AV4031" s="8"/>
      <c r="AW4031" s="8"/>
      <c r="AX4031" s="8"/>
      <c r="AY4031" s="8"/>
      <c r="AZ4031" s="8"/>
      <c r="BA4031" s="8"/>
      <c r="BB4031" s="8"/>
      <c r="BC4031" s="8"/>
      <c r="BD4031" s="8">
        <v>3.6</v>
      </c>
      <c r="BE4031" s="8">
        <f>1366*9.58/1000</f>
        <v>13.08628</v>
      </c>
      <c r="BF4031" s="8">
        <v>100.88</v>
      </c>
      <c r="BG4031" s="8">
        <v>74.78</v>
      </c>
      <c r="BH4031" s="9">
        <f t="shared" si="558"/>
        <v>1436.5</v>
      </c>
      <c r="BI4031" s="9">
        <f t="shared" si="559"/>
        <v>4.18</v>
      </c>
      <c r="BJ4031" s="9">
        <f t="shared" si="560"/>
        <v>6.77</v>
      </c>
      <c r="BK4031" s="9">
        <f t="shared" si="561"/>
        <v>21.61</v>
      </c>
      <c r="BL4031" s="9">
        <f t="shared" si="562"/>
        <v>0</v>
      </c>
      <c r="BM4031" s="9">
        <f t="shared" si="563"/>
        <v>5.76</v>
      </c>
      <c r="BN4031" s="9">
        <f t="shared" si="564"/>
        <v>954.01</v>
      </c>
      <c r="BO4031" s="9">
        <f t="shared" si="565"/>
        <v>16.68628</v>
      </c>
      <c r="BP4031" s="9">
        <f t="shared" si="566"/>
        <v>100.88</v>
      </c>
    </row>
    <row r="4032" spans="1:68">
      <c r="A4032" s="6">
        <v>45299</v>
      </c>
      <c r="B4032" s="7">
        <v>3141</v>
      </c>
      <c r="C4032" s="8">
        <v>1207.6400000000001</v>
      </c>
      <c r="D4032" s="8">
        <v>213.11</v>
      </c>
      <c r="E4032" s="8"/>
      <c r="F4032" s="8"/>
      <c r="G4032" s="8"/>
      <c r="H4032" s="8"/>
      <c r="I4032" s="8"/>
      <c r="J4032" s="8"/>
      <c r="K4032" s="8"/>
      <c r="L4032" s="8"/>
      <c r="M4032" s="8">
        <v>4.13</v>
      </c>
      <c r="N4032" s="8"/>
      <c r="O4032" s="8"/>
      <c r="P4032" s="8"/>
      <c r="Q4032" s="8"/>
      <c r="R4032" s="8"/>
      <c r="S4032" s="8">
        <v>6.68</v>
      </c>
      <c r="T4032" s="8"/>
      <c r="U4032" s="8">
        <v>21.32</v>
      </c>
      <c r="V4032" s="8"/>
      <c r="W4032" s="8"/>
      <c r="X4032" s="8"/>
      <c r="Y4032" s="8"/>
      <c r="Z4032" s="8"/>
      <c r="AA4032" s="8"/>
      <c r="AB4032" s="8"/>
      <c r="AC4032" s="8">
        <v>5.68</v>
      </c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>
        <v>940.89</v>
      </c>
      <c r="AU4032" s="8"/>
      <c r="AV4032" s="8"/>
      <c r="AW4032" s="8"/>
      <c r="AX4032" s="8"/>
      <c r="AY4032" s="8"/>
      <c r="AZ4032" s="8"/>
      <c r="BA4032" s="8">
        <v>32.53</v>
      </c>
      <c r="BB4032" s="8"/>
      <c r="BC4032" s="8"/>
      <c r="BD4032" s="8"/>
      <c r="BE4032" s="8"/>
      <c r="BF4032" s="8">
        <v>99.4</v>
      </c>
      <c r="BG4032" s="8">
        <v>74.16</v>
      </c>
      <c r="BH4032" s="9">
        <f t="shared" si="558"/>
        <v>1420.75</v>
      </c>
      <c r="BI4032" s="9">
        <f t="shared" si="559"/>
        <v>4.13</v>
      </c>
      <c r="BJ4032" s="9">
        <f t="shared" si="560"/>
        <v>6.68</v>
      </c>
      <c r="BK4032" s="9">
        <f t="shared" si="561"/>
        <v>21.32</v>
      </c>
      <c r="BL4032" s="9">
        <f t="shared" si="562"/>
        <v>0</v>
      </c>
      <c r="BM4032" s="9">
        <f t="shared" si="563"/>
        <v>5.68</v>
      </c>
      <c r="BN4032" s="9">
        <f t="shared" si="564"/>
        <v>940.89</v>
      </c>
      <c r="BO4032" s="9">
        <f t="shared" si="565"/>
        <v>32.53</v>
      </c>
      <c r="BP4032" s="9">
        <f t="shared" si="566"/>
        <v>99.4</v>
      </c>
    </row>
    <row r="4033" spans="1:68">
      <c r="A4033" s="6">
        <v>45299</v>
      </c>
      <c r="B4033" s="7">
        <v>3106</v>
      </c>
      <c r="C4033" s="8">
        <v>6108.9</v>
      </c>
      <c r="D4033" s="8"/>
      <c r="E4033" s="8"/>
      <c r="F4033" s="8"/>
      <c r="G4033" s="8"/>
      <c r="H4033" s="8"/>
      <c r="I4033" s="8"/>
      <c r="J4033" s="8"/>
      <c r="K4033" s="8"/>
      <c r="L4033" s="8"/>
      <c r="M4033" s="8">
        <v>16.5</v>
      </c>
      <c r="N4033" s="8"/>
      <c r="O4033" s="8"/>
      <c r="P4033" s="8"/>
      <c r="Q4033" s="8"/>
      <c r="R4033" s="8"/>
      <c r="S4033" s="8">
        <v>18.36</v>
      </c>
      <c r="T4033" s="8"/>
      <c r="U4033" s="8">
        <v>77.75</v>
      </c>
      <c r="V4033" s="8"/>
      <c r="W4033" s="8"/>
      <c r="X4033" s="8"/>
      <c r="Y4033" s="8"/>
      <c r="Z4033" s="8"/>
      <c r="AA4033" s="8"/>
      <c r="AB4033" s="8"/>
      <c r="AC4033" s="8">
        <v>15.28</v>
      </c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>
        <v>3481.76</v>
      </c>
      <c r="AU4033" s="8"/>
      <c r="AV4033" s="8"/>
      <c r="AW4033" s="8"/>
      <c r="AX4033" s="8">
        <v>7.64</v>
      </c>
      <c r="AY4033" s="8"/>
      <c r="AZ4033" s="8"/>
      <c r="BA4033" s="8"/>
      <c r="BB4033" s="8"/>
      <c r="BC4033" s="8"/>
      <c r="BD4033" s="8"/>
      <c r="BE4033" s="8"/>
      <c r="BF4033" s="8"/>
      <c r="BG4033" s="8">
        <v>262.7</v>
      </c>
      <c r="BH4033" s="9">
        <f t="shared" si="558"/>
        <v>6108.9</v>
      </c>
      <c r="BI4033" s="9">
        <f t="shared" si="559"/>
        <v>16.5</v>
      </c>
      <c r="BJ4033" s="9">
        <f t="shared" si="560"/>
        <v>18.36</v>
      </c>
      <c r="BK4033" s="9">
        <f t="shared" si="561"/>
        <v>77.75</v>
      </c>
      <c r="BL4033" s="9">
        <f t="shared" si="562"/>
        <v>0</v>
      </c>
      <c r="BM4033" s="9">
        <f t="shared" si="563"/>
        <v>15.28</v>
      </c>
      <c r="BN4033" s="9">
        <f t="shared" si="564"/>
        <v>3481.76</v>
      </c>
      <c r="BO4033" s="9">
        <f t="shared" si="565"/>
        <v>7.64</v>
      </c>
      <c r="BP4033" s="9">
        <f t="shared" si="566"/>
        <v>0</v>
      </c>
    </row>
    <row r="4034" spans="1:68">
      <c r="A4034" s="6">
        <v>45299</v>
      </c>
      <c r="B4034" s="7">
        <v>3029</v>
      </c>
      <c r="C4034" s="8"/>
      <c r="D4034" s="8">
        <v>251.26</v>
      </c>
      <c r="E4034" s="8"/>
      <c r="F4034" s="8">
        <v>177.48</v>
      </c>
      <c r="G4034" s="8"/>
      <c r="H4034" s="8"/>
      <c r="I4034" s="8">
        <v>1049.75</v>
      </c>
      <c r="J4034" s="8"/>
      <c r="K4034" s="8"/>
      <c r="L4034" s="8"/>
      <c r="M4034" s="8"/>
      <c r="N4034" s="8">
        <v>11.7</v>
      </c>
      <c r="O4034" s="8"/>
      <c r="P4034" s="8"/>
      <c r="Q4034" s="8"/>
      <c r="R4034" s="8"/>
      <c r="S4034" s="8">
        <v>0.89</v>
      </c>
      <c r="T4034" s="8"/>
      <c r="U4034" s="8"/>
      <c r="V4034" s="8"/>
      <c r="W4034" s="8">
        <v>14.81</v>
      </c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>
        <v>5.16</v>
      </c>
      <c r="AN4034" s="8">
        <f>769*9.87/1000</f>
        <v>7.5900299999999996</v>
      </c>
      <c r="AO4034" s="8"/>
      <c r="AP4034" s="8"/>
      <c r="AQ4034" s="8"/>
      <c r="AR4034" s="8">
        <f>4556*9.87/1000</f>
        <v>44.967719999999993</v>
      </c>
      <c r="AS4034" s="8"/>
      <c r="AT4034" s="8">
        <v>562.32000000000005</v>
      </c>
      <c r="AU4034" s="8"/>
      <c r="AV4034" s="8"/>
      <c r="AW4034" s="8"/>
      <c r="AX4034" s="8"/>
      <c r="AY4034" s="8"/>
      <c r="AZ4034" s="8"/>
      <c r="BA4034" s="8"/>
      <c r="BB4034" s="8"/>
      <c r="BC4034" s="8"/>
      <c r="BD4034" s="8"/>
      <c r="BE4034" s="8"/>
      <c r="BF4034" s="8"/>
      <c r="BG4034" s="8">
        <v>39.32</v>
      </c>
      <c r="BH4034" s="9">
        <f t="shared" si="558"/>
        <v>1478.49</v>
      </c>
      <c r="BI4034" s="9">
        <f t="shared" si="559"/>
        <v>11.7</v>
      </c>
      <c r="BJ4034" s="9">
        <f t="shared" si="560"/>
        <v>0.89</v>
      </c>
      <c r="BK4034" s="9">
        <f t="shared" si="561"/>
        <v>14.81</v>
      </c>
      <c r="BL4034" s="9">
        <f t="shared" si="562"/>
        <v>0</v>
      </c>
      <c r="BM4034" s="9">
        <f t="shared" si="563"/>
        <v>57.717749999999995</v>
      </c>
      <c r="BN4034" s="9">
        <f t="shared" si="564"/>
        <v>562.32000000000005</v>
      </c>
      <c r="BO4034" s="9">
        <f t="shared" si="565"/>
        <v>0</v>
      </c>
      <c r="BP4034" s="9">
        <f t="shared" si="566"/>
        <v>0</v>
      </c>
    </row>
    <row r="4035" spans="1:68">
      <c r="A4035" s="6">
        <v>45299</v>
      </c>
      <c r="B4035" s="7">
        <v>3083</v>
      </c>
      <c r="C4035" s="8"/>
      <c r="D4035" s="8">
        <v>734.45</v>
      </c>
      <c r="E4035" s="8"/>
      <c r="F4035" s="8"/>
      <c r="G4035" s="8"/>
      <c r="H4035" s="8"/>
      <c r="I4035" s="8">
        <v>1717.28</v>
      </c>
      <c r="J4035" s="8"/>
      <c r="K4035" s="8"/>
      <c r="L4035" s="8"/>
      <c r="M4035" s="8"/>
      <c r="N4035" s="8">
        <v>15.93</v>
      </c>
      <c r="O4035" s="8"/>
      <c r="P4035" s="8"/>
      <c r="Q4035" s="8"/>
      <c r="R4035" s="8"/>
      <c r="S4035" s="8">
        <v>1.72</v>
      </c>
      <c r="T4035" s="8"/>
      <c r="U4035" s="8"/>
      <c r="V4035" s="8"/>
      <c r="W4035" s="8">
        <v>19.61</v>
      </c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>
        <v>9.83</v>
      </c>
      <c r="AN4035" s="8">
        <f>1904*18.17/1000</f>
        <v>34.595680000000002</v>
      </c>
      <c r="AO4035" s="8"/>
      <c r="AP4035" s="8"/>
      <c r="AQ4035" s="8"/>
      <c r="AR4035" s="8">
        <f>3389*18.17/1000</f>
        <v>61.578130000000002</v>
      </c>
      <c r="AS4035" s="8"/>
      <c r="AT4035" s="8">
        <v>1153.3900000000001</v>
      </c>
      <c r="AU4035" s="8"/>
      <c r="AV4035" s="8"/>
      <c r="AW4035" s="8"/>
      <c r="AX4035" s="8"/>
      <c r="AY4035" s="8"/>
      <c r="AZ4035" s="8"/>
      <c r="BA4035" s="8"/>
      <c r="BB4035" s="8"/>
      <c r="BC4035" s="8"/>
      <c r="BD4035" s="8"/>
      <c r="BE4035" s="8"/>
      <c r="BF4035" s="8"/>
      <c r="BG4035" s="8">
        <v>91.42</v>
      </c>
      <c r="BH4035" s="9">
        <f t="shared" si="558"/>
        <v>2451.73</v>
      </c>
      <c r="BI4035" s="9">
        <f t="shared" si="559"/>
        <v>15.93</v>
      </c>
      <c r="BJ4035" s="9">
        <f t="shared" si="560"/>
        <v>1.72</v>
      </c>
      <c r="BK4035" s="9">
        <f t="shared" si="561"/>
        <v>19.61</v>
      </c>
      <c r="BL4035" s="9">
        <f t="shared" si="562"/>
        <v>0</v>
      </c>
      <c r="BM4035" s="9">
        <f t="shared" si="563"/>
        <v>106.00381</v>
      </c>
      <c r="BN4035" s="9">
        <f t="shared" si="564"/>
        <v>1153.3900000000001</v>
      </c>
      <c r="BO4035" s="9">
        <f t="shared" si="565"/>
        <v>0</v>
      </c>
      <c r="BP4035" s="9">
        <f t="shared" si="566"/>
        <v>0</v>
      </c>
    </row>
    <row r="4036" spans="1:68">
      <c r="A4036" s="6">
        <v>45299</v>
      </c>
      <c r="B4036" s="7">
        <v>3020</v>
      </c>
      <c r="C4036" s="8"/>
      <c r="D4036" s="8">
        <v>173.84</v>
      </c>
      <c r="E4036" s="8"/>
      <c r="F4036" s="8"/>
      <c r="G4036" s="8"/>
      <c r="H4036" s="8"/>
      <c r="I4036" s="8">
        <v>983.09</v>
      </c>
      <c r="J4036" s="8"/>
      <c r="K4036" s="8"/>
      <c r="L4036" s="8"/>
      <c r="M4036" s="8"/>
      <c r="N4036" s="8">
        <v>7.07</v>
      </c>
      <c r="O4036" s="8"/>
      <c r="P4036" s="8"/>
      <c r="Q4036" s="8"/>
      <c r="R4036" s="8"/>
      <c r="S4036" s="8">
        <v>2.08</v>
      </c>
      <c r="T4036" s="8"/>
      <c r="U4036" s="8"/>
      <c r="V4036" s="8"/>
      <c r="W4036" s="8">
        <v>11.57</v>
      </c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>
        <v>11.55</v>
      </c>
      <c r="AN4036" s="8"/>
      <c r="AO4036" s="8"/>
      <c r="AP4036" s="8"/>
      <c r="AQ4036" s="8"/>
      <c r="AR4036" s="8"/>
      <c r="AS4036" s="8">
        <f>3038*9.63/1000</f>
        <v>29.255940000000002</v>
      </c>
      <c r="AT4036" s="8">
        <v>567.42999999999995</v>
      </c>
      <c r="AU4036" s="8"/>
      <c r="AV4036" s="8"/>
      <c r="AW4036" s="8"/>
      <c r="AX4036" s="8"/>
      <c r="AY4036" s="8"/>
      <c r="AZ4036" s="8"/>
      <c r="BA4036" s="8"/>
      <c r="BB4036" s="8"/>
      <c r="BC4036" s="8"/>
      <c r="BD4036" s="8"/>
      <c r="BE4036" s="8"/>
      <c r="BF4036" s="8"/>
      <c r="BG4036" s="8">
        <v>41.58</v>
      </c>
      <c r="BH4036" s="9">
        <f t="shared" ref="BH4036:BH4099" si="567">SUM(C4036:L4036)</f>
        <v>1156.93</v>
      </c>
      <c r="BI4036" s="9">
        <f t="shared" ref="BI4036:BI4099" si="568">SUM(M4036:R4036)</f>
        <v>7.07</v>
      </c>
      <c r="BJ4036" s="9">
        <f t="shared" ref="BJ4036:BJ4099" si="569">SUM(S4036)</f>
        <v>2.08</v>
      </c>
      <c r="BK4036" s="9">
        <f t="shared" ref="BK4036:BK4099" si="570">SUM(T4036:Y4036)</f>
        <v>11.57</v>
      </c>
      <c r="BL4036" s="9">
        <f t="shared" ref="BL4036:BL4099" si="571">SUM(Z4036:AA4036)</f>
        <v>0</v>
      </c>
      <c r="BM4036" s="9">
        <f t="shared" ref="BM4036:BM4099" si="572">SUM(AB4036:AS4036)</f>
        <v>40.805940000000007</v>
      </c>
      <c r="BN4036" s="9">
        <f t="shared" ref="BN4036:BN4099" si="573">SUM(AT4036:AU4036)</f>
        <v>567.42999999999995</v>
      </c>
      <c r="BO4036" s="9">
        <f t="shared" ref="BO4036:BO4099" si="574">SUM(AV4036:BE4036)</f>
        <v>0</v>
      </c>
      <c r="BP4036" s="9">
        <f t="shared" ref="BP4036:BP4099" si="575">SUM(BF4036)</f>
        <v>0</v>
      </c>
    </row>
    <row r="4037" spans="1:68">
      <c r="A4037" s="6">
        <v>45299</v>
      </c>
      <c r="B4037" s="7">
        <v>3021</v>
      </c>
      <c r="C4037" s="8"/>
      <c r="D4037" s="8">
        <v>192.47</v>
      </c>
      <c r="E4037" s="8"/>
      <c r="F4037" s="8"/>
      <c r="G4037" s="8"/>
      <c r="H4037" s="8"/>
      <c r="I4037" s="8">
        <v>356.99</v>
      </c>
      <c r="J4037" s="8"/>
      <c r="K4037" s="8"/>
      <c r="L4037" s="8"/>
      <c r="M4037" s="8"/>
      <c r="N4037" s="8">
        <v>2.91</v>
      </c>
      <c r="O4037" s="8"/>
      <c r="P4037" s="8"/>
      <c r="Q4037" s="8"/>
      <c r="R4037" s="8"/>
      <c r="S4037" s="8">
        <v>0.99</v>
      </c>
      <c r="T4037" s="8"/>
      <c r="U4037" s="8"/>
      <c r="V4037" s="8"/>
      <c r="W4037" s="8">
        <v>5.48</v>
      </c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>
        <v>5.49</v>
      </c>
      <c r="AN4037" s="8"/>
      <c r="AO4037" s="8"/>
      <c r="AP4037" s="8"/>
      <c r="AQ4037" s="8"/>
      <c r="AR4037" s="8"/>
      <c r="AS4037" s="8">
        <f>2659*5.22/1000</f>
        <v>13.87998</v>
      </c>
      <c r="AT4037" s="8">
        <v>258.85000000000002</v>
      </c>
      <c r="AU4037" s="8"/>
      <c r="AV4037" s="8"/>
      <c r="AW4037" s="8"/>
      <c r="AX4037" s="8"/>
      <c r="AY4037" s="8"/>
      <c r="AZ4037" s="8"/>
      <c r="BA4037" s="8"/>
      <c r="BB4037" s="8"/>
      <c r="BC4037" s="8"/>
      <c r="BD4037" s="8"/>
      <c r="BE4037" s="8"/>
      <c r="BF4037" s="8"/>
      <c r="BG4037" s="8">
        <v>19.43</v>
      </c>
      <c r="BH4037" s="9">
        <f t="shared" si="567"/>
        <v>549.46</v>
      </c>
      <c r="BI4037" s="9">
        <f t="shared" si="568"/>
        <v>2.91</v>
      </c>
      <c r="BJ4037" s="9">
        <f t="shared" si="569"/>
        <v>0.99</v>
      </c>
      <c r="BK4037" s="9">
        <f t="shared" si="570"/>
        <v>5.48</v>
      </c>
      <c r="BL4037" s="9">
        <f t="shared" si="571"/>
        <v>0</v>
      </c>
      <c r="BM4037" s="9">
        <f t="shared" si="572"/>
        <v>19.369979999999998</v>
      </c>
      <c r="BN4037" s="9">
        <f t="shared" si="573"/>
        <v>258.85000000000002</v>
      </c>
      <c r="BO4037" s="9">
        <f t="shared" si="574"/>
        <v>0</v>
      </c>
      <c r="BP4037" s="9">
        <f t="shared" si="575"/>
        <v>0</v>
      </c>
    </row>
    <row r="4038" spans="1:68">
      <c r="A4038" s="6">
        <v>45299</v>
      </c>
      <c r="B4038" s="7">
        <v>3304</v>
      </c>
      <c r="C4038" s="8"/>
      <c r="D4038" s="8">
        <v>1161.01</v>
      </c>
      <c r="E4038" s="8"/>
      <c r="F4038" s="8"/>
      <c r="G4038" s="8"/>
      <c r="H4038" s="8"/>
      <c r="I4038" s="8"/>
      <c r="J4038" s="8"/>
      <c r="K4038" s="8"/>
      <c r="L4038" s="8"/>
      <c r="M4038" s="8">
        <v>2.33</v>
      </c>
      <c r="N4038" s="8"/>
      <c r="O4038" s="8"/>
      <c r="P4038" s="8"/>
      <c r="Q4038" s="8"/>
      <c r="R4038" s="8"/>
      <c r="S4038" s="8">
        <v>1.74</v>
      </c>
      <c r="T4038" s="8"/>
      <c r="U4038" s="8">
        <v>10.45</v>
      </c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>
        <v>11.65</v>
      </c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>
        <v>308.08999999999997</v>
      </c>
      <c r="AU4038" s="8">
        <v>155.06</v>
      </c>
      <c r="AV4038" s="8"/>
      <c r="AW4038" s="8"/>
      <c r="AX4038" s="8"/>
      <c r="AY4038" s="8"/>
      <c r="AZ4038" s="8"/>
      <c r="BA4038" s="8"/>
      <c r="BB4038" s="8"/>
      <c r="BC4038" s="8"/>
      <c r="BD4038" s="8"/>
      <c r="BE4038" s="8"/>
      <c r="BF4038" s="8"/>
      <c r="BG4038" s="8">
        <v>32.1</v>
      </c>
      <c r="BH4038" s="9">
        <f t="shared" si="567"/>
        <v>1161.01</v>
      </c>
      <c r="BI4038" s="9">
        <f t="shared" si="568"/>
        <v>2.33</v>
      </c>
      <c r="BJ4038" s="9">
        <f t="shared" si="569"/>
        <v>1.74</v>
      </c>
      <c r="BK4038" s="9">
        <f t="shared" si="570"/>
        <v>10.45</v>
      </c>
      <c r="BL4038" s="9">
        <f t="shared" si="571"/>
        <v>0</v>
      </c>
      <c r="BM4038" s="9">
        <f t="shared" si="572"/>
        <v>11.65</v>
      </c>
      <c r="BN4038" s="9">
        <f t="shared" si="573"/>
        <v>463.15</v>
      </c>
      <c r="BO4038" s="9">
        <f t="shared" si="574"/>
        <v>0</v>
      </c>
      <c r="BP4038" s="9">
        <f t="shared" si="575"/>
        <v>0</v>
      </c>
    </row>
    <row r="4039" spans="1:68">
      <c r="A4039" s="6">
        <v>45299</v>
      </c>
      <c r="B4039" s="7">
        <v>3117</v>
      </c>
      <c r="C4039" s="8">
        <v>808.35</v>
      </c>
      <c r="D4039" s="8"/>
      <c r="E4039" s="8"/>
      <c r="F4039" s="8"/>
      <c r="G4039" s="8"/>
      <c r="H4039" s="8"/>
      <c r="I4039" s="8"/>
      <c r="J4039" s="8"/>
      <c r="K4039" s="8"/>
      <c r="L4039" s="8"/>
      <c r="M4039" s="8">
        <v>2.36</v>
      </c>
      <c r="N4039" s="8"/>
      <c r="O4039" s="8"/>
      <c r="P4039" s="8"/>
      <c r="Q4039" s="8"/>
      <c r="R4039" s="8"/>
      <c r="S4039" s="8">
        <v>3.24</v>
      </c>
      <c r="T4039" s="8"/>
      <c r="U4039" s="8">
        <v>8.09</v>
      </c>
      <c r="V4039" s="8"/>
      <c r="W4039" s="8"/>
      <c r="X4039" s="8"/>
      <c r="Y4039" s="8"/>
      <c r="Z4039" s="8"/>
      <c r="AA4039" s="8"/>
      <c r="AB4039" s="8"/>
      <c r="AC4039" s="8">
        <v>3.24</v>
      </c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>
        <v>508.27</v>
      </c>
      <c r="AU4039" s="8"/>
      <c r="AV4039" s="8">
        <v>20.23</v>
      </c>
      <c r="AW4039" s="8"/>
      <c r="AX4039" s="8"/>
      <c r="AY4039" s="8"/>
      <c r="AZ4039" s="8"/>
      <c r="BA4039" s="8"/>
      <c r="BB4039" s="8"/>
      <c r="BC4039" s="8"/>
      <c r="BD4039" s="8"/>
      <c r="BE4039" s="8"/>
      <c r="BF4039" s="8">
        <v>40.5</v>
      </c>
      <c r="BG4039" s="8">
        <v>38.92</v>
      </c>
      <c r="BH4039" s="9">
        <f t="shared" si="567"/>
        <v>808.35</v>
      </c>
      <c r="BI4039" s="9">
        <f t="shared" si="568"/>
        <v>2.36</v>
      </c>
      <c r="BJ4039" s="9">
        <f t="shared" si="569"/>
        <v>3.24</v>
      </c>
      <c r="BK4039" s="9">
        <f t="shared" si="570"/>
        <v>8.09</v>
      </c>
      <c r="BL4039" s="9">
        <f t="shared" si="571"/>
        <v>0</v>
      </c>
      <c r="BM4039" s="9">
        <f t="shared" si="572"/>
        <v>3.24</v>
      </c>
      <c r="BN4039" s="9">
        <f t="shared" si="573"/>
        <v>508.27</v>
      </c>
      <c r="BO4039" s="9">
        <f t="shared" si="574"/>
        <v>20.23</v>
      </c>
      <c r="BP4039" s="9">
        <f t="shared" si="575"/>
        <v>40.5</v>
      </c>
    </row>
    <row r="4040" spans="1:68">
      <c r="A4040" s="6">
        <v>45300</v>
      </c>
      <c r="B4040" s="7">
        <v>3702</v>
      </c>
      <c r="C4040" s="8">
        <v>530.04</v>
      </c>
      <c r="D4040" s="8">
        <v>350.88</v>
      </c>
      <c r="E4040" s="8"/>
      <c r="F4040" s="8"/>
      <c r="G4040" s="8"/>
      <c r="H4040" s="8"/>
      <c r="I4040" s="8"/>
      <c r="J4040" s="8"/>
      <c r="K4040" s="8"/>
      <c r="L4040" s="8"/>
      <c r="M4040" s="8">
        <v>1.75</v>
      </c>
      <c r="N4040" s="8"/>
      <c r="O4040" s="8"/>
      <c r="P4040" s="8"/>
      <c r="Q4040" s="8"/>
      <c r="R4040" s="8"/>
      <c r="S4040" s="8">
        <v>4.0999999999999996</v>
      </c>
      <c r="T4040" s="8"/>
      <c r="U4040" s="8">
        <v>6.57</v>
      </c>
      <c r="V4040" s="8"/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>
        <v>211.98</v>
      </c>
      <c r="AU4040" s="8">
        <v>105.93</v>
      </c>
      <c r="AV4040" s="8"/>
      <c r="AW4040" s="8">
        <v>1.94</v>
      </c>
      <c r="AX4040" s="8"/>
      <c r="AY4040" s="8"/>
      <c r="AZ4040" s="8"/>
      <c r="BA4040" s="8"/>
      <c r="BB4040" s="8"/>
      <c r="BC4040" s="8"/>
      <c r="BD4040" s="8"/>
      <c r="BE4040" s="8"/>
      <c r="BF4040" s="8"/>
      <c r="BG4040" s="8">
        <v>22.33</v>
      </c>
      <c r="BH4040" s="9">
        <f t="shared" si="567"/>
        <v>880.92</v>
      </c>
      <c r="BI4040" s="9">
        <f t="shared" si="568"/>
        <v>1.75</v>
      </c>
      <c r="BJ4040" s="9">
        <f t="shared" si="569"/>
        <v>4.0999999999999996</v>
      </c>
      <c r="BK4040" s="9">
        <f t="shared" si="570"/>
        <v>6.57</v>
      </c>
      <c r="BL4040" s="9">
        <f t="shared" si="571"/>
        <v>0</v>
      </c>
      <c r="BM4040" s="9">
        <f t="shared" si="572"/>
        <v>0</v>
      </c>
      <c r="BN4040" s="9">
        <f t="shared" si="573"/>
        <v>317.90999999999997</v>
      </c>
      <c r="BO4040" s="9">
        <f t="shared" si="574"/>
        <v>1.94</v>
      </c>
      <c r="BP4040" s="9">
        <f t="shared" si="575"/>
        <v>0</v>
      </c>
    </row>
    <row r="4041" spans="1:68">
      <c r="A4041" s="6">
        <v>45300</v>
      </c>
      <c r="B4041" s="7">
        <v>3101</v>
      </c>
      <c r="C4041" s="8">
        <v>670.02</v>
      </c>
      <c r="D4041" s="8"/>
      <c r="E4041" s="8"/>
      <c r="F4041" s="8"/>
      <c r="G4041" s="8"/>
      <c r="H4041" s="8"/>
      <c r="I4041" s="8"/>
      <c r="J4041" s="8"/>
      <c r="K4041" s="8"/>
      <c r="L4041" s="8"/>
      <c r="M4041" s="8">
        <v>1.68</v>
      </c>
      <c r="N4041" s="8"/>
      <c r="O4041" s="8"/>
      <c r="P4041" s="8"/>
      <c r="Q4041" s="8"/>
      <c r="R4041" s="8"/>
      <c r="S4041" s="8">
        <v>3.9</v>
      </c>
      <c r="T4041" s="8"/>
      <c r="U4041" s="8">
        <v>10.75</v>
      </c>
      <c r="V4041" s="8"/>
      <c r="W4041" s="8"/>
      <c r="X4041" s="8"/>
      <c r="Y4041" s="8"/>
      <c r="Z4041" s="8"/>
      <c r="AA4041" s="8"/>
      <c r="AB4041" s="8"/>
      <c r="AC4041" s="8">
        <v>2.68</v>
      </c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>
        <v>448.64</v>
      </c>
      <c r="AU4041" s="8"/>
      <c r="AV4041" s="8"/>
      <c r="AW4041" s="8">
        <v>14.3</v>
      </c>
      <c r="AX4041" s="8"/>
      <c r="AY4041" s="8"/>
      <c r="AZ4041" s="8"/>
      <c r="BA4041" s="8"/>
      <c r="BB4041" s="8"/>
      <c r="BC4041" s="8"/>
      <c r="BD4041" s="8"/>
      <c r="BE4041" s="8"/>
      <c r="BF4041" s="8">
        <v>87.33</v>
      </c>
      <c r="BG4041" s="8">
        <v>34.53</v>
      </c>
      <c r="BH4041" s="9">
        <f t="shared" si="567"/>
        <v>670.02</v>
      </c>
      <c r="BI4041" s="9">
        <f t="shared" si="568"/>
        <v>1.68</v>
      </c>
      <c r="BJ4041" s="9">
        <f t="shared" si="569"/>
        <v>3.9</v>
      </c>
      <c r="BK4041" s="9">
        <f t="shared" si="570"/>
        <v>10.75</v>
      </c>
      <c r="BL4041" s="9">
        <f t="shared" si="571"/>
        <v>0</v>
      </c>
      <c r="BM4041" s="9">
        <f t="shared" si="572"/>
        <v>2.68</v>
      </c>
      <c r="BN4041" s="9">
        <f t="shared" si="573"/>
        <v>448.64</v>
      </c>
      <c r="BO4041" s="9">
        <f t="shared" si="574"/>
        <v>14.3</v>
      </c>
      <c r="BP4041" s="9">
        <f t="shared" si="575"/>
        <v>87.33</v>
      </c>
    </row>
    <row r="4042" spans="1:68">
      <c r="A4042" s="6">
        <v>45300</v>
      </c>
      <c r="B4042" s="7">
        <v>8323</v>
      </c>
      <c r="C4042" s="8">
        <v>615.88</v>
      </c>
      <c r="D4042" s="8">
        <v>263.31</v>
      </c>
      <c r="E4042" s="8"/>
      <c r="F4042" s="8"/>
      <c r="G4042" s="8"/>
      <c r="H4042" s="8"/>
      <c r="I4042" s="8"/>
      <c r="J4042" s="8"/>
      <c r="K4042" s="8"/>
      <c r="L4042" s="8"/>
      <c r="M4042" s="8">
        <v>1.75</v>
      </c>
      <c r="N4042" s="8"/>
      <c r="O4042" s="8"/>
      <c r="P4042" s="8"/>
      <c r="Q4042" s="8"/>
      <c r="R4042" s="8"/>
      <c r="S4042" s="8">
        <v>2.63</v>
      </c>
      <c r="T4042" s="8"/>
      <c r="U4042" s="8">
        <v>8.76</v>
      </c>
      <c r="V4042" s="8"/>
      <c r="W4042" s="8"/>
      <c r="X4042" s="8"/>
      <c r="Y4042" s="8"/>
      <c r="Z4042" s="8"/>
      <c r="AA4042" s="8"/>
      <c r="AB4042" s="8"/>
      <c r="AC4042" s="8">
        <v>3.51</v>
      </c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>
        <v>380.4</v>
      </c>
      <c r="AU4042" s="8"/>
      <c r="AV4042" s="8"/>
      <c r="AW4042" s="8"/>
      <c r="AX4042" s="8"/>
      <c r="AY4042" s="8"/>
      <c r="AZ4042" s="8"/>
      <c r="BA4042" s="8"/>
      <c r="BB4042" s="8"/>
      <c r="BC4042" s="8">
        <v>0.87</v>
      </c>
      <c r="BD4042" s="8"/>
      <c r="BE4042" s="8"/>
      <c r="BF4042" s="8"/>
      <c r="BG4042" s="8">
        <v>27.05</v>
      </c>
      <c r="BH4042" s="9">
        <f t="shared" si="567"/>
        <v>879.19</v>
      </c>
      <c r="BI4042" s="9">
        <f t="shared" si="568"/>
        <v>1.75</v>
      </c>
      <c r="BJ4042" s="9">
        <f t="shared" si="569"/>
        <v>2.63</v>
      </c>
      <c r="BK4042" s="9">
        <f t="shared" si="570"/>
        <v>8.76</v>
      </c>
      <c r="BL4042" s="9">
        <f t="shared" si="571"/>
        <v>0</v>
      </c>
      <c r="BM4042" s="9">
        <f t="shared" si="572"/>
        <v>3.51</v>
      </c>
      <c r="BN4042" s="9">
        <f t="shared" si="573"/>
        <v>380.4</v>
      </c>
      <c r="BO4042" s="9">
        <f t="shared" si="574"/>
        <v>0.87</v>
      </c>
      <c r="BP4042" s="9">
        <f t="shared" si="575"/>
        <v>0</v>
      </c>
    </row>
    <row r="4043" spans="1:68">
      <c r="A4043" s="6">
        <v>45300</v>
      </c>
      <c r="B4043" s="7">
        <v>3141</v>
      </c>
      <c r="C4043" s="8">
        <v>2476.7199999999998</v>
      </c>
      <c r="D4043" s="8">
        <v>437.1</v>
      </c>
      <c r="E4043" s="8"/>
      <c r="F4043" s="8"/>
      <c r="G4043" s="8"/>
      <c r="H4043" s="8"/>
      <c r="I4043" s="8"/>
      <c r="J4043" s="8"/>
      <c r="K4043" s="8"/>
      <c r="L4043" s="8"/>
      <c r="M4043" s="8">
        <v>7.98</v>
      </c>
      <c r="N4043" s="8"/>
      <c r="O4043" s="8"/>
      <c r="P4043" s="8"/>
      <c r="Q4043" s="8"/>
      <c r="R4043" s="8"/>
      <c r="S4043" s="8">
        <v>13.71</v>
      </c>
      <c r="T4043" s="8"/>
      <c r="U4043" s="8">
        <v>43.74</v>
      </c>
      <c r="V4043" s="8"/>
      <c r="W4043" s="8"/>
      <c r="X4043" s="8"/>
      <c r="Y4043" s="8"/>
      <c r="Z4043" s="8"/>
      <c r="AA4043" s="8"/>
      <c r="AB4043" s="8"/>
      <c r="AC4043" s="8">
        <v>11.67</v>
      </c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>
        <v>1925.41</v>
      </c>
      <c r="AU4043" s="8"/>
      <c r="AV4043" s="8"/>
      <c r="AW4043" s="8"/>
      <c r="AX4043" s="8"/>
      <c r="AY4043" s="8"/>
      <c r="AZ4043" s="8"/>
      <c r="BA4043" s="8">
        <v>66.760000000000005</v>
      </c>
      <c r="BB4043" s="8"/>
      <c r="BC4043" s="8"/>
      <c r="BD4043" s="8"/>
      <c r="BE4043" s="8"/>
      <c r="BF4043" s="8">
        <v>204.29</v>
      </c>
      <c r="BG4043" s="8">
        <v>151.25</v>
      </c>
      <c r="BH4043" s="9">
        <f t="shared" si="567"/>
        <v>2913.8199999999997</v>
      </c>
      <c r="BI4043" s="9">
        <f t="shared" si="568"/>
        <v>7.98</v>
      </c>
      <c r="BJ4043" s="9">
        <f t="shared" si="569"/>
        <v>13.71</v>
      </c>
      <c r="BK4043" s="9">
        <f t="shared" si="570"/>
        <v>43.74</v>
      </c>
      <c r="BL4043" s="9">
        <f t="shared" si="571"/>
        <v>0</v>
      </c>
      <c r="BM4043" s="9">
        <f t="shared" si="572"/>
        <v>11.67</v>
      </c>
      <c r="BN4043" s="9">
        <f t="shared" si="573"/>
        <v>1925.41</v>
      </c>
      <c r="BO4043" s="9">
        <f t="shared" si="574"/>
        <v>66.760000000000005</v>
      </c>
      <c r="BP4043" s="9">
        <f t="shared" si="575"/>
        <v>204.29</v>
      </c>
    </row>
    <row r="4044" spans="1:68">
      <c r="A4044" s="6">
        <v>45300</v>
      </c>
      <c r="B4044" s="7">
        <v>3106</v>
      </c>
      <c r="C4044" s="8">
        <v>6064.06</v>
      </c>
      <c r="D4044" s="8"/>
      <c r="E4044" s="8"/>
      <c r="F4044" s="8"/>
      <c r="G4044" s="8"/>
      <c r="H4044" s="8"/>
      <c r="I4044" s="8"/>
      <c r="J4044" s="8"/>
      <c r="K4044" s="8"/>
      <c r="L4044" s="8"/>
      <c r="M4044" s="8">
        <v>14.15</v>
      </c>
      <c r="N4044" s="8"/>
      <c r="O4044" s="8"/>
      <c r="P4044" s="8"/>
      <c r="Q4044" s="8"/>
      <c r="R4044" s="8"/>
      <c r="S4044" s="8">
        <v>18.23</v>
      </c>
      <c r="T4044" s="8"/>
      <c r="U4044" s="8">
        <v>77.11</v>
      </c>
      <c r="V4044" s="8"/>
      <c r="W4044" s="8"/>
      <c r="X4044" s="8"/>
      <c r="Y4044" s="8"/>
      <c r="Z4044" s="8"/>
      <c r="AA4044" s="8"/>
      <c r="AB4044" s="8"/>
      <c r="AC4044" s="8">
        <v>15.16</v>
      </c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>
        <v>3457.97</v>
      </c>
      <c r="AU4044" s="8"/>
      <c r="AV4044" s="8"/>
      <c r="AW4044" s="8"/>
      <c r="AX4044" s="8">
        <v>7.59</v>
      </c>
      <c r="AY4044" s="8"/>
      <c r="AZ4044" s="8"/>
      <c r="BA4044" s="8"/>
      <c r="BB4044" s="8"/>
      <c r="BC4044" s="8"/>
      <c r="BD4044" s="8"/>
      <c r="BE4044" s="8"/>
      <c r="BF4044" s="8"/>
      <c r="BG4044" s="8">
        <v>261.05</v>
      </c>
      <c r="BH4044" s="9">
        <f t="shared" si="567"/>
        <v>6064.06</v>
      </c>
      <c r="BI4044" s="9">
        <f t="shared" si="568"/>
        <v>14.15</v>
      </c>
      <c r="BJ4044" s="9">
        <f t="shared" si="569"/>
        <v>18.23</v>
      </c>
      <c r="BK4044" s="9">
        <f t="shared" si="570"/>
        <v>77.11</v>
      </c>
      <c r="BL4044" s="9">
        <f t="shared" si="571"/>
        <v>0</v>
      </c>
      <c r="BM4044" s="9">
        <f t="shared" si="572"/>
        <v>15.16</v>
      </c>
      <c r="BN4044" s="9">
        <f t="shared" si="573"/>
        <v>3457.97</v>
      </c>
      <c r="BO4044" s="9">
        <f t="shared" si="574"/>
        <v>7.59</v>
      </c>
      <c r="BP4044" s="9">
        <f t="shared" si="575"/>
        <v>0</v>
      </c>
    </row>
    <row r="4045" spans="1:68">
      <c r="A4045" s="6">
        <v>45300</v>
      </c>
      <c r="B4045" s="7">
        <v>3023</v>
      </c>
      <c r="C4045" s="8"/>
      <c r="D4045" s="8">
        <v>1723.08</v>
      </c>
      <c r="E4045" s="8"/>
      <c r="F4045" s="8"/>
      <c r="G4045" s="8"/>
      <c r="H4045" s="8"/>
      <c r="I4045" s="8">
        <v>923.84</v>
      </c>
      <c r="J4045" s="8"/>
      <c r="K4045" s="8"/>
      <c r="L4045" s="8"/>
      <c r="M4045" s="8"/>
      <c r="N4045" s="8">
        <v>14.83</v>
      </c>
      <c r="O4045" s="8"/>
      <c r="P4045" s="8"/>
      <c r="Q4045" s="8"/>
      <c r="R4045" s="8"/>
      <c r="S4045" s="8">
        <v>4.2300000000000004</v>
      </c>
      <c r="T4045" s="8"/>
      <c r="U4045" s="8"/>
      <c r="V4045" s="8"/>
      <c r="W4045" s="8">
        <v>23.86</v>
      </c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>
        <v>26.42</v>
      </c>
      <c r="AN4045" s="8">
        <f>1033*18.27/1000</f>
        <v>18.872910000000001</v>
      </c>
      <c r="AO4045" s="8"/>
      <c r="AP4045" s="8"/>
      <c r="AQ4045" s="8"/>
      <c r="AR4045" s="8"/>
      <c r="AS4045" s="8">
        <f>4792*18.27/1000</f>
        <v>87.549840000000003</v>
      </c>
      <c r="AT4045" s="8">
        <v>1084.8</v>
      </c>
      <c r="AU4045" s="8"/>
      <c r="AV4045" s="8"/>
      <c r="AW4045" s="8"/>
      <c r="AX4045" s="8"/>
      <c r="AY4045" s="8"/>
      <c r="AZ4045" s="8"/>
      <c r="BA4045" s="8"/>
      <c r="BB4045" s="8"/>
      <c r="BC4045" s="8"/>
      <c r="BD4045" s="8"/>
      <c r="BE4045" s="8"/>
      <c r="BF4045" s="8"/>
      <c r="BG4045" s="8">
        <v>82.08</v>
      </c>
      <c r="BH4045" s="9">
        <f t="shared" si="567"/>
        <v>2646.92</v>
      </c>
      <c r="BI4045" s="9">
        <f t="shared" si="568"/>
        <v>14.83</v>
      </c>
      <c r="BJ4045" s="9">
        <f t="shared" si="569"/>
        <v>4.2300000000000004</v>
      </c>
      <c r="BK4045" s="9">
        <f t="shared" si="570"/>
        <v>23.86</v>
      </c>
      <c r="BL4045" s="9">
        <f t="shared" si="571"/>
        <v>0</v>
      </c>
      <c r="BM4045" s="9">
        <f t="shared" si="572"/>
        <v>132.84275000000002</v>
      </c>
      <c r="BN4045" s="9">
        <f t="shared" si="573"/>
        <v>1084.8</v>
      </c>
      <c r="BO4045" s="9">
        <f t="shared" si="574"/>
        <v>0</v>
      </c>
      <c r="BP4045" s="9">
        <f t="shared" si="575"/>
        <v>0</v>
      </c>
    </row>
    <row r="4046" spans="1:68">
      <c r="A4046" s="6">
        <v>45300</v>
      </c>
      <c r="B4046" s="7">
        <v>3028</v>
      </c>
      <c r="C4046" s="8"/>
      <c r="D4046" s="8">
        <v>400.54</v>
      </c>
      <c r="E4046" s="8"/>
      <c r="F4046" s="8">
        <v>366.06</v>
      </c>
      <c r="G4046" s="8"/>
      <c r="H4046" s="8"/>
      <c r="I4046" s="8">
        <v>826.78</v>
      </c>
      <c r="J4046" s="8"/>
      <c r="K4046" s="8"/>
      <c r="L4046" s="8"/>
      <c r="M4046" s="8"/>
      <c r="N4046" s="8">
        <v>12.25</v>
      </c>
      <c r="O4046" s="8"/>
      <c r="P4046" s="8"/>
      <c r="Q4046" s="8"/>
      <c r="R4046" s="8"/>
      <c r="S4046" s="8">
        <v>2.23</v>
      </c>
      <c r="T4046" s="8"/>
      <c r="U4046" s="8"/>
      <c r="V4046" s="8"/>
      <c r="W4046" s="8">
        <v>11.95</v>
      </c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>
        <v>15.94</v>
      </c>
      <c r="AN4046" s="8">
        <f>1058*10.62/1000</f>
        <v>11.235959999999999</v>
      </c>
      <c r="AO4046" s="8"/>
      <c r="AP4046" s="8"/>
      <c r="AQ4046" s="8"/>
      <c r="AR4046" s="8"/>
      <c r="AS4046" s="8">
        <f>4963*10.62/1000</f>
        <v>52.707059999999998</v>
      </c>
      <c r="AT4046" s="8">
        <v>531.58000000000004</v>
      </c>
      <c r="AU4046" s="8"/>
      <c r="AV4046" s="8"/>
      <c r="AW4046" s="8"/>
      <c r="AX4046" s="8"/>
      <c r="AY4046" s="8"/>
      <c r="AZ4046" s="8"/>
      <c r="BA4046" s="8"/>
      <c r="BB4046" s="8"/>
      <c r="BC4046" s="8"/>
      <c r="BD4046" s="8"/>
      <c r="BE4046" s="8"/>
      <c r="BF4046" s="8"/>
      <c r="BG4046" s="8">
        <v>35.99</v>
      </c>
      <c r="BH4046" s="9">
        <f t="shared" si="567"/>
        <v>1593.38</v>
      </c>
      <c r="BI4046" s="9">
        <f t="shared" si="568"/>
        <v>12.25</v>
      </c>
      <c r="BJ4046" s="9">
        <f t="shared" si="569"/>
        <v>2.23</v>
      </c>
      <c r="BK4046" s="9">
        <f t="shared" si="570"/>
        <v>11.95</v>
      </c>
      <c r="BL4046" s="9">
        <f t="shared" si="571"/>
        <v>0</v>
      </c>
      <c r="BM4046" s="9">
        <f t="shared" si="572"/>
        <v>79.883019999999988</v>
      </c>
      <c r="BN4046" s="9">
        <f t="shared" si="573"/>
        <v>531.58000000000004</v>
      </c>
      <c r="BO4046" s="9">
        <f t="shared" si="574"/>
        <v>0</v>
      </c>
      <c r="BP4046" s="9">
        <f t="shared" si="575"/>
        <v>0</v>
      </c>
    </row>
    <row r="4047" spans="1:68">
      <c r="A4047" s="6">
        <v>45300</v>
      </c>
      <c r="B4047" s="7">
        <v>3201</v>
      </c>
      <c r="C4047" s="8">
        <v>1177.03</v>
      </c>
      <c r="D4047" s="8"/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>
        <v>2.96</v>
      </c>
      <c r="P4047" s="8"/>
      <c r="Q4047" s="8"/>
      <c r="R4047" s="8"/>
      <c r="S4047" s="8">
        <v>4.5999999999999996</v>
      </c>
      <c r="T4047" s="8"/>
      <c r="U4047" s="8">
        <v>17.68</v>
      </c>
      <c r="V4047" s="8"/>
      <c r="W4047" s="8"/>
      <c r="X4047" s="8"/>
      <c r="Y4047" s="8"/>
      <c r="Z4047" s="8">
        <v>247.66</v>
      </c>
      <c r="AA4047" s="8"/>
      <c r="AB4047" s="8"/>
      <c r="AC4047" s="8"/>
      <c r="AD4047" s="8"/>
      <c r="AE4047" s="8"/>
      <c r="AF4047" s="8">
        <v>58.74</v>
      </c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>
        <v>17.86</v>
      </c>
      <c r="AR4047" s="8"/>
      <c r="AS4047" s="8"/>
      <c r="AT4047" s="8">
        <v>809.52</v>
      </c>
      <c r="AU4047" s="8"/>
      <c r="AV4047" s="8"/>
      <c r="AW4047" s="8"/>
      <c r="AX4047" s="8"/>
      <c r="AY4047" s="8"/>
      <c r="AZ4047" s="8"/>
      <c r="BA4047" s="8"/>
      <c r="BB4047" s="8"/>
      <c r="BC4047" s="8">
        <v>3.06</v>
      </c>
      <c r="BD4047" s="8"/>
      <c r="BE4047" s="8"/>
      <c r="BF4047" s="8">
        <v>56.61</v>
      </c>
      <c r="BG4047" s="8">
        <v>58.37</v>
      </c>
      <c r="BH4047" s="9">
        <f t="shared" si="567"/>
        <v>1177.03</v>
      </c>
      <c r="BI4047" s="9">
        <f t="shared" si="568"/>
        <v>2.96</v>
      </c>
      <c r="BJ4047" s="9">
        <f t="shared" si="569"/>
        <v>4.5999999999999996</v>
      </c>
      <c r="BK4047" s="9">
        <f t="shared" si="570"/>
        <v>17.68</v>
      </c>
      <c r="BL4047" s="9">
        <f t="shared" si="571"/>
        <v>247.66</v>
      </c>
      <c r="BM4047" s="9">
        <f t="shared" si="572"/>
        <v>76.599999999999994</v>
      </c>
      <c r="BN4047" s="9">
        <f t="shared" si="573"/>
        <v>809.52</v>
      </c>
      <c r="BO4047" s="9">
        <f t="shared" si="574"/>
        <v>3.06</v>
      </c>
      <c r="BP4047" s="9">
        <f t="shared" si="575"/>
        <v>56.61</v>
      </c>
    </row>
    <row r="4048" spans="1:68">
      <c r="A4048" s="6">
        <v>45300</v>
      </c>
      <c r="B4048" s="7">
        <v>3200</v>
      </c>
      <c r="C4048" s="8">
        <v>2242.2199999999998</v>
      </c>
      <c r="D4048" s="8"/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>
        <v>5.62</v>
      </c>
      <c r="P4048" s="8"/>
      <c r="Q4048" s="8"/>
      <c r="R4048" s="8"/>
      <c r="S4048" s="8">
        <v>8.74</v>
      </c>
      <c r="T4048" s="8"/>
      <c r="U4048" s="8">
        <v>33.619999999999997</v>
      </c>
      <c r="V4048" s="8"/>
      <c r="W4048" s="8"/>
      <c r="X4048" s="8"/>
      <c r="Y4048" s="8"/>
      <c r="Z4048" s="8">
        <v>471.32</v>
      </c>
      <c r="AA4048" s="8"/>
      <c r="AB4048" s="8"/>
      <c r="AC4048" s="8"/>
      <c r="AD4048" s="8"/>
      <c r="AE4048" s="8"/>
      <c r="AF4048" s="8">
        <v>112.18</v>
      </c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>
        <f>1516*22.42/1000</f>
        <v>33.988720000000001</v>
      </c>
      <c r="AR4048" s="8"/>
      <c r="AS4048" s="8"/>
      <c r="AT4048" s="8">
        <v>1536.25</v>
      </c>
      <c r="AU4048" s="8"/>
      <c r="AV4048" s="8"/>
      <c r="AW4048" s="8">
        <v>6.54</v>
      </c>
      <c r="AX4048" s="8"/>
      <c r="AY4048" s="8"/>
      <c r="AZ4048" s="8"/>
      <c r="BA4048" s="8"/>
      <c r="BB4048" s="8"/>
      <c r="BC4048" s="8"/>
      <c r="BD4048" s="8"/>
      <c r="BE4048" s="8"/>
      <c r="BF4048" s="8">
        <v>107.68</v>
      </c>
      <c r="BG4048" s="8">
        <v>111.39</v>
      </c>
      <c r="BH4048" s="9">
        <f t="shared" si="567"/>
        <v>2242.2199999999998</v>
      </c>
      <c r="BI4048" s="9">
        <f t="shared" si="568"/>
        <v>5.62</v>
      </c>
      <c r="BJ4048" s="9">
        <f t="shared" si="569"/>
        <v>8.74</v>
      </c>
      <c r="BK4048" s="9">
        <f t="shared" si="570"/>
        <v>33.619999999999997</v>
      </c>
      <c r="BL4048" s="9">
        <f t="shared" si="571"/>
        <v>471.32</v>
      </c>
      <c r="BM4048" s="9">
        <f t="shared" si="572"/>
        <v>146.16872000000001</v>
      </c>
      <c r="BN4048" s="9">
        <f t="shared" si="573"/>
        <v>1536.25</v>
      </c>
      <c r="BO4048" s="9">
        <f t="shared" si="574"/>
        <v>6.54</v>
      </c>
      <c r="BP4048" s="9">
        <f t="shared" si="575"/>
        <v>107.68</v>
      </c>
    </row>
    <row r="4049" spans="1:68">
      <c r="A4049" s="6">
        <v>45301</v>
      </c>
      <c r="B4049" s="7">
        <v>3144</v>
      </c>
      <c r="C4049" s="8">
        <v>1206.51</v>
      </c>
      <c r="D4049" s="8">
        <v>210.79</v>
      </c>
      <c r="E4049" s="8"/>
      <c r="F4049" s="8"/>
      <c r="G4049" s="8"/>
      <c r="H4049" s="8"/>
      <c r="I4049" s="8"/>
      <c r="J4049" s="8"/>
      <c r="K4049" s="8"/>
      <c r="L4049" s="8"/>
      <c r="M4049" s="8">
        <v>4.05</v>
      </c>
      <c r="N4049" s="8"/>
      <c r="O4049" s="8"/>
      <c r="P4049" s="8"/>
      <c r="Q4049" s="8"/>
      <c r="R4049" s="8"/>
      <c r="S4049" s="8">
        <v>6.57</v>
      </c>
      <c r="T4049" s="8"/>
      <c r="U4049" s="8">
        <v>21.01</v>
      </c>
      <c r="V4049" s="8"/>
      <c r="W4049" s="8"/>
      <c r="X4049" s="8"/>
      <c r="Y4049" s="8"/>
      <c r="Z4049" s="8"/>
      <c r="AA4049" s="8"/>
      <c r="AB4049" s="8"/>
      <c r="AC4049" s="8">
        <v>5.58</v>
      </c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  <c r="AO4049" s="8"/>
      <c r="AP4049" s="8">
        <f>1217*9.32/1000</f>
        <v>11.34244</v>
      </c>
      <c r="AQ4049" s="8"/>
      <c r="AR4049" s="8"/>
      <c r="AS4049" s="8"/>
      <c r="AT4049" s="8">
        <v>922.23</v>
      </c>
      <c r="AU4049" s="8"/>
      <c r="AV4049" s="8"/>
      <c r="AW4049" s="8"/>
      <c r="AX4049" s="8"/>
      <c r="AY4049" s="8"/>
      <c r="AZ4049" s="8"/>
      <c r="BA4049" s="8"/>
      <c r="BB4049" s="8"/>
      <c r="BC4049" s="8"/>
      <c r="BD4049" s="8"/>
      <c r="BE4049" s="8"/>
      <c r="BF4049" s="8">
        <v>97.92</v>
      </c>
      <c r="BG4049" s="8">
        <v>72.55</v>
      </c>
      <c r="BH4049" s="9">
        <f t="shared" si="567"/>
        <v>1417.3</v>
      </c>
      <c r="BI4049" s="9">
        <f t="shared" si="568"/>
        <v>4.05</v>
      </c>
      <c r="BJ4049" s="9">
        <f t="shared" si="569"/>
        <v>6.57</v>
      </c>
      <c r="BK4049" s="9">
        <f t="shared" si="570"/>
        <v>21.01</v>
      </c>
      <c r="BL4049" s="9">
        <f t="shared" si="571"/>
        <v>0</v>
      </c>
      <c r="BM4049" s="9">
        <f t="shared" si="572"/>
        <v>16.922440000000002</v>
      </c>
      <c r="BN4049" s="9">
        <f t="shared" si="573"/>
        <v>922.23</v>
      </c>
      <c r="BO4049" s="9">
        <f t="shared" si="574"/>
        <v>0</v>
      </c>
      <c r="BP4049" s="9">
        <f t="shared" si="575"/>
        <v>97.92</v>
      </c>
    </row>
    <row r="4050" spans="1:68">
      <c r="A4050" s="6">
        <v>45301</v>
      </c>
      <c r="B4050" s="7">
        <v>3221</v>
      </c>
      <c r="C4050" s="8">
        <v>609.19000000000005</v>
      </c>
      <c r="D4050" s="8">
        <v>102.09</v>
      </c>
      <c r="E4050" s="8">
        <v>304.88</v>
      </c>
      <c r="F4050" s="8"/>
      <c r="G4050" s="8"/>
      <c r="H4050" s="8"/>
      <c r="I4050" s="8"/>
      <c r="J4050" s="8"/>
      <c r="K4050" s="8"/>
      <c r="L4050" s="8"/>
      <c r="M4050" s="8"/>
      <c r="N4050" s="8"/>
      <c r="O4050" s="8">
        <v>2.04</v>
      </c>
      <c r="P4050" s="8"/>
      <c r="Q4050" s="8"/>
      <c r="R4050" s="8"/>
      <c r="S4050" s="8">
        <v>4.58</v>
      </c>
      <c r="T4050" s="8"/>
      <c r="U4050" s="8">
        <v>15.28</v>
      </c>
      <c r="V4050" s="8"/>
      <c r="W4050" s="8"/>
      <c r="X4050" s="8"/>
      <c r="Y4050" s="8"/>
      <c r="Z4050" s="8"/>
      <c r="AA4050" s="8"/>
      <c r="AB4050" s="8">
        <f>409*12.72/1000</f>
        <v>5.2024800000000004</v>
      </c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>
        <f>1226*12.72/1000</f>
        <v>15.594720000000001</v>
      </c>
      <c r="AR4050" s="8"/>
      <c r="AS4050" s="8"/>
      <c r="AT4050" s="8">
        <v>578.95000000000005</v>
      </c>
      <c r="AU4050" s="8"/>
      <c r="AV4050" s="8"/>
      <c r="AW4050" s="8">
        <v>34.619999999999997</v>
      </c>
      <c r="AX4050" s="8"/>
      <c r="AY4050" s="8"/>
      <c r="AZ4050" s="8"/>
      <c r="BA4050" s="8"/>
      <c r="BB4050" s="8"/>
      <c r="BC4050" s="8"/>
      <c r="BD4050" s="8"/>
      <c r="BE4050" s="8"/>
      <c r="BF4050" s="8">
        <v>45.79</v>
      </c>
      <c r="BG4050" s="8">
        <v>42.77</v>
      </c>
      <c r="BH4050" s="9">
        <f t="shared" si="567"/>
        <v>1016.1600000000001</v>
      </c>
      <c r="BI4050" s="9">
        <f t="shared" si="568"/>
        <v>2.04</v>
      </c>
      <c r="BJ4050" s="9">
        <f t="shared" si="569"/>
        <v>4.58</v>
      </c>
      <c r="BK4050" s="9">
        <f t="shared" si="570"/>
        <v>15.28</v>
      </c>
      <c r="BL4050" s="9">
        <f t="shared" si="571"/>
        <v>0</v>
      </c>
      <c r="BM4050" s="9">
        <f t="shared" si="572"/>
        <v>20.7972</v>
      </c>
      <c r="BN4050" s="9">
        <f t="shared" si="573"/>
        <v>578.95000000000005</v>
      </c>
      <c r="BO4050" s="9">
        <f t="shared" si="574"/>
        <v>34.619999999999997</v>
      </c>
      <c r="BP4050" s="9">
        <f t="shared" si="575"/>
        <v>45.79</v>
      </c>
    </row>
    <row r="4051" spans="1:68">
      <c r="A4051" s="6">
        <v>45301</v>
      </c>
      <c r="B4051" s="7">
        <v>3203</v>
      </c>
      <c r="C4051" s="8">
        <v>1729.71</v>
      </c>
      <c r="D4051" s="8"/>
      <c r="E4051" s="8">
        <v>740.98</v>
      </c>
      <c r="F4051" s="8"/>
      <c r="G4051" s="8"/>
      <c r="H4051" s="8"/>
      <c r="I4051" s="8"/>
      <c r="J4051" s="8"/>
      <c r="K4051" s="8"/>
      <c r="L4051" s="8"/>
      <c r="M4051" s="8"/>
      <c r="N4051" s="8"/>
      <c r="O4051" s="8">
        <v>7.45</v>
      </c>
      <c r="P4051" s="8"/>
      <c r="Q4051" s="8"/>
      <c r="R4051" s="8"/>
      <c r="S4051" s="8">
        <v>10.14</v>
      </c>
      <c r="T4051" s="8"/>
      <c r="U4051" s="8">
        <v>30.71</v>
      </c>
      <c r="V4051" s="8"/>
      <c r="W4051" s="8"/>
      <c r="X4051" s="8"/>
      <c r="Y4051" s="8"/>
      <c r="Z4051" s="8">
        <v>389.67</v>
      </c>
      <c r="AA4051" s="8">
        <f>10522*29.1/1000</f>
        <v>306.1902</v>
      </c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>
        <v>924.38</v>
      </c>
      <c r="AU4051" s="8">
        <v>462.27</v>
      </c>
      <c r="AV4051" s="8"/>
      <c r="AW4051" s="8"/>
      <c r="AX4051" s="8"/>
      <c r="AY4051" s="8"/>
      <c r="AZ4051" s="8"/>
      <c r="BA4051" s="8"/>
      <c r="BB4051" s="8"/>
      <c r="BC4051" s="8">
        <v>6.43</v>
      </c>
      <c r="BD4051" s="8"/>
      <c r="BE4051" s="8"/>
      <c r="BF4051" s="8"/>
      <c r="BG4051" s="8">
        <v>90.05</v>
      </c>
      <c r="BH4051" s="9">
        <f t="shared" si="567"/>
        <v>2470.69</v>
      </c>
      <c r="BI4051" s="9">
        <f t="shared" si="568"/>
        <v>7.45</v>
      </c>
      <c r="BJ4051" s="9">
        <f t="shared" si="569"/>
        <v>10.14</v>
      </c>
      <c r="BK4051" s="9">
        <f t="shared" si="570"/>
        <v>30.71</v>
      </c>
      <c r="BL4051" s="9">
        <f t="shared" si="571"/>
        <v>695.86020000000008</v>
      </c>
      <c r="BM4051" s="9">
        <f t="shared" si="572"/>
        <v>0</v>
      </c>
      <c r="BN4051" s="9">
        <f t="shared" si="573"/>
        <v>1386.65</v>
      </c>
      <c r="BO4051" s="9">
        <f t="shared" si="574"/>
        <v>6.43</v>
      </c>
      <c r="BP4051" s="9">
        <f t="shared" si="575"/>
        <v>0</v>
      </c>
    </row>
    <row r="4052" spans="1:68">
      <c r="A4052" s="6">
        <v>45301</v>
      </c>
      <c r="B4052" s="7">
        <v>3157</v>
      </c>
      <c r="C4052" s="8">
        <v>377.29</v>
      </c>
      <c r="D4052" s="8">
        <v>377.74</v>
      </c>
      <c r="E4052" s="8"/>
      <c r="F4052" s="8"/>
      <c r="G4052" s="8"/>
      <c r="H4052" s="8"/>
      <c r="I4052" s="8"/>
      <c r="J4052" s="8"/>
      <c r="K4052" s="8"/>
      <c r="L4052" s="8"/>
      <c r="M4052" s="8">
        <v>3.02</v>
      </c>
      <c r="N4052" s="8"/>
      <c r="O4052" s="8"/>
      <c r="P4052" s="8"/>
      <c r="Q4052" s="8"/>
      <c r="R4052" s="8"/>
      <c r="S4052" s="8">
        <v>3.78</v>
      </c>
      <c r="T4052" s="8"/>
      <c r="U4052" s="8">
        <v>12.09</v>
      </c>
      <c r="V4052" s="8"/>
      <c r="W4052" s="8"/>
      <c r="X4052" s="8"/>
      <c r="Y4052" s="8"/>
      <c r="Z4052" s="8"/>
      <c r="AA4052" s="8"/>
      <c r="AB4052" s="8"/>
      <c r="AC4052" s="8">
        <v>3.02</v>
      </c>
      <c r="AD4052" s="8"/>
      <c r="AE4052" s="8"/>
      <c r="AF4052" s="8"/>
      <c r="AG4052" s="8">
        <v>3.79</v>
      </c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>
        <v>483.65</v>
      </c>
      <c r="AU4052" s="8"/>
      <c r="AV4052" s="8"/>
      <c r="AW4052" s="8"/>
      <c r="AX4052" s="8"/>
      <c r="AY4052" s="8"/>
      <c r="AZ4052" s="8"/>
      <c r="BA4052" s="8"/>
      <c r="BB4052" s="8"/>
      <c r="BC4052" s="8"/>
      <c r="BD4052" s="8"/>
      <c r="BE4052" s="8"/>
      <c r="BF4052" s="8">
        <v>98.21</v>
      </c>
      <c r="BG4052" s="8">
        <v>39.299999999999997</v>
      </c>
      <c r="BH4052" s="9">
        <f t="shared" si="567"/>
        <v>755.03</v>
      </c>
      <c r="BI4052" s="9">
        <f t="shared" si="568"/>
        <v>3.02</v>
      </c>
      <c r="BJ4052" s="9">
        <f t="shared" si="569"/>
        <v>3.78</v>
      </c>
      <c r="BK4052" s="9">
        <f t="shared" si="570"/>
        <v>12.09</v>
      </c>
      <c r="BL4052" s="9">
        <f t="shared" si="571"/>
        <v>0</v>
      </c>
      <c r="BM4052" s="9">
        <f t="shared" si="572"/>
        <v>6.8100000000000005</v>
      </c>
      <c r="BN4052" s="9">
        <f t="shared" si="573"/>
        <v>483.65</v>
      </c>
      <c r="BO4052" s="9">
        <f t="shared" si="574"/>
        <v>0</v>
      </c>
      <c r="BP4052" s="9">
        <f t="shared" si="575"/>
        <v>98.21</v>
      </c>
    </row>
    <row r="4053" spans="1:68">
      <c r="A4053" s="6">
        <v>45301</v>
      </c>
      <c r="B4053" s="7">
        <v>3601</v>
      </c>
      <c r="C4053" s="8">
        <v>303.20999999999998</v>
      </c>
      <c r="D4053" s="8"/>
      <c r="E4053" s="8"/>
      <c r="F4053" s="8"/>
      <c r="G4053" s="8">
        <v>454.96</v>
      </c>
      <c r="H4053" s="8"/>
      <c r="I4053" s="8"/>
      <c r="J4053" s="8"/>
      <c r="K4053" s="8"/>
      <c r="L4053" s="8"/>
      <c r="M4053" s="8">
        <v>0.91</v>
      </c>
      <c r="N4053" s="8"/>
      <c r="O4053" s="8"/>
      <c r="P4053" s="8"/>
      <c r="Q4053" s="8"/>
      <c r="R4053" s="8"/>
      <c r="S4053" s="8">
        <v>3.65</v>
      </c>
      <c r="T4053" s="8"/>
      <c r="U4053" s="8">
        <v>4.5</v>
      </c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>
        <v>370.84</v>
      </c>
      <c r="AU4053" s="8"/>
      <c r="AV4053" s="8"/>
      <c r="AW4053" s="8">
        <v>23.1</v>
      </c>
      <c r="AX4053" s="8"/>
      <c r="AY4053" s="8"/>
      <c r="AZ4053" s="8"/>
      <c r="BA4053" s="8"/>
      <c r="BB4053" s="8"/>
      <c r="BC4053" s="10"/>
      <c r="BD4053" s="8"/>
      <c r="BE4053" s="8"/>
      <c r="BF4053" s="8">
        <v>42.61</v>
      </c>
      <c r="BG4053" s="8">
        <v>27.11</v>
      </c>
      <c r="BH4053" s="9">
        <f t="shared" si="567"/>
        <v>758.17</v>
      </c>
      <c r="BI4053" s="9">
        <f t="shared" si="568"/>
        <v>0.91</v>
      </c>
      <c r="BJ4053" s="9">
        <f t="shared" si="569"/>
        <v>3.65</v>
      </c>
      <c r="BK4053" s="9">
        <f t="shared" si="570"/>
        <v>4.5</v>
      </c>
      <c r="BL4053" s="9">
        <f t="shared" si="571"/>
        <v>0</v>
      </c>
      <c r="BM4053" s="9">
        <f t="shared" si="572"/>
        <v>0</v>
      </c>
      <c r="BN4053" s="9">
        <f t="shared" si="573"/>
        <v>370.84</v>
      </c>
      <c r="BO4053" s="9">
        <f t="shared" si="574"/>
        <v>23.1</v>
      </c>
      <c r="BP4053" s="9">
        <f t="shared" si="575"/>
        <v>42.61</v>
      </c>
    </row>
    <row r="4054" spans="1:68">
      <c r="A4054" s="6">
        <v>45301</v>
      </c>
      <c r="B4054" s="7">
        <v>3602</v>
      </c>
      <c r="C4054" s="8">
        <v>623.22</v>
      </c>
      <c r="D4054" s="8">
        <v>0</v>
      </c>
      <c r="E4054" s="8">
        <v>0</v>
      </c>
      <c r="F4054" s="8">
        <v>0</v>
      </c>
      <c r="G4054" s="8">
        <v>935.33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1.87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7.4799999999999995</v>
      </c>
      <c r="T4054" s="8">
        <v>0</v>
      </c>
      <c r="U4054" s="8">
        <v>12.48</v>
      </c>
      <c r="V4054" s="8">
        <v>14.443380000000001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628.72</v>
      </c>
      <c r="AU4054" s="8">
        <v>0</v>
      </c>
      <c r="AV4054" s="8">
        <v>0</v>
      </c>
      <c r="AW4054" s="8">
        <v>40.340000000000003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50.019999999999996</v>
      </c>
      <c r="BG4054" s="8">
        <v>46.980000000000004</v>
      </c>
      <c r="BH4054" s="9">
        <f t="shared" si="567"/>
        <v>1558.5500000000002</v>
      </c>
      <c r="BI4054" s="9">
        <f t="shared" si="568"/>
        <v>1.87</v>
      </c>
      <c r="BJ4054" s="9">
        <f t="shared" si="569"/>
        <v>7.4799999999999995</v>
      </c>
      <c r="BK4054" s="9">
        <f t="shared" si="570"/>
        <v>26.923380000000002</v>
      </c>
      <c r="BL4054" s="9">
        <f t="shared" si="571"/>
        <v>0</v>
      </c>
      <c r="BM4054" s="9">
        <f t="shared" si="572"/>
        <v>0</v>
      </c>
      <c r="BN4054" s="9">
        <f t="shared" si="573"/>
        <v>628.72</v>
      </c>
      <c r="BO4054" s="9">
        <f t="shared" si="574"/>
        <v>40.340000000000003</v>
      </c>
      <c r="BP4054" s="9">
        <f t="shared" si="575"/>
        <v>50.019999999999996</v>
      </c>
    </row>
    <row r="4055" spans="1:68">
      <c r="A4055" s="6">
        <v>45302</v>
      </c>
      <c r="B4055" s="7">
        <v>3309</v>
      </c>
      <c r="C4055" s="8"/>
      <c r="D4055" s="8">
        <v>1153.9000000000001</v>
      </c>
      <c r="E4055" s="8"/>
      <c r="F4055" s="8"/>
      <c r="G4055" s="8"/>
      <c r="H4055" s="8"/>
      <c r="I4055" s="8"/>
      <c r="J4055" s="8"/>
      <c r="K4055" s="8"/>
      <c r="L4055" s="8"/>
      <c r="M4055" s="8">
        <v>2.3199999999999998</v>
      </c>
      <c r="N4055" s="8"/>
      <c r="O4055" s="8"/>
      <c r="P4055" s="8"/>
      <c r="Q4055" s="8"/>
      <c r="R4055" s="8"/>
      <c r="S4055" s="8">
        <v>1.75</v>
      </c>
      <c r="T4055" s="8"/>
      <c r="U4055" s="8">
        <v>10.39</v>
      </c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>
        <v>11.56</v>
      </c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>
        <v>307.86</v>
      </c>
      <c r="AU4055" s="8">
        <v>154.59</v>
      </c>
      <c r="AV4055" s="8"/>
      <c r="AW4055" s="8"/>
      <c r="AX4055" s="8"/>
      <c r="AY4055" s="8"/>
      <c r="AZ4055" s="8"/>
      <c r="BA4055" s="8"/>
      <c r="BB4055" s="8"/>
      <c r="BC4055" s="8">
        <v>1.07</v>
      </c>
      <c r="BD4055" s="8"/>
      <c r="BE4055" s="8"/>
      <c r="BF4055" s="8"/>
      <c r="BG4055" s="8">
        <v>31.84</v>
      </c>
      <c r="BH4055" s="9">
        <f t="shared" si="567"/>
        <v>1153.9000000000001</v>
      </c>
      <c r="BI4055" s="9">
        <f t="shared" si="568"/>
        <v>2.3199999999999998</v>
      </c>
      <c r="BJ4055" s="9">
        <f t="shared" si="569"/>
        <v>1.75</v>
      </c>
      <c r="BK4055" s="9">
        <f t="shared" si="570"/>
        <v>10.39</v>
      </c>
      <c r="BL4055" s="9">
        <f t="shared" si="571"/>
        <v>0</v>
      </c>
      <c r="BM4055" s="9">
        <f t="shared" si="572"/>
        <v>11.56</v>
      </c>
      <c r="BN4055" s="9">
        <f t="shared" si="573"/>
        <v>462.45000000000005</v>
      </c>
      <c r="BO4055" s="9">
        <f t="shared" si="574"/>
        <v>1.07</v>
      </c>
      <c r="BP4055" s="9">
        <f t="shared" si="575"/>
        <v>0</v>
      </c>
    </row>
    <row r="4056" spans="1:68">
      <c r="A4056" s="6">
        <v>45302</v>
      </c>
      <c r="B4056" s="7">
        <v>3704</v>
      </c>
      <c r="C4056" s="8">
        <v>356.19</v>
      </c>
      <c r="D4056" s="8">
        <v>533.79</v>
      </c>
      <c r="E4056" s="8"/>
      <c r="F4056" s="8"/>
      <c r="G4056" s="8"/>
      <c r="H4056" s="8"/>
      <c r="I4056" s="8"/>
      <c r="J4056" s="8"/>
      <c r="K4056" s="8"/>
      <c r="L4056" s="8"/>
      <c r="M4056" s="8">
        <v>2.67</v>
      </c>
      <c r="N4056" s="8"/>
      <c r="O4056" s="8"/>
      <c r="P4056" s="8"/>
      <c r="Q4056" s="8"/>
      <c r="R4056" s="8"/>
      <c r="S4056" s="8">
        <v>3.11</v>
      </c>
      <c r="T4056" s="8"/>
      <c r="U4056" s="8">
        <v>6.56</v>
      </c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>
        <v>10.67</v>
      </c>
      <c r="AN4056" s="8"/>
      <c r="AO4056" s="8"/>
      <c r="AP4056" s="8"/>
      <c r="AQ4056" s="8"/>
      <c r="AR4056" s="8"/>
      <c r="AS4056" s="8"/>
      <c r="AT4056" s="8">
        <v>154.61000000000001</v>
      </c>
      <c r="AU4056" s="8">
        <v>77.150000000000006</v>
      </c>
      <c r="AV4056" s="8"/>
      <c r="AW4056" s="8"/>
      <c r="AX4056" s="8"/>
      <c r="AY4056" s="8"/>
      <c r="AZ4056" s="8"/>
      <c r="BA4056" s="8"/>
      <c r="BB4056" s="8"/>
      <c r="BC4056" s="8"/>
      <c r="BD4056" s="8"/>
      <c r="BE4056" s="8"/>
      <c r="BF4056" s="8"/>
      <c r="BG4056" s="8">
        <v>14.23</v>
      </c>
      <c r="BH4056" s="9">
        <f t="shared" si="567"/>
        <v>889.98</v>
      </c>
      <c r="BI4056" s="9">
        <f t="shared" si="568"/>
        <v>2.67</v>
      </c>
      <c r="BJ4056" s="9">
        <f t="shared" si="569"/>
        <v>3.11</v>
      </c>
      <c r="BK4056" s="9">
        <f t="shared" si="570"/>
        <v>6.56</v>
      </c>
      <c r="BL4056" s="9">
        <f t="shared" si="571"/>
        <v>0</v>
      </c>
      <c r="BM4056" s="9">
        <f t="shared" si="572"/>
        <v>10.67</v>
      </c>
      <c r="BN4056" s="9">
        <f t="shared" si="573"/>
        <v>231.76000000000002</v>
      </c>
      <c r="BO4056" s="9">
        <f t="shared" si="574"/>
        <v>0</v>
      </c>
      <c r="BP4056" s="9">
        <f t="shared" si="575"/>
        <v>0</v>
      </c>
    </row>
    <row r="4057" spans="1:68">
      <c r="A4057" s="6">
        <v>45302</v>
      </c>
      <c r="B4057" s="7">
        <v>3705</v>
      </c>
      <c r="C4057" s="8"/>
      <c r="D4057" s="8">
        <v>350.38</v>
      </c>
      <c r="E4057" s="8"/>
      <c r="F4057" s="8"/>
      <c r="G4057" s="8"/>
      <c r="H4057" s="8"/>
      <c r="I4057" s="8">
        <v>77.11</v>
      </c>
      <c r="J4057" s="8"/>
      <c r="K4057" s="8"/>
      <c r="L4057" s="8"/>
      <c r="M4057" s="8">
        <v>1.28</v>
      </c>
      <c r="N4057" s="8"/>
      <c r="O4057" s="8"/>
      <c r="P4057" s="8"/>
      <c r="Q4057" s="8"/>
      <c r="R4057" s="8"/>
      <c r="S4057" s="8">
        <v>1.5</v>
      </c>
      <c r="T4057" s="8"/>
      <c r="U4057" s="8">
        <v>2.99</v>
      </c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>
        <v>25.66</v>
      </c>
      <c r="AU4057" s="8">
        <v>50.9</v>
      </c>
      <c r="AV4057" s="8">
        <v>0.85</v>
      </c>
      <c r="AW4057" s="8"/>
      <c r="AX4057" s="8"/>
      <c r="AY4057" s="8"/>
      <c r="AZ4057" s="8"/>
      <c r="BA4057" s="8"/>
      <c r="BB4057" s="8"/>
      <c r="BC4057" s="8"/>
      <c r="BD4057" s="8"/>
      <c r="BE4057" s="8"/>
      <c r="BF4057" s="8"/>
      <c r="BG4057" s="8">
        <v>4.1900000000000004</v>
      </c>
      <c r="BH4057" s="9">
        <f t="shared" si="567"/>
        <v>427.49</v>
      </c>
      <c r="BI4057" s="9">
        <f t="shared" si="568"/>
        <v>1.28</v>
      </c>
      <c r="BJ4057" s="9">
        <f t="shared" si="569"/>
        <v>1.5</v>
      </c>
      <c r="BK4057" s="9">
        <f t="shared" si="570"/>
        <v>2.99</v>
      </c>
      <c r="BL4057" s="9">
        <f t="shared" si="571"/>
        <v>0</v>
      </c>
      <c r="BM4057" s="9">
        <f t="shared" si="572"/>
        <v>0</v>
      </c>
      <c r="BN4057" s="9">
        <f t="shared" si="573"/>
        <v>76.56</v>
      </c>
      <c r="BO4057" s="9">
        <f t="shared" si="574"/>
        <v>0.85</v>
      </c>
      <c r="BP4057" s="9">
        <f t="shared" si="575"/>
        <v>0</v>
      </c>
    </row>
    <row r="4058" spans="1:68">
      <c r="A4058" s="6">
        <v>45302</v>
      </c>
      <c r="B4058" s="7">
        <v>3141</v>
      </c>
      <c r="C4058" s="8">
        <v>1224.1099999999999</v>
      </c>
      <c r="D4058" s="8">
        <v>216.09</v>
      </c>
      <c r="E4058" s="8"/>
      <c r="F4058" s="8"/>
      <c r="G4058" s="8"/>
      <c r="H4058" s="8"/>
      <c r="I4058" s="8"/>
      <c r="J4058" s="8"/>
      <c r="K4058" s="8"/>
      <c r="L4058" s="8"/>
      <c r="M4058" s="8">
        <v>4.08</v>
      </c>
      <c r="N4058" s="8"/>
      <c r="O4058" s="8"/>
      <c r="P4058" s="8"/>
      <c r="Q4058" s="8"/>
      <c r="R4058" s="8"/>
      <c r="S4058" s="8">
        <v>6.78</v>
      </c>
      <c r="T4058" s="8"/>
      <c r="U4058" s="8">
        <v>21.62</v>
      </c>
      <c r="V4058" s="8"/>
      <c r="W4058" s="8"/>
      <c r="X4058" s="8"/>
      <c r="Y4058" s="8"/>
      <c r="Z4058" s="8"/>
      <c r="AA4058" s="8"/>
      <c r="AB4058" s="8"/>
      <c r="AC4058" s="8">
        <v>5.75</v>
      </c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>
        <v>955.79</v>
      </c>
      <c r="AU4058" s="8"/>
      <c r="AV4058" s="8"/>
      <c r="AW4058" s="8"/>
      <c r="AX4058" s="8"/>
      <c r="AY4058" s="8"/>
      <c r="AZ4058" s="8"/>
      <c r="BA4058" s="8">
        <v>33.04</v>
      </c>
      <c r="BB4058" s="8"/>
      <c r="BC4058" s="8"/>
      <c r="BD4058" s="8"/>
      <c r="BE4058" s="8"/>
      <c r="BF4058" s="8">
        <v>100.91</v>
      </c>
      <c r="BG4058" s="8">
        <v>74.790000000000006</v>
      </c>
      <c r="BH4058" s="9">
        <f t="shared" si="567"/>
        <v>1440.1999999999998</v>
      </c>
      <c r="BI4058" s="9">
        <f t="shared" si="568"/>
        <v>4.08</v>
      </c>
      <c r="BJ4058" s="9">
        <f t="shared" si="569"/>
        <v>6.78</v>
      </c>
      <c r="BK4058" s="9">
        <f t="shared" si="570"/>
        <v>21.62</v>
      </c>
      <c r="BL4058" s="9">
        <f t="shared" si="571"/>
        <v>0</v>
      </c>
      <c r="BM4058" s="9">
        <f t="shared" si="572"/>
        <v>5.75</v>
      </c>
      <c r="BN4058" s="9">
        <f t="shared" si="573"/>
        <v>955.79</v>
      </c>
      <c r="BO4058" s="9">
        <f t="shared" si="574"/>
        <v>33.04</v>
      </c>
      <c r="BP4058" s="9">
        <f t="shared" si="575"/>
        <v>100.91</v>
      </c>
    </row>
    <row r="4059" spans="1:68">
      <c r="A4059" s="6">
        <v>45302</v>
      </c>
      <c r="B4059" s="7">
        <v>3106</v>
      </c>
      <c r="C4059" s="8">
        <v>6098.64</v>
      </c>
      <c r="D4059" s="8"/>
      <c r="E4059" s="8"/>
      <c r="F4059" s="8"/>
      <c r="G4059" s="8"/>
      <c r="H4059" s="8"/>
      <c r="I4059" s="8"/>
      <c r="J4059" s="8"/>
      <c r="K4059" s="8"/>
      <c r="L4059" s="8"/>
      <c r="M4059" s="8">
        <v>15.88</v>
      </c>
      <c r="N4059" s="8"/>
      <c r="O4059" s="8"/>
      <c r="P4059" s="8"/>
      <c r="Q4059" s="8"/>
      <c r="R4059" s="8"/>
      <c r="S4059" s="8">
        <v>18.34</v>
      </c>
      <c r="T4059" s="8"/>
      <c r="U4059" s="8">
        <v>77.55</v>
      </c>
      <c r="V4059" s="8"/>
      <c r="W4059" s="8"/>
      <c r="X4059" s="8"/>
      <c r="Y4059" s="8"/>
      <c r="Z4059" s="8"/>
      <c r="AA4059" s="8"/>
      <c r="AB4059" s="8"/>
      <c r="AC4059" s="8">
        <v>15.25</v>
      </c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>
        <v>3478.51</v>
      </c>
      <c r="AU4059" s="8"/>
      <c r="AV4059" s="8"/>
      <c r="AW4059" s="8"/>
      <c r="AX4059" s="8">
        <v>7.63</v>
      </c>
      <c r="AY4059" s="8"/>
      <c r="AZ4059" s="8"/>
      <c r="BA4059" s="8"/>
      <c r="BB4059" s="8"/>
      <c r="BC4059" s="8"/>
      <c r="BD4059" s="8"/>
      <c r="BE4059" s="8"/>
      <c r="BF4059" s="8"/>
      <c r="BG4059" s="8">
        <v>262.61</v>
      </c>
      <c r="BH4059" s="9">
        <f t="shared" si="567"/>
        <v>6098.64</v>
      </c>
      <c r="BI4059" s="9">
        <f t="shared" si="568"/>
        <v>15.88</v>
      </c>
      <c r="BJ4059" s="9">
        <f t="shared" si="569"/>
        <v>18.34</v>
      </c>
      <c r="BK4059" s="9">
        <f t="shared" si="570"/>
        <v>77.55</v>
      </c>
      <c r="BL4059" s="9">
        <f t="shared" si="571"/>
        <v>0</v>
      </c>
      <c r="BM4059" s="9">
        <f t="shared" si="572"/>
        <v>15.25</v>
      </c>
      <c r="BN4059" s="9">
        <f t="shared" si="573"/>
        <v>3478.51</v>
      </c>
      <c r="BO4059" s="9">
        <f t="shared" si="574"/>
        <v>7.63</v>
      </c>
      <c r="BP4059" s="9">
        <f t="shared" si="575"/>
        <v>0</v>
      </c>
    </row>
    <row r="4060" spans="1:68">
      <c r="A4060" s="6">
        <v>45302</v>
      </c>
      <c r="B4060" s="7">
        <v>3083</v>
      </c>
      <c r="C4060" s="8"/>
      <c r="D4060" s="8">
        <v>738.4</v>
      </c>
      <c r="E4060" s="8"/>
      <c r="F4060" s="8"/>
      <c r="G4060" s="8"/>
      <c r="H4060" s="8"/>
      <c r="I4060" s="8">
        <v>1719.07</v>
      </c>
      <c r="J4060" s="8"/>
      <c r="K4060" s="8"/>
      <c r="L4060" s="8"/>
      <c r="M4060" s="8"/>
      <c r="N4060" s="8">
        <v>15.95</v>
      </c>
      <c r="O4060" s="8"/>
      <c r="P4060" s="8"/>
      <c r="Q4060" s="8"/>
      <c r="R4060" s="8"/>
      <c r="S4060" s="8">
        <v>1.72</v>
      </c>
      <c r="T4060" s="8"/>
      <c r="U4060" s="8"/>
      <c r="V4060" s="8"/>
      <c r="W4060" s="8">
        <v>19.64</v>
      </c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>
        <v>9.7799999999999994</v>
      </c>
      <c r="AN4060" s="8">
        <f>1931*18.18/1000</f>
        <v>35.105580000000003</v>
      </c>
      <c r="AO4060" s="8"/>
      <c r="AP4060" s="8"/>
      <c r="AQ4060" s="8"/>
      <c r="AR4060" s="8">
        <f>3465*18.18/1000</f>
        <v>62.993699999999997</v>
      </c>
      <c r="AS4060" s="8"/>
      <c r="AT4060" s="8">
        <v>1156.9000000000001</v>
      </c>
      <c r="AU4060" s="8"/>
      <c r="AV4060" s="8"/>
      <c r="AW4060" s="8"/>
      <c r="AX4060" s="8"/>
      <c r="AY4060" s="8"/>
      <c r="AZ4060" s="8"/>
      <c r="BA4060" s="8"/>
      <c r="BB4060" s="8"/>
      <c r="BC4060" s="8"/>
      <c r="BD4060" s="8"/>
      <c r="BE4060" s="8"/>
      <c r="BF4060" s="8"/>
      <c r="BG4060" s="8">
        <v>91.57</v>
      </c>
      <c r="BH4060" s="9">
        <f t="shared" si="567"/>
        <v>2457.4699999999998</v>
      </c>
      <c r="BI4060" s="9">
        <f t="shared" si="568"/>
        <v>15.95</v>
      </c>
      <c r="BJ4060" s="9">
        <f t="shared" si="569"/>
        <v>1.72</v>
      </c>
      <c r="BK4060" s="9">
        <f t="shared" si="570"/>
        <v>19.64</v>
      </c>
      <c r="BL4060" s="9">
        <f t="shared" si="571"/>
        <v>0</v>
      </c>
      <c r="BM4060" s="9">
        <f t="shared" si="572"/>
        <v>107.87927999999999</v>
      </c>
      <c r="BN4060" s="9">
        <f t="shared" si="573"/>
        <v>1156.9000000000001</v>
      </c>
      <c r="BO4060" s="9">
        <f t="shared" si="574"/>
        <v>0</v>
      </c>
      <c r="BP4060" s="9">
        <f t="shared" si="575"/>
        <v>0</v>
      </c>
    </row>
    <row r="4061" spans="1:68">
      <c r="A4061" s="6">
        <v>45302</v>
      </c>
      <c r="B4061" s="7">
        <v>3016</v>
      </c>
      <c r="C4061" s="8"/>
      <c r="D4061" s="8">
        <v>1614.37</v>
      </c>
      <c r="E4061" s="8"/>
      <c r="F4061" s="8"/>
      <c r="G4061" s="8"/>
      <c r="H4061" s="8"/>
      <c r="I4061" s="8">
        <v>1489.72</v>
      </c>
      <c r="J4061" s="8"/>
      <c r="K4061" s="8"/>
      <c r="L4061" s="8"/>
      <c r="M4061" s="8"/>
      <c r="N4061" s="8">
        <v>19.559999999999999</v>
      </c>
      <c r="O4061" s="8"/>
      <c r="P4061" s="8"/>
      <c r="Q4061" s="8"/>
      <c r="R4061" s="8"/>
      <c r="S4061" s="8">
        <v>2.17</v>
      </c>
      <c r="T4061" s="8"/>
      <c r="U4061" s="8"/>
      <c r="V4061" s="8"/>
      <c r="W4061" s="8">
        <v>31.07</v>
      </c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>
        <v>12.39</v>
      </c>
      <c r="AN4061" s="8">
        <f>2066*18.27/1000</f>
        <v>37.745820000000002</v>
      </c>
      <c r="AO4061" s="8"/>
      <c r="AP4061" s="8"/>
      <c r="AQ4061" s="8"/>
      <c r="AR4061" s="8">
        <f>4271*18.27/1000</f>
        <v>78.031170000000003</v>
      </c>
      <c r="AS4061" s="8"/>
      <c r="AT4061" s="8">
        <v>1154.4000000000001</v>
      </c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  <c r="BF4061" s="8"/>
      <c r="BG4061" s="8">
        <v>84.29</v>
      </c>
      <c r="BH4061" s="9">
        <f t="shared" si="567"/>
        <v>3104.09</v>
      </c>
      <c r="BI4061" s="9">
        <f t="shared" si="568"/>
        <v>19.559999999999999</v>
      </c>
      <c r="BJ4061" s="9">
        <f t="shared" si="569"/>
        <v>2.17</v>
      </c>
      <c r="BK4061" s="9">
        <f t="shared" si="570"/>
        <v>31.07</v>
      </c>
      <c r="BL4061" s="9">
        <f t="shared" si="571"/>
        <v>0</v>
      </c>
      <c r="BM4061" s="9">
        <f t="shared" si="572"/>
        <v>128.16699</v>
      </c>
      <c r="BN4061" s="9">
        <f t="shared" si="573"/>
        <v>1154.4000000000001</v>
      </c>
      <c r="BO4061" s="9">
        <f t="shared" si="574"/>
        <v>0</v>
      </c>
      <c r="BP4061" s="9">
        <f t="shared" si="575"/>
        <v>0</v>
      </c>
    </row>
    <row r="4062" spans="1:68">
      <c r="A4062" s="6">
        <v>45302</v>
      </c>
      <c r="B4062" s="7">
        <v>3079</v>
      </c>
      <c r="C4062" s="8"/>
      <c r="D4062" s="8"/>
      <c r="E4062" s="8"/>
      <c r="F4062" s="8">
        <v>178.84</v>
      </c>
      <c r="G4062" s="8"/>
      <c r="H4062" s="8"/>
      <c r="I4062" s="8">
        <v>1445.22</v>
      </c>
      <c r="J4062" s="8"/>
      <c r="K4062" s="8"/>
      <c r="L4062" s="8"/>
      <c r="M4062" s="8"/>
      <c r="N4062" s="8">
        <v>11.85</v>
      </c>
      <c r="O4062" s="8"/>
      <c r="P4062" s="8"/>
      <c r="Q4062" s="8"/>
      <c r="R4062" s="8"/>
      <c r="S4062" s="8">
        <v>0.65</v>
      </c>
      <c r="T4062" s="8"/>
      <c r="U4062" s="8"/>
      <c r="V4062" s="8"/>
      <c r="W4062" s="8">
        <v>16.2</v>
      </c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>
        <v>6.52</v>
      </c>
      <c r="AN4062" s="8">
        <f>1724*9.57/1000</f>
        <v>16.49868</v>
      </c>
      <c r="AO4062" s="8"/>
      <c r="AP4062" s="8"/>
      <c r="AQ4062" s="8"/>
      <c r="AR4062" s="8">
        <f>4271*9.57/1000</f>
        <v>40.873470000000005</v>
      </c>
      <c r="AS4062" s="8"/>
      <c r="AT4062" s="8">
        <v>628.64</v>
      </c>
      <c r="AU4062" s="8"/>
      <c r="AV4062" s="8"/>
      <c r="AW4062" s="8"/>
      <c r="AX4062" s="8"/>
      <c r="AY4062" s="8"/>
      <c r="AZ4062" s="8"/>
      <c r="BA4062" s="8"/>
      <c r="BB4062" s="8"/>
      <c r="BC4062" s="8"/>
      <c r="BD4062" s="8"/>
      <c r="BE4062" s="8"/>
      <c r="BF4062" s="8"/>
      <c r="BG4062" s="8">
        <v>45.44</v>
      </c>
      <c r="BH4062" s="9">
        <f t="shared" si="567"/>
        <v>1624.06</v>
      </c>
      <c r="BI4062" s="9">
        <f t="shared" si="568"/>
        <v>11.85</v>
      </c>
      <c r="BJ4062" s="9">
        <f t="shared" si="569"/>
        <v>0.65</v>
      </c>
      <c r="BK4062" s="9">
        <f t="shared" si="570"/>
        <v>16.2</v>
      </c>
      <c r="BL4062" s="9">
        <f t="shared" si="571"/>
        <v>0</v>
      </c>
      <c r="BM4062" s="9">
        <f t="shared" si="572"/>
        <v>63.892150000000001</v>
      </c>
      <c r="BN4062" s="9">
        <f t="shared" si="573"/>
        <v>628.64</v>
      </c>
      <c r="BO4062" s="9">
        <f t="shared" si="574"/>
        <v>0</v>
      </c>
      <c r="BP4062" s="9">
        <f t="shared" si="575"/>
        <v>0</v>
      </c>
    </row>
    <row r="4063" spans="1:68">
      <c r="A4063" s="6">
        <v>45302</v>
      </c>
      <c r="B4063" s="7">
        <v>3020</v>
      </c>
      <c r="C4063" s="8"/>
      <c r="D4063" s="8">
        <v>322.8</v>
      </c>
      <c r="E4063" s="8"/>
      <c r="F4063" s="8"/>
      <c r="G4063" s="8"/>
      <c r="H4063" s="8"/>
      <c r="I4063" s="8">
        <v>1826.54</v>
      </c>
      <c r="J4063" s="8"/>
      <c r="K4063" s="8"/>
      <c r="L4063" s="8"/>
      <c r="M4063" s="8"/>
      <c r="N4063" s="8">
        <v>13.11</v>
      </c>
      <c r="O4063" s="8"/>
      <c r="P4063" s="8"/>
      <c r="Q4063" s="8"/>
      <c r="R4063" s="8"/>
      <c r="S4063" s="8">
        <v>3.86</v>
      </c>
      <c r="T4063" s="8"/>
      <c r="U4063" s="8"/>
      <c r="V4063" s="8"/>
      <c r="W4063" s="8">
        <v>21.51</v>
      </c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>
        <v>21.42</v>
      </c>
      <c r="AN4063" s="8"/>
      <c r="AO4063" s="8"/>
      <c r="AP4063" s="8"/>
      <c r="AQ4063" s="8"/>
      <c r="AR4063" s="8"/>
      <c r="AS4063" s="8">
        <f>3058*17.92/1000</f>
        <v>54.799360000000007</v>
      </c>
      <c r="AT4063" s="8">
        <v>1057.3699999999999</v>
      </c>
      <c r="AU4063" s="8"/>
      <c r="AV4063" s="8"/>
      <c r="AW4063" s="8"/>
      <c r="AX4063" s="8"/>
      <c r="AY4063" s="8"/>
      <c r="AZ4063" s="8"/>
      <c r="BA4063" s="8"/>
      <c r="BB4063" s="8"/>
      <c r="BC4063" s="8"/>
      <c r="BD4063" s="8"/>
      <c r="BE4063" s="8"/>
      <c r="BF4063" s="8"/>
      <c r="BG4063" s="8">
        <v>77.260000000000005</v>
      </c>
      <c r="BH4063" s="9">
        <f t="shared" si="567"/>
        <v>2149.34</v>
      </c>
      <c r="BI4063" s="9">
        <f t="shared" si="568"/>
        <v>13.11</v>
      </c>
      <c r="BJ4063" s="9">
        <f t="shared" si="569"/>
        <v>3.86</v>
      </c>
      <c r="BK4063" s="9">
        <f t="shared" si="570"/>
        <v>21.51</v>
      </c>
      <c r="BL4063" s="9">
        <f t="shared" si="571"/>
        <v>0</v>
      </c>
      <c r="BM4063" s="9">
        <f t="shared" si="572"/>
        <v>76.219360000000009</v>
      </c>
      <c r="BN4063" s="9">
        <f t="shared" si="573"/>
        <v>1057.3699999999999</v>
      </c>
      <c r="BO4063" s="9">
        <f t="shared" si="574"/>
        <v>0</v>
      </c>
      <c r="BP4063" s="9">
        <f t="shared" si="575"/>
        <v>0</v>
      </c>
    </row>
    <row r="4064" spans="1:68">
      <c r="A4064" s="6">
        <v>45303</v>
      </c>
      <c r="B4064" s="7">
        <v>3406</v>
      </c>
      <c r="C4064" s="8">
        <v>462.03</v>
      </c>
      <c r="D4064" s="8">
        <v>115.46</v>
      </c>
      <c r="E4064" s="8"/>
      <c r="F4064" s="8"/>
      <c r="G4064" s="8"/>
      <c r="H4064" s="8"/>
      <c r="I4064" s="8"/>
      <c r="J4064" s="8"/>
      <c r="K4064" s="8"/>
      <c r="L4064" s="8"/>
      <c r="M4064" s="8">
        <v>1.33</v>
      </c>
      <c r="N4064" s="8"/>
      <c r="O4064" s="8"/>
      <c r="P4064" s="8"/>
      <c r="Q4064" s="8"/>
      <c r="R4064" s="8"/>
      <c r="S4064" s="8">
        <v>1.33</v>
      </c>
      <c r="T4064" s="8"/>
      <c r="U4064" s="8"/>
      <c r="V4064" s="8"/>
      <c r="W4064" s="8"/>
      <c r="X4064" s="8">
        <f>1211*5.78/1000</f>
        <v>6.9995799999999999</v>
      </c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>
        <v>290.54000000000002</v>
      </c>
      <c r="AU4064" s="8"/>
      <c r="AV4064" s="8">
        <v>17.32</v>
      </c>
      <c r="AW4064" s="8"/>
      <c r="AX4064" s="8"/>
      <c r="AY4064" s="8"/>
      <c r="AZ4064" s="8"/>
      <c r="BA4064" s="8"/>
      <c r="BB4064" s="8"/>
      <c r="BC4064" s="8"/>
      <c r="BD4064" s="8"/>
      <c r="BE4064" s="8"/>
      <c r="BF4064" s="8"/>
      <c r="BG4064" s="8">
        <v>19.739999999999998</v>
      </c>
      <c r="BH4064" s="9">
        <f t="shared" si="567"/>
        <v>577.49</v>
      </c>
      <c r="BI4064" s="9">
        <f t="shared" si="568"/>
        <v>1.33</v>
      </c>
      <c r="BJ4064" s="9">
        <f t="shared" si="569"/>
        <v>1.33</v>
      </c>
      <c r="BK4064" s="9">
        <f t="shared" si="570"/>
        <v>6.9995799999999999</v>
      </c>
      <c r="BL4064" s="9">
        <f t="shared" si="571"/>
        <v>0</v>
      </c>
      <c r="BM4064" s="9">
        <f t="shared" si="572"/>
        <v>0</v>
      </c>
      <c r="BN4064" s="9">
        <f t="shared" si="573"/>
        <v>290.54000000000002</v>
      </c>
      <c r="BO4064" s="9">
        <f t="shared" si="574"/>
        <v>17.32</v>
      </c>
      <c r="BP4064" s="9">
        <f t="shared" si="575"/>
        <v>0</v>
      </c>
    </row>
    <row r="4065" spans="1:68">
      <c r="A4065" s="6">
        <v>45303</v>
      </c>
      <c r="B4065" s="7">
        <v>3204</v>
      </c>
      <c r="C4065" s="8"/>
      <c r="D4065" s="8">
        <v>680.09</v>
      </c>
      <c r="E4065" s="8">
        <v>290.94</v>
      </c>
      <c r="F4065" s="8"/>
      <c r="G4065" s="8"/>
      <c r="H4065" s="8"/>
      <c r="I4065" s="8"/>
      <c r="J4065" s="8"/>
      <c r="K4065" s="8"/>
      <c r="L4065" s="8"/>
      <c r="M4065" s="8"/>
      <c r="N4065" s="8"/>
      <c r="O4065" s="8">
        <v>4.8600000000000003</v>
      </c>
      <c r="P4065" s="8"/>
      <c r="Q4065" s="8"/>
      <c r="R4065" s="8"/>
      <c r="S4065" s="8">
        <v>3.3</v>
      </c>
      <c r="T4065" s="8"/>
      <c r="U4065" s="8">
        <v>10.68</v>
      </c>
      <c r="V4065" s="8"/>
      <c r="W4065" s="8"/>
      <c r="X4065" s="8"/>
      <c r="Y4065" s="8"/>
      <c r="Z4065" s="8">
        <v>145.72999999999999</v>
      </c>
      <c r="AA4065" s="8"/>
      <c r="AB4065" s="8">
        <f>719*6.93/1000</f>
        <v>4.9826699999999997</v>
      </c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>
        <v>427.94</v>
      </c>
      <c r="AU4065" s="8"/>
      <c r="AV4065" s="8"/>
      <c r="AW4065" s="8">
        <v>3.09</v>
      </c>
      <c r="AX4065" s="8"/>
      <c r="AY4065" s="8"/>
      <c r="AZ4065" s="8"/>
      <c r="BA4065" s="8"/>
      <c r="BB4065" s="8"/>
      <c r="BC4065" s="8"/>
      <c r="BD4065" s="8"/>
      <c r="BE4065" s="8"/>
      <c r="BF4065" s="8"/>
      <c r="BG4065" s="8">
        <v>31.56</v>
      </c>
      <c r="BH4065" s="9">
        <f t="shared" si="567"/>
        <v>971.03</v>
      </c>
      <c r="BI4065" s="9">
        <f t="shared" si="568"/>
        <v>4.8600000000000003</v>
      </c>
      <c r="BJ4065" s="9">
        <f t="shared" si="569"/>
        <v>3.3</v>
      </c>
      <c r="BK4065" s="9">
        <f t="shared" si="570"/>
        <v>10.68</v>
      </c>
      <c r="BL4065" s="9">
        <f t="shared" si="571"/>
        <v>145.72999999999999</v>
      </c>
      <c r="BM4065" s="9">
        <f t="shared" si="572"/>
        <v>4.9826699999999997</v>
      </c>
      <c r="BN4065" s="9">
        <f t="shared" si="573"/>
        <v>427.94</v>
      </c>
      <c r="BO4065" s="9">
        <f t="shared" si="574"/>
        <v>3.09</v>
      </c>
      <c r="BP4065" s="9">
        <f t="shared" si="575"/>
        <v>0</v>
      </c>
    </row>
    <row r="4066" spans="1:68">
      <c r="A4066" s="6">
        <v>45303</v>
      </c>
      <c r="B4066" s="7">
        <v>3204</v>
      </c>
      <c r="C4066" s="8"/>
      <c r="D4066" s="8">
        <v>1000.33</v>
      </c>
      <c r="E4066" s="8">
        <v>428.18</v>
      </c>
      <c r="F4066" s="8"/>
      <c r="G4066" s="8"/>
      <c r="H4066" s="8"/>
      <c r="I4066" s="8"/>
      <c r="J4066" s="8"/>
      <c r="K4066" s="8"/>
      <c r="L4066" s="8"/>
      <c r="M4066" s="8"/>
      <c r="N4066" s="8"/>
      <c r="O4066" s="8">
        <v>7.15</v>
      </c>
      <c r="P4066" s="8"/>
      <c r="Q4066" s="8"/>
      <c r="R4066" s="8"/>
      <c r="S4066" s="8">
        <v>4.8499999999999996</v>
      </c>
      <c r="T4066" s="8"/>
      <c r="U4066" s="8">
        <v>15.71</v>
      </c>
      <c r="V4066" s="8"/>
      <c r="W4066" s="8"/>
      <c r="X4066" s="8"/>
      <c r="Y4066" s="8"/>
      <c r="Z4066" s="8">
        <v>214.44</v>
      </c>
      <c r="AA4066" s="8"/>
      <c r="AB4066" s="8">
        <f>719*10.2/1000</f>
        <v>7.3337999999999992</v>
      </c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>
        <v>627.65</v>
      </c>
      <c r="AU4066" s="8"/>
      <c r="AV4066" s="8"/>
      <c r="AW4066" s="8">
        <v>4.59</v>
      </c>
      <c r="AX4066" s="8"/>
      <c r="AY4066" s="8"/>
      <c r="AZ4066" s="8"/>
      <c r="BA4066" s="8"/>
      <c r="BB4066" s="8"/>
      <c r="BC4066" s="8"/>
      <c r="BD4066" s="8"/>
      <c r="BE4066" s="8"/>
      <c r="BF4066" s="8"/>
      <c r="BG4066" s="8">
        <v>46.47</v>
      </c>
      <c r="BH4066" s="9">
        <f t="shared" si="567"/>
        <v>1428.51</v>
      </c>
      <c r="BI4066" s="9">
        <f t="shared" si="568"/>
        <v>7.15</v>
      </c>
      <c r="BJ4066" s="9">
        <f t="shared" si="569"/>
        <v>4.8499999999999996</v>
      </c>
      <c r="BK4066" s="9">
        <f t="shared" si="570"/>
        <v>15.71</v>
      </c>
      <c r="BL4066" s="9">
        <f t="shared" si="571"/>
        <v>214.44</v>
      </c>
      <c r="BM4066" s="9">
        <f t="shared" si="572"/>
        <v>7.3337999999999992</v>
      </c>
      <c r="BN4066" s="9">
        <f t="shared" si="573"/>
        <v>627.65</v>
      </c>
      <c r="BO4066" s="9">
        <f t="shared" si="574"/>
        <v>4.59</v>
      </c>
      <c r="BP4066" s="9">
        <f t="shared" si="575"/>
        <v>0</v>
      </c>
    </row>
    <row r="4067" spans="1:68">
      <c r="A4067" s="6">
        <v>45303</v>
      </c>
      <c r="B4067" s="7">
        <v>3027</v>
      </c>
      <c r="C4067" s="8"/>
      <c r="D4067" s="8">
        <v>979.83</v>
      </c>
      <c r="E4067" s="8"/>
      <c r="F4067" s="8"/>
      <c r="G4067" s="8"/>
      <c r="H4067" s="8"/>
      <c r="I4067" s="8">
        <v>801.07</v>
      </c>
      <c r="J4067" s="8"/>
      <c r="K4067" s="8"/>
      <c r="L4067" s="8"/>
      <c r="M4067" s="8"/>
      <c r="N4067" s="8">
        <v>10.15</v>
      </c>
      <c r="O4067" s="8"/>
      <c r="P4067" s="8"/>
      <c r="Q4067" s="8"/>
      <c r="R4067" s="8"/>
      <c r="S4067" s="8">
        <v>2.85</v>
      </c>
      <c r="T4067" s="8"/>
      <c r="U4067" s="8"/>
      <c r="V4067" s="8"/>
      <c r="W4067" s="8">
        <v>13.37</v>
      </c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>
        <v>17.809999999999999</v>
      </c>
      <c r="AN4067" s="8">
        <f>1236*10.17/1000</f>
        <v>12.570120000000001</v>
      </c>
      <c r="AO4067" s="8"/>
      <c r="AP4067" s="8"/>
      <c r="AQ4067" s="8"/>
      <c r="AR4067" s="8"/>
      <c r="AS4067" s="8">
        <f>5798*10.17/1000</f>
        <v>58.96566</v>
      </c>
      <c r="AT4067" s="8">
        <v>593.35</v>
      </c>
      <c r="AU4067" s="8"/>
      <c r="AV4067" s="8"/>
      <c r="AW4067" s="8"/>
      <c r="AX4067" s="8"/>
      <c r="AY4067" s="8"/>
      <c r="AZ4067" s="8"/>
      <c r="BA4067" s="8"/>
      <c r="BB4067" s="8"/>
      <c r="BC4067" s="8"/>
      <c r="BD4067" s="8"/>
      <c r="BE4067" s="8"/>
      <c r="BF4067" s="8"/>
      <c r="BG4067" s="8">
        <v>41.76</v>
      </c>
      <c r="BH4067" s="9">
        <f t="shared" si="567"/>
        <v>1780.9</v>
      </c>
      <c r="BI4067" s="9">
        <f t="shared" si="568"/>
        <v>10.15</v>
      </c>
      <c r="BJ4067" s="9">
        <f t="shared" si="569"/>
        <v>2.85</v>
      </c>
      <c r="BK4067" s="9">
        <f t="shared" si="570"/>
        <v>13.37</v>
      </c>
      <c r="BL4067" s="9">
        <f t="shared" si="571"/>
        <v>0</v>
      </c>
      <c r="BM4067" s="9">
        <f t="shared" si="572"/>
        <v>89.345779999999991</v>
      </c>
      <c r="BN4067" s="9">
        <f t="shared" si="573"/>
        <v>593.35</v>
      </c>
      <c r="BO4067" s="9">
        <f t="shared" si="574"/>
        <v>0</v>
      </c>
      <c r="BP4067" s="9">
        <f t="shared" si="575"/>
        <v>0</v>
      </c>
    </row>
    <row r="4068" spans="1:68">
      <c r="A4068" s="6">
        <v>45303</v>
      </c>
      <c r="B4068" s="7">
        <v>3028</v>
      </c>
      <c r="C4068" s="8"/>
      <c r="D4068" s="8">
        <v>392.34</v>
      </c>
      <c r="E4068" s="8"/>
      <c r="F4068" s="8">
        <v>359.57</v>
      </c>
      <c r="G4068" s="8"/>
      <c r="H4068" s="8"/>
      <c r="I4068" s="8">
        <v>812.36</v>
      </c>
      <c r="J4068" s="8"/>
      <c r="K4068" s="8"/>
      <c r="L4068" s="8"/>
      <c r="M4068" s="8"/>
      <c r="N4068" s="8">
        <v>12.02</v>
      </c>
      <c r="O4068" s="8"/>
      <c r="P4068" s="8"/>
      <c r="Q4068" s="8"/>
      <c r="R4068" s="8"/>
      <c r="S4068" s="8">
        <v>2.19</v>
      </c>
      <c r="T4068" s="8"/>
      <c r="U4068" s="8"/>
      <c r="V4068" s="8"/>
      <c r="W4068" s="8">
        <v>11.72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>
        <v>15.62</v>
      </c>
      <c r="AN4068" s="8">
        <f>1064*10.42/1000</f>
        <v>11.086879999999999</v>
      </c>
      <c r="AO4068" s="8"/>
      <c r="AP4068" s="8"/>
      <c r="AQ4068" s="8"/>
      <c r="AR4068" s="8"/>
      <c r="AS4068" s="8">
        <f>4968*10.42/1000</f>
        <v>51.766559999999998</v>
      </c>
      <c r="AT4068" s="8">
        <v>522.12</v>
      </c>
      <c r="AU4068" s="8"/>
      <c r="AV4068" s="8"/>
      <c r="AW4068" s="8"/>
      <c r="AX4068" s="8"/>
      <c r="AY4068" s="8"/>
      <c r="AZ4068" s="8"/>
      <c r="BA4068" s="8"/>
      <c r="BB4068" s="8"/>
      <c r="BC4068" s="8"/>
      <c r="BD4068" s="8"/>
      <c r="BE4068" s="8"/>
      <c r="BF4068" s="8"/>
      <c r="BG4068" s="8">
        <v>35.44</v>
      </c>
      <c r="BH4068" s="9">
        <f t="shared" si="567"/>
        <v>1564.27</v>
      </c>
      <c r="BI4068" s="9">
        <f t="shared" si="568"/>
        <v>12.02</v>
      </c>
      <c r="BJ4068" s="9">
        <f t="shared" si="569"/>
        <v>2.19</v>
      </c>
      <c r="BK4068" s="9">
        <f t="shared" si="570"/>
        <v>11.72</v>
      </c>
      <c r="BL4068" s="9">
        <f t="shared" si="571"/>
        <v>0</v>
      </c>
      <c r="BM4068" s="9">
        <f t="shared" si="572"/>
        <v>78.473439999999997</v>
      </c>
      <c r="BN4068" s="9">
        <f t="shared" si="573"/>
        <v>522.12</v>
      </c>
      <c r="BO4068" s="9">
        <f t="shared" si="574"/>
        <v>0</v>
      </c>
      <c r="BP4068" s="9">
        <f t="shared" si="575"/>
        <v>0</v>
      </c>
    </row>
    <row r="4069" spans="1:68">
      <c r="A4069" s="6">
        <v>45303</v>
      </c>
      <c r="B4069" s="7">
        <v>3029</v>
      </c>
      <c r="C4069" s="8"/>
      <c r="D4069" s="8">
        <v>468.62</v>
      </c>
      <c r="E4069" s="8"/>
      <c r="F4069" s="8">
        <v>330.75</v>
      </c>
      <c r="G4069" s="8"/>
      <c r="H4069" s="8"/>
      <c r="I4069" s="8">
        <v>1956.7</v>
      </c>
      <c r="J4069" s="8"/>
      <c r="K4069" s="8"/>
      <c r="L4069" s="8"/>
      <c r="M4069" s="8"/>
      <c r="N4069" s="8">
        <v>21.81</v>
      </c>
      <c r="O4069" s="8"/>
      <c r="P4069" s="8"/>
      <c r="Q4069" s="8"/>
      <c r="R4069" s="8"/>
      <c r="S4069" s="8">
        <v>1.66</v>
      </c>
      <c r="T4069" s="8"/>
      <c r="U4069" s="8"/>
      <c r="V4069" s="8"/>
      <c r="W4069" s="8">
        <v>27.59</v>
      </c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>
        <v>9.64</v>
      </c>
      <c r="AN4069" s="8">
        <f>766*18.38/1000</f>
        <v>14.079079999999999</v>
      </c>
      <c r="AO4069" s="8"/>
      <c r="AP4069" s="8"/>
      <c r="AQ4069" s="8"/>
      <c r="AR4069" s="8">
        <f>4516*18.38/1000</f>
        <v>83.004080000000002</v>
      </c>
      <c r="AS4069" s="8"/>
      <c r="AT4069" s="8">
        <v>1047.6500000000001</v>
      </c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  <c r="BF4069" s="8"/>
      <c r="BG4069" s="8">
        <v>73.150000000000006</v>
      </c>
      <c r="BH4069" s="9">
        <f t="shared" si="567"/>
        <v>2756.07</v>
      </c>
      <c r="BI4069" s="9">
        <f t="shared" si="568"/>
        <v>21.81</v>
      </c>
      <c r="BJ4069" s="9">
        <f t="shared" si="569"/>
        <v>1.66</v>
      </c>
      <c r="BK4069" s="9">
        <f t="shared" si="570"/>
        <v>27.59</v>
      </c>
      <c r="BL4069" s="9">
        <f t="shared" si="571"/>
        <v>0</v>
      </c>
      <c r="BM4069" s="9">
        <f t="shared" si="572"/>
        <v>106.72316000000001</v>
      </c>
      <c r="BN4069" s="9">
        <f t="shared" si="573"/>
        <v>1047.6500000000001</v>
      </c>
      <c r="BO4069" s="9">
        <f t="shared" si="574"/>
        <v>0</v>
      </c>
      <c r="BP4069" s="9">
        <f t="shared" si="575"/>
        <v>0</v>
      </c>
    </row>
    <row r="4070" spans="1:68">
      <c r="A4070" s="6">
        <v>45303</v>
      </c>
      <c r="B4070" s="7">
        <v>3017</v>
      </c>
      <c r="C4070" s="8"/>
      <c r="D4070" s="8">
        <v>258.87</v>
      </c>
      <c r="E4070" s="8"/>
      <c r="F4070" s="8"/>
      <c r="G4070" s="8"/>
      <c r="H4070" s="8"/>
      <c r="I4070" s="8">
        <v>357.96</v>
      </c>
      <c r="J4070" s="8"/>
      <c r="K4070" s="8"/>
      <c r="L4070" s="8"/>
      <c r="M4070" s="8"/>
      <c r="N4070" s="8">
        <v>4.45</v>
      </c>
      <c r="O4070" s="8"/>
      <c r="P4070" s="8"/>
      <c r="Q4070" s="8"/>
      <c r="R4070" s="8"/>
      <c r="S4070" s="8">
        <v>0.43</v>
      </c>
      <c r="T4070" s="8"/>
      <c r="U4070" s="8"/>
      <c r="V4070" s="8"/>
      <c r="W4070" s="8">
        <v>4.6399999999999997</v>
      </c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>
        <v>2.4700000000000002</v>
      </c>
      <c r="AN4070" s="8">
        <f>1209*5.13/1000</f>
        <v>6.2021699999999997</v>
      </c>
      <c r="AO4070" s="8"/>
      <c r="AP4070" s="8"/>
      <c r="AQ4070" s="8"/>
      <c r="AR4070" s="8">
        <f>4821*5.13/1000</f>
        <v>24.731729999999999</v>
      </c>
      <c r="AS4070" s="8"/>
      <c r="AT4070" s="8">
        <v>264.70999999999998</v>
      </c>
      <c r="AU4070" s="8"/>
      <c r="AV4070" s="8"/>
      <c r="AW4070" s="8"/>
      <c r="AX4070" s="8"/>
      <c r="AY4070" s="8"/>
      <c r="AZ4070" s="8"/>
      <c r="BA4070" s="8"/>
      <c r="BB4070" s="8"/>
      <c r="BC4070" s="8"/>
      <c r="BD4070" s="8"/>
      <c r="BE4070" s="8"/>
      <c r="BF4070" s="8"/>
      <c r="BG4070" s="8">
        <v>19.2</v>
      </c>
      <c r="BH4070" s="9">
        <f t="shared" si="567"/>
        <v>616.82999999999993</v>
      </c>
      <c r="BI4070" s="9">
        <f t="shared" si="568"/>
        <v>4.45</v>
      </c>
      <c r="BJ4070" s="9">
        <f t="shared" si="569"/>
        <v>0.43</v>
      </c>
      <c r="BK4070" s="9">
        <f t="shared" si="570"/>
        <v>4.6399999999999997</v>
      </c>
      <c r="BL4070" s="9">
        <f t="shared" si="571"/>
        <v>0</v>
      </c>
      <c r="BM4070" s="9">
        <f t="shared" si="572"/>
        <v>33.4039</v>
      </c>
      <c r="BN4070" s="9">
        <f t="shared" si="573"/>
        <v>264.70999999999998</v>
      </c>
      <c r="BO4070" s="9">
        <f t="shared" si="574"/>
        <v>0</v>
      </c>
      <c r="BP4070" s="9">
        <f t="shared" si="575"/>
        <v>0</v>
      </c>
    </row>
    <row r="4071" spans="1:68">
      <c r="A4071" s="6">
        <v>45303</v>
      </c>
      <c r="B4071" s="7">
        <v>3031</v>
      </c>
      <c r="C4071" s="8"/>
      <c r="D4071" s="8"/>
      <c r="E4071" s="8"/>
      <c r="F4071" s="8"/>
      <c r="G4071" s="8"/>
      <c r="H4071" s="8"/>
      <c r="I4071" s="8">
        <v>1154.67</v>
      </c>
      <c r="J4071" s="8"/>
      <c r="K4071" s="8"/>
      <c r="L4071" s="8"/>
      <c r="M4071" s="8"/>
      <c r="N4071" s="8">
        <v>7.96</v>
      </c>
      <c r="O4071" s="8"/>
      <c r="P4071" s="8"/>
      <c r="Q4071" s="8"/>
      <c r="R4071" s="8"/>
      <c r="S4071" s="8">
        <v>0.81</v>
      </c>
      <c r="T4071" s="8"/>
      <c r="U4071" s="8"/>
      <c r="V4071" s="8"/>
      <c r="W4071" s="8">
        <v>11.55</v>
      </c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>
        <f>1820*9.62/1000</f>
        <v>17.508399999999998</v>
      </c>
      <c r="AJ4071" s="8"/>
      <c r="AK4071" s="8"/>
      <c r="AL4071" s="8"/>
      <c r="AM4071" s="8"/>
      <c r="AN4071" s="8">
        <f>1214*9.62/1000</f>
        <v>11.678679999999998</v>
      </c>
      <c r="AO4071" s="8"/>
      <c r="AP4071" s="8"/>
      <c r="AQ4071" s="8"/>
      <c r="AR4071" s="8">
        <f>3631*9.62/1000</f>
        <v>34.930219999999991</v>
      </c>
      <c r="AS4071" s="8"/>
      <c r="AT4071" s="8">
        <v>549.4</v>
      </c>
      <c r="AU4071" s="8"/>
      <c r="AV4071" s="8"/>
      <c r="AW4071" s="8"/>
      <c r="AX4071" s="8"/>
      <c r="AY4071" s="8"/>
      <c r="AZ4071" s="8"/>
      <c r="BA4071" s="8"/>
      <c r="BB4071" s="8"/>
      <c r="BC4071" s="8"/>
      <c r="BD4071" s="8"/>
      <c r="BE4071" s="8"/>
      <c r="BF4071" s="8"/>
      <c r="BG4071" s="8">
        <v>37.299999999999997</v>
      </c>
      <c r="BH4071" s="9">
        <f t="shared" si="567"/>
        <v>1154.67</v>
      </c>
      <c r="BI4071" s="9">
        <f t="shared" si="568"/>
        <v>7.96</v>
      </c>
      <c r="BJ4071" s="9">
        <f t="shared" si="569"/>
        <v>0.81</v>
      </c>
      <c r="BK4071" s="9">
        <f t="shared" si="570"/>
        <v>11.55</v>
      </c>
      <c r="BL4071" s="9">
        <f t="shared" si="571"/>
        <v>0</v>
      </c>
      <c r="BM4071" s="9">
        <f t="shared" si="572"/>
        <v>64.117299999999986</v>
      </c>
      <c r="BN4071" s="9">
        <f t="shared" si="573"/>
        <v>549.4</v>
      </c>
      <c r="BO4071" s="9">
        <f t="shared" si="574"/>
        <v>0</v>
      </c>
      <c r="BP4071" s="9">
        <f t="shared" si="575"/>
        <v>0</v>
      </c>
    </row>
    <row r="4072" spans="1:68">
      <c r="A4072" s="6">
        <v>45303</v>
      </c>
      <c r="B4072" s="7">
        <v>3204</v>
      </c>
      <c r="C4072" s="8"/>
      <c r="D4072" s="8">
        <v>909.84</v>
      </c>
      <c r="E4072" s="8">
        <v>390.3</v>
      </c>
      <c r="F4072" s="8"/>
      <c r="G4072" s="8"/>
      <c r="H4072" s="8"/>
      <c r="I4072" s="8"/>
      <c r="J4072" s="8"/>
      <c r="K4072" s="8"/>
      <c r="L4072" s="8"/>
      <c r="M4072" s="8"/>
      <c r="N4072" s="8"/>
      <c r="O4072" s="8">
        <v>6.5</v>
      </c>
      <c r="P4072" s="8"/>
      <c r="Q4072" s="8"/>
      <c r="R4072" s="8"/>
      <c r="S4072" s="8">
        <v>4.42</v>
      </c>
      <c r="T4072" s="8"/>
      <c r="U4072" s="8">
        <v>14.32</v>
      </c>
      <c r="V4072" s="8"/>
      <c r="W4072" s="8"/>
      <c r="X4072" s="8"/>
      <c r="Y4072" s="8"/>
      <c r="Z4072" s="8">
        <v>195.15</v>
      </c>
      <c r="AA4072" s="8"/>
      <c r="AB4072" s="8">
        <f>719*9.28/1000</f>
        <v>6.67232</v>
      </c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>
        <v>573.55999999999995</v>
      </c>
      <c r="AU4072" s="8"/>
      <c r="AV4072" s="8"/>
      <c r="AW4072" s="8">
        <v>4.16</v>
      </c>
      <c r="AX4072" s="8"/>
      <c r="AY4072" s="8"/>
      <c r="AZ4072" s="8"/>
      <c r="BA4072" s="8"/>
      <c r="BB4072" s="8"/>
      <c r="BC4072" s="8"/>
      <c r="BD4072" s="8"/>
      <c r="BE4072" s="8"/>
      <c r="BF4072" s="8"/>
      <c r="BG4072" s="8">
        <v>42.29</v>
      </c>
      <c r="BH4072" s="9">
        <f t="shared" si="567"/>
        <v>1300.1400000000001</v>
      </c>
      <c r="BI4072" s="9">
        <f t="shared" si="568"/>
        <v>6.5</v>
      </c>
      <c r="BJ4072" s="9">
        <f t="shared" si="569"/>
        <v>4.42</v>
      </c>
      <c r="BK4072" s="9">
        <f t="shared" si="570"/>
        <v>14.32</v>
      </c>
      <c r="BL4072" s="9">
        <f t="shared" si="571"/>
        <v>195.15</v>
      </c>
      <c r="BM4072" s="9">
        <f t="shared" si="572"/>
        <v>6.67232</v>
      </c>
      <c r="BN4072" s="9">
        <f t="shared" si="573"/>
        <v>573.55999999999995</v>
      </c>
      <c r="BO4072" s="9">
        <f t="shared" si="574"/>
        <v>4.16</v>
      </c>
      <c r="BP4072" s="9">
        <f t="shared" si="575"/>
        <v>0</v>
      </c>
    </row>
    <row r="4073" spans="1:68">
      <c r="A4073" s="6">
        <v>45303</v>
      </c>
      <c r="B4073" s="7">
        <v>3430</v>
      </c>
      <c r="C4073" s="8">
        <v>138.58000000000001</v>
      </c>
      <c r="D4073" s="8">
        <v>207.95</v>
      </c>
      <c r="E4073" s="8"/>
      <c r="F4073" s="8"/>
      <c r="G4073" s="8"/>
      <c r="H4073" s="8"/>
      <c r="I4073" s="8"/>
      <c r="J4073" s="8"/>
      <c r="K4073" s="8"/>
      <c r="L4073" s="8"/>
      <c r="M4073" s="8"/>
      <c r="N4073" s="8">
        <v>0.62</v>
      </c>
      <c r="O4073" s="8"/>
      <c r="P4073" s="8"/>
      <c r="Q4073" s="8"/>
      <c r="R4073" s="8"/>
      <c r="S4073" s="8">
        <v>1.04</v>
      </c>
      <c r="T4073" s="8"/>
      <c r="U4073" s="8"/>
      <c r="V4073" s="8"/>
      <c r="W4073" s="8"/>
      <c r="X4073" s="8">
        <f>1088*3.85/1000</f>
        <v>4.1888000000000005</v>
      </c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>
        <v>140.09</v>
      </c>
      <c r="AU4073" s="8"/>
      <c r="AV4073" s="8"/>
      <c r="AW4073" s="8">
        <v>6.76</v>
      </c>
      <c r="AX4073" s="8"/>
      <c r="AY4073" s="8"/>
      <c r="AZ4073" s="8"/>
      <c r="BA4073" s="8"/>
      <c r="BB4073" s="8"/>
      <c r="BC4073" s="8"/>
      <c r="BD4073" s="8"/>
      <c r="BE4073" s="8"/>
      <c r="BF4073" s="8"/>
      <c r="BG4073" s="8">
        <v>10.72</v>
      </c>
      <c r="BH4073" s="9">
        <f t="shared" si="567"/>
        <v>346.53</v>
      </c>
      <c r="BI4073" s="9">
        <f t="shared" si="568"/>
        <v>0.62</v>
      </c>
      <c r="BJ4073" s="9">
        <f t="shared" si="569"/>
        <v>1.04</v>
      </c>
      <c r="BK4073" s="9">
        <f t="shared" si="570"/>
        <v>4.1888000000000005</v>
      </c>
      <c r="BL4073" s="9">
        <f t="shared" si="571"/>
        <v>0</v>
      </c>
      <c r="BM4073" s="9">
        <f t="shared" si="572"/>
        <v>0</v>
      </c>
      <c r="BN4073" s="9">
        <f t="shared" si="573"/>
        <v>140.09</v>
      </c>
      <c r="BO4073" s="9">
        <f t="shared" si="574"/>
        <v>6.76</v>
      </c>
      <c r="BP4073" s="9">
        <f t="shared" si="575"/>
        <v>0</v>
      </c>
    </row>
    <row r="4074" spans="1:68">
      <c r="A4074" s="6">
        <v>45306</v>
      </c>
      <c r="B4074" s="7">
        <v>3602</v>
      </c>
      <c r="C4074" s="8">
        <v>576.99</v>
      </c>
      <c r="D4074" s="8"/>
      <c r="E4074" s="8"/>
      <c r="F4074" s="8"/>
      <c r="G4074" s="8">
        <v>862.79</v>
      </c>
      <c r="H4074" s="8"/>
      <c r="I4074" s="8"/>
      <c r="J4074" s="8"/>
      <c r="K4074" s="8"/>
      <c r="L4074" s="8"/>
      <c r="M4074" s="8">
        <v>1.81</v>
      </c>
      <c r="N4074" s="8"/>
      <c r="O4074" s="8"/>
      <c r="P4074" s="8"/>
      <c r="Q4074" s="8"/>
      <c r="R4074" s="8"/>
      <c r="S4074" s="8">
        <v>6.93</v>
      </c>
      <c r="T4074" s="8"/>
      <c r="U4074" s="8">
        <v>11.55</v>
      </c>
      <c r="V4074" s="8">
        <f>851*16.5/1000</f>
        <v>14.041499999999999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>
        <v>582.26</v>
      </c>
      <c r="AU4074" s="8"/>
      <c r="AV4074" s="8"/>
      <c r="AW4074" s="8">
        <v>37.35</v>
      </c>
      <c r="AX4074" s="8"/>
      <c r="AY4074" s="8"/>
      <c r="AZ4074" s="8"/>
      <c r="BA4074" s="8"/>
      <c r="BB4074" s="8"/>
      <c r="BC4074" s="8"/>
      <c r="BD4074" s="8"/>
      <c r="BE4074" s="8"/>
      <c r="BF4074" s="8">
        <v>46.36</v>
      </c>
      <c r="BG4074" s="8">
        <v>43.55</v>
      </c>
      <c r="BH4074" s="9">
        <f t="shared" si="567"/>
        <v>1439.78</v>
      </c>
      <c r="BI4074" s="9">
        <f t="shared" si="568"/>
        <v>1.81</v>
      </c>
      <c r="BJ4074" s="9">
        <f t="shared" si="569"/>
        <v>6.93</v>
      </c>
      <c r="BK4074" s="9">
        <f t="shared" si="570"/>
        <v>25.5915</v>
      </c>
      <c r="BL4074" s="9">
        <f t="shared" si="571"/>
        <v>0</v>
      </c>
      <c r="BM4074" s="9">
        <f t="shared" si="572"/>
        <v>0</v>
      </c>
      <c r="BN4074" s="9">
        <f t="shared" si="573"/>
        <v>582.26</v>
      </c>
      <c r="BO4074" s="9">
        <f t="shared" si="574"/>
        <v>37.35</v>
      </c>
      <c r="BP4074" s="9">
        <f t="shared" si="575"/>
        <v>46.36</v>
      </c>
    </row>
    <row r="4075" spans="1:68">
      <c r="A4075" s="6">
        <v>45306</v>
      </c>
      <c r="B4075" s="7">
        <v>3005</v>
      </c>
      <c r="C4075" s="8">
        <v>420.55</v>
      </c>
      <c r="D4075" s="8">
        <v>278.27</v>
      </c>
      <c r="E4075" s="8"/>
      <c r="F4075" s="8"/>
      <c r="G4075" s="8"/>
      <c r="H4075" s="8"/>
      <c r="I4075" s="8"/>
      <c r="J4075" s="8"/>
      <c r="K4075" s="8"/>
      <c r="L4075" s="8"/>
      <c r="M4075" s="8"/>
      <c r="N4075" s="8">
        <v>0.7</v>
      </c>
      <c r="O4075" s="8"/>
      <c r="P4075" s="8"/>
      <c r="Q4075" s="8"/>
      <c r="R4075" s="8"/>
      <c r="S4075" s="8">
        <v>2.4300000000000002</v>
      </c>
      <c r="T4075" s="8"/>
      <c r="U4075" s="8"/>
      <c r="V4075" s="8"/>
      <c r="W4075" s="8">
        <v>7.67</v>
      </c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>
        <v>339.67</v>
      </c>
      <c r="AU4075" s="8"/>
      <c r="AV4075" s="8"/>
      <c r="AW4075" s="8">
        <v>7.71</v>
      </c>
      <c r="AX4075" s="8"/>
      <c r="AY4075" s="8"/>
      <c r="AZ4075" s="8"/>
      <c r="BA4075" s="8"/>
      <c r="BB4075" s="8"/>
      <c r="BC4075" s="8"/>
      <c r="BD4075" s="8"/>
      <c r="BE4075" s="8"/>
      <c r="BF4075" s="8"/>
      <c r="BG4075" s="8">
        <v>25.32</v>
      </c>
      <c r="BH4075" s="9">
        <f t="shared" si="567"/>
        <v>698.81999999999994</v>
      </c>
      <c r="BI4075" s="9">
        <f t="shared" si="568"/>
        <v>0.7</v>
      </c>
      <c r="BJ4075" s="9">
        <f t="shared" si="569"/>
        <v>2.4300000000000002</v>
      </c>
      <c r="BK4075" s="9">
        <f t="shared" si="570"/>
        <v>7.67</v>
      </c>
      <c r="BL4075" s="9">
        <f t="shared" si="571"/>
        <v>0</v>
      </c>
      <c r="BM4075" s="9">
        <f t="shared" si="572"/>
        <v>0</v>
      </c>
      <c r="BN4075" s="9">
        <f t="shared" si="573"/>
        <v>339.67</v>
      </c>
      <c r="BO4075" s="9">
        <f t="shared" si="574"/>
        <v>7.71</v>
      </c>
      <c r="BP4075" s="9">
        <f t="shared" si="575"/>
        <v>0</v>
      </c>
    </row>
    <row r="4076" spans="1:68">
      <c r="A4076" s="6">
        <v>45306</v>
      </c>
      <c r="B4076" s="7">
        <v>3129</v>
      </c>
      <c r="C4076" s="8">
        <v>1533</v>
      </c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>
        <f>1209*6.98/1000</f>
        <v>8.4388199999999998</v>
      </c>
      <c r="S4076" s="8">
        <f>7+5.69</f>
        <v>12.690000000000001</v>
      </c>
      <c r="T4076" s="8"/>
      <c r="U4076" s="8"/>
      <c r="V4076" s="8"/>
      <c r="W4076" s="8"/>
      <c r="X4076" s="8">
        <f>2001*6.98/1000</f>
        <v>13.966980000000001</v>
      </c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>
        <v>209.21</v>
      </c>
      <c r="AU4076" s="8">
        <v>423.53</v>
      </c>
      <c r="AV4076" s="8"/>
      <c r="AW4076" s="8"/>
      <c r="AX4076" s="8"/>
      <c r="AY4076" s="8"/>
      <c r="AZ4076" s="8"/>
      <c r="BA4076" s="8"/>
      <c r="BB4076" s="8"/>
      <c r="BC4076" s="8"/>
      <c r="BD4076" s="8">
        <v>3.85</v>
      </c>
      <c r="BE4076" s="8">
        <f>1990*6.98/1000</f>
        <v>13.8902</v>
      </c>
      <c r="BF4076" s="8"/>
      <c r="BG4076" s="8">
        <v>46.02</v>
      </c>
      <c r="BH4076" s="9">
        <f t="shared" si="567"/>
        <v>1533</v>
      </c>
      <c r="BI4076" s="9">
        <f t="shared" si="568"/>
        <v>8.4388199999999998</v>
      </c>
      <c r="BJ4076" s="9">
        <f t="shared" si="569"/>
        <v>12.690000000000001</v>
      </c>
      <c r="BK4076" s="9">
        <f t="shared" si="570"/>
        <v>13.966980000000001</v>
      </c>
      <c r="BL4076" s="9">
        <f t="shared" si="571"/>
        <v>0</v>
      </c>
      <c r="BM4076" s="9">
        <f t="shared" si="572"/>
        <v>0</v>
      </c>
      <c r="BN4076" s="9">
        <f t="shared" si="573"/>
        <v>632.74</v>
      </c>
      <c r="BO4076" s="9">
        <f t="shared" si="574"/>
        <v>17.740200000000002</v>
      </c>
      <c r="BP4076" s="9">
        <f t="shared" si="575"/>
        <v>0</v>
      </c>
    </row>
    <row r="4077" spans="1:68">
      <c r="A4077" s="6">
        <v>45306</v>
      </c>
      <c r="B4077" s="7">
        <v>3145</v>
      </c>
      <c r="C4077" s="8">
        <v>1235.4100000000001</v>
      </c>
      <c r="D4077" s="8">
        <v>217.41</v>
      </c>
      <c r="E4077" s="8"/>
      <c r="F4077" s="8"/>
      <c r="G4077" s="8"/>
      <c r="H4077" s="8"/>
      <c r="I4077" s="8"/>
      <c r="J4077" s="8"/>
      <c r="K4077" s="8"/>
      <c r="L4077" s="8"/>
      <c r="M4077" s="8">
        <v>4.2300000000000004</v>
      </c>
      <c r="N4077" s="8"/>
      <c r="O4077" s="8"/>
      <c r="P4077" s="8"/>
      <c r="Q4077" s="8"/>
      <c r="R4077" s="8"/>
      <c r="S4077" s="8">
        <v>6.86</v>
      </c>
      <c r="T4077" s="8"/>
      <c r="U4077" s="8">
        <v>21.88</v>
      </c>
      <c r="V4077" s="8"/>
      <c r="W4077" s="8"/>
      <c r="X4077" s="8"/>
      <c r="Y4077" s="8"/>
      <c r="Z4077" s="8"/>
      <c r="AA4077" s="8"/>
      <c r="AB4077" s="8"/>
      <c r="AC4077" s="8">
        <v>5.83</v>
      </c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>
        <v>959.23</v>
      </c>
      <c r="AU4077" s="8"/>
      <c r="AV4077" s="8"/>
      <c r="AW4077" s="8"/>
      <c r="AX4077" s="8"/>
      <c r="AY4077" s="8"/>
      <c r="AZ4077" s="8"/>
      <c r="BA4077" s="8"/>
      <c r="BB4077" s="8"/>
      <c r="BC4077" s="8"/>
      <c r="BD4077" s="8">
        <v>3.65</v>
      </c>
      <c r="BE4077" s="8">
        <f>1326*9.7/1000</f>
        <v>12.8622</v>
      </c>
      <c r="BF4077" s="8">
        <v>102.07</v>
      </c>
      <c r="BG4077" s="8">
        <v>75.709999999999994</v>
      </c>
      <c r="BH4077" s="9">
        <f t="shared" si="567"/>
        <v>1452.8200000000002</v>
      </c>
      <c r="BI4077" s="9">
        <f t="shared" si="568"/>
        <v>4.2300000000000004</v>
      </c>
      <c r="BJ4077" s="9">
        <f t="shared" si="569"/>
        <v>6.86</v>
      </c>
      <c r="BK4077" s="9">
        <f t="shared" si="570"/>
        <v>21.88</v>
      </c>
      <c r="BL4077" s="9">
        <f t="shared" si="571"/>
        <v>0</v>
      </c>
      <c r="BM4077" s="9">
        <f t="shared" si="572"/>
        <v>5.83</v>
      </c>
      <c r="BN4077" s="9">
        <f t="shared" si="573"/>
        <v>959.23</v>
      </c>
      <c r="BO4077" s="9">
        <f t="shared" si="574"/>
        <v>16.5122</v>
      </c>
      <c r="BP4077" s="9">
        <f t="shared" si="575"/>
        <v>102.07</v>
      </c>
    </row>
    <row r="4078" spans="1:68">
      <c r="A4078" s="6">
        <v>45306</v>
      </c>
      <c r="B4078" s="7">
        <v>3141</v>
      </c>
      <c r="C4078" s="8">
        <v>2382.4299999999998</v>
      </c>
      <c r="D4078" s="8">
        <v>420.43</v>
      </c>
      <c r="E4078" s="8"/>
      <c r="F4078" s="8"/>
      <c r="G4078" s="8"/>
      <c r="H4078" s="8"/>
      <c r="I4078" s="8"/>
      <c r="J4078" s="8"/>
      <c r="K4078" s="8"/>
      <c r="L4078" s="8"/>
      <c r="M4078" s="8">
        <v>7.86</v>
      </c>
      <c r="N4078" s="8"/>
      <c r="O4078" s="8"/>
      <c r="P4078" s="8"/>
      <c r="Q4078" s="8"/>
      <c r="R4078" s="8"/>
      <c r="S4078" s="8">
        <v>13.19</v>
      </c>
      <c r="T4078" s="8"/>
      <c r="U4078" s="8">
        <v>42.06</v>
      </c>
      <c r="V4078" s="8"/>
      <c r="W4078" s="8"/>
      <c r="X4078" s="8"/>
      <c r="Y4078" s="8"/>
      <c r="Z4078" s="8"/>
      <c r="AA4078" s="8"/>
      <c r="AB4078" s="8"/>
      <c r="AC4078" s="8">
        <v>11.23</v>
      </c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>
        <v>1855.96</v>
      </c>
      <c r="AU4078" s="8"/>
      <c r="AV4078" s="8"/>
      <c r="AW4078" s="8"/>
      <c r="AX4078" s="8"/>
      <c r="AY4078" s="8"/>
      <c r="AZ4078" s="8"/>
      <c r="BA4078" s="8">
        <v>64.27</v>
      </c>
      <c r="BB4078" s="8"/>
      <c r="BC4078" s="8"/>
      <c r="BD4078" s="8"/>
      <c r="BE4078" s="8"/>
      <c r="BF4078" s="8">
        <v>196.35</v>
      </c>
      <c r="BG4078" s="8">
        <v>146.16</v>
      </c>
      <c r="BH4078" s="9">
        <f t="shared" si="567"/>
        <v>2802.8599999999997</v>
      </c>
      <c r="BI4078" s="9">
        <f t="shared" si="568"/>
        <v>7.86</v>
      </c>
      <c r="BJ4078" s="9">
        <f t="shared" si="569"/>
        <v>13.19</v>
      </c>
      <c r="BK4078" s="9">
        <f t="shared" si="570"/>
        <v>42.06</v>
      </c>
      <c r="BL4078" s="9">
        <f t="shared" si="571"/>
        <v>0</v>
      </c>
      <c r="BM4078" s="9">
        <f t="shared" si="572"/>
        <v>11.23</v>
      </c>
      <c r="BN4078" s="9">
        <f t="shared" si="573"/>
        <v>1855.96</v>
      </c>
      <c r="BO4078" s="9">
        <f t="shared" si="574"/>
        <v>64.27</v>
      </c>
      <c r="BP4078" s="9">
        <f t="shared" si="575"/>
        <v>196.35</v>
      </c>
    </row>
    <row r="4079" spans="1:68">
      <c r="A4079" s="6">
        <v>45306</v>
      </c>
      <c r="B4079" s="7">
        <v>3106</v>
      </c>
      <c r="C4079" s="8">
        <v>6095.97</v>
      </c>
      <c r="D4079" s="8"/>
      <c r="E4079" s="8"/>
      <c r="F4079" s="8"/>
      <c r="G4079" s="8"/>
      <c r="H4079" s="8"/>
      <c r="I4079" s="8"/>
      <c r="J4079" s="8"/>
      <c r="K4079" s="8"/>
      <c r="L4079" s="8"/>
      <c r="M4079" s="8">
        <v>15.25</v>
      </c>
      <c r="N4079" s="8"/>
      <c r="O4079" s="8"/>
      <c r="P4079" s="8"/>
      <c r="Q4079" s="8"/>
      <c r="R4079" s="8"/>
      <c r="S4079" s="8">
        <v>18.36</v>
      </c>
      <c r="T4079" s="8"/>
      <c r="U4079" s="8">
        <v>77.55</v>
      </c>
      <c r="V4079" s="8"/>
      <c r="W4079" s="8"/>
      <c r="X4079" s="8"/>
      <c r="Y4079" s="8"/>
      <c r="Z4079" s="8"/>
      <c r="AA4079" s="8"/>
      <c r="AB4079" s="8"/>
      <c r="AC4079" s="8">
        <v>15.24</v>
      </c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>
        <v>3475.96</v>
      </c>
      <c r="AU4079" s="8"/>
      <c r="AV4079" s="8"/>
      <c r="AW4079" s="8"/>
      <c r="AX4079" s="8">
        <v>7.63</v>
      </c>
      <c r="AY4079" s="8"/>
      <c r="AZ4079" s="8"/>
      <c r="BA4079" s="8"/>
      <c r="BB4079" s="8"/>
      <c r="BC4079" s="8"/>
      <c r="BD4079" s="8"/>
      <c r="BE4079" s="8"/>
      <c r="BF4079" s="8"/>
      <c r="BG4079" s="8">
        <v>262.3</v>
      </c>
      <c r="BH4079" s="9">
        <f t="shared" si="567"/>
        <v>6095.97</v>
      </c>
      <c r="BI4079" s="9">
        <f t="shared" si="568"/>
        <v>15.25</v>
      </c>
      <c r="BJ4079" s="9">
        <f t="shared" si="569"/>
        <v>18.36</v>
      </c>
      <c r="BK4079" s="9">
        <f t="shared" si="570"/>
        <v>77.55</v>
      </c>
      <c r="BL4079" s="9">
        <f t="shared" si="571"/>
        <v>0</v>
      </c>
      <c r="BM4079" s="9">
        <f t="shared" si="572"/>
        <v>15.24</v>
      </c>
      <c r="BN4079" s="9">
        <f t="shared" si="573"/>
        <v>3475.96</v>
      </c>
      <c r="BO4079" s="9">
        <f t="shared" si="574"/>
        <v>7.63</v>
      </c>
      <c r="BP4079" s="9">
        <f t="shared" si="575"/>
        <v>0</v>
      </c>
    </row>
    <row r="4080" spans="1:68">
      <c r="A4080" s="6">
        <v>45306</v>
      </c>
      <c r="B4080" s="7">
        <v>3200</v>
      </c>
      <c r="C4080" s="8">
        <v>2313.69</v>
      </c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>
        <v>5.8</v>
      </c>
      <c r="P4080" s="8"/>
      <c r="Q4080" s="8"/>
      <c r="R4080" s="8"/>
      <c r="S4080" s="8">
        <v>9.06</v>
      </c>
      <c r="T4080" s="8"/>
      <c r="U4080" s="8">
        <v>34.840000000000003</v>
      </c>
      <c r="V4080" s="8"/>
      <c r="W4080" s="8"/>
      <c r="X4080" s="8"/>
      <c r="Y4080" s="8"/>
      <c r="Z4080" s="8">
        <v>487.76</v>
      </c>
      <c r="AA4080" s="8"/>
      <c r="AB4080" s="8"/>
      <c r="AC4080" s="8"/>
      <c r="AD4080" s="8"/>
      <c r="AE4080" s="8"/>
      <c r="AF4080" s="8">
        <v>116.28</v>
      </c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>
        <f>1526*23.22/1000</f>
        <v>35.433720000000001</v>
      </c>
      <c r="AR4080" s="8"/>
      <c r="AS4080" s="8"/>
      <c r="AT4080" s="8">
        <v>1589.5</v>
      </c>
      <c r="AU4080" s="8"/>
      <c r="AV4080" s="8"/>
      <c r="AW4080" s="8">
        <v>6.68</v>
      </c>
      <c r="AX4080" s="8"/>
      <c r="AY4080" s="8"/>
      <c r="AZ4080" s="8"/>
      <c r="BA4080" s="8"/>
      <c r="BB4080" s="8"/>
      <c r="BC4080" s="8"/>
      <c r="BD4080" s="8"/>
      <c r="BE4080" s="8"/>
      <c r="BF4080" s="8">
        <v>111.51</v>
      </c>
      <c r="BG4080" s="8">
        <v>115.07</v>
      </c>
      <c r="BH4080" s="9">
        <f t="shared" si="567"/>
        <v>2313.69</v>
      </c>
      <c r="BI4080" s="9">
        <f t="shared" si="568"/>
        <v>5.8</v>
      </c>
      <c r="BJ4080" s="9">
        <f t="shared" si="569"/>
        <v>9.06</v>
      </c>
      <c r="BK4080" s="9">
        <f t="shared" si="570"/>
        <v>34.840000000000003</v>
      </c>
      <c r="BL4080" s="9">
        <f t="shared" si="571"/>
        <v>487.76</v>
      </c>
      <c r="BM4080" s="9">
        <f t="shared" si="572"/>
        <v>151.71372</v>
      </c>
      <c r="BN4080" s="9">
        <f t="shared" si="573"/>
        <v>1589.5</v>
      </c>
      <c r="BO4080" s="9">
        <f t="shared" si="574"/>
        <v>6.68</v>
      </c>
      <c r="BP4080" s="9">
        <f t="shared" si="575"/>
        <v>111.51</v>
      </c>
    </row>
    <row r="4081" spans="1:68">
      <c r="A4081" s="6">
        <v>45306</v>
      </c>
      <c r="B4081" s="7">
        <v>3203</v>
      </c>
      <c r="C4081" s="8">
        <v>1709.04</v>
      </c>
      <c r="D4081" s="8"/>
      <c r="E4081" s="8">
        <v>733.87</v>
      </c>
      <c r="F4081" s="8"/>
      <c r="G4081" s="8"/>
      <c r="H4081" s="8"/>
      <c r="I4081" s="8"/>
      <c r="J4081" s="8"/>
      <c r="K4081" s="8"/>
      <c r="L4081" s="8"/>
      <c r="M4081" s="8"/>
      <c r="N4081" s="8"/>
      <c r="O4081" s="8">
        <v>7.32</v>
      </c>
      <c r="P4081" s="8"/>
      <c r="Q4081" s="8"/>
      <c r="R4081" s="8"/>
      <c r="S4081" s="8">
        <v>10.039999999999999</v>
      </c>
      <c r="T4081" s="8"/>
      <c r="U4081" s="8">
        <v>30.3</v>
      </c>
      <c r="V4081" s="8"/>
      <c r="W4081" s="8"/>
      <c r="X4081" s="8"/>
      <c r="Y4081" s="8"/>
      <c r="Z4081" s="8">
        <v>385.01</v>
      </c>
      <c r="AA4081" s="8">
        <f>10533*28.75/1000</f>
        <v>302.82375000000002</v>
      </c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>
        <v>916.47</v>
      </c>
      <c r="AU4081" s="8">
        <v>458.14</v>
      </c>
      <c r="AV4081" s="8"/>
      <c r="AW4081" s="8"/>
      <c r="AX4081" s="8"/>
      <c r="AY4081" s="8"/>
      <c r="AZ4081" s="8"/>
      <c r="BA4081" s="8"/>
      <c r="BB4081" s="8"/>
      <c r="BC4081" s="8">
        <v>6.35</v>
      </c>
      <c r="BD4081" s="8"/>
      <c r="BE4081" s="8"/>
      <c r="BF4081" s="8"/>
      <c r="BG4081" s="8">
        <v>88.34</v>
      </c>
      <c r="BH4081" s="9">
        <f t="shared" si="567"/>
        <v>2442.91</v>
      </c>
      <c r="BI4081" s="9">
        <f t="shared" si="568"/>
        <v>7.32</v>
      </c>
      <c r="BJ4081" s="9">
        <f t="shared" si="569"/>
        <v>10.039999999999999</v>
      </c>
      <c r="BK4081" s="9">
        <f t="shared" si="570"/>
        <v>30.3</v>
      </c>
      <c r="BL4081" s="9">
        <f t="shared" si="571"/>
        <v>687.83375000000001</v>
      </c>
      <c r="BM4081" s="9">
        <f t="shared" si="572"/>
        <v>0</v>
      </c>
      <c r="BN4081" s="9">
        <f t="shared" si="573"/>
        <v>1374.6100000000001</v>
      </c>
      <c r="BO4081" s="9">
        <f t="shared" si="574"/>
        <v>6.35</v>
      </c>
      <c r="BP4081" s="9">
        <f t="shared" si="575"/>
        <v>0</v>
      </c>
    </row>
    <row r="4082" spans="1:68">
      <c r="A4082" s="6">
        <v>45306</v>
      </c>
      <c r="B4082" s="7">
        <v>3022</v>
      </c>
      <c r="C4082" s="8"/>
      <c r="D4082" s="8">
        <v>326.37</v>
      </c>
      <c r="E4082" s="8"/>
      <c r="F4082" s="8"/>
      <c r="G4082" s="8"/>
      <c r="H4082" s="8"/>
      <c r="I4082" s="8">
        <v>266.08999999999997</v>
      </c>
      <c r="J4082" s="8"/>
      <c r="K4082" s="8"/>
      <c r="L4082" s="8"/>
      <c r="M4082" s="8"/>
      <c r="N4082" s="8">
        <v>2.97</v>
      </c>
      <c r="O4082" s="8"/>
      <c r="P4082" s="8"/>
      <c r="Q4082" s="8"/>
      <c r="R4082" s="8"/>
      <c r="S4082" s="8">
        <v>1.06</v>
      </c>
      <c r="T4082" s="8"/>
      <c r="U4082" s="8"/>
      <c r="V4082" s="8"/>
      <c r="W4082" s="8">
        <v>5.94</v>
      </c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>
        <v>7.68</v>
      </c>
      <c r="AN4082" s="8"/>
      <c r="AO4082" s="8"/>
      <c r="AP4082" s="8"/>
      <c r="AQ4082" s="8"/>
      <c r="AR4082" s="8"/>
      <c r="AS4082" s="8">
        <f>3947*5.37/1000</f>
        <v>21.19539</v>
      </c>
      <c r="AT4082" s="8">
        <v>277.08</v>
      </c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  <c r="BF4082" s="8"/>
      <c r="BG4082" s="8">
        <v>21.31</v>
      </c>
      <c r="BH4082" s="9">
        <f t="shared" si="567"/>
        <v>592.46</v>
      </c>
      <c r="BI4082" s="9">
        <f t="shared" si="568"/>
        <v>2.97</v>
      </c>
      <c r="BJ4082" s="9">
        <f t="shared" si="569"/>
        <v>1.06</v>
      </c>
      <c r="BK4082" s="9">
        <f t="shared" si="570"/>
        <v>5.94</v>
      </c>
      <c r="BL4082" s="9">
        <f t="shared" si="571"/>
        <v>0</v>
      </c>
      <c r="BM4082" s="9">
        <f t="shared" si="572"/>
        <v>28.875389999999999</v>
      </c>
      <c r="BN4082" s="9">
        <f t="shared" si="573"/>
        <v>277.08</v>
      </c>
      <c r="BO4082" s="9">
        <f t="shared" si="574"/>
        <v>0</v>
      </c>
      <c r="BP4082" s="9">
        <f t="shared" si="575"/>
        <v>0</v>
      </c>
    </row>
    <row r="4083" spans="1:68">
      <c r="A4083" s="6">
        <v>45306</v>
      </c>
      <c r="B4083" s="7">
        <v>3024</v>
      </c>
      <c r="C4083" s="8"/>
      <c r="D4083" s="8">
        <v>339.82</v>
      </c>
      <c r="E4083" s="8"/>
      <c r="F4083" s="8"/>
      <c r="G4083" s="8"/>
      <c r="H4083" s="8"/>
      <c r="I4083" s="8">
        <v>339.61</v>
      </c>
      <c r="J4083" s="8"/>
      <c r="K4083" s="8"/>
      <c r="L4083" s="8"/>
      <c r="M4083" s="8"/>
      <c r="N4083" s="8">
        <v>4.21</v>
      </c>
      <c r="O4083" s="8"/>
      <c r="P4083" s="8"/>
      <c r="Q4083" s="8"/>
      <c r="R4083" s="8"/>
      <c r="S4083" s="8">
        <v>1.0900000000000001</v>
      </c>
      <c r="T4083" s="8"/>
      <c r="U4083" s="8"/>
      <c r="V4083" s="8"/>
      <c r="W4083" s="8">
        <v>5.44</v>
      </c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>
        <v>6.81</v>
      </c>
      <c r="AN4083" s="8">
        <f>849*5.68/1000</f>
        <v>4.8223199999999995</v>
      </c>
      <c r="AO4083" s="8"/>
      <c r="AP4083" s="8"/>
      <c r="AQ4083" s="8"/>
      <c r="AR4083" s="8"/>
      <c r="AS4083" s="8">
        <f>3947*5.68/1000</f>
        <v>22.418959999999998</v>
      </c>
      <c r="AT4083" s="8">
        <v>260.8</v>
      </c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  <c r="BF4083" s="8"/>
      <c r="BG4083" s="8">
        <v>19.07</v>
      </c>
      <c r="BH4083" s="9">
        <f t="shared" si="567"/>
        <v>679.43000000000006</v>
      </c>
      <c r="BI4083" s="9">
        <f t="shared" si="568"/>
        <v>4.21</v>
      </c>
      <c r="BJ4083" s="9">
        <f t="shared" si="569"/>
        <v>1.0900000000000001</v>
      </c>
      <c r="BK4083" s="9">
        <f t="shared" si="570"/>
        <v>5.44</v>
      </c>
      <c r="BL4083" s="9">
        <f t="shared" si="571"/>
        <v>0</v>
      </c>
      <c r="BM4083" s="9">
        <f t="shared" si="572"/>
        <v>34.051279999999998</v>
      </c>
      <c r="BN4083" s="9">
        <f t="shared" si="573"/>
        <v>260.8</v>
      </c>
      <c r="BO4083" s="9">
        <f t="shared" si="574"/>
        <v>0</v>
      </c>
      <c r="BP4083" s="9">
        <f t="shared" si="575"/>
        <v>0</v>
      </c>
    </row>
    <row r="4084" spans="1:68">
      <c r="A4084" s="6">
        <v>45307</v>
      </c>
      <c r="B4084" s="7">
        <v>3028</v>
      </c>
      <c r="C4084" s="8"/>
      <c r="D4084" s="8">
        <v>391.69</v>
      </c>
      <c r="E4084" s="8"/>
      <c r="F4084" s="8">
        <v>359.37</v>
      </c>
      <c r="G4084" s="8"/>
      <c r="H4084" s="8"/>
      <c r="I4084" s="8">
        <v>812.66</v>
      </c>
      <c r="J4084" s="8"/>
      <c r="K4084" s="8"/>
      <c r="L4084" s="8"/>
      <c r="M4084" s="8"/>
      <c r="N4084" s="8">
        <v>12.04</v>
      </c>
      <c r="O4084" s="8"/>
      <c r="P4084" s="8"/>
      <c r="Q4084" s="8"/>
      <c r="R4084" s="8"/>
      <c r="S4084" s="8">
        <v>2.1800000000000002</v>
      </c>
      <c r="T4084" s="8"/>
      <c r="U4084" s="8"/>
      <c r="V4084" s="8"/>
      <c r="W4084" s="8">
        <v>11.74</v>
      </c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>
        <v>15.59</v>
      </c>
      <c r="AN4084" s="8">
        <f>1067*10.42/1000</f>
        <v>11.118139999999999</v>
      </c>
      <c r="AO4084" s="8"/>
      <c r="AP4084" s="8"/>
      <c r="AQ4084" s="8"/>
      <c r="AR4084" s="8"/>
      <c r="AS4084" s="8">
        <f>4976*10.42/1000</f>
        <v>51.849919999999997</v>
      </c>
      <c r="AT4084" s="8">
        <v>520.77</v>
      </c>
      <c r="AU4084" s="8"/>
      <c r="AV4084" s="8"/>
      <c r="AW4084" s="8"/>
      <c r="AX4084" s="8"/>
      <c r="AY4084" s="8"/>
      <c r="AZ4084" s="8"/>
      <c r="BA4084" s="8"/>
      <c r="BB4084" s="8"/>
      <c r="BC4084" s="8"/>
      <c r="BD4084" s="8"/>
      <c r="BE4084" s="8"/>
      <c r="BF4084" s="8"/>
      <c r="BG4084" s="8">
        <v>35.619999999999997</v>
      </c>
      <c r="BH4084" s="9">
        <f t="shared" si="567"/>
        <v>1563.7199999999998</v>
      </c>
      <c r="BI4084" s="9">
        <f t="shared" si="568"/>
        <v>12.04</v>
      </c>
      <c r="BJ4084" s="9">
        <f t="shared" si="569"/>
        <v>2.1800000000000002</v>
      </c>
      <c r="BK4084" s="9">
        <f t="shared" si="570"/>
        <v>11.74</v>
      </c>
      <c r="BL4084" s="9">
        <f t="shared" si="571"/>
        <v>0</v>
      </c>
      <c r="BM4084" s="9">
        <f t="shared" si="572"/>
        <v>78.558059999999998</v>
      </c>
      <c r="BN4084" s="9">
        <f t="shared" si="573"/>
        <v>520.77</v>
      </c>
      <c r="BO4084" s="9">
        <f t="shared" si="574"/>
        <v>0</v>
      </c>
      <c r="BP4084" s="9">
        <f t="shared" si="575"/>
        <v>0</v>
      </c>
    </row>
    <row r="4085" spans="1:68">
      <c r="A4085" s="6">
        <v>45307</v>
      </c>
      <c r="B4085" s="7">
        <v>3023</v>
      </c>
      <c r="C4085" s="8"/>
      <c r="D4085" s="8">
        <v>1684.87</v>
      </c>
      <c r="E4085" s="8"/>
      <c r="F4085" s="8"/>
      <c r="G4085" s="8"/>
      <c r="H4085" s="8"/>
      <c r="I4085" s="8">
        <v>907.82</v>
      </c>
      <c r="J4085" s="8"/>
      <c r="K4085" s="8"/>
      <c r="L4085" s="8"/>
      <c r="M4085" s="8"/>
      <c r="N4085" s="8">
        <v>14.51</v>
      </c>
      <c r="O4085" s="8"/>
      <c r="P4085" s="8"/>
      <c r="Q4085" s="8"/>
      <c r="R4085" s="8"/>
      <c r="S4085" s="8">
        <v>4.13</v>
      </c>
      <c r="T4085" s="8"/>
      <c r="U4085" s="8"/>
      <c r="V4085" s="8"/>
      <c r="W4085" s="8">
        <v>23.39</v>
      </c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>
        <v>25.82</v>
      </c>
      <c r="AN4085" s="8">
        <f>1024*17.87/1000</f>
        <v>18.29888</v>
      </c>
      <c r="AO4085" s="8"/>
      <c r="AP4085" s="8"/>
      <c r="AQ4085" s="8"/>
      <c r="AR4085" s="8"/>
      <c r="AS4085" s="8">
        <f>4792*17.87/1000</f>
        <v>85.633040000000008</v>
      </c>
      <c r="AT4085" s="8">
        <v>1058.71</v>
      </c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8"/>
      <c r="BG4085" s="8">
        <v>80.22</v>
      </c>
      <c r="BH4085" s="9">
        <f t="shared" si="567"/>
        <v>2592.69</v>
      </c>
      <c r="BI4085" s="9">
        <f t="shared" si="568"/>
        <v>14.51</v>
      </c>
      <c r="BJ4085" s="9">
        <f t="shared" si="569"/>
        <v>4.13</v>
      </c>
      <c r="BK4085" s="9">
        <f t="shared" si="570"/>
        <v>23.39</v>
      </c>
      <c r="BL4085" s="9">
        <f t="shared" si="571"/>
        <v>0</v>
      </c>
      <c r="BM4085" s="9">
        <f t="shared" si="572"/>
        <v>129.75192000000001</v>
      </c>
      <c r="BN4085" s="9">
        <f t="shared" si="573"/>
        <v>1058.71</v>
      </c>
      <c r="BO4085" s="9">
        <f t="shared" si="574"/>
        <v>0</v>
      </c>
      <c r="BP4085" s="9">
        <f t="shared" si="575"/>
        <v>0</v>
      </c>
    </row>
    <row r="4086" spans="1:68">
      <c r="A4086" s="6">
        <v>45307</v>
      </c>
      <c r="B4086" s="7">
        <v>3025</v>
      </c>
      <c r="C4086" s="8"/>
      <c r="D4086" s="8">
        <v>216.54</v>
      </c>
      <c r="E4086" s="8"/>
      <c r="F4086" s="8"/>
      <c r="G4086" s="8"/>
      <c r="H4086" s="8"/>
      <c r="I4086" s="8">
        <v>1209.72</v>
      </c>
      <c r="J4086" s="8"/>
      <c r="K4086" s="8"/>
      <c r="L4086" s="8"/>
      <c r="M4086" s="8"/>
      <c r="N4086" s="8">
        <v>7.97</v>
      </c>
      <c r="O4086" s="8"/>
      <c r="P4086" s="8"/>
      <c r="Q4086" s="8"/>
      <c r="R4086" s="8"/>
      <c r="S4086" s="8">
        <v>2.2799999999999998</v>
      </c>
      <c r="T4086" s="8"/>
      <c r="U4086" s="8"/>
      <c r="V4086" s="8"/>
      <c r="W4086" s="8">
        <v>12.83</v>
      </c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>
        <v>14.24</v>
      </c>
      <c r="AN4086" s="8">
        <f>714*14.25/1000</f>
        <v>10.1745</v>
      </c>
      <c r="AO4086" s="8"/>
      <c r="AP4086" s="8"/>
      <c r="AQ4086" s="8"/>
      <c r="AR4086" s="8"/>
      <c r="AS4086" s="8">
        <f>3329*14.25/1000</f>
        <v>47.438249999999996</v>
      </c>
      <c r="AT4086" s="8">
        <v>493.65</v>
      </c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  <c r="BF4086" s="8"/>
      <c r="BG4086" s="8">
        <v>32.72</v>
      </c>
      <c r="BH4086" s="9">
        <f t="shared" si="567"/>
        <v>1426.26</v>
      </c>
      <c r="BI4086" s="9">
        <f t="shared" si="568"/>
        <v>7.97</v>
      </c>
      <c r="BJ4086" s="9">
        <f t="shared" si="569"/>
        <v>2.2799999999999998</v>
      </c>
      <c r="BK4086" s="9">
        <f t="shared" si="570"/>
        <v>12.83</v>
      </c>
      <c r="BL4086" s="9">
        <f t="shared" si="571"/>
        <v>0</v>
      </c>
      <c r="BM4086" s="9">
        <f t="shared" si="572"/>
        <v>71.85275</v>
      </c>
      <c r="BN4086" s="9">
        <f t="shared" si="573"/>
        <v>493.65</v>
      </c>
      <c r="BO4086" s="9">
        <f t="shared" si="574"/>
        <v>0</v>
      </c>
      <c r="BP4086" s="9">
        <f t="shared" si="575"/>
        <v>0</v>
      </c>
    </row>
    <row r="4087" spans="1:68">
      <c r="A4087" s="6">
        <v>45307</v>
      </c>
      <c r="B4087" s="7">
        <v>3117</v>
      </c>
      <c r="C4087" s="8">
        <v>807.44</v>
      </c>
      <c r="D4087" s="8"/>
      <c r="E4087" s="8"/>
      <c r="F4087" s="8"/>
      <c r="G4087" s="8"/>
      <c r="H4087" s="8"/>
      <c r="I4087" s="8"/>
      <c r="J4087" s="8"/>
      <c r="K4087" s="8"/>
      <c r="L4087" s="8"/>
      <c r="M4087" s="8">
        <v>2.35</v>
      </c>
      <c r="N4087" s="8"/>
      <c r="O4087" s="8"/>
      <c r="P4087" s="8"/>
      <c r="Q4087" s="8"/>
      <c r="R4087" s="8"/>
      <c r="S4087" s="8">
        <v>3.23</v>
      </c>
      <c r="T4087" s="8"/>
      <c r="U4087" s="8">
        <v>8.09</v>
      </c>
      <c r="V4087" s="8"/>
      <c r="W4087" s="8"/>
      <c r="X4087" s="8"/>
      <c r="Y4087" s="8"/>
      <c r="Z4087" s="8"/>
      <c r="AA4087" s="8"/>
      <c r="AB4087" s="8"/>
      <c r="AC4087" s="8">
        <v>3.24</v>
      </c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>
        <v>508.45</v>
      </c>
      <c r="AU4087" s="8"/>
      <c r="AV4087" s="8">
        <v>20.21</v>
      </c>
      <c r="AW4087" s="8"/>
      <c r="AX4087" s="8"/>
      <c r="AY4087" s="8"/>
      <c r="AZ4087" s="8"/>
      <c r="BA4087" s="8"/>
      <c r="BB4087" s="8"/>
      <c r="BC4087" s="8"/>
      <c r="BD4087" s="8"/>
      <c r="BE4087" s="8"/>
      <c r="BF4087" s="8">
        <v>40.380000000000003</v>
      </c>
      <c r="BG4087" s="8">
        <v>38.79</v>
      </c>
      <c r="BH4087" s="9">
        <f t="shared" si="567"/>
        <v>807.44</v>
      </c>
      <c r="BI4087" s="9">
        <f t="shared" si="568"/>
        <v>2.35</v>
      </c>
      <c r="BJ4087" s="9">
        <f t="shared" si="569"/>
        <v>3.23</v>
      </c>
      <c r="BK4087" s="9">
        <f t="shared" si="570"/>
        <v>8.09</v>
      </c>
      <c r="BL4087" s="9">
        <f t="shared" si="571"/>
        <v>0</v>
      </c>
      <c r="BM4087" s="9">
        <f t="shared" si="572"/>
        <v>3.24</v>
      </c>
      <c r="BN4087" s="9">
        <f t="shared" si="573"/>
        <v>508.45</v>
      </c>
      <c r="BO4087" s="9">
        <f t="shared" si="574"/>
        <v>20.21</v>
      </c>
      <c r="BP4087" s="9">
        <f t="shared" si="575"/>
        <v>40.380000000000003</v>
      </c>
    </row>
    <row r="4088" spans="1:68">
      <c r="A4088" s="6">
        <v>45307</v>
      </c>
      <c r="B4088" s="7">
        <v>3703</v>
      </c>
      <c r="C4088" s="8">
        <v>513.39</v>
      </c>
      <c r="D4088" s="8">
        <v>342.55</v>
      </c>
      <c r="E4088" s="8"/>
      <c r="F4088" s="8"/>
      <c r="G4088" s="8"/>
      <c r="H4088" s="8"/>
      <c r="I4088" s="8"/>
      <c r="J4088" s="8"/>
      <c r="K4088" s="8"/>
      <c r="L4088" s="8"/>
      <c r="M4088" s="8">
        <v>1.72</v>
      </c>
      <c r="N4088" s="8"/>
      <c r="O4088" s="8"/>
      <c r="P4088" s="8"/>
      <c r="Q4088" s="8"/>
      <c r="R4088" s="8"/>
      <c r="S4088" s="8">
        <v>4.2</v>
      </c>
      <c r="T4088" s="8"/>
      <c r="U4088" s="8">
        <v>6.87</v>
      </c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>
        <v>8.5399999999999991</v>
      </c>
      <c r="AN4088" s="8"/>
      <c r="AO4088" s="8"/>
      <c r="AP4088" s="8"/>
      <c r="AQ4088" s="8"/>
      <c r="AR4088" s="8"/>
      <c r="AS4088" s="8"/>
      <c r="AT4088" s="8">
        <v>208.26</v>
      </c>
      <c r="AU4088" s="8">
        <v>103.86</v>
      </c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  <c r="BF4088" s="8"/>
      <c r="BG4088" s="8">
        <v>21.92</v>
      </c>
      <c r="BH4088" s="9">
        <f t="shared" si="567"/>
        <v>855.94</v>
      </c>
      <c r="BI4088" s="9">
        <f t="shared" si="568"/>
        <v>1.72</v>
      </c>
      <c r="BJ4088" s="9">
        <f t="shared" si="569"/>
        <v>4.2</v>
      </c>
      <c r="BK4088" s="9">
        <f t="shared" si="570"/>
        <v>6.87</v>
      </c>
      <c r="BL4088" s="9">
        <f t="shared" si="571"/>
        <v>0</v>
      </c>
      <c r="BM4088" s="9">
        <f t="shared" si="572"/>
        <v>8.5399999999999991</v>
      </c>
      <c r="BN4088" s="9">
        <f t="shared" si="573"/>
        <v>312.12</v>
      </c>
      <c r="BO4088" s="9">
        <f t="shared" si="574"/>
        <v>0</v>
      </c>
      <c r="BP4088" s="9">
        <f t="shared" si="575"/>
        <v>0</v>
      </c>
    </row>
    <row r="4089" spans="1:68">
      <c r="A4089" s="6">
        <v>45307</v>
      </c>
      <c r="B4089" s="7">
        <v>3704</v>
      </c>
      <c r="C4089" s="8">
        <v>333.92</v>
      </c>
      <c r="D4089" s="8">
        <v>500.34</v>
      </c>
      <c r="E4089" s="8"/>
      <c r="F4089" s="8"/>
      <c r="G4089" s="8"/>
      <c r="H4089" s="8"/>
      <c r="I4089" s="8"/>
      <c r="J4089" s="8"/>
      <c r="K4089" s="8"/>
      <c r="L4089" s="8"/>
      <c r="M4089" s="8">
        <v>2.4900000000000002</v>
      </c>
      <c r="N4089" s="8"/>
      <c r="O4089" s="8"/>
      <c r="P4089" s="8"/>
      <c r="Q4089" s="8"/>
      <c r="R4089" s="8"/>
      <c r="S4089" s="8">
        <v>2.92</v>
      </c>
      <c r="T4089" s="8"/>
      <c r="U4089" s="8">
        <v>6.23</v>
      </c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>
        <v>10.01</v>
      </c>
      <c r="AN4089" s="8"/>
      <c r="AO4089" s="8"/>
      <c r="AP4089" s="8"/>
      <c r="AQ4089" s="8"/>
      <c r="AR4089" s="8"/>
      <c r="AS4089" s="8"/>
      <c r="AT4089" s="8">
        <v>144.53</v>
      </c>
      <c r="AU4089" s="8">
        <v>72.510000000000005</v>
      </c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  <c r="BF4089" s="8"/>
      <c r="BG4089" s="8">
        <v>13.18</v>
      </c>
      <c r="BH4089" s="9">
        <f t="shared" si="567"/>
        <v>834.26</v>
      </c>
      <c r="BI4089" s="9">
        <f t="shared" si="568"/>
        <v>2.4900000000000002</v>
      </c>
      <c r="BJ4089" s="9">
        <f t="shared" si="569"/>
        <v>2.92</v>
      </c>
      <c r="BK4089" s="9">
        <f t="shared" si="570"/>
        <v>6.23</v>
      </c>
      <c r="BL4089" s="9">
        <f t="shared" si="571"/>
        <v>0</v>
      </c>
      <c r="BM4089" s="9">
        <f t="shared" si="572"/>
        <v>10.01</v>
      </c>
      <c r="BN4089" s="9">
        <f t="shared" si="573"/>
        <v>217.04000000000002</v>
      </c>
      <c r="BO4089" s="9">
        <f t="shared" si="574"/>
        <v>0</v>
      </c>
      <c r="BP4089" s="9">
        <f t="shared" si="575"/>
        <v>0</v>
      </c>
    </row>
    <row r="4090" spans="1:68">
      <c r="A4090" s="6">
        <v>45308</v>
      </c>
      <c r="B4090" s="7">
        <v>3029</v>
      </c>
      <c r="C4090" s="8"/>
      <c r="D4090" s="8">
        <v>242.96</v>
      </c>
      <c r="E4090" s="8"/>
      <c r="F4090" s="8">
        <v>170.68</v>
      </c>
      <c r="G4090" s="8"/>
      <c r="H4090" s="8"/>
      <c r="I4090" s="8">
        <v>1010.96</v>
      </c>
      <c r="J4090" s="8"/>
      <c r="K4090" s="8"/>
      <c r="L4090" s="8"/>
      <c r="M4090" s="8"/>
      <c r="N4090" s="8">
        <v>11.27</v>
      </c>
      <c r="O4090" s="8"/>
      <c r="P4090" s="8"/>
      <c r="Q4090" s="8"/>
      <c r="R4090" s="8"/>
      <c r="S4090" s="8">
        <v>0.85</v>
      </c>
      <c r="T4090" s="8"/>
      <c r="U4090" s="8"/>
      <c r="V4090" s="8"/>
      <c r="W4090" s="8">
        <v>14.27</v>
      </c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>
        <v>4.97</v>
      </c>
      <c r="AN4090" s="8">
        <f>760*9.5/1000</f>
        <v>7.22</v>
      </c>
      <c r="AO4090" s="8"/>
      <c r="AP4090" s="8"/>
      <c r="AQ4090" s="8"/>
      <c r="AR4090" s="8">
        <f>4532*9.5/1000</f>
        <v>43.054000000000002</v>
      </c>
      <c r="AS4090" s="8"/>
      <c r="AT4090" s="8">
        <v>541.41999999999996</v>
      </c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  <c r="BF4090" s="8"/>
      <c r="BG4090" s="8">
        <v>37.78</v>
      </c>
      <c r="BH4090" s="9">
        <f t="shared" si="567"/>
        <v>1424.6</v>
      </c>
      <c r="BI4090" s="9">
        <f t="shared" si="568"/>
        <v>11.27</v>
      </c>
      <c r="BJ4090" s="9">
        <f t="shared" si="569"/>
        <v>0.85</v>
      </c>
      <c r="BK4090" s="9">
        <f t="shared" si="570"/>
        <v>14.27</v>
      </c>
      <c r="BL4090" s="9">
        <f t="shared" si="571"/>
        <v>0</v>
      </c>
      <c r="BM4090" s="9">
        <f t="shared" si="572"/>
        <v>55.244</v>
      </c>
      <c r="BN4090" s="9">
        <f t="shared" si="573"/>
        <v>541.41999999999996</v>
      </c>
      <c r="BO4090" s="9">
        <f t="shared" si="574"/>
        <v>0</v>
      </c>
      <c r="BP4090" s="9">
        <f t="shared" si="575"/>
        <v>0</v>
      </c>
    </row>
    <row r="4091" spans="1:68">
      <c r="A4091" s="6">
        <v>45308</v>
      </c>
      <c r="B4091" s="7">
        <v>3079</v>
      </c>
      <c r="C4091" s="8"/>
      <c r="D4091" s="8"/>
      <c r="E4091" s="8"/>
      <c r="F4091" s="8">
        <v>176.28</v>
      </c>
      <c r="G4091" s="8"/>
      <c r="H4091" s="8"/>
      <c r="I4091" s="8">
        <v>1424.27</v>
      </c>
      <c r="J4091" s="8"/>
      <c r="K4091" s="8"/>
      <c r="L4091" s="8"/>
      <c r="M4091" s="8"/>
      <c r="N4091" s="8">
        <v>11.69</v>
      </c>
      <c r="O4091" s="8"/>
      <c r="P4091" s="8"/>
      <c r="Q4091" s="8"/>
      <c r="R4091" s="8"/>
      <c r="S4091" s="8">
        <v>0.64</v>
      </c>
      <c r="T4091" s="8"/>
      <c r="U4091" s="8"/>
      <c r="V4091" s="8"/>
      <c r="W4091" s="8">
        <v>16.02</v>
      </c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>
        <v>6.41</v>
      </c>
      <c r="AN4091" s="8">
        <f>1728*9.43/1000</f>
        <v>16.29504</v>
      </c>
      <c r="AO4091" s="8"/>
      <c r="AP4091" s="8"/>
      <c r="AQ4091" s="8"/>
      <c r="AR4091" s="8">
        <f>4280*9.43/1000</f>
        <v>40.360399999999998</v>
      </c>
      <c r="AS4091" s="8"/>
      <c r="AT4091" s="8">
        <v>618.62</v>
      </c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  <c r="BF4091" s="8"/>
      <c r="BG4091" s="8">
        <v>44.82</v>
      </c>
      <c r="BH4091" s="9">
        <f t="shared" si="567"/>
        <v>1600.55</v>
      </c>
      <c r="BI4091" s="9">
        <f t="shared" si="568"/>
        <v>11.69</v>
      </c>
      <c r="BJ4091" s="9">
        <f t="shared" si="569"/>
        <v>0.64</v>
      </c>
      <c r="BK4091" s="9">
        <f t="shared" si="570"/>
        <v>16.02</v>
      </c>
      <c r="BL4091" s="9">
        <f t="shared" si="571"/>
        <v>0</v>
      </c>
      <c r="BM4091" s="9">
        <f t="shared" si="572"/>
        <v>63.065439999999995</v>
      </c>
      <c r="BN4091" s="9">
        <f t="shared" si="573"/>
        <v>618.62</v>
      </c>
      <c r="BO4091" s="9">
        <f t="shared" si="574"/>
        <v>0</v>
      </c>
      <c r="BP4091" s="9">
        <f t="shared" si="575"/>
        <v>0</v>
      </c>
    </row>
    <row r="4092" spans="1:68">
      <c r="A4092" s="6">
        <v>45308</v>
      </c>
      <c r="B4092" s="7">
        <v>3016</v>
      </c>
      <c r="C4092" s="8"/>
      <c r="D4092" s="8">
        <v>1600.3</v>
      </c>
      <c r="E4092" s="8"/>
      <c r="F4092" s="8"/>
      <c r="G4092" s="8"/>
      <c r="H4092" s="8"/>
      <c r="I4092" s="8">
        <v>1478.75</v>
      </c>
      <c r="J4092" s="8"/>
      <c r="K4092" s="8"/>
      <c r="L4092" s="8"/>
      <c r="M4092" s="8"/>
      <c r="N4092" s="8">
        <v>19.39</v>
      </c>
      <c r="O4092" s="8"/>
      <c r="P4092" s="8"/>
      <c r="Q4092" s="8"/>
      <c r="R4092" s="8"/>
      <c r="S4092" s="8">
        <v>2.15</v>
      </c>
      <c r="T4092" s="8"/>
      <c r="U4092" s="8"/>
      <c r="V4092" s="8"/>
      <c r="W4092" s="8">
        <v>30.79</v>
      </c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>
        <v>12.31</v>
      </c>
      <c r="AN4092" s="8">
        <f>2059*18.1/1000</f>
        <v>37.267900000000004</v>
      </c>
      <c r="AO4092" s="8"/>
      <c r="AP4092" s="8"/>
      <c r="AQ4092" s="8"/>
      <c r="AR4092" s="8">
        <f>4280*18.1/1000</f>
        <v>77.468000000000004</v>
      </c>
      <c r="AS4092" s="8"/>
      <c r="AT4092" s="8">
        <v>1144.94</v>
      </c>
      <c r="AU4092" s="8"/>
      <c r="AV4092" s="8"/>
      <c r="AW4092" s="8"/>
      <c r="AX4092" s="8"/>
      <c r="AY4092" s="8"/>
      <c r="AZ4092" s="8"/>
      <c r="BA4092" s="8"/>
      <c r="BB4092" s="8"/>
      <c r="BC4092" s="8"/>
      <c r="BD4092" s="8"/>
      <c r="BE4092" s="8"/>
      <c r="BF4092" s="8"/>
      <c r="BG4092" s="8">
        <v>83.58</v>
      </c>
      <c r="BH4092" s="9">
        <f t="shared" si="567"/>
        <v>3079.05</v>
      </c>
      <c r="BI4092" s="9">
        <f t="shared" si="568"/>
        <v>19.39</v>
      </c>
      <c r="BJ4092" s="9">
        <f t="shared" si="569"/>
        <v>2.15</v>
      </c>
      <c r="BK4092" s="9">
        <f t="shared" si="570"/>
        <v>30.79</v>
      </c>
      <c r="BL4092" s="9">
        <f t="shared" si="571"/>
        <v>0</v>
      </c>
      <c r="BM4092" s="9">
        <f t="shared" si="572"/>
        <v>127.04590000000002</v>
      </c>
      <c r="BN4092" s="9">
        <f t="shared" si="573"/>
        <v>1144.94</v>
      </c>
      <c r="BO4092" s="9">
        <f t="shared" si="574"/>
        <v>0</v>
      </c>
      <c r="BP4092" s="9">
        <f t="shared" si="575"/>
        <v>0</v>
      </c>
    </row>
    <row r="4093" spans="1:68">
      <c r="A4093" s="6">
        <v>45308</v>
      </c>
      <c r="B4093" s="7">
        <v>3155</v>
      </c>
      <c r="C4093" s="8">
        <v>403.67</v>
      </c>
      <c r="D4093" s="8">
        <v>404.77</v>
      </c>
      <c r="E4093" s="8"/>
      <c r="F4093" s="8"/>
      <c r="G4093" s="8"/>
      <c r="H4093" s="8"/>
      <c r="I4093" s="8"/>
      <c r="J4093" s="8"/>
      <c r="K4093" s="8"/>
      <c r="L4093" s="8"/>
      <c r="M4093" s="8">
        <v>2.35</v>
      </c>
      <c r="N4093" s="8"/>
      <c r="O4093" s="8"/>
      <c r="P4093" s="8"/>
      <c r="Q4093" s="8"/>
      <c r="R4093" s="8"/>
      <c r="S4093" s="8">
        <v>4.04</v>
      </c>
      <c r="T4093" s="8"/>
      <c r="U4093" s="8">
        <v>12.94</v>
      </c>
      <c r="V4093" s="8"/>
      <c r="W4093" s="8"/>
      <c r="X4093" s="8"/>
      <c r="Y4093" s="8"/>
      <c r="Z4093" s="8"/>
      <c r="AA4093" s="8"/>
      <c r="AB4093" s="8"/>
      <c r="AC4093" s="8">
        <v>3.23</v>
      </c>
      <c r="AD4093" s="8"/>
      <c r="AE4093" s="8"/>
      <c r="AF4093" s="8"/>
      <c r="AG4093" s="8">
        <v>4.05</v>
      </c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>
        <v>519.21</v>
      </c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  <c r="BF4093" s="8">
        <v>105.18</v>
      </c>
      <c r="BG4093" s="8">
        <v>42.07</v>
      </c>
      <c r="BH4093" s="9">
        <f t="shared" si="567"/>
        <v>808.44</v>
      </c>
      <c r="BI4093" s="9">
        <f t="shared" si="568"/>
        <v>2.35</v>
      </c>
      <c r="BJ4093" s="9">
        <f t="shared" si="569"/>
        <v>4.04</v>
      </c>
      <c r="BK4093" s="9">
        <f t="shared" si="570"/>
        <v>12.94</v>
      </c>
      <c r="BL4093" s="9">
        <f t="shared" si="571"/>
        <v>0</v>
      </c>
      <c r="BM4093" s="9">
        <f t="shared" si="572"/>
        <v>7.2799999999999994</v>
      </c>
      <c r="BN4093" s="9">
        <f t="shared" si="573"/>
        <v>519.21</v>
      </c>
      <c r="BO4093" s="9">
        <f t="shared" si="574"/>
        <v>0</v>
      </c>
      <c r="BP4093" s="9">
        <f t="shared" si="575"/>
        <v>105.18</v>
      </c>
    </row>
    <row r="4094" spans="1:68">
      <c r="A4094" s="6">
        <v>45308</v>
      </c>
      <c r="B4094" s="7">
        <v>3602</v>
      </c>
      <c r="C4094" s="8">
        <v>591.16</v>
      </c>
      <c r="D4094" s="8"/>
      <c r="E4094" s="8"/>
      <c r="F4094" s="8"/>
      <c r="G4094" s="8">
        <v>885.87</v>
      </c>
      <c r="H4094" s="8"/>
      <c r="I4094" s="8"/>
      <c r="J4094" s="8"/>
      <c r="K4094" s="8"/>
      <c r="L4094" s="8"/>
      <c r="M4094" s="8">
        <v>1.91</v>
      </c>
      <c r="N4094" s="8"/>
      <c r="O4094" s="8"/>
      <c r="P4094" s="8"/>
      <c r="Q4094" s="8"/>
      <c r="R4094" s="8"/>
      <c r="S4094" s="8">
        <v>7.08</v>
      </c>
      <c r="T4094" s="8"/>
      <c r="U4094" s="8">
        <v>11.81</v>
      </c>
      <c r="V4094" s="8">
        <f>854*16.88/1000</f>
        <v>14.415519999999999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>
        <v>595</v>
      </c>
      <c r="AU4094" s="8"/>
      <c r="AV4094" s="8"/>
      <c r="AW4094" s="8">
        <v>38.200000000000003</v>
      </c>
      <c r="AX4094" s="8"/>
      <c r="AY4094" s="8"/>
      <c r="AZ4094" s="8"/>
      <c r="BA4094" s="8"/>
      <c r="BB4094" s="8"/>
      <c r="BC4094" s="8"/>
      <c r="BD4094" s="8"/>
      <c r="BE4094" s="8"/>
      <c r="BF4094" s="8"/>
      <c r="BG4094" s="8">
        <v>43.97</v>
      </c>
      <c r="BH4094" s="9">
        <f t="shared" si="567"/>
        <v>1477.03</v>
      </c>
      <c r="BI4094" s="9">
        <f t="shared" si="568"/>
        <v>1.91</v>
      </c>
      <c r="BJ4094" s="9">
        <f t="shared" si="569"/>
        <v>7.08</v>
      </c>
      <c r="BK4094" s="9">
        <f t="shared" si="570"/>
        <v>26.225519999999999</v>
      </c>
      <c r="BL4094" s="9">
        <f t="shared" si="571"/>
        <v>0</v>
      </c>
      <c r="BM4094" s="9">
        <f t="shared" si="572"/>
        <v>0</v>
      </c>
      <c r="BN4094" s="9">
        <f t="shared" si="573"/>
        <v>595</v>
      </c>
      <c r="BO4094" s="9">
        <f t="shared" si="574"/>
        <v>38.200000000000003</v>
      </c>
      <c r="BP4094" s="9">
        <f t="shared" si="575"/>
        <v>0</v>
      </c>
    </row>
    <row r="4095" spans="1:68">
      <c r="A4095" s="6">
        <v>45309</v>
      </c>
      <c r="B4095" s="7">
        <v>3117</v>
      </c>
      <c r="C4095" s="8">
        <v>201.23</v>
      </c>
      <c r="D4095" s="8"/>
      <c r="E4095" s="8"/>
      <c r="F4095" s="8"/>
      <c r="G4095" s="8"/>
      <c r="H4095" s="8"/>
      <c r="I4095" s="8"/>
      <c r="J4095" s="8"/>
      <c r="K4095" s="8"/>
      <c r="L4095" s="8"/>
      <c r="M4095" s="8">
        <v>0.57999999999999996</v>
      </c>
      <c r="N4095" s="8"/>
      <c r="O4095" s="8"/>
      <c r="P4095" s="8"/>
      <c r="Q4095" s="11"/>
      <c r="R4095" s="11"/>
      <c r="S4095" s="8">
        <v>0.81</v>
      </c>
      <c r="T4095" s="8"/>
      <c r="U4095" s="8">
        <v>2.0099999999999998</v>
      </c>
      <c r="V4095" s="8"/>
      <c r="W4095" s="8"/>
      <c r="X4095" s="8"/>
      <c r="Y4095" s="8"/>
      <c r="Z4095" s="8"/>
      <c r="AA4095" s="8"/>
      <c r="AB4095" s="8"/>
      <c r="AC4095" s="8">
        <v>0.8</v>
      </c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11"/>
      <c r="AQ4095" s="8"/>
      <c r="AR4095" s="8"/>
      <c r="AS4095" s="8"/>
      <c r="AT4095" s="8">
        <v>126.62</v>
      </c>
      <c r="AU4095" s="8"/>
      <c r="AV4095" s="8">
        <v>5.0199999999999996</v>
      </c>
      <c r="AW4095" s="8"/>
      <c r="AX4095" s="8"/>
      <c r="AY4095" s="8"/>
      <c r="AZ4095" s="8"/>
      <c r="BA4095" s="8"/>
      <c r="BB4095" s="8"/>
      <c r="BC4095" s="8"/>
      <c r="BD4095" s="8"/>
      <c r="BE4095" s="8"/>
      <c r="BF4095" s="8">
        <v>10.08</v>
      </c>
      <c r="BG4095" s="8">
        <v>9.65</v>
      </c>
      <c r="BH4095" s="9">
        <f t="shared" si="567"/>
        <v>201.23</v>
      </c>
      <c r="BI4095" s="9">
        <f t="shared" si="568"/>
        <v>0.57999999999999996</v>
      </c>
      <c r="BJ4095" s="9">
        <f t="shared" si="569"/>
        <v>0.81</v>
      </c>
      <c r="BK4095" s="9">
        <f t="shared" si="570"/>
        <v>2.0099999999999998</v>
      </c>
      <c r="BL4095" s="9">
        <f t="shared" si="571"/>
        <v>0</v>
      </c>
      <c r="BM4095" s="9">
        <f t="shared" si="572"/>
        <v>0.8</v>
      </c>
      <c r="BN4095" s="9">
        <f t="shared" si="573"/>
        <v>126.62</v>
      </c>
      <c r="BO4095" s="9">
        <f t="shared" si="574"/>
        <v>5.0199999999999996</v>
      </c>
      <c r="BP4095" s="9">
        <f t="shared" si="575"/>
        <v>10.08</v>
      </c>
    </row>
    <row r="4096" spans="1:68">
      <c r="A4096" s="6">
        <v>45309</v>
      </c>
      <c r="B4096" s="7">
        <v>3702</v>
      </c>
      <c r="C4096" s="8">
        <v>535.54999999999995</v>
      </c>
      <c r="D4096" s="8">
        <v>356.79</v>
      </c>
      <c r="E4096" s="8"/>
      <c r="F4096" s="8"/>
      <c r="G4096" s="8"/>
      <c r="H4096" s="8"/>
      <c r="I4096" s="8"/>
      <c r="J4096" s="8"/>
      <c r="K4096" s="8"/>
      <c r="L4096" s="8"/>
      <c r="M4096" s="8">
        <v>1.79</v>
      </c>
      <c r="N4096" s="8"/>
      <c r="O4096" s="8"/>
      <c r="P4096" s="8"/>
      <c r="Q4096" s="11"/>
      <c r="R4096" s="11"/>
      <c r="S4096" s="8">
        <v>4.2</v>
      </c>
      <c r="T4096" s="8"/>
      <c r="U4096" s="8">
        <v>6.7</v>
      </c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11"/>
      <c r="AQ4096" s="8"/>
      <c r="AR4096" s="8"/>
      <c r="AS4096" s="8"/>
      <c r="AT4096" s="8">
        <v>217.4</v>
      </c>
      <c r="AU4096" s="8">
        <v>108.81</v>
      </c>
      <c r="AV4096" s="8"/>
      <c r="AW4096" s="8">
        <v>1.99</v>
      </c>
      <c r="AX4096" s="8"/>
      <c r="AY4096" s="8"/>
      <c r="AZ4096" s="8"/>
      <c r="BA4096" s="8"/>
      <c r="BB4096" s="8"/>
      <c r="BC4096" s="8"/>
      <c r="BD4096" s="8"/>
      <c r="BE4096" s="8"/>
      <c r="BF4096" s="8"/>
      <c r="BG4096" s="8">
        <v>22.84</v>
      </c>
      <c r="BH4096" s="9">
        <f t="shared" si="567"/>
        <v>892.33999999999992</v>
      </c>
      <c r="BI4096" s="9">
        <f t="shared" si="568"/>
        <v>1.79</v>
      </c>
      <c r="BJ4096" s="9">
        <f t="shared" si="569"/>
        <v>4.2</v>
      </c>
      <c r="BK4096" s="9">
        <f t="shared" si="570"/>
        <v>6.7</v>
      </c>
      <c r="BL4096" s="9">
        <f t="shared" si="571"/>
        <v>0</v>
      </c>
      <c r="BM4096" s="9">
        <f t="shared" si="572"/>
        <v>0</v>
      </c>
      <c r="BN4096" s="9">
        <f t="shared" si="573"/>
        <v>326.21000000000004</v>
      </c>
      <c r="BO4096" s="9">
        <f t="shared" si="574"/>
        <v>1.99</v>
      </c>
      <c r="BP4096" s="9">
        <f t="shared" si="575"/>
        <v>0</v>
      </c>
    </row>
    <row r="4097" spans="1:68">
      <c r="A4097" s="6">
        <v>45309</v>
      </c>
      <c r="B4097" s="7">
        <v>3145</v>
      </c>
      <c r="C4097" s="8">
        <v>1236.3499999999999</v>
      </c>
      <c r="D4097" s="8">
        <v>218.17</v>
      </c>
      <c r="E4097" s="8"/>
      <c r="F4097" s="8"/>
      <c r="G4097" s="8"/>
      <c r="H4097" s="8"/>
      <c r="I4097" s="8"/>
      <c r="J4097" s="8"/>
      <c r="K4097" s="8"/>
      <c r="L4097" s="8"/>
      <c r="M4097" s="8">
        <v>4.2300000000000004</v>
      </c>
      <c r="N4097" s="8"/>
      <c r="O4097" s="8"/>
      <c r="P4097" s="8"/>
      <c r="Q4097" s="8"/>
      <c r="R4097" s="8"/>
      <c r="S4097" s="8">
        <v>6.84</v>
      </c>
      <c r="T4097" s="8"/>
      <c r="U4097" s="8">
        <v>21.83</v>
      </c>
      <c r="V4097" s="8"/>
      <c r="W4097" s="8"/>
      <c r="X4097" s="8"/>
      <c r="Y4097" s="8"/>
      <c r="Z4097" s="8"/>
      <c r="AA4097" s="8"/>
      <c r="AB4097" s="8"/>
      <c r="AC4097" s="8">
        <v>5.83</v>
      </c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>
        <v>964.72</v>
      </c>
      <c r="AU4097" s="8"/>
      <c r="AV4097" s="8"/>
      <c r="AW4097" s="8"/>
      <c r="AX4097" s="8"/>
      <c r="AY4097" s="8"/>
      <c r="AZ4097" s="8"/>
      <c r="BA4097" s="8"/>
      <c r="BB4097" s="8"/>
      <c r="BC4097" s="8"/>
      <c r="BD4097" s="8">
        <v>3.64</v>
      </c>
      <c r="BE4097" s="8">
        <f>1366*9.7/1000</f>
        <v>13.2502</v>
      </c>
      <c r="BF4097" s="8">
        <v>101.86</v>
      </c>
      <c r="BG4097" s="8">
        <v>75.680000000000007</v>
      </c>
      <c r="BH4097" s="9">
        <f t="shared" si="567"/>
        <v>1454.52</v>
      </c>
      <c r="BI4097" s="9">
        <f t="shared" si="568"/>
        <v>4.2300000000000004</v>
      </c>
      <c r="BJ4097" s="9">
        <f t="shared" si="569"/>
        <v>6.84</v>
      </c>
      <c r="BK4097" s="9">
        <f t="shared" si="570"/>
        <v>21.83</v>
      </c>
      <c r="BL4097" s="9">
        <f t="shared" si="571"/>
        <v>0</v>
      </c>
      <c r="BM4097" s="9">
        <f t="shared" si="572"/>
        <v>5.83</v>
      </c>
      <c r="BN4097" s="9">
        <f t="shared" si="573"/>
        <v>964.72</v>
      </c>
      <c r="BO4097" s="9">
        <f t="shared" si="574"/>
        <v>16.8902</v>
      </c>
      <c r="BP4097" s="9">
        <f t="shared" si="575"/>
        <v>101.86</v>
      </c>
    </row>
    <row r="4098" spans="1:68">
      <c r="A4098" s="6">
        <v>45309</v>
      </c>
      <c r="B4098" s="7">
        <v>3141</v>
      </c>
      <c r="C4098" s="8">
        <v>2373.73</v>
      </c>
      <c r="D4098" s="8">
        <v>418.9</v>
      </c>
      <c r="E4098" s="8"/>
      <c r="F4098" s="8"/>
      <c r="G4098" s="8"/>
      <c r="H4098" s="8"/>
      <c r="I4098" s="8"/>
      <c r="J4098" s="8"/>
      <c r="K4098" s="8"/>
      <c r="L4098" s="8"/>
      <c r="M4098" s="8">
        <v>8.11</v>
      </c>
      <c r="N4098" s="8"/>
      <c r="O4098" s="8"/>
      <c r="P4098" s="8"/>
      <c r="Q4098" s="8"/>
      <c r="R4098" s="8"/>
      <c r="S4098" s="8">
        <v>13.14</v>
      </c>
      <c r="T4098" s="8"/>
      <c r="U4098" s="8">
        <v>41.91</v>
      </c>
      <c r="V4098" s="8"/>
      <c r="W4098" s="8"/>
      <c r="X4098" s="8"/>
      <c r="Y4098" s="8"/>
      <c r="Z4098" s="8"/>
      <c r="AA4098" s="8"/>
      <c r="AB4098" s="8"/>
      <c r="AC4098" s="8">
        <v>11.18</v>
      </c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>
        <v>1849.41</v>
      </c>
      <c r="AU4098" s="8"/>
      <c r="AV4098" s="8"/>
      <c r="AW4098" s="8"/>
      <c r="AX4098" s="8"/>
      <c r="AY4098" s="8"/>
      <c r="AZ4098" s="8"/>
      <c r="BA4098" s="8">
        <v>64.02</v>
      </c>
      <c r="BB4098" s="8"/>
      <c r="BC4098" s="8"/>
      <c r="BD4098" s="8"/>
      <c r="BE4098" s="8"/>
      <c r="BF4098" s="8">
        <v>195.41</v>
      </c>
      <c r="BG4098" s="8">
        <v>145.15</v>
      </c>
      <c r="BH4098" s="9">
        <f t="shared" si="567"/>
        <v>2792.63</v>
      </c>
      <c r="BI4098" s="9">
        <f t="shared" si="568"/>
        <v>8.11</v>
      </c>
      <c r="BJ4098" s="9">
        <f t="shared" si="569"/>
        <v>13.14</v>
      </c>
      <c r="BK4098" s="9">
        <f t="shared" si="570"/>
        <v>41.91</v>
      </c>
      <c r="BL4098" s="9">
        <f t="shared" si="571"/>
        <v>0</v>
      </c>
      <c r="BM4098" s="9">
        <f t="shared" si="572"/>
        <v>11.18</v>
      </c>
      <c r="BN4098" s="9">
        <f t="shared" si="573"/>
        <v>1849.41</v>
      </c>
      <c r="BO4098" s="9">
        <f t="shared" si="574"/>
        <v>64.02</v>
      </c>
      <c r="BP4098" s="9">
        <f t="shared" si="575"/>
        <v>195.41</v>
      </c>
    </row>
    <row r="4099" spans="1:68">
      <c r="A4099" s="6">
        <v>45309</v>
      </c>
      <c r="B4099" s="7">
        <v>3106</v>
      </c>
      <c r="C4099" s="8">
        <v>6126.01</v>
      </c>
      <c r="D4099" s="8"/>
      <c r="E4099" s="8"/>
      <c r="F4099" s="8"/>
      <c r="G4099" s="8"/>
      <c r="H4099" s="8"/>
      <c r="I4099" s="8"/>
      <c r="J4099" s="8"/>
      <c r="K4099" s="8"/>
      <c r="L4099" s="8"/>
      <c r="M4099" s="8">
        <v>15.33</v>
      </c>
      <c r="N4099" s="8"/>
      <c r="O4099" s="8"/>
      <c r="P4099" s="8"/>
      <c r="Q4099" s="8"/>
      <c r="R4099" s="8"/>
      <c r="S4099" s="8">
        <v>18.399999999999999</v>
      </c>
      <c r="T4099" s="8"/>
      <c r="U4099" s="8">
        <v>77.900000000000006</v>
      </c>
      <c r="V4099" s="8"/>
      <c r="W4099" s="8"/>
      <c r="X4099" s="8"/>
      <c r="Y4099" s="8"/>
      <c r="Z4099" s="8"/>
      <c r="AA4099" s="8"/>
      <c r="AB4099" s="8"/>
      <c r="AC4099" s="8">
        <v>15.31</v>
      </c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>
        <v>3493.82</v>
      </c>
      <c r="AU4099" s="8"/>
      <c r="AV4099" s="8"/>
      <c r="AW4099" s="8"/>
      <c r="AX4099" s="8">
        <v>7.67</v>
      </c>
      <c r="AY4099" s="8"/>
      <c r="AZ4099" s="8"/>
      <c r="BA4099" s="8"/>
      <c r="BB4099" s="8"/>
      <c r="BC4099" s="8"/>
      <c r="BD4099" s="8"/>
      <c r="BE4099" s="8"/>
      <c r="BF4099" s="8"/>
      <c r="BG4099" s="8">
        <v>263.58999999999997</v>
      </c>
      <c r="BH4099" s="9">
        <f t="shared" si="567"/>
        <v>6126.01</v>
      </c>
      <c r="BI4099" s="9">
        <f t="shared" si="568"/>
        <v>15.33</v>
      </c>
      <c r="BJ4099" s="9">
        <f t="shared" si="569"/>
        <v>18.399999999999999</v>
      </c>
      <c r="BK4099" s="9">
        <f t="shared" si="570"/>
        <v>77.900000000000006</v>
      </c>
      <c r="BL4099" s="9">
        <f t="shared" si="571"/>
        <v>0</v>
      </c>
      <c r="BM4099" s="9">
        <f t="shared" si="572"/>
        <v>15.31</v>
      </c>
      <c r="BN4099" s="9">
        <f t="shared" si="573"/>
        <v>3493.82</v>
      </c>
      <c r="BO4099" s="9">
        <f t="shared" si="574"/>
        <v>7.67</v>
      </c>
      <c r="BP4099" s="9">
        <f t="shared" si="575"/>
        <v>0</v>
      </c>
    </row>
    <row r="4100" spans="1:68">
      <c r="A4100" s="6">
        <v>45309</v>
      </c>
      <c r="B4100" s="7">
        <v>3113</v>
      </c>
      <c r="C4100" s="8">
        <v>1572.7</v>
      </c>
      <c r="D4100" s="8"/>
      <c r="E4100" s="8"/>
      <c r="F4100" s="8"/>
      <c r="G4100" s="8"/>
      <c r="H4100" s="8"/>
      <c r="I4100" s="8"/>
      <c r="J4100" s="8"/>
      <c r="K4100" s="8"/>
      <c r="L4100" s="8"/>
      <c r="M4100" s="8">
        <v>1.42</v>
      </c>
      <c r="N4100" s="8">
        <v>1.42</v>
      </c>
      <c r="O4100" s="8"/>
      <c r="P4100" s="8"/>
      <c r="Q4100" s="8"/>
      <c r="R4100" s="8"/>
      <c r="S4100" s="8">
        <v>4.9000000000000004</v>
      </c>
      <c r="T4100" s="8"/>
      <c r="U4100" s="8">
        <v>15.73</v>
      </c>
      <c r="V4100" s="8"/>
      <c r="W4100" s="8"/>
      <c r="X4100" s="8"/>
      <c r="Y4100" s="8"/>
      <c r="Z4100" s="8"/>
      <c r="AA4100" s="8"/>
      <c r="AB4100" s="8"/>
      <c r="AC4100" s="8">
        <v>6.28</v>
      </c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>
        <v>661.04</v>
      </c>
      <c r="AU4100" s="8"/>
      <c r="AV4100" s="8">
        <v>53.54</v>
      </c>
      <c r="AW4100" s="8"/>
      <c r="AX4100" s="8"/>
      <c r="AY4100" s="8"/>
      <c r="AZ4100" s="8"/>
      <c r="BA4100" s="8"/>
      <c r="BB4100" s="8"/>
      <c r="BC4100" s="8"/>
      <c r="BD4100" s="8"/>
      <c r="BE4100" s="8"/>
      <c r="BF4100" s="8"/>
      <c r="BG4100" s="8">
        <v>47.17</v>
      </c>
      <c r="BH4100" s="9">
        <f t="shared" ref="BH4100:BH4163" si="576">SUM(C4100:L4100)</f>
        <v>1572.7</v>
      </c>
      <c r="BI4100" s="9">
        <f t="shared" ref="BI4100:BI4163" si="577">SUM(M4100:R4100)</f>
        <v>2.84</v>
      </c>
      <c r="BJ4100" s="9">
        <f t="shared" ref="BJ4100:BJ4163" si="578">SUM(S4100)</f>
        <v>4.9000000000000004</v>
      </c>
      <c r="BK4100" s="9">
        <f t="shared" ref="BK4100:BK4163" si="579">SUM(T4100:Y4100)</f>
        <v>15.73</v>
      </c>
      <c r="BL4100" s="9">
        <f t="shared" ref="BL4100:BL4163" si="580">SUM(Z4100:AA4100)</f>
        <v>0</v>
      </c>
      <c r="BM4100" s="9">
        <f t="shared" ref="BM4100:BM4163" si="581">SUM(AB4100:AS4100)</f>
        <v>6.28</v>
      </c>
      <c r="BN4100" s="9">
        <f t="shared" ref="BN4100:BN4163" si="582">SUM(AT4100:AU4100)</f>
        <v>661.04</v>
      </c>
      <c r="BO4100" s="9">
        <f t="shared" ref="BO4100:BO4163" si="583">SUM(AV4100:BE4100)</f>
        <v>53.54</v>
      </c>
      <c r="BP4100" s="9">
        <f t="shared" ref="BP4100:BP4163" si="584">SUM(BF4100)</f>
        <v>0</v>
      </c>
    </row>
    <row r="4101" spans="1:68">
      <c r="A4101" s="6">
        <v>45309</v>
      </c>
      <c r="B4101" s="7">
        <v>3083</v>
      </c>
      <c r="C4101" s="8"/>
      <c r="D4101" s="8">
        <v>1075.6300000000001</v>
      </c>
      <c r="E4101" s="8"/>
      <c r="F4101" s="8"/>
      <c r="G4101" s="8"/>
      <c r="H4101" s="8"/>
      <c r="I4101" s="8">
        <v>2506.1</v>
      </c>
      <c r="J4101" s="8"/>
      <c r="K4101" s="8"/>
      <c r="L4101" s="8"/>
      <c r="M4101" s="8"/>
      <c r="N4101" s="8">
        <v>23.26</v>
      </c>
      <c r="O4101" s="8"/>
      <c r="P4101" s="8"/>
      <c r="Q4101" s="8"/>
      <c r="R4101" s="8"/>
      <c r="S4101" s="8">
        <v>2.5</v>
      </c>
      <c r="T4101" s="8"/>
      <c r="U4101" s="8"/>
      <c r="V4101" s="8"/>
      <c r="W4101" s="8">
        <v>28.65</v>
      </c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>
        <v>14.3</v>
      </c>
      <c r="AN4101" s="8">
        <f>1902*26.5/1000</f>
        <v>50.402999999999999</v>
      </c>
      <c r="AO4101" s="8"/>
      <c r="AP4101" s="8"/>
      <c r="AQ4101" s="8"/>
      <c r="AR4101" s="8">
        <f>3394*26.5/1000</f>
        <v>89.941000000000003</v>
      </c>
      <c r="AS4101" s="8"/>
      <c r="AT4101" s="8">
        <v>1683.95</v>
      </c>
      <c r="AU4101" s="8"/>
      <c r="AV4101" s="8"/>
      <c r="AW4101" s="8"/>
      <c r="AX4101" s="8"/>
      <c r="AY4101" s="8"/>
      <c r="AZ4101" s="8"/>
      <c r="BA4101" s="8"/>
      <c r="BB4101" s="8"/>
      <c r="BC4101" s="8"/>
      <c r="BD4101" s="8"/>
      <c r="BE4101" s="8"/>
      <c r="BF4101" s="8"/>
      <c r="BG4101" s="8">
        <v>133.61000000000001</v>
      </c>
      <c r="BH4101" s="9">
        <f t="shared" si="576"/>
        <v>3581.73</v>
      </c>
      <c r="BI4101" s="9">
        <f t="shared" si="577"/>
        <v>23.26</v>
      </c>
      <c r="BJ4101" s="9">
        <f t="shared" si="578"/>
        <v>2.5</v>
      </c>
      <c r="BK4101" s="9">
        <f t="shared" si="579"/>
        <v>28.65</v>
      </c>
      <c r="BL4101" s="9">
        <f t="shared" si="580"/>
        <v>0</v>
      </c>
      <c r="BM4101" s="9">
        <f t="shared" si="581"/>
        <v>154.64400000000001</v>
      </c>
      <c r="BN4101" s="9">
        <f t="shared" si="582"/>
        <v>1683.95</v>
      </c>
      <c r="BO4101" s="9">
        <f t="shared" si="583"/>
        <v>0</v>
      </c>
      <c r="BP4101" s="9">
        <f t="shared" si="584"/>
        <v>0</v>
      </c>
    </row>
    <row r="4102" spans="1:68">
      <c r="A4102" s="6">
        <v>45309</v>
      </c>
      <c r="B4102" s="7">
        <v>3205</v>
      </c>
      <c r="C4102" s="8">
        <v>717.86</v>
      </c>
      <c r="D4102" s="8">
        <v>398.58</v>
      </c>
      <c r="E4102" s="8">
        <v>479.78</v>
      </c>
      <c r="F4102" s="8"/>
      <c r="G4102" s="8"/>
      <c r="H4102" s="8"/>
      <c r="I4102" s="8"/>
      <c r="J4102" s="8"/>
      <c r="K4102" s="8"/>
      <c r="L4102" s="8"/>
      <c r="M4102" s="8"/>
      <c r="N4102" s="8"/>
      <c r="O4102" s="8">
        <v>6.39</v>
      </c>
      <c r="P4102" s="8"/>
      <c r="Q4102" s="8"/>
      <c r="R4102" s="8"/>
      <c r="S4102" s="8">
        <v>5.92</v>
      </c>
      <c r="T4102" s="8"/>
      <c r="U4102" s="8">
        <v>19.2</v>
      </c>
      <c r="V4102" s="8"/>
      <c r="W4102" s="8"/>
      <c r="X4102" s="8"/>
      <c r="Y4102" s="8"/>
      <c r="Z4102" s="8">
        <v>159.96</v>
      </c>
      <c r="AA4102" s="8"/>
      <c r="AB4102" s="8">
        <f>1027*15.97/1000</f>
        <v>16.401190000000003</v>
      </c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>
        <f>513*15.97/1000</f>
        <v>8.1926100000000002</v>
      </c>
      <c r="AR4102" s="8"/>
      <c r="AS4102" s="8"/>
      <c r="AT4102" s="8">
        <v>417.2</v>
      </c>
      <c r="AU4102" s="8">
        <v>207.92</v>
      </c>
      <c r="AV4102" s="8"/>
      <c r="AW4102" s="8">
        <v>6.88</v>
      </c>
      <c r="AX4102" s="8"/>
      <c r="AY4102" s="8"/>
      <c r="AZ4102" s="8"/>
      <c r="BA4102" s="8"/>
      <c r="BB4102" s="8"/>
      <c r="BC4102" s="8"/>
      <c r="BD4102" s="8"/>
      <c r="BE4102" s="8"/>
      <c r="BF4102" s="8"/>
      <c r="BG4102" s="8">
        <v>37.56</v>
      </c>
      <c r="BH4102" s="9">
        <f t="shared" si="576"/>
        <v>1596.22</v>
      </c>
      <c r="BI4102" s="9">
        <f t="shared" si="577"/>
        <v>6.39</v>
      </c>
      <c r="BJ4102" s="9">
        <f t="shared" si="578"/>
        <v>5.92</v>
      </c>
      <c r="BK4102" s="9">
        <f t="shared" si="579"/>
        <v>19.2</v>
      </c>
      <c r="BL4102" s="9">
        <f t="shared" si="580"/>
        <v>159.96</v>
      </c>
      <c r="BM4102" s="9">
        <f t="shared" si="581"/>
        <v>24.593800000000002</v>
      </c>
      <c r="BN4102" s="9">
        <f t="shared" si="582"/>
        <v>625.12</v>
      </c>
      <c r="BO4102" s="9">
        <f t="shared" si="583"/>
        <v>6.88</v>
      </c>
      <c r="BP4102" s="9">
        <f t="shared" si="584"/>
        <v>0</v>
      </c>
    </row>
    <row r="4103" spans="1:68">
      <c r="A4103" s="6">
        <v>45309</v>
      </c>
      <c r="B4103" s="7">
        <v>3200</v>
      </c>
      <c r="C4103" s="8">
        <v>2336.58</v>
      </c>
      <c r="D4103" s="8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>
        <v>5.84</v>
      </c>
      <c r="P4103" s="8"/>
      <c r="Q4103" s="8"/>
      <c r="R4103" s="8"/>
      <c r="S4103" s="8">
        <v>9.1199999999999992</v>
      </c>
      <c r="T4103" s="8"/>
      <c r="U4103" s="8">
        <v>35.04</v>
      </c>
      <c r="V4103" s="8"/>
      <c r="W4103" s="8"/>
      <c r="X4103" s="8"/>
      <c r="Y4103" s="8"/>
      <c r="Z4103" s="8">
        <v>490.96</v>
      </c>
      <c r="AA4103" s="8"/>
      <c r="AB4103" s="8"/>
      <c r="AC4103" s="8"/>
      <c r="AD4103" s="8"/>
      <c r="AE4103" s="8"/>
      <c r="AF4103" s="8">
        <v>116.45</v>
      </c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>
        <f>1529*23.37/1000</f>
        <v>35.732730000000004</v>
      </c>
      <c r="AR4103" s="8"/>
      <c r="AS4103" s="8"/>
      <c r="AT4103" s="8">
        <v>1599.44</v>
      </c>
      <c r="AU4103" s="8"/>
      <c r="AV4103" s="8"/>
      <c r="AW4103" s="8">
        <v>6.69</v>
      </c>
      <c r="AX4103" s="8"/>
      <c r="AY4103" s="8"/>
      <c r="AZ4103" s="8"/>
      <c r="BA4103" s="8"/>
      <c r="BB4103" s="8"/>
      <c r="BC4103" s="8"/>
      <c r="BD4103" s="8"/>
      <c r="BE4103" s="8"/>
      <c r="BF4103" s="8">
        <v>112.24</v>
      </c>
      <c r="BG4103" s="8">
        <v>115.84</v>
      </c>
      <c r="BH4103" s="9">
        <f t="shared" si="576"/>
        <v>2336.58</v>
      </c>
      <c r="BI4103" s="9">
        <f t="shared" si="577"/>
        <v>5.84</v>
      </c>
      <c r="BJ4103" s="9">
        <f t="shared" si="578"/>
        <v>9.1199999999999992</v>
      </c>
      <c r="BK4103" s="9">
        <f t="shared" si="579"/>
        <v>35.04</v>
      </c>
      <c r="BL4103" s="9">
        <f t="shared" si="580"/>
        <v>490.96</v>
      </c>
      <c r="BM4103" s="9">
        <f t="shared" si="581"/>
        <v>152.18272999999999</v>
      </c>
      <c r="BN4103" s="9">
        <f t="shared" si="582"/>
        <v>1599.44</v>
      </c>
      <c r="BO4103" s="9">
        <f t="shared" si="583"/>
        <v>6.69</v>
      </c>
      <c r="BP4103" s="9">
        <f t="shared" si="584"/>
        <v>112.24</v>
      </c>
    </row>
    <row r="4104" spans="1:68">
      <c r="A4104" s="6">
        <v>45310</v>
      </c>
      <c r="B4104" s="7">
        <v>3139</v>
      </c>
      <c r="C4104" s="8">
        <v>1079.3800000000001</v>
      </c>
      <c r="D4104" s="8"/>
      <c r="E4104" s="8"/>
      <c r="F4104" s="8"/>
      <c r="G4104" s="8"/>
      <c r="H4104" s="8">
        <v>448.24</v>
      </c>
      <c r="I4104" s="8"/>
      <c r="J4104" s="8"/>
      <c r="K4104" s="8"/>
      <c r="L4104" s="8"/>
      <c r="M4104" s="8">
        <v>2.5299999999999998</v>
      </c>
      <c r="N4104" s="8"/>
      <c r="O4104" s="8"/>
      <c r="P4104" s="8"/>
      <c r="Q4104" s="8"/>
      <c r="R4104" s="8"/>
      <c r="S4104" s="8">
        <v>4.79</v>
      </c>
      <c r="T4104" s="8"/>
      <c r="U4104" s="8">
        <v>15.99</v>
      </c>
      <c r="V4104" s="8"/>
      <c r="W4104" s="8"/>
      <c r="X4104" s="8"/>
      <c r="Y4104" s="8"/>
      <c r="Z4104" s="8"/>
      <c r="AA4104" s="8"/>
      <c r="AB4104" s="8"/>
      <c r="AC4104" s="8">
        <v>5.32</v>
      </c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>
        <v>787.81</v>
      </c>
      <c r="AU4104" s="8"/>
      <c r="AV4104" s="8">
        <v>26.63</v>
      </c>
      <c r="AW4104" s="8"/>
      <c r="AX4104" s="8"/>
      <c r="AY4104" s="8"/>
      <c r="AZ4104" s="8"/>
      <c r="BA4104" s="8"/>
      <c r="BB4104" s="8"/>
      <c r="BC4104" s="10"/>
      <c r="BD4104" s="8"/>
      <c r="BE4104" s="8"/>
      <c r="BF4104" s="8"/>
      <c r="BG4104" s="8">
        <v>57.22</v>
      </c>
      <c r="BH4104" s="9">
        <f t="shared" si="576"/>
        <v>1527.6200000000001</v>
      </c>
      <c r="BI4104" s="9">
        <f t="shared" si="577"/>
        <v>2.5299999999999998</v>
      </c>
      <c r="BJ4104" s="9">
        <f t="shared" si="578"/>
        <v>4.79</v>
      </c>
      <c r="BK4104" s="9">
        <f t="shared" si="579"/>
        <v>15.99</v>
      </c>
      <c r="BL4104" s="9">
        <f t="shared" si="580"/>
        <v>0</v>
      </c>
      <c r="BM4104" s="9">
        <f t="shared" si="581"/>
        <v>5.32</v>
      </c>
      <c r="BN4104" s="9">
        <f t="shared" si="582"/>
        <v>787.81</v>
      </c>
      <c r="BO4104" s="9">
        <f t="shared" si="583"/>
        <v>26.63</v>
      </c>
      <c r="BP4104" s="9">
        <f t="shared" si="584"/>
        <v>0</v>
      </c>
    </row>
    <row r="4105" spans="1:68">
      <c r="A4105" s="6">
        <v>45310</v>
      </c>
      <c r="B4105" s="7">
        <v>3020</v>
      </c>
      <c r="C4105" s="8"/>
      <c r="D4105" s="8">
        <v>173.18</v>
      </c>
      <c r="E4105" s="8"/>
      <c r="F4105" s="8"/>
      <c r="G4105" s="8"/>
      <c r="H4105" s="8"/>
      <c r="I4105" s="8">
        <v>978.16</v>
      </c>
      <c r="J4105" s="8"/>
      <c r="K4105" s="8"/>
      <c r="L4105" s="8"/>
      <c r="M4105" s="8"/>
      <c r="N4105" s="8">
        <v>7.02</v>
      </c>
      <c r="O4105" s="8"/>
      <c r="P4105" s="8"/>
      <c r="Q4105" s="8"/>
      <c r="R4105" s="8"/>
      <c r="S4105" s="8">
        <v>2.0699999999999998</v>
      </c>
      <c r="T4105" s="8"/>
      <c r="U4105" s="8"/>
      <c r="V4105" s="8"/>
      <c r="W4105" s="8">
        <v>11.52</v>
      </c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>
        <v>11.49</v>
      </c>
      <c r="AN4105" s="8"/>
      <c r="AO4105" s="8"/>
      <c r="AP4105" s="8"/>
      <c r="AQ4105" s="8"/>
      <c r="AR4105" s="8"/>
      <c r="AS4105" s="8">
        <f>2639*9.6/1000</f>
        <v>25.334399999999999</v>
      </c>
      <c r="AT4105" s="8">
        <v>565.20000000000005</v>
      </c>
      <c r="AU4105" s="8"/>
      <c r="AV4105" s="8"/>
      <c r="AW4105" s="8"/>
      <c r="AX4105" s="8"/>
      <c r="AY4105" s="8"/>
      <c r="AZ4105" s="8"/>
      <c r="BA4105" s="8"/>
      <c r="BB4105" s="8"/>
      <c r="BC4105" s="8"/>
      <c r="BD4105" s="8"/>
      <c r="BE4105" s="8"/>
      <c r="BF4105" s="8"/>
      <c r="BG4105" s="8">
        <v>41.42</v>
      </c>
      <c r="BH4105" s="9">
        <f t="shared" si="576"/>
        <v>1151.3399999999999</v>
      </c>
      <c r="BI4105" s="9">
        <f t="shared" si="577"/>
        <v>7.02</v>
      </c>
      <c r="BJ4105" s="9">
        <f t="shared" si="578"/>
        <v>2.0699999999999998</v>
      </c>
      <c r="BK4105" s="9">
        <f t="shared" si="579"/>
        <v>11.52</v>
      </c>
      <c r="BL4105" s="9">
        <f t="shared" si="580"/>
        <v>0</v>
      </c>
      <c r="BM4105" s="9">
        <f t="shared" si="581"/>
        <v>36.824399999999997</v>
      </c>
      <c r="BN4105" s="9">
        <f t="shared" si="582"/>
        <v>565.20000000000005</v>
      </c>
      <c r="BO4105" s="9">
        <f t="shared" si="583"/>
        <v>0</v>
      </c>
      <c r="BP4105" s="9">
        <f t="shared" si="584"/>
        <v>0</v>
      </c>
    </row>
    <row r="4106" spans="1:68">
      <c r="A4106" s="6">
        <v>45310</v>
      </c>
      <c r="B4106" s="7">
        <v>3021</v>
      </c>
      <c r="C4106" s="8"/>
      <c r="D4106" s="8">
        <v>190.12</v>
      </c>
      <c r="E4106" s="8"/>
      <c r="F4106" s="8"/>
      <c r="G4106" s="8"/>
      <c r="H4106" s="8"/>
      <c r="I4106" s="8">
        <v>354.62</v>
      </c>
      <c r="J4106" s="8"/>
      <c r="K4106" s="8"/>
      <c r="L4106" s="8"/>
      <c r="M4106" s="8"/>
      <c r="N4106" s="8">
        <v>2.89</v>
      </c>
      <c r="O4106" s="8"/>
      <c r="P4106" s="8"/>
      <c r="Q4106" s="8"/>
      <c r="R4106" s="8"/>
      <c r="S4106" s="8">
        <v>0.98</v>
      </c>
      <c r="T4106" s="8"/>
      <c r="U4106" s="8"/>
      <c r="V4106" s="8"/>
      <c r="W4106" s="8">
        <v>5.46</v>
      </c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>
        <v>5.47</v>
      </c>
      <c r="AN4106" s="8"/>
      <c r="AO4106" s="8"/>
      <c r="AP4106" s="8"/>
      <c r="AQ4106" s="8"/>
      <c r="AR4106" s="8"/>
      <c r="AS4106" s="8">
        <f>3085*5.18/1000</f>
        <v>15.9803</v>
      </c>
      <c r="AT4106" s="8">
        <v>257.18</v>
      </c>
      <c r="AU4106" s="8"/>
      <c r="AV4106" s="8"/>
      <c r="AW4106" s="8"/>
      <c r="AX4106" s="8"/>
      <c r="AY4106" s="8"/>
      <c r="AZ4106" s="8"/>
      <c r="BA4106" s="8"/>
      <c r="BB4106" s="8"/>
      <c r="BC4106" s="8"/>
      <c r="BD4106" s="8"/>
      <c r="BE4106" s="8"/>
      <c r="BF4106" s="8"/>
      <c r="BG4106" s="8">
        <v>19.34</v>
      </c>
      <c r="BH4106" s="9">
        <f t="shared" si="576"/>
        <v>544.74</v>
      </c>
      <c r="BI4106" s="9">
        <f t="shared" si="577"/>
        <v>2.89</v>
      </c>
      <c r="BJ4106" s="9">
        <f t="shared" si="578"/>
        <v>0.98</v>
      </c>
      <c r="BK4106" s="9">
        <f t="shared" si="579"/>
        <v>5.46</v>
      </c>
      <c r="BL4106" s="9">
        <f t="shared" si="580"/>
        <v>0</v>
      </c>
      <c r="BM4106" s="9">
        <f t="shared" si="581"/>
        <v>21.450299999999999</v>
      </c>
      <c r="BN4106" s="9">
        <f t="shared" si="582"/>
        <v>257.18</v>
      </c>
      <c r="BO4106" s="9">
        <f t="shared" si="583"/>
        <v>0</v>
      </c>
      <c r="BP4106" s="9">
        <f t="shared" si="584"/>
        <v>0</v>
      </c>
    </row>
    <row r="4107" spans="1:68">
      <c r="A4107" s="6">
        <v>45310</v>
      </c>
      <c r="B4107" s="7">
        <v>3031</v>
      </c>
      <c r="C4107" s="8"/>
      <c r="D4107" s="8"/>
      <c r="E4107" s="8"/>
      <c r="F4107" s="8"/>
      <c r="G4107" s="8"/>
      <c r="H4107" s="8"/>
      <c r="I4107" s="8">
        <v>2190.15</v>
      </c>
      <c r="J4107" s="8"/>
      <c r="K4107" s="8"/>
      <c r="L4107" s="8"/>
      <c r="M4107" s="8"/>
      <c r="N4107" s="8">
        <v>15.12</v>
      </c>
      <c r="O4107" s="8"/>
      <c r="P4107" s="8"/>
      <c r="Q4107" s="8"/>
      <c r="R4107" s="8"/>
      <c r="S4107" s="8">
        <v>1.53</v>
      </c>
      <c r="T4107" s="8"/>
      <c r="U4107" s="8"/>
      <c r="V4107" s="8"/>
      <c r="W4107" s="8">
        <v>21.94</v>
      </c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8">
        <f>1821*18.27/1000</f>
        <v>33.269669999999998</v>
      </c>
      <c r="AJ4107" s="8"/>
      <c r="AK4107" s="8"/>
      <c r="AL4107" s="8"/>
      <c r="AM4107" s="8"/>
      <c r="AN4107" s="8">
        <f>1232*18.27/1000</f>
        <v>22.50864</v>
      </c>
      <c r="AO4107" s="8"/>
      <c r="AP4107" s="8"/>
      <c r="AQ4107" s="8"/>
      <c r="AR4107" s="8">
        <f>3664*18.27/1000</f>
        <v>66.941279999999992</v>
      </c>
      <c r="AS4107" s="8"/>
      <c r="AT4107" s="8">
        <v>1042.6300000000001</v>
      </c>
      <c r="AU4107" s="8"/>
      <c r="AV4107" s="8"/>
      <c r="AW4107" s="8"/>
      <c r="AX4107" s="8"/>
      <c r="AY4107" s="8"/>
      <c r="AZ4107" s="8"/>
      <c r="BA4107" s="8"/>
      <c r="BB4107" s="8"/>
      <c r="BC4107" s="8"/>
      <c r="BD4107" s="8"/>
      <c r="BE4107" s="8"/>
      <c r="BF4107" s="8"/>
      <c r="BG4107" s="8">
        <v>71</v>
      </c>
      <c r="BH4107" s="9">
        <f t="shared" si="576"/>
        <v>2190.15</v>
      </c>
      <c r="BI4107" s="9">
        <f t="shared" si="577"/>
        <v>15.12</v>
      </c>
      <c r="BJ4107" s="9">
        <f t="shared" si="578"/>
        <v>1.53</v>
      </c>
      <c r="BK4107" s="9">
        <f t="shared" si="579"/>
        <v>21.94</v>
      </c>
      <c r="BL4107" s="9">
        <f t="shared" si="580"/>
        <v>0</v>
      </c>
      <c r="BM4107" s="9">
        <f t="shared" si="581"/>
        <v>122.71958999999998</v>
      </c>
      <c r="BN4107" s="9">
        <f t="shared" si="582"/>
        <v>1042.6300000000001</v>
      </c>
      <c r="BO4107" s="9">
        <f t="shared" si="583"/>
        <v>0</v>
      </c>
      <c r="BP4107" s="9">
        <f t="shared" si="584"/>
        <v>0</v>
      </c>
    </row>
    <row r="4108" spans="1:68">
      <c r="A4108" s="6">
        <v>45310</v>
      </c>
      <c r="B4108" s="7">
        <v>3139</v>
      </c>
      <c r="C4108" s="8">
        <v>935.24</v>
      </c>
      <c r="D4108" s="8"/>
      <c r="E4108" s="8"/>
      <c r="F4108" s="8"/>
      <c r="G4108" s="8"/>
      <c r="H4108" s="8">
        <v>391.08</v>
      </c>
      <c r="I4108" s="8"/>
      <c r="J4108" s="8"/>
      <c r="K4108" s="8"/>
      <c r="L4108" s="8"/>
      <c r="M4108" s="8">
        <v>2.1800000000000002</v>
      </c>
      <c r="N4108" s="8"/>
      <c r="O4108" s="8"/>
      <c r="P4108" s="8"/>
      <c r="Q4108" s="8"/>
      <c r="R4108" s="8"/>
      <c r="S4108" s="8">
        <v>4.1399999999999997</v>
      </c>
      <c r="T4108" s="8"/>
      <c r="U4108" s="8">
        <v>13.82</v>
      </c>
      <c r="V4108" s="8"/>
      <c r="W4108" s="8"/>
      <c r="X4108" s="8"/>
      <c r="Y4108" s="8"/>
      <c r="Z4108" s="8"/>
      <c r="AA4108" s="8"/>
      <c r="AB4108" s="8"/>
      <c r="AC4108" s="8">
        <v>4.5999999999999996</v>
      </c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>
        <v>677.84</v>
      </c>
      <c r="AU4108" s="8"/>
      <c r="AV4108" s="8">
        <v>22.98</v>
      </c>
      <c r="AW4108" s="8"/>
      <c r="AX4108" s="8"/>
      <c r="AY4108" s="8"/>
      <c r="AZ4108" s="8"/>
      <c r="BA4108" s="8"/>
      <c r="BB4108" s="8"/>
      <c r="BC4108" s="8"/>
      <c r="BD4108" s="8"/>
      <c r="BE4108" s="8"/>
      <c r="BF4108" s="8"/>
      <c r="BG4108" s="8">
        <v>49.44</v>
      </c>
      <c r="BH4108" s="9">
        <f t="shared" si="576"/>
        <v>1326.32</v>
      </c>
      <c r="BI4108" s="9">
        <f t="shared" si="577"/>
        <v>2.1800000000000002</v>
      </c>
      <c r="BJ4108" s="9">
        <f t="shared" si="578"/>
        <v>4.1399999999999997</v>
      </c>
      <c r="BK4108" s="9">
        <f t="shared" si="579"/>
        <v>13.82</v>
      </c>
      <c r="BL4108" s="9">
        <f t="shared" si="580"/>
        <v>0</v>
      </c>
      <c r="BM4108" s="9">
        <f t="shared" si="581"/>
        <v>4.5999999999999996</v>
      </c>
      <c r="BN4108" s="9">
        <f t="shared" si="582"/>
        <v>677.84</v>
      </c>
      <c r="BO4108" s="9">
        <f t="shared" si="583"/>
        <v>22.98</v>
      </c>
      <c r="BP4108" s="9">
        <f t="shared" si="584"/>
        <v>0</v>
      </c>
    </row>
    <row r="4109" spans="1:68">
      <c r="A4109" s="6">
        <v>45310</v>
      </c>
      <c r="B4109" s="7">
        <v>3122</v>
      </c>
      <c r="C4109" s="8">
        <v>763.51</v>
      </c>
      <c r="D4109" s="8"/>
      <c r="E4109" s="8"/>
      <c r="F4109" s="8"/>
      <c r="G4109" s="8"/>
      <c r="H4109" s="8"/>
      <c r="I4109" s="8"/>
      <c r="J4109" s="8"/>
      <c r="K4109" s="8"/>
      <c r="L4109" s="8"/>
      <c r="M4109" s="8">
        <v>1.37</v>
      </c>
      <c r="N4109" s="8">
        <v>1.37</v>
      </c>
      <c r="O4109" s="8"/>
      <c r="P4109" s="8"/>
      <c r="Q4109" s="8"/>
      <c r="R4109" s="8"/>
      <c r="S4109" s="8">
        <v>3.15</v>
      </c>
      <c r="T4109" s="8"/>
      <c r="U4109" s="8">
        <v>7.68</v>
      </c>
      <c r="V4109" s="8"/>
      <c r="W4109" s="8"/>
      <c r="X4109" s="8"/>
      <c r="Y4109" s="8"/>
      <c r="Z4109" s="8"/>
      <c r="AA4109" s="8"/>
      <c r="AB4109" s="8"/>
      <c r="AC4109" s="8">
        <v>3.06</v>
      </c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>
        <v>339.66</v>
      </c>
      <c r="AU4109" s="8"/>
      <c r="AV4109" s="8">
        <v>26.1</v>
      </c>
      <c r="AW4109" s="8"/>
      <c r="AX4109" s="8"/>
      <c r="AY4109" s="8"/>
      <c r="AZ4109" s="8"/>
      <c r="BA4109" s="8"/>
      <c r="BB4109" s="8"/>
      <c r="BC4109" s="8"/>
      <c r="BD4109" s="8"/>
      <c r="BE4109" s="8"/>
      <c r="BF4109" s="8"/>
      <c r="BG4109" s="8">
        <v>24.94</v>
      </c>
      <c r="BH4109" s="9">
        <f t="shared" si="576"/>
        <v>763.51</v>
      </c>
      <c r="BI4109" s="9">
        <f t="shared" si="577"/>
        <v>2.74</v>
      </c>
      <c r="BJ4109" s="9">
        <f t="shared" si="578"/>
        <v>3.15</v>
      </c>
      <c r="BK4109" s="9">
        <f t="shared" si="579"/>
        <v>7.68</v>
      </c>
      <c r="BL4109" s="9">
        <f t="shared" si="580"/>
        <v>0</v>
      </c>
      <c r="BM4109" s="9">
        <f t="shared" si="581"/>
        <v>3.06</v>
      </c>
      <c r="BN4109" s="9">
        <f t="shared" si="582"/>
        <v>339.66</v>
      </c>
      <c r="BO4109" s="9">
        <f t="shared" si="583"/>
        <v>26.1</v>
      </c>
      <c r="BP4109" s="9">
        <f t="shared" si="584"/>
        <v>0</v>
      </c>
    </row>
    <row r="4110" spans="1:68">
      <c r="A4110" s="6">
        <v>45313</v>
      </c>
      <c r="B4110" s="7">
        <v>3601</v>
      </c>
      <c r="C4110" s="8">
        <v>301.31</v>
      </c>
      <c r="D4110" s="8"/>
      <c r="E4110" s="8"/>
      <c r="F4110" s="8"/>
      <c r="G4110" s="8">
        <v>456.17</v>
      </c>
      <c r="H4110" s="8"/>
      <c r="I4110" s="8"/>
      <c r="J4110" s="8"/>
      <c r="K4110" s="8"/>
      <c r="L4110" s="8"/>
      <c r="M4110" s="8">
        <v>0.96</v>
      </c>
      <c r="N4110" s="8"/>
      <c r="O4110" s="8"/>
      <c r="P4110" s="8"/>
      <c r="Q4110" s="8"/>
      <c r="R4110" s="8"/>
      <c r="S4110" s="8">
        <v>3.68</v>
      </c>
      <c r="T4110" s="8"/>
      <c r="U4110" s="8">
        <v>4.59</v>
      </c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>
        <v>373.2</v>
      </c>
      <c r="AU4110" s="8"/>
      <c r="AV4110" s="8"/>
      <c r="AW4110" s="8">
        <v>23.3</v>
      </c>
      <c r="AX4110" s="8"/>
      <c r="AY4110" s="8"/>
      <c r="AZ4110" s="8"/>
      <c r="BA4110" s="8"/>
      <c r="BB4110" s="8"/>
      <c r="BC4110" s="8"/>
      <c r="BD4110" s="8"/>
      <c r="BE4110" s="8"/>
      <c r="BF4110" s="8">
        <v>43.01</v>
      </c>
      <c r="BG4110" s="8">
        <v>27.35</v>
      </c>
      <c r="BH4110" s="9">
        <f t="shared" si="576"/>
        <v>757.48</v>
      </c>
      <c r="BI4110" s="9">
        <f t="shared" si="577"/>
        <v>0.96</v>
      </c>
      <c r="BJ4110" s="9">
        <f t="shared" si="578"/>
        <v>3.68</v>
      </c>
      <c r="BK4110" s="9">
        <f t="shared" si="579"/>
        <v>4.59</v>
      </c>
      <c r="BL4110" s="9">
        <f t="shared" si="580"/>
        <v>0</v>
      </c>
      <c r="BM4110" s="9">
        <f t="shared" si="581"/>
        <v>0</v>
      </c>
      <c r="BN4110" s="9">
        <f t="shared" si="582"/>
        <v>373.2</v>
      </c>
      <c r="BO4110" s="9">
        <f t="shared" si="583"/>
        <v>23.3</v>
      </c>
      <c r="BP4110" s="9">
        <f t="shared" si="584"/>
        <v>43.01</v>
      </c>
    </row>
    <row r="4111" spans="1:68">
      <c r="A4111" s="6">
        <v>45313</v>
      </c>
      <c r="B4111" s="7">
        <v>3602</v>
      </c>
      <c r="C4111" s="8">
        <v>575.76</v>
      </c>
      <c r="D4111" s="8"/>
      <c r="E4111" s="8"/>
      <c r="F4111" s="8"/>
      <c r="G4111" s="8">
        <v>858</v>
      </c>
      <c r="H4111" s="8"/>
      <c r="I4111" s="8"/>
      <c r="J4111" s="8"/>
      <c r="K4111" s="8"/>
      <c r="L4111" s="8"/>
      <c r="M4111" s="8">
        <v>1.84</v>
      </c>
      <c r="N4111" s="8"/>
      <c r="O4111" s="8"/>
      <c r="P4111" s="8"/>
      <c r="Q4111" s="8"/>
      <c r="R4111" s="8"/>
      <c r="S4111" s="8">
        <v>6.89</v>
      </c>
      <c r="T4111" s="8"/>
      <c r="U4111" s="8">
        <v>11.57</v>
      </c>
      <c r="V4111" s="8">
        <f>855*16.4/1000</f>
        <v>14.021999999999998</v>
      </c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>
        <v>578.99</v>
      </c>
      <c r="AU4111" s="8"/>
      <c r="AV4111" s="8"/>
      <c r="AW4111" s="8">
        <v>37.159999999999997</v>
      </c>
      <c r="AX4111" s="8"/>
      <c r="AY4111" s="8"/>
      <c r="AZ4111" s="8"/>
      <c r="BA4111" s="8"/>
      <c r="BB4111" s="8"/>
      <c r="BC4111" s="8"/>
      <c r="BD4111" s="8"/>
      <c r="BE4111" s="8"/>
      <c r="BF4111" s="8">
        <v>46.04</v>
      </c>
      <c r="BG4111" s="8">
        <v>43.49</v>
      </c>
      <c r="BH4111" s="9">
        <f t="shared" si="576"/>
        <v>1433.76</v>
      </c>
      <c r="BI4111" s="9">
        <f t="shared" si="577"/>
        <v>1.84</v>
      </c>
      <c r="BJ4111" s="9">
        <f t="shared" si="578"/>
        <v>6.89</v>
      </c>
      <c r="BK4111" s="9">
        <f t="shared" si="579"/>
        <v>25.591999999999999</v>
      </c>
      <c r="BL4111" s="9">
        <f t="shared" si="580"/>
        <v>0</v>
      </c>
      <c r="BM4111" s="9">
        <f t="shared" si="581"/>
        <v>0</v>
      </c>
      <c r="BN4111" s="9">
        <f t="shared" si="582"/>
        <v>578.99</v>
      </c>
      <c r="BO4111" s="9">
        <f t="shared" si="583"/>
        <v>37.159999999999997</v>
      </c>
      <c r="BP4111" s="9">
        <f t="shared" si="584"/>
        <v>46.04</v>
      </c>
    </row>
    <row r="4112" spans="1:68">
      <c r="A4112" s="6">
        <v>45313</v>
      </c>
      <c r="B4112" s="7">
        <v>3200</v>
      </c>
      <c r="C4112" s="8">
        <v>2316.46</v>
      </c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>
        <v>5.8</v>
      </c>
      <c r="P4112" s="8"/>
      <c r="Q4112" s="8"/>
      <c r="R4112" s="8"/>
      <c r="S4112" s="8">
        <v>9.0399999999999991</v>
      </c>
      <c r="T4112" s="8"/>
      <c r="U4112" s="8">
        <v>34.76</v>
      </c>
      <c r="V4112" s="8"/>
      <c r="W4112" s="8"/>
      <c r="X4112" s="8"/>
      <c r="Y4112" s="8"/>
      <c r="Z4112" s="8">
        <v>486.7</v>
      </c>
      <c r="AA4112" s="8"/>
      <c r="AB4112" s="8"/>
      <c r="AC4112" s="8"/>
      <c r="AD4112" s="8"/>
      <c r="AE4112" s="8"/>
      <c r="AF4112" s="8">
        <v>115.86</v>
      </c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>
        <f>1526*23.17/1000</f>
        <v>35.357420000000005</v>
      </c>
      <c r="AR4112" s="8"/>
      <c r="AS4112" s="8"/>
      <c r="AT4112" s="8">
        <v>1584.93</v>
      </c>
      <c r="AU4112" s="8"/>
      <c r="AV4112" s="8"/>
      <c r="AW4112" s="8">
        <v>6.77</v>
      </c>
      <c r="AX4112" s="8"/>
      <c r="AY4112" s="8"/>
      <c r="AZ4112" s="8"/>
      <c r="BA4112" s="8"/>
      <c r="BB4112" s="8"/>
      <c r="BC4112" s="8"/>
      <c r="BD4112" s="8"/>
      <c r="BE4112" s="8"/>
      <c r="BF4112" s="8">
        <v>111.24</v>
      </c>
      <c r="BG4112" s="8">
        <v>114.59</v>
      </c>
      <c r="BH4112" s="9">
        <f t="shared" si="576"/>
        <v>2316.46</v>
      </c>
      <c r="BI4112" s="9">
        <f t="shared" si="577"/>
        <v>5.8</v>
      </c>
      <c r="BJ4112" s="9">
        <f t="shared" si="578"/>
        <v>9.0399999999999991</v>
      </c>
      <c r="BK4112" s="9">
        <f t="shared" si="579"/>
        <v>34.76</v>
      </c>
      <c r="BL4112" s="9">
        <f t="shared" si="580"/>
        <v>486.7</v>
      </c>
      <c r="BM4112" s="9">
        <f t="shared" si="581"/>
        <v>151.21742</v>
      </c>
      <c r="BN4112" s="9">
        <f t="shared" si="582"/>
        <v>1584.93</v>
      </c>
      <c r="BO4112" s="9">
        <f t="shared" si="583"/>
        <v>6.77</v>
      </c>
      <c r="BP4112" s="9">
        <f t="shared" si="584"/>
        <v>111.24</v>
      </c>
    </row>
    <row r="4113" spans="1:68">
      <c r="A4113" s="6">
        <v>45313</v>
      </c>
      <c r="B4113" s="7">
        <v>3079</v>
      </c>
      <c r="C4113" s="8"/>
      <c r="D4113" s="8"/>
      <c r="E4113" s="8"/>
      <c r="F4113" s="8">
        <v>335.01</v>
      </c>
      <c r="G4113" s="8"/>
      <c r="H4113" s="8"/>
      <c r="I4113" s="8">
        <v>2711.85</v>
      </c>
      <c r="J4113" s="8"/>
      <c r="K4113" s="8"/>
      <c r="L4113" s="8"/>
      <c r="M4113" s="8"/>
      <c r="N4113" s="8">
        <v>22.25</v>
      </c>
      <c r="O4113" s="8"/>
      <c r="P4113" s="8"/>
      <c r="Q4113" s="8"/>
      <c r="R4113" s="8"/>
      <c r="S4113" s="8">
        <v>1.21</v>
      </c>
      <c r="T4113" s="8"/>
      <c r="U4113" s="8"/>
      <c r="V4113" s="8"/>
      <c r="W4113" s="8">
        <v>30.53</v>
      </c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>
        <v>12.17</v>
      </c>
      <c r="AN4113" s="8">
        <f>1741*17.93/1000</f>
        <v>31.21613</v>
      </c>
      <c r="AO4113" s="8"/>
      <c r="AP4113" s="8"/>
      <c r="AQ4113" s="8"/>
      <c r="AR4113" s="8">
        <f>4274*17.93/1000</f>
        <v>76.632819999999995</v>
      </c>
      <c r="AS4113" s="8"/>
      <c r="AT4113" s="8">
        <v>1182.56</v>
      </c>
      <c r="AU4113" s="8"/>
      <c r="AV4113" s="8"/>
      <c r="AW4113" s="8"/>
      <c r="AX4113" s="8"/>
      <c r="AY4113" s="8"/>
      <c r="AZ4113" s="8"/>
      <c r="BA4113" s="8"/>
      <c r="BB4113" s="8"/>
      <c r="BC4113" s="8"/>
      <c r="BD4113" s="8"/>
      <c r="BE4113" s="8"/>
      <c r="BF4113" s="8"/>
      <c r="BG4113" s="8">
        <v>85.69</v>
      </c>
      <c r="BH4113" s="9">
        <f t="shared" si="576"/>
        <v>3046.8599999999997</v>
      </c>
      <c r="BI4113" s="9">
        <f t="shared" si="577"/>
        <v>22.25</v>
      </c>
      <c r="BJ4113" s="9">
        <f t="shared" si="578"/>
        <v>1.21</v>
      </c>
      <c r="BK4113" s="9">
        <f t="shared" si="579"/>
        <v>30.53</v>
      </c>
      <c r="BL4113" s="9">
        <f t="shared" si="580"/>
        <v>0</v>
      </c>
      <c r="BM4113" s="9">
        <f t="shared" si="581"/>
        <v>120.01894999999999</v>
      </c>
      <c r="BN4113" s="9">
        <f t="shared" si="582"/>
        <v>1182.56</v>
      </c>
      <c r="BO4113" s="9">
        <f t="shared" si="583"/>
        <v>0</v>
      </c>
      <c r="BP4113" s="9">
        <f t="shared" si="584"/>
        <v>0</v>
      </c>
    </row>
    <row r="4114" spans="1:68">
      <c r="A4114" s="6">
        <v>45313</v>
      </c>
      <c r="B4114" s="7">
        <v>3016</v>
      </c>
      <c r="C4114" s="8"/>
      <c r="D4114" s="8">
        <v>1601.54</v>
      </c>
      <c r="E4114" s="8"/>
      <c r="F4114" s="8"/>
      <c r="G4114" s="8"/>
      <c r="H4114" s="8"/>
      <c r="I4114" s="8">
        <v>1470.06</v>
      </c>
      <c r="J4114" s="8"/>
      <c r="K4114" s="8"/>
      <c r="L4114" s="8"/>
      <c r="M4114" s="8"/>
      <c r="N4114" s="8">
        <v>19.399999999999999</v>
      </c>
      <c r="O4114" s="8"/>
      <c r="P4114" s="8"/>
      <c r="Q4114" s="8"/>
      <c r="R4114" s="8"/>
      <c r="S4114" s="8">
        <v>2.15</v>
      </c>
      <c r="T4114" s="8"/>
      <c r="U4114" s="8"/>
      <c r="V4114" s="8"/>
      <c r="W4114" s="8">
        <v>30.85</v>
      </c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>
        <v>12.28</v>
      </c>
      <c r="AN4114" s="8">
        <f>2058*18.12/1000</f>
        <v>37.290959999999998</v>
      </c>
      <c r="AO4114" s="8"/>
      <c r="AP4114" s="8"/>
      <c r="AQ4114" s="8"/>
      <c r="AR4114" s="8">
        <f>4274*18.12/1000</f>
        <v>77.444879999999998</v>
      </c>
      <c r="AS4114" s="8"/>
      <c r="AT4114" s="8">
        <v>1145.5899999999999</v>
      </c>
      <c r="AU4114" s="8"/>
      <c r="AV4114" s="8"/>
      <c r="AW4114" s="8"/>
      <c r="AX4114" s="8"/>
      <c r="AY4114" s="8"/>
      <c r="AZ4114" s="8"/>
      <c r="BA4114" s="8"/>
      <c r="BB4114" s="8"/>
      <c r="BC4114" s="8"/>
      <c r="BD4114" s="8"/>
      <c r="BE4114" s="8"/>
      <c r="BF4114" s="8"/>
      <c r="BG4114" s="8">
        <v>83.6</v>
      </c>
      <c r="BH4114" s="9">
        <f t="shared" si="576"/>
        <v>3071.6</v>
      </c>
      <c r="BI4114" s="9">
        <f t="shared" si="577"/>
        <v>19.399999999999999</v>
      </c>
      <c r="BJ4114" s="9">
        <f t="shared" si="578"/>
        <v>2.15</v>
      </c>
      <c r="BK4114" s="9">
        <f t="shared" si="579"/>
        <v>30.85</v>
      </c>
      <c r="BL4114" s="9">
        <f t="shared" si="580"/>
        <v>0</v>
      </c>
      <c r="BM4114" s="9">
        <f t="shared" si="581"/>
        <v>127.01584</v>
      </c>
      <c r="BN4114" s="9">
        <f t="shared" si="582"/>
        <v>1145.5899999999999</v>
      </c>
      <c r="BO4114" s="9">
        <f t="shared" si="583"/>
        <v>0</v>
      </c>
      <c r="BP4114" s="9">
        <f t="shared" si="584"/>
        <v>0</v>
      </c>
    </row>
    <row r="4115" spans="1:68">
      <c r="A4115" s="6">
        <v>45314</v>
      </c>
      <c r="B4115" s="7">
        <v>3127</v>
      </c>
      <c r="C4115" s="8">
        <v>1209.57</v>
      </c>
      <c r="D4115" s="8"/>
      <c r="E4115" s="8"/>
      <c r="F4115" s="8"/>
      <c r="G4115" s="8"/>
      <c r="H4115" s="8"/>
      <c r="I4115" s="8"/>
      <c r="J4115" s="8"/>
      <c r="K4115" s="8"/>
      <c r="L4115" s="8"/>
      <c r="M4115" s="8">
        <v>3.39</v>
      </c>
      <c r="N4115" s="8"/>
      <c r="O4115" s="8"/>
      <c r="P4115" s="8"/>
      <c r="Q4115" s="8"/>
      <c r="R4115" s="8"/>
      <c r="S4115" s="8">
        <v>5.82</v>
      </c>
      <c r="T4115" s="8"/>
      <c r="U4115" s="8">
        <v>12.12</v>
      </c>
      <c r="V4115" s="8"/>
      <c r="W4115" s="8"/>
      <c r="X4115" s="8"/>
      <c r="Y4115" s="8"/>
      <c r="Z4115" s="8">
        <v>181.68</v>
      </c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>
        <v>593.22</v>
      </c>
      <c r="AU4115" s="8"/>
      <c r="AV4115" s="8">
        <v>24.19</v>
      </c>
      <c r="AW4115" s="8"/>
      <c r="AX4115" s="8"/>
      <c r="AY4115" s="8"/>
      <c r="AZ4115" s="8"/>
      <c r="BA4115" s="8"/>
      <c r="BB4115" s="8"/>
      <c r="BC4115" s="8"/>
      <c r="BD4115" s="8"/>
      <c r="BE4115" s="8"/>
      <c r="BF4115" s="8">
        <v>60.57</v>
      </c>
      <c r="BG4115" s="8">
        <v>42.34</v>
      </c>
      <c r="BH4115" s="9">
        <f t="shared" si="576"/>
        <v>1209.57</v>
      </c>
      <c r="BI4115" s="9">
        <f t="shared" si="577"/>
        <v>3.39</v>
      </c>
      <c r="BJ4115" s="9">
        <f t="shared" si="578"/>
        <v>5.82</v>
      </c>
      <c r="BK4115" s="9">
        <f t="shared" si="579"/>
        <v>12.12</v>
      </c>
      <c r="BL4115" s="9">
        <f t="shared" si="580"/>
        <v>181.68</v>
      </c>
      <c r="BM4115" s="9">
        <f t="shared" si="581"/>
        <v>0</v>
      </c>
      <c r="BN4115" s="9">
        <f t="shared" si="582"/>
        <v>593.22</v>
      </c>
      <c r="BO4115" s="9">
        <f t="shared" si="583"/>
        <v>24.19</v>
      </c>
      <c r="BP4115" s="9">
        <f t="shared" si="584"/>
        <v>60.57</v>
      </c>
    </row>
    <row r="4116" spans="1:68">
      <c r="A4116" s="6">
        <v>45314</v>
      </c>
      <c r="B4116" s="7">
        <v>3200</v>
      </c>
      <c r="C4116" s="8">
        <v>2339.2600000000002</v>
      </c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>
        <v>5.87</v>
      </c>
      <c r="P4116" s="8"/>
      <c r="Q4116" s="8"/>
      <c r="R4116" s="8"/>
      <c r="S4116" s="8">
        <v>9.1300000000000008</v>
      </c>
      <c r="T4116" s="8"/>
      <c r="U4116" s="8">
        <v>35.11</v>
      </c>
      <c r="V4116" s="8"/>
      <c r="W4116" s="8"/>
      <c r="X4116" s="8"/>
      <c r="Y4116" s="8"/>
      <c r="Z4116" s="8">
        <v>491.92</v>
      </c>
      <c r="AA4116" s="8"/>
      <c r="AB4116" s="8"/>
      <c r="AC4116" s="8"/>
      <c r="AD4116" s="8"/>
      <c r="AE4116" s="8"/>
      <c r="AF4116" s="8">
        <v>116.97</v>
      </c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>
        <f>1504*23.4/1000</f>
        <v>35.193599999999996</v>
      </c>
      <c r="AR4116" s="8"/>
      <c r="AS4116" s="8"/>
      <c r="AT4116" s="8">
        <v>1604.68</v>
      </c>
      <c r="AU4116" s="8"/>
      <c r="AV4116" s="8"/>
      <c r="AW4116" s="8">
        <v>6.8</v>
      </c>
      <c r="AX4116" s="8"/>
      <c r="AY4116" s="8"/>
      <c r="AZ4116" s="8"/>
      <c r="BA4116" s="8"/>
      <c r="BB4116" s="8"/>
      <c r="BC4116" s="8"/>
      <c r="BD4116" s="8"/>
      <c r="BE4116" s="8"/>
      <c r="BF4116" s="8">
        <v>112.43</v>
      </c>
      <c r="BG4116" s="8">
        <v>116.14</v>
      </c>
      <c r="BH4116" s="9">
        <f t="shared" si="576"/>
        <v>2339.2600000000002</v>
      </c>
      <c r="BI4116" s="9">
        <f t="shared" si="577"/>
        <v>5.87</v>
      </c>
      <c r="BJ4116" s="9">
        <f t="shared" si="578"/>
        <v>9.1300000000000008</v>
      </c>
      <c r="BK4116" s="9">
        <f t="shared" si="579"/>
        <v>35.11</v>
      </c>
      <c r="BL4116" s="9">
        <f t="shared" si="580"/>
        <v>491.92</v>
      </c>
      <c r="BM4116" s="9">
        <f t="shared" si="581"/>
        <v>152.1636</v>
      </c>
      <c r="BN4116" s="9">
        <f t="shared" si="582"/>
        <v>1604.68</v>
      </c>
      <c r="BO4116" s="9">
        <f t="shared" si="583"/>
        <v>6.8</v>
      </c>
      <c r="BP4116" s="9">
        <f t="shared" si="584"/>
        <v>112.43</v>
      </c>
    </row>
    <row r="4117" spans="1:68">
      <c r="A4117" s="6">
        <v>45314</v>
      </c>
      <c r="B4117" s="7">
        <v>3010</v>
      </c>
      <c r="C4117" s="8">
        <v>653.38</v>
      </c>
      <c r="D4117" s="8">
        <v>435.62</v>
      </c>
      <c r="E4117" s="8"/>
      <c r="F4117" s="8"/>
      <c r="G4117" s="8"/>
      <c r="H4117" s="8"/>
      <c r="I4117" s="8"/>
      <c r="J4117" s="8"/>
      <c r="K4117" s="8"/>
      <c r="L4117" s="8"/>
      <c r="M4117" s="8"/>
      <c r="N4117" s="8">
        <v>2.1800000000000002</v>
      </c>
      <c r="O4117" s="8"/>
      <c r="P4117" s="8"/>
      <c r="Q4117" s="8"/>
      <c r="R4117" s="8"/>
      <c r="S4117" s="8">
        <v>3.05</v>
      </c>
      <c r="T4117" s="8"/>
      <c r="U4117" s="8"/>
      <c r="V4117" s="8"/>
      <c r="W4117" s="8">
        <v>10.9</v>
      </c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>
        <v>365.44</v>
      </c>
      <c r="AU4117" s="8"/>
      <c r="AV4117" s="8"/>
      <c r="AW4117" s="8">
        <v>12.1</v>
      </c>
      <c r="AX4117" s="8"/>
      <c r="AY4117" s="8"/>
      <c r="AZ4117" s="8"/>
      <c r="BA4117" s="8"/>
      <c r="BB4117" s="8"/>
      <c r="BC4117" s="8"/>
      <c r="BD4117" s="8"/>
      <c r="BE4117" s="8"/>
      <c r="BF4117" s="8"/>
      <c r="BG4117" s="8">
        <v>24.02</v>
      </c>
      <c r="BH4117" s="9">
        <f t="shared" si="576"/>
        <v>1089</v>
      </c>
      <c r="BI4117" s="9">
        <f t="shared" si="577"/>
        <v>2.1800000000000002</v>
      </c>
      <c r="BJ4117" s="9">
        <f t="shared" si="578"/>
        <v>3.05</v>
      </c>
      <c r="BK4117" s="9">
        <f t="shared" si="579"/>
        <v>10.9</v>
      </c>
      <c r="BL4117" s="9">
        <f t="shared" si="580"/>
        <v>0</v>
      </c>
      <c r="BM4117" s="9">
        <f t="shared" si="581"/>
        <v>0</v>
      </c>
      <c r="BN4117" s="9">
        <f t="shared" si="582"/>
        <v>365.44</v>
      </c>
      <c r="BO4117" s="9">
        <f t="shared" si="583"/>
        <v>12.1</v>
      </c>
      <c r="BP4117" s="9">
        <f t="shared" si="584"/>
        <v>0</v>
      </c>
    </row>
    <row r="4118" spans="1:68">
      <c r="A4118" s="6">
        <v>45314</v>
      </c>
      <c r="B4118" s="7">
        <v>3021</v>
      </c>
      <c r="C4118" s="8"/>
      <c r="D4118" s="8">
        <v>204.68</v>
      </c>
      <c r="E4118" s="8"/>
      <c r="F4118" s="8"/>
      <c r="G4118" s="8"/>
      <c r="H4118" s="8"/>
      <c r="I4118" s="8">
        <v>380.9</v>
      </c>
      <c r="J4118" s="8"/>
      <c r="K4118" s="8"/>
      <c r="L4118" s="8"/>
      <c r="M4118" s="8"/>
      <c r="N4118" s="8">
        <v>3.11</v>
      </c>
      <c r="O4118" s="8"/>
      <c r="P4118" s="8"/>
      <c r="Q4118" s="8"/>
      <c r="R4118" s="8"/>
      <c r="S4118" s="8">
        <v>1.06</v>
      </c>
      <c r="T4118" s="8"/>
      <c r="U4118" s="8"/>
      <c r="V4118" s="8"/>
      <c r="W4118" s="8">
        <v>5.87</v>
      </c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>
        <v>5.84</v>
      </c>
      <c r="AN4118" s="8"/>
      <c r="AO4118" s="8"/>
      <c r="AP4118" s="8"/>
      <c r="AQ4118" s="8"/>
      <c r="AR4118" s="8"/>
      <c r="AS4118" s="8">
        <f>2648*5.57/1000</f>
        <v>14.749360000000001</v>
      </c>
      <c r="AT4118" s="8">
        <v>275.95</v>
      </c>
      <c r="AU4118" s="8"/>
      <c r="AV4118" s="8"/>
      <c r="AW4118" s="8"/>
      <c r="AX4118" s="8"/>
      <c r="AY4118" s="8"/>
      <c r="AZ4118" s="8"/>
      <c r="BA4118" s="8"/>
      <c r="BB4118" s="8"/>
      <c r="BC4118" s="8"/>
      <c r="BD4118" s="8"/>
      <c r="BE4118" s="8"/>
      <c r="BF4118" s="8"/>
      <c r="BG4118" s="8">
        <v>20.82</v>
      </c>
      <c r="BH4118" s="9">
        <f t="shared" si="576"/>
        <v>585.57999999999993</v>
      </c>
      <c r="BI4118" s="9">
        <f t="shared" si="577"/>
        <v>3.11</v>
      </c>
      <c r="BJ4118" s="9">
        <f t="shared" si="578"/>
        <v>1.06</v>
      </c>
      <c r="BK4118" s="9">
        <f t="shared" si="579"/>
        <v>5.87</v>
      </c>
      <c r="BL4118" s="9">
        <f t="shared" si="580"/>
        <v>0</v>
      </c>
      <c r="BM4118" s="9">
        <f t="shared" si="581"/>
        <v>20.589359999999999</v>
      </c>
      <c r="BN4118" s="9">
        <f t="shared" si="582"/>
        <v>275.95</v>
      </c>
      <c r="BO4118" s="9">
        <f t="shared" si="583"/>
        <v>0</v>
      </c>
      <c r="BP4118" s="9">
        <f t="shared" si="584"/>
        <v>0</v>
      </c>
    </row>
    <row r="4119" spans="1:68">
      <c r="A4119" s="6">
        <v>45314</v>
      </c>
      <c r="B4119" s="7">
        <v>3022</v>
      </c>
      <c r="C4119" s="8"/>
      <c r="D4119" s="8">
        <v>315.67</v>
      </c>
      <c r="E4119" s="8"/>
      <c r="F4119" s="8"/>
      <c r="G4119" s="8"/>
      <c r="H4119" s="8"/>
      <c r="I4119" s="8">
        <v>259.10000000000002</v>
      </c>
      <c r="J4119" s="8"/>
      <c r="K4119" s="8"/>
      <c r="L4119" s="8"/>
      <c r="M4119" s="8"/>
      <c r="N4119" s="8">
        <v>2.88</v>
      </c>
      <c r="O4119" s="8"/>
      <c r="P4119" s="8"/>
      <c r="Q4119" s="8"/>
      <c r="R4119" s="8"/>
      <c r="S4119" s="8">
        <v>1.03</v>
      </c>
      <c r="T4119" s="8"/>
      <c r="U4119" s="8"/>
      <c r="V4119" s="8"/>
      <c r="W4119" s="8">
        <v>5.75</v>
      </c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>
        <v>7.46</v>
      </c>
      <c r="AN4119" s="8"/>
      <c r="AO4119" s="8"/>
      <c r="AP4119" s="8"/>
      <c r="AQ4119" s="8"/>
      <c r="AR4119" s="8"/>
      <c r="AS4119" s="8">
        <f>3865*5.23/1000</f>
        <v>20.213950000000001</v>
      </c>
      <c r="AT4119" s="8">
        <v>268.38</v>
      </c>
      <c r="AU4119" s="8"/>
      <c r="AV4119" s="8"/>
      <c r="AW4119" s="8"/>
      <c r="AX4119" s="8"/>
      <c r="AY4119" s="8"/>
      <c r="AZ4119" s="8"/>
      <c r="BA4119" s="8"/>
      <c r="BB4119" s="8"/>
      <c r="BC4119" s="8"/>
      <c r="BD4119" s="8"/>
      <c r="BE4119" s="8"/>
      <c r="BF4119" s="8"/>
      <c r="BG4119" s="8">
        <v>20.66</v>
      </c>
      <c r="BH4119" s="9">
        <f t="shared" si="576"/>
        <v>574.77</v>
      </c>
      <c r="BI4119" s="9">
        <f t="shared" si="577"/>
        <v>2.88</v>
      </c>
      <c r="BJ4119" s="9">
        <f t="shared" si="578"/>
        <v>1.03</v>
      </c>
      <c r="BK4119" s="9">
        <f t="shared" si="579"/>
        <v>5.75</v>
      </c>
      <c r="BL4119" s="9">
        <f t="shared" si="580"/>
        <v>0</v>
      </c>
      <c r="BM4119" s="9">
        <f t="shared" si="581"/>
        <v>27.673950000000001</v>
      </c>
      <c r="BN4119" s="9">
        <f t="shared" si="582"/>
        <v>268.38</v>
      </c>
      <c r="BO4119" s="9">
        <f t="shared" si="583"/>
        <v>0</v>
      </c>
      <c r="BP4119" s="9">
        <f t="shared" si="584"/>
        <v>0</v>
      </c>
    </row>
    <row r="4120" spans="1:68">
      <c r="A4120" s="6">
        <v>45314</v>
      </c>
      <c r="B4120" s="7">
        <v>3029</v>
      </c>
      <c r="C4120" s="8"/>
      <c r="D4120" s="8">
        <v>466.25</v>
      </c>
      <c r="E4120" s="8"/>
      <c r="F4120" s="8">
        <v>328.53</v>
      </c>
      <c r="G4120" s="8"/>
      <c r="H4120" s="8"/>
      <c r="I4120" s="8">
        <v>1943.76</v>
      </c>
      <c r="J4120" s="8"/>
      <c r="K4120" s="8"/>
      <c r="L4120" s="8"/>
      <c r="M4120" s="8"/>
      <c r="N4120" s="8">
        <v>21.66</v>
      </c>
      <c r="O4120" s="8"/>
      <c r="P4120" s="8"/>
      <c r="Q4120" s="8"/>
      <c r="R4120" s="8"/>
      <c r="S4120" s="8">
        <v>1.64</v>
      </c>
      <c r="T4120" s="8"/>
      <c r="U4120" s="8"/>
      <c r="V4120" s="8"/>
      <c r="W4120" s="8">
        <v>27.42</v>
      </c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>
        <v>9.57</v>
      </c>
      <c r="AN4120" s="8">
        <f>762*18.25/1000</f>
        <v>13.906499999999999</v>
      </c>
      <c r="AO4120" s="8"/>
      <c r="AP4120" s="8"/>
      <c r="AQ4120" s="8"/>
      <c r="AR4120" s="8">
        <f>4539*18.25/1000</f>
        <v>82.836749999999995</v>
      </c>
      <c r="AS4120" s="8"/>
      <c r="AT4120" s="8">
        <v>1039.8</v>
      </c>
      <c r="AU4120" s="8"/>
      <c r="AV4120" s="8"/>
      <c r="AW4120" s="8"/>
      <c r="AX4120" s="8"/>
      <c r="AY4120" s="8"/>
      <c r="AZ4120" s="8"/>
      <c r="BA4120" s="8"/>
      <c r="BB4120" s="8"/>
      <c r="BC4120" s="8"/>
      <c r="BD4120" s="8"/>
      <c r="BE4120" s="8"/>
      <c r="BF4120" s="8"/>
      <c r="BG4120" s="8">
        <v>72.489999999999995</v>
      </c>
      <c r="BH4120" s="9">
        <f t="shared" si="576"/>
        <v>2738.54</v>
      </c>
      <c r="BI4120" s="9">
        <f t="shared" si="577"/>
        <v>21.66</v>
      </c>
      <c r="BJ4120" s="9">
        <f t="shared" si="578"/>
        <v>1.64</v>
      </c>
      <c r="BK4120" s="9">
        <f t="shared" si="579"/>
        <v>27.42</v>
      </c>
      <c r="BL4120" s="9">
        <f t="shared" si="580"/>
        <v>0</v>
      </c>
      <c r="BM4120" s="9">
        <f t="shared" si="581"/>
        <v>106.31325</v>
      </c>
      <c r="BN4120" s="9">
        <f t="shared" si="582"/>
        <v>1039.8</v>
      </c>
      <c r="BO4120" s="9">
        <f t="shared" si="583"/>
        <v>0</v>
      </c>
      <c r="BP4120" s="9">
        <f t="shared" si="584"/>
        <v>0</v>
      </c>
    </row>
    <row r="4121" spans="1:68">
      <c r="A4121" s="6">
        <v>45314</v>
      </c>
      <c r="B4121" s="7">
        <v>3083</v>
      </c>
      <c r="C4121" s="8"/>
      <c r="D4121" s="8">
        <v>739.03</v>
      </c>
      <c r="E4121" s="8"/>
      <c r="F4121" s="8"/>
      <c r="G4121" s="8"/>
      <c r="H4121" s="8"/>
      <c r="I4121" s="8">
        <v>1725.39</v>
      </c>
      <c r="J4121" s="8"/>
      <c r="K4121" s="8"/>
      <c r="L4121" s="8"/>
      <c r="M4121" s="8"/>
      <c r="N4121" s="8">
        <v>16.010000000000002</v>
      </c>
      <c r="O4121" s="8"/>
      <c r="P4121" s="8"/>
      <c r="Q4121" s="8"/>
      <c r="R4121" s="8"/>
      <c r="S4121" s="8">
        <v>1.72</v>
      </c>
      <c r="T4121" s="8"/>
      <c r="U4121" s="8"/>
      <c r="V4121" s="8"/>
      <c r="W4121" s="8">
        <v>19.71</v>
      </c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>
        <v>9.8800000000000008</v>
      </c>
      <c r="AN4121" s="8">
        <f>1911*18.27/1000</f>
        <v>34.913969999999999</v>
      </c>
      <c r="AO4121" s="8"/>
      <c r="AP4121" s="8"/>
      <c r="AQ4121" s="8"/>
      <c r="AR4121" s="8">
        <f>3411*18.27/1000</f>
        <v>62.31897</v>
      </c>
      <c r="AS4121" s="8"/>
      <c r="AT4121" s="8">
        <v>1157.56</v>
      </c>
      <c r="AU4121" s="8"/>
      <c r="AV4121" s="8"/>
      <c r="AW4121" s="8"/>
      <c r="AX4121" s="8"/>
      <c r="AY4121" s="8"/>
      <c r="AZ4121" s="8"/>
      <c r="BA4121" s="8"/>
      <c r="BB4121" s="8"/>
      <c r="BC4121" s="8"/>
      <c r="BD4121" s="8"/>
      <c r="BE4121" s="8"/>
      <c r="BF4121" s="8"/>
      <c r="BG4121" s="8">
        <v>92.12</v>
      </c>
      <c r="BH4121" s="9">
        <f t="shared" si="576"/>
        <v>2464.42</v>
      </c>
      <c r="BI4121" s="9">
        <f t="shared" si="577"/>
        <v>16.010000000000002</v>
      </c>
      <c r="BJ4121" s="9">
        <f t="shared" si="578"/>
        <v>1.72</v>
      </c>
      <c r="BK4121" s="9">
        <f t="shared" si="579"/>
        <v>19.71</v>
      </c>
      <c r="BL4121" s="9">
        <f t="shared" si="580"/>
        <v>0</v>
      </c>
      <c r="BM4121" s="9">
        <f t="shared" si="581"/>
        <v>107.11294000000001</v>
      </c>
      <c r="BN4121" s="9">
        <f t="shared" si="582"/>
        <v>1157.56</v>
      </c>
      <c r="BO4121" s="9">
        <f t="shared" si="583"/>
        <v>0</v>
      </c>
      <c r="BP4121" s="9">
        <f t="shared" si="584"/>
        <v>0</v>
      </c>
    </row>
    <row r="4122" spans="1:68">
      <c r="A4122" s="6">
        <v>45314</v>
      </c>
      <c r="B4122" s="7">
        <v>3704</v>
      </c>
      <c r="C4122" s="8">
        <v>634.95000000000005</v>
      </c>
      <c r="D4122" s="8">
        <v>950.02</v>
      </c>
      <c r="E4122" s="8"/>
      <c r="F4122" s="8"/>
      <c r="G4122" s="8"/>
      <c r="H4122" s="8"/>
      <c r="I4122" s="8"/>
      <c r="J4122" s="8"/>
      <c r="K4122" s="8"/>
      <c r="L4122" s="8"/>
      <c r="M4122" s="8">
        <v>4.75</v>
      </c>
      <c r="N4122" s="8"/>
      <c r="O4122" s="8"/>
      <c r="P4122" s="8"/>
      <c r="Q4122" s="8"/>
      <c r="R4122" s="8"/>
      <c r="S4122" s="8">
        <v>5.53</v>
      </c>
      <c r="T4122" s="8"/>
      <c r="U4122" s="8">
        <v>11.89</v>
      </c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>
        <v>18.95</v>
      </c>
      <c r="AN4122" s="8"/>
      <c r="AO4122" s="8"/>
      <c r="AP4122" s="8"/>
      <c r="AQ4122" s="8"/>
      <c r="AR4122" s="8"/>
      <c r="AS4122" s="8"/>
      <c r="AT4122" s="8">
        <v>275.77999999999997</v>
      </c>
      <c r="AU4122" s="8">
        <v>137.18</v>
      </c>
      <c r="AV4122" s="8"/>
      <c r="AW4122" s="8"/>
      <c r="AX4122" s="8"/>
      <c r="AY4122" s="8"/>
      <c r="AZ4122" s="8"/>
      <c r="BA4122" s="8"/>
      <c r="BB4122" s="8"/>
      <c r="BC4122" s="8"/>
      <c r="BD4122" s="8"/>
      <c r="BE4122" s="8"/>
      <c r="BF4122" s="8"/>
      <c r="BG4122" s="8">
        <v>25.3</v>
      </c>
      <c r="BH4122" s="9">
        <f t="shared" si="576"/>
        <v>1584.97</v>
      </c>
      <c r="BI4122" s="9">
        <f t="shared" si="577"/>
        <v>4.75</v>
      </c>
      <c r="BJ4122" s="9">
        <f t="shared" si="578"/>
        <v>5.53</v>
      </c>
      <c r="BK4122" s="9">
        <f t="shared" si="579"/>
        <v>11.89</v>
      </c>
      <c r="BL4122" s="9">
        <f t="shared" si="580"/>
        <v>0</v>
      </c>
      <c r="BM4122" s="9">
        <f t="shared" si="581"/>
        <v>18.95</v>
      </c>
      <c r="BN4122" s="9">
        <f t="shared" si="582"/>
        <v>412.96</v>
      </c>
      <c r="BO4122" s="9">
        <f t="shared" si="583"/>
        <v>0</v>
      </c>
      <c r="BP4122" s="9">
        <f t="shared" si="584"/>
        <v>0</v>
      </c>
    </row>
    <row r="4123" spans="1:68">
      <c r="A4123" s="6">
        <v>45315</v>
      </c>
      <c r="B4123" s="7">
        <v>3139</v>
      </c>
      <c r="C4123" s="8">
        <v>925.43</v>
      </c>
      <c r="D4123" s="8"/>
      <c r="E4123" s="8"/>
      <c r="F4123" s="8"/>
      <c r="G4123" s="8"/>
      <c r="H4123" s="8">
        <v>383.93</v>
      </c>
      <c r="I4123" s="8"/>
      <c r="J4123" s="8"/>
      <c r="K4123" s="8"/>
      <c r="L4123" s="8"/>
      <c r="M4123" s="8">
        <v>2.16</v>
      </c>
      <c r="N4123" s="8"/>
      <c r="O4123" s="8"/>
      <c r="P4123" s="8"/>
      <c r="Q4123" s="8"/>
      <c r="R4123" s="8"/>
      <c r="S4123" s="8">
        <v>4.1100000000000003</v>
      </c>
      <c r="T4123" s="8"/>
      <c r="U4123" s="8">
        <v>13.71</v>
      </c>
      <c r="V4123" s="8"/>
      <c r="W4123" s="8"/>
      <c r="X4123" s="8"/>
      <c r="Y4123" s="8"/>
      <c r="Z4123" s="8"/>
      <c r="AA4123" s="8"/>
      <c r="AB4123" s="8"/>
      <c r="AC4123" s="8">
        <v>4.57</v>
      </c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>
        <v>676.94</v>
      </c>
      <c r="AU4123" s="8"/>
      <c r="AV4123" s="8">
        <v>22.8</v>
      </c>
      <c r="AW4123" s="8"/>
      <c r="AX4123" s="8"/>
      <c r="AY4123" s="8"/>
      <c r="AZ4123" s="8"/>
      <c r="BA4123" s="8"/>
      <c r="BB4123" s="8"/>
      <c r="BC4123" s="8"/>
      <c r="BD4123" s="8"/>
      <c r="BE4123" s="8"/>
      <c r="BF4123" s="8"/>
      <c r="BG4123" s="8">
        <v>49.44</v>
      </c>
      <c r="BH4123" s="9">
        <f t="shared" si="576"/>
        <v>1309.3599999999999</v>
      </c>
      <c r="BI4123" s="9">
        <f t="shared" si="577"/>
        <v>2.16</v>
      </c>
      <c r="BJ4123" s="9">
        <f t="shared" si="578"/>
        <v>4.1100000000000003</v>
      </c>
      <c r="BK4123" s="9">
        <f t="shared" si="579"/>
        <v>13.71</v>
      </c>
      <c r="BL4123" s="9">
        <f t="shared" si="580"/>
        <v>0</v>
      </c>
      <c r="BM4123" s="9">
        <f t="shared" si="581"/>
        <v>4.57</v>
      </c>
      <c r="BN4123" s="9">
        <f t="shared" si="582"/>
        <v>676.94</v>
      </c>
      <c r="BO4123" s="9">
        <f t="shared" si="583"/>
        <v>22.8</v>
      </c>
      <c r="BP4123" s="9">
        <f t="shared" si="584"/>
        <v>0</v>
      </c>
    </row>
    <row r="4124" spans="1:68">
      <c r="A4124" s="6">
        <v>45315</v>
      </c>
      <c r="B4124" s="7">
        <v>3141</v>
      </c>
      <c r="C4124" s="8">
        <v>2492.2199999999998</v>
      </c>
      <c r="D4124" s="8">
        <v>440.17</v>
      </c>
      <c r="E4124" s="8"/>
      <c r="F4124" s="8"/>
      <c r="G4124" s="8"/>
      <c r="H4124" s="8"/>
      <c r="I4124" s="8"/>
      <c r="J4124" s="8"/>
      <c r="K4124" s="8"/>
      <c r="L4124" s="8"/>
      <c r="M4124" s="8">
        <v>8.5299999999999994</v>
      </c>
      <c r="N4124" s="8"/>
      <c r="O4124" s="8"/>
      <c r="P4124" s="8"/>
      <c r="Q4124" s="8"/>
      <c r="R4124" s="8"/>
      <c r="S4124" s="8">
        <v>13.8</v>
      </c>
      <c r="T4124" s="8"/>
      <c r="U4124" s="8">
        <v>44</v>
      </c>
      <c r="V4124" s="8"/>
      <c r="W4124" s="8"/>
      <c r="X4124" s="8"/>
      <c r="Y4124" s="8"/>
      <c r="Z4124" s="8"/>
      <c r="AA4124" s="8"/>
      <c r="AB4124" s="8"/>
      <c r="AC4124" s="8">
        <v>11.75</v>
      </c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>
        <v>1924.16</v>
      </c>
      <c r="AU4124" s="8"/>
      <c r="AV4124" s="8"/>
      <c r="AW4124" s="8"/>
      <c r="AX4124" s="8"/>
      <c r="AY4124" s="8"/>
      <c r="AZ4124" s="8"/>
      <c r="BA4124" s="8">
        <v>67.3</v>
      </c>
      <c r="BB4124" s="8"/>
      <c r="BC4124" s="8"/>
      <c r="BD4124" s="8"/>
      <c r="BE4124" s="8"/>
      <c r="BF4124" s="8">
        <v>205.59</v>
      </c>
      <c r="BG4124" s="8">
        <v>152.57</v>
      </c>
      <c r="BH4124" s="9">
        <f t="shared" si="576"/>
        <v>2932.39</v>
      </c>
      <c r="BI4124" s="9">
        <f t="shared" si="577"/>
        <v>8.5299999999999994</v>
      </c>
      <c r="BJ4124" s="9">
        <f t="shared" si="578"/>
        <v>13.8</v>
      </c>
      <c r="BK4124" s="9">
        <f t="shared" si="579"/>
        <v>44</v>
      </c>
      <c r="BL4124" s="9">
        <f t="shared" si="580"/>
        <v>0</v>
      </c>
      <c r="BM4124" s="9">
        <f t="shared" si="581"/>
        <v>11.75</v>
      </c>
      <c r="BN4124" s="9">
        <f t="shared" si="582"/>
        <v>1924.16</v>
      </c>
      <c r="BO4124" s="9">
        <f t="shared" si="583"/>
        <v>67.3</v>
      </c>
      <c r="BP4124" s="9">
        <f t="shared" si="584"/>
        <v>205.59</v>
      </c>
    </row>
    <row r="4125" spans="1:68">
      <c r="A4125" s="6">
        <v>45315</v>
      </c>
      <c r="B4125" s="7">
        <v>3304</v>
      </c>
      <c r="C4125" s="8"/>
      <c r="D4125" s="8">
        <v>1145.74</v>
      </c>
      <c r="E4125" s="8"/>
      <c r="F4125" s="8"/>
      <c r="G4125" s="8"/>
      <c r="H4125" s="8"/>
      <c r="I4125" s="8"/>
      <c r="J4125" s="8"/>
      <c r="K4125" s="8"/>
      <c r="L4125" s="8"/>
      <c r="M4125" s="8">
        <v>2.29</v>
      </c>
      <c r="N4125" s="8"/>
      <c r="O4125" s="8"/>
      <c r="P4125" s="8"/>
      <c r="Q4125" s="8"/>
      <c r="R4125" s="8"/>
      <c r="S4125" s="8">
        <v>1.72</v>
      </c>
      <c r="T4125" s="8"/>
      <c r="U4125" s="8">
        <v>10.31</v>
      </c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  <c r="AF4125" s="8"/>
      <c r="AG4125" s="8">
        <v>11.45</v>
      </c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>
        <v>306.95999999999998</v>
      </c>
      <c r="AU4125" s="8">
        <v>153.19</v>
      </c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  <c r="BF4125" s="8"/>
      <c r="BG4125" s="8">
        <v>31.64</v>
      </c>
      <c r="BH4125" s="9">
        <f t="shared" si="576"/>
        <v>1145.74</v>
      </c>
      <c r="BI4125" s="9">
        <f t="shared" si="577"/>
        <v>2.29</v>
      </c>
      <c r="BJ4125" s="9">
        <f t="shared" si="578"/>
        <v>1.72</v>
      </c>
      <c r="BK4125" s="9">
        <f t="shared" si="579"/>
        <v>10.31</v>
      </c>
      <c r="BL4125" s="9">
        <f t="shared" si="580"/>
        <v>0</v>
      </c>
      <c r="BM4125" s="9">
        <f t="shared" si="581"/>
        <v>11.45</v>
      </c>
      <c r="BN4125" s="9">
        <f t="shared" si="582"/>
        <v>460.15</v>
      </c>
      <c r="BO4125" s="9">
        <f t="shared" si="583"/>
        <v>0</v>
      </c>
      <c r="BP4125" s="9">
        <f t="shared" si="584"/>
        <v>0</v>
      </c>
    </row>
    <row r="4126" spans="1:68">
      <c r="A4126" s="6">
        <v>45315</v>
      </c>
      <c r="B4126" s="7">
        <v>3104</v>
      </c>
      <c r="C4126" s="8">
        <v>1500.47</v>
      </c>
      <c r="D4126" s="8"/>
      <c r="E4126" s="8"/>
      <c r="F4126" s="8"/>
      <c r="G4126" s="8"/>
      <c r="H4126" s="8">
        <v>384.82</v>
      </c>
      <c r="I4126" s="8"/>
      <c r="J4126" s="8"/>
      <c r="K4126" s="8"/>
      <c r="L4126" s="8"/>
      <c r="M4126" s="8">
        <v>4.29</v>
      </c>
      <c r="N4126" s="8"/>
      <c r="O4126" s="8"/>
      <c r="P4126" s="8"/>
      <c r="Q4126" s="8"/>
      <c r="R4126" s="8"/>
      <c r="S4126" s="8"/>
      <c r="T4126" s="8"/>
      <c r="U4126" s="8">
        <v>19.73</v>
      </c>
      <c r="V4126" s="8"/>
      <c r="W4126" s="8"/>
      <c r="X4126" s="8"/>
      <c r="Y4126" s="8"/>
      <c r="Z4126" s="8"/>
      <c r="AA4126" s="8"/>
      <c r="AB4126" s="8"/>
      <c r="AC4126" s="8">
        <v>6.86</v>
      </c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>
        <v>1095.72</v>
      </c>
      <c r="AU4126" s="8"/>
      <c r="AV4126" s="8"/>
      <c r="AW4126" s="8"/>
      <c r="AX4126" s="8"/>
      <c r="AY4126" s="8"/>
      <c r="AZ4126" s="8"/>
      <c r="BA4126" s="8">
        <v>39.1</v>
      </c>
      <c r="BB4126" s="8"/>
      <c r="BC4126" s="8"/>
      <c r="BD4126" s="8"/>
      <c r="BE4126" s="8"/>
      <c r="BF4126" s="8">
        <v>34.46</v>
      </c>
      <c r="BG4126" s="8">
        <v>84.86</v>
      </c>
      <c r="BH4126" s="9">
        <f t="shared" si="576"/>
        <v>1885.29</v>
      </c>
      <c r="BI4126" s="9">
        <f t="shared" si="577"/>
        <v>4.29</v>
      </c>
      <c r="BJ4126" s="9">
        <f t="shared" si="578"/>
        <v>0</v>
      </c>
      <c r="BK4126" s="9">
        <f t="shared" si="579"/>
        <v>19.73</v>
      </c>
      <c r="BL4126" s="9">
        <f t="shared" si="580"/>
        <v>0</v>
      </c>
      <c r="BM4126" s="9">
        <f t="shared" si="581"/>
        <v>6.86</v>
      </c>
      <c r="BN4126" s="9">
        <f t="shared" si="582"/>
        <v>1095.72</v>
      </c>
      <c r="BO4126" s="9">
        <f t="shared" si="583"/>
        <v>39.1</v>
      </c>
      <c r="BP4126" s="9">
        <f t="shared" si="584"/>
        <v>34.46</v>
      </c>
    </row>
    <row r="4127" spans="1:68">
      <c r="A4127" s="6">
        <v>45315</v>
      </c>
      <c r="B4127" s="7">
        <v>3111</v>
      </c>
      <c r="C4127" s="8">
        <v>1513.74</v>
      </c>
      <c r="D4127" s="8"/>
      <c r="E4127" s="8"/>
      <c r="F4127" s="8"/>
      <c r="G4127" s="8"/>
      <c r="H4127" s="8"/>
      <c r="I4127" s="8"/>
      <c r="J4127" s="8"/>
      <c r="K4127" s="8"/>
      <c r="L4127" s="8"/>
      <c r="M4127" s="8">
        <v>2.2799999999999998</v>
      </c>
      <c r="N4127" s="8"/>
      <c r="O4127" s="8"/>
      <c r="P4127" s="8"/>
      <c r="Q4127" s="8"/>
      <c r="R4127" s="8"/>
      <c r="S4127" s="8">
        <v>4.55</v>
      </c>
      <c r="T4127" s="8"/>
      <c r="U4127" s="8">
        <v>15.14</v>
      </c>
      <c r="V4127" s="8"/>
      <c r="W4127" s="8"/>
      <c r="X4127" s="8"/>
      <c r="Y4127" s="8"/>
      <c r="Z4127" s="8"/>
      <c r="AA4127" s="8"/>
      <c r="AB4127" s="8"/>
      <c r="AC4127" s="8">
        <v>6.05</v>
      </c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>
        <v>706.65</v>
      </c>
      <c r="AU4127" s="8"/>
      <c r="AV4127" s="8"/>
      <c r="AW4127" s="8"/>
      <c r="AX4127" s="8"/>
      <c r="AY4127" s="8"/>
      <c r="AZ4127" s="8"/>
      <c r="BA4127" s="8">
        <v>56.35</v>
      </c>
      <c r="BB4127" s="8"/>
      <c r="BC4127" s="8"/>
      <c r="BD4127" s="8"/>
      <c r="BE4127" s="8"/>
      <c r="BF4127" s="8"/>
      <c r="BG4127" s="8">
        <v>49.17</v>
      </c>
      <c r="BH4127" s="9">
        <f t="shared" si="576"/>
        <v>1513.74</v>
      </c>
      <c r="BI4127" s="9">
        <f t="shared" si="577"/>
        <v>2.2799999999999998</v>
      </c>
      <c r="BJ4127" s="9">
        <f t="shared" si="578"/>
        <v>4.55</v>
      </c>
      <c r="BK4127" s="9">
        <f t="shared" si="579"/>
        <v>15.14</v>
      </c>
      <c r="BL4127" s="9">
        <f t="shared" si="580"/>
        <v>0</v>
      </c>
      <c r="BM4127" s="9">
        <f t="shared" si="581"/>
        <v>6.05</v>
      </c>
      <c r="BN4127" s="9">
        <f t="shared" si="582"/>
        <v>706.65</v>
      </c>
      <c r="BO4127" s="9">
        <f t="shared" si="583"/>
        <v>56.35</v>
      </c>
      <c r="BP4127" s="9">
        <f t="shared" si="584"/>
        <v>0</v>
      </c>
    </row>
    <row r="4128" spans="1:68">
      <c r="A4128" s="6">
        <v>45315</v>
      </c>
      <c r="B4128" s="7">
        <v>3106</v>
      </c>
      <c r="C4128" s="8">
        <v>4088.24</v>
      </c>
      <c r="D4128" s="8"/>
      <c r="E4128" s="8"/>
      <c r="F4128" s="8"/>
      <c r="G4128" s="8"/>
      <c r="H4128" s="8"/>
      <c r="I4128" s="8"/>
      <c r="J4128" s="8"/>
      <c r="K4128" s="8"/>
      <c r="L4128" s="8"/>
      <c r="M4128" s="8">
        <v>11.01</v>
      </c>
      <c r="N4128" s="8"/>
      <c r="O4128" s="8"/>
      <c r="P4128" s="8"/>
      <c r="Q4128" s="8"/>
      <c r="R4128" s="8"/>
      <c r="S4128" s="8">
        <v>12.28</v>
      </c>
      <c r="T4128" s="8"/>
      <c r="U4128" s="8">
        <v>51.94</v>
      </c>
      <c r="V4128" s="8"/>
      <c r="W4128" s="8"/>
      <c r="X4128" s="8"/>
      <c r="Y4128" s="8"/>
      <c r="Z4128" s="8"/>
      <c r="AA4128" s="8"/>
      <c r="AB4128" s="8"/>
      <c r="AC4128" s="8">
        <v>10.220000000000001</v>
      </c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>
        <v>2329.35</v>
      </c>
      <c r="AU4128" s="8"/>
      <c r="AV4128" s="8"/>
      <c r="AW4128" s="8"/>
      <c r="AX4128" s="8">
        <v>5.1100000000000003</v>
      </c>
      <c r="AY4128" s="8"/>
      <c r="AZ4128" s="8"/>
      <c r="BA4128" s="8"/>
      <c r="BB4128" s="8"/>
      <c r="BC4128" s="8"/>
      <c r="BD4128" s="8"/>
      <c r="BE4128" s="8"/>
      <c r="BF4128" s="8"/>
      <c r="BG4128" s="8">
        <v>175.76</v>
      </c>
      <c r="BH4128" s="9">
        <f t="shared" si="576"/>
        <v>4088.24</v>
      </c>
      <c r="BI4128" s="9">
        <f t="shared" si="577"/>
        <v>11.01</v>
      </c>
      <c r="BJ4128" s="9">
        <f t="shared" si="578"/>
        <v>12.28</v>
      </c>
      <c r="BK4128" s="9">
        <f t="shared" si="579"/>
        <v>51.94</v>
      </c>
      <c r="BL4128" s="9">
        <f t="shared" si="580"/>
        <v>0</v>
      </c>
      <c r="BM4128" s="9">
        <f t="shared" si="581"/>
        <v>10.220000000000001</v>
      </c>
      <c r="BN4128" s="9">
        <f t="shared" si="582"/>
        <v>2329.35</v>
      </c>
      <c r="BO4128" s="9">
        <f t="shared" si="583"/>
        <v>5.1100000000000003</v>
      </c>
      <c r="BP4128" s="9">
        <f t="shared" si="584"/>
        <v>0</v>
      </c>
    </row>
    <row r="4129" spans="1:68">
      <c r="A4129" s="6">
        <v>45315</v>
      </c>
      <c r="B4129" s="7">
        <v>3156</v>
      </c>
      <c r="C4129" s="8">
        <v>1375.05</v>
      </c>
      <c r="D4129" s="8"/>
      <c r="E4129" s="8"/>
      <c r="F4129" s="8"/>
      <c r="G4129" s="8"/>
      <c r="H4129" s="8"/>
      <c r="I4129" s="8"/>
      <c r="J4129" s="8"/>
      <c r="K4129" s="8"/>
      <c r="L4129" s="8"/>
      <c r="M4129" s="8">
        <v>2.09</v>
      </c>
      <c r="N4129" s="8"/>
      <c r="O4129" s="8"/>
      <c r="P4129" s="8"/>
      <c r="Q4129" s="8"/>
      <c r="R4129" s="8"/>
      <c r="S4129" s="8">
        <v>5.49</v>
      </c>
      <c r="T4129" s="8"/>
      <c r="U4129" s="8">
        <v>1.75</v>
      </c>
      <c r="V4129" s="8"/>
      <c r="W4129" s="8"/>
      <c r="X4129" s="8"/>
      <c r="Y4129" s="8"/>
      <c r="Z4129" s="8"/>
      <c r="AA4129" s="8"/>
      <c r="AB4129" s="8"/>
      <c r="AC4129" s="8">
        <v>3.44</v>
      </c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>
        <v>646.13</v>
      </c>
      <c r="AU4129" s="8"/>
      <c r="AV4129" s="8"/>
      <c r="AW4129" s="8"/>
      <c r="AX4129" s="8">
        <v>2.98</v>
      </c>
      <c r="AY4129" s="8"/>
      <c r="AZ4129" s="8"/>
      <c r="BA4129" s="8"/>
      <c r="BB4129" s="8"/>
      <c r="BC4129" s="8"/>
      <c r="BD4129" s="8"/>
      <c r="BE4129" s="8"/>
      <c r="BF4129" s="8"/>
      <c r="BG4129" s="8">
        <v>50.22</v>
      </c>
      <c r="BH4129" s="9">
        <f t="shared" si="576"/>
        <v>1375.05</v>
      </c>
      <c r="BI4129" s="9">
        <f t="shared" si="577"/>
        <v>2.09</v>
      </c>
      <c r="BJ4129" s="9">
        <f t="shared" si="578"/>
        <v>5.49</v>
      </c>
      <c r="BK4129" s="9">
        <f t="shared" si="579"/>
        <v>1.75</v>
      </c>
      <c r="BL4129" s="9">
        <f t="shared" si="580"/>
        <v>0</v>
      </c>
      <c r="BM4129" s="9">
        <f t="shared" si="581"/>
        <v>3.44</v>
      </c>
      <c r="BN4129" s="9">
        <f t="shared" si="582"/>
        <v>646.13</v>
      </c>
      <c r="BO4129" s="9">
        <f t="shared" si="583"/>
        <v>2.98</v>
      </c>
      <c r="BP4129" s="9">
        <f t="shared" si="584"/>
        <v>0</v>
      </c>
    </row>
    <row r="4130" spans="1:68">
      <c r="A4130" s="6">
        <v>45315</v>
      </c>
      <c r="B4130" s="7">
        <v>3110</v>
      </c>
      <c r="C4130" s="8">
        <v>1237.1130000000001</v>
      </c>
      <c r="D4130" s="8"/>
      <c r="E4130" s="8"/>
      <c r="F4130" s="8"/>
      <c r="G4130" s="8"/>
      <c r="H4130" s="8"/>
      <c r="I4130" s="8"/>
      <c r="J4130" s="8"/>
      <c r="K4130" s="8"/>
      <c r="L4130" s="8"/>
      <c r="M4130" s="8">
        <v>2.4700000000000002</v>
      </c>
      <c r="N4130" s="8"/>
      <c r="O4130" s="8"/>
      <c r="P4130" s="8"/>
      <c r="Q4130" s="8"/>
      <c r="R4130" s="8"/>
      <c r="S4130" s="8">
        <v>4.21</v>
      </c>
      <c r="T4130" s="8"/>
      <c r="U4130" s="8">
        <v>12.36</v>
      </c>
      <c r="V4130" s="8"/>
      <c r="W4130" s="8"/>
      <c r="X4130" s="8"/>
      <c r="Y4130" s="8"/>
      <c r="Z4130" s="8"/>
      <c r="AA4130" s="8"/>
      <c r="AB4130" s="8"/>
      <c r="AC4130" s="8">
        <v>4.9400000000000004</v>
      </c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>
        <v>645.34</v>
      </c>
      <c r="AU4130" s="8"/>
      <c r="AV4130" s="8">
        <v>21.03</v>
      </c>
      <c r="AW4130" s="8"/>
      <c r="AX4130" s="8"/>
      <c r="AY4130" s="8"/>
      <c r="AZ4130" s="8"/>
      <c r="BA4130" s="8"/>
      <c r="BB4130" s="8"/>
      <c r="BC4130" s="8"/>
      <c r="BD4130" s="8"/>
      <c r="BE4130" s="8"/>
      <c r="BF4130" s="8"/>
      <c r="BG4130" s="8">
        <v>47.65</v>
      </c>
      <c r="BH4130" s="9">
        <f t="shared" si="576"/>
        <v>1237.1130000000001</v>
      </c>
      <c r="BI4130" s="9">
        <f t="shared" si="577"/>
        <v>2.4700000000000002</v>
      </c>
      <c r="BJ4130" s="9">
        <f t="shared" si="578"/>
        <v>4.21</v>
      </c>
      <c r="BK4130" s="9">
        <f t="shared" si="579"/>
        <v>12.36</v>
      </c>
      <c r="BL4130" s="9">
        <f t="shared" si="580"/>
        <v>0</v>
      </c>
      <c r="BM4130" s="9">
        <f t="shared" si="581"/>
        <v>4.9400000000000004</v>
      </c>
      <c r="BN4130" s="9">
        <f t="shared" si="582"/>
        <v>645.34</v>
      </c>
      <c r="BO4130" s="9">
        <f t="shared" si="583"/>
        <v>21.03</v>
      </c>
      <c r="BP4130" s="9">
        <f t="shared" si="584"/>
        <v>0</v>
      </c>
    </row>
    <row r="4131" spans="1:68">
      <c r="A4131" s="6">
        <v>45315</v>
      </c>
      <c r="B4131" s="7">
        <v>3139</v>
      </c>
      <c r="C4131" s="8">
        <v>1088.2</v>
      </c>
      <c r="D4131" s="8"/>
      <c r="E4131" s="8"/>
      <c r="F4131" s="8"/>
      <c r="G4131" s="8"/>
      <c r="H4131" s="8">
        <v>452.28</v>
      </c>
      <c r="I4131" s="8"/>
      <c r="J4131" s="8"/>
      <c r="K4131" s="8"/>
      <c r="L4131" s="8"/>
      <c r="M4131" s="8">
        <v>2.5499999999999998</v>
      </c>
      <c r="N4131" s="8"/>
      <c r="O4131" s="8"/>
      <c r="P4131" s="8"/>
      <c r="Q4131" s="8"/>
      <c r="R4131" s="8"/>
      <c r="S4131" s="8">
        <v>4.83</v>
      </c>
      <c r="T4131" s="8"/>
      <c r="U4131" s="8">
        <v>16.11</v>
      </c>
      <c r="V4131" s="8"/>
      <c r="W4131" s="8"/>
      <c r="X4131" s="8"/>
      <c r="Y4131" s="8"/>
      <c r="Z4131" s="8"/>
      <c r="AA4131" s="8"/>
      <c r="AB4131" s="8"/>
      <c r="AC4131" s="8">
        <v>5.37</v>
      </c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>
        <v>794.69</v>
      </c>
      <c r="AU4131" s="8"/>
      <c r="AV4131" s="8">
        <v>26.85</v>
      </c>
      <c r="AW4131" s="8"/>
      <c r="AX4131" s="8"/>
      <c r="AY4131" s="8"/>
      <c r="AZ4131" s="8"/>
      <c r="BA4131" s="8"/>
      <c r="BB4131" s="8"/>
      <c r="BC4131" s="8"/>
      <c r="BD4131" s="8"/>
      <c r="BE4131" s="8"/>
      <c r="BF4131" s="8"/>
      <c r="BG4131" s="8">
        <v>57.69</v>
      </c>
      <c r="BH4131" s="9">
        <f t="shared" si="576"/>
        <v>1540.48</v>
      </c>
      <c r="BI4131" s="9">
        <f t="shared" si="577"/>
        <v>2.5499999999999998</v>
      </c>
      <c r="BJ4131" s="9">
        <f t="shared" si="578"/>
        <v>4.83</v>
      </c>
      <c r="BK4131" s="9">
        <f t="shared" si="579"/>
        <v>16.11</v>
      </c>
      <c r="BL4131" s="9">
        <f t="shared" si="580"/>
        <v>0</v>
      </c>
      <c r="BM4131" s="9">
        <f t="shared" si="581"/>
        <v>5.37</v>
      </c>
      <c r="BN4131" s="9">
        <f t="shared" si="582"/>
        <v>794.69</v>
      </c>
      <c r="BO4131" s="9">
        <f t="shared" si="583"/>
        <v>26.85</v>
      </c>
      <c r="BP4131" s="9">
        <f t="shared" si="584"/>
        <v>0</v>
      </c>
    </row>
    <row r="4132" spans="1:68">
      <c r="A4132" s="6">
        <v>45316</v>
      </c>
      <c r="B4132" s="7">
        <v>3200</v>
      </c>
      <c r="C4132" s="8">
        <v>2326.9299999999998</v>
      </c>
      <c r="D4132" s="8"/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>
        <v>5.82</v>
      </c>
      <c r="P4132" s="8"/>
      <c r="Q4132" s="8"/>
      <c r="R4132" s="8"/>
      <c r="S4132" s="8">
        <v>9.07</v>
      </c>
      <c r="T4132" s="8"/>
      <c r="U4132" s="8">
        <v>34.9</v>
      </c>
      <c r="V4132" s="8"/>
      <c r="W4132" s="8"/>
      <c r="X4132" s="8"/>
      <c r="Y4132" s="8"/>
      <c r="Z4132" s="8">
        <v>488.88</v>
      </c>
      <c r="AA4132" s="8"/>
      <c r="AB4132" s="8"/>
      <c r="AC4132" s="8"/>
      <c r="AD4132" s="8"/>
      <c r="AE4132" s="8"/>
      <c r="AF4132" s="8">
        <v>116.27</v>
      </c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>
        <v>35.11</v>
      </c>
      <c r="AR4132" s="8"/>
      <c r="AS4132" s="8"/>
      <c r="AT4132" s="8">
        <v>1591.44</v>
      </c>
      <c r="AU4132" s="8"/>
      <c r="AV4132" s="8"/>
      <c r="AW4132" s="8">
        <v>6.73</v>
      </c>
      <c r="AX4132" s="8"/>
      <c r="AY4132" s="8"/>
      <c r="AZ4132" s="8"/>
      <c r="BA4132" s="8"/>
      <c r="BB4132" s="8"/>
      <c r="BC4132" s="8"/>
      <c r="BD4132" s="8"/>
      <c r="BE4132" s="8"/>
      <c r="BF4132" s="8">
        <v>111.77</v>
      </c>
      <c r="BG4132" s="8">
        <v>115.2</v>
      </c>
      <c r="BH4132" s="9">
        <f t="shared" si="576"/>
        <v>2326.9299999999998</v>
      </c>
      <c r="BI4132" s="9">
        <f t="shared" si="577"/>
        <v>5.82</v>
      </c>
      <c r="BJ4132" s="9">
        <f t="shared" si="578"/>
        <v>9.07</v>
      </c>
      <c r="BK4132" s="9">
        <f t="shared" si="579"/>
        <v>34.9</v>
      </c>
      <c r="BL4132" s="9">
        <f t="shared" si="580"/>
        <v>488.88</v>
      </c>
      <c r="BM4132" s="9">
        <f t="shared" si="581"/>
        <v>151.38</v>
      </c>
      <c r="BN4132" s="9">
        <f t="shared" si="582"/>
        <v>1591.44</v>
      </c>
      <c r="BO4132" s="9">
        <f t="shared" si="583"/>
        <v>6.73</v>
      </c>
      <c r="BP4132" s="9">
        <f t="shared" si="584"/>
        <v>111.77</v>
      </c>
    </row>
    <row r="4133" spans="1:68">
      <c r="A4133" s="6">
        <v>45316</v>
      </c>
      <c r="B4133" s="7">
        <v>3205</v>
      </c>
      <c r="C4133" s="8">
        <v>358.27</v>
      </c>
      <c r="D4133" s="8">
        <v>199.7</v>
      </c>
      <c r="E4133" s="8">
        <v>238.66</v>
      </c>
      <c r="F4133" s="8"/>
      <c r="G4133" s="8"/>
      <c r="H4133" s="8"/>
      <c r="I4133" s="8"/>
      <c r="J4133" s="8"/>
      <c r="K4133" s="8"/>
      <c r="L4133" s="8"/>
      <c r="M4133" s="8"/>
      <c r="N4133" s="8"/>
      <c r="O4133" s="8">
        <v>3.2</v>
      </c>
      <c r="P4133" s="8"/>
      <c r="Q4133" s="8"/>
      <c r="R4133" s="8"/>
      <c r="S4133" s="8">
        <v>2.95</v>
      </c>
      <c r="T4133" s="8"/>
      <c r="U4133" s="8">
        <v>9.57</v>
      </c>
      <c r="V4133" s="8"/>
      <c r="W4133" s="8"/>
      <c r="X4133" s="8"/>
      <c r="Y4133" s="8"/>
      <c r="Z4133" s="8">
        <v>79.760000000000005</v>
      </c>
      <c r="AA4133" s="8"/>
      <c r="AB4133" s="8">
        <v>8.1</v>
      </c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>
        <v>4.0599999999999996</v>
      </c>
      <c r="AR4133" s="8"/>
      <c r="AS4133" s="8"/>
      <c r="AT4133" s="8">
        <v>207.99</v>
      </c>
      <c r="AU4133" s="8">
        <v>103.6</v>
      </c>
      <c r="AV4133" s="8"/>
      <c r="AW4133" s="8">
        <v>3.44</v>
      </c>
      <c r="AX4133" s="8"/>
      <c r="AY4133" s="8"/>
      <c r="AZ4133" s="8"/>
      <c r="BA4133" s="8"/>
      <c r="BB4133" s="8"/>
      <c r="BC4133" s="8"/>
      <c r="BD4133" s="8"/>
      <c r="BE4133" s="8"/>
      <c r="BF4133" s="8"/>
      <c r="BG4133" s="8">
        <v>18.71</v>
      </c>
      <c r="BH4133" s="9">
        <f t="shared" si="576"/>
        <v>796.63</v>
      </c>
      <c r="BI4133" s="9">
        <f t="shared" si="577"/>
        <v>3.2</v>
      </c>
      <c r="BJ4133" s="9">
        <f t="shared" si="578"/>
        <v>2.95</v>
      </c>
      <c r="BK4133" s="9">
        <f t="shared" si="579"/>
        <v>9.57</v>
      </c>
      <c r="BL4133" s="9">
        <f t="shared" si="580"/>
        <v>79.760000000000005</v>
      </c>
      <c r="BM4133" s="9">
        <f t="shared" si="581"/>
        <v>12.16</v>
      </c>
      <c r="BN4133" s="9">
        <f t="shared" si="582"/>
        <v>311.59000000000003</v>
      </c>
      <c r="BO4133" s="9">
        <f t="shared" si="583"/>
        <v>3.44</v>
      </c>
      <c r="BP4133" s="9">
        <f t="shared" si="584"/>
        <v>0</v>
      </c>
    </row>
    <row r="4134" spans="1:68">
      <c r="A4134" s="6">
        <v>45316</v>
      </c>
      <c r="B4134" s="7">
        <v>3205</v>
      </c>
      <c r="C4134" s="8">
        <v>300.04000000000002</v>
      </c>
      <c r="D4134" s="8">
        <v>165.97</v>
      </c>
      <c r="E4134" s="8">
        <v>199.2</v>
      </c>
      <c r="F4134" s="8"/>
      <c r="G4134" s="8"/>
      <c r="H4134" s="8"/>
      <c r="I4134" s="8"/>
      <c r="J4134" s="8"/>
      <c r="K4134" s="8"/>
      <c r="L4134" s="8"/>
      <c r="M4134" s="8"/>
      <c r="N4134" s="8"/>
      <c r="O4134" s="8">
        <v>2.66</v>
      </c>
      <c r="P4134" s="8"/>
      <c r="Q4134" s="8"/>
      <c r="R4134" s="8"/>
      <c r="S4134" s="8">
        <v>2.46</v>
      </c>
      <c r="T4134" s="8"/>
      <c r="U4134" s="8">
        <v>7.98</v>
      </c>
      <c r="V4134" s="8"/>
      <c r="W4134" s="8"/>
      <c r="X4134" s="8"/>
      <c r="Y4134" s="8"/>
      <c r="Z4134" s="8">
        <v>66.48</v>
      </c>
      <c r="AA4134" s="8"/>
      <c r="AB4134" s="8">
        <v>6.76</v>
      </c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>
        <v>3.38</v>
      </c>
      <c r="AR4134" s="8"/>
      <c r="AS4134" s="8"/>
      <c r="AT4134" s="8">
        <v>172.99</v>
      </c>
      <c r="AU4134" s="8">
        <v>86.4</v>
      </c>
      <c r="AV4134" s="8"/>
      <c r="AW4134" s="8">
        <v>2.86</v>
      </c>
      <c r="AX4134" s="8"/>
      <c r="AY4134" s="8"/>
      <c r="AZ4134" s="8"/>
      <c r="BA4134" s="8"/>
      <c r="BB4134" s="8"/>
      <c r="BC4134" s="8"/>
      <c r="BD4134" s="8"/>
      <c r="BE4134" s="8"/>
      <c r="BF4134" s="8"/>
      <c r="BG4134" s="8">
        <v>15.56</v>
      </c>
      <c r="BH4134" s="9">
        <f t="shared" si="576"/>
        <v>665.21</v>
      </c>
      <c r="BI4134" s="9">
        <f t="shared" si="577"/>
        <v>2.66</v>
      </c>
      <c r="BJ4134" s="9">
        <f t="shared" si="578"/>
        <v>2.46</v>
      </c>
      <c r="BK4134" s="9">
        <f t="shared" si="579"/>
        <v>7.98</v>
      </c>
      <c r="BL4134" s="9">
        <f t="shared" si="580"/>
        <v>66.48</v>
      </c>
      <c r="BM4134" s="9">
        <f t="shared" si="581"/>
        <v>10.14</v>
      </c>
      <c r="BN4134" s="9">
        <f t="shared" si="582"/>
        <v>259.39</v>
      </c>
      <c r="BO4134" s="9">
        <f t="shared" si="583"/>
        <v>2.86</v>
      </c>
      <c r="BP4134" s="9">
        <f t="shared" si="584"/>
        <v>0</v>
      </c>
    </row>
    <row r="4135" spans="1:68">
      <c r="A4135" s="6">
        <v>45316</v>
      </c>
      <c r="B4135" s="7">
        <v>3205</v>
      </c>
      <c r="C4135" s="8">
        <v>330.32</v>
      </c>
      <c r="D4135" s="8">
        <v>183.99</v>
      </c>
      <c r="E4135" s="8">
        <v>220.38</v>
      </c>
      <c r="F4135" s="8"/>
      <c r="G4135" s="8"/>
      <c r="H4135" s="8"/>
      <c r="I4135" s="8"/>
      <c r="J4135" s="8"/>
      <c r="K4135" s="8"/>
      <c r="L4135" s="8"/>
      <c r="M4135" s="8"/>
      <c r="N4135" s="8"/>
      <c r="O4135" s="8">
        <v>2.94</v>
      </c>
      <c r="P4135" s="8"/>
      <c r="Q4135" s="8"/>
      <c r="R4135" s="8"/>
      <c r="S4135" s="8">
        <v>2.72</v>
      </c>
      <c r="T4135" s="8"/>
      <c r="U4135" s="8">
        <v>8.82</v>
      </c>
      <c r="V4135" s="8"/>
      <c r="W4135" s="8"/>
      <c r="X4135" s="8"/>
      <c r="Y4135" s="8"/>
      <c r="Z4135" s="8">
        <v>73.430000000000007</v>
      </c>
      <c r="AA4135" s="8"/>
      <c r="AB4135" s="8">
        <v>7.47</v>
      </c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>
        <v>3.74</v>
      </c>
      <c r="AR4135" s="8"/>
      <c r="AS4135" s="8"/>
      <c r="AT4135" s="8">
        <v>191.14</v>
      </c>
      <c r="AU4135" s="8">
        <v>95.77</v>
      </c>
      <c r="AV4135" s="8"/>
      <c r="AW4135" s="8">
        <v>3.15</v>
      </c>
      <c r="AX4135" s="8"/>
      <c r="AY4135" s="8"/>
      <c r="AZ4135" s="8"/>
      <c r="BA4135" s="8"/>
      <c r="BB4135" s="8"/>
      <c r="BC4135" s="8"/>
      <c r="BD4135" s="8"/>
      <c r="BE4135" s="8"/>
      <c r="BF4135" s="8"/>
      <c r="BG4135" s="8">
        <v>17.309999999999999</v>
      </c>
      <c r="BH4135" s="9">
        <f t="shared" si="576"/>
        <v>734.68999999999994</v>
      </c>
      <c r="BI4135" s="9">
        <f t="shared" si="577"/>
        <v>2.94</v>
      </c>
      <c r="BJ4135" s="9">
        <f t="shared" si="578"/>
        <v>2.72</v>
      </c>
      <c r="BK4135" s="9">
        <f t="shared" si="579"/>
        <v>8.82</v>
      </c>
      <c r="BL4135" s="9">
        <f t="shared" si="580"/>
        <v>73.430000000000007</v>
      </c>
      <c r="BM4135" s="9">
        <f t="shared" si="581"/>
        <v>11.21</v>
      </c>
      <c r="BN4135" s="9">
        <f t="shared" si="582"/>
        <v>286.90999999999997</v>
      </c>
      <c r="BO4135" s="9">
        <f t="shared" si="583"/>
        <v>3.15</v>
      </c>
      <c r="BP4135" s="9">
        <f t="shared" si="584"/>
        <v>0</v>
      </c>
    </row>
    <row r="4136" spans="1:68">
      <c r="A4136" s="6">
        <v>45316</v>
      </c>
      <c r="B4136" s="7">
        <v>3205</v>
      </c>
      <c r="C4136" s="8">
        <v>426.38</v>
      </c>
      <c r="D4136" s="8">
        <v>237.03</v>
      </c>
      <c r="E4136" s="8">
        <v>283.22000000000003</v>
      </c>
      <c r="F4136" s="8"/>
      <c r="G4136" s="8"/>
      <c r="H4136" s="8"/>
      <c r="I4136" s="8"/>
      <c r="J4136" s="8"/>
      <c r="K4136" s="8"/>
      <c r="L4136" s="8"/>
      <c r="M4136" s="8"/>
      <c r="N4136" s="8"/>
      <c r="O4136" s="8">
        <v>3.78</v>
      </c>
      <c r="P4136" s="8"/>
      <c r="Q4136" s="8"/>
      <c r="R4136" s="8"/>
      <c r="S4136" s="8">
        <v>3.5</v>
      </c>
      <c r="T4136" s="8"/>
      <c r="U4136" s="8">
        <v>11.36</v>
      </c>
      <c r="V4136" s="8"/>
      <c r="W4136" s="8"/>
      <c r="X4136" s="8"/>
      <c r="Y4136" s="8"/>
      <c r="Z4136" s="8">
        <v>94.64</v>
      </c>
      <c r="AA4136" s="8"/>
      <c r="AB4136" s="8">
        <v>9.65</v>
      </c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>
        <v>4.83</v>
      </c>
      <c r="AR4136" s="8"/>
      <c r="AS4136" s="8"/>
      <c r="AT4136" s="8">
        <v>247.77</v>
      </c>
      <c r="AU4136" s="8">
        <v>123.05</v>
      </c>
      <c r="AV4136" s="8"/>
      <c r="AW4136" s="8">
        <v>4.05</v>
      </c>
      <c r="AX4136" s="8"/>
      <c r="AY4136" s="8"/>
      <c r="AZ4136" s="8"/>
      <c r="BA4136" s="8"/>
      <c r="BB4136" s="8"/>
      <c r="BC4136" s="8"/>
      <c r="BD4136" s="8"/>
      <c r="BE4136" s="8"/>
      <c r="BF4136" s="8"/>
      <c r="BG4136" s="8">
        <v>22.23</v>
      </c>
      <c r="BH4136" s="9">
        <f t="shared" si="576"/>
        <v>946.63</v>
      </c>
      <c r="BI4136" s="9">
        <f t="shared" si="577"/>
        <v>3.78</v>
      </c>
      <c r="BJ4136" s="9">
        <f t="shared" si="578"/>
        <v>3.5</v>
      </c>
      <c r="BK4136" s="9">
        <f t="shared" si="579"/>
        <v>11.36</v>
      </c>
      <c r="BL4136" s="9">
        <f t="shared" si="580"/>
        <v>94.64</v>
      </c>
      <c r="BM4136" s="9">
        <f t="shared" si="581"/>
        <v>14.48</v>
      </c>
      <c r="BN4136" s="9">
        <f t="shared" si="582"/>
        <v>370.82</v>
      </c>
      <c r="BO4136" s="9">
        <f t="shared" si="583"/>
        <v>4.05</v>
      </c>
      <c r="BP4136" s="9">
        <f t="shared" si="584"/>
        <v>0</v>
      </c>
    </row>
    <row r="4137" spans="1:68">
      <c r="A4137" s="6">
        <v>45316</v>
      </c>
      <c r="B4137" s="7">
        <v>3205</v>
      </c>
      <c r="C4137" s="8">
        <v>676.03</v>
      </c>
      <c r="D4137" s="8">
        <v>375.61</v>
      </c>
      <c r="E4137" s="8">
        <v>450.7</v>
      </c>
      <c r="F4137" s="8"/>
      <c r="G4137" s="8"/>
      <c r="H4137" s="8"/>
      <c r="I4137" s="8"/>
      <c r="J4137" s="8"/>
      <c r="K4137" s="8"/>
      <c r="L4137" s="8"/>
      <c r="M4137" s="8"/>
      <c r="N4137" s="8"/>
      <c r="O4137" s="8">
        <v>6.01</v>
      </c>
      <c r="P4137" s="8"/>
      <c r="Q4137" s="8"/>
      <c r="R4137" s="8"/>
      <c r="S4137" s="8">
        <v>5.56</v>
      </c>
      <c r="T4137" s="8"/>
      <c r="U4137" s="8">
        <v>18.03</v>
      </c>
      <c r="V4137" s="8"/>
      <c r="W4137" s="8"/>
      <c r="X4137" s="8"/>
      <c r="Y4137" s="8"/>
      <c r="Z4137" s="8">
        <v>150.19</v>
      </c>
      <c r="AA4137" s="8"/>
      <c r="AB4137" s="8">
        <v>15.3</v>
      </c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>
        <v>7.66</v>
      </c>
      <c r="AR4137" s="8"/>
      <c r="AS4137" s="8"/>
      <c r="AT4137" s="8">
        <v>392.11</v>
      </c>
      <c r="AU4137" s="8">
        <v>195.75</v>
      </c>
      <c r="AV4137" s="8"/>
      <c r="AW4137" s="8">
        <v>6.44</v>
      </c>
      <c r="AX4137" s="8"/>
      <c r="AY4137" s="8"/>
      <c r="AZ4137" s="8"/>
      <c r="BA4137" s="8"/>
      <c r="BB4137" s="8"/>
      <c r="BC4137" s="8"/>
      <c r="BD4137" s="8"/>
      <c r="BE4137" s="8"/>
      <c r="BF4137" s="8"/>
      <c r="BG4137" s="8">
        <v>35.270000000000003</v>
      </c>
      <c r="BH4137" s="9">
        <f t="shared" si="576"/>
        <v>1502.34</v>
      </c>
      <c r="BI4137" s="9">
        <f t="shared" si="577"/>
        <v>6.01</v>
      </c>
      <c r="BJ4137" s="9">
        <f t="shared" si="578"/>
        <v>5.56</v>
      </c>
      <c r="BK4137" s="9">
        <f t="shared" si="579"/>
        <v>18.03</v>
      </c>
      <c r="BL4137" s="9">
        <f t="shared" si="580"/>
        <v>150.19</v>
      </c>
      <c r="BM4137" s="9">
        <f t="shared" si="581"/>
        <v>22.96</v>
      </c>
      <c r="BN4137" s="9">
        <f t="shared" si="582"/>
        <v>587.86</v>
      </c>
      <c r="BO4137" s="9">
        <f t="shared" si="583"/>
        <v>6.44</v>
      </c>
      <c r="BP4137" s="9">
        <f t="shared" si="584"/>
        <v>0</v>
      </c>
    </row>
    <row r="4138" spans="1:68">
      <c r="A4138" s="6">
        <v>45316</v>
      </c>
      <c r="B4138" s="7">
        <v>3117</v>
      </c>
      <c r="C4138" s="8">
        <v>805.48</v>
      </c>
      <c r="D4138" s="8"/>
      <c r="E4138" s="8"/>
      <c r="F4138" s="8"/>
      <c r="G4138" s="8"/>
      <c r="H4138" s="8"/>
      <c r="I4138" s="8"/>
      <c r="J4138" s="8"/>
      <c r="K4138" s="8"/>
      <c r="L4138" s="8"/>
      <c r="M4138" s="8">
        <v>2.36</v>
      </c>
      <c r="N4138" s="8"/>
      <c r="O4138" s="8"/>
      <c r="P4138" s="8"/>
      <c r="Q4138" s="11"/>
      <c r="R4138" s="11"/>
      <c r="S4138" s="8">
        <v>3.24</v>
      </c>
      <c r="T4138" s="8"/>
      <c r="U4138" s="8">
        <v>8.1</v>
      </c>
      <c r="V4138" s="8"/>
      <c r="W4138" s="8"/>
      <c r="X4138" s="8"/>
      <c r="Y4138" s="8"/>
      <c r="Z4138" s="8"/>
      <c r="AA4138" s="8"/>
      <c r="AB4138" s="8"/>
      <c r="AC4138" s="8">
        <v>3.24</v>
      </c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11"/>
      <c r="AQ4138" s="8"/>
      <c r="AR4138" s="8"/>
      <c r="AS4138" s="8"/>
      <c r="AT4138" s="8">
        <v>507.84</v>
      </c>
      <c r="AU4138" s="8"/>
      <c r="AV4138" s="8">
        <v>20.29</v>
      </c>
      <c r="AW4138" s="8"/>
      <c r="AX4138" s="8"/>
      <c r="AY4138" s="8"/>
      <c r="AZ4138" s="8"/>
      <c r="BA4138" s="8"/>
      <c r="BB4138" s="8"/>
      <c r="BC4138" s="8"/>
      <c r="BD4138" s="8"/>
      <c r="BE4138" s="8"/>
      <c r="BF4138" s="8">
        <v>40.56</v>
      </c>
      <c r="BG4138" s="8">
        <v>38.83</v>
      </c>
      <c r="BH4138" s="9">
        <f t="shared" si="576"/>
        <v>805.48</v>
      </c>
      <c r="BI4138" s="9">
        <f t="shared" si="577"/>
        <v>2.36</v>
      </c>
      <c r="BJ4138" s="9">
        <f t="shared" si="578"/>
        <v>3.24</v>
      </c>
      <c r="BK4138" s="9">
        <f t="shared" si="579"/>
        <v>8.1</v>
      </c>
      <c r="BL4138" s="9">
        <f t="shared" si="580"/>
        <v>0</v>
      </c>
      <c r="BM4138" s="9">
        <f t="shared" si="581"/>
        <v>3.24</v>
      </c>
      <c r="BN4138" s="9">
        <f t="shared" si="582"/>
        <v>507.84</v>
      </c>
      <c r="BO4138" s="9">
        <f t="shared" si="583"/>
        <v>20.29</v>
      </c>
      <c r="BP4138" s="9">
        <f t="shared" si="584"/>
        <v>40.56</v>
      </c>
    </row>
    <row r="4139" spans="1:68">
      <c r="A4139" s="6">
        <v>45316</v>
      </c>
      <c r="B4139" s="7">
        <v>3602</v>
      </c>
      <c r="C4139" s="8">
        <v>583.36</v>
      </c>
      <c r="D4139" s="8"/>
      <c r="E4139" s="8"/>
      <c r="F4139" s="8"/>
      <c r="G4139" s="8">
        <v>874.02</v>
      </c>
      <c r="H4139" s="8"/>
      <c r="I4139" s="8"/>
      <c r="J4139" s="8"/>
      <c r="K4139" s="8"/>
      <c r="L4139" s="8"/>
      <c r="M4139" s="8">
        <v>1.76</v>
      </c>
      <c r="N4139" s="8"/>
      <c r="O4139" s="8"/>
      <c r="P4139" s="8"/>
      <c r="Q4139" s="8"/>
      <c r="R4139" s="8"/>
      <c r="S4139" s="8">
        <v>7</v>
      </c>
      <c r="T4139" s="8"/>
      <c r="U4139" s="8">
        <v>11.66</v>
      </c>
      <c r="V4139" s="8">
        <v>14.35</v>
      </c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>
        <v>587.63</v>
      </c>
      <c r="AU4139" s="8"/>
      <c r="AV4139" s="8"/>
      <c r="AW4139" s="8">
        <v>37.71</v>
      </c>
      <c r="AX4139" s="8"/>
      <c r="AY4139" s="8"/>
      <c r="AZ4139" s="8"/>
      <c r="BA4139" s="8"/>
      <c r="BB4139" s="8"/>
      <c r="BC4139" s="8"/>
      <c r="BD4139" s="8"/>
      <c r="BE4139" s="8"/>
      <c r="BF4139" s="8">
        <v>46.69</v>
      </c>
      <c r="BG4139" s="8">
        <v>43.95</v>
      </c>
      <c r="BH4139" s="9">
        <f t="shared" si="576"/>
        <v>1457.38</v>
      </c>
      <c r="BI4139" s="9">
        <f t="shared" si="577"/>
        <v>1.76</v>
      </c>
      <c r="BJ4139" s="9">
        <f t="shared" si="578"/>
        <v>7</v>
      </c>
      <c r="BK4139" s="9">
        <f t="shared" si="579"/>
        <v>26.009999999999998</v>
      </c>
      <c r="BL4139" s="9">
        <f t="shared" si="580"/>
        <v>0</v>
      </c>
      <c r="BM4139" s="9">
        <f t="shared" si="581"/>
        <v>0</v>
      </c>
      <c r="BN4139" s="9">
        <f t="shared" si="582"/>
        <v>587.63</v>
      </c>
      <c r="BO4139" s="9">
        <f t="shared" si="583"/>
        <v>37.71</v>
      </c>
      <c r="BP4139" s="9">
        <f t="shared" si="584"/>
        <v>46.69</v>
      </c>
    </row>
    <row r="4140" spans="1:68">
      <c r="A4140" s="6">
        <v>45317</v>
      </c>
      <c r="B4140" s="7">
        <v>3702</v>
      </c>
      <c r="C4140" s="8">
        <v>547.67999999999995</v>
      </c>
      <c r="D4140" s="8">
        <v>362.8</v>
      </c>
      <c r="E4140" s="8"/>
      <c r="F4140" s="8"/>
      <c r="G4140" s="8"/>
      <c r="H4140" s="8"/>
      <c r="I4140" s="8"/>
      <c r="J4140" s="8"/>
      <c r="K4140" s="8"/>
      <c r="L4140" s="8"/>
      <c r="M4140" s="8">
        <v>1.81</v>
      </c>
      <c r="N4140" s="8"/>
      <c r="O4140" s="8"/>
      <c r="P4140" s="8"/>
      <c r="Q4140" s="11"/>
      <c r="R4140" s="11"/>
      <c r="S4140" s="8">
        <v>4.26</v>
      </c>
      <c r="T4140" s="8"/>
      <c r="U4140" s="8">
        <v>6.8</v>
      </c>
      <c r="V4140" s="8"/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11"/>
      <c r="AQ4140" s="8"/>
      <c r="AR4140" s="8"/>
      <c r="AS4140" s="8"/>
      <c r="AT4140" s="8">
        <v>218.96</v>
      </c>
      <c r="AU4140" s="8">
        <v>110.32</v>
      </c>
      <c r="AV4140" s="8"/>
      <c r="AW4140" s="8">
        <v>1.97</v>
      </c>
      <c r="AX4140" s="8"/>
      <c r="AY4140" s="8"/>
      <c r="AZ4140" s="8"/>
      <c r="BA4140" s="8"/>
      <c r="BB4140" s="8"/>
      <c r="BC4140" s="8"/>
      <c r="BD4140" s="8"/>
      <c r="BE4140" s="8"/>
      <c r="BF4140" s="8"/>
      <c r="BG4140" s="8">
        <v>23.17</v>
      </c>
      <c r="BH4140" s="9">
        <f t="shared" si="576"/>
        <v>910.48</v>
      </c>
      <c r="BI4140" s="9">
        <f t="shared" si="577"/>
        <v>1.81</v>
      </c>
      <c r="BJ4140" s="9">
        <f t="shared" si="578"/>
        <v>4.26</v>
      </c>
      <c r="BK4140" s="9">
        <f t="shared" si="579"/>
        <v>6.8</v>
      </c>
      <c r="BL4140" s="9">
        <f t="shared" si="580"/>
        <v>0</v>
      </c>
      <c r="BM4140" s="9">
        <f t="shared" si="581"/>
        <v>0</v>
      </c>
      <c r="BN4140" s="9">
        <f t="shared" si="582"/>
        <v>329.28</v>
      </c>
      <c r="BO4140" s="9">
        <f t="shared" si="583"/>
        <v>1.97</v>
      </c>
      <c r="BP4140" s="9">
        <f t="shared" si="584"/>
        <v>0</v>
      </c>
    </row>
    <row r="4141" spans="1:68">
      <c r="A4141" s="6">
        <v>45317</v>
      </c>
      <c r="B4141" s="7">
        <v>8311</v>
      </c>
      <c r="C4141" s="8"/>
      <c r="D4141" s="8">
        <v>375.94</v>
      </c>
      <c r="E4141" s="8"/>
      <c r="F4141" s="8"/>
      <c r="G4141" s="8"/>
      <c r="H4141" s="8"/>
      <c r="I4141" s="8">
        <v>82.62</v>
      </c>
      <c r="J4141" s="8"/>
      <c r="K4141" s="8"/>
      <c r="L4141" s="8"/>
      <c r="M4141" s="8">
        <v>1.37</v>
      </c>
      <c r="N4141" s="8"/>
      <c r="O4141" s="8"/>
      <c r="P4141" s="8"/>
      <c r="Q4141" s="8"/>
      <c r="R4141" s="8"/>
      <c r="S4141" s="8">
        <v>1.6</v>
      </c>
      <c r="T4141" s="8"/>
      <c r="U4141" s="8">
        <v>3.21</v>
      </c>
      <c r="V4141" s="8"/>
      <c r="W4141" s="8"/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>
        <v>27.2</v>
      </c>
      <c r="AU4141" s="8">
        <v>54.25</v>
      </c>
      <c r="AV4141" s="8">
        <v>6.23</v>
      </c>
      <c r="AW4141" s="8"/>
      <c r="AX4141" s="8"/>
      <c r="AY4141" s="8"/>
      <c r="AZ4141" s="8"/>
      <c r="BA4141" s="8"/>
      <c r="BB4141" s="8"/>
      <c r="BC4141" s="8"/>
      <c r="BD4141" s="8"/>
      <c r="BE4141" s="8"/>
      <c r="BF4141" s="8"/>
      <c r="BG4141" s="8">
        <v>4.5</v>
      </c>
      <c r="BH4141" s="9">
        <f t="shared" si="576"/>
        <v>458.56</v>
      </c>
      <c r="BI4141" s="9">
        <f t="shared" si="577"/>
        <v>1.37</v>
      </c>
      <c r="BJ4141" s="9">
        <f t="shared" si="578"/>
        <v>1.6</v>
      </c>
      <c r="BK4141" s="9">
        <f t="shared" si="579"/>
        <v>3.21</v>
      </c>
      <c r="BL4141" s="9">
        <f t="shared" si="580"/>
        <v>0</v>
      </c>
      <c r="BM4141" s="9">
        <f t="shared" si="581"/>
        <v>0</v>
      </c>
      <c r="BN4141" s="9">
        <f t="shared" si="582"/>
        <v>81.45</v>
      </c>
      <c r="BO4141" s="9">
        <f t="shared" si="583"/>
        <v>6.23</v>
      </c>
      <c r="BP4141" s="9">
        <f t="shared" si="584"/>
        <v>0</v>
      </c>
    </row>
    <row r="4142" spans="1:68">
      <c r="A4142" s="6">
        <v>45317</v>
      </c>
      <c r="B4142" s="7">
        <v>3106</v>
      </c>
      <c r="C4142" s="8">
        <v>4245.8100000000004</v>
      </c>
      <c r="D4142" s="8"/>
      <c r="E4142" s="8"/>
      <c r="F4142" s="8"/>
      <c r="G4142" s="8"/>
      <c r="H4142" s="8"/>
      <c r="I4142" s="8"/>
      <c r="J4142" s="8"/>
      <c r="K4142" s="8"/>
      <c r="L4142" s="8"/>
      <c r="M4142" s="8">
        <v>11.46</v>
      </c>
      <c r="N4142" s="8"/>
      <c r="O4142" s="8"/>
      <c r="P4142" s="8"/>
      <c r="Q4142" s="8"/>
      <c r="R4142" s="8"/>
      <c r="S4142" s="8">
        <v>12.75</v>
      </c>
      <c r="T4142" s="8"/>
      <c r="U4142" s="8">
        <v>54.02</v>
      </c>
      <c r="V4142" s="8"/>
      <c r="W4142" s="8"/>
      <c r="X4142" s="8"/>
      <c r="Y4142" s="8"/>
      <c r="Z4142" s="8"/>
      <c r="AA4142" s="8"/>
      <c r="AB4142" s="8"/>
      <c r="AC4142" s="8">
        <v>10.62</v>
      </c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>
        <v>2421.06</v>
      </c>
      <c r="AU4142" s="8"/>
      <c r="AV4142" s="8"/>
      <c r="AW4142" s="8"/>
      <c r="AX4142" s="8">
        <v>5.31</v>
      </c>
      <c r="AY4142" s="8"/>
      <c r="AZ4142" s="8"/>
      <c r="BA4142" s="8"/>
      <c r="BB4142" s="8"/>
      <c r="BC4142" s="8"/>
      <c r="BD4142" s="8"/>
      <c r="BE4142" s="8"/>
      <c r="BF4142" s="8"/>
      <c r="BG4142" s="8">
        <v>183.29</v>
      </c>
      <c r="BH4142" s="9">
        <f t="shared" si="576"/>
        <v>4245.8100000000004</v>
      </c>
      <c r="BI4142" s="9">
        <f t="shared" si="577"/>
        <v>11.46</v>
      </c>
      <c r="BJ4142" s="9">
        <f t="shared" si="578"/>
        <v>12.75</v>
      </c>
      <c r="BK4142" s="9">
        <f t="shared" si="579"/>
        <v>54.02</v>
      </c>
      <c r="BL4142" s="9">
        <f t="shared" si="580"/>
        <v>0</v>
      </c>
      <c r="BM4142" s="9">
        <f t="shared" si="581"/>
        <v>10.62</v>
      </c>
      <c r="BN4142" s="9">
        <f t="shared" si="582"/>
        <v>2421.06</v>
      </c>
      <c r="BO4142" s="9">
        <f t="shared" si="583"/>
        <v>5.31</v>
      </c>
      <c r="BP4142" s="9">
        <f t="shared" si="584"/>
        <v>0</v>
      </c>
    </row>
    <row r="4143" spans="1:68">
      <c r="A4143" s="6">
        <v>45317</v>
      </c>
      <c r="B4143" s="7">
        <v>3020</v>
      </c>
      <c r="C4143" s="8"/>
      <c r="D4143" s="8">
        <v>173.84</v>
      </c>
      <c r="E4143" s="8"/>
      <c r="F4143" s="8"/>
      <c r="G4143" s="8"/>
      <c r="H4143" s="8"/>
      <c r="I4143" s="8">
        <v>982.9</v>
      </c>
      <c r="J4143" s="8"/>
      <c r="K4143" s="8"/>
      <c r="L4143" s="8"/>
      <c r="M4143" s="8"/>
      <c r="N4143" s="8">
        <v>7.06</v>
      </c>
      <c r="O4143" s="8"/>
      <c r="P4143" s="8"/>
      <c r="Q4143" s="8"/>
      <c r="R4143" s="8"/>
      <c r="S4143" s="8">
        <v>2.08</v>
      </c>
      <c r="T4143" s="8"/>
      <c r="U4143" s="8"/>
      <c r="V4143" s="8"/>
      <c r="W4143" s="8">
        <v>11.56</v>
      </c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>
        <v>11.54</v>
      </c>
      <c r="AN4143" s="8"/>
      <c r="AO4143" s="8"/>
      <c r="AP4143" s="8"/>
      <c r="AQ4143" s="8"/>
      <c r="AR4143" s="8"/>
      <c r="AS4143" s="8">
        <f>3064*9.62/1000</f>
        <v>29.475679999999997</v>
      </c>
      <c r="AT4143" s="8">
        <v>567.15</v>
      </c>
      <c r="AU4143" s="8"/>
      <c r="AV4143" s="8"/>
      <c r="AW4143" s="8"/>
      <c r="AX4143" s="8"/>
      <c r="AY4143" s="8"/>
      <c r="AZ4143" s="8"/>
      <c r="BA4143" s="8"/>
      <c r="BB4143" s="8"/>
      <c r="BC4143" s="8"/>
      <c r="BD4143" s="8"/>
      <c r="BE4143" s="8"/>
      <c r="BF4143" s="8"/>
      <c r="BG4143" s="8">
        <v>41.67</v>
      </c>
      <c r="BH4143" s="9">
        <f t="shared" si="576"/>
        <v>1156.74</v>
      </c>
      <c r="BI4143" s="9">
        <f t="shared" si="577"/>
        <v>7.06</v>
      </c>
      <c r="BJ4143" s="9">
        <f t="shared" si="578"/>
        <v>2.08</v>
      </c>
      <c r="BK4143" s="9">
        <f t="shared" si="579"/>
        <v>11.56</v>
      </c>
      <c r="BL4143" s="9">
        <f t="shared" si="580"/>
        <v>0</v>
      </c>
      <c r="BM4143" s="9">
        <f t="shared" si="581"/>
        <v>41.015679999999996</v>
      </c>
      <c r="BN4143" s="9">
        <f t="shared" si="582"/>
        <v>567.15</v>
      </c>
      <c r="BO4143" s="9">
        <f t="shared" si="583"/>
        <v>0</v>
      </c>
      <c r="BP4143" s="9">
        <f t="shared" si="584"/>
        <v>0</v>
      </c>
    </row>
    <row r="4144" spans="1:68">
      <c r="A4144" s="6">
        <v>45317</v>
      </c>
      <c r="B4144" s="7">
        <v>3023</v>
      </c>
      <c r="C4144" s="8"/>
      <c r="D4144" s="8">
        <v>887.92</v>
      </c>
      <c r="E4144" s="8"/>
      <c r="F4144" s="8"/>
      <c r="G4144" s="8"/>
      <c r="H4144" s="8"/>
      <c r="I4144" s="8">
        <v>481.34</v>
      </c>
      <c r="J4144" s="8"/>
      <c r="K4144" s="8"/>
      <c r="L4144" s="8"/>
      <c r="M4144" s="8"/>
      <c r="N4144" s="8">
        <v>7.67</v>
      </c>
      <c r="O4144" s="8"/>
      <c r="P4144" s="8"/>
      <c r="Q4144" s="8"/>
      <c r="R4144" s="8"/>
      <c r="S4144" s="8">
        <v>2.2000000000000002</v>
      </c>
      <c r="T4144" s="8"/>
      <c r="U4144" s="8"/>
      <c r="V4144" s="8"/>
      <c r="W4144" s="8">
        <v>12.33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>
        <v>13.68</v>
      </c>
      <c r="AN4144" s="8">
        <f>1030*9.45/1000</f>
        <v>9.7334999999999994</v>
      </c>
      <c r="AO4144" s="8"/>
      <c r="AP4144" s="8"/>
      <c r="AQ4144" s="8"/>
      <c r="AR4144" s="8"/>
      <c r="AS4144" s="8">
        <f>4799*9.45/1000</f>
        <v>45.350549999999998</v>
      </c>
      <c r="AT4144" s="8">
        <v>561.80999999999995</v>
      </c>
      <c r="AU4144" s="8"/>
      <c r="AV4144" s="8"/>
      <c r="AW4144" s="8"/>
      <c r="AX4144" s="8"/>
      <c r="AY4144" s="8"/>
      <c r="AZ4144" s="8"/>
      <c r="BA4144" s="8"/>
      <c r="BB4144" s="8"/>
      <c r="BC4144" s="8"/>
      <c r="BD4144" s="8"/>
      <c r="BE4144" s="8"/>
      <c r="BF4144" s="8"/>
      <c r="BG4144" s="8">
        <v>42.47</v>
      </c>
      <c r="BH4144" s="9">
        <f t="shared" si="576"/>
        <v>1369.26</v>
      </c>
      <c r="BI4144" s="9">
        <f t="shared" si="577"/>
        <v>7.67</v>
      </c>
      <c r="BJ4144" s="9">
        <f t="shared" si="578"/>
        <v>2.2000000000000002</v>
      </c>
      <c r="BK4144" s="9">
        <f t="shared" si="579"/>
        <v>12.33</v>
      </c>
      <c r="BL4144" s="9">
        <f t="shared" si="580"/>
        <v>0</v>
      </c>
      <c r="BM4144" s="9">
        <f t="shared" si="581"/>
        <v>68.764049999999997</v>
      </c>
      <c r="BN4144" s="9">
        <f t="shared" si="582"/>
        <v>561.80999999999995</v>
      </c>
      <c r="BO4144" s="9">
        <f t="shared" si="583"/>
        <v>0</v>
      </c>
      <c r="BP4144" s="9">
        <f t="shared" si="584"/>
        <v>0</v>
      </c>
    </row>
    <row r="4145" spans="1:68">
      <c r="A4145" s="6">
        <v>45317</v>
      </c>
      <c r="B4145" s="7">
        <v>3028</v>
      </c>
      <c r="C4145" s="8"/>
      <c r="D4145" s="8">
        <v>384</v>
      </c>
      <c r="E4145" s="8"/>
      <c r="F4145" s="8">
        <v>350.02</v>
      </c>
      <c r="G4145" s="8"/>
      <c r="H4145" s="8"/>
      <c r="I4145" s="8">
        <v>789.92</v>
      </c>
      <c r="J4145" s="8"/>
      <c r="K4145" s="8"/>
      <c r="L4145" s="8"/>
      <c r="M4145" s="8"/>
      <c r="N4145" s="8">
        <v>11.72</v>
      </c>
      <c r="O4145" s="8"/>
      <c r="P4145" s="8"/>
      <c r="Q4145" s="8"/>
      <c r="R4145" s="8"/>
      <c r="S4145" s="8">
        <v>2.14</v>
      </c>
      <c r="T4145" s="8"/>
      <c r="U4145" s="8"/>
      <c r="V4145" s="8"/>
      <c r="W4145" s="8">
        <v>11.42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>
        <v>15.22</v>
      </c>
      <c r="AN4145" s="8">
        <f>1066*10.15/1000</f>
        <v>10.819900000000001</v>
      </c>
      <c r="AO4145" s="8"/>
      <c r="AP4145" s="8"/>
      <c r="AQ4145" s="8"/>
      <c r="AR4145" s="8"/>
      <c r="AS4145" s="8">
        <f>4963*10.15/1000</f>
        <v>50.374450000000003</v>
      </c>
      <c r="AT4145" s="8">
        <v>508.57</v>
      </c>
      <c r="AU4145" s="8"/>
      <c r="AV4145" s="8"/>
      <c r="AW4145" s="8"/>
      <c r="AX4145" s="8"/>
      <c r="AY4145" s="8"/>
      <c r="AZ4145" s="8"/>
      <c r="BA4145" s="8"/>
      <c r="BB4145" s="8"/>
      <c r="BC4145" s="8"/>
      <c r="BD4145" s="8"/>
      <c r="BE4145" s="8"/>
      <c r="BF4145" s="8"/>
      <c r="BG4145" s="8">
        <v>34.76</v>
      </c>
      <c r="BH4145" s="9">
        <f t="shared" si="576"/>
        <v>1523.94</v>
      </c>
      <c r="BI4145" s="9">
        <f t="shared" si="577"/>
        <v>11.72</v>
      </c>
      <c r="BJ4145" s="9">
        <f t="shared" si="578"/>
        <v>2.14</v>
      </c>
      <c r="BK4145" s="9">
        <f t="shared" si="579"/>
        <v>11.42</v>
      </c>
      <c r="BL4145" s="9">
        <f t="shared" si="580"/>
        <v>0</v>
      </c>
      <c r="BM4145" s="9">
        <f t="shared" si="581"/>
        <v>76.414350000000013</v>
      </c>
      <c r="BN4145" s="9">
        <f t="shared" si="582"/>
        <v>508.57</v>
      </c>
      <c r="BO4145" s="9">
        <f t="shared" si="583"/>
        <v>0</v>
      </c>
      <c r="BP4145" s="9">
        <f t="shared" si="584"/>
        <v>0</v>
      </c>
    </row>
    <row r="4146" spans="1:68">
      <c r="A4146" s="6">
        <v>45317</v>
      </c>
      <c r="B4146" s="7">
        <v>3083</v>
      </c>
      <c r="C4146" s="8"/>
      <c r="D4146" s="8">
        <v>742.56</v>
      </c>
      <c r="E4146" s="8"/>
      <c r="F4146" s="8"/>
      <c r="G4146" s="8"/>
      <c r="H4146" s="8"/>
      <c r="I4146" s="8">
        <v>1730.87</v>
      </c>
      <c r="J4146" s="8"/>
      <c r="K4146" s="8"/>
      <c r="L4146" s="8"/>
      <c r="M4146" s="8"/>
      <c r="N4146" s="8">
        <v>16.100000000000001</v>
      </c>
      <c r="O4146" s="8"/>
      <c r="P4146" s="8"/>
      <c r="Q4146" s="8"/>
      <c r="R4146" s="8"/>
      <c r="S4146" s="8">
        <v>1.73</v>
      </c>
      <c r="T4146" s="8"/>
      <c r="U4146" s="8"/>
      <c r="V4146" s="8"/>
      <c r="W4146" s="8">
        <v>19.829999999999998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>
        <v>9.86</v>
      </c>
      <c r="AN4146" s="8">
        <f>1992*18.33/1000</f>
        <v>36.513359999999992</v>
      </c>
      <c r="AO4146" s="8"/>
      <c r="AP4146" s="8"/>
      <c r="AQ4146" s="8"/>
      <c r="AR4146" s="8">
        <f>3469*18.33/1000</f>
        <v>63.586769999999994</v>
      </c>
      <c r="AS4146" s="8"/>
      <c r="AT4146" s="8">
        <v>1163.45</v>
      </c>
      <c r="AU4146" s="8"/>
      <c r="AV4146" s="8"/>
      <c r="AW4146" s="8"/>
      <c r="AX4146" s="8"/>
      <c r="AY4146" s="8"/>
      <c r="AZ4146" s="8"/>
      <c r="BA4146" s="8"/>
      <c r="BB4146" s="8"/>
      <c r="BC4146" s="8"/>
      <c r="BD4146" s="8"/>
      <c r="BE4146" s="8"/>
      <c r="BF4146" s="8"/>
      <c r="BG4146" s="8">
        <v>92.29</v>
      </c>
      <c r="BH4146" s="9">
        <f t="shared" si="576"/>
        <v>2473.4299999999998</v>
      </c>
      <c r="BI4146" s="9">
        <f t="shared" si="577"/>
        <v>16.100000000000001</v>
      </c>
      <c r="BJ4146" s="9">
        <f t="shared" si="578"/>
        <v>1.73</v>
      </c>
      <c r="BK4146" s="9">
        <f t="shared" si="579"/>
        <v>19.829999999999998</v>
      </c>
      <c r="BL4146" s="9">
        <f t="shared" si="580"/>
        <v>0</v>
      </c>
      <c r="BM4146" s="9">
        <f t="shared" si="581"/>
        <v>109.96012999999999</v>
      </c>
      <c r="BN4146" s="9">
        <f t="shared" si="582"/>
        <v>1163.45</v>
      </c>
      <c r="BO4146" s="9">
        <f t="shared" si="583"/>
        <v>0</v>
      </c>
      <c r="BP4146" s="9">
        <f t="shared" si="584"/>
        <v>0</v>
      </c>
    </row>
    <row r="4147" spans="1:68">
      <c r="A4147" s="6">
        <v>45317</v>
      </c>
      <c r="B4147" s="7">
        <v>3016</v>
      </c>
      <c r="C4147" s="8"/>
      <c r="D4147" s="8">
        <v>2361.3200000000002</v>
      </c>
      <c r="E4147" s="8"/>
      <c r="F4147" s="8"/>
      <c r="G4147" s="8"/>
      <c r="H4147" s="8"/>
      <c r="I4147" s="8">
        <v>2180.3000000000002</v>
      </c>
      <c r="J4147" s="8"/>
      <c r="K4147" s="8"/>
      <c r="L4147" s="8"/>
      <c r="M4147" s="8"/>
      <c r="N4147" s="8">
        <v>28.63</v>
      </c>
      <c r="O4147" s="8"/>
      <c r="P4147" s="8"/>
      <c r="Q4147" s="8"/>
      <c r="R4147" s="8"/>
      <c r="S4147" s="8">
        <v>3.17</v>
      </c>
      <c r="T4147" s="8"/>
      <c r="U4147" s="8"/>
      <c r="V4147" s="8"/>
      <c r="W4147" s="8">
        <v>45.48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>
        <v>18.16</v>
      </c>
      <c r="AN4147" s="8">
        <f>1054*26.73/1000</f>
        <v>28.17342</v>
      </c>
      <c r="AO4147" s="8"/>
      <c r="AP4147" s="8"/>
      <c r="AQ4147" s="8"/>
      <c r="AR4147" s="8">
        <f>4268*26.73/1000</f>
        <v>114.08364</v>
      </c>
      <c r="AS4147" s="8"/>
      <c r="AT4147" s="8">
        <v>1689.57</v>
      </c>
      <c r="AU4147" s="8"/>
      <c r="AV4147" s="8"/>
      <c r="AW4147" s="8"/>
      <c r="AX4147" s="8"/>
      <c r="AY4147" s="8"/>
      <c r="AZ4147" s="8"/>
      <c r="BA4147" s="8"/>
      <c r="BB4147" s="8"/>
      <c r="BC4147" s="8"/>
      <c r="BD4147" s="8"/>
      <c r="BE4147" s="8"/>
      <c r="BF4147" s="8"/>
      <c r="BG4147" s="8">
        <v>123.91</v>
      </c>
      <c r="BH4147" s="9">
        <f t="shared" si="576"/>
        <v>4541.6200000000008</v>
      </c>
      <c r="BI4147" s="9">
        <f t="shared" si="577"/>
        <v>28.63</v>
      </c>
      <c r="BJ4147" s="9">
        <f t="shared" si="578"/>
        <v>3.17</v>
      </c>
      <c r="BK4147" s="9">
        <f t="shared" si="579"/>
        <v>45.48</v>
      </c>
      <c r="BL4147" s="9">
        <f t="shared" si="580"/>
        <v>0</v>
      </c>
      <c r="BM4147" s="9">
        <f t="shared" si="581"/>
        <v>160.41705999999999</v>
      </c>
      <c r="BN4147" s="9">
        <f t="shared" si="582"/>
        <v>1689.57</v>
      </c>
      <c r="BO4147" s="9">
        <f t="shared" si="583"/>
        <v>0</v>
      </c>
      <c r="BP4147" s="9">
        <f t="shared" si="584"/>
        <v>0</v>
      </c>
    </row>
    <row r="4148" spans="1:68">
      <c r="A4148" s="6">
        <v>45320</v>
      </c>
      <c r="B4148" s="7">
        <v>8310</v>
      </c>
      <c r="C4148" s="8"/>
      <c r="D4148" s="8">
        <v>1821.42</v>
      </c>
      <c r="E4148" s="8"/>
      <c r="F4148" s="8"/>
      <c r="G4148" s="8"/>
      <c r="H4148" s="8"/>
      <c r="I4148" s="8"/>
      <c r="J4148" s="8"/>
      <c r="K4148" s="8"/>
      <c r="L4148" s="8"/>
      <c r="M4148" s="8">
        <v>4.63</v>
      </c>
      <c r="N4148" s="8"/>
      <c r="O4148" s="8"/>
      <c r="P4148" s="8"/>
      <c r="Q4148" s="8"/>
      <c r="R4148" s="8"/>
      <c r="S4148" s="8">
        <v>6.32</v>
      </c>
      <c r="T4148" s="8"/>
      <c r="U4148" s="8">
        <v>13.7</v>
      </c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>
        <v>298.55</v>
      </c>
      <c r="AU4148" s="8">
        <v>149.94</v>
      </c>
      <c r="AV4148" s="8"/>
      <c r="AW4148" s="8"/>
      <c r="AX4148" s="8"/>
      <c r="AY4148" s="8"/>
      <c r="AZ4148" s="8"/>
      <c r="BA4148" s="8"/>
      <c r="BB4148" s="8"/>
      <c r="BC4148" s="8">
        <v>2.74</v>
      </c>
      <c r="BD4148" s="8"/>
      <c r="BE4148" s="8"/>
      <c r="BF4148" s="8"/>
      <c r="BG4148" s="8">
        <v>30.13</v>
      </c>
      <c r="BH4148" s="9">
        <f t="shared" si="576"/>
        <v>1821.42</v>
      </c>
      <c r="BI4148" s="9">
        <f t="shared" si="577"/>
        <v>4.63</v>
      </c>
      <c r="BJ4148" s="9">
        <f t="shared" si="578"/>
        <v>6.32</v>
      </c>
      <c r="BK4148" s="9">
        <f t="shared" si="579"/>
        <v>13.7</v>
      </c>
      <c r="BL4148" s="9">
        <f t="shared" si="580"/>
        <v>0</v>
      </c>
      <c r="BM4148" s="9">
        <f t="shared" si="581"/>
        <v>0</v>
      </c>
      <c r="BN4148" s="9">
        <f t="shared" si="582"/>
        <v>448.49</v>
      </c>
      <c r="BO4148" s="9">
        <f t="shared" si="583"/>
        <v>2.74</v>
      </c>
      <c r="BP4148" s="9">
        <f t="shared" si="584"/>
        <v>0</v>
      </c>
    </row>
    <row r="4149" spans="1:68">
      <c r="A4149" s="6">
        <v>45320</v>
      </c>
      <c r="B4149" s="7">
        <v>3200</v>
      </c>
      <c r="C4149" s="8">
        <v>1235.73</v>
      </c>
      <c r="D4149" s="8"/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>
        <v>3.09</v>
      </c>
      <c r="P4149" s="8"/>
      <c r="Q4149" s="8"/>
      <c r="R4149" s="8"/>
      <c r="S4149" s="8">
        <v>4.82</v>
      </c>
      <c r="T4149" s="8"/>
      <c r="U4149" s="8">
        <v>18.559999999999999</v>
      </c>
      <c r="V4149" s="8"/>
      <c r="W4149" s="8"/>
      <c r="X4149" s="8"/>
      <c r="Y4149" s="8"/>
      <c r="Z4149" s="8">
        <v>259.93</v>
      </c>
      <c r="AA4149" s="8"/>
      <c r="AB4149" s="8"/>
      <c r="AC4149" s="8"/>
      <c r="AD4149" s="8"/>
      <c r="AE4149" s="8"/>
      <c r="AF4149" s="8">
        <v>62.28</v>
      </c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>
        <f>1506*12.37/1000</f>
        <v>18.629219999999997</v>
      </c>
      <c r="AR4149" s="8"/>
      <c r="AS4149" s="8"/>
      <c r="AT4149" s="8">
        <v>849.27</v>
      </c>
      <c r="AU4149" s="8"/>
      <c r="AV4149" s="8"/>
      <c r="AW4149" s="8">
        <v>3.55</v>
      </c>
      <c r="AX4149" s="8"/>
      <c r="AY4149" s="8"/>
      <c r="AZ4149" s="8"/>
      <c r="BA4149" s="8"/>
      <c r="BB4149" s="8"/>
      <c r="BC4149" s="8"/>
      <c r="BD4149" s="8"/>
      <c r="BE4149" s="8"/>
      <c r="BF4149" s="8">
        <v>59.45</v>
      </c>
      <c r="BG4149" s="8">
        <v>60.86</v>
      </c>
      <c r="BH4149" s="9">
        <f t="shared" si="576"/>
        <v>1235.73</v>
      </c>
      <c r="BI4149" s="9">
        <f t="shared" si="577"/>
        <v>3.09</v>
      </c>
      <c r="BJ4149" s="9">
        <f t="shared" si="578"/>
        <v>4.82</v>
      </c>
      <c r="BK4149" s="9">
        <f t="shared" si="579"/>
        <v>18.559999999999999</v>
      </c>
      <c r="BL4149" s="9">
        <f t="shared" si="580"/>
        <v>259.93</v>
      </c>
      <c r="BM4149" s="9">
        <f t="shared" si="581"/>
        <v>80.909220000000005</v>
      </c>
      <c r="BN4149" s="9">
        <f t="shared" si="582"/>
        <v>849.27</v>
      </c>
      <c r="BO4149" s="9">
        <f t="shared" si="583"/>
        <v>3.55</v>
      </c>
      <c r="BP4149" s="9">
        <f t="shared" si="584"/>
        <v>59.45</v>
      </c>
    </row>
    <row r="4150" spans="1:68">
      <c r="A4150" s="6">
        <v>45320</v>
      </c>
      <c r="B4150" s="7">
        <v>3079</v>
      </c>
      <c r="C4150" s="8"/>
      <c r="D4150" s="8"/>
      <c r="E4150" s="8"/>
      <c r="F4150" s="8">
        <v>333.22</v>
      </c>
      <c r="G4150" s="8"/>
      <c r="H4150" s="8"/>
      <c r="I4150" s="8">
        <v>2695.45</v>
      </c>
      <c r="J4150" s="8"/>
      <c r="K4150" s="8"/>
      <c r="L4150" s="8"/>
      <c r="M4150" s="8"/>
      <c r="N4150" s="8">
        <v>22.11</v>
      </c>
      <c r="O4150" s="8"/>
      <c r="P4150" s="8"/>
      <c r="Q4150" s="8"/>
      <c r="R4150" s="8"/>
      <c r="S4150" s="8">
        <v>1.21</v>
      </c>
      <c r="T4150" s="8"/>
      <c r="U4150" s="8"/>
      <c r="V4150" s="8"/>
      <c r="W4150" s="8">
        <v>30.31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>
        <v>12.07</v>
      </c>
      <c r="AN4150" s="8">
        <f>1748*17.8/1000</f>
        <v>31.1144</v>
      </c>
      <c r="AO4150" s="8"/>
      <c r="AP4150" s="8"/>
      <c r="AQ4150" s="8"/>
      <c r="AR4150" s="8">
        <f>4262*17.8/1000</f>
        <v>75.863600000000005</v>
      </c>
      <c r="AS4150" s="8"/>
      <c r="AT4150" s="8">
        <v>1166.3499999999999</v>
      </c>
      <c r="AU4150" s="8"/>
      <c r="AV4150" s="8"/>
      <c r="AW4150" s="8"/>
      <c r="AX4150" s="8"/>
      <c r="AY4150" s="8"/>
      <c r="AZ4150" s="8"/>
      <c r="BA4150" s="8"/>
      <c r="BB4150" s="8"/>
      <c r="BC4150" s="8"/>
      <c r="BD4150" s="8"/>
      <c r="BE4150" s="8"/>
      <c r="BF4150" s="8"/>
      <c r="BG4150" s="8">
        <v>84.82</v>
      </c>
      <c r="BH4150" s="9">
        <f t="shared" si="576"/>
        <v>3028.67</v>
      </c>
      <c r="BI4150" s="9">
        <f t="shared" si="577"/>
        <v>22.11</v>
      </c>
      <c r="BJ4150" s="9">
        <f t="shared" si="578"/>
        <v>1.21</v>
      </c>
      <c r="BK4150" s="9">
        <f t="shared" si="579"/>
        <v>30.31</v>
      </c>
      <c r="BL4150" s="9">
        <f t="shared" si="580"/>
        <v>0</v>
      </c>
      <c r="BM4150" s="9">
        <f t="shared" si="581"/>
        <v>119.048</v>
      </c>
      <c r="BN4150" s="9">
        <f t="shared" si="582"/>
        <v>1166.3499999999999</v>
      </c>
      <c r="BO4150" s="9">
        <f t="shared" si="583"/>
        <v>0</v>
      </c>
      <c r="BP4150" s="9">
        <f t="shared" si="584"/>
        <v>0</v>
      </c>
    </row>
    <row r="4151" spans="1:68">
      <c r="A4151" s="6">
        <v>45320</v>
      </c>
      <c r="B4151" s="7">
        <v>3016</v>
      </c>
      <c r="C4151" s="8"/>
      <c r="D4151" s="8">
        <v>1592.67</v>
      </c>
      <c r="E4151" s="8"/>
      <c r="F4151" s="8"/>
      <c r="G4151" s="8"/>
      <c r="H4151" s="8"/>
      <c r="I4151" s="8">
        <v>1466.58</v>
      </c>
      <c r="J4151" s="8"/>
      <c r="K4151" s="8"/>
      <c r="L4151" s="8"/>
      <c r="M4151" s="8"/>
      <c r="N4151" s="8">
        <v>19.239999999999998</v>
      </c>
      <c r="O4151" s="8"/>
      <c r="P4151" s="8"/>
      <c r="Q4151" s="8"/>
      <c r="R4151" s="8"/>
      <c r="S4151" s="8">
        <v>2.12</v>
      </c>
      <c r="T4151" s="8"/>
      <c r="U4151" s="8"/>
      <c r="V4151" s="8"/>
      <c r="W4151" s="8">
        <v>30.61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>
        <v>12.21</v>
      </c>
      <c r="AN4151" s="8">
        <f>2053*18/1000</f>
        <v>36.954000000000001</v>
      </c>
      <c r="AO4151" s="8"/>
      <c r="AP4151" s="8"/>
      <c r="AQ4151" s="8"/>
      <c r="AR4151" s="8">
        <f>4262*18/1000</f>
        <v>76.715999999999994</v>
      </c>
      <c r="AS4151" s="8"/>
      <c r="AT4151" s="8">
        <v>1137.73</v>
      </c>
      <c r="AU4151" s="8"/>
      <c r="AV4151" s="8"/>
      <c r="AW4151" s="8"/>
      <c r="AX4151" s="8"/>
      <c r="AY4151" s="8"/>
      <c r="AZ4151" s="8"/>
      <c r="BA4151" s="8"/>
      <c r="BB4151" s="8"/>
      <c r="BC4151" s="8"/>
      <c r="BD4151" s="8"/>
      <c r="BE4151" s="8"/>
      <c r="BF4151" s="8"/>
      <c r="BG4151" s="8">
        <v>83.11</v>
      </c>
      <c r="BH4151" s="9">
        <f t="shared" si="576"/>
        <v>3059.25</v>
      </c>
      <c r="BI4151" s="9">
        <f t="shared" si="577"/>
        <v>19.239999999999998</v>
      </c>
      <c r="BJ4151" s="9">
        <f t="shared" si="578"/>
        <v>2.12</v>
      </c>
      <c r="BK4151" s="9">
        <f t="shared" si="579"/>
        <v>30.61</v>
      </c>
      <c r="BL4151" s="9">
        <f t="shared" si="580"/>
        <v>0</v>
      </c>
      <c r="BM4151" s="9">
        <f t="shared" si="581"/>
        <v>125.88</v>
      </c>
      <c r="BN4151" s="9">
        <f t="shared" si="582"/>
        <v>1137.73</v>
      </c>
      <c r="BO4151" s="9">
        <f t="shared" si="583"/>
        <v>0</v>
      </c>
      <c r="BP4151" s="9">
        <f t="shared" si="584"/>
        <v>0</v>
      </c>
    </row>
    <row r="4152" spans="1:68">
      <c r="A4152" s="6">
        <v>45321</v>
      </c>
      <c r="B4152" s="7">
        <v>3139</v>
      </c>
      <c r="C4152" s="8">
        <v>1159.01</v>
      </c>
      <c r="D4152" s="8"/>
      <c r="E4152" s="8"/>
      <c r="F4152" s="8"/>
      <c r="G4152" s="8"/>
      <c r="H4152" s="8">
        <v>479.32</v>
      </c>
      <c r="I4152" s="8"/>
      <c r="J4152" s="8"/>
      <c r="K4152" s="8"/>
      <c r="L4152" s="8"/>
      <c r="M4152" s="8">
        <v>2.74</v>
      </c>
      <c r="N4152" s="8"/>
      <c r="O4152" s="8"/>
      <c r="P4152" s="8"/>
      <c r="Q4152" s="8"/>
      <c r="R4152" s="8"/>
      <c r="S4152" s="8">
        <v>5.17</v>
      </c>
      <c r="T4152" s="8"/>
      <c r="U4152" s="8">
        <v>17.28</v>
      </c>
      <c r="V4152" s="8"/>
      <c r="W4152" s="8"/>
      <c r="X4152" s="8"/>
      <c r="Y4152" s="8"/>
      <c r="Z4152" s="8"/>
      <c r="AA4152" s="8"/>
      <c r="AB4152" s="8"/>
      <c r="AC4152" s="8">
        <v>5.75</v>
      </c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>
        <v>851.16</v>
      </c>
      <c r="AU4152" s="8"/>
      <c r="AV4152" s="8">
        <v>28.64</v>
      </c>
      <c r="AW4152" s="8"/>
      <c r="AX4152" s="8"/>
      <c r="AY4152" s="8"/>
      <c r="AZ4152" s="8"/>
      <c r="BA4152" s="8"/>
      <c r="BB4152" s="8"/>
      <c r="BC4152" s="8"/>
      <c r="BD4152" s="8"/>
      <c r="BE4152" s="8"/>
      <c r="BF4152" s="8"/>
      <c r="BG4152" s="8">
        <v>61.78</v>
      </c>
      <c r="BH4152" s="9">
        <f t="shared" si="576"/>
        <v>1638.33</v>
      </c>
      <c r="BI4152" s="9">
        <f t="shared" si="577"/>
        <v>2.74</v>
      </c>
      <c r="BJ4152" s="9">
        <f t="shared" si="578"/>
        <v>5.17</v>
      </c>
      <c r="BK4152" s="9">
        <f t="shared" si="579"/>
        <v>17.28</v>
      </c>
      <c r="BL4152" s="9">
        <f t="shared" si="580"/>
        <v>0</v>
      </c>
      <c r="BM4152" s="9">
        <f t="shared" si="581"/>
        <v>5.75</v>
      </c>
      <c r="BN4152" s="9">
        <f t="shared" si="582"/>
        <v>851.16</v>
      </c>
      <c r="BO4152" s="9">
        <f t="shared" si="583"/>
        <v>28.64</v>
      </c>
      <c r="BP4152" s="9">
        <f t="shared" si="584"/>
        <v>0</v>
      </c>
    </row>
    <row r="4153" spans="1:68">
      <c r="A4153" s="6">
        <v>45321</v>
      </c>
      <c r="B4153" s="7">
        <v>3149</v>
      </c>
      <c r="C4153" s="8">
        <v>694.14</v>
      </c>
      <c r="D4153" s="8">
        <v>124.76</v>
      </c>
      <c r="E4153" s="8"/>
      <c r="F4153" s="8"/>
      <c r="G4153" s="8"/>
      <c r="H4153" s="8"/>
      <c r="I4153" s="8"/>
      <c r="J4153" s="8"/>
      <c r="K4153" s="8"/>
      <c r="L4153" s="8"/>
      <c r="M4153" s="8">
        <v>2.69</v>
      </c>
      <c r="N4153" s="8"/>
      <c r="O4153" s="8"/>
      <c r="P4153" s="8"/>
      <c r="Q4153" s="8"/>
      <c r="R4153" s="8"/>
      <c r="S4153" s="8">
        <v>3.88</v>
      </c>
      <c r="T4153" s="8"/>
      <c r="U4153" s="8">
        <v>12.34</v>
      </c>
      <c r="V4153" s="8"/>
      <c r="W4153" s="8"/>
      <c r="X4153" s="8"/>
      <c r="Y4153" s="8"/>
      <c r="Z4153" s="8"/>
      <c r="AA4153" s="8"/>
      <c r="AB4153" s="8"/>
      <c r="AC4153" s="8">
        <v>3.31</v>
      </c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>
        <v>541.64</v>
      </c>
      <c r="AU4153" s="8"/>
      <c r="AV4153" s="8"/>
      <c r="AW4153" s="8">
        <v>26.65</v>
      </c>
      <c r="AX4153" s="8"/>
      <c r="AY4153" s="8"/>
      <c r="AZ4153" s="8"/>
      <c r="BA4153" s="8"/>
      <c r="BB4153" s="8"/>
      <c r="BC4153" s="8"/>
      <c r="BD4153" s="8"/>
      <c r="BE4153" s="8"/>
      <c r="BF4153" s="8">
        <v>57.67</v>
      </c>
      <c r="BG4153" s="8">
        <v>42.66</v>
      </c>
      <c r="BH4153" s="9">
        <f t="shared" si="576"/>
        <v>818.9</v>
      </c>
      <c r="BI4153" s="9">
        <f t="shared" si="577"/>
        <v>2.69</v>
      </c>
      <c r="BJ4153" s="9">
        <f t="shared" si="578"/>
        <v>3.88</v>
      </c>
      <c r="BK4153" s="9">
        <f t="shared" si="579"/>
        <v>12.34</v>
      </c>
      <c r="BL4153" s="9">
        <f t="shared" si="580"/>
        <v>0</v>
      </c>
      <c r="BM4153" s="9">
        <f t="shared" si="581"/>
        <v>3.31</v>
      </c>
      <c r="BN4153" s="9">
        <f t="shared" si="582"/>
        <v>541.64</v>
      </c>
      <c r="BO4153" s="9">
        <f t="shared" si="583"/>
        <v>26.65</v>
      </c>
      <c r="BP4153" s="9">
        <f t="shared" si="584"/>
        <v>57.67</v>
      </c>
    </row>
    <row r="4154" spans="1:68">
      <c r="A4154" s="6">
        <v>45321</v>
      </c>
      <c r="B4154" s="7">
        <v>3601</v>
      </c>
      <c r="C4154" s="8">
        <v>305.70999999999998</v>
      </c>
      <c r="D4154" s="8"/>
      <c r="E4154" s="8"/>
      <c r="F4154" s="8"/>
      <c r="G4154" s="8">
        <v>457.82</v>
      </c>
      <c r="H4154" s="8"/>
      <c r="I4154" s="8"/>
      <c r="J4154" s="8"/>
      <c r="K4154" s="8"/>
      <c r="L4154" s="8"/>
      <c r="M4154" s="8">
        <v>0.91</v>
      </c>
      <c r="N4154" s="8"/>
      <c r="O4154" s="8"/>
      <c r="P4154" s="8"/>
      <c r="Q4154" s="8"/>
      <c r="R4154" s="8"/>
      <c r="S4154" s="8">
        <v>3.67</v>
      </c>
      <c r="T4154" s="8"/>
      <c r="U4154" s="8">
        <v>4.6100000000000003</v>
      </c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>
        <v>375.08</v>
      </c>
      <c r="AU4154" s="8"/>
      <c r="AV4154" s="8"/>
      <c r="AW4154" s="8">
        <v>23.3</v>
      </c>
      <c r="AX4154" s="8"/>
      <c r="AY4154" s="8"/>
      <c r="AZ4154" s="8"/>
      <c r="BA4154" s="8"/>
      <c r="BB4154" s="8"/>
      <c r="BC4154" s="8"/>
      <c r="BD4154" s="8"/>
      <c r="BE4154" s="8"/>
      <c r="BF4154" s="8">
        <v>42.9</v>
      </c>
      <c r="BG4154" s="8">
        <v>27.34</v>
      </c>
      <c r="BH4154" s="9">
        <f t="shared" si="576"/>
        <v>763.53</v>
      </c>
      <c r="BI4154" s="9">
        <f t="shared" si="577"/>
        <v>0.91</v>
      </c>
      <c r="BJ4154" s="9">
        <f t="shared" si="578"/>
        <v>3.67</v>
      </c>
      <c r="BK4154" s="9">
        <f t="shared" si="579"/>
        <v>4.6100000000000003</v>
      </c>
      <c r="BL4154" s="9">
        <f t="shared" si="580"/>
        <v>0</v>
      </c>
      <c r="BM4154" s="9">
        <f t="shared" si="581"/>
        <v>0</v>
      </c>
      <c r="BN4154" s="9">
        <f t="shared" si="582"/>
        <v>375.08</v>
      </c>
      <c r="BO4154" s="9">
        <f t="shared" si="583"/>
        <v>23.3</v>
      </c>
      <c r="BP4154" s="9">
        <f t="shared" si="584"/>
        <v>42.9</v>
      </c>
    </row>
    <row r="4155" spans="1:68">
      <c r="A4155" s="6">
        <v>45321</v>
      </c>
      <c r="B4155" s="7">
        <v>3602</v>
      </c>
      <c r="C4155" s="8">
        <v>570.36</v>
      </c>
      <c r="D4155" s="8"/>
      <c r="E4155" s="8"/>
      <c r="F4155" s="8"/>
      <c r="G4155" s="8">
        <v>855.92</v>
      </c>
      <c r="H4155" s="8"/>
      <c r="I4155" s="8"/>
      <c r="J4155" s="8"/>
      <c r="K4155" s="8"/>
      <c r="L4155" s="8"/>
      <c r="M4155" s="8">
        <v>1.69</v>
      </c>
      <c r="N4155" s="8"/>
      <c r="O4155" s="8"/>
      <c r="P4155" s="8"/>
      <c r="Q4155" s="8"/>
      <c r="R4155" s="8"/>
      <c r="S4155" s="8">
        <v>6.87</v>
      </c>
      <c r="T4155" s="8"/>
      <c r="U4155" s="8">
        <v>11.48</v>
      </c>
      <c r="V4155" s="8">
        <f>853*16.37/1000</f>
        <v>13.963610000000001</v>
      </c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>
        <v>578.61</v>
      </c>
      <c r="AU4155" s="8"/>
      <c r="AV4155" s="8"/>
      <c r="AW4155" s="8">
        <v>37.03</v>
      </c>
      <c r="AX4155" s="8"/>
      <c r="AY4155" s="8"/>
      <c r="AZ4155" s="8"/>
      <c r="BA4155" s="8"/>
      <c r="BB4155" s="8"/>
      <c r="BC4155" s="8"/>
      <c r="BD4155" s="8"/>
      <c r="BE4155" s="8"/>
      <c r="BF4155" s="8">
        <v>45.88</v>
      </c>
      <c r="BG4155" s="8">
        <v>43.32</v>
      </c>
      <c r="BH4155" s="9">
        <f t="shared" si="576"/>
        <v>1426.28</v>
      </c>
      <c r="BI4155" s="9">
        <f t="shared" si="577"/>
        <v>1.69</v>
      </c>
      <c r="BJ4155" s="9">
        <f t="shared" si="578"/>
        <v>6.87</v>
      </c>
      <c r="BK4155" s="9">
        <f t="shared" si="579"/>
        <v>25.44361</v>
      </c>
      <c r="BL4155" s="9">
        <f t="shared" si="580"/>
        <v>0</v>
      </c>
      <c r="BM4155" s="9">
        <f t="shared" si="581"/>
        <v>0</v>
      </c>
      <c r="BN4155" s="9">
        <f t="shared" si="582"/>
        <v>578.61</v>
      </c>
      <c r="BO4155" s="9">
        <f t="shared" si="583"/>
        <v>37.03</v>
      </c>
      <c r="BP4155" s="9">
        <f t="shared" si="584"/>
        <v>45.88</v>
      </c>
    </row>
    <row r="4156" spans="1:68">
      <c r="A4156" s="6">
        <v>45321</v>
      </c>
      <c r="B4156" s="7">
        <v>3203</v>
      </c>
      <c r="C4156" s="8">
        <v>897.33</v>
      </c>
      <c r="D4156" s="8"/>
      <c r="E4156" s="8">
        <v>384.64</v>
      </c>
      <c r="F4156" s="8"/>
      <c r="G4156" s="8"/>
      <c r="H4156" s="8"/>
      <c r="I4156" s="8"/>
      <c r="J4156" s="8"/>
      <c r="K4156" s="8"/>
      <c r="L4156" s="8"/>
      <c r="M4156" s="8"/>
      <c r="N4156" s="8"/>
      <c r="O4156" s="8">
        <v>3.86</v>
      </c>
      <c r="P4156" s="8"/>
      <c r="Q4156" s="8"/>
      <c r="R4156" s="8"/>
      <c r="S4156" s="8">
        <v>5.26</v>
      </c>
      <c r="T4156" s="8"/>
      <c r="U4156" s="8">
        <v>15.91</v>
      </c>
      <c r="V4156" s="8"/>
      <c r="W4156" s="8"/>
      <c r="X4156" s="8"/>
      <c r="Y4156" s="8"/>
      <c r="Z4156" s="8">
        <v>202.22</v>
      </c>
      <c r="AA4156" s="8">
        <f>10350*15.1/1000</f>
        <v>156.285</v>
      </c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>
        <v>478.3</v>
      </c>
      <c r="AU4156" s="8">
        <v>239.99</v>
      </c>
      <c r="AV4156" s="8"/>
      <c r="AW4156" s="8"/>
      <c r="AX4156" s="8"/>
      <c r="AY4156" s="8"/>
      <c r="AZ4156" s="8"/>
      <c r="BA4156" s="8"/>
      <c r="BB4156" s="8"/>
      <c r="BC4156" s="8">
        <v>3.34</v>
      </c>
      <c r="BD4156" s="8"/>
      <c r="BE4156" s="8"/>
      <c r="BF4156" s="8"/>
      <c r="BG4156" s="8">
        <v>46.58</v>
      </c>
      <c r="BH4156" s="9">
        <f t="shared" si="576"/>
        <v>1281.97</v>
      </c>
      <c r="BI4156" s="9">
        <f t="shared" si="577"/>
        <v>3.86</v>
      </c>
      <c r="BJ4156" s="9">
        <f t="shared" si="578"/>
        <v>5.26</v>
      </c>
      <c r="BK4156" s="9">
        <f t="shared" si="579"/>
        <v>15.91</v>
      </c>
      <c r="BL4156" s="9">
        <f t="shared" si="580"/>
        <v>358.505</v>
      </c>
      <c r="BM4156" s="9">
        <f t="shared" si="581"/>
        <v>0</v>
      </c>
      <c r="BN4156" s="9">
        <f t="shared" si="582"/>
        <v>718.29</v>
      </c>
      <c r="BO4156" s="9">
        <f t="shared" si="583"/>
        <v>3.34</v>
      </c>
      <c r="BP4156" s="9">
        <f t="shared" si="584"/>
        <v>0</v>
      </c>
    </row>
    <row r="4157" spans="1:68">
      <c r="A4157" s="6">
        <v>45321</v>
      </c>
      <c r="B4157" s="7">
        <v>3029</v>
      </c>
      <c r="C4157" s="8"/>
      <c r="D4157" s="8">
        <v>462.32</v>
      </c>
      <c r="E4157" s="8"/>
      <c r="F4157" s="8">
        <v>326.14</v>
      </c>
      <c r="G4157" s="8"/>
      <c r="H4157" s="8"/>
      <c r="I4157" s="8">
        <v>1926.71</v>
      </c>
      <c r="J4157" s="8"/>
      <c r="K4157" s="8"/>
      <c r="L4157" s="8"/>
      <c r="M4157" s="8"/>
      <c r="N4157" s="8">
        <v>21.44</v>
      </c>
      <c r="O4157" s="8"/>
      <c r="P4157" s="8"/>
      <c r="Q4157" s="8"/>
      <c r="R4157" s="8"/>
      <c r="S4157" s="8">
        <v>1.62</v>
      </c>
      <c r="T4157" s="8"/>
      <c r="U4157" s="8"/>
      <c r="V4157" s="8"/>
      <c r="W4157" s="8">
        <v>27.15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>
        <v>9.4700000000000006</v>
      </c>
      <c r="AN4157" s="8">
        <f>759*18.1/1000</f>
        <v>13.737900000000002</v>
      </c>
      <c r="AO4157" s="8"/>
      <c r="AP4157" s="8"/>
      <c r="AQ4157" s="8"/>
      <c r="AR4157" s="8">
        <f>4619*18.1/1000</f>
        <v>83.60390000000001</v>
      </c>
      <c r="AS4157" s="8"/>
      <c r="AT4157" s="8">
        <v>1032.26</v>
      </c>
      <c r="AU4157" s="8"/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  <c r="BF4157" s="8"/>
      <c r="BG4157" s="8">
        <v>72.19</v>
      </c>
      <c r="BH4157" s="9">
        <f t="shared" si="576"/>
        <v>2715.17</v>
      </c>
      <c r="BI4157" s="9">
        <f t="shared" si="577"/>
        <v>21.44</v>
      </c>
      <c r="BJ4157" s="9">
        <f t="shared" si="578"/>
        <v>1.62</v>
      </c>
      <c r="BK4157" s="9">
        <f t="shared" si="579"/>
        <v>27.15</v>
      </c>
      <c r="BL4157" s="9">
        <f t="shared" si="580"/>
        <v>0</v>
      </c>
      <c r="BM4157" s="9">
        <f t="shared" si="581"/>
        <v>106.81180000000001</v>
      </c>
      <c r="BN4157" s="9">
        <f t="shared" si="582"/>
        <v>1032.26</v>
      </c>
      <c r="BO4157" s="9">
        <f t="shared" si="583"/>
        <v>0</v>
      </c>
      <c r="BP4157" s="9">
        <f t="shared" si="584"/>
        <v>0</v>
      </c>
    </row>
    <row r="4158" spans="1:68">
      <c r="A4158" s="6">
        <v>45321</v>
      </c>
      <c r="B4158" s="7">
        <v>3009</v>
      </c>
      <c r="C4158" s="8"/>
      <c r="D4158" s="8">
        <v>385.88</v>
      </c>
      <c r="E4158" s="8"/>
      <c r="F4158" s="8">
        <v>216.99</v>
      </c>
      <c r="G4158" s="8"/>
      <c r="H4158" s="8"/>
      <c r="I4158" s="8">
        <v>204.12</v>
      </c>
      <c r="J4158" s="8"/>
      <c r="K4158" s="8"/>
      <c r="L4158" s="8"/>
      <c r="M4158" s="8"/>
      <c r="N4158" s="8">
        <v>5.82</v>
      </c>
      <c r="O4158" s="8"/>
      <c r="P4158" s="8"/>
      <c r="Q4158" s="8"/>
      <c r="R4158" s="8"/>
      <c r="S4158" s="8">
        <v>0.48</v>
      </c>
      <c r="T4158" s="8"/>
      <c r="U4158" s="8"/>
      <c r="V4158" s="8"/>
      <c r="W4158" s="8">
        <v>6.55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>
        <v>2.83</v>
      </c>
      <c r="AN4158" s="8">
        <f>1526*5.38/1000</f>
        <v>8.2098800000000001</v>
      </c>
      <c r="AO4158" s="8"/>
      <c r="AP4158" s="8"/>
      <c r="AQ4158" s="8"/>
      <c r="AR4158" s="8">
        <f>5247*5.38/1000</f>
        <v>28.228860000000001</v>
      </c>
      <c r="AS4158" s="8"/>
      <c r="AT4158" s="8">
        <v>303.69</v>
      </c>
      <c r="AU4158" s="8"/>
      <c r="AV4158" s="8"/>
      <c r="AW4158" s="8"/>
      <c r="AX4158" s="8"/>
      <c r="AY4158" s="8"/>
      <c r="AZ4158" s="8"/>
      <c r="BA4158" s="8"/>
      <c r="BB4158" s="8"/>
      <c r="BC4158" s="8"/>
      <c r="BD4158" s="8"/>
      <c r="BE4158" s="8"/>
      <c r="BF4158" s="8"/>
      <c r="BG4158" s="8">
        <v>22.28</v>
      </c>
      <c r="BH4158" s="9">
        <f t="shared" si="576"/>
        <v>806.99</v>
      </c>
      <c r="BI4158" s="9">
        <f t="shared" si="577"/>
        <v>5.82</v>
      </c>
      <c r="BJ4158" s="9">
        <f t="shared" si="578"/>
        <v>0.48</v>
      </c>
      <c r="BK4158" s="9">
        <f t="shared" si="579"/>
        <v>6.55</v>
      </c>
      <c r="BL4158" s="9">
        <f t="shared" si="580"/>
        <v>0</v>
      </c>
      <c r="BM4158" s="9">
        <f t="shared" si="581"/>
        <v>39.268740000000001</v>
      </c>
      <c r="BN4158" s="9">
        <f t="shared" si="582"/>
        <v>303.69</v>
      </c>
      <c r="BO4158" s="9">
        <f t="shared" si="583"/>
        <v>0</v>
      </c>
      <c r="BP4158" s="9">
        <f t="shared" si="584"/>
        <v>0</v>
      </c>
    </row>
    <row r="4159" spans="1:68">
      <c r="A4159" s="6">
        <v>45321</v>
      </c>
      <c r="B4159" s="7">
        <v>3083</v>
      </c>
      <c r="C4159" s="8"/>
      <c r="D4159" s="8">
        <v>734.65</v>
      </c>
      <c r="E4159" s="8"/>
      <c r="F4159" s="8"/>
      <c r="G4159" s="8"/>
      <c r="H4159" s="8"/>
      <c r="I4159" s="8">
        <v>1698.23</v>
      </c>
      <c r="J4159" s="8"/>
      <c r="K4159" s="8"/>
      <c r="L4159" s="8"/>
      <c r="M4159" s="8"/>
      <c r="N4159" s="8">
        <v>15.86</v>
      </c>
      <c r="O4159" s="8"/>
      <c r="P4159" s="8"/>
      <c r="Q4159" s="8"/>
      <c r="R4159" s="8"/>
      <c r="S4159" s="8">
        <v>1.7</v>
      </c>
      <c r="T4159" s="8"/>
      <c r="U4159" s="8"/>
      <c r="V4159" s="8"/>
      <c r="W4159" s="8">
        <v>19.47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>
        <v>9.8000000000000007</v>
      </c>
      <c r="AN4159" s="8">
        <f>1922*18.08/1000</f>
        <v>34.749759999999995</v>
      </c>
      <c r="AO4159" s="8"/>
      <c r="AP4159" s="8"/>
      <c r="AQ4159" s="8"/>
      <c r="AR4159" s="8">
        <f>3409*18.08/1000</f>
        <v>61.634719999999994</v>
      </c>
      <c r="AS4159" s="8"/>
      <c r="AT4159" s="8">
        <v>1146.44</v>
      </c>
      <c r="AU4159" s="8"/>
      <c r="AV4159" s="8"/>
      <c r="AW4159" s="8"/>
      <c r="AX4159" s="8"/>
      <c r="AY4159" s="8"/>
      <c r="AZ4159" s="8"/>
      <c r="BA4159" s="8"/>
      <c r="BB4159" s="8"/>
      <c r="BC4159" s="8"/>
      <c r="BD4159" s="8"/>
      <c r="BE4159" s="8"/>
      <c r="BF4159" s="8"/>
      <c r="BG4159" s="8">
        <v>90.87</v>
      </c>
      <c r="BH4159" s="9">
        <f t="shared" si="576"/>
        <v>2432.88</v>
      </c>
      <c r="BI4159" s="9">
        <f t="shared" si="577"/>
        <v>15.86</v>
      </c>
      <c r="BJ4159" s="9">
        <f t="shared" si="578"/>
        <v>1.7</v>
      </c>
      <c r="BK4159" s="9">
        <f t="shared" si="579"/>
        <v>19.47</v>
      </c>
      <c r="BL4159" s="9">
        <f t="shared" si="580"/>
        <v>0</v>
      </c>
      <c r="BM4159" s="9">
        <f t="shared" si="581"/>
        <v>106.18447999999998</v>
      </c>
      <c r="BN4159" s="9">
        <f t="shared" si="582"/>
        <v>1146.44</v>
      </c>
      <c r="BO4159" s="9">
        <f t="shared" si="583"/>
        <v>0</v>
      </c>
      <c r="BP4159" s="9">
        <f t="shared" si="584"/>
        <v>0</v>
      </c>
    </row>
    <row r="4160" spans="1:68">
      <c r="A4160" s="6">
        <v>45322</v>
      </c>
      <c r="B4160" s="7">
        <v>3145</v>
      </c>
      <c r="C4160" s="8">
        <v>1249.79</v>
      </c>
      <c r="D4160" s="8">
        <v>222.65</v>
      </c>
      <c r="E4160" s="8"/>
      <c r="F4160" s="8"/>
      <c r="G4160" s="8"/>
      <c r="H4160" s="8"/>
      <c r="I4160" s="8"/>
      <c r="J4160" s="8"/>
      <c r="K4160" s="8"/>
      <c r="L4160" s="8"/>
      <c r="M4160" s="8">
        <v>4.28</v>
      </c>
      <c r="N4160" s="8"/>
      <c r="O4160" s="8"/>
      <c r="P4160" s="8"/>
      <c r="Q4160" s="8"/>
      <c r="R4160" s="8"/>
      <c r="S4160" s="8">
        <v>6.95</v>
      </c>
      <c r="T4160" s="8"/>
      <c r="U4160" s="8">
        <v>22.17</v>
      </c>
      <c r="V4160" s="8"/>
      <c r="W4160" s="8"/>
      <c r="X4160" s="8"/>
      <c r="Y4160" s="8"/>
      <c r="Z4160" s="8"/>
      <c r="AA4160" s="8"/>
      <c r="AB4160" s="8"/>
      <c r="AC4160" s="8">
        <v>5.91</v>
      </c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>
        <v>974.97</v>
      </c>
      <c r="AU4160" s="8"/>
      <c r="AV4160" s="8"/>
      <c r="AW4160" s="8"/>
      <c r="AX4160" s="8"/>
      <c r="AY4160" s="8"/>
      <c r="AZ4160" s="8"/>
      <c r="BA4160" s="8"/>
      <c r="BB4160" s="8"/>
      <c r="BC4160" s="8"/>
      <c r="BD4160" s="8">
        <v>3.69</v>
      </c>
      <c r="BE4160" s="8">
        <f>1362*9.83/1000</f>
        <v>13.38846</v>
      </c>
      <c r="BF4160" s="8">
        <v>103.56</v>
      </c>
      <c r="BG4160" s="8">
        <v>76.900000000000006</v>
      </c>
      <c r="BH4160" s="9">
        <f t="shared" si="576"/>
        <v>1472.44</v>
      </c>
      <c r="BI4160" s="9">
        <f t="shared" si="577"/>
        <v>4.28</v>
      </c>
      <c r="BJ4160" s="9">
        <f t="shared" si="578"/>
        <v>6.95</v>
      </c>
      <c r="BK4160" s="9">
        <f t="shared" si="579"/>
        <v>22.17</v>
      </c>
      <c r="BL4160" s="9">
        <f t="shared" si="580"/>
        <v>0</v>
      </c>
      <c r="BM4160" s="9">
        <f t="shared" si="581"/>
        <v>5.91</v>
      </c>
      <c r="BN4160" s="9">
        <f t="shared" si="582"/>
        <v>974.97</v>
      </c>
      <c r="BO4160" s="9">
        <f t="shared" si="583"/>
        <v>17.07846</v>
      </c>
      <c r="BP4160" s="9">
        <f t="shared" si="584"/>
        <v>103.56</v>
      </c>
    </row>
    <row r="4161" spans="1:68">
      <c r="A4161" s="6">
        <v>45322</v>
      </c>
      <c r="B4161" s="7">
        <v>3136</v>
      </c>
      <c r="C4161" s="8">
        <v>1254.0999999999999</v>
      </c>
      <c r="D4161" s="8"/>
      <c r="E4161" s="8"/>
      <c r="F4161" s="8"/>
      <c r="G4161" s="8"/>
      <c r="H4161" s="8">
        <v>520.49</v>
      </c>
      <c r="I4161" s="8"/>
      <c r="J4161" s="8"/>
      <c r="K4161" s="8"/>
      <c r="L4161" s="8"/>
      <c r="M4161" s="8">
        <v>2.3199999999999998</v>
      </c>
      <c r="N4161" s="8"/>
      <c r="O4161" s="8"/>
      <c r="P4161" s="8"/>
      <c r="Q4161" s="11"/>
      <c r="R4161" s="11"/>
      <c r="S4161" s="8">
        <v>6.65</v>
      </c>
      <c r="T4161" s="8"/>
      <c r="U4161" s="8">
        <v>20.07</v>
      </c>
      <c r="V4161" s="8"/>
      <c r="W4161" s="8"/>
      <c r="X4161" s="8"/>
      <c r="Y4161" s="8"/>
      <c r="Z4161" s="8"/>
      <c r="AA4161" s="8"/>
      <c r="AB4161" s="8"/>
      <c r="AC4161" s="8">
        <v>6.17</v>
      </c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11"/>
      <c r="AQ4161" s="8"/>
      <c r="AR4161" s="8"/>
      <c r="AS4161" s="8"/>
      <c r="AT4161" s="8">
        <v>1002.41</v>
      </c>
      <c r="AU4161" s="8"/>
      <c r="AV4161" s="8"/>
      <c r="AW4161" s="8"/>
      <c r="AX4161" s="8"/>
      <c r="AY4161" s="8"/>
      <c r="AZ4161" s="8"/>
      <c r="BA4161" s="8">
        <v>15.27</v>
      </c>
      <c r="BB4161" s="8"/>
      <c r="BC4161" s="8"/>
      <c r="BD4161" s="8"/>
      <c r="BE4161" s="8"/>
      <c r="BF4161" s="8">
        <v>61.87</v>
      </c>
      <c r="BG4161" s="8">
        <v>75.78</v>
      </c>
      <c r="BH4161" s="9">
        <f t="shared" si="576"/>
        <v>1774.59</v>
      </c>
      <c r="BI4161" s="9">
        <f t="shared" si="577"/>
        <v>2.3199999999999998</v>
      </c>
      <c r="BJ4161" s="9">
        <f t="shared" si="578"/>
        <v>6.65</v>
      </c>
      <c r="BK4161" s="9">
        <f t="shared" si="579"/>
        <v>20.07</v>
      </c>
      <c r="BL4161" s="9">
        <f t="shared" si="580"/>
        <v>0</v>
      </c>
      <c r="BM4161" s="9">
        <f t="shared" si="581"/>
        <v>6.17</v>
      </c>
      <c r="BN4161" s="9">
        <f t="shared" si="582"/>
        <v>1002.41</v>
      </c>
      <c r="BO4161" s="9">
        <f t="shared" si="583"/>
        <v>15.27</v>
      </c>
      <c r="BP4161" s="9">
        <f t="shared" si="584"/>
        <v>61.87</v>
      </c>
    </row>
    <row r="4162" spans="1:68">
      <c r="A4162" s="6">
        <v>45322</v>
      </c>
      <c r="B4162" s="7">
        <v>3111</v>
      </c>
      <c r="C4162" s="8">
        <v>1440.38</v>
      </c>
      <c r="D4162" s="8"/>
      <c r="E4162" s="8"/>
      <c r="F4162" s="8"/>
      <c r="G4162" s="8"/>
      <c r="H4162" s="8"/>
      <c r="I4162" s="8"/>
      <c r="J4162" s="8"/>
      <c r="K4162" s="8"/>
      <c r="L4162" s="8"/>
      <c r="M4162" s="8">
        <v>2.16</v>
      </c>
      <c r="N4162" s="8"/>
      <c r="O4162" s="8"/>
      <c r="P4162" s="8"/>
      <c r="Q4162" s="11"/>
      <c r="R4162" s="11"/>
      <c r="S4162" s="8">
        <v>4.33</v>
      </c>
      <c r="T4162" s="8"/>
      <c r="U4162" s="8">
        <v>14.46</v>
      </c>
      <c r="V4162" s="8"/>
      <c r="W4162" s="8"/>
      <c r="X4162" s="8"/>
      <c r="Y4162" s="8"/>
      <c r="Z4162" s="8"/>
      <c r="AA4162" s="8"/>
      <c r="AB4162" s="8"/>
      <c r="AC4162" s="8">
        <v>5.77</v>
      </c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11"/>
      <c r="AQ4162" s="8"/>
      <c r="AR4162" s="8"/>
      <c r="AS4162" s="8"/>
      <c r="AT4162" s="8">
        <v>674.6</v>
      </c>
      <c r="AU4162" s="8"/>
      <c r="AV4162" s="8"/>
      <c r="AW4162" s="8"/>
      <c r="AX4162" s="8"/>
      <c r="AY4162" s="8"/>
      <c r="AZ4162" s="8"/>
      <c r="BA4162" s="8">
        <v>53.61</v>
      </c>
      <c r="BB4162" s="8"/>
      <c r="BC4162" s="8"/>
      <c r="BD4162" s="8"/>
      <c r="BE4162" s="8"/>
      <c r="BF4162" s="8"/>
      <c r="BG4162" s="8">
        <v>47.09</v>
      </c>
      <c r="BH4162" s="9">
        <f t="shared" si="576"/>
        <v>1440.38</v>
      </c>
      <c r="BI4162" s="9">
        <f t="shared" si="577"/>
        <v>2.16</v>
      </c>
      <c r="BJ4162" s="9">
        <f t="shared" si="578"/>
        <v>4.33</v>
      </c>
      <c r="BK4162" s="9">
        <f t="shared" si="579"/>
        <v>14.46</v>
      </c>
      <c r="BL4162" s="9">
        <f t="shared" si="580"/>
        <v>0</v>
      </c>
      <c r="BM4162" s="9">
        <f t="shared" si="581"/>
        <v>5.77</v>
      </c>
      <c r="BN4162" s="9">
        <f t="shared" si="582"/>
        <v>674.6</v>
      </c>
      <c r="BO4162" s="9">
        <f t="shared" si="583"/>
        <v>53.61</v>
      </c>
      <c r="BP4162" s="9">
        <f t="shared" si="584"/>
        <v>0</v>
      </c>
    </row>
    <row r="4163" spans="1:68">
      <c r="A4163" s="6">
        <v>45322</v>
      </c>
      <c r="B4163" s="7">
        <v>3106</v>
      </c>
      <c r="C4163" s="8">
        <v>4128.42</v>
      </c>
      <c r="D4163" s="8"/>
      <c r="E4163" s="8"/>
      <c r="F4163" s="8"/>
      <c r="G4163" s="8"/>
      <c r="H4163" s="8"/>
      <c r="I4163" s="8"/>
      <c r="J4163" s="8"/>
      <c r="K4163" s="8"/>
      <c r="L4163" s="8"/>
      <c r="M4163" s="8">
        <v>11.13</v>
      </c>
      <c r="N4163" s="8"/>
      <c r="O4163" s="8"/>
      <c r="P4163" s="8"/>
      <c r="Q4163" s="11"/>
      <c r="R4163" s="11"/>
      <c r="S4163" s="8">
        <v>12.37</v>
      </c>
      <c r="T4163" s="8"/>
      <c r="U4163" s="8">
        <v>52.45</v>
      </c>
      <c r="V4163" s="8"/>
      <c r="W4163" s="8"/>
      <c r="X4163" s="8"/>
      <c r="Y4163" s="8"/>
      <c r="Z4163" s="8"/>
      <c r="AA4163" s="8"/>
      <c r="AB4163" s="8"/>
      <c r="AC4163" s="8">
        <v>10.32</v>
      </c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  <c r="AO4163" s="8"/>
      <c r="AP4163" s="11"/>
      <c r="AQ4163" s="8"/>
      <c r="AR4163" s="8"/>
      <c r="AS4163" s="8"/>
      <c r="AT4163" s="8">
        <v>2350.91</v>
      </c>
      <c r="AU4163" s="8"/>
      <c r="AV4163" s="8"/>
      <c r="AW4163" s="8"/>
      <c r="AX4163" s="8">
        <v>5.16</v>
      </c>
      <c r="AY4163" s="8"/>
      <c r="AZ4163" s="8"/>
      <c r="BA4163" s="8"/>
      <c r="BB4163" s="8"/>
      <c r="BC4163" s="8"/>
      <c r="BD4163" s="8"/>
      <c r="BE4163" s="8"/>
      <c r="BF4163" s="8"/>
      <c r="BG4163" s="8">
        <v>177.63</v>
      </c>
      <c r="BH4163" s="9">
        <f t="shared" si="576"/>
        <v>4128.42</v>
      </c>
      <c r="BI4163" s="9">
        <f t="shared" si="577"/>
        <v>11.13</v>
      </c>
      <c r="BJ4163" s="9">
        <f t="shared" si="578"/>
        <v>12.37</v>
      </c>
      <c r="BK4163" s="9">
        <f t="shared" si="579"/>
        <v>52.45</v>
      </c>
      <c r="BL4163" s="9">
        <f t="shared" si="580"/>
        <v>0</v>
      </c>
      <c r="BM4163" s="9">
        <f t="shared" si="581"/>
        <v>10.32</v>
      </c>
      <c r="BN4163" s="9">
        <f t="shared" si="582"/>
        <v>2350.91</v>
      </c>
      <c r="BO4163" s="9">
        <f t="shared" si="583"/>
        <v>5.16</v>
      </c>
      <c r="BP4163" s="9">
        <f t="shared" si="584"/>
        <v>0</v>
      </c>
    </row>
    <row r="4164" spans="1:68">
      <c r="A4164" s="6">
        <v>45322</v>
      </c>
      <c r="B4164" s="7">
        <v>3079</v>
      </c>
      <c r="C4164" s="8"/>
      <c r="D4164" s="8"/>
      <c r="E4164" s="8"/>
      <c r="F4164" s="8">
        <v>336.44</v>
      </c>
      <c r="G4164" s="8"/>
      <c r="H4164" s="8"/>
      <c r="I4164" s="8">
        <v>2722.46</v>
      </c>
      <c r="J4164" s="8"/>
      <c r="K4164" s="8"/>
      <c r="L4164" s="8"/>
      <c r="M4164" s="8"/>
      <c r="N4164" s="8">
        <v>22.35</v>
      </c>
      <c r="O4164" s="8"/>
      <c r="P4164" s="8"/>
      <c r="Q4164" s="11"/>
      <c r="R4164" s="11"/>
      <c r="S4164" s="8">
        <v>1.23</v>
      </c>
      <c r="T4164" s="8"/>
      <c r="U4164" s="8"/>
      <c r="V4164" s="8"/>
      <c r="W4164" s="8">
        <v>30.63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>
        <v>12.24</v>
      </c>
      <c r="AN4164" s="8">
        <f>1734*17.98/1000</f>
        <v>31.177319999999998</v>
      </c>
      <c r="AO4164" s="8"/>
      <c r="AP4164" s="11"/>
      <c r="AQ4164" s="8"/>
      <c r="AR4164" s="8">
        <f>4292*17.98/1000</f>
        <v>77.17016000000001</v>
      </c>
      <c r="AS4164" s="8"/>
      <c r="AT4164" s="8">
        <v>1183.95</v>
      </c>
      <c r="AU4164" s="8"/>
      <c r="AV4164" s="8"/>
      <c r="AW4164" s="8"/>
      <c r="AX4164" s="8"/>
      <c r="AY4164" s="8"/>
      <c r="AZ4164" s="8"/>
      <c r="BA4164" s="8"/>
      <c r="BB4164" s="8"/>
      <c r="BC4164" s="8"/>
      <c r="BD4164" s="8"/>
      <c r="BE4164" s="8"/>
      <c r="BF4164" s="8"/>
      <c r="BG4164" s="8">
        <v>85.73</v>
      </c>
      <c r="BH4164" s="9">
        <f t="shared" ref="BH4164:BH4227" si="585">SUM(C4164:L4164)</f>
        <v>3058.9</v>
      </c>
      <c r="BI4164" s="9">
        <f t="shared" ref="BI4164:BI4227" si="586">SUM(M4164:R4164)</f>
        <v>22.35</v>
      </c>
      <c r="BJ4164" s="9">
        <f t="shared" ref="BJ4164:BJ4227" si="587">SUM(S4164)</f>
        <v>1.23</v>
      </c>
      <c r="BK4164" s="9">
        <f t="shared" ref="BK4164:BK4227" si="588">SUM(T4164:Y4164)</f>
        <v>30.63</v>
      </c>
      <c r="BL4164" s="9">
        <f t="shared" ref="BL4164:BL4227" si="589">SUM(Z4164:AA4164)</f>
        <v>0</v>
      </c>
      <c r="BM4164" s="9">
        <f t="shared" ref="BM4164:BM4227" si="590">SUM(AB4164:AS4164)</f>
        <v>120.58748</v>
      </c>
      <c r="BN4164" s="9">
        <f t="shared" ref="BN4164:BN4227" si="591">SUM(AT4164:AU4164)</f>
        <v>1183.95</v>
      </c>
      <c r="BO4164" s="9">
        <f t="shared" ref="BO4164:BO4227" si="592">SUM(AV4164:BE4164)</f>
        <v>0</v>
      </c>
      <c r="BP4164" s="9">
        <f t="shared" ref="BP4164:BP4227" si="593">SUM(BF4164)</f>
        <v>0</v>
      </c>
    </row>
    <row r="4165" spans="1:68">
      <c r="A4165" s="6">
        <v>45322</v>
      </c>
      <c r="B4165" s="7">
        <v>3031</v>
      </c>
      <c r="C4165" s="8"/>
      <c r="D4165" s="8"/>
      <c r="E4165" s="8"/>
      <c r="F4165" s="8"/>
      <c r="G4165" s="8"/>
      <c r="H4165" s="8"/>
      <c r="I4165" s="8">
        <v>1165.77</v>
      </c>
      <c r="J4165" s="8"/>
      <c r="K4165" s="8"/>
      <c r="L4165" s="8"/>
      <c r="M4165" s="8"/>
      <c r="N4165" s="8">
        <v>8.06</v>
      </c>
      <c r="O4165" s="8"/>
      <c r="P4165" s="8"/>
      <c r="Q4165" s="8"/>
      <c r="R4165" s="8"/>
      <c r="S4165" s="8">
        <v>0.81</v>
      </c>
      <c r="T4165" s="8"/>
      <c r="U4165" s="8"/>
      <c r="V4165" s="8"/>
      <c r="W4165" s="8">
        <v>11.67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8">
        <f>1832*9.73/1000</f>
        <v>17.82536</v>
      </c>
      <c r="AJ4165" s="8"/>
      <c r="AK4165" s="8"/>
      <c r="AL4165" s="8"/>
      <c r="AM4165" s="8"/>
      <c r="AN4165" s="8">
        <f>1232*9.73/1000</f>
        <v>11.987360000000001</v>
      </c>
      <c r="AO4165" s="8"/>
      <c r="AP4165" s="8"/>
      <c r="AQ4165" s="8"/>
      <c r="AR4165" s="8">
        <f>3640*9.73/1000</f>
        <v>35.417200000000001</v>
      </c>
      <c r="AS4165" s="8"/>
      <c r="AT4165" s="8">
        <v>553.71</v>
      </c>
      <c r="AU4165" s="8"/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  <c r="BF4165" s="8"/>
      <c r="BG4165" s="8">
        <v>37.729999999999997</v>
      </c>
      <c r="BH4165" s="9">
        <f t="shared" si="585"/>
        <v>1165.77</v>
      </c>
      <c r="BI4165" s="9">
        <f t="shared" si="586"/>
        <v>8.06</v>
      </c>
      <c r="BJ4165" s="9">
        <f t="shared" si="587"/>
        <v>0.81</v>
      </c>
      <c r="BK4165" s="9">
        <f t="shared" si="588"/>
        <v>11.67</v>
      </c>
      <c r="BL4165" s="9">
        <f t="shared" si="589"/>
        <v>0</v>
      </c>
      <c r="BM4165" s="9">
        <f t="shared" si="590"/>
        <v>65.229919999999993</v>
      </c>
      <c r="BN4165" s="9">
        <f t="shared" si="591"/>
        <v>553.71</v>
      </c>
      <c r="BO4165" s="9">
        <f t="shared" si="592"/>
        <v>0</v>
      </c>
      <c r="BP4165" s="9">
        <f t="shared" si="593"/>
        <v>0</v>
      </c>
    </row>
    <row r="4166" spans="1:68">
      <c r="A4166" s="6">
        <v>45322</v>
      </c>
      <c r="B4166" s="7">
        <v>3020</v>
      </c>
      <c r="C4166" s="8"/>
      <c r="D4166" s="8">
        <v>173.5</v>
      </c>
      <c r="E4166" s="8"/>
      <c r="F4166" s="8"/>
      <c r="G4166" s="8"/>
      <c r="H4166" s="8"/>
      <c r="I4166" s="8">
        <v>981.31</v>
      </c>
      <c r="J4166" s="8"/>
      <c r="K4166" s="8"/>
      <c r="L4166" s="8"/>
      <c r="M4166" s="8"/>
      <c r="N4166" s="8">
        <v>7.03</v>
      </c>
      <c r="O4166" s="8"/>
      <c r="P4166" s="8"/>
      <c r="Q4166" s="8"/>
      <c r="R4166" s="8"/>
      <c r="S4166" s="8">
        <v>2.0699999999999998</v>
      </c>
      <c r="T4166" s="8"/>
      <c r="U4166" s="8"/>
      <c r="V4166" s="8"/>
      <c r="W4166" s="8">
        <v>11.55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>
        <v>11.53</v>
      </c>
      <c r="AN4166" s="8"/>
      <c r="AO4166" s="8"/>
      <c r="AP4166" s="8"/>
      <c r="AQ4166" s="8"/>
      <c r="AR4166" s="8"/>
      <c r="AS4166" s="8">
        <f>3018*9.62/1000</f>
        <v>29.033159999999995</v>
      </c>
      <c r="AT4166" s="8">
        <v>565.27</v>
      </c>
      <c r="AU4166" s="8"/>
      <c r="AV4166" s="8"/>
      <c r="AW4166" s="8"/>
      <c r="AX4166" s="8"/>
      <c r="AY4166" s="8"/>
      <c r="AZ4166" s="8"/>
      <c r="BA4166" s="8"/>
      <c r="BB4166" s="8"/>
      <c r="BC4166" s="8"/>
      <c r="BD4166" s="8"/>
      <c r="BE4166" s="8"/>
      <c r="BF4166" s="8"/>
      <c r="BG4166" s="8">
        <v>41.53</v>
      </c>
      <c r="BH4166" s="9">
        <f t="shared" si="585"/>
        <v>1154.81</v>
      </c>
      <c r="BI4166" s="9">
        <f t="shared" si="586"/>
        <v>7.03</v>
      </c>
      <c r="BJ4166" s="9">
        <f t="shared" si="587"/>
        <v>2.0699999999999998</v>
      </c>
      <c r="BK4166" s="9">
        <f t="shared" si="588"/>
        <v>11.55</v>
      </c>
      <c r="BL4166" s="9">
        <f t="shared" si="589"/>
        <v>0</v>
      </c>
      <c r="BM4166" s="9">
        <f t="shared" si="590"/>
        <v>40.563159999999996</v>
      </c>
      <c r="BN4166" s="9">
        <f t="shared" si="591"/>
        <v>565.27</v>
      </c>
      <c r="BO4166" s="9">
        <f t="shared" si="592"/>
        <v>0</v>
      </c>
      <c r="BP4166" s="9">
        <f t="shared" si="593"/>
        <v>0</v>
      </c>
    </row>
    <row r="4167" spans="1:68">
      <c r="A4167" s="6">
        <v>45322</v>
      </c>
      <c r="B4167" s="7">
        <v>3021</v>
      </c>
      <c r="C4167" s="8"/>
      <c r="D4167" s="8">
        <v>194.85</v>
      </c>
      <c r="E4167" s="8"/>
      <c r="F4167" s="8"/>
      <c r="G4167" s="8"/>
      <c r="H4167" s="8"/>
      <c r="I4167" s="8">
        <v>362.88</v>
      </c>
      <c r="J4167" s="8"/>
      <c r="K4167" s="8"/>
      <c r="L4167" s="8"/>
      <c r="M4167" s="8"/>
      <c r="N4167" s="8">
        <v>2.96</v>
      </c>
      <c r="O4167" s="8"/>
      <c r="P4167" s="8"/>
      <c r="Q4167" s="8"/>
      <c r="R4167" s="8"/>
      <c r="S4167" s="8">
        <v>1</v>
      </c>
      <c r="T4167" s="8"/>
      <c r="U4167" s="8"/>
      <c r="V4167" s="8"/>
      <c r="W4167" s="8">
        <v>5.58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>
        <v>5.59</v>
      </c>
      <c r="AN4167" s="8"/>
      <c r="AO4167" s="8"/>
      <c r="AP4167" s="8"/>
      <c r="AQ4167" s="8"/>
      <c r="AR4167" s="8"/>
      <c r="AS4167" s="8">
        <f>2648*5.32/1000</f>
        <v>14.08736</v>
      </c>
      <c r="AT4167" s="8">
        <v>262.45999999999998</v>
      </c>
      <c r="AU4167" s="8"/>
      <c r="AV4167" s="8"/>
      <c r="AW4167" s="8"/>
      <c r="AX4167" s="8"/>
      <c r="AY4167" s="8"/>
      <c r="AZ4167" s="8"/>
      <c r="BA4167" s="8"/>
      <c r="BB4167" s="8"/>
      <c r="BC4167" s="8"/>
      <c r="BD4167" s="8"/>
      <c r="BE4167" s="8"/>
      <c r="BF4167" s="8"/>
      <c r="BG4167" s="8">
        <v>20</v>
      </c>
      <c r="BH4167" s="9">
        <f t="shared" si="585"/>
        <v>557.73</v>
      </c>
      <c r="BI4167" s="9">
        <f t="shared" si="586"/>
        <v>2.96</v>
      </c>
      <c r="BJ4167" s="9">
        <f t="shared" si="587"/>
        <v>1</v>
      </c>
      <c r="BK4167" s="9">
        <f t="shared" si="588"/>
        <v>5.58</v>
      </c>
      <c r="BL4167" s="9">
        <f t="shared" si="589"/>
        <v>0</v>
      </c>
      <c r="BM4167" s="9">
        <f t="shared" si="590"/>
        <v>19.67736</v>
      </c>
      <c r="BN4167" s="9">
        <f t="shared" si="591"/>
        <v>262.45999999999998</v>
      </c>
      <c r="BO4167" s="9">
        <f t="shared" si="592"/>
        <v>0</v>
      </c>
      <c r="BP4167" s="9">
        <f t="shared" si="593"/>
        <v>0</v>
      </c>
    </row>
    <row r="4168" spans="1:68">
      <c r="A4168" s="6">
        <v>45322</v>
      </c>
      <c r="B4168" s="7">
        <v>3023</v>
      </c>
      <c r="C4168" s="8"/>
      <c r="D4168" s="8">
        <v>891.48</v>
      </c>
      <c r="E4168" s="8"/>
      <c r="F4168" s="8"/>
      <c r="G4168" s="8"/>
      <c r="H4168" s="8"/>
      <c r="I4168" s="8">
        <v>481.94</v>
      </c>
      <c r="J4168" s="8"/>
      <c r="K4168" s="8"/>
      <c r="L4168" s="8"/>
      <c r="M4168" s="8"/>
      <c r="N4168" s="8">
        <v>7.67</v>
      </c>
      <c r="O4168" s="8"/>
      <c r="P4168" s="8"/>
      <c r="Q4168" s="11"/>
      <c r="R4168" s="11"/>
      <c r="S4168" s="8">
        <v>2.19</v>
      </c>
      <c r="T4168" s="8"/>
      <c r="U4168" s="8"/>
      <c r="V4168" s="8"/>
      <c r="W4168" s="8">
        <v>12.36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>
        <v>13.69</v>
      </c>
      <c r="AN4168" s="8">
        <f>1018*9.47/1000</f>
        <v>9.6404600000000009</v>
      </c>
      <c r="AO4168" s="8"/>
      <c r="AP4168" s="11"/>
      <c r="AQ4168" s="8"/>
      <c r="AR4168" s="8"/>
      <c r="AS4168" s="8">
        <f>4776*9.47/1000</f>
        <v>45.228720000000003</v>
      </c>
      <c r="AT4168" s="8">
        <v>561.67999999999995</v>
      </c>
      <c r="AU4168" s="8"/>
      <c r="AV4168" s="8"/>
      <c r="AW4168" s="8"/>
      <c r="AX4168" s="8"/>
      <c r="AY4168" s="8"/>
      <c r="AZ4168" s="8"/>
      <c r="BA4168" s="8"/>
      <c r="BB4168" s="8"/>
      <c r="BC4168" s="8"/>
      <c r="BD4168" s="8"/>
      <c r="BE4168" s="8"/>
      <c r="BF4168" s="8"/>
      <c r="BG4168" s="8">
        <v>42.53</v>
      </c>
      <c r="BH4168" s="9">
        <f t="shared" si="585"/>
        <v>1373.42</v>
      </c>
      <c r="BI4168" s="9">
        <f t="shared" si="586"/>
        <v>7.67</v>
      </c>
      <c r="BJ4168" s="9">
        <f t="shared" si="587"/>
        <v>2.19</v>
      </c>
      <c r="BK4168" s="9">
        <f t="shared" si="588"/>
        <v>12.36</v>
      </c>
      <c r="BL4168" s="9">
        <f t="shared" si="589"/>
        <v>0</v>
      </c>
      <c r="BM4168" s="9">
        <f t="shared" si="590"/>
        <v>68.559179999999998</v>
      </c>
      <c r="BN4168" s="9">
        <f t="shared" si="591"/>
        <v>561.67999999999995</v>
      </c>
      <c r="BO4168" s="9">
        <f t="shared" si="592"/>
        <v>0</v>
      </c>
      <c r="BP4168" s="9">
        <f t="shared" si="593"/>
        <v>0</v>
      </c>
    </row>
    <row r="4169" spans="1:68">
      <c r="A4169" s="6">
        <v>45322</v>
      </c>
      <c r="B4169" s="7">
        <v>3028</v>
      </c>
      <c r="C4169" s="8"/>
      <c r="D4169" s="8">
        <v>728.67</v>
      </c>
      <c r="E4169" s="8"/>
      <c r="F4169" s="8">
        <v>666.86</v>
      </c>
      <c r="G4169" s="8"/>
      <c r="H4169" s="8"/>
      <c r="I4169" s="8">
        <v>1505.93</v>
      </c>
      <c r="J4169" s="8"/>
      <c r="K4169" s="8"/>
      <c r="L4169" s="8"/>
      <c r="M4169" s="8"/>
      <c r="N4169" s="8">
        <v>22.32</v>
      </c>
      <c r="O4169" s="8"/>
      <c r="P4169" s="8"/>
      <c r="Q4169" s="11"/>
      <c r="R4169" s="11"/>
      <c r="S4169" s="8">
        <v>4.0599999999999996</v>
      </c>
      <c r="T4169" s="8"/>
      <c r="U4169" s="8"/>
      <c r="V4169" s="8"/>
      <c r="W4169" s="8">
        <v>21.75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>
        <v>28.98</v>
      </c>
      <c r="AN4169" s="8">
        <f>1079*19.33/1000</f>
        <v>20.85707</v>
      </c>
      <c r="AO4169" s="8"/>
      <c r="AP4169" s="11"/>
      <c r="AQ4169" s="8"/>
      <c r="AR4169" s="8"/>
      <c r="AS4169" s="8">
        <f>4947*19.33/1000</f>
        <v>95.625509999999991</v>
      </c>
      <c r="AT4169" s="8">
        <v>967.32</v>
      </c>
      <c r="AU4169" s="8"/>
      <c r="AV4169" s="8"/>
      <c r="AW4169" s="8"/>
      <c r="AX4169" s="8"/>
      <c r="AY4169" s="8"/>
      <c r="AZ4169" s="8"/>
      <c r="BA4169" s="8"/>
      <c r="BB4169" s="8"/>
      <c r="BC4169" s="8"/>
      <c r="BD4169" s="8"/>
      <c r="BE4169" s="8"/>
      <c r="BF4169" s="8"/>
      <c r="BG4169" s="8">
        <v>65.790000000000006</v>
      </c>
      <c r="BH4169" s="9">
        <f t="shared" si="585"/>
        <v>2901.46</v>
      </c>
      <c r="BI4169" s="9">
        <f t="shared" si="586"/>
        <v>22.32</v>
      </c>
      <c r="BJ4169" s="9">
        <f t="shared" si="587"/>
        <v>4.0599999999999996</v>
      </c>
      <c r="BK4169" s="9">
        <f t="shared" si="588"/>
        <v>21.75</v>
      </c>
      <c r="BL4169" s="9">
        <f t="shared" si="589"/>
        <v>0</v>
      </c>
      <c r="BM4169" s="9">
        <f t="shared" si="590"/>
        <v>145.46258</v>
      </c>
      <c r="BN4169" s="9">
        <f t="shared" si="591"/>
        <v>967.32</v>
      </c>
      <c r="BO4169" s="9">
        <f t="shared" si="592"/>
        <v>0</v>
      </c>
      <c r="BP4169" s="9">
        <f t="shared" si="593"/>
        <v>0</v>
      </c>
    </row>
    <row r="4170" spans="1:68">
      <c r="A4170" s="6">
        <v>45322</v>
      </c>
      <c r="B4170" s="7">
        <v>3200</v>
      </c>
      <c r="C4170" s="8">
        <v>1192.28</v>
      </c>
      <c r="D4170" s="8"/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>
        <v>3.01</v>
      </c>
      <c r="P4170" s="8"/>
      <c r="Q4170" s="11"/>
      <c r="R4170" s="11"/>
      <c r="S4170" s="8">
        <v>4.67</v>
      </c>
      <c r="T4170" s="8"/>
      <c r="U4170" s="8">
        <v>17.97</v>
      </c>
      <c r="V4170" s="8"/>
      <c r="W4170" s="8"/>
      <c r="X4170" s="8"/>
      <c r="Y4170" s="8"/>
      <c r="Z4170" s="8">
        <v>251.61</v>
      </c>
      <c r="AA4170" s="8"/>
      <c r="AB4170" s="8"/>
      <c r="AC4170" s="8"/>
      <c r="AD4170" s="8"/>
      <c r="AE4170" s="8"/>
      <c r="AF4170" s="8">
        <v>60.18</v>
      </c>
      <c r="AG4170" s="8"/>
      <c r="AH4170" s="8"/>
      <c r="AI4170" s="8"/>
      <c r="AJ4170" s="8"/>
      <c r="AK4170" s="8"/>
      <c r="AL4170" s="8"/>
      <c r="AM4170" s="8"/>
      <c r="AN4170" s="8"/>
      <c r="AO4170" s="8"/>
      <c r="AP4170" s="11"/>
      <c r="AQ4170" s="8">
        <f>1535*11.97/1000</f>
        <v>18.373950000000001</v>
      </c>
      <c r="AR4170" s="8"/>
      <c r="AS4170" s="8"/>
      <c r="AT4170" s="8">
        <v>819.7</v>
      </c>
      <c r="AU4170" s="8"/>
      <c r="AV4170" s="8"/>
      <c r="AW4170" s="8">
        <v>3.38</v>
      </c>
      <c r="AX4170" s="8"/>
      <c r="AY4170" s="8"/>
      <c r="AZ4170" s="8"/>
      <c r="BA4170" s="8"/>
      <c r="BB4170" s="8"/>
      <c r="BC4170" s="8"/>
      <c r="BD4170" s="8"/>
      <c r="BE4170" s="8"/>
      <c r="BF4170" s="8">
        <v>57.5</v>
      </c>
      <c r="BG4170" s="8">
        <v>59</v>
      </c>
      <c r="BH4170" s="9">
        <f t="shared" si="585"/>
        <v>1192.28</v>
      </c>
      <c r="BI4170" s="9">
        <f t="shared" si="586"/>
        <v>3.01</v>
      </c>
      <c r="BJ4170" s="9">
        <f t="shared" si="587"/>
        <v>4.67</v>
      </c>
      <c r="BK4170" s="9">
        <f t="shared" si="588"/>
        <v>17.97</v>
      </c>
      <c r="BL4170" s="9">
        <f t="shared" si="589"/>
        <v>251.61</v>
      </c>
      <c r="BM4170" s="9">
        <f t="shared" si="590"/>
        <v>78.55395</v>
      </c>
      <c r="BN4170" s="9">
        <f t="shared" si="591"/>
        <v>819.7</v>
      </c>
      <c r="BO4170" s="9">
        <f t="shared" si="592"/>
        <v>3.38</v>
      </c>
      <c r="BP4170" s="9">
        <f t="shared" si="593"/>
        <v>57.5</v>
      </c>
    </row>
    <row r="4171" spans="1:68">
      <c r="A4171" s="6">
        <v>45322</v>
      </c>
      <c r="B4171" s="7">
        <v>3204</v>
      </c>
      <c r="C4171" s="8"/>
      <c r="D4171" s="8">
        <v>1745.01</v>
      </c>
      <c r="E4171" s="8">
        <v>747.18</v>
      </c>
      <c r="F4171" s="8"/>
      <c r="G4171" s="8"/>
      <c r="H4171" s="8"/>
      <c r="I4171" s="8"/>
      <c r="J4171" s="8"/>
      <c r="K4171" s="8"/>
      <c r="L4171" s="8"/>
      <c r="M4171" s="8"/>
      <c r="N4171" s="8"/>
      <c r="O4171" s="8">
        <v>12.44</v>
      </c>
      <c r="P4171" s="8"/>
      <c r="Q4171" s="11"/>
      <c r="R4171" s="11"/>
      <c r="S4171" s="8">
        <v>8.4600000000000009</v>
      </c>
      <c r="T4171" s="8"/>
      <c r="U4171" s="8">
        <v>27.43</v>
      </c>
      <c r="V4171" s="8"/>
      <c r="W4171" s="8"/>
      <c r="X4171" s="8"/>
      <c r="Y4171" s="8"/>
      <c r="Z4171" s="8">
        <v>373.95</v>
      </c>
      <c r="AA4171" s="8"/>
      <c r="AB4171" s="8">
        <f>721*17.78/1000</f>
        <v>12.819380000000001</v>
      </c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  <c r="AO4171" s="8"/>
      <c r="AP4171" s="11"/>
      <c r="AQ4171" s="8"/>
      <c r="AR4171" s="8"/>
      <c r="AS4171" s="8"/>
      <c r="AT4171" s="8">
        <v>1097.83</v>
      </c>
      <c r="AU4171" s="8"/>
      <c r="AV4171" s="8"/>
      <c r="AW4171" s="8">
        <v>8</v>
      </c>
      <c r="AX4171" s="8"/>
      <c r="AY4171" s="8"/>
      <c r="AZ4171" s="8"/>
      <c r="BA4171" s="8"/>
      <c r="BB4171" s="8"/>
      <c r="BC4171" s="8"/>
      <c r="BD4171" s="8"/>
      <c r="BE4171" s="8"/>
      <c r="BF4171" s="8"/>
      <c r="BG4171" s="8">
        <v>81.03</v>
      </c>
      <c r="BH4171" s="9">
        <f t="shared" si="585"/>
        <v>2492.19</v>
      </c>
      <c r="BI4171" s="9">
        <f t="shared" si="586"/>
        <v>12.44</v>
      </c>
      <c r="BJ4171" s="9">
        <f t="shared" si="587"/>
        <v>8.4600000000000009</v>
      </c>
      <c r="BK4171" s="9">
        <f t="shared" si="588"/>
        <v>27.43</v>
      </c>
      <c r="BL4171" s="9">
        <f t="shared" si="589"/>
        <v>373.95</v>
      </c>
      <c r="BM4171" s="9">
        <f t="shared" si="590"/>
        <v>12.819380000000001</v>
      </c>
      <c r="BN4171" s="9">
        <f t="shared" si="591"/>
        <v>1097.83</v>
      </c>
      <c r="BO4171" s="9">
        <f t="shared" si="592"/>
        <v>8</v>
      </c>
      <c r="BP4171" s="9">
        <f t="shared" si="593"/>
        <v>0</v>
      </c>
    </row>
    <row r="4172" spans="1:68">
      <c r="A4172" s="6">
        <v>45323</v>
      </c>
      <c r="B4172" s="7">
        <v>8334</v>
      </c>
      <c r="C4172" s="8">
        <v>732.97</v>
      </c>
      <c r="D4172" s="8">
        <v>131.41</v>
      </c>
      <c r="E4172" s="8"/>
      <c r="F4172" s="8"/>
      <c r="G4172" s="8"/>
      <c r="H4172" s="8"/>
      <c r="I4172" s="8"/>
      <c r="J4172" s="8"/>
      <c r="K4172" s="8"/>
      <c r="L4172" s="8"/>
      <c r="M4172" s="8">
        <v>2.68</v>
      </c>
      <c r="N4172" s="8"/>
      <c r="O4172" s="8"/>
      <c r="P4172" s="8"/>
      <c r="Q4172" s="8"/>
      <c r="R4172" s="8"/>
      <c r="S4172" s="8">
        <v>4.09</v>
      </c>
      <c r="T4172" s="8"/>
      <c r="U4172" s="8">
        <v>13.05</v>
      </c>
      <c r="V4172" s="8"/>
      <c r="W4172" s="8"/>
      <c r="X4172" s="8"/>
      <c r="Y4172" s="8"/>
      <c r="Z4172" s="8"/>
      <c r="AA4172" s="8"/>
      <c r="AB4172" s="8"/>
      <c r="AC4172" s="8">
        <v>3.47</v>
      </c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>
        <v>571.89</v>
      </c>
      <c r="AU4172" s="8"/>
      <c r="AV4172" s="8"/>
      <c r="AW4172" s="8"/>
      <c r="AX4172" s="8"/>
      <c r="AY4172" s="8"/>
      <c r="AZ4172" s="8"/>
      <c r="BA4172" s="8"/>
      <c r="BB4172" s="8"/>
      <c r="BC4172" s="8">
        <v>1.52</v>
      </c>
      <c r="BD4172" s="8"/>
      <c r="BE4172" s="8"/>
      <c r="BF4172" s="8">
        <v>60.86</v>
      </c>
      <c r="BG4172" s="8">
        <v>45.47</v>
      </c>
      <c r="BH4172" s="9">
        <f t="shared" si="585"/>
        <v>864.38</v>
      </c>
      <c r="BI4172" s="9">
        <f t="shared" si="586"/>
        <v>2.68</v>
      </c>
      <c r="BJ4172" s="9">
        <f t="shared" si="587"/>
        <v>4.09</v>
      </c>
      <c r="BK4172" s="9">
        <f t="shared" si="588"/>
        <v>13.05</v>
      </c>
      <c r="BL4172" s="9">
        <f t="shared" si="589"/>
        <v>0</v>
      </c>
      <c r="BM4172" s="9">
        <f t="shared" si="590"/>
        <v>3.47</v>
      </c>
      <c r="BN4172" s="9">
        <f t="shared" si="591"/>
        <v>571.89</v>
      </c>
      <c r="BO4172" s="9">
        <f t="shared" si="592"/>
        <v>1.52</v>
      </c>
      <c r="BP4172" s="9">
        <f t="shared" si="593"/>
        <v>60.86</v>
      </c>
    </row>
    <row r="4173" spans="1:68">
      <c r="A4173" s="6">
        <v>45323</v>
      </c>
      <c r="B4173" s="7">
        <v>3157</v>
      </c>
      <c r="C4173" s="8">
        <v>371.04</v>
      </c>
      <c r="D4173" s="8">
        <v>372.36</v>
      </c>
      <c r="E4173" s="8"/>
      <c r="F4173" s="8"/>
      <c r="G4173" s="8"/>
      <c r="H4173" s="8"/>
      <c r="I4173" s="8"/>
      <c r="J4173" s="8"/>
      <c r="K4173" s="8"/>
      <c r="L4173" s="8"/>
      <c r="M4173" s="8">
        <v>2.98</v>
      </c>
      <c r="N4173" s="8"/>
      <c r="O4173" s="8"/>
      <c r="P4173" s="8"/>
      <c r="Q4173" s="8"/>
      <c r="R4173" s="8"/>
      <c r="S4173" s="8">
        <v>3.71</v>
      </c>
      <c r="T4173" s="8"/>
      <c r="U4173" s="8">
        <v>11.88</v>
      </c>
      <c r="V4173" s="8"/>
      <c r="W4173" s="8"/>
      <c r="X4173" s="8"/>
      <c r="Y4173" s="8"/>
      <c r="Z4173" s="8"/>
      <c r="AA4173" s="8"/>
      <c r="AB4173" s="8"/>
      <c r="AC4173" s="8">
        <v>2.97</v>
      </c>
      <c r="AD4173" s="8"/>
      <c r="AE4173" s="8"/>
      <c r="AF4173" s="8"/>
      <c r="AG4173" s="8">
        <v>3.72</v>
      </c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>
        <v>477.32</v>
      </c>
      <c r="AU4173" s="8"/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  <c r="BF4173" s="8">
        <v>96.56</v>
      </c>
      <c r="BG4173" s="8">
        <v>38.700000000000003</v>
      </c>
      <c r="BH4173" s="9">
        <f t="shared" si="585"/>
        <v>743.40000000000009</v>
      </c>
      <c r="BI4173" s="9">
        <f t="shared" si="586"/>
        <v>2.98</v>
      </c>
      <c r="BJ4173" s="9">
        <f t="shared" si="587"/>
        <v>3.71</v>
      </c>
      <c r="BK4173" s="9">
        <f t="shared" si="588"/>
        <v>11.88</v>
      </c>
      <c r="BL4173" s="9">
        <f t="shared" si="589"/>
        <v>0</v>
      </c>
      <c r="BM4173" s="9">
        <f t="shared" si="590"/>
        <v>6.69</v>
      </c>
      <c r="BN4173" s="9">
        <f t="shared" si="591"/>
        <v>477.32</v>
      </c>
      <c r="BO4173" s="9">
        <f t="shared" si="592"/>
        <v>0</v>
      </c>
      <c r="BP4173" s="9">
        <f t="shared" si="593"/>
        <v>96.56</v>
      </c>
    </row>
    <row r="4174" spans="1:68">
      <c r="A4174" s="6">
        <v>45323</v>
      </c>
      <c r="B4174" s="7">
        <v>3701</v>
      </c>
      <c r="C4174" s="8">
        <f>148.78+255.03</f>
        <v>403.81</v>
      </c>
      <c r="D4174" s="8"/>
      <c r="E4174" s="8"/>
      <c r="F4174" s="8"/>
      <c r="G4174" s="8"/>
      <c r="H4174" s="8"/>
      <c r="I4174" s="8"/>
      <c r="J4174" s="8">
        <f>48215*13.63/1000</f>
        <v>657.17045000000007</v>
      </c>
      <c r="K4174" s="8"/>
      <c r="L4174" s="8"/>
      <c r="M4174" s="8"/>
      <c r="N4174" s="8">
        <f>0.92+1.58</f>
        <v>2.5</v>
      </c>
      <c r="O4174" s="8"/>
      <c r="P4174" s="8"/>
      <c r="Q4174" s="8"/>
      <c r="R4174" s="8"/>
      <c r="S4174" s="8">
        <f>1.09+1.86</f>
        <v>2.95</v>
      </c>
      <c r="T4174" s="8"/>
      <c r="U4174" s="8">
        <f>2.42+4.14</f>
        <v>6.56</v>
      </c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>
        <f>8.06+13.81</f>
        <v>21.87</v>
      </c>
      <c r="AH4174" s="8"/>
      <c r="AI4174" s="8"/>
      <c r="AJ4174" s="8">
        <f>2440*13.63/1000</f>
        <v>33.257200000000005</v>
      </c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>
        <f>142.16+242.87</f>
        <v>385.03</v>
      </c>
      <c r="AV4174" s="8"/>
      <c r="AW4174" s="8"/>
      <c r="AX4174" s="8"/>
      <c r="AY4174" s="8"/>
      <c r="AZ4174" s="8"/>
      <c r="BA4174" s="8"/>
      <c r="BB4174" s="8"/>
      <c r="BC4174" s="8"/>
      <c r="BD4174" s="8"/>
      <c r="BE4174" s="8"/>
      <c r="BF4174" s="8"/>
      <c r="BG4174" s="8">
        <f>9.69+16.57</f>
        <v>26.259999999999998</v>
      </c>
      <c r="BH4174" s="9">
        <f t="shared" si="585"/>
        <v>1060.98045</v>
      </c>
      <c r="BI4174" s="9">
        <f t="shared" si="586"/>
        <v>2.5</v>
      </c>
      <c r="BJ4174" s="9">
        <f t="shared" si="587"/>
        <v>2.95</v>
      </c>
      <c r="BK4174" s="9">
        <f t="shared" si="588"/>
        <v>6.56</v>
      </c>
      <c r="BL4174" s="9">
        <f t="shared" si="589"/>
        <v>0</v>
      </c>
      <c r="BM4174" s="9">
        <f t="shared" si="590"/>
        <v>55.127200000000002</v>
      </c>
      <c r="BN4174" s="9">
        <f t="shared" si="591"/>
        <v>385.03</v>
      </c>
      <c r="BO4174" s="9">
        <f t="shared" si="592"/>
        <v>0</v>
      </c>
      <c r="BP4174" s="9">
        <f t="shared" si="593"/>
        <v>0</v>
      </c>
    </row>
    <row r="4175" spans="1:68">
      <c r="A4175" s="6">
        <v>45323</v>
      </c>
      <c r="B4175" s="7">
        <v>3141</v>
      </c>
      <c r="C4175" s="8">
        <v>2379.38</v>
      </c>
      <c r="D4175" s="8">
        <v>419.77</v>
      </c>
      <c r="E4175" s="8"/>
      <c r="F4175" s="8"/>
      <c r="G4175" s="8"/>
      <c r="H4175" s="8"/>
      <c r="I4175" s="8"/>
      <c r="J4175" s="8"/>
      <c r="K4175" s="8"/>
      <c r="L4175" s="8"/>
      <c r="M4175" s="8">
        <v>8.1199999999999992</v>
      </c>
      <c r="N4175" s="8"/>
      <c r="O4175" s="8"/>
      <c r="P4175" s="8"/>
      <c r="Q4175" s="8"/>
      <c r="R4175" s="8"/>
      <c r="S4175" s="8">
        <v>13.16</v>
      </c>
      <c r="T4175" s="8"/>
      <c r="U4175" s="8">
        <v>42</v>
      </c>
      <c r="V4175" s="8"/>
      <c r="W4175" s="8"/>
      <c r="X4175" s="8"/>
      <c r="Y4175" s="8"/>
      <c r="Z4175" s="8"/>
      <c r="AA4175" s="8"/>
      <c r="AB4175" s="8"/>
      <c r="AC4175" s="8">
        <v>11.21</v>
      </c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>
        <v>1841.99</v>
      </c>
      <c r="AU4175" s="8"/>
      <c r="AV4175" s="8"/>
      <c r="AW4175" s="8"/>
      <c r="AX4175" s="8"/>
      <c r="AY4175" s="8"/>
      <c r="AZ4175" s="8"/>
      <c r="BA4175" s="8">
        <v>64.14</v>
      </c>
      <c r="BB4175" s="8"/>
      <c r="BC4175" s="8"/>
      <c r="BD4175" s="8"/>
      <c r="BE4175" s="8"/>
      <c r="BF4175" s="8">
        <v>195.92</v>
      </c>
      <c r="BG4175" s="8">
        <v>145.07</v>
      </c>
      <c r="BH4175" s="9">
        <f t="shared" si="585"/>
        <v>2799.15</v>
      </c>
      <c r="BI4175" s="9">
        <f t="shared" si="586"/>
        <v>8.1199999999999992</v>
      </c>
      <c r="BJ4175" s="9">
        <f t="shared" si="587"/>
        <v>13.16</v>
      </c>
      <c r="BK4175" s="9">
        <f t="shared" si="588"/>
        <v>42</v>
      </c>
      <c r="BL4175" s="9">
        <f t="shared" si="589"/>
        <v>0</v>
      </c>
      <c r="BM4175" s="9">
        <f t="shared" si="590"/>
        <v>11.21</v>
      </c>
      <c r="BN4175" s="9">
        <f t="shared" si="591"/>
        <v>1841.99</v>
      </c>
      <c r="BO4175" s="9">
        <f t="shared" si="592"/>
        <v>64.14</v>
      </c>
      <c r="BP4175" s="9">
        <f t="shared" si="593"/>
        <v>195.92</v>
      </c>
    </row>
    <row r="4176" spans="1:68">
      <c r="A4176" s="6">
        <v>45323</v>
      </c>
      <c r="B4176" s="7">
        <v>3108</v>
      </c>
      <c r="C4176" s="8">
        <v>2216.16</v>
      </c>
      <c r="D4176" s="8"/>
      <c r="E4176" s="8"/>
      <c r="F4176" s="8"/>
      <c r="G4176" s="8"/>
      <c r="H4176" s="8"/>
      <c r="I4176" s="8"/>
      <c r="J4176" s="8"/>
      <c r="K4176" s="8"/>
      <c r="L4176" s="8"/>
      <c r="M4176" s="8">
        <v>5.55</v>
      </c>
      <c r="N4176" s="8"/>
      <c r="O4176" s="8"/>
      <c r="P4176" s="8"/>
      <c r="Q4176" s="8"/>
      <c r="R4176" s="8"/>
      <c r="S4176" s="8">
        <v>7.13</v>
      </c>
      <c r="T4176" s="8"/>
      <c r="U4176" s="8">
        <v>28.25</v>
      </c>
      <c r="V4176" s="8"/>
      <c r="W4176" s="8"/>
      <c r="X4176" s="8"/>
      <c r="Y4176" s="8"/>
      <c r="Z4176" s="8"/>
      <c r="AA4176" s="8"/>
      <c r="AB4176" s="8"/>
      <c r="AC4176" s="8">
        <v>8.8699999999999992</v>
      </c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>
        <v>1207.95</v>
      </c>
      <c r="AU4176" s="8"/>
      <c r="AV4176" s="8"/>
      <c r="AW4176" s="8"/>
      <c r="AX4176" s="8"/>
      <c r="AY4176" s="8"/>
      <c r="AZ4176" s="8"/>
      <c r="BA4176" s="8">
        <v>82.56</v>
      </c>
      <c r="BB4176" s="8"/>
      <c r="BC4176" s="8"/>
      <c r="BD4176" s="8"/>
      <c r="BE4176" s="8"/>
      <c r="BF4176" s="8"/>
      <c r="BG4176" s="8">
        <v>89.03</v>
      </c>
      <c r="BH4176" s="9">
        <f t="shared" si="585"/>
        <v>2216.16</v>
      </c>
      <c r="BI4176" s="9">
        <f t="shared" si="586"/>
        <v>5.55</v>
      </c>
      <c r="BJ4176" s="9">
        <f t="shared" si="587"/>
        <v>7.13</v>
      </c>
      <c r="BK4176" s="9">
        <f t="shared" si="588"/>
        <v>28.25</v>
      </c>
      <c r="BL4176" s="9">
        <f t="shared" si="589"/>
        <v>0</v>
      </c>
      <c r="BM4176" s="9">
        <f t="shared" si="590"/>
        <v>8.8699999999999992</v>
      </c>
      <c r="BN4176" s="9">
        <f t="shared" si="591"/>
        <v>1207.95</v>
      </c>
      <c r="BO4176" s="9">
        <f t="shared" si="592"/>
        <v>82.56</v>
      </c>
      <c r="BP4176" s="9">
        <f t="shared" si="593"/>
        <v>0</v>
      </c>
    </row>
    <row r="4177" spans="1:68">
      <c r="A4177" s="6">
        <v>45323</v>
      </c>
      <c r="B4177" s="7">
        <v>3112</v>
      </c>
      <c r="C4177" s="8">
        <v>3285.35</v>
      </c>
      <c r="D4177" s="8"/>
      <c r="E4177" s="8"/>
      <c r="F4177" s="8"/>
      <c r="G4177" s="8"/>
      <c r="H4177" s="8"/>
      <c r="I4177" s="8"/>
      <c r="J4177" s="8"/>
      <c r="K4177" s="8"/>
      <c r="L4177" s="8"/>
      <c r="M4177" s="8">
        <v>2.97</v>
      </c>
      <c r="N4177" s="8">
        <v>2.96</v>
      </c>
      <c r="O4177" s="8"/>
      <c r="P4177" s="8"/>
      <c r="Q4177" s="8"/>
      <c r="R4177" s="8"/>
      <c r="S4177" s="8">
        <v>9.92</v>
      </c>
      <c r="T4177" s="8"/>
      <c r="U4177" s="8">
        <v>32.81</v>
      </c>
      <c r="V4177" s="8"/>
      <c r="W4177" s="8"/>
      <c r="X4177" s="8"/>
      <c r="Y4177" s="8"/>
      <c r="Z4177" s="8"/>
      <c r="AA4177" s="8"/>
      <c r="AB4177" s="8"/>
      <c r="AC4177" s="8">
        <v>13.13</v>
      </c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>
        <v>1377.3</v>
      </c>
      <c r="AU4177" s="8"/>
      <c r="AV4177" s="8"/>
      <c r="AW4177" s="8"/>
      <c r="AX4177" s="8"/>
      <c r="AY4177" s="8"/>
      <c r="AZ4177" s="8"/>
      <c r="BA4177" s="8">
        <v>43.54</v>
      </c>
      <c r="BB4177" s="8"/>
      <c r="BC4177" s="8"/>
      <c r="BD4177" s="8"/>
      <c r="BE4177" s="8"/>
      <c r="BF4177" s="8"/>
      <c r="BG4177" s="8">
        <v>98.7</v>
      </c>
      <c r="BH4177" s="9">
        <f t="shared" si="585"/>
        <v>3285.35</v>
      </c>
      <c r="BI4177" s="9">
        <f t="shared" si="586"/>
        <v>5.93</v>
      </c>
      <c r="BJ4177" s="9">
        <f t="shared" si="587"/>
        <v>9.92</v>
      </c>
      <c r="BK4177" s="9">
        <f t="shared" si="588"/>
        <v>32.81</v>
      </c>
      <c r="BL4177" s="9">
        <f t="shared" si="589"/>
        <v>0</v>
      </c>
      <c r="BM4177" s="9">
        <f t="shared" si="590"/>
        <v>13.13</v>
      </c>
      <c r="BN4177" s="9">
        <f t="shared" si="591"/>
        <v>1377.3</v>
      </c>
      <c r="BO4177" s="9">
        <f t="shared" si="592"/>
        <v>43.54</v>
      </c>
      <c r="BP4177" s="9">
        <f t="shared" si="593"/>
        <v>0</v>
      </c>
    </row>
    <row r="4178" spans="1:68">
      <c r="A4178" s="6">
        <v>45323</v>
      </c>
      <c r="B4178" s="7">
        <v>3106</v>
      </c>
      <c r="C4178" s="8">
        <v>4114.4399999999996</v>
      </c>
      <c r="D4178" s="8"/>
      <c r="E4178" s="8"/>
      <c r="F4178" s="8"/>
      <c r="G4178" s="8"/>
      <c r="H4178" s="8"/>
      <c r="I4178" s="8"/>
      <c r="J4178" s="8"/>
      <c r="K4178" s="8"/>
      <c r="L4178" s="8"/>
      <c r="M4178" s="8">
        <v>11.07</v>
      </c>
      <c r="N4178" s="8"/>
      <c r="O4178" s="8"/>
      <c r="P4178" s="8"/>
      <c r="Q4178" s="8"/>
      <c r="R4178" s="8"/>
      <c r="S4178" s="8">
        <v>12.36</v>
      </c>
      <c r="T4178" s="8"/>
      <c r="U4178" s="8">
        <v>52.23</v>
      </c>
      <c r="V4178" s="8"/>
      <c r="W4178" s="8"/>
      <c r="X4178" s="8"/>
      <c r="Y4178" s="8"/>
      <c r="Z4178" s="8"/>
      <c r="AA4178" s="8"/>
      <c r="AB4178" s="8"/>
      <c r="AC4178" s="8">
        <v>10.29</v>
      </c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>
        <v>2342.09</v>
      </c>
      <c r="AU4178" s="8"/>
      <c r="AV4178" s="8"/>
      <c r="AW4178" s="8"/>
      <c r="AX4178" s="8">
        <v>5.15</v>
      </c>
      <c r="AY4178" s="8"/>
      <c r="AZ4178" s="8"/>
      <c r="BA4178" s="8"/>
      <c r="BB4178" s="8"/>
      <c r="BC4178" s="8"/>
      <c r="BD4178" s="8"/>
      <c r="BE4178" s="8"/>
      <c r="BF4178" s="8"/>
      <c r="BG4178" s="8">
        <v>177</v>
      </c>
      <c r="BH4178" s="9">
        <f t="shared" si="585"/>
        <v>4114.4399999999996</v>
      </c>
      <c r="BI4178" s="9">
        <f t="shared" si="586"/>
        <v>11.07</v>
      </c>
      <c r="BJ4178" s="9">
        <f t="shared" si="587"/>
        <v>12.36</v>
      </c>
      <c r="BK4178" s="9">
        <f t="shared" si="588"/>
        <v>52.23</v>
      </c>
      <c r="BL4178" s="9">
        <f t="shared" si="589"/>
        <v>0</v>
      </c>
      <c r="BM4178" s="9">
        <f t="shared" si="590"/>
        <v>10.29</v>
      </c>
      <c r="BN4178" s="9">
        <f t="shared" si="591"/>
        <v>2342.09</v>
      </c>
      <c r="BO4178" s="9">
        <f t="shared" si="592"/>
        <v>5.15</v>
      </c>
      <c r="BP4178" s="9">
        <f t="shared" si="593"/>
        <v>0</v>
      </c>
    </row>
    <row r="4179" spans="1:68">
      <c r="A4179" s="6">
        <v>45323</v>
      </c>
      <c r="B4179" s="7">
        <v>3016</v>
      </c>
      <c r="C4179" s="8"/>
      <c r="D4179" s="8">
        <v>2352.31</v>
      </c>
      <c r="E4179" s="8"/>
      <c r="F4179" s="8"/>
      <c r="G4179" s="8"/>
      <c r="H4179" s="8"/>
      <c r="I4179" s="8">
        <v>2169.12</v>
      </c>
      <c r="J4179" s="8"/>
      <c r="K4179" s="8"/>
      <c r="L4179" s="8"/>
      <c r="M4179" s="8"/>
      <c r="N4179" s="8">
        <v>28.5</v>
      </c>
      <c r="O4179" s="8"/>
      <c r="P4179" s="8"/>
      <c r="Q4179" s="8"/>
      <c r="R4179" s="8"/>
      <c r="S4179" s="8">
        <v>3.15</v>
      </c>
      <c r="T4179" s="8"/>
      <c r="U4179" s="8"/>
      <c r="V4179" s="8"/>
      <c r="W4179" s="8">
        <v>45.21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>
        <v>18.079999999999998</v>
      </c>
      <c r="AN4179" s="8">
        <f>2052*26.6/1000</f>
        <v>54.583200000000005</v>
      </c>
      <c r="AO4179" s="8"/>
      <c r="AP4179" s="8"/>
      <c r="AQ4179" s="8"/>
      <c r="AR4179" s="8">
        <f>4257*26.6/1000</f>
        <v>113.23620000000001</v>
      </c>
      <c r="AS4179" s="8"/>
      <c r="AT4179" s="8">
        <v>1678.8</v>
      </c>
      <c r="AU4179" s="8"/>
      <c r="AV4179" s="8"/>
      <c r="AW4179" s="8"/>
      <c r="AX4179" s="8"/>
      <c r="AY4179" s="8"/>
      <c r="AZ4179" s="8"/>
      <c r="BA4179" s="8"/>
      <c r="BB4179" s="8"/>
      <c r="BC4179" s="8"/>
      <c r="BD4179" s="8"/>
      <c r="BE4179" s="8"/>
      <c r="BF4179" s="8"/>
      <c r="BG4179" s="8">
        <v>122.97</v>
      </c>
      <c r="BH4179" s="9">
        <f t="shared" si="585"/>
        <v>4521.43</v>
      </c>
      <c r="BI4179" s="9">
        <f t="shared" si="586"/>
        <v>28.5</v>
      </c>
      <c r="BJ4179" s="9">
        <f t="shared" si="587"/>
        <v>3.15</v>
      </c>
      <c r="BK4179" s="9">
        <f t="shared" si="588"/>
        <v>45.21</v>
      </c>
      <c r="BL4179" s="9">
        <f t="shared" si="589"/>
        <v>0</v>
      </c>
      <c r="BM4179" s="9">
        <f t="shared" si="590"/>
        <v>185.89940000000001</v>
      </c>
      <c r="BN4179" s="9">
        <f t="shared" si="591"/>
        <v>1678.8</v>
      </c>
      <c r="BO4179" s="9">
        <f t="shared" si="592"/>
        <v>0</v>
      </c>
      <c r="BP4179" s="9">
        <f t="shared" si="593"/>
        <v>0</v>
      </c>
    </row>
    <row r="4180" spans="1:68">
      <c r="A4180" s="6">
        <v>45323</v>
      </c>
      <c r="B4180" s="7">
        <v>3005</v>
      </c>
      <c r="C4180" s="8">
        <v>419.14</v>
      </c>
      <c r="D4180" s="8">
        <v>279.3</v>
      </c>
      <c r="E4180" s="8"/>
      <c r="F4180" s="8"/>
      <c r="G4180" s="8"/>
      <c r="H4180" s="8"/>
      <c r="I4180" s="8"/>
      <c r="J4180" s="8"/>
      <c r="K4180" s="8"/>
      <c r="L4180" s="8"/>
      <c r="M4180" s="8"/>
      <c r="N4180" s="8">
        <v>0.7</v>
      </c>
      <c r="O4180" s="8"/>
      <c r="P4180" s="8"/>
      <c r="Q4180" s="8"/>
      <c r="R4180" s="8"/>
      <c r="S4180" s="8">
        <v>2.4500000000000002</v>
      </c>
      <c r="T4180" s="8"/>
      <c r="U4180" s="8"/>
      <c r="V4180" s="8"/>
      <c r="W4180" s="8">
        <v>7.7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>
        <v>342.4</v>
      </c>
      <c r="AU4180" s="8"/>
      <c r="AV4180" s="8"/>
      <c r="AW4180" s="8">
        <v>7.76</v>
      </c>
      <c r="AX4180" s="8"/>
      <c r="AY4180" s="8"/>
      <c r="AZ4180" s="8"/>
      <c r="BA4180" s="8"/>
      <c r="BB4180" s="8"/>
      <c r="BC4180" s="8"/>
      <c r="BD4180" s="8"/>
      <c r="BE4180" s="8"/>
      <c r="BF4180" s="8"/>
      <c r="BG4180" s="8">
        <v>25.51</v>
      </c>
      <c r="BH4180" s="9">
        <f t="shared" si="585"/>
        <v>698.44</v>
      </c>
      <c r="BI4180" s="9">
        <f t="shared" si="586"/>
        <v>0.7</v>
      </c>
      <c r="BJ4180" s="9">
        <f t="shared" si="587"/>
        <v>2.4500000000000002</v>
      </c>
      <c r="BK4180" s="9">
        <f t="shared" si="588"/>
        <v>7.7</v>
      </c>
      <c r="BL4180" s="9">
        <f t="shared" si="589"/>
        <v>0</v>
      </c>
      <c r="BM4180" s="9">
        <f t="shared" si="590"/>
        <v>0</v>
      </c>
      <c r="BN4180" s="9">
        <f t="shared" si="591"/>
        <v>342.4</v>
      </c>
      <c r="BO4180" s="9">
        <f t="shared" si="592"/>
        <v>7.76</v>
      </c>
      <c r="BP4180" s="9">
        <f t="shared" si="593"/>
        <v>0</v>
      </c>
    </row>
    <row r="4181" spans="1:68">
      <c r="A4181" s="6">
        <v>45324</v>
      </c>
      <c r="B4181" s="7">
        <v>3221</v>
      </c>
      <c r="C4181" s="8">
        <v>615.41999999999996</v>
      </c>
      <c r="D4181" s="8">
        <v>103.35</v>
      </c>
      <c r="E4181" s="8">
        <v>308.77</v>
      </c>
      <c r="F4181" s="8"/>
      <c r="G4181" s="8"/>
      <c r="H4181" s="8"/>
      <c r="I4181" s="8"/>
      <c r="J4181" s="8"/>
      <c r="K4181" s="8"/>
      <c r="L4181" s="8"/>
      <c r="M4181" s="8"/>
      <c r="N4181" s="8"/>
      <c r="O4181" s="8">
        <v>2.06</v>
      </c>
      <c r="P4181" s="8"/>
      <c r="Q4181" s="8"/>
      <c r="R4181" s="8"/>
      <c r="S4181" s="8">
        <v>4.6399999999999997</v>
      </c>
      <c r="T4181" s="8"/>
      <c r="U4181" s="8">
        <v>15.47</v>
      </c>
      <c r="V4181" s="8"/>
      <c r="W4181" s="8"/>
      <c r="X4181" s="8"/>
      <c r="Y4181" s="8"/>
      <c r="Z4181" s="8"/>
      <c r="AA4181" s="8"/>
      <c r="AB4181" s="8">
        <f>408*12.88/1000</f>
        <v>5.2550400000000002</v>
      </c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>
        <f>1229*12.88/1000</f>
        <v>15.82952</v>
      </c>
      <c r="AR4181" s="8"/>
      <c r="AS4181" s="8"/>
      <c r="AT4181" s="8">
        <v>584.62</v>
      </c>
      <c r="AU4181" s="8"/>
      <c r="AV4181" s="8"/>
      <c r="AW4181" s="8">
        <v>35.020000000000003</v>
      </c>
      <c r="AX4181" s="8"/>
      <c r="AY4181" s="8"/>
      <c r="AZ4181" s="8"/>
      <c r="BA4181" s="8"/>
      <c r="BB4181" s="8"/>
      <c r="BC4181" s="8"/>
      <c r="BD4181" s="8"/>
      <c r="BE4181" s="8"/>
      <c r="BF4181" s="8">
        <v>46.41</v>
      </c>
      <c r="BG4181" s="8">
        <v>43.29</v>
      </c>
      <c r="BH4181" s="9">
        <f t="shared" si="585"/>
        <v>1027.54</v>
      </c>
      <c r="BI4181" s="9">
        <f t="shared" si="586"/>
        <v>2.06</v>
      </c>
      <c r="BJ4181" s="9">
        <f t="shared" si="587"/>
        <v>4.6399999999999997</v>
      </c>
      <c r="BK4181" s="9">
        <f t="shared" si="588"/>
        <v>15.47</v>
      </c>
      <c r="BL4181" s="9">
        <f t="shared" si="589"/>
        <v>0</v>
      </c>
      <c r="BM4181" s="9">
        <f t="shared" si="590"/>
        <v>21.08456</v>
      </c>
      <c r="BN4181" s="9">
        <f t="shared" si="591"/>
        <v>584.62</v>
      </c>
      <c r="BO4181" s="9">
        <f t="shared" si="592"/>
        <v>35.020000000000003</v>
      </c>
      <c r="BP4181" s="9">
        <f t="shared" si="593"/>
        <v>46.41</v>
      </c>
    </row>
    <row r="4182" spans="1:68">
      <c r="A4182" s="6">
        <v>45324</v>
      </c>
      <c r="B4182" s="7">
        <v>3200</v>
      </c>
      <c r="C4182" s="8">
        <v>1214.4100000000001</v>
      </c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>
        <v>3.04</v>
      </c>
      <c r="P4182" s="8"/>
      <c r="Q4182" s="8"/>
      <c r="R4182" s="8"/>
      <c r="S4182" s="8">
        <v>4.7300000000000004</v>
      </c>
      <c r="T4182" s="8"/>
      <c r="U4182" s="8">
        <v>18.23</v>
      </c>
      <c r="V4182" s="8"/>
      <c r="W4182" s="8"/>
      <c r="X4182" s="8"/>
      <c r="Y4182" s="8"/>
      <c r="Z4182" s="8"/>
      <c r="AA4182" s="8"/>
      <c r="AB4182" s="8"/>
      <c r="AC4182" s="8"/>
      <c r="AD4182" s="8"/>
      <c r="AE4182" s="8"/>
      <c r="AF4182" s="8">
        <v>60.99</v>
      </c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>
        <f>1525*12.13/1000</f>
        <v>18.498249999999999</v>
      </c>
      <c r="AR4182" s="8"/>
      <c r="AS4182" s="8"/>
      <c r="AT4182" s="8">
        <v>829.47</v>
      </c>
      <c r="AU4182" s="8"/>
      <c r="AV4182" s="8"/>
      <c r="AW4182" s="8">
        <v>3.59</v>
      </c>
      <c r="AX4182" s="8"/>
      <c r="AY4182" s="8"/>
      <c r="AZ4182" s="8"/>
      <c r="BA4182" s="8"/>
      <c r="BB4182" s="8"/>
      <c r="BC4182" s="8"/>
      <c r="BD4182" s="8"/>
      <c r="BE4182" s="8"/>
      <c r="BF4182" s="8">
        <v>58.28</v>
      </c>
      <c r="BG4182" s="8">
        <v>60.23</v>
      </c>
      <c r="BH4182" s="9">
        <f t="shared" si="585"/>
        <v>1214.4100000000001</v>
      </c>
      <c r="BI4182" s="9">
        <f t="shared" si="586"/>
        <v>3.04</v>
      </c>
      <c r="BJ4182" s="9">
        <f t="shared" si="587"/>
        <v>4.7300000000000004</v>
      </c>
      <c r="BK4182" s="9">
        <f t="shared" si="588"/>
        <v>18.23</v>
      </c>
      <c r="BL4182" s="9">
        <f t="shared" si="589"/>
        <v>0</v>
      </c>
      <c r="BM4182" s="9">
        <f t="shared" si="590"/>
        <v>79.488249999999994</v>
      </c>
      <c r="BN4182" s="9">
        <f t="shared" si="591"/>
        <v>829.47</v>
      </c>
      <c r="BO4182" s="9">
        <f t="shared" si="592"/>
        <v>3.59</v>
      </c>
      <c r="BP4182" s="9">
        <f t="shared" si="593"/>
        <v>58.28</v>
      </c>
    </row>
    <row r="4183" spans="1:68">
      <c r="A4183" s="6">
        <v>45324</v>
      </c>
      <c r="B4183" s="7">
        <v>3106</v>
      </c>
      <c r="C4183" s="8">
        <v>6133.23</v>
      </c>
      <c r="D4183" s="8"/>
      <c r="E4183" s="8"/>
      <c r="F4183" s="8"/>
      <c r="G4183" s="8"/>
      <c r="H4183" s="8"/>
      <c r="I4183" s="8"/>
      <c r="J4183" s="8"/>
      <c r="K4183" s="8"/>
      <c r="L4183" s="8"/>
      <c r="M4183" s="8">
        <v>15.34</v>
      </c>
      <c r="N4183" s="8"/>
      <c r="O4183" s="8"/>
      <c r="P4183" s="8"/>
      <c r="Q4183" s="8"/>
      <c r="R4183" s="8"/>
      <c r="S4183" s="8">
        <v>18.45</v>
      </c>
      <c r="T4183" s="8"/>
      <c r="U4183" s="8">
        <v>78.09</v>
      </c>
      <c r="V4183" s="8"/>
      <c r="W4183" s="8"/>
      <c r="X4183" s="8"/>
      <c r="Y4183" s="8"/>
      <c r="Z4183" s="8"/>
      <c r="AA4183" s="8"/>
      <c r="AB4183" s="8"/>
      <c r="AC4183" s="8">
        <v>15.35</v>
      </c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>
        <v>3490.42</v>
      </c>
      <c r="AU4183" s="8"/>
      <c r="AV4183" s="8"/>
      <c r="AW4183" s="8"/>
      <c r="AX4183" s="8">
        <v>7.68</v>
      </c>
      <c r="AY4183" s="8"/>
      <c r="AZ4183" s="8"/>
      <c r="BA4183" s="8"/>
      <c r="BB4183" s="8"/>
      <c r="BC4183" s="8"/>
      <c r="BD4183" s="8"/>
      <c r="BE4183" s="8"/>
      <c r="BF4183" s="8"/>
      <c r="BG4183" s="8">
        <v>263.56</v>
      </c>
      <c r="BH4183" s="9">
        <f t="shared" si="585"/>
        <v>6133.23</v>
      </c>
      <c r="BI4183" s="9">
        <f t="shared" si="586"/>
        <v>15.34</v>
      </c>
      <c r="BJ4183" s="9">
        <f t="shared" si="587"/>
        <v>18.45</v>
      </c>
      <c r="BK4183" s="9">
        <f t="shared" si="588"/>
        <v>78.09</v>
      </c>
      <c r="BL4183" s="9">
        <f t="shared" si="589"/>
        <v>0</v>
      </c>
      <c r="BM4183" s="9">
        <f t="shared" si="590"/>
        <v>15.35</v>
      </c>
      <c r="BN4183" s="9">
        <f t="shared" si="591"/>
        <v>3490.42</v>
      </c>
      <c r="BO4183" s="9">
        <f t="shared" si="592"/>
        <v>7.68</v>
      </c>
      <c r="BP4183" s="9">
        <f t="shared" si="593"/>
        <v>0</v>
      </c>
    </row>
    <row r="4184" spans="1:68">
      <c r="A4184" s="6">
        <v>45324</v>
      </c>
      <c r="B4184" s="7">
        <v>3083</v>
      </c>
      <c r="C4184" s="8"/>
      <c r="D4184" s="8">
        <v>1079.8499999999999</v>
      </c>
      <c r="E4184" s="8"/>
      <c r="F4184" s="8"/>
      <c r="G4184" s="8"/>
      <c r="H4184" s="8"/>
      <c r="I4184" s="8">
        <v>2520.56</v>
      </c>
      <c r="J4184" s="8"/>
      <c r="K4184" s="8"/>
      <c r="L4184" s="8"/>
      <c r="M4184" s="8"/>
      <c r="N4184" s="8">
        <v>23.41</v>
      </c>
      <c r="O4184" s="8"/>
      <c r="P4184" s="8"/>
      <c r="Q4184" s="8"/>
      <c r="R4184" s="8"/>
      <c r="S4184" s="8">
        <v>2.52</v>
      </c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>
        <v>23.41</v>
      </c>
      <c r="AN4184" s="8">
        <f>1924*26.68/1000</f>
        <v>51.332320000000003</v>
      </c>
      <c r="AO4184" s="8"/>
      <c r="AP4184" s="8"/>
      <c r="AQ4184" s="8"/>
      <c r="AR4184" s="8">
        <f>3429*26.68/1000</f>
        <v>91.485720000000001</v>
      </c>
      <c r="AS4184" s="8"/>
      <c r="AT4184" s="8">
        <v>1696.06</v>
      </c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  <c r="BF4184" s="8"/>
      <c r="BG4184" s="8">
        <v>134.32</v>
      </c>
      <c r="BH4184" s="9">
        <f t="shared" si="585"/>
        <v>3600.41</v>
      </c>
      <c r="BI4184" s="9">
        <f t="shared" si="586"/>
        <v>23.41</v>
      </c>
      <c r="BJ4184" s="9">
        <f t="shared" si="587"/>
        <v>2.52</v>
      </c>
      <c r="BK4184" s="9">
        <f t="shared" si="588"/>
        <v>0</v>
      </c>
      <c r="BL4184" s="9">
        <f t="shared" si="589"/>
        <v>0</v>
      </c>
      <c r="BM4184" s="9">
        <f t="shared" si="590"/>
        <v>166.22804000000002</v>
      </c>
      <c r="BN4184" s="9">
        <f t="shared" si="591"/>
        <v>1696.06</v>
      </c>
      <c r="BO4184" s="9">
        <f t="shared" si="592"/>
        <v>0</v>
      </c>
      <c r="BP4184" s="9">
        <f t="shared" si="593"/>
        <v>0</v>
      </c>
    </row>
    <row r="4185" spans="1:68">
      <c r="A4185" s="6">
        <v>45324</v>
      </c>
      <c r="B4185" s="7">
        <v>3023</v>
      </c>
      <c r="C4185" s="8"/>
      <c r="D4185" s="8">
        <v>897.1</v>
      </c>
      <c r="E4185" s="8"/>
      <c r="F4185" s="8"/>
      <c r="G4185" s="8"/>
      <c r="H4185" s="8"/>
      <c r="I4185" s="8">
        <v>483.55</v>
      </c>
      <c r="J4185" s="8"/>
      <c r="K4185" s="8"/>
      <c r="L4185" s="8"/>
      <c r="M4185" s="8"/>
      <c r="N4185" s="8">
        <v>7.23</v>
      </c>
      <c r="O4185" s="8"/>
      <c r="P4185" s="8"/>
      <c r="Q4185" s="8"/>
      <c r="R4185" s="8"/>
      <c r="S4185" s="8">
        <v>2.21</v>
      </c>
      <c r="T4185" s="8"/>
      <c r="U4185" s="8"/>
      <c r="V4185" s="8"/>
      <c r="W4185" s="8">
        <v>12.41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>
        <v>13.78</v>
      </c>
      <c r="AN4185" s="8">
        <f>1017*9.5/1000</f>
        <v>9.6615000000000002</v>
      </c>
      <c r="AO4185" s="8"/>
      <c r="AP4185" s="8"/>
      <c r="AQ4185" s="8"/>
      <c r="AR4185" s="8"/>
      <c r="AS4185" s="8">
        <f>4765*9.5/1000</f>
        <v>45.267499999999998</v>
      </c>
      <c r="AT4185" s="8">
        <v>565.49</v>
      </c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  <c r="BF4185" s="8"/>
      <c r="BG4185" s="8">
        <v>42.76</v>
      </c>
      <c r="BH4185" s="9">
        <f t="shared" si="585"/>
        <v>1380.65</v>
      </c>
      <c r="BI4185" s="9">
        <f t="shared" si="586"/>
        <v>7.23</v>
      </c>
      <c r="BJ4185" s="9">
        <f t="shared" si="587"/>
        <v>2.21</v>
      </c>
      <c r="BK4185" s="9">
        <f t="shared" si="588"/>
        <v>12.41</v>
      </c>
      <c r="BL4185" s="9">
        <f t="shared" si="589"/>
        <v>0</v>
      </c>
      <c r="BM4185" s="9">
        <f t="shared" si="590"/>
        <v>68.709000000000003</v>
      </c>
      <c r="BN4185" s="9">
        <f t="shared" si="591"/>
        <v>565.49</v>
      </c>
      <c r="BO4185" s="9">
        <f t="shared" si="592"/>
        <v>0</v>
      </c>
      <c r="BP4185" s="9">
        <f t="shared" si="593"/>
        <v>0</v>
      </c>
    </row>
    <row r="4186" spans="1:68">
      <c r="A4186" s="6">
        <v>45324</v>
      </c>
      <c r="B4186" s="7">
        <v>3025</v>
      </c>
      <c r="C4186" s="8"/>
      <c r="D4186" s="8">
        <v>214.84</v>
      </c>
      <c r="E4186" s="8"/>
      <c r="F4186" s="8"/>
      <c r="G4186" s="8"/>
      <c r="H4186" s="8"/>
      <c r="I4186" s="8">
        <v>1197.92</v>
      </c>
      <c r="J4186" s="8"/>
      <c r="K4186" s="8"/>
      <c r="L4186" s="8"/>
      <c r="M4186" s="8"/>
      <c r="N4186" s="8">
        <v>7.9</v>
      </c>
      <c r="O4186" s="8"/>
      <c r="P4186" s="8"/>
      <c r="Q4186" s="8"/>
      <c r="R4186" s="8"/>
      <c r="S4186" s="8">
        <v>2.25</v>
      </c>
      <c r="T4186" s="8"/>
      <c r="U4186" s="8"/>
      <c r="V4186" s="8"/>
      <c r="W4186" s="8">
        <v>12.71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>
        <v>14.11</v>
      </c>
      <c r="AN4186" s="8">
        <f>718*14.12/1000</f>
        <v>10.138159999999999</v>
      </c>
      <c r="AO4186" s="8"/>
      <c r="AP4186" s="8"/>
      <c r="AQ4186" s="8"/>
      <c r="AR4186" s="8"/>
      <c r="AS4186" s="8">
        <f>3325*14.12/1000</f>
        <v>46.948999999999998</v>
      </c>
      <c r="AT4186" s="8">
        <v>488.21</v>
      </c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  <c r="BF4186" s="8"/>
      <c r="BG4186" s="8">
        <v>32.46</v>
      </c>
      <c r="BH4186" s="9">
        <f t="shared" si="585"/>
        <v>1412.76</v>
      </c>
      <c r="BI4186" s="9">
        <f t="shared" si="586"/>
        <v>7.9</v>
      </c>
      <c r="BJ4186" s="9">
        <f t="shared" si="587"/>
        <v>2.25</v>
      </c>
      <c r="BK4186" s="9">
        <f t="shared" si="588"/>
        <v>12.71</v>
      </c>
      <c r="BL4186" s="9">
        <f t="shared" si="589"/>
        <v>0</v>
      </c>
      <c r="BM4186" s="9">
        <f t="shared" si="590"/>
        <v>71.197159999999997</v>
      </c>
      <c r="BN4186" s="9">
        <f t="shared" si="591"/>
        <v>488.21</v>
      </c>
      <c r="BO4186" s="9">
        <f t="shared" si="592"/>
        <v>0</v>
      </c>
      <c r="BP4186" s="9">
        <f t="shared" si="593"/>
        <v>0</v>
      </c>
    </row>
    <row r="4187" spans="1:68">
      <c r="A4187" s="6">
        <v>45324</v>
      </c>
      <c r="B4187" s="7">
        <v>3602</v>
      </c>
      <c r="C4187" s="8">
        <v>580.42999999999995</v>
      </c>
      <c r="D4187" s="8"/>
      <c r="E4187" s="8"/>
      <c r="F4187" s="8"/>
      <c r="G4187" s="8">
        <v>870.29</v>
      </c>
      <c r="H4187" s="8"/>
      <c r="I4187" s="8"/>
      <c r="J4187" s="8"/>
      <c r="K4187" s="8"/>
      <c r="L4187" s="8"/>
      <c r="M4187" s="8">
        <v>1.76</v>
      </c>
      <c r="N4187" s="8"/>
      <c r="O4187" s="8"/>
      <c r="P4187" s="8"/>
      <c r="Q4187" s="8"/>
      <c r="R4187" s="8"/>
      <c r="S4187" s="8">
        <v>6.95</v>
      </c>
      <c r="T4187" s="8"/>
      <c r="U4187" s="8">
        <v>11.61</v>
      </c>
      <c r="V4187" s="8">
        <f>863*16.58/1000</f>
        <v>14.308539999999999</v>
      </c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>
        <v>585.42999999999995</v>
      </c>
      <c r="AU4187" s="8"/>
      <c r="AV4187" s="8"/>
      <c r="AW4187" s="8">
        <v>37.5</v>
      </c>
      <c r="AX4187" s="8"/>
      <c r="AY4187" s="8"/>
      <c r="AZ4187" s="8"/>
      <c r="BA4187" s="8"/>
      <c r="BB4187" s="8"/>
      <c r="BC4187" s="8"/>
      <c r="BD4187" s="8"/>
      <c r="BE4187" s="8"/>
      <c r="BF4187" s="8">
        <v>46.5</v>
      </c>
      <c r="BG4187" s="8">
        <v>43.44</v>
      </c>
      <c r="BH4187" s="9">
        <f t="shared" si="585"/>
        <v>1450.7199999999998</v>
      </c>
      <c r="BI4187" s="9">
        <f t="shared" si="586"/>
        <v>1.76</v>
      </c>
      <c r="BJ4187" s="9">
        <f t="shared" si="587"/>
        <v>6.95</v>
      </c>
      <c r="BK4187" s="9">
        <f t="shared" si="588"/>
        <v>25.91854</v>
      </c>
      <c r="BL4187" s="9">
        <f t="shared" si="589"/>
        <v>0</v>
      </c>
      <c r="BM4187" s="9">
        <f t="shared" si="590"/>
        <v>0</v>
      </c>
      <c r="BN4187" s="9">
        <f t="shared" si="591"/>
        <v>585.42999999999995</v>
      </c>
      <c r="BO4187" s="9">
        <f t="shared" si="592"/>
        <v>37.5</v>
      </c>
      <c r="BP4187" s="9">
        <f t="shared" si="593"/>
        <v>46.5</v>
      </c>
    </row>
    <row r="4188" spans="1:68">
      <c r="A4188" s="6">
        <v>45324</v>
      </c>
      <c r="B4188" s="7">
        <v>3149</v>
      </c>
      <c r="C4188" s="8">
        <v>681.58</v>
      </c>
      <c r="D4188" s="8">
        <v>120.26</v>
      </c>
      <c r="E4188" s="8"/>
      <c r="F4188" s="8"/>
      <c r="G4188" s="8"/>
      <c r="H4188" s="8"/>
      <c r="I4188" s="8"/>
      <c r="J4188" s="8"/>
      <c r="K4188" s="8"/>
      <c r="L4188" s="8"/>
      <c r="M4188" s="8">
        <v>2.59</v>
      </c>
      <c r="N4188" s="8"/>
      <c r="O4188" s="8"/>
      <c r="P4188" s="8"/>
      <c r="Q4188" s="8"/>
      <c r="R4188" s="8"/>
      <c r="S4188" s="8">
        <v>3.77</v>
      </c>
      <c r="T4188" s="8"/>
      <c r="U4188" s="8">
        <v>12.04</v>
      </c>
      <c r="V4188" s="8"/>
      <c r="W4188" s="8"/>
      <c r="X4188" s="8"/>
      <c r="Y4188" s="8"/>
      <c r="Z4188" s="8"/>
      <c r="AA4188" s="8"/>
      <c r="AB4188" s="8"/>
      <c r="AC4188" s="8">
        <v>3.21</v>
      </c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>
        <v>525.36</v>
      </c>
      <c r="AU4188" s="8"/>
      <c r="AV4188" s="8"/>
      <c r="AW4188" s="8">
        <v>25.92</v>
      </c>
      <c r="AX4188" s="8"/>
      <c r="AY4188" s="8"/>
      <c r="AZ4188" s="8"/>
      <c r="BA4188" s="8"/>
      <c r="BB4188" s="8"/>
      <c r="BC4188" s="10"/>
      <c r="BD4188" s="8"/>
      <c r="BE4188" s="8"/>
      <c r="BF4188" s="8">
        <v>56.18</v>
      </c>
      <c r="BG4188" s="8">
        <v>41.63</v>
      </c>
      <c r="BH4188" s="9">
        <f t="shared" si="585"/>
        <v>801.84</v>
      </c>
      <c r="BI4188" s="9">
        <f t="shared" si="586"/>
        <v>2.59</v>
      </c>
      <c r="BJ4188" s="9">
        <f t="shared" si="587"/>
        <v>3.77</v>
      </c>
      <c r="BK4188" s="9">
        <f t="shared" si="588"/>
        <v>12.04</v>
      </c>
      <c r="BL4188" s="9">
        <f t="shared" si="589"/>
        <v>0</v>
      </c>
      <c r="BM4188" s="9">
        <f t="shared" si="590"/>
        <v>3.21</v>
      </c>
      <c r="BN4188" s="9">
        <f t="shared" si="591"/>
        <v>525.36</v>
      </c>
      <c r="BO4188" s="9">
        <f t="shared" si="592"/>
        <v>25.92</v>
      </c>
      <c r="BP4188" s="9">
        <f t="shared" si="593"/>
        <v>56.18</v>
      </c>
    </row>
    <row r="4189" spans="1:68">
      <c r="A4189" s="6">
        <v>45327</v>
      </c>
      <c r="B4189" s="7">
        <v>3139</v>
      </c>
      <c r="C4189" s="8">
        <v>1087.18</v>
      </c>
      <c r="D4189" s="8"/>
      <c r="E4189" s="8"/>
      <c r="F4189" s="8"/>
      <c r="G4189" s="8"/>
      <c r="H4189" s="8">
        <v>451.61</v>
      </c>
      <c r="I4189" s="8"/>
      <c r="J4189" s="8"/>
      <c r="K4189" s="8"/>
      <c r="L4189" s="8"/>
      <c r="M4189" s="8">
        <v>2.5299999999999998</v>
      </c>
      <c r="N4189" s="8"/>
      <c r="O4189" s="8"/>
      <c r="P4189" s="8"/>
      <c r="Q4189" s="8"/>
      <c r="R4189" s="8"/>
      <c r="S4189" s="8">
        <v>4.8</v>
      </c>
      <c r="T4189" s="8"/>
      <c r="U4189" s="8">
        <v>16.05</v>
      </c>
      <c r="V4189" s="8"/>
      <c r="W4189" s="8"/>
      <c r="X4189" s="8"/>
      <c r="Y4189" s="8"/>
      <c r="Z4189" s="8"/>
      <c r="AA4189" s="8"/>
      <c r="AB4189" s="8"/>
      <c r="AC4189" s="8">
        <v>5.33</v>
      </c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>
        <v>787.94</v>
      </c>
      <c r="AU4189" s="8"/>
      <c r="AV4189" s="8">
        <v>26.66</v>
      </c>
      <c r="AW4189" s="8"/>
      <c r="AX4189" s="8"/>
      <c r="AY4189" s="8"/>
      <c r="AZ4189" s="8"/>
      <c r="BA4189" s="8"/>
      <c r="BB4189" s="8"/>
      <c r="BC4189" s="8"/>
      <c r="BD4189" s="8"/>
      <c r="BE4189" s="8"/>
      <c r="BF4189" s="8"/>
      <c r="BG4189" s="8">
        <v>57.35</v>
      </c>
      <c r="BH4189" s="9">
        <f t="shared" si="585"/>
        <v>1538.79</v>
      </c>
      <c r="BI4189" s="9">
        <f t="shared" si="586"/>
        <v>2.5299999999999998</v>
      </c>
      <c r="BJ4189" s="9">
        <f t="shared" si="587"/>
        <v>4.8</v>
      </c>
      <c r="BK4189" s="9">
        <f t="shared" si="588"/>
        <v>16.05</v>
      </c>
      <c r="BL4189" s="9">
        <f t="shared" si="589"/>
        <v>0</v>
      </c>
      <c r="BM4189" s="9">
        <f t="shared" si="590"/>
        <v>5.33</v>
      </c>
      <c r="BN4189" s="9">
        <f t="shared" si="591"/>
        <v>787.94</v>
      </c>
      <c r="BO4189" s="9">
        <f t="shared" si="592"/>
        <v>26.66</v>
      </c>
      <c r="BP4189" s="9">
        <f t="shared" si="593"/>
        <v>0</v>
      </c>
    </row>
    <row r="4190" spans="1:68">
      <c r="A4190" s="6">
        <v>45327</v>
      </c>
      <c r="B4190" s="7">
        <v>8333</v>
      </c>
      <c r="C4190" s="8">
        <v>680.27</v>
      </c>
      <c r="D4190" s="8">
        <v>120.5</v>
      </c>
      <c r="E4190" s="8"/>
      <c r="F4190" s="8"/>
      <c r="G4190" s="8"/>
      <c r="H4190" s="8"/>
      <c r="I4190" s="8"/>
      <c r="J4190" s="8"/>
      <c r="K4190" s="8"/>
      <c r="L4190" s="8"/>
      <c r="M4190" s="8">
        <v>2.42</v>
      </c>
      <c r="N4190" s="8"/>
      <c r="O4190" s="8"/>
      <c r="P4190" s="8"/>
      <c r="Q4190" s="8"/>
      <c r="R4190" s="8"/>
      <c r="S4190" s="8">
        <v>3.76</v>
      </c>
      <c r="T4190" s="8"/>
      <c r="U4190" s="8">
        <v>12.02</v>
      </c>
      <c r="V4190" s="8"/>
      <c r="W4190" s="8"/>
      <c r="X4190" s="8"/>
      <c r="Y4190" s="8"/>
      <c r="Z4190" s="8"/>
      <c r="AA4190" s="8"/>
      <c r="AB4190" s="8"/>
      <c r="AC4190" s="8">
        <v>3.2</v>
      </c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>
        <v>527.19000000000005</v>
      </c>
      <c r="AU4190" s="8"/>
      <c r="AV4190" s="8"/>
      <c r="AW4190" s="8"/>
      <c r="AX4190" s="8"/>
      <c r="AY4190" s="8"/>
      <c r="AZ4190" s="8"/>
      <c r="BA4190" s="8"/>
      <c r="BB4190" s="8"/>
      <c r="BC4190" s="8">
        <v>1.4</v>
      </c>
      <c r="BD4190" s="8"/>
      <c r="BE4190" s="8"/>
      <c r="BF4190" s="8">
        <v>56.12</v>
      </c>
      <c r="BG4190" s="8">
        <v>41.68</v>
      </c>
      <c r="BH4190" s="9">
        <f t="shared" si="585"/>
        <v>800.77</v>
      </c>
      <c r="BI4190" s="9">
        <f t="shared" si="586"/>
        <v>2.42</v>
      </c>
      <c r="BJ4190" s="9">
        <f t="shared" si="587"/>
        <v>3.76</v>
      </c>
      <c r="BK4190" s="9">
        <f t="shared" si="588"/>
        <v>12.02</v>
      </c>
      <c r="BL4190" s="9">
        <f t="shared" si="589"/>
        <v>0</v>
      </c>
      <c r="BM4190" s="9">
        <f t="shared" si="590"/>
        <v>3.2</v>
      </c>
      <c r="BN4190" s="9">
        <f t="shared" si="591"/>
        <v>527.19000000000005</v>
      </c>
      <c r="BO4190" s="9">
        <f t="shared" si="592"/>
        <v>1.4</v>
      </c>
      <c r="BP4190" s="9">
        <f t="shared" si="593"/>
        <v>56.12</v>
      </c>
    </row>
    <row r="4191" spans="1:68">
      <c r="A4191" s="6">
        <v>45327</v>
      </c>
      <c r="B4191" s="7">
        <v>3703</v>
      </c>
      <c r="C4191" s="8">
        <v>497.88</v>
      </c>
      <c r="D4191" s="8">
        <v>329.94</v>
      </c>
      <c r="E4191" s="8"/>
      <c r="F4191" s="8"/>
      <c r="G4191" s="8"/>
      <c r="H4191" s="8"/>
      <c r="I4191" s="8"/>
      <c r="J4191" s="8"/>
      <c r="K4191" s="8"/>
      <c r="L4191" s="8"/>
      <c r="M4191" s="8">
        <v>1.65</v>
      </c>
      <c r="N4191" s="8"/>
      <c r="O4191" s="8"/>
      <c r="P4191" s="8"/>
      <c r="Q4191" s="8"/>
      <c r="R4191" s="8"/>
      <c r="S4191" s="8">
        <v>4.05</v>
      </c>
      <c r="T4191" s="8"/>
      <c r="U4191" s="8">
        <v>6.61</v>
      </c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>
        <v>8.25</v>
      </c>
      <c r="AN4191" s="8"/>
      <c r="AO4191" s="8"/>
      <c r="AP4191" s="8"/>
      <c r="AQ4191" s="8"/>
      <c r="AR4191" s="8"/>
      <c r="AS4191" s="8"/>
      <c r="AT4191" s="8">
        <v>200.16</v>
      </c>
      <c r="AU4191" s="8">
        <v>100.04</v>
      </c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  <c r="BF4191" s="8"/>
      <c r="BG4191" s="8">
        <v>21.07</v>
      </c>
      <c r="BH4191" s="9">
        <f t="shared" si="585"/>
        <v>827.81999999999994</v>
      </c>
      <c r="BI4191" s="9">
        <f t="shared" si="586"/>
        <v>1.65</v>
      </c>
      <c r="BJ4191" s="9">
        <f t="shared" si="587"/>
        <v>4.05</v>
      </c>
      <c r="BK4191" s="9">
        <f t="shared" si="588"/>
        <v>6.61</v>
      </c>
      <c r="BL4191" s="9">
        <f t="shared" si="589"/>
        <v>0</v>
      </c>
      <c r="BM4191" s="9">
        <f t="shared" si="590"/>
        <v>8.25</v>
      </c>
      <c r="BN4191" s="9">
        <f t="shared" si="591"/>
        <v>300.2</v>
      </c>
      <c r="BO4191" s="9">
        <f t="shared" si="592"/>
        <v>0</v>
      </c>
      <c r="BP4191" s="9">
        <f t="shared" si="593"/>
        <v>0</v>
      </c>
    </row>
    <row r="4192" spans="1:68">
      <c r="A4192" s="6">
        <v>45327</v>
      </c>
      <c r="B4192" s="7">
        <v>3206</v>
      </c>
      <c r="C4192" s="8">
        <v>156.96</v>
      </c>
      <c r="D4192" s="8">
        <v>284.44</v>
      </c>
      <c r="E4192" s="8">
        <v>189.47</v>
      </c>
      <c r="F4192" s="8"/>
      <c r="G4192" s="8"/>
      <c r="H4192" s="8"/>
      <c r="I4192" s="8"/>
      <c r="J4192" s="8"/>
      <c r="K4192" s="8"/>
      <c r="L4192" s="8"/>
      <c r="M4192" s="8"/>
      <c r="N4192" s="8"/>
      <c r="O4192" s="8">
        <v>1.27</v>
      </c>
      <c r="P4192" s="8"/>
      <c r="Q4192" s="8"/>
      <c r="R4192" s="8"/>
      <c r="S4192" s="8">
        <v>3.16</v>
      </c>
      <c r="T4192" s="8"/>
      <c r="U4192" s="8">
        <v>2.2200000000000002</v>
      </c>
      <c r="V4192" s="8"/>
      <c r="W4192" s="8"/>
      <c r="X4192" s="8"/>
      <c r="Y4192" s="8"/>
      <c r="Z4192" s="8">
        <v>37.99</v>
      </c>
      <c r="AA4192" s="8"/>
      <c r="AB4192" s="8">
        <f>822*3.95/1000</f>
        <v>3.2469000000000001</v>
      </c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>
        <v>111.19</v>
      </c>
      <c r="AU4192" s="8">
        <v>55.34</v>
      </c>
      <c r="AV4192" s="8"/>
      <c r="AW4192" s="8">
        <v>2.4</v>
      </c>
      <c r="AX4192" s="8"/>
      <c r="AY4192" s="8"/>
      <c r="AZ4192" s="8"/>
      <c r="BA4192" s="8"/>
      <c r="BB4192" s="8"/>
      <c r="BC4192" s="8"/>
      <c r="BD4192" s="8"/>
      <c r="BE4192" s="8"/>
      <c r="BF4192" s="8"/>
      <c r="BG4192" s="8">
        <v>11.07</v>
      </c>
      <c r="BH4192" s="9">
        <f t="shared" si="585"/>
        <v>630.87</v>
      </c>
      <c r="BI4192" s="9">
        <f t="shared" si="586"/>
        <v>1.27</v>
      </c>
      <c r="BJ4192" s="9">
        <f t="shared" si="587"/>
        <v>3.16</v>
      </c>
      <c r="BK4192" s="9">
        <f t="shared" si="588"/>
        <v>2.2200000000000002</v>
      </c>
      <c r="BL4192" s="9">
        <f t="shared" si="589"/>
        <v>37.99</v>
      </c>
      <c r="BM4192" s="9">
        <f t="shared" si="590"/>
        <v>3.2469000000000001</v>
      </c>
      <c r="BN4192" s="9">
        <f t="shared" si="591"/>
        <v>166.53</v>
      </c>
      <c r="BO4192" s="9">
        <f t="shared" si="592"/>
        <v>2.4</v>
      </c>
      <c r="BP4192" s="9">
        <f t="shared" si="593"/>
        <v>0</v>
      </c>
    </row>
    <row r="4193" spans="1:68">
      <c r="A4193" s="6">
        <v>45327</v>
      </c>
      <c r="B4193" s="7">
        <v>3203</v>
      </c>
      <c r="C4193" s="8">
        <v>893.34</v>
      </c>
      <c r="D4193" s="8"/>
      <c r="E4193" s="8">
        <v>382.67</v>
      </c>
      <c r="F4193" s="8"/>
      <c r="G4193" s="8"/>
      <c r="H4193" s="8"/>
      <c r="I4193" s="8"/>
      <c r="J4193" s="8"/>
      <c r="K4193" s="8"/>
      <c r="L4193" s="8"/>
      <c r="M4193" s="8"/>
      <c r="N4193" s="8"/>
      <c r="O4193" s="8">
        <v>3.83</v>
      </c>
      <c r="P4193" s="8"/>
      <c r="Q4193" s="8"/>
      <c r="R4193" s="8"/>
      <c r="S4193" s="8">
        <v>5.24</v>
      </c>
      <c r="T4193" s="8"/>
      <c r="U4193" s="8">
        <v>15.83</v>
      </c>
      <c r="V4193" s="8"/>
      <c r="W4193" s="8"/>
      <c r="X4193" s="8"/>
      <c r="Y4193" s="8"/>
      <c r="Z4193" s="8">
        <v>201.15</v>
      </c>
      <c r="AA4193" s="8">
        <f>10582*15.02/1000</f>
        <v>158.94163999999998</v>
      </c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>
        <v>476.55</v>
      </c>
      <c r="AU4193" s="8">
        <v>238.79</v>
      </c>
      <c r="AV4193" s="8"/>
      <c r="AW4193" s="8"/>
      <c r="AX4193" s="8"/>
      <c r="AY4193" s="8"/>
      <c r="AZ4193" s="8"/>
      <c r="BA4193" s="8"/>
      <c r="BB4193" s="8"/>
      <c r="BC4193" s="8">
        <v>3.32</v>
      </c>
      <c r="BD4193" s="8"/>
      <c r="BE4193" s="8"/>
      <c r="BF4193" s="8"/>
      <c r="BG4193" s="8">
        <v>46.63</v>
      </c>
      <c r="BH4193" s="9">
        <f t="shared" si="585"/>
        <v>1276.01</v>
      </c>
      <c r="BI4193" s="9">
        <f t="shared" si="586"/>
        <v>3.83</v>
      </c>
      <c r="BJ4193" s="9">
        <f t="shared" si="587"/>
        <v>5.24</v>
      </c>
      <c r="BK4193" s="9">
        <f t="shared" si="588"/>
        <v>15.83</v>
      </c>
      <c r="BL4193" s="9">
        <f t="shared" si="589"/>
        <v>360.09163999999998</v>
      </c>
      <c r="BM4193" s="9">
        <f t="shared" si="590"/>
        <v>0</v>
      </c>
      <c r="BN4193" s="9">
        <f t="shared" si="591"/>
        <v>715.34</v>
      </c>
      <c r="BO4193" s="9">
        <f t="shared" si="592"/>
        <v>3.32</v>
      </c>
      <c r="BP4193" s="9">
        <f t="shared" si="593"/>
        <v>0</v>
      </c>
    </row>
    <row r="4194" spans="1:68">
      <c r="A4194" s="6">
        <v>45327</v>
      </c>
      <c r="B4194" s="7">
        <v>3016</v>
      </c>
      <c r="C4194" s="8"/>
      <c r="D4194" s="8">
        <v>2361.4299999999998</v>
      </c>
      <c r="E4194" s="8"/>
      <c r="F4194" s="8"/>
      <c r="G4194" s="8"/>
      <c r="H4194" s="8"/>
      <c r="I4194" s="8">
        <v>2177.0700000000002</v>
      </c>
      <c r="J4194" s="8"/>
      <c r="K4194" s="8"/>
      <c r="L4194" s="8"/>
      <c r="M4194" s="8"/>
      <c r="N4194" s="8">
        <v>28.6</v>
      </c>
      <c r="O4194" s="8"/>
      <c r="P4194" s="8"/>
      <c r="Q4194" s="11"/>
      <c r="R4194" s="11"/>
      <c r="S4194" s="8">
        <v>3.18</v>
      </c>
      <c r="T4194" s="8"/>
      <c r="U4194" s="8"/>
      <c r="V4194" s="8"/>
      <c r="W4194" s="8">
        <v>45.42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>
        <v>18.149999999999999</v>
      </c>
      <c r="AN4194" s="8">
        <f>2049*26.7/1000</f>
        <v>54.708299999999994</v>
      </c>
      <c r="AO4194" s="8"/>
      <c r="AP4194" s="11"/>
      <c r="AQ4194" s="8"/>
      <c r="AR4194" s="8">
        <f>4323*26.7/1000</f>
        <v>115.4241</v>
      </c>
      <c r="AS4194" s="8"/>
      <c r="AT4194" s="8">
        <v>1688.48</v>
      </c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  <c r="BF4194" s="8"/>
      <c r="BG4194" s="8">
        <v>123.59</v>
      </c>
      <c r="BH4194" s="9">
        <f t="shared" si="585"/>
        <v>4538.5</v>
      </c>
      <c r="BI4194" s="9">
        <f t="shared" si="586"/>
        <v>28.6</v>
      </c>
      <c r="BJ4194" s="9">
        <f t="shared" si="587"/>
        <v>3.18</v>
      </c>
      <c r="BK4194" s="9">
        <f t="shared" si="588"/>
        <v>45.42</v>
      </c>
      <c r="BL4194" s="9">
        <f t="shared" si="589"/>
        <v>0</v>
      </c>
      <c r="BM4194" s="9">
        <f t="shared" si="590"/>
        <v>188.2824</v>
      </c>
      <c r="BN4194" s="9">
        <f t="shared" si="591"/>
        <v>1688.48</v>
      </c>
      <c r="BO4194" s="9">
        <f t="shared" si="592"/>
        <v>0</v>
      </c>
      <c r="BP4194" s="9">
        <f t="shared" si="593"/>
        <v>0</v>
      </c>
    </row>
    <row r="4195" spans="1:68">
      <c r="A4195" s="6">
        <v>45328</v>
      </c>
      <c r="B4195" s="7">
        <v>3141</v>
      </c>
      <c r="C4195" s="8">
        <v>1231.25</v>
      </c>
      <c r="D4195" s="8">
        <v>216.56</v>
      </c>
      <c r="E4195" s="8"/>
      <c r="F4195" s="8"/>
      <c r="G4195" s="8"/>
      <c r="H4195" s="8"/>
      <c r="I4195" s="8"/>
      <c r="J4195" s="8"/>
      <c r="K4195" s="8"/>
      <c r="L4195" s="8"/>
      <c r="M4195" s="8">
        <v>4.21</v>
      </c>
      <c r="N4195" s="8"/>
      <c r="O4195" s="8"/>
      <c r="P4195" s="8"/>
      <c r="Q4195" s="8"/>
      <c r="R4195" s="8"/>
      <c r="S4195" s="8">
        <v>6.84</v>
      </c>
      <c r="T4195" s="8"/>
      <c r="U4195" s="8">
        <v>21.84</v>
      </c>
      <c r="V4195" s="8"/>
      <c r="W4195" s="8"/>
      <c r="X4195" s="8"/>
      <c r="Y4195" s="8"/>
      <c r="Z4195" s="8"/>
      <c r="AA4195" s="8"/>
      <c r="AB4195" s="8"/>
      <c r="AC4195" s="8">
        <v>5.82</v>
      </c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>
        <v>953.54</v>
      </c>
      <c r="AU4195" s="8"/>
      <c r="AV4195" s="8"/>
      <c r="AW4195" s="8"/>
      <c r="AX4195" s="8"/>
      <c r="AY4195" s="8"/>
      <c r="AZ4195" s="8"/>
      <c r="BA4195" s="8">
        <v>33.35</v>
      </c>
      <c r="BB4195" s="8"/>
      <c r="BC4195" s="8"/>
      <c r="BD4195" s="8"/>
      <c r="BE4195" s="8"/>
      <c r="BF4195" s="8">
        <v>101.91</v>
      </c>
      <c r="BG4195" s="8">
        <v>75.680000000000007</v>
      </c>
      <c r="BH4195" s="9">
        <f t="shared" si="585"/>
        <v>1447.81</v>
      </c>
      <c r="BI4195" s="9">
        <f t="shared" si="586"/>
        <v>4.21</v>
      </c>
      <c r="BJ4195" s="9">
        <f t="shared" si="587"/>
        <v>6.84</v>
      </c>
      <c r="BK4195" s="9">
        <f t="shared" si="588"/>
        <v>21.84</v>
      </c>
      <c r="BL4195" s="9">
        <f t="shared" si="589"/>
        <v>0</v>
      </c>
      <c r="BM4195" s="9">
        <f t="shared" si="590"/>
        <v>5.82</v>
      </c>
      <c r="BN4195" s="9">
        <f t="shared" si="591"/>
        <v>953.54</v>
      </c>
      <c r="BO4195" s="9">
        <f t="shared" si="592"/>
        <v>33.35</v>
      </c>
      <c r="BP4195" s="9">
        <f t="shared" si="593"/>
        <v>101.91</v>
      </c>
    </row>
    <row r="4196" spans="1:68">
      <c r="A4196" s="6">
        <v>45328</v>
      </c>
      <c r="B4196" s="7">
        <v>3106</v>
      </c>
      <c r="C4196" s="8">
        <v>4081.27</v>
      </c>
      <c r="D4196" s="8"/>
      <c r="E4196" s="8"/>
      <c r="F4196" s="8"/>
      <c r="G4196" s="8"/>
      <c r="H4196" s="8"/>
      <c r="I4196" s="8"/>
      <c r="J4196" s="8"/>
      <c r="K4196" s="8"/>
      <c r="L4196" s="8"/>
      <c r="M4196" s="8">
        <v>10.210000000000001</v>
      </c>
      <c r="N4196" s="8"/>
      <c r="O4196" s="8"/>
      <c r="P4196" s="8"/>
      <c r="Q4196" s="8"/>
      <c r="R4196" s="8"/>
      <c r="S4196" s="8">
        <v>12.3</v>
      </c>
      <c r="T4196" s="8"/>
      <c r="U4196" s="8">
        <v>52.02</v>
      </c>
      <c r="V4196" s="8"/>
      <c r="W4196" s="8"/>
      <c r="X4196" s="8"/>
      <c r="Y4196" s="8"/>
      <c r="Z4196" s="8"/>
      <c r="AA4196" s="8"/>
      <c r="AB4196" s="8"/>
      <c r="AC4196" s="8">
        <v>10.220000000000001</v>
      </c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>
        <v>2328.9899999999998</v>
      </c>
      <c r="AU4196" s="8"/>
      <c r="AV4196" s="8"/>
      <c r="AW4196" s="8"/>
      <c r="AX4196" s="8">
        <v>5.1100000000000003</v>
      </c>
      <c r="AY4196" s="8"/>
      <c r="AZ4196" s="8"/>
      <c r="BA4196" s="8"/>
      <c r="BB4196" s="8"/>
      <c r="BC4196" s="8"/>
      <c r="BD4196" s="8"/>
      <c r="BE4196" s="8"/>
      <c r="BF4196" s="8"/>
      <c r="BG4196" s="8">
        <v>175.86</v>
      </c>
      <c r="BH4196" s="9">
        <f t="shared" si="585"/>
        <v>4081.27</v>
      </c>
      <c r="BI4196" s="9">
        <f t="shared" si="586"/>
        <v>10.210000000000001</v>
      </c>
      <c r="BJ4196" s="9">
        <f t="shared" si="587"/>
        <v>12.3</v>
      </c>
      <c r="BK4196" s="9">
        <f t="shared" si="588"/>
        <v>52.02</v>
      </c>
      <c r="BL4196" s="9">
        <f t="shared" si="589"/>
        <v>0</v>
      </c>
      <c r="BM4196" s="9">
        <f t="shared" si="590"/>
        <v>10.220000000000001</v>
      </c>
      <c r="BN4196" s="9">
        <f t="shared" si="591"/>
        <v>2328.9899999999998</v>
      </c>
      <c r="BO4196" s="9">
        <f t="shared" si="592"/>
        <v>5.1100000000000003</v>
      </c>
      <c r="BP4196" s="9">
        <f t="shared" si="593"/>
        <v>0</v>
      </c>
    </row>
    <row r="4197" spans="1:68">
      <c r="A4197" s="6">
        <v>45328</v>
      </c>
      <c r="B4197" s="7">
        <v>3119</v>
      </c>
      <c r="C4197" s="8">
        <v>1366.87</v>
      </c>
      <c r="D4197" s="8"/>
      <c r="E4197" s="8"/>
      <c r="F4197" s="8"/>
      <c r="G4197" s="8"/>
      <c r="H4197" s="8"/>
      <c r="I4197" s="8"/>
      <c r="J4197" s="8"/>
      <c r="K4197" s="8"/>
      <c r="L4197" s="8"/>
      <c r="M4197" s="8">
        <v>4.3600000000000003</v>
      </c>
      <c r="N4197" s="8"/>
      <c r="O4197" s="8"/>
      <c r="P4197" s="8"/>
      <c r="Q4197" s="8"/>
      <c r="R4197" s="8"/>
      <c r="S4197" s="8">
        <v>6.29</v>
      </c>
      <c r="T4197" s="8"/>
      <c r="U4197" s="8">
        <v>13.71</v>
      </c>
      <c r="V4197" s="8"/>
      <c r="W4197" s="8"/>
      <c r="X4197" s="8"/>
      <c r="Y4197" s="8"/>
      <c r="Z4197" s="8"/>
      <c r="AA4197" s="8"/>
      <c r="AB4197" s="8"/>
      <c r="AC4197" s="8">
        <v>3.42</v>
      </c>
      <c r="AD4197" s="8"/>
      <c r="AE4197" s="8"/>
      <c r="AF4197" s="8"/>
      <c r="AG4197" s="8">
        <v>4.12</v>
      </c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>
        <v>513.48</v>
      </c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8">
        <v>95.81</v>
      </c>
      <c r="BG4197" s="8">
        <v>36.44</v>
      </c>
      <c r="BH4197" s="9">
        <f t="shared" si="585"/>
        <v>1366.87</v>
      </c>
      <c r="BI4197" s="9">
        <f t="shared" si="586"/>
        <v>4.3600000000000003</v>
      </c>
      <c r="BJ4197" s="9">
        <f t="shared" si="587"/>
        <v>6.29</v>
      </c>
      <c r="BK4197" s="9">
        <f t="shared" si="588"/>
        <v>13.71</v>
      </c>
      <c r="BL4197" s="9">
        <f t="shared" si="589"/>
        <v>0</v>
      </c>
      <c r="BM4197" s="9">
        <f t="shared" si="590"/>
        <v>7.54</v>
      </c>
      <c r="BN4197" s="9">
        <f t="shared" si="591"/>
        <v>513.48</v>
      </c>
      <c r="BO4197" s="9">
        <f t="shared" si="592"/>
        <v>0</v>
      </c>
      <c r="BP4197" s="9">
        <f t="shared" si="593"/>
        <v>95.81</v>
      </c>
    </row>
    <row r="4198" spans="1:68">
      <c r="A4198" s="6">
        <v>45328</v>
      </c>
      <c r="B4198" s="7">
        <v>3113</v>
      </c>
      <c r="C4198" s="8">
        <v>1582.24</v>
      </c>
      <c r="D4198" s="8"/>
      <c r="E4198" s="8"/>
      <c r="F4198" s="8"/>
      <c r="G4198" s="8"/>
      <c r="H4198" s="8"/>
      <c r="I4198" s="8"/>
      <c r="J4198" s="8"/>
      <c r="K4198" s="8"/>
      <c r="L4198" s="8"/>
      <c r="M4198" s="8">
        <v>1.44</v>
      </c>
      <c r="N4198" s="8">
        <v>1.43</v>
      </c>
      <c r="O4198" s="8"/>
      <c r="P4198" s="8"/>
      <c r="Q4198" s="8"/>
      <c r="R4198" s="8"/>
      <c r="S4198" s="8">
        <v>4.76</v>
      </c>
      <c r="T4198" s="8"/>
      <c r="U4198" s="8">
        <v>15.83</v>
      </c>
      <c r="V4198" s="8"/>
      <c r="W4198" s="8"/>
      <c r="X4198" s="8"/>
      <c r="Y4198" s="8"/>
      <c r="Z4198" s="8"/>
      <c r="AA4198" s="8"/>
      <c r="AB4198" s="8"/>
      <c r="AC4198" s="8">
        <v>6.32</v>
      </c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>
        <v>662.98</v>
      </c>
      <c r="AU4198" s="8"/>
      <c r="AV4198" s="8">
        <v>53.85</v>
      </c>
      <c r="AW4198" s="8"/>
      <c r="AX4198" s="8"/>
      <c r="AY4198" s="8"/>
      <c r="AZ4198" s="8"/>
      <c r="BA4198" s="8"/>
      <c r="BB4198" s="8"/>
      <c r="BC4198" s="8"/>
      <c r="BD4198" s="8"/>
      <c r="BE4198" s="8"/>
      <c r="BF4198" s="8"/>
      <c r="BG4198" s="8">
        <v>47.41</v>
      </c>
      <c r="BH4198" s="9">
        <f t="shared" si="585"/>
        <v>1582.24</v>
      </c>
      <c r="BI4198" s="9">
        <f t="shared" si="586"/>
        <v>2.87</v>
      </c>
      <c r="BJ4198" s="9">
        <f t="shared" si="587"/>
        <v>4.76</v>
      </c>
      <c r="BK4198" s="9">
        <f t="shared" si="588"/>
        <v>15.83</v>
      </c>
      <c r="BL4198" s="9">
        <f t="shared" si="589"/>
        <v>0</v>
      </c>
      <c r="BM4198" s="9">
        <f t="shared" si="590"/>
        <v>6.32</v>
      </c>
      <c r="BN4198" s="9">
        <f t="shared" si="591"/>
        <v>662.98</v>
      </c>
      <c r="BO4198" s="9">
        <f t="shared" si="592"/>
        <v>53.85</v>
      </c>
      <c r="BP4198" s="9">
        <f t="shared" si="593"/>
        <v>0</v>
      </c>
    </row>
    <row r="4199" spans="1:68">
      <c r="A4199" s="6">
        <v>45328</v>
      </c>
      <c r="B4199" s="7">
        <v>3200</v>
      </c>
      <c r="C4199" s="8">
        <v>2336.06</v>
      </c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>
        <v>5.86</v>
      </c>
      <c r="P4199" s="8"/>
      <c r="Q4199" s="8"/>
      <c r="R4199" s="8"/>
      <c r="S4199" s="8">
        <v>9.1300000000000008</v>
      </c>
      <c r="T4199" s="8"/>
      <c r="U4199" s="8">
        <v>35.08</v>
      </c>
      <c r="V4199" s="8"/>
      <c r="W4199" s="8"/>
      <c r="X4199" s="8"/>
      <c r="Y4199" s="8"/>
      <c r="Z4199" s="8">
        <v>491.48</v>
      </c>
      <c r="AA4199" s="8"/>
      <c r="AB4199" s="8"/>
      <c r="AC4199" s="8"/>
      <c r="AD4199" s="8"/>
      <c r="AE4199" s="8"/>
      <c r="AF4199" s="8">
        <v>117.16</v>
      </c>
      <c r="AG4199" s="8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>
        <f>1534*23.38/1000</f>
        <v>35.864919999999998</v>
      </c>
      <c r="AR4199" s="8"/>
      <c r="AS4199" s="8"/>
      <c r="AT4199" s="8">
        <v>1602.97</v>
      </c>
      <c r="AU4199" s="8"/>
      <c r="AV4199" s="8"/>
      <c r="AW4199" s="8">
        <v>6.85</v>
      </c>
      <c r="AX4199" s="8"/>
      <c r="AY4199" s="8"/>
      <c r="AZ4199" s="8"/>
      <c r="BA4199" s="8"/>
      <c r="BB4199" s="8"/>
      <c r="BC4199" s="8"/>
      <c r="BD4199" s="8"/>
      <c r="BE4199" s="8"/>
      <c r="BF4199" s="8">
        <v>112.34</v>
      </c>
      <c r="BG4199" s="8">
        <v>115.79</v>
      </c>
      <c r="BH4199" s="9">
        <f t="shared" si="585"/>
        <v>2336.06</v>
      </c>
      <c r="BI4199" s="9">
        <f t="shared" si="586"/>
        <v>5.86</v>
      </c>
      <c r="BJ4199" s="9">
        <f t="shared" si="587"/>
        <v>9.1300000000000008</v>
      </c>
      <c r="BK4199" s="9">
        <f t="shared" si="588"/>
        <v>35.08</v>
      </c>
      <c r="BL4199" s="9">
        <f t="shared" si="589"/>
        <v>491.48</v>
      </c>
      <c r="BM4199" s="9">
        <f t="shared" si="590"/>
        <v>153.02492000000001</v>
      </c>
      <c r="BN4199" s="9">
        <f t="shared" si="591"/>
        <v>1602.97</v>
      </c>
      <c r="BO4199" s="9">
        <f t="shared" si="592"/>
        <v>6.85</v>
      </c>
      <c r="BP4199" s="9">
        <f t="shared" si="593"/>
        <v>112.34</v>
      </c>
    </row>
    <row r="4200" spans="1:68">
      <c r="A4200" s="6">
        <v>45328</v>
      </c>
      <c r="B4200" s="7">
        <v>3100</v>
      </c>
      <c r="C4200" s="8">
        <v>700.68</v>
      </c>
      <c r="D4200" s="8"/>
      <c r="E4200" s="8"/>
      <c r="F4200" s="8"/>
      <c r="G4200" s="8"/>
      <c r="H4200" s="8"/>
      <c r="I4200" s="8"/>
      <c r="J4200" s="8"/>
      <c r="K4200" s="8"/>
      <c r="L4200" s="8"/>
      <c r="M4200" s="8">
        <v>1.75</v>
      </c>
      <c r="N4200" s="8"/>
      <c r="O4200" s="8"/>
      <c r="P4200" s="8"/>
      <c r="Q4200" s="8"/>
      <c r="R4200" s="8"/>
      <c r="S4200" s="8">
        <v>4</v>
      </c>
      <c r="T4200" s="8"/>
      <c r="U4200" s="8">
        <v>11.22</v>
      </c>
      <c r="V4200" s="8"/>
      <c r="W4200" s="8"/>
      <c r="X4200" s="8"/>
      <c r="Y4200" s="8"/>
      <c r="Z4200" s="8"/>
      <c r="AA4200" s="8"/>
      <c r="AB4200" s="8"/>
      <c r="AC4200" s="8">
        <v>2.81</v>
      </c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>
        <v>472.37</v>
      </c>
      <c r="AU4200" s="8"/>
      <c r="AV4200" s="8"/>
      <c r="AW4200" s="8"/>
      <c r="AX4200" s="8"/>
      <c r="AY4200" s="8"/>
      <c r="AZ4200" s="8"/>
      <c r="BA4200" s="8"/>
      <c r="BB4200" s="8"/>
      <c r="BC4200" s="8"/>
      <c r="BD4200" s="8"/>
      <c r="BE4200" s="8"/>
      <c r="BF4200" s="8">
        <v>91.22</v>
      </c>
      <c r="BG4200" s="8">
        <v>36.07</v>
      </c>
      <c r="BH4200" s="9">
        <f t="shared" si="585"/>
        <v>700.68</v>
      </c>
      <c r="BI4200" s="9">
        <f t="shared" si="586"/>
        <v>1.75</v>
      </c>
      <c r="BJ4200" s="9">
        <f t="shared" si="587"/>
        <v>4</v>
      </c>
      <c r="BK4200" s="9">
        <f t="shared" si="588"/>
        <v>11.22</v>
      </c>
      <c r="BL4200" s="9">
        <f t="shared" si="589"/>
        <v>0</v>
      </c>
      <c r="BM4200" s="9">
        <f t="shared" si="590"/>
        <v>2.81</v>
      </c>
      <c r="BN4200" s="9">
        <f t="shared" si="591"/>
        <v>472.37</v>
      </c>
      <c r="BO4200" s="9">
        <f t="shared" si="592"/>
        <v>0</v>
      </c>
      <c r="BP4200" s="9">
        <f t="shared" si="593"/>
        <v>91.22</v>
      </c>
    </row>
    <row r="4201" spans="1:68">
      <c r="A4201" s="6">
        <v>45328</v>
      </c>
      <c r="B4201" s="7">
        <v>3304</v>
      </c>
      <c r="C4201" s="8"/>
      <c r="D4201" s="8">
        <v>1150.8800000000001</v>
      </c>
      <c r="E4201" s="8"/>
      <c r="F4201" s="8"/>
      <c r="G4201" s="8"/>
      <c r="H4201" s="8"/>
      <c r="I4201" s="8"/>
      <c r="J4201" s="8"/>
      <c r="K4201" s="8"/>
      <c r="L4201" s="8"/>
      <c r="M4201" s="8">
        <v>2.31</v>
      </c>
      <c r="N4201" s="8"/>
      <c r="O4201" s="8"/>
      <c r="P4201" s="8"/>
      <c r="Q4201" s="11"/>
      <c r="R4201" s="11"/>
      <c r="S4201" s="8">
        <v>1.73</v>
      </c>
      <c r="T4201" s="8"/>
      <c r="U4201" s="8">
        <v>10.34</v>
      </c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>
        <v>11.52</v>
      </c>
      <c r="AH4201" s="8"/>
      <c r="AI4201" s="8"/>
      <c r="AJ4201" s="8"/>
      <c r="AK4201" s="8"/>
      <c r="AL4201" s="8"/>
      <c r="AM4201" s="8"/>
      <c r="AN4201" s="8"/>
      <c r="AO4201" s="8"/>
      <c r="AP4201" s="11"/>
      <c r="AQ4201" s="8"/>
      <c r="AR4201" s="8"/>
      <c r="AS4201" s="8"/>
      <c r="AT4201" s="8">
        <v>307.41000000000003</v>
      </c>
      <c r="AU4201" s="8">
        <v>153.69</v>
      </c>
      <c r="AV4201" s="8"/>
      <c r="AW4201" s="8"/>
      <c r="AX4201" s="8"/>
      <c r="AY4201" s="8"/>
      <c r="AZ4201" s="8"/>
      <c r="BA4201" s="8"/>
      <c r="BB4201" s="8"/>
      <c r="BC4201" s="8"/>
      <c r="BD4201" s="8"/>
      <c r="BE4201" s="8"/>
      <c r="BF4201" s="8"/>
      <c r="BG4201" s="8">
        <v>32</v>
      </c>
      <c r="BH4201" s="9">
        <f t="shared" si="585"/>
        <v>1150.8800000000001</v>
      </c>
      <c r="BI4201" s="9">
        <f t="shared" si="586"/>
        <v>2.31</v>
      </c>
      <c r="BJ4201" s="9">
        <f t="shared" si="587"/>
        <v>1.73</v>
      </c>
      <c r="BK4201" s="9">
        <f t="shared" si="588"/>
        <v>10.34</v>
      </c>
      <c r="BL4201" s="9">
        <f t="shared" si="589"/>
        <v>0</v>
      </c>
      <c r="BM4201" s="9">
        <f t="shared" si="590"/>
        <v>11.52</v>
      </c>
      <c r="BN4201" s="9">
        <f t="shared" si="591"/>
        <v>461.1</v>
      </c>
      <c r="BO4201" s="9">
        <f t="shared" si="592"/>
        <v>0</v>
      </c>
      <c r="BP4201" s="9">
        <f t="shared" si="593"/>
        <v>0</v>
      </c>
    </row>
    <row r="4202" spans="1:68">
      <c r="A4202" s="6">
        <v>45328</v>
      </c>
      <c r="B4202" s="7">
        <v>3502</v>
      </c>
      <c r="C4202" s="8">
        <v>288.56</v>
      </c>
      <c r="D4202" s="8">
        <v>192.62</v>
      </c>
      <c r="E4202" s="8"/>
      <c r="F4202" s="8"/>
      <c r="G4202" s="8"/>
      <c r="H4202" s="8"/>
      <c r="I4202" s="8"/>
      <c r="J4202" s="8"/>
      <c r="K4202" s="8"/>
      <c r="L4202" s="8"/>
      <c r="M4202" s="8">
        <v>0.73</v>
      </c>
      <c r="N4202" s="8">
        <v>0.72</v>
      </c>
      <c r="O4202" s="8"/>
      <c r="P4202" s="8"/>
      <c r="Q4202" s="11"/>
      <c r="R4202" s="11"/>
      <c r="S4202" s="8">
        <v>1.83</v>
      </c>
      <c r="T4202" s="8"/>
      <c r="U4202" s="8">
        <v>4.82</v>
      </c>
      <c r="V4202" s="8"/>
      <c r="W4202" s="8"/>
      <c r="X4202" s="8"/>
      <c r="Y4202" s="8"/>
      <c r="Z4202" s="8">
        <v>96.41</v>
      </c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11"/>
      <c r="AQ4202" s="8"/>
      <c r="AR4202" s="8"/>
      <c r="AS4202" s="8"/>
      <c r="AT4202" s="8">
        <v>198.88</v>
      </c>
      <c r="AU4202" s="8"/>
      <c r="AV4202" s="8"/>
      <c r="AW4202" s="8"/>
      <c r="AX4202" s="8"/>
      <c r="AY4202" s="8"/>
      <c r="AZ4202" s="8"/>
      <c r="BA4202" s="8"/>
      <c r="BB4202" s="8"/>
      <c r="BC4202" s="8"/>
      <c r="BD4202" s="8"/>
      <c r="BE4202" s="8"/>
      <c r="BF4202" s="8"/>
      <c r="BG4202" s="8">
        <v>15.66</v>
      </c>
      <c r="BH4202" s="9">
        <f t="shared" si="585"/>
        <v>481.18</v>
      </c>
      <c r="BI4202" s="9">
        <f t="shared" si="586"/>
        <v>1.45</v>
      </c>
      <c r="BJ4202" s="9">
        <f t="shared" si="587"/>
        <v>1.83</v>
      </c>
      <c r="BK4202" s="9">
        <f t="shared" si="588"/>
        <v>4.82</v>
      </c>
      <c r="BL4202" s="9">
        <f t="shared" si="589"/>
        <v>96.41</v>
      </c>
      <c r="BM4202" s="9">
        <f t="shared" si="590"/>
        <v>0</v>
      </c>
      <c r="BN4202" s="9">
        <f t="shared" si="591"/>
        <v>198.88</v>
      </c>
      <c r="BO4202" s="9">
        <f t="shared" si="592"/>
        <v>0</v>
      </c>
      <c r="BP4202" s="9">
        <f t="shared" si="593"/>
        <v>0</v>
      </c>
    </row>
    <row r="4203" spans="1:68">
      <c r="A4203" s="6">
        <v>45329</v>
      </c>
      <c r="B4203" s="7">
        <v>3200</v>
      </c>
      <c r="C4203" s="8">
        <v>4537.67</v>
      </c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>
        <v>11.34</v>
      </c>
      <c r="P4203" s="8"/>
      <c r="Q4203" s="8"/>
      <c r="R4203" s="8"/>
      <c r="S4203" s="8">
        <v>17.71</v>
      </c>
      <c r="T4203" s="8"/>
      <c r="U4203" s="8">
        <v>68.09</v>
      </c>
      <c r="V4203" s="8"/>
      <c r="W4203" s="8"/>
      <c r="X4203" s="8"/>
      <c r="Y4203" s="8"/>
      <c r="Z4203" s="8">
        <v>953.99</v>
      </c>
      <c r="AA4203" s="8"/>
      <c r="AB4203" s="8"/>
      <c r="AC4203" s="8"/>
      <c r="AD4203" s="8"/>
      <c r="AE4203" s="8"/>
      <c r="AF4203" s="8">
        <v>225.96</v>
      </c>
      <c r="AG4203" s="8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>
        <f>1507*45.42/1000</f>
        <v>68.447940000000003</v>
      </c>
      <c r="AR4203" s="8"/>
      <c r="AS4203" s="8"/>
      <c r="AT4203" s="8">
        <v>3112.96</v>
      </c>
      <c r="AU4203" s="8"/>
      <c r="AV4203" s="8"/>
      <c r="AW4203" s="8">
        <v>13.22</v>
      </c>
      <c r="AX4203" s="8"/>
      <c r="AY4203" s="8"/>
      <c r="AZ4203" s="8"/>
      <c r="BA4203" s="8"/>
      <c r="BB4203" s="8"/>
      <c r="BC4203" s="8"/>
      <c r="BD4203" s="8"/>
      <c r="BE4203" s="8"/>
      <c r="BF4203" s="8">
        <v>217.98</v>
      </c>
      <c r="BG4203" s="8">
        <v>225.12</v>
      </c>
      <c r="BH4203" s="9">
        <f t="shared" si="585"/>
        <v>4537.67</v>
      </c>
      <c r="BI4203" s="9">
        <f t="shared" si="586"/>
        <v>11.34</v>
      </c>
      <c r="BJ4203" s="9">
        <f t="shared" si="587"/>
        <v>17.71</v>
      </c>
      <c r="BK4203" s="9">
        <f t="shared" si="588"/>
        <v>68.09</v>
      </c>
      <c r="BL4203" s="9">
        <f t="shared" si="589"/>
        <v>953.99</v>
      </c>
      <c r="BM4203" s="9">
        <f t="shared" si="590"/>
        <v>294.40794</v>
      </c>
      <c r="BN4203" s="9">
        <f t="shared" si="591"/>
        <v>3112.96</v>
      </c>
      <c r="BO4203" s="9">
        <f t="shared" si="592"/>
        <v>13.22</v>
      </c>
      <c r="BP4203" s="9">
        <f t="shared" si="593"/>
        <v>217.98</v>
      </c>
    </row>
    <row r="4204" spans="1:68">
      <c r="A4204" s="6">
        <v>45329</v>
      </c>
      <c r="B4204" s="7">
        <v>3029</v>
      </c>
      <c r="C4204" s="8"/>
      <c r="D4204" s="8">
        <v>459.32</v>
      </c>
      <c r="E4204" s="8"/>
      <c r="F4204" s="8">
        <v>324.06</v>
      </c>
      <c r="G4204" s="8"/>
      <c r="H4204" s="8"/>
      <c r="I4204" s="8">
        <v>1914.57</v>
      </c>
      <c r="J4204" s="8"/>
      <c r="K4204" s="8"/>
      <c r="L4204" s="8"/>
      <c r="M4204" s="8"/>
      <c r="N4204" s="8">
        <v>21.32</v>
      </c>
      <c r="O4204" s="8"/>
      <c r="P4204" s="8"/>
      <c r="Q4204" s="8"/>
      <c r="R4204" s="8"/>
      <c r="S4204" s="8">
        <v>1.62</v>
      </c>
      <c r="T4204" s="8"/>
      <c r="U4204" s="8"/>
      <c r="V4204" s="8"/>
      <c r="W4204" s="8">
        <v>26.99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>
        <v>9.4499999999999993</v>
      </c>
      <c r="AN4204" s="8">
        <f>758*17.98/1000</f>
        <v>13.62884</v>
      </c>
      <c r="AO4204" s="8"/>
      <c r="AP4204" s="8"/>
      <c r="AQ4204" s="8"/>
      <c r="AR4204" s="8">
        <f>4527*17.98/1000</f>
        <v>81.39546</v>
      </c>
      <c r="AS4204" s="8"/>
      <c r="AT4204" s="8">
        <v>1002.23</v>
      </c>
      <c r="AU4204" s="8"/>
      <c r="AV4204" s="8"/>
      <c r="AW4204" s="8"/>
      <c r="AX4204" s="8"/>
      <c r="AY4204" s="8"/>
      <c r="AZ4204" s="8"/>
      <c r="BA4204" s="8"/>
      <c r="BB4204" s="8"/>
      <c r="BC4204" s="8"/>
      <c r="BD4204" s="8"/>
      <c r="BE4204" s="8"/>
      <c r="BF4204" s="8"/>
      <c r="BG4204" s="8">
        <v>71.63</v>
      </c>
      <c r="BH4204" s="9">
        <f t="shared" si="585"/>
        <v>2697.95</v>
      </c>
      <c r="BI4204" s="9">
        <f t="shared" si="586"/>
        <v>21.32</v>
      </c>
      <c r="BJ4204" s="9">
        <f t="shared" si="587"/>
        <v>1.62</v>
      </c>
      <c r="BK4204" s="9">
        <f t="shared" si="588"/>
        <v>26.99</v>
      </c>
      <c r="BL4204" s="9">
        <f t="shared" si="589"/>
        <v>0</v>
      </c>
      <c r="BM4204" s="9">
        <f t="shared" si="590"/>
        <v>104.4743</v>
      </c>
      <c r="BN4204" s="9">
        <f t="shared" si="591"/>
        <v>1002.23</v>
      </c>
      <c r="BO4204" s="9">
        <f t="shared" si="592"/>
        <v>0</v>
      </c>
      <c r="BP4204" s="9">
        <f t="shared" si="593"/>
        <v>0</v>
      </c>
    </row>
    <row r="4205" spans="1:68">
      <c r="A4205" s="6">
        <v>45329</v>
      </c>
      <c r="B4205" s="7">
        <v>3081</v>
      </c>
      <c r="C4205" s="8"/>
      <c r="D4205" s="8">
        <v>295.79000000000002</v>
      </c>
      <c r="E4205" s="8"/>
      <c r="F4205" s="8">
        <v>332.53</v>
      </c>
      <c r="G4205" s="8"/>
      <c r="H4205" s="8"/>
      <c r="I4205" s="8">
        <v>1214.23</v>
      </c>
      <c r="J4205" s="8"/>
      <c r="K4205" s="8"/>
      <c r="L4205" s="8"/>
      <c r="M4205" s="8"/>
      <c r="N4205" s="8">
        <v>13.52</v>
      </c>
      <c r="O4205" s="8"/>
      <c r="P4205" s="8">
        <f>629*11.93/1000</f>
        <v>7.5039700000000007</v>
      </c>
      <c r="Q4205" s="8"/>
      <c r="R4205" s="8"/>
      <c r="S4205" s="8">
        <v>1.3</v>
      </c>
      <c r="T4205" s="8"/>
      <c r="U4205" s="8"/>
      <c r="V4205" s="8"/>
      <c r="W4205" s="8">
        <v>18.53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>
        <f>1568*11.93/1000</f>
        <v>18.706239999999998</v>
      </c>
      <c r="AR4205" s="8">
        <f>5439*11.93/1000</f>
        <v>64.887270000000001</v>
      </c>
      <c r="AS4205" s="8"/>
      <c r="AT4205" s="8">
        <v>579.54999999999995</v>
      </c>
      <c r="AU4205" s="8"/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  <c r="BF4205" s="8"/>
      <c r="BG4205" s="8">
        <v>38.58</v>
      </c>
      <c r="BH4205" s="9">
        <f t="shared" si="585"/>
        <v>1842.55</v>
      </c>
      <c r="BI4205" s="9">
        <f t="shared" si="586"/>
        <v>21.023969999999998</v>
      </c>
      <c r="BJ4205" s="9">
        <f t="shared" si="587"/>
        <v>1.3</v>
      </c>
      <c r="BK4205" s="9">
        <f t="shared" si="588"/>
        <v>18.53</v>
      </c>
      <c r="BL4205" s="9">
        <f t="shared" si="589"/>
        <v>0</v>
      </c>
      <c r="BM4205" s="9">
        <f t="shared" si="590"/>
        <v>83.593509999999995</v>
      </c>
      <c r="BN4205" s="9">
        <f t="shared" si="591"/>
        <v>579.54999999999995</v>
      </c>
      <c r="BO4205" s="9">
        <f t="shared" si="592"/>
        <v>0</v>
      </c>
      <c r="BP4205" s="9">
        <f t="shared" si="593"/>
        <v>0</v>
      </c>
    </row>
    <row r="4206" spans="1:68">
      <c r="A4206" s="6">
        <v>45329</v>
      </c>
      <c r="B4206" s="7">
        <v>3502</v>
      </c>
      <c r="C4206" s="8">
        <v>509.15</v>
      </c>
      <c r="D4206" s="8">
        <v>339.27</v>
      </c>
      <c r="E4206" s="8"/>
      <c r="F4206" s="8"/>
      <c r="G4206" s="8"/>
      <c r="H4206" s="8"/>
      <c r="I4206" s="8"/>
      <c r="J4206" s="8"/>
      <c r="K4206" s="8"/>
      <c r="L4206" s="8"/>
      <c r="M4206" s="8">
        <v>1.27</v>
      </c>
      <c r="N4206" s="8">
        <v>1.28</v>
      </c>
      <c r="O4206" s="8"/>
      <c r="P4206" s="8"/>
      <c r="Q4206" s="8"/>
      <c r="R4206" s="8"/>
      <c r="S4206" s="8">
        <v>3.22</v>
      </c>
      <c r="T4206" s="8"/>
      <c r="U4206" s="8">
        <v>8.49</v>
      </c>
      <c r="V4206" s="8"/>
      <c r="W4206" s="8"/>
      <c r="X4206" s="8"/>
      <c r="Y4206" s="8"/>
      <c r="Z4206" s="8">
        <v>169.86</v>
      </c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>
        <v>349.82</v>
      </c>
      <c r="AU4206" s="8"/>
      <c r="AV4206" s="8"/>
      <c r="AW4206" s="8"/>
      <c r="AX4206" s="8"/>
      <c r="AY4206" s="8"/>
      <c r="AZ4206" s="8"/>
      <c r="BA4206" s="8"/>
      <c r="BB4206" s="8"/>
      <c r="BC4206" s="8"/>
      <c r="BD4206" s="8"/>
      <c r="BE4206" s="8"/>
      <c r="BF4206" s="8"/>
      <c r="BG4206" s="8">
        <v>27.68</v>
      </c>
      <c r="BH4206" s="9">
        <f t="shared" si="585"/>
        <v>848.42</v>
      </c>
      <c r="BI4206" s="9">
        <f t="shared" si="586"/>
        <v>2.5499999999999998</v>
      </c>
      <c r="BJ4206" s="9">
        <f t="shared" si="587"/>
        <v>3.22</v>
      </c>
      <c r="BK4206" s="9">
        <f t="shared" si="588"/>
        <v>8.49</v>
      </c>
      <c r="BL4206" s="9">
        <f t="shared" si="589"/>
        <v>169.86</v>
      </c>
      <c r="BM4206" s="9">
        <f t="shared" si="590"/>
        <v>0</v>
      </c>
      <c r="BN4206" s="9">
        <f t="shared" si="591"/>
        <v>349.82</v>
      </c>
      <c r="BO4206" s="9">
        <f t="shared" si="592"/>
        <v>0</v>
      </c>
      <c r="BP4206" s="9">
        <f t="shared" si="593"/>
        <v>0</v>
      </c>
    </row>
    <row r="4207" spans="1:68">
      <c r="A4207" s="6">
        <v>45331</v>
      </c>
      <c r="B4207" s="7">
        <v>3141</v>
      </c>
      <c r="C4207" s="8">
        <v>2412.35</v>
      </c>
      <c r="D4207" s="8">
        <v>425.39</v>
      </c>
      <c r="E4207" s="8"/>
      <c r="F4207" s="8"/>
      <c r="G4207" s="8"/>
      <c r="H4207" s="8"/>
      <c r="I4207" s="8"/>
      <c r="J4207" s="8"/>
      <c r="K4207" s="8"/>
      <c r="L4207" s="8"/>
      <c r="M4207" s="8">
        <v>8.24</v>
      </c>
      <c r="N4207" s="8"/>
      <c r="O4207" s="8"/>
      <c r="P4207" s="8"/>
      <c r="Q4207" s="8"/>
      <c r="R4207" s="8"/>
      <c r="S4207" s="8">
        <v>13.34</v>
      </c>
      <c r="T4207" s="8"/>
      <c r="U4207" s="8">
        <v>42.56</v>
      </c>
      <c r="V4207" s="8"/>
      <c r="W4207" s="8"/>
      <c r="X4207" s="8"/>
      <c r="Y4207" s="8"/>
      <c r="Z4207" s="8"/>
      <c r="AA4207" s="8"/>
      <c r="AB4207" s="8"/>
      <c r="AC4207" s="8">
        <v>11.35</v>
      </c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>
        <v>1872.76</v>
      </c>
      <c r="AU4207" s="8"/>
      <c r="AV4207" s="8"/>
      <c r="AW4207" s="8"/>
      <c r="AX4207" s="8"/>
      <c r="AY4207" s="8"/>
      <c r="AZ4207" s="8"/>
      <c r="BA4207" s="8">
        <v>65</v>
      </c>
      <c r="BB4207" s="8"/>
      <c r="BC4207" s="8"/>
      <c r="BD4207" s="8"/>
      <c r="BE4207" s="8"/>
      <c r="BF4207" s="8">
        <v>198.56</v>
      </c>
      <c r="BG4207" s="8">
        <v>147.58000000000001</v>
      </c>
      <c r="BH4207" s="9">
        <f t="shared" si="585"/>
        <v>2837.74</v>
      </c>
      <c r="BI4207" s="9">
        <f t="shared" si="586"/>
        <v>8.24</v>
      </c>
      <c r="BJ4207" s="9">
        <f t="shared" si="587"/>
        <v>13.34</v>
      </c>
      <c r="BK4207" s="9">
        <f t="shared" si="588"/>
        <v>42.56</v>
      </c>
      <c r="BL4207" s="9">
        <f t="shared" si="589"/>
        <v>0</v>
      </c>
      <c r="BM4207" s="9">
        <f t="shared" si="590"/>
        <v>11.35</v>
      </c>
      <c r="BN4207" s="9">
        <f t="shared" si="591"/>
        <v>1872.76</v>
      </c>
      <c r="BO4207" s="9">
        <f t="shared" si="592"/>
        <v>65</v>
      </c>
      <c r="BP4207" s="9">
        <f t="shared" si="593"/>
        <v>198.56</v>
      </c>
    </row>
    <row r="4208" spans="1:68">
      <c r="A4208" s="6">
        <v>45331</v>
      </c>
      <c r="B4208" s="7">
        <v>3106</v>
      </c>
      <c r="C4208" s="8">
        <v>4104.72</v>
      </c>
      <c r="D4208" s="8"/>
      <c r="E4208" s="8"/>
      <c r="F4208" s="8"/>
      <c r="G4208" s="8"/>
      <c r="H4208" s="8"/>
      <c r="I4208" s="8"/>
      <c r="J4208" s="8"/>
      <c r="K4208" s="8"/>
      <c r="L4208" s="8"/>
      <c r="M4208" s="8">
        <v>10.63</v>
      </c>
      <c r="N4208" s="8"/>
      <c r="O4208" s="8"/>
      <c r="P4208" s="8"/>
      <c r="Q4208" s="8"/>
      <c r="R4208" s="8"/>
      <c r="S4208" s="8">
        <v>12.36</v>
      </c>
      <c r="T4208" s="8"/>
      <c r="U4208" s="8">
        <v>52.27</v>
      </c>
      <c r="V4208" s="8"/>
      <c r="W4208" s="8"/>
      <c r="X4208" s="8"/>
      <c r="Y4208" s="8"/>
      <c r="Z4208" s="8"/>
      <c r="AA4208" s="8"/>
      <c r="AB4208" s="8"/>
      <c r="AC4208" s="8">
        <v>10.27</v>
      </c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>
        <v>2339.7199999999998</v>
      </c>
      <c r="AU4208" s="8"/>
      <c r="AV4208" s="8"/>
      <c r="AW4208" s="8"/>
      <c r="AX4208" s="8">
        <v>5.14</v>
      </c>
      <c r="AY4208" s="8"/>
      <c r="AZ4208" s="8"/>
      <c r="BA4208" s="8"/>
      <c r="BB4208" s="8"/>
      <c r="BC4208" s="8"/>
      <c r="BD4208" s="8"/>
      <c r="BE4208" s="8"/>
      <c r="BF4208" s="8"/>
      <c r="BG4208" s="8">
        <v>176.49</v>
      </c>
      <c r="BH4208" s="9">
        <f t="shared" si="585"/>
        <v>4104.72</v>
      </c>
      <c r="BI4208" s="9">
        <f t="shared" si="586"/>
        <v>10.63</v>
      </c>
      <c r="BJ4208" s="9">
        <f t="shared" si="587"/>
        <v>12.36</v>
      </c>
      <c r="BK4208" s="9">
        <f t="shared" si="588"/>
        <v>52.27</v>
      </c>
      <c r="BL4208" s="9">
        <f t="shared" si="589"/>
        <v>0</v>
      </c>
      <c r="BM4208" s="9">
        <f t="shared" si="590"/>
        <v>10.27</v>
      </c>
      <c r="BN4208" s="9">
        <f t="shared" si="591"/>
        <v>2339.7199999999998</v>
      </c>
      <c r="BO4208" s="9">
        <f t="shared" si="592"/>
        <v>5.14</v>
      </c>
      <c r="BP4208" s="9">
        <f t="shared" si="593"/>
        <v>0</v>
      </c>
    </row>
    <row r="4209" spans="1:68">
      <c r="A4209" s="6">
        <v>45331</v>
      </c>
      <c r="B4209" s="7">
        <v>3079</v>
      </c>
      <c r="C4209" s="8"/>
      <c r="D4209" s="8"/>
      <c r="E4209" s="8"/>
      <c r="F4209" s="8">
        <v>337.52</v>
      </c>
      <c r="G4209" s="8"/>
      <c r="H4209" s="8"/>
      <c r="I4209" s="8">
        <v>2729.86</v>
      </c>
      <c r="J4209" s="8"/>
      <c r="K4209" s="8"/>
      <c r="L4209" s="8"/>
      <c r="M4209" s="8"/>
      <c r="N4209" s="8">
        <v>22.4</v>
      </c>
      <c r="O4209" s="8"/>
      <c r="P4209" s="8"/>
      <c r="Q4209" s="8"/>
      <c r="R4209" s="8"/>
      <c r="S4209" s="8">
        <v>1.21</v>
      </c>
      <c r="T4209" s="8"/>
      <c r="U4209" s="8"/>
      <c r="V4209" s="8"/>
      <c r="W4209" s="8">
        <v>30.7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>
        <v>12.25</v>
      </c>
      <c r="AN4209" s="8">
        <f>1713*18.05/1000</f>
        <v>30.919650000000001</v>
      </c>
      <c r="AO4209" s="8"/>
      <c r="AP4209" s="8"/>
      <c r="AQ4209" s="8"/>
      <c r="AR4209" s="8">
        <v>78.48</v>
      </c>
      <c r="AS4209" s="8"/>
      <c r="AT4209" s="8">
        <v>1179.73</v>
      </c>
      <c r="AU4209" s="8"/>
      <c r="AV4209" s="8"/>
      <c r="AW4209" s="8"/>
      <c r="AX4209" s="8"/>
      <c r="AY4209" s="8"/>
      <c r="AZ4209" s="8"/>
      <c r="BA4209" s="8"/>
      <c r="BB4209" s="8"/>
      <c r="BC4209" s="8"/>
      <c r="BD4209" s="8"/>
      <c r="BE4209" s="8"/>
      <c r="BF4209" s="8"/>
      <c r="BG4209" s="8">
        <v>85.6</v>
      </c>
      <c r="BH4209" s="9">
        <f t="shared" si="585"/>
        <v>3067.38</v>
      </c>
      <c r="BI4209" s="9">
        <f t="shared" si="586"/>
        <v>22.4</v>
      </c>
      <c r="BJ4209" s="9">
        <f t="shared" si="587"/>
        <v>1.21</v>
      </c>
      <c r="BK4209" s="9">
        <f t="shared" si="588"/>
        <v>30.7</v>
      </c>
      <c r="BL4209" s="9">
        <f t="shared" si="589"/>
        <v>0</v>
      </c>
      <c r="BM4209" s="9">
        <f t="shared" si="590"/>
        <v>121.64965000000001</v>
      </c>
      <c r="BN4209" s="9">
        <f t="shared" si="591"/>
        <v>1179.73</v>
      </c>
      <c r="BO4209" s="9">
        <f t="shared" si="592"/>
        <v>0</v>
      </c>
      <c r="BP4209" s="9">
        <f t="shared" si="593"/>
        <v>0</v>
      </c>
    </row>
    <row r="4210" spans="1:68">
      <c r="A4210" s="6">
        <v>45331</v>
      </c>
      <c r="B4210" s="7">
        <v>3023</v>
      </c>
      <c r="C4210" s="8"/>
      <c r="D4210" s="8">
        <v>1683.77</v>
      </c>
      <c r="E4210" s="8"/>
      <c r="F4210" s="8"/>
      <c r="G4210" s="8"/>
      <c r="H4210" s="8"/>
      <c r="I4210" s="8">
        <v>906.65</v>
      </c>
      <c r="J4210" s="8"/>
      <c r="K4210" s="8"/>
      <c r="L4210" s="8"/>
      <c r="M4210" s="8"/>
      <c r="N4210" s="8">
        <v>14.51</v>
      </c>
      <c r="O4210" s="8"/>
      <c r="P4210" s="8"/>
      <c r="Q4210" s="8"/>
      <c r="R4210" s="8"/>
      <c r="S4210" s="8">
        <v>4.1500000000000004</v>
      </c>
      <c r="T4210" s="8"/>
      <c r="U4210" s="8"/>
      <c r="V4210" s="8"/>
      <c r="W4210" s="8">
        <v>23.33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>
        <v>25.89</v>
      </c>
      <c r="AN4210" s="8">
        <f>1017*17.87/1000</f>
        <v>18.17379</v>
      </c>
      <c r="AO4210" s="8"/>
      <c r="AP4210" s="8"/>
      <c r="AQ4210" s="8"/>
      <c r="AR4210" s="8"/>
      <c r="AS4210" s="8">
        <f>4820*17.87/1000</f>
        <v>86.133400000000009</v>
      </c>
      <c r="AT4210" s="8">
        <v>1061.9000000000001</v>
      </c>
      <c r="AU4210" s="8"/>
      <c r="AV4210" s="8"/>
      <c r="AW4210" s="8"/>
      <c r="AX4210" s="8"/>
      <c r="AY4210" s="8"/>
      <c r="AZ4210" s="8"/>
      <c r="BA4210" s="8"/>
      <c r="BB4210" s="8"/>
      <c r="BC4210" s="8"/>
      <c r="BD4210" s="8"/>
      <c r="BE4210" s="8"/>
      <c r="BF4210" s="8"/>
      <c r="BG4210" s="8">
        <v>80.260000000000005</v>
      </c>
      <c r="BH4210" s="9">
        <f t="shared" si="585"/>
        <v>2590.42</v>
      </c>
      <c r="BI4210" s="9">
        <f t="shared" si="586"/>
        <v>14.51</v>
      </c>
      <c r="BJ4210" s="9">
        <f t="shared" si="587"/>
        <v>4.1500000000000004</v>
      </c>
      <c r="BK4210" s="9">
        <f t="shared" si="588"/>
        <v>23.33</v>
      </c>
      <c r="BL4210" s="9">
        <f t="shared" si="589"/>
        <v>0</v>
      </c>
      <c r="BM4210" s="9">
        <f t="shared" si="590"/>
        <v>130.19719000000001</v>
      </c>
      <c r="BN4210" s="9">
        <f t="shared" si="591"/>
        <v>1061.9000000000001</v>
      </c>
      <c r="BO4210" s="9">
        <f t="shared" si="592"/>
        <v>0</v>
      </c>
      <c r="BP4210" s="9">
        <f t="shared" si="593"/>
        <v>0</v>
      </c>
    </row>
    <row r="4211" spans="1:68">
      <c r="A4211" s="6">
        <v>45331</v>
      </c>
      <c r="B4211" s="7">
        <v>3028</v>
      </c>
      <c r="C4211" s="8"/>
      <c r="D4211" s="8">
        <v>723.11</v>
      </c>
      <c r="E4211" s="8"/>
      <c r="F4211" s="8">
        <v>663.78</v>
      </c>
      <c r="G4211" s="8"/>
      <c r="H4211" s="8"/>
      <c r="I4211" s="8">
        <v>1499.05</v>
      </c>
      <c r="J4211" s="8"/>
      <c r="K4211" s="8"/>
      <c r="L4211" s="8"/>
      <c r="M4211" s="8"/>
      <c r="N4211" s="8">
        <v>22.23</v>
      </c>
      <c r="O4211" s="8"/>
      <c r="P4211" s="8"/>
      <c r="Q4211" s="8"/>
      <c r="R4211" s="8"/>
      <c r="S4211" s="8">
        <v>4.04</v>
      </c>
      <c r="T4211" s="8"/>
      <c r="U4211" s="8"/>
      <c r="V4211" s="8"/>
      <c r="W4211" s="8">
        <v>21.65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>
        <v>28.88</v>
      </c>
      <c r="AN4211" s="8">
        <f>1069*19.23/1000</f>
        <v>20.55687</v>
      </c>
      <c r="AO4211" s="8"/>
      <c r="AP4211" s="8"/>
      <c r="AQ4211" s="8"/>
      <c r="AR4211" s="8"/>
      <c r="AS4211" s="8">
        <f>4993*19.23/1000</f>
        <v>96.015389999999996</v>
      </c>
      <c r="AT4211" s="8">
        <v>962.75</v>
      </c>
      <c r="AU4211" s="8"/>
      <c r="AV4211" s="8"/>
      <c r="AW4211" s="8"/>
      <c r="AX4211" s="8"/>
      <c r="AY4211" s="8"/>
      <c r="AZ4211" s="8"/>
      <c r="BA4211" s="8"/>
      <c r="BB4211" s="8"/>
      <c r="BC4211" s="8"/>
      <c r="BD4211" s="8"/>
      <c r="BE4211" s="8"/>
      <c r="BF4211" s="8"/>
      <c r="BG4211" s="8">
        <v>65.45</v>
      </c>
      <c r="BH4211" s="9">
        <f t="shared" si="585"/>
        <v>2885.9399999999996</v>
      </c>
      <c r="BI4211" s="9">
        <f t="shared" si="586"/>
        <v>22.23</v>
      </c>
      <c r="BJ4211" s="9">
        <f t="shared" si="587"/>
        <v>4.04</v>
      </c>
      <c r="BK4211" s="9">
        <f t="shared" si="588"/>
        <v>21.65</v>
      </c>
      <c r="BL4211" s="9">
        <f t="shared" si="589"/>
        <v>0</v>
      </c>
      <c r="BM4211" s="9">
        <f t="shared" si="590"/>
        <v>145.45226</v>
      </c>
      <c r="BN4211" s="9">
        <f t="shared" si="591"/>
        <v>962.75</v>
      </c>
      <c r="BO4211" s="9">
        <f t="shared" si="592"/>
        <v>0</v>
      </c>
      <c r="BP4211" s="9">
        <f t="shared" si="593"/>
        <v>0</v>
      </c>
    </row>
    <row r="4212" spans="1:68">
      <c r="A4212" s="6">
        <v>45331</v>
      </c>
      <c r="B4212" s="7">
        <v>3203</v>
      </c>
      <c r="C4212" s="8">
        <v>1701.91</v>
      </c>
      <c r="D4212" s="8"/>
      <c r="E4212" s="8">
        <v>729.63</v>
      </c>
      <c r="F4212" s="8"/>
      <c r="G4212" s="8"/>
      <c r="H4212" s="8"/>
      <c r="I4212" s="8"/>
      <c r="J4212" s="8"/>
      <c r="K4212" s="8"/>
      <c r="L4212" s="8"/>
      <c r="M4212" s="8"/>
      <c r="N4212" s="8"/>
      <c r="O4212" s="8">
        <v>7.3</v>
      </c>
      <c r="P4212" s="8"/>
      <c r="Q4212" s="8"/>
      <c r="R4212" s="8"/>
      <c r="S4212" s="8">
        <v>9.9700000000000006</v>
      </c>
      <c r="T4212" s="8"/>
      <c r="U4212" s="8">
        <v>30.14</v>
      </c>
      <c r="V4212" s="8"/>
      <c r="W4212" s="8"/>
      <c r="X4212" s="8"/>
      <c r="Y4212" s="8"/>
      <c r="Z4212" s="8">
        <v>382.99</v>
      </c>
      <c r="AA4212" s="8">
        <f>10482*28.6/1000</f>
        <v>299.78520000000003</v>
      </c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>
        <v>909.8</v>
      </c>
      <c r="AU4212" s="8">
        <v>454.95</v>
      </c>
      <c r="AV4212" s="8"/>
      <c r="AW4212" s="8"/>
      <c r="AX4212" s="8"/>
      <c r="AY4212" s="8"/>
      <c r="AZ4212" s="8"/>
      <c r="BA4212" s="8"/>
      <c r="BB4212" s="8"/>
      <c r="BC4212" s="8">
        <v>6.32</v>
      </c>
      <c r="BD4212" s="8"/>
      <c r="BE4212" s="8"/>
      <c r="BF4212" s="8"/>
      <c r="BG4212" s="8">
        <v>88.56</v>
      </c>
      <c r="BH4212" s="9">
        <f t="shared" si="585"/>
        <v>2431.54</v>
      </c>
      <c r="BI4212" s="9">
        <f t="shared" si="586"/>
        <v>7.3</v>
      </c>
      <c r="BJ4212" s="9">
        <f t="shared" si="587"/>
        <v>9.9700000000000006</v>
      </c>
      <c r="BK4212" s="9">
        <f t="shared" si="588"/>
        <v>30.14</v>
      </c>
      <c r="BL4212" s="9">
        <f t="shared" si="589"/>
        <v>682.77520000000004</v>
      </c>
      <c r="BM4212" s="9">
        <f t="shared" si="590"/>
        <v>0</v>
      </c>
      <c r="BN4212" s="9">
        <f t="shared" si="591"/>
        <v>1364.75</v>
      </c>
      <c r="BO4212" s="9">
        <f t="shared" si="592"/>
        <v>6.32</v>
      </c>
      <c r="BP4212" s="9">
        <f t="shared" si="593"/>
        <v>0</v>
      </c>
    </row>
    <row r="4213" spans="1:68">
      <c r="A4213" s="6">
        <v>45331</v>
      </c>
      <c r="B4213" s="7">
        <v>3117</v>
      </c>
      <c r="C4213" s="8">
        <v>803.03</v>
      </c>
      <c r="D4213" s="8"/>
      <c r="E4213" s="8"/>
      <c r="F4213" s="8"/>
      <c r="G4213" s="8"/>
      <c r="H4213" s="8"/>
      <c r="I4213" s="8"/>
      <c r="J4213" s="8"/>
      <c r="K4213" s="8"/>
      <c r="L4213" s="8"/>
      <c r="M4213" s="8">
        <v>2.34</v>
      </c>
      <c r="N4213" s="8"/>
      <c r="O4213" s="8"/>
      <c r="P4213" s="8"/>
      <c r="Q4213" s="8"/>
      <c r="R4213" s="8"/>
      <c r="S4213" s="8">
        <v>3.21</v>
      </c>
      <c r="T4213" s="8"/>
      <c r="U4213" s="8">
        <v>8.0399999999999991</v>
      </c>
      <c r="V4213" s="8"/>
      <c r="W4213" s="8"/>
      <c r="X4213" s="8"/>
      <c r="Y4213" s="8"/>
      <c r="Z4213" s="8"/>
      <c r="AA4213" s="8"/>
      <c r="AB4213" s="8"/>
      <c r="AC4213" s="8">
        <v>3.22</v>
      </c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>
        <v>505.7</v>
      </c>
      <c r="AU4213" s="8"/>
      <c r="AV4213" s="8">
        <v>20.09</v>
      </c>
      <c r="AW4213" s="8"/>
      <c r="AX4213" s="8"/>
      <c r="AY4213" s="8"/>
      <c r="AZ4213" s="8"/>
      <c r="BA4213" s="8"/>
      <c r="BB4213" s="8"/>
      <c r="BC4213" s="8"/>
      <c r="BD4213" s="8"/>
      <c r="BE4213" s="8"/>
      <c r="BF4213" s="8">
        <v>40.28</v>
      </c>
      <c r="BG4213" s="8">
        <v>38.590000000000003</v>
      </c>
      <c r="BH4213" s="9">
        <f t="shared" si="585"/>
        <v>803.03</v>
      </c>
      <c r="BI4213" s="9">
        <f t="shared" si="586"/>
        <v>2.34</v>
      </c>
      <c r="BJ4213" s="9">
        <f t="shared" si="587"/>
        <v>3.21</v>
      </c>
      <c r="BK4213" s="9">
        <f t="shared" si="588"/>
        <v>8.0399999999999991</v>
      </c>
      <c r="BL4213" s="9">
        <f t="shared" si="589"/>
        <v>0</v>
      </c>
      <c r="BM4213" s="9">
        <f t="shared" si="590"/>
        <v>3.22</v>
      </c>
      <c r="BN4213" s="9">
        <f t="shared" si="591"/>
        <v>505.7</v>
      </c>
      <c r="BO4213" s="9">
        <f t="shared" si="592"/>
        <v>20.09</v>
      </c>
      <c r="BP4213" s="9">
        <f t="shared" si="593"/>
        <v>40.28</v>
      </c>
    </row>
    <row r="4214" spans="1:68">
      <c r="A4214" s="6">
        <v>45331</v>
      </c>
      <c r="B4214" s="7">
        <v>3602</v>
      </c>
      <c r="C4214" s="8">
        <v>575.39</v>
      </c>
      <c r="D4214" s="8"/>
      <c r="E4214" s="8"/>
      <c r="F4214" s="8"/>
      <c r="G4214" s="8">
        <v>862.78</v>
      </c>
      <c r="H4214" s="8"/>
      <c r="I4214" s="8"/>
      <c r="J4214" s="8"/>
      <c r="K4214" s="8"/>
      <c r="L4214" s="8"/>
      <c r="M4214" s="8">
        <v>1.74</v>
      </c>
      <c r="N4214" s="8"/>
      <c r="O4214" s="8"/>
      <c r="P4214" s="8"/>
      <c r="Q4214" s="8"/>
      <c r="R4214" s="8"/>
      <c r="S4214" s="8">
        <v>6.91</v>
      </c>
      <c r="T4214" s="8"/>
      <c r="U4214" s="8">
        <v>11.51</v>
      </c>
      <c r="V4214" s="8">
        <f>850*16.45/1000</f>
        <v>13.9825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>
        <v>579.26</v>
      </c>
      <c r="AU4214" s="8"/>
      <c r="AV4214" s="8"/>
      <c r="AW4214" s="8">
        <v>37.21</v>
      </c>
      <c r="AX4214" s="8"/>
      <c r="AY4214" s="8"/>
      <c r="AZ4214" s="8"/>
      <c r="BA4214" s="8"/>
      <c r="BB4214" s="8"/>
      <c r="BC4214" s="8"/>
      <c r="BD4214" s="8"/>
      <c r="BE4214" s="8"/>
      <c r="BF4214" s="8">
        <v>46.06</v>
      </c>
      <c r="BG4214" s="8">
        <v>43.13</v>
      </c>
      <c r="BH4214" s="9">
        <f t="shared" si="585"/>
        <v>1438.17</v>
      </c>
      <c r="BI4214" s="9">
        <f t="shared" si="586"/>
        <v>1.74</v>
      </c>
      <c r="BJ4214" s="9">
        <f t="shared" si="587"/>
        <v>6.91</v>
      </c>
      <c r="BK4214" s="9">
        <f t="shared" si="588"/>
        <v>25.4925</v>
      </c>
      <c r="BL4214" s="9">
        <f t="shared" si="589"/>
        <v>0</v>
      </c>
      <c r="BM4214" s="9">
        <f t="shared" si="590"/>
        <v>0</v>
      </c>
      <c r="BN4214" s="9">
        <f t="shared" si="591"/>
        <v>579.26</v>
      </c>
      <c r="BO4214" s="9">
        <f t="shared" si="592"/>
        <v>37.21</v>
      </c>
      <c r="BP4214" s="9">
        <f t="shared" si="593"/>
        <v>46.06</v>
      </c>
    </row>
    <row r="4215" spans="1:68">
      <c r="A4215" s="6">
        <v>45334</v>
      </c>
      <c r="B4215" s="7">
        <v>3139</v>
      </c>
      <c r="C4215" s="8">
        <v>1057.8599999999999</v>
      </c>
      <c r="D4215" s="8"/>
      <c r="E4215" s="8"/>
      <c r="F4215" s="8"/>
      <c r="G4215" s="8"/>
      <c r="H4215" s="8">
        <v>439.13</v>
      </c>
      <c r="I4215" s="8"/>
      <c r="J4215" s="8"/>
      <c r="K4215" s="8"/>
      <c r="L4215" s="8"/>
      <c r="M4215" s="8">
        <v>2.4700000000000002</v>
      </c>
      <c r="N4215" s="8"/>
      <c r="O4215" s="8"/>
      <c r="P4215" s="8"/>
      <c r="Q4215" s="8"/>
      <c r="R4215" s="8"/>
      <c r="S4215" s="8">
        <v>4.68</v>
      </c>
      <c r="T4215" s="8"/>
      <c r="U4215" s="8">
        <v>15.62</v>
      </c>
      <c r="V4215" s="8"/>
      <c r="W4215" s="8"/>
      <c r="X4215" s="8"/>
      <c r="Y4215" s="8"/>
      <c r="Z4215" s="8"/>
      <c r="AA4215" s="8"/>
      <c r="AB4215" s="8"/>
      <c r="AC4215" s="8">
        <v>5.2</v>
      </c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>
        <v>768.29</v>
      </c>
      <c r="AU4215" s="8"/>
      <c r="AV4215" s="8">
        <v>26.1</v>
      </c>
      <c r="AW4215" s="8"/>
      <c r="AX4215" s="8"/>
      <c r="AY4215" s="8"/>
      <c r="AZ4215" s="8"/>
      <c r="BA4215" s="8"/>
      <c r="BB4215" s="8"/>
      <c r="BC4215" s="8"/>
      <c r="BD4215" s="8"/>
      <c r="BE4215" s="8"/>
      <c r="BF4215" s="8"/>
      <c r="BG4215" s="8">
        <v>55.99</v>
      </c>
      <c r="BH4215" s="9">
        <f t="shared" si="585"/>
        <v>1496.9899999999998</v>
      </c>
      <c r="BI4215" s="9">
        <f t="shared" si="586"/>
        <v>2.4700000000000002</v>
      </c>
      <c r="BJ4215" s="9">
        <f t="shared" si="587"/>
        <v>4.68</v>
      </c>
      <c r="BK4215" s="9">
        <f t="shared" si="588"/>
        <v>15.62</v>
      </c>
      <c r="BL4215" s="9">
        <f t="shared" si="589"/>
        <v>0</v>
      </c>
      <c r="BM4215" s="9">
        <f t="shared" si="590"/>
        <v>5.2</v>
      </c>
      <c r="BN4215" s="9">
        <f t="shared" si="591"/>
        <v>768.29</v>
      </c>
      <c r="BO4215" s="9">
        <f t="shared" si="592"/>
        <v>26.1</v>
      </c>
      <c r="BP4215" s="9">
        <f t="shared" si="593"/>
        <v>0</v>
      </c>
    </row>
    <row r="4216" spans="1:68">
      <c r="A4216" s="6">
        <v>45334</v>
      </c>
      <c r="B4216" s="7">
        <v>3139</v>
      </c>
      <c r="C4216" s="8">
        <v>1076.48</v>
      </c>
      <c r="D4216" s="8"/>
      <c r="E4216" s="8"/>
      <c r="F4216" s="8"/>
      <c r="G4216" s="8"/>
      <c r="H4216" s="8">
        <v>448.16</v>
      </c>
      <c r="I4216" s="8"/>
      <c r="J4216" s="8"/>
      <c r="K4216" s="8"/>
      <c r="L4216" s="8"/>
      <c r="M4216" s="8">
        <v>2.52</v>
      </c>
      <c r="N4216" s="8"/>
      <c r="O4216" s="8"/>
      <c r="P4216" s="8"/>
      <c r="Q4216" s="8"/>
      <c r="R4216" s="8"/>
      <c r="S4216" s="8">
        <v>4.7699999999999996</v>
      </c>
      <c r="T4216" s="8"/>
      <c r="U4216" s="8">
        <v>15.9</v>
      </c>
      <c r="V4216" s="8"/>
      <c r="W4216" s="8"/>
      <c r="X4216" s="8"/>
      <c r="Y4216" s="8"/>
      <c r="Z4216" s="8"/>
      <c r="AA4216" s="8"/>
      <c r="AB4216" s="8"/>
      <c r="AC4216" s="8">
        <v>5.3</v>
      </c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>
        <v>786.52</v>
      </c>
      <c r="AU4216" s="8"/>
      <c r="AV4216" s="8">
        <v>26.49</v>
      </c>
      <c r="AW4216" s="8"/>
      <c r="AX4216" s="8"/>
      <c r="AY4216" s="8"/>
      <c r="AZ4216" s="8"/>
      <c r="BA4216" s="8"/>
      <c r="BB4216" s="8"/>
      <c r="BC4216" s="8"/>
      <c r="BD4216" s="8"/>
      <c r="BE4216" s="8"/>
      <c r="BF4216" s="8"/>
      <c r="BG4216" s="8">
        <v>57.01</v>
      </c>
      <c r="BH4216" s="9">
        <f t="shared" si="585"/>
        <v>1524.64</v>
      </c>
      <c r="BI4216" s="9">
        <f t="shared" si="586"/>
        <v>2.52</v>
      </c>
      <c r="BJ4216" s="9">
        <f t="shared" si="587"/>
        <v>4.7699999999999996</v>
      </c>
      <c r="BK4216" s="9">
        <f t="shared" si="588"/>
        <v>15.9</v>
      </c>
      <c r="BL4216" s="9">
        <f t="shared" si="589"/>
        <v>0</v>
      </c>
      <c r="BM4216" s="9">
        <f t="shared" si="590"/>
        <v>5.3</v>
      </c>
      <c r="BN4216" s="9">
        <f t="shared" si="591"/>
        <v>786.52</v>
      </c>
      <c r="BO4216" s="9">
        <f t="shared" si="592"/>
        <v>26.49</v>
      </c>
      <c r="BP4216" s="9">
        <f t="shared" si="593"/>
        <v>0</v>
      </c>
    </row>
    <row r="4217" spans="1:68">
      <c r="A4217" s="6">
        <v>45334</v>
      </c>
      <c r="B4217" s="7">
        <v>3155</v>
      </c>
      <c r="C4217" s="8">
        <v>404.48</v>
      </c>
      <c r="D4217" s="8">
        <v>45.38</v>
      </c>
      <c r="E4217" s="8"/>
      <c r="F4217" s="8"/>
      <c r="G4217" s="8"/>
      <c r="H4217" s="8"/>
      <c r="I4217" s="8"/>
      <c r="J4217" s="8"/>
      <c r="K4217" s="8"/>
      <c r="L4217" s="8"/>
      <c r="M4217" s="8">
        <v>2.36</v>
      </c>
      <c r="N4217" s="8"/>
      <c r="O4217" s="8"/>
      <c r="P4217" s="8"/>
      <c r="Q4217" s="8"/>
      <c r="R4217" s="8"/>
      <c r="S4217" s="8">
        <v>4.0599999999999996</v>
      </c>
      <c r="T4217" s="8"/>
      <c r="U4217" s="8">
        <v>13</v>
      </c>
      <c r="V4217" s="8"/>
      <c r="W4217" s="8"/>
      <c r="X4217" s="8"/>
      <c r="Y4217" s="8"/>
      <c r="Z4217" s="8"/>
      <c r="AA4217" s="8"/>
      <c r="AB4217" s="8"/>
      <c r="AC4217" s="8">
        <v>3.24</v>
      </c>
      <c r="AD4217" s="8"/>
      <c r="AE4217" s="8"/>
      <c r="AF4217" s="8"/>
      <c r="AG4217" s="8">
        <v>4.05</v>
      </c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>
        <v>520.49</v>
      </c>
      <c r="AU4217" s="8"/>
      <c r="AV4217" s="8"/>
      <c r="AW4217" s="8"/>
      <c r="AX4217" s="8"/>
      <c r="AY4217" s="8"/>
      <c r="AZ4217" s="8"/>
      <c r="BA4217" s="8"/>
      <c r="BB4217" s="8"/>
      <c r="BC4217" s="8"/>
      <c r="BD4217" s="8"/>
      <c r="BE4217" s="8"/>
      <c r="BF4217" s="8">
        <v>105.66</v>
      </c>
      <c r="BG4217" s="8">
        <v>42.44</v>
      </c>
      <c r="BH4217" s="9">
        <f t="shared" si="585"/>
        <v>449.86</v>
      </c>
      <c r="BI4217" s="9">
        <f t="shared" si="586"/>
        <v>2.36</v>
      </c>
      <c r="BJ4217" s="9">
        <f t="shared" si="587"/>
        <v>4.0599999999999996</v>
      </c>
      <c r="BK4217" s="9">
        <f t="shared" si="588"/>
        <v>13</v>
      </c>
      <c r="BL4217" s="9">
        <f t="shared" si="589"/>
        <v>0</v>
      </c>
      <c r="BM4217" s="9">
        <f t="shared" si="590"/>
        <v>7.29</v>
      </c>
      <c r="BN4217" s="9">
        <f t="shared" si="591"/>
        <v>520.49</v>
      </c>
      <c r="BO4217" s="9">
        <f t="shared" si="592"/>
        <v>0</v>
      </c>
      <c r="BP4217" s="9">
        <f t="shared" si="593"/>
        <v>105.66</v>
      </c>
    </row>
    <row r="4218" spans="1:68">
      <c r="A4218" s="6">
        <v>45334</v>
      </c>
      <c r="B4218" s="7">
        <v>3145</v>
      </c>
      <c r="C4218" s="8">
        <v>1252.22</v>
      </c>
      <c r="D4218" s="8">
        <v>220.84</v>
      </c>
      <c r="E4218" s="8"/>
      <c r="F4218" s="8"/>
      <c r="G4218" s="8"/>
      <c r="H4218" s="8"/>
      <c r="I4218" s="8"/>
      <c r="J4218" s="8"/>
      <c r="K4218" s="8"/>
      <c r="L4218" s="8"/>
      <c r="M4218" s="8">
        <v>4.28</v>
      </c>
      <c r="N4218" s="8"/>
      <c r="O4218" s="8"/>
      <c r="P4218" s="8"/>
      <c r="Q4218" s="8"/>
      <c r="R4218" s="8"/>
      <c r="S4218" s="8">
        <v>6.92</v>
      </c>
      <c r="T4218" s="8"/>
      <c r="U4218" s="8">
        <v>22.1</v>
      </c>
      <c r="V4218" s="8"/>
      <c r="W4218" s="8"/>
      <c r="X4218" s="8"/>
      <c r="Y4218" s="8"/>
      <c r="Z4218" s="8"/>
      <c r="AA4218" s="8"/>
      <c r="AB4218" s="8"/>
      <c r="AC4218" s="8">
        <v>5.89</v>
      </c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>
        <v>974.56</v>
      </c>
      <c r="AU4218" s="8"/>
      <c r="AV4218" s="8"/>
      <c r="AW4218" s="8"/>
      <c r="AX4218" s="8"/>
      <c r="AY4218" s="8"/>
      <c r="AZ4218" s="8"/>
      <c r="BA4218" s="8"/>
      <c r="BB4218" s="8"/>
      <c r="BC4218" s="8"/>
      <c r="BD4218" s="8">
        <v>3.68</v>
      </c>
      <c r="BE4218" s="8">
        <f>1366*9.82/1000</f>
        <v>13.41412</v>
      </c>
      <c r="BF4218" s="8">
        <v>103.16</v>
      </c>
      <c r="BG4218" s="8">
        <v>76.36</v>
      </c>
      <c r="BH4218" s="9">
        <f t="shared" si="585"/>
        <v>1473.06</v>
      </c>
      <c r="BI4218" s="9">
        <f t="shared" si="586"/>
        <v>4.28</v>
      </c>
      <c r="BJ4218" s="9">
        <f t="shared" si="587"/>
        <v>6.92</v>
      </c>
      <c r="BK4218" s="9">
        <f t="shared" si="588"/>
        <v>22.1</v>
      </c>
      <c r="BL4218" s="9">
        <f t="shared" si="589"/>
        <v>0</v>
      </c>
      <c r="BM4218" s="9">
        <f t="shared" si="590"/>
        <v>5.89</v>
      </c>
      <c r="BN4218" s="9">
        <f t="shared" si="591"/>
        <v>974.56</v>
      </c>
      <c r="BO4218" s="9">
        <f t="shared" si="592"/>
        <v>17.09412</v>
      </c>
      <c r="BP4218" s="9">
        <f t="shared" si="593"/>
        <v>103.16</v>
      </c>
    </row>
    <row r="4219" spans="1:68">
      <c r="A4219" s="6">
        <v>45334</v>
      </c>
      <c r="B4219" s="7">
        <v>3106</v>
      </c>
      <c r="C4219" s="8">
        <f>2570.72+2144.04</f>
        <v>4714.76</v>
      </c>
      <c r="D4219" s="8"/>
      <c r="E4219" s="8"/>
      <c r="F4219" s="8"/>
      <c r="G4219" s="8"/>
      <c r="H4219" s="8"/>
      <c r="I4219" s="8"/>
      <c r="J4219" s="8"/>
      <c r="K4219" s="8"/>
      <c r="L4219" s="8"/>
      <c r="M4219" s="8">
        <f>5.79+6.94</f>
        <v>12.73</v>
      </c>
      <c r="N4219" s="8"/>
      <c r="O4219" s="8"/>
      <c r="P4219" s="8"/>
      <c r="Q4219" s="8"/>
      <c r="R4219" s="8"/>
      <c r="S4219" s="8">
        <f>6.44+7.74</f>
        <v>14.18</v>
      </c>
      <c r="T4219" s="8"/>
      <c r="U4219" s="8">
        <f>27.23+32.68</f>
        <v>59.91</v>
      </c>
      <c r="V4219" s="8"/>
      <c r="W4219" s="8"/>
      <c r="X4219" s="8"/>
      <c r="Y4219" s="8"/>
      <c r="Z4219" s="8"/>
      <c r="AA4219" s="8"/>
      <c r="AB4219" s="8"/>
      <c r="AC4219" s="8">
        <f>5.35+6.43</f>
        <v>11.78</v>
      </c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>
        <f>1222.34+1465.27</f>
        <v>2687.6099999999997</v>
      </c>
      <c r="AU4219" s="8"/>
      <c r="AV4219" s="8"/>
      <c r="AW4219" s="8"/>
      <c r="AX4219" s="8">
        <f>2.68+3.22</f>
        <v>5.9</v>
      </c>
      <c r="AY4219" s="8"/>
      <c r="AZ4219" s="8"/>
      <c r="BA4219" s="8"/>
      <c r="BB4219" s="8"/>
      <c r="BC4219" s="8"/>
      <c r="BD4219" s="8"/>
      <c r="BE4219" s="8"/>
      <c r="BF4219" s="8"/>
      <c r="BG4219" s="8">
        <f>92.09+110.8</f>
        <v>202.89</v>
      </c>
      <c r="BH4219" s="9">
        <f t="shared" si="585"/>
        <v>4714.76</v>
      </c>
      <c r="BI4219" s="9">
        <f t="shared" si="586"/>
        <v>12.73</v>
      </c>
      <c r="BJ4219" s="9">
        <f t="shared" si="587"/>
        <v>14.18</v>
      </c>
      <c r="BK4219" s="9">
        <f t="shared" si="588"/>
        <v>59.91</v>
      </c>
      <c r="BL4219" s="9">
        <f t="shared" si="589"/>
        <v>0</v>
      </c>
      <c r="BM4219" s="9">
        <f t="shared" si="590"/>
        <v>11.78</v>
      </c>
      <c r="BN4219" s="9">
        <f t="shared" si="591"/>
        <v>2687.6099999999997</v>
      </c>
      <c r="BO4219" s="9">
        <f t="shared" si="592"/>
        <v>5.9</v>
      </c>
      <c r="BP4219" s="9">
        <f t="shared" si="593"/>
        <v>0</v>
      </c>
    </row>
    <row r="4220" spans="1:68">
      <c r="A4220" s="6">
        <v>45335</v>
      </c>
      <c r="B4220" s="7">
        <v>3020</v>
      </c>
      <c r="C4220" s="8"/>
      <c r="D4220" s="8">
        <v>172.79</v>
      </c>
      <c r="E4220" s="8"/>
      <c r="F4220" s="8"/>
      <c r="G4220" s="8"/>
      <c r="H4220" s="8"/>
      <c r="I4220" s="8">
        <v>982.6</v>
      </c>
      <c r="J4220" s="8"/>
      <c r="K4220" s="8"/>
      <c r="L4220" s="8"/>
      <c r="M4220" s="8"/>
      <c r="N4220" s="8">
        <v>7.04</v>
      </c>
      <c r="O4220" s="8"/>
      <c r="P4220" s="8"/>
      <c r="Q4220" s="8"/>
      <c r="R4220" s="8"/>
      <c r="S4220" s="8">
        <v>2.08</v>
      </c>
      <c r="T4220" s="8"/>
      <c r="U4220" s="8"/>
      <c r="V4220" s="8"/>
      <c r="W4220" s="8">
        <v>11.56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>
        <v>11.56</v>
      </c>
      <c r="AN4220" s="8"/>
      <c r="AO4220" s="8"/>
      <c r="AP4220" s="8"/>
      <c r="AQ4220" s="8"/>
      <c r="AR4220" s="8"/>
      <c r="AS4220" s="8">
        <v>29.45</v>
      </c>
      <c r="AT4220" s="8">
        <v>567.6</v>
      </c>
      <c r="AU4220" s="8"/>
      <c r="AV4220" s="8"/>
      <c r="AW4220" s="8"/>
      <c r="AX4220" s="8"/>
      <c r="AY4220" s="8"/>
      <c r="AZ4220" s="8"/>
      <c r="BA4220" s="8"/>
      <c r="BB4220" s="8"/>
      <c r="BC4220" s="8"/>
      <c r="BD4220" s="8"/>
      <c r="BE4220" s="8"/>
      <c r="BF4220" s="8"/>
      <c r="BG4220" s="8">
        <v>41.69</v>
      </c>
      <c r="BH4220" s="9">
        <f t="shared" si="585"/>
        <v>1155.3900000000001</v>
      </c>
      <c r="BI4220" s="9">
        <f t="shared" si="586"/>
        <v>7.04</v>
      </c>
      <c r="BJ4220" s="9">
        <f t="shared" si="587"/>
        <v>2.08</v>
      </c>
      <c r="BK4220" s="9">
        <f t="shared" si="588"/>
        <v>11.56</v>
      </c>
      <c r="BL4220" s="9">
        <f t="shared" si="589"/>
        <v>0</v>
      </c>
      <c r="BM4220" s="9">
        <f t="shared" si="590"/>
        <v>41.01</v>
      </c>
      <c r="BN4220" s="9">
        <f t="shared" si="591"/>
        <v>567.6</v>
      </c>
      <c r="BO4220" s="9">
        <f t="shared" si="592"/>
        <v>0</v>
      </c>
      <c r="BP4220" s="9">
        <f t="shared" si="593"/>
        <v>0</v>
      </c>
    </row>
    <row r="4221" spans="1:68">
      <c r="A4221" s="6">
        <v>45335</v>
      </c>
      <c r="B4221" s="7">
        <v>3602</v>
      </c>
      <c r="C4221" s="8">
        <v>577.12</v>
      </c>
      <c r="D4221" s="8"/>
      <c r="E4221" s="8"/>
      <c r="F4221" s="8"/>
      <c r="G4221" s="8">
        <v>865.72</v>
      </c>
      <c r="H4221" s="8"/>
      <c r="I4221" s="8"/>
      <c r="J4221" s="8"/>
      <c r="K4221" s="8"/>
      <c r="L4221" s="8"/>
      <c r="M4221" s="8">
        <v>1.74</v>
      </c>
      <c r="N4221" s="8"/>
      <c r="O4221" s="8"/>
      <c r="P4221" s="8"/>
      <c r="Q4221" s="8"/>
      <c r="R4221" s="8"/>
      <c r="S4221" s="8">
        <v>6.93</v>
      </c>
      <c r="T4221" s="8"/>
      <c r="U4221" s="8">
        <v>11.55</v>
      </c>
      <c r="V4221" s="8">
        <v>14.2</v>
      </c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>
        <v>582.48</v>
      </c>
      <c r="AU4221" s="8"/>
      <c r="AV4221" s="8"/>
      <c r="AW4221" s="8">
        <v>37.340000000000003</v>
      </c>
      <c r="AX4221" s="8"/>
      <c r="AY4221" s="8"/>
      <c r="AZ4221" s="8"/>
      <c r="BA4221" s="8"/>
      <c r="BB4221" s="8"/>
      <c r="BC4221" s="8"/>
      <c r="BD4221" s="8"/>
      <c r="BE4221" s="8"/>
      <c r="BF4221" s="8">
        <v>46.24</v>
      </c>
      <c r="BG4221" s="8">
        <v>43.48</v>
      </c>
      <c r="BH4221" s="9">
        <f t="shared" si="585"/>
        <v>1442.8400000000001</v>
      </c>
      <c r="BI4221" s="9">
        <f t="shared" si="586"/>
        <v>1.74</v>
      </c>
      <c r="BJ4221" s="9">
        <f t="shared" si="587"/>
        <v>6.93</v>
      </c>
      <c r="BK4221" s="9">
        <f t="shared" si="588"/>
        <v>25.75</v>
      </c>
      <c r="BL4221" s="9">
        <f t="shared" si="589"/>
        <v>0</v>
      </c>
      <c r="BM4221" s="9">
        <f t="shared" si="590"/>
        <v>0</v>
      </c>
      <c r="BN4221" s="9">
        <f t="shared" si="591"/>
        <v>582.48</v>
      </c>
      <c r="BO4221" s="9">
        <f t="shared" si="592"/>
        <v>37.340000000000003</v>
      </c>
      <c r="BP4221" s="9">
        <f t="shared" si="593"/>
        <v>46.24</v>
      </c>
    </row>
    <row r="4222" spans="1:68">
      <c r="A4222" s="6">
        <v>45335</v>
      </c>
      <c r="B4222" s="7">
        <v>3028</v>
      </c>
      <c r="C4222" s="8"/>
      <c r="D4222" s="8">
        <v>720.77</v>
      </c>
      <c r="E4222" s="8"/>
      <c r="F4222" s="8">
        <v>663.4</v>
      </c>
      <c r="G4222" s="8"/>
      <c r="H4222" s="8"/>
      <c r="I4222" s="8">
        <v>1501.64</v>
      </c>
      <c r="J4222" s="8"/>
      <c r="K4222" s="8"/>
      <c r="L4222" s="8"/>
      <c r="M4222" s="8"/>
      <c r="N4222" s="8">
        <v>22.2</v>
      </c>
      <c r="O4222" s="8"/>
      <c r="P4222" s="8"/>
      <c r="Q4222" s="8"/>
      <c r="R4222" s="8"/>
      <c r="S4222" s="8">
        <v>4.04</v>
      </c>
      <c r="T4222" s="8"/>
      <c r="U4222" s="8"/>
      <c r="V4222" s="8"/>
      <c r="W4222" s="8">
        <v>21.62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>
        <v>28.8</v>
      </c>
      <c r="AN4222" s="8">
        <v>20.71</v>
      </c>
      <c r="AO4222" s="8"/>
      <c r="AP4222" s="8"/>
      <c r="AQ4222" s="8"/>
      <c r="AR4222" s="8"/>
      <c r="AS4222" s="8">
        <v>95.17</v>
      </c>
      <c r="AT4222" s="8">
        <v>961.6</v>
      </c>
      <c r="AU4222" s="8"/>
      <c r="AV4222" s="8"/>
      <c r="AW4222" s="8"/>
      <c r="AX4222" s="8"/>
      <c r="AY4222" s="8"/>
      <c r="AZ4222" s="8"/>
      <c r="BA4222" s="8"/>
      <c r="BB4222" s="8"/>
      <c r="BC4222" s="8"/>
      <c r="BD4222" s="8"/>
      <c r="BE4222" s="8"/>
      <c r="BF4222" s="8"/>
      <c r="BG4222" s="8">
        <v>65.510000000000005</v>
      </c>
      <c r="BH4222" s="9">
        <f t="shared" si="585"/>
        <v>2885.8100000000004</v>
      </c>
      <c r="BI4222" s="9">
        <f t="shared" si="586"/>
        <v>22.2</v>
      </c>
      <c r="BJ4222" s="9">
        <f t="shared" si="587"/>
        <v>4.04</v>
      </c>
      <c r="BK4222" s="9">
        <f t="shared" si="588"/>
        <v>21.62</v>
      </c>
      <c r="BL4222" s="9">
        <f t="shared" si="589"/>
        <v>0</v>
      </c>
      <c r="BM4222" s="9">
        <f t="shared" si="590"/>
        <v>144.68</v>
      </c>
      <c r="BN4222" s="9">
        <f t="shared" si="591"/>
        <v>961.6</v>
      </c>
      <c r="BO4222" s="9">
        <f t="shared" si="592"/>
        <v>0</v>
      </c>
      <c r="BP4222" s="9">
        <f t="shared" si="593"/>
        <v>0</v>
      </c>
    </row>
    <row r="4223" spans="1:68">
      <c r="A4223" s="6">
        <v>45335</v>
      </c>
      <c r="B4223" s="7">
        <v>3016</v>
      </c>
      <c r="C4223" s="8"/>
      <c r="D4223" s="8">
        <v>2364.17</v>
      </c>
      <c r="E4223" s="8"/>
      <c r="F4223" s="8"/>
      <c r="G4223" s="8"/>
      <c r="H4223" s="8"/>
      <c r="I4223" s="8">
        <v>2180.3000000000002</v>
      </c>
      <c r="J4223" s="8"/>
      <c r="K4223" s="8"/>
      <c r="L4223" s="8"/>
      <c r="M4223" s="8"/>
      <c r="N4223" s="8">
        <v>28.65</v>
      </c>
      <c r="O4223" s="8"/>
      <c r="P4223" s="8"/>
      <c r="Q4223" s="8"/>
      <c r="R4223" s="8"/>
      <c r="S4223" s="8">
        <v>3.17</v>
      </c>
      <c r="T4223" s="8"/>
      <c r="U4223" s="8"/>
      <c r="V4223" s="8"/>
      <c r="W4223" s="8">
        <v>45.53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>
        <v>18.18</v>
      </c>
      <c r="AN4223" s="8">
        <v>55.01</v>
      </c>
      <c r="AO4223" s="8"/>
      <c r="AP4223" s="8"/>
      <c r="AQ4223" s="8"/>
      <c r="AR4223" s="8">
        <v>116.12</v>
      </c>
      <c r="AS4223" s="8"/>
      <c r="AT4223" s="8">
        <v>1693.27</v>
      </c>
      <c r="AU4223" s="8"/>
      <c r="AV4223" s="8"/>
      <c r="AW4223" s="8"/>
      <c r="AX4223" s="8"/>
      <c r="AY4223" s="8"/>
      <c r="AZ4223" s="8"/>
      <c r="BA4223" s="8"/>
      <c r="BB4223" s="8"/>
      <c r="BC4223" s="8"/>
      <c r="BD4223" s="8"/>
      <c r="BE4223" s="8"/>
      <c r="BF4223" s="8"/>
      <c r="BG4223" s="8">
        <v>123.78</v>
      </c>
      <c r="BH4223" s="9">
        <f t="shared" si="585"/>
        <v>4544.47</v>
      </c>
      <c r="BI4223" s="9">
        <f t="shared" si="586"/>
        <v>28.65</v>
      </c>
      <c r="BJ4223" s="9">
        <f t="shared" si="587"/>
        <v>3.17</v>
      </c>
      <c r="BK4223" s="9">
        <f t="shared" si="588"/>
        <v>45.53</v>
      </c>
      <c r="BL4223" s="9">
        <f t="shared" si="589"/>
        <v>0</v>
      </c>
      <c r="BM4223" s="9">
        <f t="shared" si="590"/>
        <v>189.31</v>
      </c>
      <c r="BN4223" s="9">
        <f t="shared" si="591"/>
        <v>1693.27</v>
      </c>
      <c r="BO4223" s="9">
        <f t="shared" si="592"/>
        <v>0</v>
      </c>
      <c r="BP4223" s="9">
        <f t="shared" si="593"/>
        <v>0</v>
      </c>
    </row>
    <row r="4224" spans="1:68">
      <c r="A4224" s="6">
        <v>45335</v>
      </c>
      <c r="B4224" s="7">
        <v>8273</v>
      </c>
      <c r="C4224" s="8"/>
      <c r="D4224" s="8">
        <v>381.81</v>
      </c>
      <c r="E4224" s="8"/>
      <c r="F4224" s="8"/>
      <c r="G4224" s="8"/>
      <c r="H4224" s="8"/>
      <c r="I4224" s="8">
        <v>572</v>
      </c>
      <c r="J4224" s="8"/>
      <c r="K4224" s="8"/>
      <c r="L4224" s="8"/>
      <c r="M4224" s="8"/>
      <c r="N4224" s="8">
        <v>7.55</v>
      </c>
      <c r="O4224" s="8"/>
      <c r="P4224" s="8"/>
      <c r="Q4224" s="8"/>
      <c r="R4224" s="8"/>
      <c r="S4224" s="8">
        <v>0.67</v>
      </c>
      <c r="T4224" s="8"/>
      <c r="U4224" s="8"/>
      <c r="V4224" s="8"/>
      <c r="W4224" s="8"/>
      <c r="X4224" s="8">
        <v>10.85</v>
      </c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>
        <v>2.6</v>
      </c>
      <c r="AN4224" s="8"/>
      <c r="AO4224" s="8"/>
      <c r="AP4224" s="8"/>
      <c r="AQ4224" s="8"/>
      <c r="AR4224" s="8">
        <v>14.43</v>
      </c>
      <c r="AS4224" s="8">
        <v>14.6</v>
      </c>
      <c r="AT4224" s="8">
        <v>343.87</v>
      </c>
      <c r="AU4224" s="8">
        <v>46.77</v>
      </c>
      <c r="AV4224" s="8"/>
      <c r="AW4224" s="8"/>
      <c r="AX4224" s="8"/>
      <c r="AY4224" s="8"/>
      <c r="AZ4224" s="8"/>
      <c r="BA4224" s="8"/>
      <c r="BB4224" s="8"/>
      <c r="BC4224" s="8"/>
      <c r="BD4224" s="8"/>
      <c r="BE4224" s="8"/>
      <c r="BF4224" s="8"/>
      <c r="BG4224" s="8">
        <v>29.86</v>
      </c>
      <c r="BH4224" s="9">
        <f t="shared" si="585"/>
        <v>953.81</v>
      </c>
      <c r="BI4224" s="9">
        <f t="shared" si="586"/>
        <v>7.55</v>
      </c>
      <c r="BJ4224" s="9">
        <f t="shared" si="587"/>
        <v>0.67</v>
      </c>
      <c r="BK4224" s="9">
        <f t="shared" si="588"/>
        <v>10.85</v>
      </c>
      <c r="BL4224" s="9">
        <f t="shared" si="589"/>
        <v>0</v>
      </c>
      <c r="BM4224" s="9">
        <f t="shared" si="590"/>
        <v>31.630000000000003</v>
      </c>
      <c r="BN4224" s="9">
        <f t="shared" si="591"/>
        <v>390.64</v>
      </c>
      <c r="BO4224" s="9">
        <f t="shared" si="592"/>
        <v>0</v>
      </c>
      <c r="BP4224" s="9">
        <f t="shared" si="593"/>
        <v>0</v>
      </c>
    </row>
    <row r="4225" spans="1:68">
      <c r="A4225" s="6">
        <v>45337</v>
      </c>
      <c r="B4225" s="7">
        <v>3141</v>
      </c>
      <c r="C4225" s="8">
        <v>2397.37</v>
      </c>
      <c r="D4225" s="8">
        <v>423.29</v>
      </c>
      <c r="E4225" s="8"/>
      <c r="F4225" s="8"/>
      <c r="G4225" s="8"/>
      <c r="H4225" s="8"/>
      <c r="I4225" s="8"/>
      <c r="J4225" s="8"/>
      <c r="K4225" s="8"/>
      <c r="L4225" s="8"/>
      <c r="M4225" s="8">
        <v>8.65</v>
      </c>
      <c r="N4225" s="8"/>
      <c r="O4225" s="8"/>
      <c r="P4225" s="8"/>
      <c r="Q4225" s="8"/>
      <c r="R4225" s="8"/>
      <c r="S4225" s="8">
        <v>13.27</v>
      </c>
      <c r="T4225" s="8"/>
      <c r="U4225" s="8">
        <v>42.36</v>
      </c>
      <c r="V4225" s="8"/>
      <c r="W4225" s="8"/>
      <c r="X4225" s="8"/>
      <c r="Y4225" s="8"/>
      <c r="Z4225" s="8"/>
      <c r="AA4225" s="8"/>
      <c r="AB4225" s="8"/>
      <c r="AC4225" s="8">
        <v>11.29</v>
      </c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>
        <v>1853.45</v>
      </c>
      <c r="AU4225" s="8"/>
      <c r="AV4225" s="8"/>
      <c r="AW4225" s="8"/>
      <c r="AX4225" s="8"/>
      <c r="AY4225" s="8"/>
      <c r="AZ4225" s="8"/>
      <c r="BA4225" s="8">
        <v>64.73</v>
      </c>
      <c r="BB4225" s="8"/>
      <c r="BC4225" s="8"/>
      <c r="BD4225" s="8"/>
      <c r="BE4225" s="8"/>
      <c r="BF4225" s="8">
        <v>197.69</v>
      </c>
      <c r="BG4225" s="8">
        <v>147.01</v>
      </c>
      <c r="BH4225" s="9">
        <f t="shared" si="585"/>
        <v>2820.66</v>
      </c>
      <c r="BI4225" s="9">
        <f t="shared" si="586"/>
        <v>8.65</v>
      </c>
      <c r="BJ4225" s="9">
        <f t="shared" si="587"/>
        <v>13.27</v>
      </c>
      <c r="BK4225" s="9">
        <f t="shared" si="588"/>
        <v>42.36</v>
      </c>
      <c r="BL4225" s="9">
        <f t="shared" si="589"/>
        <v>0</v>
      </c>
      <c r="BM4225" s="9">
        <f t="shared" si="590"/>
        <v>11.29</v>
      </c>
      <c r="BN4225" s="9">
        <f t="shared" si="591"/>
        <v>1853.45</v>
      </c>
      <c r="BO4225" s="9">
        <f t="shared" si="592"/>
        <v>64.73</v>
      </c>
      <c r="BP4225" s="9">
        <f t="shared" si="593"/>
        <v>197.69</v>
      </c>
    </row>
    <row r="4226" spans="1:68">
      <c r="A4226" s="6">
        <v>45337</v>
      </c>
      <c r="B4226" s="7">
        <v>3106</v>
      </c>
      <c r="C4226" s="8">
        <v>6131.31</v>
      </c>
      <c r="D4226" s="8"/>
      <c r="E4226" s="8"/>
      <c r="F4226" s="8"/>
      <c r="G4226" s="8"/>
      <c r="H4226" s="8"/>
      <c r="I4226" s="8"/>
      <c r="J4226" s="8"/>
      <c r="K4226" s="8"/>
      <c r="L4226" s="8"/>
      <c r="M4226" s="8">
        <v>17.12</v>
      </c>
      <c r="N4226" s="8"/>
      <c r="O4226" s="8"/>
      <c r="P4226" s="8"/>
      <c r="Q4226" s="8"/>
      <c r="R4226" s="8"/>
      <c r="S4226" s="8">
        <v>18.43</v>
      </c>
      <c r="T4226" s="8"/>
      <c r="U4226" s="8">
        <v>77.91</v>
      </c>
      <c r="V4226" s="8"/>
      <c r="W4226" s="8"/>
      <c r="X4226" s="8"/>
      <c r="Y4226" s="8"/>
      <c r="Z4226" s="8"/>
      <c r="AA4226" s="8"/>
      <c r="AB4226" s="8"/>
      <c r="AC4226" s="8">
        <v>15.33</v>
      </c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>
        <v>3491.92</v>
      </c>
      <c r="AU4226" s="8"/>
      <c r="AV4226" s="8"/>
      <c r="AW4226" s="8"/>
      <c r="AX4226" s="8">
        <v>7.67</v>
      </c>
      <c r="AY4226" s="8"/>
      <c r="AZ4226" s="8"/>
      <c r="BA4226" s="8"/>
      <c r="BB4226" s="8"/>
      <c r="BC4226" s="8"/>
      <c r="BD4226" s="8"/>
      <c r="BE4226" s="8"/>
      <c r="BF4226" s="8"/>
      <c r="BG4226" s="8">
        <v>263.75</v>
      </c>
      <c r="BH4226" s="9">
        <f t="shared" si="585"/>
        <v>6131.31</v>
      </c>
      <c r="BI4226" s="9">
        <f t="shared" si="586"/>
        <v>17.12</v>
      </c>
      <c r="BJ4226" s="9">
        <f t="shared" si="587"/>
        <v>18.43</v>
      </c>
      <c r="BK4226" s="9">
        <f t="shared" si="588"/>
        <v>77.91</v>
      </c>
      <c r="BL4226" s="9">
        <f t="shared" si="589"/>
        <v>0</v>
      </c>
      <c r="BM4226" s="9">
        <f t="shared" si="590"/>
        <v>15.33</v>
      </c>
      <c r="BN4226" s="9">
        <f t="shared" si="591"/>
        <v>3491.92</v>
      </c>
      <c r="BO4226" s="9">
        <f t="shared" si="592"/>
        <v>7.67</v>
      </c>
      <c r="BP4226" s="9">
        <f t="shared" si="593"/>
        <v>0</v>
      </c>
    </row>
    <row r="4227" spans="1:68">
      <c r="A4227" s="6">
        <v>45337</v>
      </c>
      <c r="B4227" s="7">
        <v>3127</v>
      </c>
      <c r="C4227" s="8">
        <v>1127.8</v>
      </c>
      <c r="D4227" s="8"/>
      <c r="E4227" s="8"/>
      <c r="F4227" s="8"/>
      <c r="G4227" s="8"/>
      <c r="H4227" s="8"/>
      <c r="I4227" s="8"/>
      <c r="J4227" s="8"/>
      <c r="K4227" s="8"/>
      <c r="L4227" s="8"/>
      <c r="M4227" s="8">
        <v>3.25</v>
      </c>
      <c r="N4227" s="8"/>
      <c r="O4227" s="8"/>
      <c r="P4227" s="8"/>
      <c r="Q4227" s="11"/>
      <c r="R4227" s="11"/>
      <c r="S4227" s="8">
        <v>5.41</v>
      </c>
      <c r="T4227" s="8"/>
      <c r="U4227" s="8">
        <v>11.3</v>
      </c>
      <c r="V4227" s="8"/>
      <c r="W4227" s="8"/>
      <c r="X4227" s="8"/>
      <c r="Y4227" s="8"/>
      <c r="Z4227" s="8">
        <v>168.93</v>
      </c>
      <c r="AA4227" s="8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  <c r="AO4227" s="8"/>
      <c r="AP4227" s="11"/>
      <c r="AQ4227" s="8"/>
      <c r="AR4227" s="8"/>
      <c r="AS4227" s="8"/>
      <c r="AT4227" s="8">
        <v>554.09</v>
      </c>
      <c r="AU4227" s="8"/>
      <c r="AV4227" s="8">
        <v>22.57</v>
      </c>
      <c r="AW4227" s="8"/>
      <c r="AX4227" s="8"/>
      <c r="AY4227" s="8"/>
      <c r="AZ4227" s="8"/>
      <c r="BA4227" s="8"/>
      <c r="BB4227" s="8"/>
      <c r="BC4227" s="8"/>
      <c r="BD4227" s="8"/>
      <c r="BE4227" s="8"/>
      <c r="BF4227" s="8">
        <v>56.39</v>
      </c>
      <c r="BG4227" s="8">
        <v>39.51</v>
      </c>
      <c r="BH4227" s="9">
        <f t="shared" si="585"/>
        <v>1127.8</v>
      </c>
      <c r="BI4227" s="9">
        <f t="shared" si="586"/>
        <v>3.25</v>
      </c>
      <c r="BJ4227" s="9">
        <f t="shared" si="587"/>
        <v>5.41</v>
      </c>
      <c r="BK4227" s="9">
        <f t="shared" si="588"/>
        <v>11.3</v>
      </c>
      <c r="BL4227" s="9">
        <f t="shared" si="589"/>
        <v>168.93</v>
      </c>
      <c r="BM4227" s="9">
        <f t="shared" si="590"/>
        <v>0</v>
      </c>
      <c r="BN4227" s="9">
        <f t="shared" si="591"/>
        <v>554.09</v>
      </c>
      <c r="BO4227" s="9">
        <f t="shared" si="592"/>
        <v>22.57</v>
      </c>
      <c r="BP4227" s="9">
        <f t="shared" si="593"/>
        <v>56.39</v>
      </c>
    </row>
    <row r="4228" spans="1:68">
      <c r="A4228" s="6">
        <v>45337</v>
      </c>
      <c r="B4228" s="7">
        <v>3406</v>
      </c>
      <c r="C4228" s="8">
        <v>629.98</v>
      </c>
      <c r="D4228" s="8">
        <v>158.80000000000001</v>
      </c>
      <c r="E4228" s="8"/>
      <c r="F4228" s="8"/>
      <c r="G4228" s="8"/>
      <c r="H4228" s="8"/>
      <c r="I4228" s="8"/>
      <c r="J4228" s="8"/>
      <c r="K4228" s="8"/>
      <c r="L4228" s="8"/>
      <c r="M4228" s="8">
        <v>1.84</v>
      </c>
      <c r="N4228" s="8"/>
      <c r="O4228" s="8"/>
      <c r="P4228" s="8"/>
      <c r="Q4228" s="11"/>
      <c r="R4228" s="11"/>
      <c r="S4228" s="8">
        <v>1.83</v>
      </c>
      <c r="T4228" s="8"/>
      <c r="U4228" s="8"/>
      <c r="V4228" s="8"/>
      <c r="W4228" s="8"/>
      <c r="X4228" s="8">
        <f>1238*7.97/1000</f>
        <v>9.8668600000000009</v>
      </c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11"/>
      <c r="AQ4228" s="8"/>
      <c r="AR4228" s="8"/>
      <c r="AS4228" s="8"/>
      <c r="AT4228" s="8">
        <v>401.67</v>
      </c>
      <c r="AU4228" s="8"/>
      <c r="AV4228" s="8">
        <v>23.91</v>
      </c>
      <c r="AW4228" s="8"/>
      <c r="AX4228" s="8"/>
      <c r="AY4228" s="8"/>
      <c r="AZ4228" s="8"/>
      <c r="BA4228" s="8"/>
      <c r="BB4228" s="8"/>
      <c r="BC4228" s="8"/>
      <c r="BD4228" s="8"/>
      <c r="BE4228" s="8"/>
      <c r="BF4228" s="8"/>
      <c r="BG4228" s="8">
        <v>27.13</v>
      </c>
      <c r="BH4228" s="9">
        <f t="shared" ref="BH4228:BH4291" si="594">SUM(C4228:L4228)</f>
        <v>788.78</v>
      </c>
      <c r="BI4228" s="9">
        <f t="shared" ref="BI4228:BI4291" si="595">SUM(M4228:R4228)</f>
        <v>1.84</v>
      </c>
      <c r="BJ4228" s="9">
        <f t="shared" ref="BJ4228:BJ4291" si="596">SUM(S4228)</f>
        <v>1.83</v>
      </c>
      <c r="BK4228" s="9">
        <f t="shared" ref="BK4228:BK4291" si="597">SUM(T4228:Y4228)</f>
        <v>9.8668600000000009</v>
      </c>
      <c r="BL4228" s="9">
        <f t="shared" ref="BL4228:BL4291" si="598">SUM(Z4228:AA4228)</f>
        <v>0</v>
      </c>
      <c r="BM4228" s="9">
        <f t="shared" ref="BM4228:BM4291" si="599">SUM(AB4228:AS4228)</f>
        <v>0</v>
      </c>
      <c r="BN4228" s="9">
        <f t="shared" ref="BN4228:BN4291" si="600">SUM(AT4228:AU4228)</f>
        <v>401.67</v>
      </c>
      <c r="BO4228" s="9">
        <f t="shared" ref="BO4228:BO4291" si="601">SUM(AV4228:BE4228)</f>
        <v>23.91</v>
      </c>
      <c r="BP4228" s="9">
        <f t="shared" ref="BP4228:BP4291" si="602">SUM(BF4228)</f>
        <v>0</v>
      </c>
    </row>
    <row r="4229" spans="1:68">
      <c r="A4229" s="6">
        <v>45337</v>
      </c>
      <c r="B4229" s="7">
        <v>3200</v>
      </c>
      <c r="C4229" s="8">
        <v>2373.31</v>
      </c>
      <c r="D4229" s="8"/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>
        <v>5.94</v>
      </c>
      <c r="P4229" s="8"/>
      <c r="Q4229" s="8"/>
      <c r="R4229" s="8"/>
      <c r="S4229" s="8">
        <v>9.26</v>
      </c>
      <c r="T4229" s="8"/>
      <c r="U4229" s="8">
        <v>35.6</v>
      </c>
      <c r="V4229" s="8"/>
      <c r="W4229" s="8"/>
      <c r="X4229" s="8"/>
      <c r="Y4229" s="8"/>
      <c r="Z4229" s="8">
        <v>498.8</v>
      </c>
      <c r="AA4229" s="8"/>
      <c r="AB4229" s="8"/>
      <c r="AC4229" s="8"/>
      <c r="AD4229" s="8"/>
      <c r="AE4229" s="8"/>
      <c r="AF4229" s="8">
        <v>118.99</v>
      </c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>
        <f>1535*23.73/1000</f>
        <v>36.425550000000001</v>
      </c>
      <c r="AR4229" s="8"/>
      <c r="AS4229" s="8"/>
      <c r="AT4229" s="8">
        <v>1624.61</v>
      </c>
      <c r="AU4229" s="8"/>
      <c r="AV4229" s="8"/>
      <c r="AW4229" s="8">
        <v>6.82</v>
      </c>
      <c r="AX4229" s="8"/>
      <c r="AY4229" s="8"/>
      <c r="AZ4229" s="8"/>
      <c r="BA4229" s="8"/>
      <c r="BB4229" s="8"/>
      <c r="BC4229" s="8"/>
      <c r="BD4229" s="8"/>
      <c r="BE4229" s="8"/>
      <c r="BF4229" s="8">
        <v>114.01</v>
      </c>
      <c r="BG4229" s="8">
        <v>117.67</v>
      </c>
      <c r="BH4229" s="9">
        <f t="shared" si="594"/>
        <v>2373.31</v>
      </c>
      <c r="BI4229" s="9">
        <f t="shared" si="595"/>
        <v>5.94</v>
      </c>
      <c r="BJ4229" s="9">
        <f t="shared" si="596"/>
        <v>9.26</v>
      </c>
      <c r="BK4229" s="9">
        <f t="shared" si="597"/>
        <v>35.6</v>
      </c>
      <c r="BL4229" s="9">
        <f t="shared" si="598"/>
        <v>498.8</v>
      </c>
      <c r="BM4229" s="9">
        <f t="shared" si="599"/>
        <v>155.41555</v>
      </c>
      <c r="BN4229" s="9">
        <f t="shared" si="600"/>
        <v>1624.61</v>
      </c>
      <c r="BO4229" s="9">
        <f t="shared" si="601"/>
        <v>6.82</v>
      </c>
      <c r="BP4229" s="9">
        <f t="shared" si="602"/>
        <v>114.01</v>
      </c>
    </row>
    <row r="4230" spans="1:68">
      <c r="A4230" s="6">
        <v>45337</v>
      </c>
      <c r="B4230" s="7">
        <v>3083</v>
      </c>
      <c r="C4230" s="8"/>
      <c r="D4230" s="8">
        <v>1083.31</v>
      </c>
      <c r="E4230" s="8"/>
      <c r="F4230" s="8"/>
      <c r="G4230" s="8"/>
      <c r="H4230" s="8"/>
      <c r="I4230" s="8">
        <v>2522.4499999999998</v>
      </c>
      <c r="J4230" s="8"/>
      <c r="K4230" s="8"/>
      <c r="L4230" s="8"/>
      <c r="M4230" s="8"/>
      <c r="N4230" s="8">
        <v>23.42</v>
      </c>
      <c r="O4230" s="8"/>
      <c r="P4230" s="8"/>
      <c r="Q4230" s="8"/>
      <c r="R4230" s="8"/>
      <c r="S4230" s="8">
        <v>2.5099999999999998</v>
      </c>
      <c r="T4230" s="8"/>
      <c r="U4230" s="8"/>
      <c r="V4230" s="8"/>
      <c r="W4230" s="8">
        <v>28.85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>
        <v>14.39</v>
      </c>
      <c r="AN4230" s="8">
        <f>1903*26.7/1000</f>
        <v>50.810099999999998</v>
      </c>
      <c r="AO4230" s="8"/>
      <c r="AP4230" s="8"/>
      <c r="AQ4230" s="8"/>
      <c r="AR4230" s="8">
        <f>3437*26.7/1000</f>
        <v>91.767899999999997</v>
      </c>
      <c r="AS4230" s="8"/>
      <c r="AT4230" s="8">
        <v>1693.73</v>
      </c>
      <c r="AU4230" s="8"/>
      <c r="AV4230" s="8"/>
      <c r="AW4230" s="8"/>
      <c r="AX4230" s="8"/>
      <c r="AY4230" s="8"/>
      <c r="AZ4230" s="8"/>
      <c r="BA4230" s="8"/>
      <c r="BB4230" s="8"/>
      <c r="BC4230" s="8"/>
      <c r="BD4230" s="8"/>
      <c r="BE4230" s="8"/>
      <c r="BF4230" s="8"/>
      <c r="BG4230" s="8">
        <v>134.5</v>
      </c>
      <c r="BH4230" s="9">
        <f t="shared" si="594"/>
        <v>3605.7599999999998</v>
      </c>
      <c r="BI4230" s="9">
        <f t="shared" si="595"/>
        <v>23.42</v>
      </c>
      <c r="BJ4230" s="9">
        <f t="shared" si="596"/>
        <v>2.5099999999999998</v>
      </c>
      <c r="BK4230" s="9">
        <f t="shared" si="597"/>
        <v>28.85</v>
      </c>
      <c r="BL4230" s="9">
        <f t="shared" si="598"/>
        <v>0</v>
      </c>
      <c r="BM4230" s="9">
        <f t="shared" si="599"/>
        <v>156.96799999999999</v>
      </c>
      <c r="BN4230" s="9">
        <f t="shared" si="600"/>
        <v>1693.73</v>
      </c>
      <c r="BO4230" s="9">
        <f t="shared" si="601"/>
        <v>0</v>
      </c>
      <c r="BP4230" s="9">
        <f t="shared" si="602"/>
        <v>0</v>
      </c>
    </row>
    <row r="4231" spans="1:68">
      <c r="A4231" s="6">
        <v>45337</v>
      </c>
      <c r="B4231" s="7">
        <v>3310</v>
      </c>
      <c r="C4231" s="8"/>
      <c r="D4231" s="8">
        <v>554.49</v>
      </c>
      <c r="E4231" s="8"/>
      <c r="F4231" s="8"/>
      <c r="G4231" s="8"/>
      <c r="H4231" s="8"/>
      <c r="I4231" s="8"/>
      <c r="J4231" s="8"/>
      <c r="K4231" s="8"/>
      <c r="L4231" s="8"/>
      <c r="M4231" s="8">
        <v>1.1100000000000001</v>
      </c>
      <c r="N4231" s="8"/>
      <c r="O4231" s="8"/>
      <c r="P4231" s="8"/>
      <c r="Q4231" s="8"/>
      <c r="R4231" s="8"/>
      <c r="S4231" s="8">
        <v>0.83</v>
      </c>
      <c r="T4231" s="8"/>
      <c r="U4231" s="8">
        <v>4.99</v>
      </c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  <c r="AG4231" s="8">
        <v>5.56</v>
      </c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>
        <v>148.18</v>
      </c>
      <c r="AU4231" s="8">
        <v>74</v>
      </c>
      <c r="AV4231" s="8"/>
      <c r="AW4231" s="8"/>
      <c r="AX4231" s="8"/>
      <c r="AY4231" s="8"/>
      <c r="AZ4231" s="8"/>
      <c r="BA4231" s="8"/>
      <c r="BB4231" s="8"/>
      <c r="BC4231" s="8"/>
      <c r="BD4231" s="8"/>
      <c r="BE4231" s="8"/>
      <c r="BF4231" s="8"/>
      <c r="BG4231" s="8">
        <v>15.42</v>
      </c>
      <c r="BH4231" s="9">
        <f t="shared" si="594"/>
        <v>554.49</v>
      </c>
      <c r="BI4231" s="9">
        <f t="shared" si="595"/>
        <v>1.1100000000000001</v>
      </c>
      <c r="BJ4231" s="9">
        <f t="shared" si="596"/>
        <v>0.83</v>
      </c>
      <c r="BK4231" s="9">
        <f t="shared" si="597"/>
        <v>4.99</v>
      </c>
      <c r="BL4231" s="9">
        <f t="shared" si="598"/>
        <v>0</v>
      </c>
      <c r="BM4231" s="9">
        <f t="shared" si="599"/>
        <v>5.56</v>
      </c>
      <c r="BN4231" s="9">
        <f t="shared" si="600"/>
        <v>222.18</v>
      </c>
      <c r="BO4231" s="9">
        <f t="shared" si="601"/>
        <v>0</v>
      </c>
      <c r="BP4231" s="9">
        <f t="shared" si="602"/>
        <v>0</v>
      </c>
    </row>
    <row r="4232" spans="1:68">
      <c r="A4232" s="6">
        <v>45338</v>
      </c>
      <c r="B4232" s="7">
        <v>3122</v>
      </c>
      <c r="C4232" s="8">
        <v>785.03</v>
      </c>
      <c r="D4232" s="8"/>
      <c r="E4232" s="8"/>
      <c r="F4232" s="8"/>
      <c r="G4232" s="8"/>
      <c r="H4232" s="8"/>
      <c r="I4232" s="8"/>
      <c r="J4232" s="8"/>
      <c r="K4232" s="8"/>
      <c r="L4232" s="8"/>
      <c r="M4232" s="8">
        <v>1.43</v>
      </c>
      <c r="N4232" s="8">
        <v>1.42</v>
      </c>
      <c r="O4232" s="8"/>
      <c r="P4232" s="8"/>
      <c r="Q4232" s="8"/>
      <c r="R4232" s="8"/>
      <c r="S4232" s="8">
        <v>3.23</v>
      </c>
      <c r="T4232" s="8"/>
      <c r="U4232" s="8">
        <v>7.88</v>
      </c>
      <c r="V4232" s="8"/>
      <c r="W4232" s="8"/>
      <c r="X4232" s="8"/>
      <c r="Y4232" s="8"/>
      <c r="Z4232" s="8"/>
      <c r="AA4232" s="8"/>
      <c r="AB4232" s="8"/>
      <c r="AC4232" s="8">
        <v>3.15</v>
      </c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>
        <v>348.76</v>
      </c>
      <c r="AU4232" s="8"/>
      <c r="AV4232" s="8">
        <v>26.74</v>
      </c>
      <c r="AW4232" s="8"/>
      <c r="AX4232" s="8"/>
      <c r="AY4232" s="8"/>
      <c r="AZ4232" s="8"/>
      <c r="BA4232" s="8"/>
      <c r="BB4232" s="8"/>
      <c r="BC4232" s="8"/>
      <c r="BD4232" s="8"/>
      <c r="BE4232" s="8"/>
      <c r="BF4232" s="8"/>
      <c r="BG4232" s="8">
        <v>25.61</v>
      </c>
      <c r="BH4232" s="9">
        <f t="shared" si="594"/>
        <v>785.03</v>
      </c>
      <c r="BI4232" s="9">
        <f t="shared" si="595"/>
        <v>2.8499999999999996</v>
      </c>
      <c r="BJ4232" s="9">
        <f t="shared" si="596"/>
        <v>3.23</v>
      </c>
      <c r="BK4232" s="9">
        <f t="shared" si="597"/>
        <v>7.88</v>
      </c>
      <c r="BL4232" s="9">
        <f t="shared" si="598"/>
        <v>0</v>
      </c>
      <c r="BM4232" s="9">
        <f t="shared" si="599"/>
        <v>3.15</v>
      </c>
      <c r="BN4232" s="9">
        <f t="shared" si="600"/>
        <v>348.76</v>
      </c>
      <c r="BO4232" s="9">
        <f t="shared" si="601"/>
        <v>26.74</v>
      </c>
      <c r="BP4232" s="9">
        <f t="shared" si="602"/>
        <v>0</v>
      </c>
    </row>
    <row r="4233" spans="1:68">
      <c r="A4233" s="6">
        <v>45338</v>
      </c>
      <c r="B4233" s="7">
        <v>3204</v>
      </c>
      <c r="C4233" s="8"/>
      <c r="D4233" s="8">
        <v>1739.88</v>
      </c>
      <c r="E4233" s="8">
        <v>741.33</v>
      </c>
      <c r="F4233" s="8"/>
      <c r="G4233" s="8"/>
      <c r="H4233" s="8"/>
      <c r="I4233" s="8"/>
      <c r="J4233" s="8"/>
      <c r="K4233" s="8"/>
      <c r="L4233" s="8"/>
      <c r="M4233" s="8"/>
      <c r="N4233" s="8"/>
      <c r="O4233" s="8">
        <v>12.41</v>
      </c>
      <c r="P4233" s="8"/>
      <c r="Q4233" s="8"/>
      <c r="R4233" s="8"/>
      <c r="S4233" s="8">
        <v>8.4499999999999993</v>
      </c>
      <c r="T4233" s="8"/>
      <c r="U4233" s="8">
        <v>27.39</v>
      </c>
      <c r="V4233" s="8"/>
      <c r="W4233" s="8"/>
      <c r="X4233" s="8"/>
      <c r="Y4233" s="8"/>
      <c r="Z4233" s="8">
        <v>373.27</v>
      </c>
      <c r="AA4233" s="8"/>
      <c r="AB4233" s="8">
        <f>708*17.77/1000</f>
        <v>12.581160000000001</v>
      </c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>
        <v>1089.6400000000001</v>
      </c>
      <c r="AU4233" s="8"/>
      <c r="AV4233" s="8"/>
      <c r="AW4233" s="8">
        <v>7.95</v>
      </c>
      <c r="AX4233" s="8"/>
      <c r="AY4233" s="8"/>
      <c r="AZ4233" s="8"/>
      <c r="BA4233" s="8"/>
      <c r="BB4233" s="8"/>
      <c r="BC4233" s="8"/>
      <c r="BD4233" s="8"/>
      <c r="BE4233" s="8"/>
      <c r="BF4233" s="8"/>
      <c r="BG4233" s="8">
        <v>80.849999999999994</v>
      </c>
      <c r="BH4233" s="9">
        <f t="shared" si="594"/>
        <v>2481.21</v>
      </c>
      <c r="BI4233" s="9">
        <f t="shared" si="595"/>
        <v>12.41</v>
      </c>
      <c r="BJ4233" s="9">
        <f t="shared" si="596"/>
        <v>8.4499999999999993</v>
      </c>
      <c r="BK4233" s="9">
        <f t="shared" si="597"/>
        <v>27.39</v>
      </c>
      <c r="BL4233" s="9">
        <f t="shared" si="598"/>
        <v>373.27</v>
      </c>
      <c r="BM4233" s="9">
        <f t="shared" si="599"/>
        <v>12.581160000000001</v>
      </c>
      <c r="BN4233" s="9">
        <f t="shared" si="600"/>
        <v>1089.6400000000001</v>
      </c>
      <c r="BO4233" s="9">
        <f t="shared" si="601"/>
        <v>7.95</v>
      </c>
      <c r="BP4233" s="9">
        <f t="shared" si="602"/>
        <v>0</v>
      </c>
    </row>
    <row r="4234" spans="1:68">
      <c r="A4234" s="6">
        <v>45338</v>
      </c>
      <c r="B4234" s="7">
        <v>3204</v>
      </c>
      <c r="C4234" s="8"/>
      <c r="D4234" s="8">
        <v>1013.33</v>
      </c>
      <c r="E4234" s="8">
        <v>433.26</v>
      </c>
      <c r="F4234" s="8"/>
      <c r="G4234" s="8"/>
      <c r="H4234" s="8"/>
      <c r="I4234" s="8"/>
      <c r="J4234" s="8"/>
      <c r="K4234" s="8"/>
      <c r="L4234" s="8"/>
      <c r="M4234" s="8"/>
      <c r="N4234" s="8"/>
      <c r="O4234" s="8">
        <v>7.23</v>
      </c>
      <c r="P4234" s="8"/>
      <c r="Q4234" s="8"/>
      <c r="R4234" s="8"/>
      <c r="S4234" s="8">
        <v>4.92</v>
      </c>
      <c r="T4234" s="8"/>
      <c r="U4234" s="8">
        <v>15.93</v>
      </c>
      <c r="V4234" s="8"/>
      <c r="W4234" s="8"/>
      <c r="X4234" s="8"/>
      <c r="Y4234" s="8"/>
      <c r="Z4234" s="8">
        <v>217.18</v>
      </c>
      <c r="AA4234" s="8"/>
      <c r="AB4234" s="8">
        <f>708*10.33/1000</f>
        <v>7.3136400000000004</v>
      </c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>
        <v>636.91999999999996</v>
      </c>
      <c r="AU4234" s="8"/>
      <c r="AV4234" s="8"/>
      <c r="AW4234" s="8">
        <v>4.62</v>
      </c>
      <c r="AX4234" s="8"/>
      <c r="AY4234" s="8"/>
      <c r="AZ4234" s="8"/>
      <c r="BA4234" s="8"/>
      <c r="BB4234" s="8"/>
      <c r="BC4234" s="8"/>
      <c r="BD4234" s="8"/>
      <c r="BE4234" s="8"/>
      <c r="BF4234" s="8"/>
      <c r="BG4234" s="8">
        <v>47.06</v>
      </c>
      <c r="BH4234" s="9">
        <f t="shared" si="594"/>
        <v>1446.5900000000001</v>
      </c>
      <c r="BI4234" s="9">
        <f t="shared" si="595"/>
        <v>7.23</v>
      </c>
      <c r="BJ4234" s="9">
        <f t="shared" si="596"/>
        <v>4.92</v>
      </c>
      <c r="BK4234" s="9">
        <f t="shared" si="597"/>
        <v>15.93</v>
      </c>
      <c r="BL4234" s="9">
        <f t="shared" si="598"/>
        <v>217.18</v>
      </c>
      <c r="BM4234" s="9">
        <f t="shared" si="599"/>
        <v>7.3136400000000004</v>
      </c>
      <c r="BN4234" s="9">
        <f t="shared" si="600"/>
        <v>636.91999999999996</v>
      </c>
      <c r="BO4234" s="9">
        <f t="shared" si="601"/>
        <v>4.62</v>
      </c>
      <c r="BP4234" s="9">
        <f t="shared" si="602"/>
        <v>0</v>
      </c>
    </row>
    <row r="4235" spans="1:68">
      <c r="A4235" s="6">
        <v>45338</v>
      </c>
      <c r="B4235" s="7">
        <v>3020</v>
      </c>
      <c r="C4235" s="8"/>
      <c r="D4235" s="8">
        <v>171.09</v>
      </c>
      <c r="E4235" s="8"/>
      <c r="F4235" s="8"/>
      <c r="G4235" s="8"/>
      <c r="H4235" s="8"/>
      <c r="I4235" s="8">
        <v>966.1</v>
      </c>
      <c r="J4235" s="8"/>
      <c r="K4235" s="8"/>
      <c r="L4235" s="8"/>
      <c r="M4235" s="8"/>
      <c r="N4235" s="8">
        <v>6.94</v>
      </c>
      <c r="O4235" s="8"/>
      <c r="P4235" s="8"/>
      <c r="Q4235" s="8"/>
      <c r="R4235" s="8"/>
      <c r="S4235" s="8">
        <v>2.04</v>
      </c>
      <c r="T4235" s="8"/>
      <c r="U4235" s="8"/>
      <c r="V4235" s="8"/>
      <c r="W4235" s="8">
        <v>11.38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>
        <v>11.34</v>
      </c>
      <c r="AN4235" s="8"/>
      <c r="AO4235" s="8"/>
      <c r="AP4235" s="8"/>
      <c r="AQ4235" s="8"/>
      <c r="AR4235" s="8"/>
      <c r="AS4235" s="8">
        <f>3009*9.47/1000</f>
        <v>28.495230000000003</v>
      </c>
      <c r="AT4235" s="8">
        <v>557.75</v>
      </c>
      <c r="AU4235" s="8"/>
      <c r="AV4235" s="8"/>
      <c r="AW4235" s="8"/>
      <c r="AX4235" s="8"/>
      <c r="AY4235" s="8"/>
      <c r="AZ4235" s="8"/>
      <c r="BA4235" s="8"/>
      <c r="BB4235" s="8"/>
      <c r="BC4235" s="8"/>
      <c r="BD4235" s="8"/>
      <c r="BE4235" s="8"/>
      <c r="BF4235" s="8"/>
      <c r="BG4235" s="8">
        <v>40.92</v>
      </c>
      <c r="BH4235" s="9">
        <f t="shared" si="594"/>
        <v>1137.19</v>
      </c>
      <c r="BI4235" s="9">
        <f t="shared" si="595"/>
        <v>6.94</v>
      </c>
      <c r="BJ4235" s="9">
        <f t="shared" si="596"/>
        <v>2.04</v>
      </c>
      <c r="BK4235" s="9">
        <f t="shared" si="597"/>
        <v>11.38</v>
      </c>
      <c r="BL4235" s="9">
        <f t="shared" si="598"/>
        <v>0</v>
      </c>
      <c r="BM4235" s="9">
        <f t="shared" si="599"/>
        <v>39.835230000000003</v>
      </c>
      <c r="BN4235" s="9">
        <f t="shared" si="600"/>
        <v>557.75</v>
      </c>
      <c r="BO4235" s="9">
        <f t="shared" si="601"/>
        <v>0</v>
      </c>
      <c r="BP4235" s="9">
        <f t="shared" si="602"/>
        <v>0</v>
      </c>
    </row>
    <row r="4236" spans="1:68">
      <c r="A4236" s="6">
        <v>45338</v>
      </c>
      <c r="B4236" s="7">
        <v>3022</v>
      </c>
      <c r="C4236" s="8"/>
      <c r="D4236" s="8">
        <v>312.44</v>
      </c>
      <c r="E4236" s="8"/>
      <c r="F4236" s="8"/>
      <c r="G4236" s="8"/>
      <c r="H4236" s="8"/>
      <c r="I4236" s="8">
        <v>257.85000000000002</v>
      </c>
      <c r="J4236" s="8"/>
      <c r="K4236" s="8"/>
      <c r="L4236" s="8"/>
      <c r="M4236" s="8"/>
      <c r="N4236" s="8">
        <v>2.85</v>
      </c>
      <c r="O4236" s="8"/>
      <c r="P4236" s="8"/>
      <c r="Q4236" s="11"/>
      <c r="R4236" s="11"/>
      <c r="S4236" s="8">
        <v>1.02</v>
      </c>
      <c r="T4236" s="8"/>
      <c r="U4236" s="8"/>
      <c r="V4236" s="8"/>
      <c r="W4236" s="8">
        <v>5.69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>
        <v>7.37</v>
      </c>
      <c r="AN4236" s="8"/>
      <c r="AO4236" s="8"/>
      <c r="AP4236" s="11"/>
      <c r="AQ4236" s="8"/>
      <c r="AR4236" s="8"/>
      <c r="AS4236" s="8">
        <f>3866*5.18/1000</f>
        <v>20.025879999999997</v>
      </c>
      <c r="AT4236" s="8">
        <v>268.85000000000002</v>
      </c>
      <c r="AU4236" s="8"/>
      <c r="AV4236" s="8"/>
      <c r="AW4236" s="8"/>
      <c r="AX4236" s="8"/>
      <c r="AY4236" s="8"/>
      <c r="AZ4236" s="8"/>
      <c r="BA4236" s="8"/>
      <c r="BB4236" s="8"/>
      <c r="BC4236" s="8"/>
      <c r="BD4236" s="8"/>
      <c r="BE4236" s="8"/>
      <c r="BF4236" s="8"/>
      <c r="BG4236" s="8">
        <v>20.49</v>
      </c>
      <c r="BH4236" s="9">
        <f t="shared" si="594"/>
        <v>570.29</v>
      </c>
      <c r="BI4236" s="9">
        <f t="shared" si="595"/>
        <v>2.85</v>
      </c>
      <c r="BJ4236" s="9">
        <f t="shared" si="596"/>
        <v>1.02</v>
      </c>
      <c r="BK4236" s="9">
        <f t="shared" si="597"/>
        <v>5.69</v>
      </c>
      <c r="BL4236" s="9">
        <f t="shared" si="598"/>
        <v>0</v>
      </c>
      <c r="BM4236" s="9">
        <f t="shared" si="599"/>
        <v>27.395879999999998</v>
      </c>
      <c r="BN4236" s="9">
        <f t="shared" si="600"/>
        <v>268.85000000000002</v>
      </c>
      <c r="BO4236" s="9">
        <f t="shared" si="601"/>
        <v>0</v>
      </c>
      <c r="BP4236" s="9">
        <f t="shared" si="602"/>
        <v>0</v>
      </c>
    </row>
    <row r="4237" spans="1:68">
      <c r="A4237" s="6">
        <v>45338</v>
      </c>
      <c r="B4237" s="7">
        <v>3024</v>
      </c>
      <c r="C4237" s="8"/>
      <c r="D4237" s="8">
        <v>331.28</v>
      </c>
      <c r="E4237" s="8"/>
      <c r="F4237" s="8"/>
      <c r="G4237" s="8"/>
      <c r="H4237" s="8"/>
      <c r="I4237" s="8">
        <v>332.05</v>
      </c>
      <c r="J4237" s="8"/>
      <c r="K4237" s="8"/>
      <c r="L4237" s="8"/>
      <c r="M4237" s="8"/>
      <c r="N4237" s="8">
        <v>4.07</v>
      </c>
      <c r="O4237" s="8"/>
      <c r="P4237" s="8"/>
      <c r="Q4237" s="11"/>
      <c r="R4237" s="11"/>
      <c r="S4237" s="8">
        <v>1.06</v>
      </c>
      <c r="T4237" s="8"/>
      <c r="U4237" s="8"/>
      <c r="V4237" s="8"/>
      <c r="W4237" s="8">
        <v>5.3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>
        <v>6.63</v>
      </c>
      <c r="AN4237" s="8">
        <f>854*5.53/1000</f>
        <v>4.72262</v>
      </c>
      <c r="AO4237" s="8"/>
      <c r="AP4237" s="11"/>
      <c r="AQ4237" s="8"/>
      <c r="AR4237" s="8"/>
      <c r="AS4237" s="8">
        <f>3966*5.53/1000</f>
        <v>21.931979999999999</v>
      </c>
      <c r="AT4237" s="8">
        <v>255.32</v>
      </c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  <c r="BF4237" s="8"/>
      <c r="BG4237" s="8">
        <v>18.579999999999998</v>
      </c>
      <c r="BH4237" s="9">
        <f t="shared" si="594"/>
        <v>663.32999999999993</v>
      </c>
      <c r="BI4237" s="9">
        <f t="shared" si="595"/>
        <v>4.07</v>
      </c>
      <c r="BJ4237" s="9">
        <f t="shared" si="596"/>
        <v>1.06</v>
      </c>
      <c r="BK4237" s="9">
        <f t="shared" si="597"/>
        <v>5.3</v>
      </c>
      <c r="BL4237" s="9">
        <f t="shared" si="598"/>
        <v>0</v>
      </c>
      <c r="BM4237" s="9">
        <f t="shared" si="599"/>
        <v>33.284599999999998</v>
      </c>
      <c r="BN4237" s="9">
        <f t="shared" si="600"/>
        <v>255.32</v>
      </c>
      <c r="BO4237" s="9">
        <f t="shared" si="601"/>
        <v>0</v>
      </c>
      <c r="BP4237" s="9">
        <f t="shared" si="602"/>
        <v>0</v>
      </c>
    </row>
    <row r="4238" spans="1:68">
      <c r="A4238" s="6">
        <v>45338</v>
      </c>
      <c r="B4238" s="7">
        <v>3016</v>
      </c>
      <c r="C4238" s="8"/>
      <c r="D4238" s="8">
        <v>1610.23</v>
      </c>
      <c r="E4238" s="8"/>
      <c r="F4238" s="8"/>
      <c r="G4238" s="8"/>
      <c r="H4238" s="8"/>
      <c r="I4238" s="8">
        <v>1483.17</v>
      </c>
      <c r="J4238" s="8"/>
      <c r="K4238" s="8"/>
      <c r="L4238" s="8"/>
      <c r="M4238" s="8"/>
      <c r="N4238" s="8">
        <v>19.510000000000002</v>
      </c>
      <c r="O4238" s="8"/>
      <c r="P4238" s="8"/>
      <c r="Q4238" s="11"/>
      <c r="R4238" s="11"/>
      <c r="S4238" s="8">
        <v>2.16</v>
      </c>
      <c r="T4238" s="8"/>
      <c r="U4238" s="8"/>
      <c r="V4238" s="8"/>
      <c r="W4238" s="8">
        <v>30.96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>
        <v>12.37</v>
      </c>
      <c r="AN4238" s="8">
        <f>2055*18.22/1000</f>
        <v>37.442099999999996</v>
      </c>
      <c r="AO4238" s="8"/>
      <c r="AP4238" s="11"/>
      <c r="AQ4238" s="8"/>
      <c r="AR4238" s="8">
        <f>4318*18.22/1000</f>
        <v>78.673959999999994</v>
      </c>
      <c r="AS4238" s="8"/>
      <c r="AT4238" s="8">
        <v>1151.06</v>
      </c>
      <c r="AU4238" s="8"/>
      <c r="AV4238" s="8"/>
      <c r="AW4238" s="8"/>
      <c r="AX4238" s="8"/>
      <c r="AY4238" s="8"/>
      <c r="AZ4238" s="8"/>
      <c r="BA4238" s="8"/>
      <c r="BB4238" s="8"/>
      <c r="BC4238" s="8"/>
      <c r="BD4238" s="8"/>
      <c r="BE4238" s="8"/>
      <c r="BF4238" s="8"/>
      <c r="BG4238" s="8">
        <v>84.2</v>
      </c>
      <c r="BH4238" s="9">
        <f t="shared" si="594"/>
        <v>3093.4</v>
      </c>
      <c r="BI4238" s="9">
        <f t="shared" si="595"/>
        <v>19.510000000000002</v>
      </c>
      <c r="BJ4238" s="9">
        <f t="shared" si="596"/>
        <v>2.16</v>
      </c>
      <c r="BK4238" s="9">
        <f t="shared" si="597"/>
        <v>30.96</v>
      </c>
      <c r="BL4238" s="9">
        <f t="shared" si="598"/>
        <v>0</v>
      </c>
      <c r="BM4238" s="9">
        <f t="shared" si="599"/>
        <v>128.48605999999998</v>
      </c>
      <c r="BN4238" s="9">
        <f t="shared" si="600"/>
        <v>1151.06</v>
      </c>
      <c r="BO4238" s="9">
        <f t="shared" si="601"/>
        <v>0</v>
      </c>
      <c r="BP4238" s="9">
        <f t="shared" si="602"/>
        <v>0</v>
      </c>
    </row>
    <row r="4239" spans="1:68">
      <c r="A4239" s="6">
        <v>45338</v>
      </c>
      <c r="B4239" s="7">
        <v>3029</v>
      </c>
      <c r="C4239" s="8"/>
      <c r="D4239" s="8">
        <v>453.01</v>
      </c>
      <c r="E4239" s="8"/>
      <c r="F4239" s="8">
        <v>318.23</v>
      </c>
      <c r="G4239" s="8"/>
      <c r="H4239" s="8"/>
      <c r="I4239" s="8">
        <v>1883.52</v>
      </c>
      <c r="J4239" s="8"/>
      <c r="K4239" s="8"/>
      <c r="L4239" s="8"/>
      <c r="M4239" s="8"/>
      <c r="N4239" s="8">
        <v>20.96</v>
      </c>
      <c r="O4239" s="8"/>
      <c r="P4239" s="8"/>
      <c r="Q4239" s="11"/>
      <c r="R4239" s="11"/>
      <c r="S4239" s="8">
        <v>1.59</v>
      </c>
      <c r="T4239" s="8"/>
      <c r="U4239" s="8"/>
      <c r="V4239" s="8"/>
      <c r="W4239" s="8">
        <v>26.53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>
        <v>9.3000000000000007</v>
      </c>
      <c r="AN4239" s="8">
        <f>760*17.7/1000</f>
        <v>13.452</v>
      </c>
      <c r="AO4239" s="8"/>
      <c r="AP4239" s="11"/>
      <c r="AQ4239" s="8"/>
      <c r="AR4239" s="8">
        <f>4625*17.7/1000</f>
        <v>81.862499999999997</v>
      </c>
      <c r="AS4239" s="8"/>
      <c r="AT4239" s="8">
        <v>1009.82</v>
      </c>
      <c r="AU4239" s="8"/>
      <c r="AV4239" s="8"/>
      <c r="AW4239" s="8"/>
      <c r="AX4239" s="8"/>
      <c r="AY4239" s="8"/>
      <c r="AZ4239" s="8"/>
      <c r="BA4239" s="8"/>
      <c r="BB4239" s="8"/>
      <c r="BC4239" s="8"/>
      <c r="BD4239" s="8"/>
      <c r="BE4239" s="8"/>
      <c r="BF4239" s="8"/>
      <c r="BG4239" s="8">
        <v>70.36</v>
      </c>
      <c r="BH4239" s="9">
        <f t="shared" si="594"/>
        <v>2654.76</v>
      </c>
      <c r="BI4239" s="9">
        <f t="shared" si="595"/>
        <v>20.96</v>
      </c>
      <c r="BJ4239" s="9">
        <f t="shared" si="596"/>
        <v>1.59</v>
      </c>
      <c r="BK4239" s="9">
        <f t="shared" si="597"/>
        <v>26.53</v>
      </c>
      <c r="BL4239" s="9">
        <f t="shared" si="598"/>
        <v>0</v>
      </c>
      <c r="BM4239" s="9">
        <f t="shared" si="599"/>
        <v>104.61449999999999</v>
      </c>
      <c r="BN4239" s="9">
        <f t="shared" si="600"/>
        <v>1009.82</v>
      </c>
      <c r="BO4239" s="9">
        <f t="shared" si="601"/>
        <v>0</v>
      </c>
      <c r="BP4239" s="9">
        <f t="shared" si="602"/>
        <v>0</v>
      </c>
    </row>
    <row r="4240" spans="1:68">
      <c r="A4240" s="6">
        <v>45341</v>
      </c>
      <c r="B4240" s="7">
        <v>3141</v>
      </c>
      <c r="C4240" s="8">
        <v>2395.2800000000002</v>
      </c>
      <c r="D4240" s="8">
        <v>422.71</v>
      </c>
      <c r="E4240" s="8"/>
      <c r="F4240" s="8"/>
      <c r="G4240" s="8"/>
      <c r="H4240" s="8"/>
      <c r="I4240" s="8"/>
      <c r="J4240" s="8"/>
      <c r="K4240" s="8"/>
      <c r="L4240" s="8"/>
      <c r="M4240" s="8">
        <v>8.2799999999999994</v>
      </c>
      <c r="N4240" s="8"/>
      <c r="O4240" s="8"/>
      <c r="P4240" s="8"/>
      <c r="Q4240" s="11"/>
      <c r="R4240" s="11"/>
      <c r="S4240" s="8">
        <v>13.26</v>
      </c>
      <c r="T4240" s="8"/>
      <c r="U4240" s="8">
        <v>42.29</v>
      </c>
      <c r="V4240" s="8"/>
      <c r="W4240" s="8"/>
      <c r="X4240" s="8"/>
      <c r="Y4240" s="8"/>
      <c r="Z4240" s="8"/>
      <c r="AA4240" s="8"/>
      <c r="AB4240" s="8"/>
      <c r="AC4240" s="8">
        <v>11.28</v>
      </c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11"/>
      <c r="AQ4240" s="8"/>
      <c r="AR4240" s="8"/>
      <c r="AS4240" s="8"/>
      <c r="AT4240" s="8">
        <v>1857.87</v>
      </c>
      <c r="AU4240" s="8"/>
      <c r="AV4240" s="8"/>
      <c r="AW4240" s="8"/>
      <c r="AX4240" s="8"/>
      <c r="AY4240" s="8"/>
      <c r="AZ4240" s="8"/>
      <c r="BA4240" s="8">
        <v>64.62</v>
      </c>
      <c r="BB4240" s="8"/>
      <c r="BC4240" s="8"/>
      <c r="BD4240" s="8"/>
      <c r="BE4240" s="8"/>
      <c r="BF4240" s="8">
        <v>197.42</v>
      </c>
      <c r="BG4240" s="8">
        <v>146.83000000000001</v>
      </c>
      <c r="BH4240" s="9">
        <f t="shared" si="594"/>
        <v>2817.9900000000002</v>
      </c>
      <c r="BI4240" s="9">
        <f t="shared" si="595"/>
        <v>8.2799999999999994</v>
      </c>
      <c r="BJ4240" s="9">
        <f t="shared" si="596"/>
        <v>13.26</v>
      </c>
      <c r="BK4240" s="9">
        <f t="shared" si="597"/>
        <v>42.29</v>
      </c>
      <c r="BL4240" s="9">
        <f t="shared" si="598"/>
        <v>0</v>
      </c>
      <c r="BM4240" s="9">
        <f t="shared" si="599"/>
        <v>11.28</v>
      </c>
      <c r="BN4240" s="9">
        <f t="shared" si="600"/>
        <v>1857.87</v>
      </c>
      <c r="BO4240" s="9">
        <f t="shared" si="601"/>
        <v>64.62</v>
      </c>
      <c r="BP4240" s="9">
        <f t="shared" si="602"/>
        <v>197.42</v>
      </c>
    </row>
    <row r="4241" spans="1:68">
      <c r="A4241" s="6">
        <v>45341</v>
      </c>
      <c r="B4241" s="7">
        <v>3106</v>
      </c>
      <c r="C4241" s="8">
        <v>6120.39</v>
      </c>
      <c r="D4241" s="8"/>
      <c r="E4241" s="8"/>
      <c r="F4241" s="8"/>
      <c r="G4241" s="8"/>
      <c r="H4241" s="8"/>
      <c r="I4241" s="8"/>
      <c r="J4241" s="8"/>
      <c r="K4241" s="8"/>
      <c r="L4241" s="8"/>
      <c r="M4241" s="8">
        <v>16.48</v>
      </c>
      <c r="N4241" s="8"/>
      <c r="O4241" s="8"/>
      <c r="P4241" s="8"/>
      <c r="Q4241" s="11"/>
      <c r="R4241" s="11"/>
      <c r="S4241" s="8">
        <v>18.41</v>
      </c>
      <c r="T4241" s="8"/>
      <c r="U4241" s="8">
        <v>77.98</v>
      </c>
      <c r="V4241" s="8"/>
      <c r="W4241" s="8"/>
      <c r="X4241" s="8"/>
      <c r="Y4241" s="8"/>
      <c r="Z4241" s="8"/>
      <c r="AA4241" s="8"/>
      <c r="AB4241" s="8"/>
      <c r="AC4241" s="8">
        <v>15.31</v>
      </c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11"/>
      <c r="AQ4241" s="8"/>
      <c r="AR4241" s="8"/>
      <c r="AS4241" s="8"/>
      <c r="AT4241" s="8">
        <v>3490.41</v>
      </c>
      <c r="AU4241" s="8"/>
      <c r="AV4241" s="8"/>
      <c r="AW4241" s="8"/>
      <c r="AX4241" s="8">
        <v>7.66</v>
      </c>
      <c r="AY4241" s="8"/>
      <c r="AZ4241" s="8"/>
      <c r="BA4241" s="8"/>
      <c r="BB4241" s="8"/>
      <c r="BC4241" s="8"/>
      <c r="BD4241" s="8"/>
      <c r="BE4241" s="8"/>
      <c r="BF4241" s="8"/>
      <c r="BG4241" s="8">
        <v>263.83</v>
      </c>
      <c r="BH4241" s="9">
        <f t="shared" si="594"/>
        <v>6120.39</v>
      </c>
      <c r="BI4241" s="9">
        <f t="shared" si="595"/>
        <v>16.48</v>
      </c>
      <c r="BJ4241" s="9">
        <f t="shared" si="596"/>
        <v>18.41</v>
      </c>
      <c r="BK4241" s="9">
        <f t="shared" si="597"/>
        <v>77.98</v>
      </c>
      <c r="BL4241" s="9">
        <f t="shared" si="598"/>
        <v>0</v>
      </c>
      <c r="BM4241" s="9">
        <f t="shared" si="599"/>
        <v>15.31</v>
      </c>
      <c r="BN4241" s="9">
        <f t="shared" si="600"/>
        <v>3490.41</v>
      </c>
      <c r="BO4241" s="9">
        <f t="shared" si="601"/>
        <v>7.66</v>
      </c>
      <c r="BP4241" s="9">
        <f t="shared" si="602"/>
        <v>0</v>
      </c>
    </row>
    <row r="4242" spans="1:68">
      <c r="A4242" s="6">
        <v>45341</v>
      </c>
      <c r="B4242" s="7">
        <v>3200</v>
      </c>
      <c r="C4242" s="8">
        <v>2329.59</v>
      </c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>
        <v>5.83</v>
      </c>
      <c r="P4242" s="8"/>
      <c r="Q4242" s="11"/>
      <c r="R4242" s="11"/>
      <c r="S4242" s="8">
        <v>9.09</v>
      </c>
      <c r="T4242" s="8"/>
      <c r="U4242" s="8">
        <v>34.950000000000003</v>
      </c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>
        <v>116.45</v>
      </c>
      <c r="AG4242" s="8"/>
      <c r="AH4242" s="8"/>
      <c r="AI4242" s="8"/>
      <c r="AJ4242" s="8"/>
      <c r="AK4242" s="8"/>
      <c r="AL4242" s="8"/>
      <c r="AM4242" s="8"/>
      <c r="AN4242" s="8"/>
      <c r="AO4242" s="8"/>
      <c r="AP4242" s="11"/>
      <c r="AQ4242" s="8">
        <f>1515*23.3/1000</f>
        <v>35.299500000000002</v>
      </c>
      <c r="AR4242" s="8"/>
      <c r="AS4242" s="8"/>
      <c r="AT4242" s="8">
        <v>1594.29</v>
      </c>
      <c r="AU4242" s="8"/>
      <c r="AV4242" s="8"/>
      <c r="AW4242" s="8">
        <v>6.71</v>
      </c>
      <c r="AX4242" s="8"/>
      <c r="AY4242" s="8"/>
      <c r="AZ4242" s="8"/>
      <c r="BA4242" s="8"/>
      <c r="BB4242" s="8"/>
      <c r="BC4242" s="8"/>
      <c r="BD4242" s="8"/>
      <c r="BE4242" s="8"/>
      <c r="BF4242" s="8">
        <v>111.85</v>
      </c>
      <c r="BG4242" s="8">
        <v>115.41</v>
      </c>
      <c r="BH4242" s="9">
        <f t="shared" si="594"/>
        <v>2329.59</v>
      </c>
      <c r="BI4242" s="9">
        <f t="shared" si="595"/>
        <v>5.83</v>
      </c>
      <c r="BJ4242" s="9">
        <f t="shared" si="596"/>
        <v>9.09</v>
      </c>
      <c r="BK4242" s="9">
        <f t="shared" si="597"/>
        <v>34.950000000000003</v>
      </c>
      <c r="BL4242" s="9">
        <f t="shared" si="598"/>
        <v>0</v>
      </c>
      <c r="BM4242" s="9">
        <f t="shared" si="599"/>
        <v>151.74950000000001</v>
      </c>
      <c r="BN4242" s="9">
        <f t="shared" si="600"/>
        <v>1594.29</v>
      </c>
      <c r="BO4242" s="9">
        <f t="shared" si="601"/>
        <v>6.71</v>
      </c>
      <c r="BP4242" s="9">
        <f t="shared" si="602"/>
        <v>111.85</v>
      </c>
    </row>
    <row r="4243" spans="1:68">
      <c r="A4243" s="6">
        <v>45341</v>
      </c>
      <c r="B4243" s="7">
        <v>3010</v>
      </c>
      <c r="C4243" s="8">
        <v>653.65</v>
      </c>
      <c r="D4243" s="8">
        <v>436.26</v>
      </c>
      <c r="E4243" s="8"/>
      <c r="F4243" s="8"/>
      <c r="G4243" s="8"/>
      <c r="H4243" s="8"/>
      <c r="I4243" s="8"/>
      <c r="J4243" s="8"/>
      <c r="K4243" s="8"/>
      <c r="L4243" s="8"/>
      <c r="M4243" s="8"/>
      <c r="N4243" s="8">
        <v>2.1800000000000002</v>
      </c>
      <c r="O4243" s="8"/>
      <c r="P4243" s="8"/>
      <c r="Q4243" s="11"/>
      <c r="R4243" s="11"/>
      <c r="S4243" s="8">
        <v>3.05</v>
      </c>
      <c r="T4243" s="8"/>
      <c r="U4243" s="8"/>
      <c r="V4243" s="8"/>
      <c r="W4243" s="8">
        <v>10.9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  <c r="AI4243" s="8"/>
      <c r="AJ4243" s="8"/>
      <c r="AK4243" s="8"/>
      <c r="AL4243" s="8"/>
      <c r="AM4243" s="8"/>
      <c r="AN4243" s="8"/>
      <c r="AO4243" s="8"/>
      <c r="AP4243" s="11"/>
      <c r="AQ4243" s="8"/>
      <c r="AR4243" s="8"/>
      <c r="AS4243" s="8"/>
      <c r="AT4243" s="8">
        <v>365.03</v>
      </c>
      <c r="AU4243" s="8"/>
      <c r="AV4243" s="8"/>
      <c r="AW4243" s="8">
        <v>12.09</v>
      </c>
      <c r="AX4243" s="8"/>
      <c r="AY4243" s="8"/>
      <c r="AZ4243" s="8"/>
      <c r="BA4243" s="8"/>
      <c r="BB4243" s="8"/>
      <c r="BC4243" s="8"/>
      <c r="BD4243" s="8"/>
      <c r="BE4243" s="8"/>
      <c r="BF4243" s="8"/>
      <c r="BG4243" s="8">
        <v>23.97</v>
      </c>
      <c r="BH4243" s="9">
        <f t="shared" si="594"/>
        <v>1089.9099999999999</v>
      </c>
      <c r="BI4243" s="9">
        <f t="shared" si="595"/>
        <v>2.1800000000000002</v>
      </c>
      <c r="BJ4243" s="9">
        <f t="shared" si="596"/>
        <v>3.05</v>
      </c>
      <c r="BK4243" s="9">
        <f t="shared" si="597"/>
        <v>10.9</v>
      </c>
      <c r="BL4243" s="9">
        <f t="shared" si="598"/>
        <v>0</v>
      </c>
      <c r="BM4243" s="9">
        <f t="shared" si="599"/>
        <v>0</v>
      </c>
      <c r="BN4243" s="9">
        <f t="shared" si="600"/>
        <v>365.03</v>
      </c>
      <c r="BO4243" s="9">
        <f t="shared" si="601"/>
        <v>12.09</v>
      </c>
      <c r="BP4243" s="9">
        <f t="shared" si="602"/>
        <v>0</v>
      </c>
    </row>
    <row r="4244" spans="1:68">
      <c r="A4244" s="6">
        <v>45341</v>
      </c>
      <c r="B4244" s="7">
        <v>3027</v>
      </c>
      <c r="C4244" s="8"/>
      <c r="D4244" s="8">
        <v>992.88</v>
      </c>
      <c r="E4244" s="8"/>
      <c r="F4244" s="8"/>
      <c r="G4244" s="8"/>
      <c r="H4244" s="8"/>
      <c r="I4244" s="8">
        <v>811.75</v>
      </c>
      <c r="J4244" s="8"/>
      <c r="K4244" s="8"/>
      <c r="L4244" s="8"/>
      <c r="M4244" s="8"/>
      <c r="N4244" s="8">
        <v>10.29</v>
      </c>
      <c r="O4244" s="8"/>
      <c r="P4244" s="8"/>
      <c r="Q4244" s="11"/>
      <c r="R4244" s="11"/>
      <c r="S4244" s="8">
        <v>2.89</v>
      </c>
      <c r="T4244" s="8"/>
      <c r="U4244" s="8"/>
      <c r="V4244" s="8"/>
      <c r="W4244" s="8">
        <v>13.53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>
        <v>18.02</v>
      </c>
      <c r="AN4244" s="8">
        <f>1234*10.32/1000</f>
        <v>12.73488</v>
      </c>
      <c r="AO4244" s="8"/>
      <c r="AP4244" s="11"/>
      <c r="AQ4244" s="8"/>
      <c r="AR4244" s="8"/>
      <c r="AS4244" s="8">
        <f>5825*10.32/1000</f>
        <v>60.113999999999997</v>
      </c>
      <c r="AT4244" s="8">
        <v>601.94000000000005</v>
      </c>
      <c r="AU4244" s="8"/>
      <c r="AV4244" s="8"/>
      <c r="AW4244" s="8"/>
      <c r="AX4244" s="8"/>
      <c r="AY4244" s="8"/>
      <c r="AZ4244" s="8"/>
      <c r="BA4244" s="8"/>
      <c r="BB4244" s="8"/>
      <c r="BC4244" s="8"/>
      <c r="BD4244" s="8"/>
      <c r="BE4244" s="8"/>
      <c r="BF4244" s="8"/>
      <c r="BG4244" s="8">
        <v>42.25</v>
      </c>
      <c r="BH4244" s="9">
        <f t="shared" si="594"/>
        <v>1804.63</v>
      </c>
      <c r="BI4244" s="9">
        <f t="shared" si="595"/>
        <v>10.29</v>
      </c>
      <c r="BJ4244" s="9">
        <f t="shared" si="596"/>
        <v>2.89</v>
      </c>
      <c r="BK4244" s="9">
        <f t="shared" si="597"/>
        <v>13.53</v>
      </c>
      <c r="BL4244" s="9">
        <f t="shared" si="598"/>
        <v>0</v>
      </c>
      <c r="BM4244" s="9">
        <f t="shared" si="599"/>
        <v>90.86887999999999</v>
      </c>
      <c r="BN4244" s="9">
        <f t="shared" si="600"/>
        <v>601.94000000000005</v>
      </c>
      <c r="BO4244" s="9">
        <f t="shared" si="601"/>
        <v>0</v>
      </c>
      <c r="BP4244" s="9">
        <f t="shared" si="602"/>
        <v>0</v>
      </c>
    </row>
    <row r="4245" spans="1:68">
      <c r="A4245" s="6">
        <v>45341</v>
      </c>
      <c r="B4245" s="7">
        <v>3025</v>
      </c>
      <c r="C4245" s="8"/>
      <c r="D4245" s="8">
        <v>214.31</v>
      </c>
      <c r="E4245" s="8"/>
      <c r="F4245" s="8"/>
      <c r="G4245" s="8"/>
      <c r="H4245" s="8"/>
      <c r="I4245" s="8">
        <v>1198.5899999999999</v>
      </c>
      <c r="J4245" s="8"/>
      <c r="K4245" s="8"/>
      <c r="L4245" s="8"/>
      <c r="M4245" s="8"/>
      <c r="N4245" s="8">
        <v>7.89</v>
      </c>
      <c r="O4245" s="8"/>
      <c r="P4245" s="8"/>
      <c r="Q4245" s="11"/>
      <c r="R4245" s="11"/>
      <c r="S4245" s="8">
        <v>2.2599999999999998</v>
      </c>
      <c r="T4245" s="8"/>
      <c r="U4245" s="8"/>
      <c r="V4245" s="8"/>
      <c r="W4245" s="8">
        <v>12.7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>
        <v>14.1</v>
      </c>
      <c r="AN4245" s="8">
        <f>711*14.1/1000</f>
        <v>10.0251</v>
      </c>
      <c r="AO4245" s="8"/>
      <c r="AP4245" s="11"/>
      <c r="AQ4245" s="8"/>
      <c r="AR4245" s="8"/>
      <c r="AS4245" s="8">
        <f>3320*14.1/1000</f>
        <v>46.811999999999998</v>
      </c>
      <c r="AT4245" s="8">
        <v>488.98</v>
      </c>
      <c r="AU4245" s="8"/>
      <c r="AV4245" s="8"/>
      <c r="AW4245" s="8"/>
      <c r="AX4245" s="8"/>
      <c r="AY4245" s="8"/>
      <c r="AZ4245" s="8"/>
      <c r="BA4245" s="8"/>
      <c r="BB4245" s="8"/>
      <c r="BC4245" s="8"/>
      <c r="BD4245" s="8"/>
      <c r="BE4245" s="8"/>
      <c r="BF4245" s="8"/>
      <c r="BG4245" s="8">
        <v>32.35</v>
      </c>
      <c r="BH4245" s="9">
        <f t="shared" si="594"/>
        <v>1412.8999999999999</v>
      </c>
      <c r="BI4245" s="9">
        <f t="shared" si="595"/>
        <v>7.89</v>
      </c>
      <c r="BJ4245" s="9">
        <f t="shared" si="596"/>
        <v>2.2599999999999998</v>
      </c>
      <c r="BK4245" s="9">
        <f t="shared" si="597"/>
        <v>12.7</v>
      </c>
      <c r="BL4245" s="9">
        <f t="shared" si="598"/>
        <v>0</v>
      </c>
      <c r="BM4245" s="9">
        <f t="shared" si="599"/>
        <v>70.937100000000001</v>
      </c>
      <c r="BN4245" s="9">
        <f t="shared" si="600"/>
        <v>488.98</v>
      </c>
      <c r="BO4245" s="9">
        <f t="shared" si="601"/>
        <v>0</v>
      </c>
      <c r="BP4245" s="9">
        <f t="shared" si="602"/>
        <v>0</v>
      </c>
    </row>
    <row r="4246" spans="1:68">
      <c r="A4246" s="6">
        <v>45341</v>
      </c>
      <c r="B4246" s="7">
        <v>8310</v>
      </c>
      <c r="C4246" s="8"/>
      <c r="D4246" s="8">
        <f>1785.35+233.3</f>
        <v>2018.6499999999999</v>
      </c>
      <c r="E4246" s="8"/>
      <c r="F4246" s="8"/>
      <c r="G4246" s="8"/>
      <c r="H4246" s="8"/>
      <c r="I4246" s="8"/>
      <c r="J4246" s="8"/>
      <c r="K4246" s="8"/>
      <c r="L4246" s="8"/>
      <c r="M4246" s="8">
        <f>0.65+5.01</f>
        <v>5.66</v>
      </c>
      <c r="N4246" s="8"/>
      <c r="O4246" s="8"/>
      <c r="P4246" s="8"/>
      <c r="Q4246" s="11"/>
      <c r="R4246" s="11"/>
      <c r="S4246" s="8">
        <f>0.86+6.62</f>
        <v>7.48</v>
      </c>
      <c r="T4246" s="8"/>
      <c r="U4246" s="8">
        <f>1.75+13.41</f>
        <v>15.16</v>
      </c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11"/>
      <c r="AQ4246" s="8"/>
      <c r="AR4246" s="8"/>
      <c r="AS4246" s="8"/>
      <c r="AT4246" s="8">
        <f>38.38+294.84</f>
        <v>333.21999999999997</v>
      </c>
      <c r="AU4246" s="8">
        <f>147.55+19.19</f>
        <v>166.74</v>
      </c>
      <c r="AV4246" s="8"/>
      <c r="AW4246" s="8"/>
      <c r="AX4246" s="8"/>
      <c r="AY4246" s="8"/>
      <c r="AZ4246" s="8"/>
      <c r="BA4246" s="8"/>
      <c r="BB4246" s="8"/>
      <c r="BC4246" s="8">
        <f>0.35+2.68</f>
        <v>3.0300000000000002</v>
      </c>
      <c r="BD4246" s="8"/>
      <c r="BE4246" s="8"/>
      <c r="BF4246" s="8"/>
      <c r="BG4246" s="8">
        <f>3.93+29.58</f>
        <v>33.51</v>
      </c>
      <c r="BH4246" s="9">
        <f t="shared" si="594"/>
        <v>2018.6499999999999</v>
      </c>
      <c r="BI4246" s="9">
        <f t="shared" si="595"/>
        <v>5.66</v>
      </c>
      <c r="BJ4246" s="9">
        <f t="shared" si="596"/>
        <v>7.48</v>
      </c>
      <c r="BK4246" s="9">
        <f t="shared" si="597"/>
        <v>15.16</v>
      </c>
      <c r="BL4246" s="9">
        <f t="shared" si="598"/>
        <v>0</v>
      </c>
      <c r="BM4246" s="9">
        <f t="shared" si="599"/>
        <v>0</v>
      </c>
      <c r="BN4246" s="9">
        <f t="shared" si="600"/>
        <v>499.96</v>
      </c>
      <c r="BO4246" s="9">
        <f t="shared" si="601"/>
        <v>3.0300000000000002</v>
      </c>
      <c r="BP4246" s="9">
        <f t="shared" si="602"/>
        <v>0</v>
      </c>
    </row>
    <row r="4247" spans="1:68">
      <c r="A4247" s="6">
        <v>45342</v>
      </c>
      <c r="B4247" s="7">
        <v>3151</v>
      </c>
      <c r="C4247" s="8">
        <v>1374.54</v>
      </c>
      <c r="D4247" s="8"/>
      <c r="E4247" s="8"/>
      <c r="F4247" s="8"/>
      <c r="G4247" s="8"/>
      <c r="H4247" s="8"/>
      <c r="I4247" s="8"/>
      <c r="J4247" s="8"/>
      <c r="K4247" s="8"/>
      <c r="L4247" s="8"/>
      <c r="M4247" s="8">
        <v>4.1399999999999997</v>
      </c>
      <c r="N4247" s="8"/>
      <c r="O4247" s="8"/>
      <c r="P4247" s="8"/>
      <c r="Q4247" s="11"/>
      <c r="R4247" s="11"/>
      <c r="S4247" s="8">
        <v>5.25</v>
      </c>
      <c r="T4247" s="8"/>
      <c r="U4247" s="8">
        <v>17.55</v>
      </c>
      <c r="V4247" s="8"/>
      <c r="W4247" s="8"/>
      <c r="X4247" s="8"/>
      <c r="Y4247" s="8"/>
      <c r="Z4247" s="8"/>
      <c r="AA4247" s="8"/>
      <c r="AB4247" s="8"/>
      <c r="AC4247" s="8">
        <v>3.45</v>
      </c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11"/>
      <c r="AQ4247" s="8"/>
      <c r="AR4247" s="8"/>
      <c r="AS4247" s="8"/>
      <c r="AT4247" s="8">
        <v>619.85</v>
      </c>
      <c r="AU4247" s="8"/>
      <c r="AV4247" s="8">
        <v>13.81</v>
      </c>
      <c r="AW4247" s="8"/>
      <c r="AX4247" s="8"/>
      <c r="AY4247" s="8"/>
      <c r="AZ4247" s="8"/>
      <c r="BA4247" s="8"/>
      <c r="BB4247" s="8"/>
      <c r="BC4247" s="8"/>
      <c r="BD4247" s="8"/>
      <c r="BE4247" s="8"/>
      <c r="BF4247" s="8">
        <v>55.29</v>
      </c>
      <c r="BG4247" s="8">
        <v>44.37</v>
      </c>
      <c r="BH4247" s="9">
        <f t="shared" si="594"/>
        <v>1374.54</v>
      </c>
      <c r="BI4247" s="9">
        <f t="shared" si="595"/>
        <v>4.1399999999999997</v>
      </c>
      <c r="BJ4247" s="9">
        <f t="shared" si="596"/>
        <v>5.25</v>
      </c>
      <c r="BK4247" s="9">
        <f t="shared" si="597"/>
        <v>17.55</v>
      </c>
      <c r="BL4247" s="9">
        <f t="shared" si="598"/>
        <v>0</v>
      </c>
      <c r="BM4247" s="9">
        <f t="shared" si="599"/>
        <v>3.45</v>
      </c>
      <c r="BN4247" s="9">
        <f t="shared" si="600"/>
        <v>619.85</v>
      </c>
      <c r="BO4247" s="9">
        <f t="shared" si="601"/>
        <v>13.81</v>
      </c>
      <c r="BP4247" s="9">
        <f t="shared" si="602"/>
        <v>55.29</v>
      </c>
    </row>
    <row r="4248" spans="1:68">
      <c r="A4248" s="6">
        <v>45342</v>
      </c>
      <c r="B4248" s="7">
        <v>3602</v>
      </c>
      <c r="C4248" s="8">
        <v>572.70000000000005</v>
      </c>
      <c r="D4248" s="8"/>
      <c r="E4248" s="8"/>
      <c r="F4248" s="8"/>
      <c r="G4248" s="8">
        <v>858.44</v>
      </c>
      <c r="H4248" s="8"/>
      <c r="I4248" s="8"/>
      <c r="J4248" s="8"/>
      <c r="K4248" s="8"/>
      <c r="L4248" s="8"/>
      <c r="M4248" s="8">
        <v>1.72</v>
      </c>
      <c r="N4248" s="8"/>
      <c r="O4248" s="8"/>
      <c r="P4248" s="8"/>
      <c r="Q4248" s="11"/>
      <c r="R4248" s="11"/>
      <c r="S4248" s="8">
        <v>6.88</v>
      </c>
      <c r="T4248" s="8"/>
      <c r="U4248" s="8">
        <v>11.48</v>
      </c>
      <c r="V4248" s="8">
        <f>855*16.38/1000</f>
        <v>14.004899999999999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11"/>
      <c r="AQ4248" s="8"/>
      <c r="AR4248" s="8"/>
      <c r="AS4248" s="8"/>
      <c r="AT4248" s="8">
        <v>578.11</v>
      </c>
      <c r="AU4248" s="8"/>
      <c r="AV4248" s="8"/>
      <c r="AW4248" s="8">
        <v>37.049999999999997</v>
      </c>
      <c r="AX4248" s="8"/>
      <c r="AY4248" s="8"/>
      <c r="AZ4248" s="8"/>
      <c r="BA4248" s="8"/>
      <c r="BB4248" s="8"/>
      <c r="BC4248" s="8"/>
      <c r="BD4248" s="8"/>
      <c r="BE4248" s="8"/>
      <c r="BF4248" s="8">
        <v>45.91</v>
      </c>
      <c r="BG4248" s="8">
        <v>43</v>
      </c>
      <c r="BH4248" s="9">
        <f t="shared" si="594"/>
        <v>1431.14</v>
      </c>
      <c r="BI4248" s="9">
        <f t="shared" si="595"/>
        <v>1.72</v>
      </c>
      <c r="BJ4248" s="9">
        <f t="shared" si="596"/>
        <v>6.88</v>
      </c>
      <c r="BK4248" s="9">
        <f t="shared" si="597"/>
        <v>25.4849</v>
      </c>
      <c r="BL4248" s="9">
        <f t="shared" si="598"/>
        <v>0</v>
      </c>
      <c r="BM4248" s="9">
        <f t="shared" si="599"/>
        <v>0</v>
      </c>
      <c r="BN4248" s="9">
        <f t="shared" si="600"/>
        <v>578.11</v>
      </c>
      <c r="BO4248" s="9">
        <f t="shared" si="601"/>
        <v>37.049999999999997</v>
      </c>
      <c r="BP4248" s="9">
        <f t="shared" si="602"/>
        <v>45.91</v>
      </c>
    </row>
    <row r="4249" spans="1:68">
      <c r="A4249" s="6">
        <v>45342</v>
      </c>
      <c r="B4249" s="7">
        <v>3125</v>
      </c>
      <c r="C4249" s="8">
        <v>1162.26</v>
      </c>
      <c r="D4249" s="8"/>
      <c r="E4249" s="8"/>
      <c r="F4249" s="8"/>
      <c r="G4249" s="8"/>
      <c r="H4249" s="8"/>
      <c r="I4249" s="8"/>
      <c r="J4249" s="8"/>
      <c r="K4249" s="8"/>
      <c r="L4249" s="8"/>
      <c r="M4249" s="8">
        <v>3.14</v>
      </c>
      <c r="N4249" s="8"/>
      <c r="O4249" s="8"/>
      <c r="P4249" s="8"/>
      <c r="Q4249" s="11"/>
      <c r="R4249" s="11"/>
      <c r="S4249" s="8">
        <v>3.49</v>
      </c>
      <c r="T4249" s="8"/>
      <c r="U4249" s="8">
        <v>14.75</v>
      </c>
      <c r="V4249" s="8"/>
      <c r="W4249" s="8"/>
      <c r="X4249" s="8"/>
      <c r="Y4249" s="8"/>
      <c r="Z4249" s="8"/>
      <c r="AA4249" s="8"/>
      <c r="AB4249" s="8"/>
      <c r="AC4249" s="8">
        <v>4.6399999999999997</v>
      </c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11"/>
      <c r="AQ4249" s="8"/>
      <c r="AR4249" s="8"/>
      <c r="AS4249" s="8"/>
      <c r="AT4249" s="8">
        <v>664.49</v>
      </c>
      <c r="AU4249" s="8"/>
      <c r="AV4249" s="8">
        <v>17.43</v>
      </c>
      <c r="AW4249" s="8"/>
      <c r="AX4249" s="8"/>
      <c r="AY4249" s="8"/>
      <c r="AZ4249" s="8"/>
      <c r="BA4249" s="8"/>
      <c r="BB4249" s="8"/>
      <c r="BC4249" s="8"/>
      <c r="BD4249" s="8"/>
      <c r="BE4249" s="8"/>
      <c r="BF4249" s="8"/>
      <c r="BG4249" s="8">
        <v>50.05</v>
      </c>
      <c r="BH4249" s="9">
        <f t="shared" si="594"/>
        <v>1162.26</v>
      </c>
      <c r="BI4249" s="9">
        <f t="shared" si="595"/>
        <v>3.14</v>
      </c>
      <c r="BJ4249" s="9">
        <f t="shared" si="596"/>
        <v>3.49</v>
      </c>
      <c r="BK4249" s="9">
        <f t="shared" si="597"/>
        <v>14.75</v>
      </c>
      <c r="BL4249" s="9">
        <f t="shared" si="598"/>
        <v>0</v>
      </c>
      <c r="BM4249" s="9">
        <f t="shared" si="599"/>
        <v>4.6399999999999997</v>
      </c>
      <c r="BN4249" s="9">
        <f t="shared" si="600"/>
        <v>664.49</v>
      </c>
      <c r="BO4249" s="9">
        <f t="shared" si="601"/>
        <v>17.43</v>
      </c>
      <c r="BP4249" s="9">
        <f t="shared" si="602"/>
        <v>0</v>
      </c>
    </row>
    <row r="4250" spans="1:68">
      <c r="A4250" s="6">
        <v>45342</v>
      </c>
      <c r="B4250" s="7">
        <v>3113</v>
      </c>
      <c r="C4250" s="8">
        <v>1553.53</v>
      </c>
      <c r="D4250" s="8"/>
      <c r="E4250" s="8"/>
      <c r="F4250" s="8"/>
      <c r="G4250" s="8"/>
      <c r="H4250" s="8"/>
      <c r="I4250" s="8"/>
      <c r="J4250" s="8"/>
      <c r="K4250" s="8"/>
      <c r="L4250" s="8"/>
      <c r="M4250" s="8">
        <v>1.41</v>
      </c>
      <c r="N4250" s="8">
        <v>1.4</v>
      </c>
      <c r="O4250" s="8"/>
      <c r="P4250" s="8"/>
      <c r="Q4250" s="11"/>
      <c r="R4250" s="11"/>
      <c r="S4250" s="8">
        <v>4.68</v>
      </c>
      <c r="T4250" s="8"/>
      <c r="U4250" s="8">
        <v>15.54</v>
      </c>
      <c r="V4250" s="8"/>
      <c r="W4250" s="8"/>
      <c r="X4250" s="8"/>
      <c r="Y4250" s="8"/>
      <c r="Z4250" s="8"/>
      <c r="AA4250" s="8"/>
      <c r="AB4250" s="8"/>
      <c r="AC4250" s="8">
        <v>6.21</v>
      </c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11"/>
      <c r="AQ4250" s="8"/>
      <c r="AR4250" s="8"/>
      <c r="AS4250" s="8"/>
      <c r="AT4250" s="8">
        <v>650.12</v>
      </c>
      <c r="AU4250" s="8"/>
      <c r="AV4250" s="8">
        <v>52.78</v>
      </c>
      <c r="AW4250" s="8"/>
      <c r="AX4250" s="8"/>
      <c r="AY4250" s="8"/>
      <c r="AZ4250" s="8"/>
      <c r="BA4250" s="8"/>
      <c r="BB4250" s="8"/>
      <c r="BC4250" s="8"/>
      <c r="BD4250" s="8"/>
      <c r="BE4250" s="8"/>
      <c r="BF4250" s="8"/>
      <c r="BG4250" s="8">
        <v>46.58</v>
      </c>
      <c r="BH4250" s="9">
        <f t="shared" si="594"/>
        <v>1553.53</v>
      </c>
      <c r="BI4250" s="9">
        <f t="shared" si="595"/>
        <v>2.8099999999999996</v>
      </c>
      <c r="BJ4250" s="9">
        <f t="shared" si="596"/>
        <v>4.68</v>
      </c>
      <c r="BK4250" s="9">
        <f t="shared" si="597"/>
        <v>15.54</v>
      </c>
      <c r="BL4250" s="9">
        <f t="shared" si="598"/>
        <v>0</v>
      </c>
      <c r="BM4250" s="9">
        <f t="shared" si="599"/>
        <v>6.21</v>
      </c>
      <c r="BN4250" s="9">
        <f t="shared" si="600"/>
        <v>650.12</v>
      </c>
      <c r="BO4250" s="9">
        <f t="shared" si="601"/>
        <v>52.78</v>
      </c>
      <c r="BP4250" s="9">
        <f t="shared" si="602"/>
        <v>0</v>
      </c>
    </row>
    <row r="4251" spans="1:68">
      <c r="A4251" s="6">
        <v>45342</v>
      </c>
      <c r="B4251" s="7">
        <v>3079</v>
      </c>
      <c r="C4251" s="8"/>
      <c r="D4251" s="8"/>
      <c r="E4251" s="8"/>
      <c r="F4251" s="8">
        <v>336.42</v>
      </c>
      <c r="G4251" s="8"/>
      <c r="H4251" s="8"/>
      <c r="I4251" s="8">
        <v>2724.16</v>
      </c>
      <c r="J4251" s="8"/>
      <c r="K4251" s="8"/>
      <c r="L4251" s="8"/>
      <c r="M4251" s="8"/>
      <c r="N4251" s="8">
        <v>22.38</v>
      </c>
      <c r="O4251" s="8"/>
      <c r="P4251" s="8"/>
      <c r="Q4251" s="11"/>
      <c r="R4251" s="11"/>
      <c r="S4251" s="8">
        <v>1.21</v>
      </c>
      <c r="T4251" s="8"/>
      <c r="U4251" s="8"/>
      <c r="V4251" s="8"/>
      <c r="W4251" s="8">
        <v>30.66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/>
      <c r="AM4251" s="8">
        <v>12.24</v>
      </c>
      <c r="AN4251" s="8">
        <f>1750*18.02/1000</f>
        <v>31.535</v>
      </c>
      <c r="AO4251" s="8"/>
      <c r="AP4251" s="11"/>
      <c r="AQ4251" s="8"/>
      <c r="AR4251" s="8">
        <f>4282*18.02/1000</f>
        <v>77.161640000000006</v>
      </c>
      <c r="AS4251" s="8"/>
      <c r="AT4251" s="8">
        <v>1185.01</v>
      </c>
      <c r="AU4251" s="8"/>
      <c r="AV4251" s="8"/>
      <c r="AW4251" s="8"/>
      <c r="AX4251" s="8"/>
      <c r="AY4251" s="8"/>
      <c r="AZ4251" s="8"/>
      <c r="BA4251" s="8"/>
      <c r="BB4251" s="8"/>
      <c r="BC4251" s="8"/>
      <c r="BD4251" s="8"/>
      <c r="BE4251" s="8"/>
      <c r="BF4251" s="8"/>
      <c r="BG4251" s="8">
        <v>85.65</v>
      </c>
      <c r="BH4251" s="9">
        <f t="shared" si="594"/>
        <v>3060.58</v>
      </c>
      <c r="BI4251" s="9">
        <f t="shared" si="595"/>
        <v>22.38</v>
      </c>
      <c r="BJ4251" s="9">
        <f t="shared" si="596"/>
        <v>1.21</v>
      </c>
      <c r="BK4251" s="9">
        <f t="shared" si="597"/>
        <v>30.66</v>
      </c>
      <c r="BL4251" s="9">
        <f t="shared" si="598"/>
        <v>0</v>
      </c>
      <c r="BM4251" s="9">
        <f t="shared" si="599"/>
        <v>120.93664000000001</v>
      </c>
      <c r="BN4251" s="9">
        <f t="shared" si="600"/>
        <v>1185.01</v>
      </c>
      <c r="BO4251" s="9">
        <f t="shared" si="601"/>
        <v>0</v>
      </c>
      <c r="BP4251" s="9">
        <f t="shared" si="602"/>
        <v>0</v>
      </c>
    </row>
    <row r="4252" spans="1:68">
      <c r="A4252" s="6">
        <v>45342</v>
      </c>
      <c r="B4252" s="7">
        <v>3203</v>
      </c>
      <c r="C4252" s="8">
        <v>908.64</v>
      </c>
      <c r="D4252" s="8"/>
      <c r="E4252" s="8">
        <v>388.8</v>
      </c>
      <c r="F4252" s="8"/>
      <c r="G4252" s="8"/>
      <c r="H4252" s="8"/>
      <c r="I4252" s="8"/>
      <c r="J4252" s="8"/>
      <c r="K4252" s="8"/>
      <c r="L4252" s="8"/>
      <c r="M4252" s="8"/>
      <c r="N4252" s="8"/>
      <c r="O4252" s="8">
        <v>3.91</v>
      </c>
      <c r="P4252" s="8"/>
      <c r="Q4252" s="11"/>
      <c r="R4252" s="11"/>
      <c r="S4252" s="8">
        <v>5.33</v>
      </c>
      <c r="T4252" s="8"/>
      <c r="U4252" s="8">
        <v>16.11</v>
      </c>
      <c r="V4252" s="8"/>
      <c r="W4252" s="8"/>
      <c r="X4252" s="8"/>
      <c r="Y4252" s="8"/>
      <c r="Z4252" s="8">
        <v>204.69</v>
      </c>
      <c r="AA4252" s="8">
        <f>10377*15.28/1000</f>
        <v>158.56056000000001</v>
      </c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11"/>
      <c r="AQ4252" s="8"/>
      <c r="AR4252" s="8"/>
      <c r="AS4252" s="8"/>
      <c r="AT4252" s="8">
        <v>484.23</v>
      </c>
      <c r="AU4252" s="8">
        <v>243.06</v>
      </c>
      <c r="AV4252" s="8"/>
      <c r="AW4252" s="8"/>
      <c r="AX4252" s="8"/>
      <c r="AY4252" s="8"/>
      <c r="AZ4252" s="8"/>
      <c r="BA4252" s="8"/>
      <c r="BB4252" s="8"/>
      <c r="BC4252" s="8">
        <v>3.38</v>
      </c>
      <c r="BD4252" s="8"/>
      <c r="BE4252" s="8"/>
      <c r="BF4252" s="8"/>
      <c r="BG4252" s="8">
        <v>47.32</v>
      </c>
      <c r="BH4252" s="9">
        <f t="shared" si="594"/>
        <v>1297.44</v>
      </c>
      <c r="BI4252" s="9">
        <f t="shared" si="595"/>
        <v>3.91</v>
      </c>
      <c r="BJ4252" s="9">
        <f t="shared" si="596"/>
        <v>5.33</v>
      </c>
      <c r="BK4252" s="9">
        <f t="shared" si="597"/>
        <v>16.11</v>
      </c>
      <c r="BL4252" s="9">
        <f t="shared" si="598"/>
        <v>363.25056000000001</v>
      </c>
      <c r="BM4252" s="9">
        <f t="shared" si="599"/>
        <v>0</v>
      </c>
      <c r="BN4252" s="9">
        <f t="shared" si="600"/>
        <v>727.29</v>
      </c>
      <c r="BO4252" s="9">
        <f t="shared" si="601"/>
        <v>3.38</v>
      </c>
      <c r="BP4252" s="9">
        <f t="shared" si="602"/>
        <v>0</v>
      </c>
    </row>
    <row r="4253" spans="1:68">
      <c r="A4253" s="6">
        <v>45342</v>
      </c>
      <c r="B4253" s="7">
        <v>3206</v>
      </c>
      <c r="C4253" s="8">
        <v>621.57000000000005</v>
      </c>
      <c r="D4253" s="8">
        <v>1113.6199999999999</v>
      </c>
      <c r="E4253" s="8">
        <v>741.49</v>
      </c>
      <c r="F4253" s="8"/>
      <c r="G4253" s="8"/>
      <c r="H4253" s="8"/>
      <c r="I4253" s="8"/>
      <c r="J4253" s="8"/>
      <c r="K4253" s="8"/>
      <c r="L4253" s="8"/>
      <c r="M4253" s="8"/>
      <c r="N4253" s="8"/>
      <c r="O4253" s="8">
        <v>4.95</v>
      </c>
      <c r="P4253" s="8"/>
      <c r="Q4253" s="11"/>
      <c r="R4253" s="11"/>
      <c r="S4253" s="8">
        <v>12.34</v>
      </c>
      <c r="T4253" s="8"/>
      <c r="U4253" s="8">
        <v>8.65</v>
      </c>
      <c r="V4253" s="8"/>
      <c r="W4253" s="8"/>
      <c r="X4253" s="8"/>
      <c r="Y4253" s="8"/>
      <c r="Z4253" s="8">
        <v>148.34</v>
      </c>
      <c r="AA4253" s="8"/>
      <c r="AB4253" s="8">
        <f>819*15.42/1000</f>
        <v>12.62898</v>
      </c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11"/>
      <c r="AQ4253" s="8"/>
      <c r="AR4253" s="8"/>
      <c r="AS4253" s="8"/>
      <c r="AT4253" s="8">
        <v>430.84</v>
      </c>
      <c r="AU4253" s="8">
        <v>215.41</v>
      </c>
      <c r="AV4253" s="8"/>
      <c r="AW4253" s="8">
        <v>9.4</v>
      </c>
      <c r="AX4253" s="8"/>
      <c r="AY4253" s="8"/>
      <c r="AZ4253" s="8"/>
      <c r="BA4253" s="8"/>
      <c r="BB4253" s="8"/>
      <c r="BC4253" s="8"/>
      <c r="BD4253" s="8"/>
      <c r="BE4253" s="8"/>
      <c r="BF4253" s="8"/>
      <c r="BG4253" s="8">
        <v>43.01</v>
      </c>
      <c r="BH4253" s="9">
        <f t="shared" si="594"/>
        <v>2476.6800000000003</v>
      </c>
      <c r="BI4253" s="9">
        <f t="shared" si="595"/>
        <v>4.95</v>
      </c>
      <c r="BJ4253" s="9">
        <f t="shared" si="596"/>
        <v>12.34</v>
      </c>
      <c r="BK4253" s="9">
        <f t="shared" si="597"/>
        <v>8.65</v>
      </c>
      <c r="BL4253" s="9">
        <f t="shared" si="598"/>
        <v>148.34</v>
      </c>
      <c r="BM4253" s="9">
        <f t="shared" si="599"/>
        <v>12.62898</v>
      </c>
      <c r="BN4253" s="9">
        <f t="shared" si="600"/>
        <v>646.25</v>
      </c>
      <c r="BO4253" s="9">
        <f t="shared" si="601"/>
        <v>9.4</v>
      </c>
      <c r="BP4253" s="9">
        <f t="shared" si="602"/>
        <v>0</v>
      </c>
    </row>
    <row r="4254" spans="1:68">
      <c r="A4254" s="6">
        <v>45343</v>
      </c>
      <c r="B4254" s="7">
        <v>3200</v>
      </c>
      <c r="C4254" s="8">
        <v>2376.38</v>
      </c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>
        <v>6.01</v>
      </c>
      <c r="P4254" s="8"/>
      <c r="Q4254" s="11"/>
      <c r="R4254" s="11"/>
      <c r="S4254" s="8">
        <v>9.31</v>
      </c>
      <c r="T4254" s="8"/>
      <c r="U4254" s="8">
        <v>35.93</v>
      </c>
      <c r="V4254" s="8"/>
      <c r="W4254" s="8"/>
      <c r="X4254" s="8"/>
      <c r="Y4254" s="8"/>
      <c r="Z4254" s="8">
        <v>501.69</v>
      </c>
      <c r="AA4254" s="8"/>
      <c r="AB4254" s="8"/>
      <c r="AC4254" s="8"/>
      <c r="AD4254" s="8"/>
      <c r="AE4254" s="8"/>
      <c r="AF4254" s="8">
        <v>119.05</v>
      </c>
      <c r="AG4254" s="8"/>
      <c r="AH4254" s="8"/>
      <c r="AI4254" s="8"/>
      <c r="AJ4254" s="8"/>
      <c r="AK4254" s="8"/>
      <c r="AL4254" s="8"/>
      <c r="AM4254" s="8"/>
      <c r="AN4254" s="8"/>
      <c r="AO4254" s="8"/>
      <c r="AP4254" s="11"/>
      <c r="AQ4254" s="8">
        <f>1507*23.88/1000</f>
        <v>35.987159999999996</v>
      </c>
      <c r="AR4254" s="8"/>
      <c r="AS4254" s="8"/>
      <c r="AT4254" s="8">
        <v>1632.04</v>
      </c>
      <c r="AU4254" s="8"/>
      <c r="AV4254" s="8"/>
      <c r="AW4254" s="8">
        <v>6.94</v>
      </c>
      <c r="AX4254" s="8"/>
      <c r="AY4254" s="8"/>
      <c r="AZ4254" s="8"/>
      <c r="BA4254" s="8"/>
      <c r="BB4254" s="8"/>
      <c r="BC4254" s="8"/>
      <c r="BD4254" s="8"/>
      <c r="BE4254" s="8"/>
      <c r="BF4254" s="8">
        <v>114.81</v>
      </c>
      <c r="BG4254" s="8">
        <v>118.45</v>
      </c>
      <c r="BH4254" s="9">
        <f t="shared" si="594"/>
        <v>2376.38</v>
      </c>
      <c r="BI4254" s="9">
        <f t="shared" si="595"/>
        <v>6.01</v>
      </c>
      <c r="BJ4254" s="9">
        <f t="shared" si="596"/>
        <v>9.31</v>
      </c>
      <c r="BK4254" s="9">
        <f t="shared" si="597"/>
        <v>35.93</v>
      </c>
      <c r="BL4254" s="9">
        <f t="shared" si="598"/>
        <v>501.69</v>
      </c>
      <c r="BM4254" s="9">
        <f t="shared" si="599"/>
        <v>155.03716</v>
      </c>
      <c r="BN4254" s="9">
        <f t="shared" si="600"/>
        <v>1632.04</v>
      </c>
      <c r="BO4254" s="9">
        <f t="shared" si="601"/>
        <v>6.94</v>
      </c>
      <c r="BP4254" s="9">
        <f t="shared" si="602"/>
        <v>114.81</v>
      </c>
    </row>
    <row r="4255" spans="1:68">
      <c r="A4255" s="6">
        <v>45343</v>
      </c>
      <c r="B4255" s="7">
        <v>3145</v>
      </c>
      <c r="C4255" s="8">
        <v>670.28</v>
      </c>
      <c r="D4255" s="8">
        <v>118.51</v>
      </c>
      <c r="E4255" s="8"/>
      <c r="F4255" s="8"/>
      <c r="G4255" s="8"/>
      <c r="H4255" s="8"/>
      <c r="I4255" s="8"/>
      <c r="J4255" s="8"/>
      <c r="K4255" s="8"/>
      <c r="L4255" s="8"/>
      <c r="M4255" s="8">
        <v>2.29</v>
      </c>
      <c r="N4255" s="8"/>
      <c r="O4255" s="8"/>
      <c r="P4255" s="8"/>
      <c r="Q4255" s="11"/>
      <c r="R4255" s="11"/>
      <c r="S4255" s="8">
        <v>3.72</v>
      </c>
      <c r="T4255" s="8"/>
      <c r="U4255" s="8">
        <v>11.86</v>
      </c>
      <c r="V4255" s="8"/>
      <c r="W4255" s="8"/>
      <c r="X4255" s="8"/>
      <c r="Y4255" s="8"/>
      <c r="Z4255" s="8"/>
      <c r="AA4255" s="8"/>
      <c r="AB4255" s="8"/>
      <c r="AC4255" s="8">
        <v>3.16</v>
      </c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11"/>
      <c r="AQ4255" s="8"/>
      <c r="AR4255" s="8"/>
      <c r="AS4255" s="8"/>
      <c r="AT4255" s="8">
        <v>522.03</v>
      </c>
      <c r="AU4255" s="8"/>
      <c r="AV4255" s="8"/>
      <c r="AW4255" s="8"/>
      <c r="AX4255" s="8"/>
      <c r="AY4255" s="8"/>
      <c r="AZ4255" s="8"/>
      <c r="BA4255" s="8"/>
      <c r="BB4255" s="8"/>
      <c r="BC4255" s="8"/>
      <c r="BD4255" s="8">
        <v>1.98</v>
      </c>
      <c r="BE4255" s="8">
        <f>1386*5.27/1000</f>
        <v>7.304219999999999</v>
      </c>
      <c r="BF4255" s="8">
        <v>55.34</v>
      </c>
      <c r="BG4255" s="8">
        <v>41.17</v>
      </c>
      <c r="BH4255" s="9">
        <f t="shared" si="594"/>
        <v>788.79</v>
      </c>
      <c r="BI4255" s="9">
        <f t="shared" si="595"/>
        <v>2.29</v>
      </c>
      <c r="BJ4255" s="9">
        <f t="shared" si="596"/>
        <v>3.72</v>
      </c>
      <c r="BK4255" s="9">
        <f t="shared" si="597"/>
        <v>11.86</v>
      </c>
      <c r="BL4255" s="9">
        <f t="shared" si="598"/>
        <v>0</v>
      </c>
      <c r="BM4255" s="9">
        <f t="shared" si="599"/>
        <v>3.16</v>
      </c>
      <c r="BN4255" s="9">
        <f t="shared" si="600"/>
        <v>522.03</v>
      </c>
      <c r="BO4255" s="9">
        <f t="shared" si="601"/>
        <v>9.2842199999999995</v>
      </c>
      <c r="BP4255" s="9">
        <f t="shared" si="602"/>
        <v>55.34</v>
      </c>
    </row>
    <row r="4256" spans="1:68">
      <c r="A4256" s="6">
        <v>45343</v>
      </c>
      <c r="B4256" s="7">
        <v>3141</v>
      </c>
      <c r="C4256" s="8">
        <v>2375.5100000000002</v>
      </c>
      <c r="D4256" s="8">
        <v>418.9</v>
      </c>
      <c r="E4256" s="8"/>
      <c r="F4256" s="8"/>
      <c r="G4256" s="8"/>
      <c r="H4256" s="8"/>
      <c r="I4256" s="8"/>
      <c r="J4256" s="8"/>
      <c r="K4256" s="8"/>
      <c r="L4256" s="8"/>
      <c r="M4256" s="8">
        <v>8.11</v>
      </c>
      <c r="N4256" s="8"/>
      <c r="O4256" s="8"/>
      <c r="P4256" s="8"/>
      <c r="Q4256" s="11"/>
      <c r="R4256" s="11"/>
      <c r="S4256" s="8">
        <v>13.14</v>
      </c>
      <c r="T4256" s="8"/>
      <c r="U4256" s="8">
        <v>41.91</v>
      </c>
      <c r="V4256" s="8"/>
      <c r="W4256" s="8"/>
      <c r="X4256" s="8"/>
      <c r="Y4256" s="8"/>
      <c r="Z4256" s="8"/>
      <c r="AA4256" s="8"/>
      <c r="AB4256" s="8"/>
      <c r="AC4256" s="8">
        <v>11.17</v>
      </c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11"/>
      <c r="AQ4256" s="8"/>
      <c r="AR4256" s="8"/>
      <c r="AS4256" s="8"/>
      <c r="AT4256" s="8">
        <v>1845.7</v>
      </c>
      <c r="AU4256" s="8"/>
      <c r="AV4256" s="8"/>
      <c r="AW4256" s="8"/>
      <c r="AX4256" s="8"/>
      <c r="AY4256" s="8"/>
      <c r="AZ4256" s="8"/>
      <c r="BA4256" s="8">
        <v>64.03</v>
      </c>
      <c r="BB4256" s="8"/>
      <c r="BC4256" s="8"/>
      <c r="BD4256" s="8"/>
      <c r="BE4256" s="8"/>
      <c r="BF4256" s="8">
        <v>195.45</v>
      </c>
      <c r="BG4256" s="8">
        <v>145.27000000000001</v>
      </c>
      <c r="BH4256" s="9">
        <f t="shared" si="594"/>
        <v>2794.4100000000003</v>
      </c>
      <c r="BI4256" s="9">
        <f t="shared" si="595"/>
        <v>8.11</v>
      </c>
      <c r="BJ4256" s="9">
        <f t="shared" si="596"/>
        <v>13.14</v>
      </c>
      <c r="BK4256" s="9">
        <f t="shared" si="597"/>
        <v>41.91</v>
      </c>
      <c r="BL4256" s="9">
        <f t="shared" si="598"/>
        <v>0</v>
      </c>
      <c r="BM4256" s="9">
        <f t="shared" si="599"/>
        <v>11.17</v>
      </c>
      <c r="BN4256" s="9">
        <f t="shared" si="600"/>
        <v>1845.7</v>
      </c>
      <c r="BO4256" s="9">
        <f t="shared" si="601"/>
        <v>64.03</v>
      </c>
      <c r="BP4256" s="9">
        <f t="shared" si="602"/>
        <v>195.45</v>
      </c>
    </row>
    <row r="4257" spans="1:68">
      <c r="A4257" s="6">
        <v>45343</v>
      </c>
      <c r="B4257" s="7">
        <v>3106</v>
      </c>
      <c r="C4257" s="8">
        <v>4063.61</v>
      </c>
      <c r="D4257" s="8"/>
      <c r="E4257" s="8"/>
      <c r="F4257" s="8"/>
      <c r="G4257" s="8"/>
      <c r="H4257" s="8"/>
      <c r="I4257" s="8"/>
      <c r="J4257" s="8"/>
      <c r="K4257" s="8"/>
      <c r="L4257" s="8"/>
      <c r="M4257" s="8">
        <v>10.97</v>
      </c>
      <c r="N4257" s="8"/>
      <c r="O4257" s="8"/>
      <c r="P4257" s="8"/>
      <c r="Q4257" s="11"/>
      <c r="R4257" s="11"/>
      <c r="S4257" s="8">
        <v>12.2</v>
      </c>
      <c r="T4257" s="8"/>
      <c r="U4257" s="8">
        <v>51.71</v>
      </c>
      <c r="V4257" s="8"/>
      <c r="W4257" s="8"/>
      <c r="X4257" s="8"/>
      <c r="Y4257" s="8"/>
      <c r="Z4257" s="8"/>
      <c r="AA4257" s="8"/>
      <c r="AB4257" s="8"/>
      <c r="AC4257" s="8">
        <v>10.17</v>
      </c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11"/>
      <c r="AQ4257" s="8"/>
      <c r="AR4257" s="8"/>
      <c r="AS4257" s="8"/>
      <c r="AT4257" s="8">
        <v>2318.56</v>
      </c>
      <c r="AU4257" s="8"/>
      <c r="AV4257" s="8"/>
      <c r="AW4257" s="8"/>
      <c r="AX4257" s="8">
        <v>5.09</v>
      </c>
      <c r="AY4257" s="8"/>
      <c r="AZ4257" s="8"/>
      <c r="BA4257" s="8"/>
      <c r="BB4257" s="8"/>
      <c r="BC4257" s="8"/>
      <c r="BD4257" s="8"/>
      <c r="BE4257" s="8"/>
      <c r="BF4257" s="8"/>
      <c r="BG4257" s="8">
        <v>174.66</v>
      </c>
      <c r="BH4257" s="9">
        <f t="shared" si="594"/>
        <v>4063.61</v>
      </c>
      <c r="BI4257" s="9">
        <f t="shared" si="595"/>
        <v>10.97</v>
      </c>
      <c r="BJ4257" s="9">
        <f t="shared" si="596"/>
        <v>12.2</v>
      </c>
      <c r="BK4257" s="9">
        <f t="shared" si="597"/>
        <v>51.71</v>
      </c>
      <c r="BL4257" s="9">
        <f t="shared" si="598"/>
        <v>0</v>
      </c>
      <c r="BM4257" s="9">
        <f t="shared" si="599"/>
        <v>10.17</v>
      </c>
      <c r="BN4257" s="9">
        <f t="shared" si="600"/>
        <v>2318.56</v>
      </c>
      <c r="BO4257" s="9">
        <f t="shared" si="601"/>
        <v>5.09</v>
      </c>
      <c r="BP4257" s="9">
        <f t="shared" si="602"/>
        <v>0</v>
      </c>
    </row>
    <row r="4258" spans="1:68">
      <c r="A4258" s="6">
        <v>45343</v>
      </c>
      <c r="B4258" s="7">
        <v>3016</v>
      </c>
      <c r="C4258" s="8"/>
      <c r="D4258" s="8">
        <v>2361.64</v>
      </c>
      <c r="E4258" s="8"/>
      <c r="F4258" s="8"/>
      <c r="G4258" s="8"/>
      <c r="H4258" s="8"/>
      <c r="I4258" s="8">
        <v>2178.61</v>
      </c>
      <c r="J4258" s="8"/>
      <c r="K4258" s="8"/>
      <c r="L4258" s="8"/>
      <c r="M4258" s="8"/>
      <c r="N4258" s="8">
        <v>28.61</v>
      </c>
      <c r="O4258" s="8"/>
      <c r="P4258" s="8"/>
      <c r="Q4258" s="11"/>
      <c r="R4258" s="11"/>
      <c r="S4258" s="8">
        <v>3.16</v>
      </c>
      <c r="T4258" s="8"/>
      <c r="U4258" s="8"/>
      <c r="V4258" s="8"/>
      <c r="W4258" s="8">
        <v>45.44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>
        <v>18.170000000000002</v>
      </c>
      <c r="AN4258" s="8">
        <f>2084*26.72/1000</f>
        <v>55.684479999999994</v>
      </c>
      <c r="AO4258" s="8"/>
      <c r="AP4258" s="11"/>
      <c r="AQ4258" s="8"/>
      <c r="AR4258" s="8">
        <f>4359*26.72/1000</f>
        <v>116.47247999999999</v>
      </c>
      <c r="AS4258" s="8"/>
      <c r="AT4258" s="8">
        <v>1686.05</v>
      </c>
      <c r="AU4258" s="8"/>
      <c r="AV4258" s="8"/>
      <c r="AW4258" s="8"/>
      <c r="AX4258" s="8"/>
      <c r="AY4258" s="8"/>
      <c r="AZ4258" s="8"/>
      <c r="BA4258" s="8"/>
      <c r="BB4258" s="8"/>
      <c r="BC4258" s="8"/>
      <c r="BD4258" s="8"/>
      <c r="BE4258" s="8"/>
      <c r="BF4258" s="8"/>
      <c r="BG4258" s="8">
        <v>123.54</v>
      </c>
      <c r="BH4258" s="9">
        <f t="shared" si="594"/>
        <v>4540.25</v>
      </c>
      <c r="BI4258" s="9">
        <f t="shared" si="595"/>
        <v>28.61</v>
      </c>
      <c r="BJ4258" s="9">
        <f t="shared" si="596"/>
        <v>3.16</v>
      </c>
      <c r="BK4258" s="9">
        <f t="shared" si="597"/>
        <v>45.44</v>
      </c>
      <c r="BL4258" s="9">
        <f t="shared" si="598"/>
        <v>0</v>
      </c>
      <c r="BM4258" s="9">
        <f t="shared" si="599"/>
        <v>190.32695999999999</v>
      </c>
      <c r="BN4258" s="9">
        <f t="shared" si="600"/>
        <v>1686.05</v>
      </c>
      <c r="BO4258" s="9">
        <f t="shared" si="601"/>
        <v>0</v>
      </c>
      <c r="BP4258" s="9">
        <f t="shared" si="602"/>
        <v>0</v>
      </c>
    </row>
    <row r="4259" spans="1:68">
      <c r="A4259" s="6">
        <v>45343</v>
      </c>
      <c r="B4259" s="7">
        <v>3028</v>
      </c>
      <c r="C4259" s="8"/>
      <c r="D4259" s="8">
        <v>387.74</v>
      </c>
      <c r="E4259" s="8"/>
      <c r="F4259" s="8">
        <v>357.3</v>
      </c>
      <c r="G4259" s="8"/>
      <c r="H4259" s="8"/>
      <c r="I4259" s="8">
        <v>806.96</v>
      </c>
      <c r="J4259" s="8"/>
      <c r="K4259" s="8"/>
      <c r="L4259" s="8"/>
      <c r="M4259" s="8"/>
      <c r="N4259" s="8">
        <v>11.95</v>
      </c>
      <c r="O4259" s="8"/>
      <c r="P4259" s="8"/>
      <c r="Q4259" s="11"/>
      <c r="R4259" s="11"/>
      <c r="S4259" s="8">
        <v>2.17</v>
      </c>
      <c r="T4259" s="8"/>
      <c r="U4259" s="8"/>
      <c r="V4259" s="8"/>
      <c r="W4259" s="8">
        <v>11.65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>
        <v>15.51</v>
      </c>
      <c r="AN4259" s="8">
        <f>1077*10.35/1000</f>
        <v>11.146949999999999</v>
      </c>
      <c r="AO4259" s="8"/>
      <c r="AP4259" s="11"/>
      <c r="AQ4259" s="8"/>
      <c r="AR4259" s="8"/>
      <c r="AS4259" s="8">
        <f>4979*10.35/1000</f>
        <v>51.532650000000004</v>
      </c>
      <c r="AT4259" s="8">
        <v>518.1</v>
      </c>
      <c r="AU4259" s="8"/>
      <c r="AV4259" s="8"/>
      <c r="AW4259" s="8"/>
      <c r="AX4259" s="8"/>
      <c r="AY4259" s="8"/>
      <c r="AZ4259" s="8"/>
      <c r="BA4259" s="8"/>
      <c r="BB4259" s="8"/>
      <c r="BC4259" s="8"/>
      <c r="BD4259" s="8"/>
      <c r="BE4259" s="8"/>
      <c r="BF4259" s="8"/>
      <c r="BG4259" s="8">
        <v>35.340000000000003</v>
      </c>
      <c r="BH4259" s="9">
        <f t="shared" si="594"/>
        <v>1552</v>
      </c>
      <c r="BI4259" s="9">
        <f t="shared" si="595"/>
        <v>11.95</v>
      </c>
      <c r="BJ4259" s="9">
        <f t="shared" si="596"/>
        <v>2.17</v>
      </c>
      <c r="BK4259" s="9">
        <f t="shared" si="597"/>
        <v>11.65</v>
      </c>
      <c r="BL4259" s="9">
        <f t="shared" si="598"/>
        <v>0</v>
      </c>
      <c r="BM4259" s="9">
        <f t="shared" si="599"/>
        <v>78.189599999999999</v>
      </c>
      <c r="BN4259" s="9">
        <f t="shared" si="600"/>
        <v>518.1</v>
      </c>
      <c r="BO4259" s="9">
        <f t="shared" si="601"/>
        <v>0</v>
      </c>
      <c r="BP4259" s="9">
        <f t="shared" si="602"/>
        <v>0</v>
      </c>
    </row>
    <row r="4260" spans="1:68">
      <c r="A4260" s="6">
        <v>45343</v>
      </c>
      <c r="B4260" s="7">
        <v>3022</v>
      </c>
      <c r="C4260" s="8"/>
      <c r="D4260" s="8">
        <v>575.74</v>
      </c>
      <c r="E4260" s="8"/>
      <c r="F4260" s="8"/>
      <c r="G4260" s="8"/>
      <c r="H4260" s="8"/>
      <c r="I4260" s="8">
        <v>471.73</v>
      </c>
      <c r="J4260" s="8"/>
      <c r="K4260" s="8"/>
      <c r="L4260" s="8"/>
      <c r="M4260" s="8"/>
      <c r="N4260" s="8">
        <v>5.25</v>
      </c>
      <c r="O4260" s="8"/>
      <c r="P4260" s="8"/>
      <c r="Q4260" s="11"/>
      <c r="R4260" s="11"/>
      <c r="S4260" s="8">
        <v>1.88</v>
      </c>
      <c r="T4260" s="8"/>
      <c r="U4260" s="8"/>
      <c r="V4260" s="8"/>
      <c r="W4260" s="8">
        <v>10.48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>
        <v>13.62</v>
      </c>
      <c r="AN4260" s="8"/>
      <c r="AO4260" s="8"/>
      <c r="AP4260" s="11"/>
      <c r="AQ4260" s="8"/>
      <c r="AR4260" s="8"/>
      <c r="AS4260" s="8">
        <f>3864*9.52/1000</f>
        <v>36.78528</v>
      </c>
      <c r="AT4260" s="8">
        <v>489.2</v>
      </c>
      <c r="AU4260" s="8"/>
      <c r="AV4260" s="8"/>
      <c r="AW4260" s="8"/>
      <c r="AX4260" s="8"/>
      <c r="AY4260" s="8"/>
      <c r="AZ4260" s="8"/>
      <c r="BA4260" s="8"/>
      <c r="BB4260" s="8"/>
      <c r="BC4260" s="8"/>
      <c r="BD4260" s="8"/>
      <c r="BE4260" s="8"/>
      <c r="BF4260" s="8"/>
      <c r="BG4260" s="8">
        <v>37.68</v>
      </c>
      <c r="BH4260" s="9">
        <f t="shared" si="594"/>
        <v>1047.47</v>
      </c>
      <c r="BI4260" s="9">
        <f t="shared" si="595"/>
        <v>5.25</v>
      </c>
      <c r="BJ4260" s="9">
        <f t="shared" si="596"/>
        <v>1.88</v>
      </c>
      <c r="BK4260" s="9">
        <f t="shared" si="597"/>
        <v>10.48</v>
      </c>
      <c r="BL4260" s="9">
        <f t="shared" si="598"/>
        <v>0</v>
      </c>
      <c r="BM4260" s="9">
        <f t="shared" si="599"/>
        <v>50.405279999999998</v>
      </c>
      <c r="BN4260" s="9">
        <f t="shared" si="600"/>
        <v>489.2</v>
      </c>
      <c r="BO4260" s="9">
        <f t="shared" si="601"/>
        <v>0</v>
      </c>
      <c r="BP4260" s="9">
        <f t="shared" si="602"/>
        <v>0</v>
      </c>
    </row>
    <row r="4261" spans="1:68">
      <c r="A4261" s="6">
        <v>45343</v>
      </c>
      <c r="B4261" s="7">
        <v>8001</v>
      </c>
      <c r="C4261" s="8">
        <v>595.75</v>
      </c>
      <c r="D4261" s="8">
        <v>148.97999999999999</v>
      </c>
      <c r="E4261" s="8"/>
      <c r="F4261" s="8"/>
      <c r="G4261" s="8"/>
      <c r="H4261" s="8"/>
      <c r="I4261" s="8"/>
      <c r="J4261" s="8"/>
      <c r="K4261" s="8"/>
      <c r="L4261" s="8"/>
      <c r="M4261" s="8">
        <v>1.87</v>
      </c>
      <c r="N4261" s="8"/>
      <c r="O4261" s="8"/>
      <c r="P4261" s="8"/>
      <c r="Q4261" s="11"/>
      <c r="R4261" s="11"/>
      <c r="S4261" s="8">
        <v>1.65</v>
      </c>
      <c r="T4261" s="8"/>
      <c r="U4261" s="8"/>
      <c r="V4261" s="8"/>
      <c r="W4261" s="8"/>
      <c r="X4261" s="8">
        <f>1018*7.48/1000</f>
        <v>7.6146400000000005</v>
      </c>
      <c r="Y4261" s="8"/>
      <c r="Z4261" s="8">
        <v>37.450000000000003</v>
      </c>
      <c r="AA4261" s="8"/>
      <c r="AB4261" s="8"/>
      <c r="AC4261" s="8"/>
      <c r="AD4261" s="8"/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11"/>
      <c r="AQ4261" s="8"/>
      <c r="AR4261" s="8"/>
      <c r="AS4261" s="8"/>
      <c r="AT4261" s="8">
        <v>367.49</v>
      </c>
      <c r="AU4261" s="8"/>
      <c r="AV4261" s="8"/>
      <c r="AW4261" s="8"/>
      <c r="AX4261" s="8"/>
      <c r="AY4261" s="8"/>
      <c r="AZ4261" s="8"/>
      <c r="BA4261" s="8">
        <v>3.37</v>
      </c>
      <c r="BB4261" s="8"/>
      <c r="BC4261" s="8"/>
      <c r="BD4261" s="8"/>
      <c r="BE4261" s="8"/>
      <c r="BF4261" s="8"/>
      <c r="BG4261" s="8">
        <v>24.72</v>
      </c>
      <c r="BH4261" s="9">
        <f t="shared" si="594"/>
        <v>744.73</v>
      </c>
      <c r="BI4261" s="9">
        <f t="shared" si="595"/>
        <v>1.87</v>
      </c>
      <c r="BJ4261" s="9">
        <f t="shared" si="596"/>
        <v>1.65</v>
      </c>
      <c r="BK4261" s="9">
        <f t="shared" si="597"/>
        <v>7.6146400000000005</v>
      </c>
      <c r="BL4261" s="9">
        <f t="shared" si="598"/>
        <v>37.450000000000003</v>
      </c>
      <c r="BM4261" s="9">
        <f t="shared" si="599"/>
        <v>0</v>
      </c>
      <c r="BN4261" s="9">
        <f t="shared" si="600"/>
        <v>367.49</v>
      </c>
      <c r="BO4261" s="9">
        <f t="shared" si="601"/>
        <v>3.37</v>
      </c>
      <c r="BP4261" s="9">
        <f t="shared" si="602"/>
        <v>0</v>
      </c>
    </row>
    <row r="4262" spans="1:68">
      <c r="A4262" s="6">
        <v>45343</v>
      </c>
      <c r="B4262" s="7">
        <v>3703</v>
      </c>
      <c r="C4262" s="8">
        <v>477.04</v>
      </c>
      <c r="D4262" s="8">
        <v>318.07</v>
      </c>
      <c r="E4262" s="8"/>
      <c r="F4262" s="8"/>
      <c r="G4262" s="8"/>
      <c r="H4262" s="8"/>
      <c r="I4262" s="8"/>
      <c r="J4262" s="8"/>
      <c r="K4262" s="8"/>
      <c r="L4262" s="8"/>
      <c r="M4262" s="8">
        <v>1.59</v>
      </c>
      <c r="N4262" s="8"/>
      <c r="O4262" s="8"/>
      <c r="P4262" s="8"/>
      <c r="Q4262" s="11"/>
      <c r="R4262" s="11"/>
      <c r="S4262" s="8">
        <v>3.9</v>
      </c>
      <c r="T4262" s="8"/>
      <c r="U4262" s="8">
        <v>6.37</v>
      </c>
      <c r="V4262" s="8"/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>
        <v>7.95</v>
      </c>
      <c r="AN4262" s="8"/>
      <c r="AO4262" s="8"/>
      <c r="AP4262" s="11"/>
      <c r="AQ4262" s="8"/>
      <c r="AR4262" s="8"/>
      <c r="AS4262" s="8"/>
      <c r="AT4262" s="8">
        <v>191.56</v>
      </c>
      <c r="AU4262" s="8">
        <v>96.41</v>
      </c>
      <c r="AV4262" s="8"/>
      <c r="AW4262" s="8"/>
      <c r="AX4262" s="8"/>
      <c r="AY4262" s="8"/>
      <c r="AZ4262" s="8"/>
      <c r="BA4262" s="8"/>
      <c r="BB4262" s="8"/>
      <c r="BC4262" s="8"/>
      <c r="BD4262" s="8"/>
      <c r="BE4262" s="8"/>
      <c r="BF4262" s="8"/>
      <c r="BG4262" s="8">
        <v>20.309999999999999</v>
      </c>
      <c r="BH4262" s="9">
        <f t="shared" si="594"/>
        <v>795.11</v>
      </c>
      <c r="BI4262" s="9">
        <f t="shared" si="595"/>
        <v>1.59</v>
      </c>
      <c r="BJ4262" s="9">
        <f t="shared" si="596"/>
        <v>3.9</v>
      </c>
      <c r="BK4262" s="9">
        <f t="shared" si="597"/>
        <v>6.37</v>
      </c>
      <c r="BL4262" s="9">
        <f t="shared" si="598"/>
        <v>0</v>
      </c>
      <c r="BM4262" s="9">
        <f t="shared" si="599"/>
        <v>7.95</v>
      </c>
      <c r="BN4262" s="9">
        <f t="shared" si="600"/>
        <v>287.97000000000003</v>
      </c>
      <c r="BO4262" s="9">
        <f t="shared" si="601"/>
        <v>0</v>
      </c>
      <c r="BP4262" s="9">
        <f t="shared" si="602"/>
        <v>0</v>
      </c>
    </row>
    <row r="4263" spans="1:68">
      <c r="A4263" s="6">
        <v>45343</v>
      </c>
      <c r="B4263" s="7">
        <v>3154</v>
      </c>
      <c r="C4263" s="8">
        <v>692.84</v>
      </c>
      <c r="D4263" s="8"/>
      <c r="E4263" s="8"/>
      <c r="F4263" s="8"/>
      <c r="G4263" s="8"/>
      <c r="H4263" s="8"/>
      <c r="I4263" s="8"/>
      <c r="J4263" s="8"/>
      <c r="K4263" s="8"/>
      <c r="L4263" s="8"/>
      <c r="M4263" s="8">
        <v>1.74</v>
      </c>
      <c r="N4263" s="8"/>
      <c r="O4263" s="8"/>
      <c r="P4263" s="8"/>
      <c r="Q4263" s="11"/>
      <c r="R4263" s="11"/>
      <c r="S4263" s="8">
        <v>2.5</v>
      </c>
      <c r="T4263" s="8"/>
      <c r="U4263" s="8">
        <v>8.83</v>
      </c>
      <c r="V4263" s="8"/>
      <c r="W4263" s="8"/>
      <c r="X4263" s="8"/>
      <c r="Y4263" s="8"/>
      <c r="Z4263" s="8"/>
      <c r="AA4263" s="8"/>
      <c r="AB4263" s="8"/>
      <c r="AC4263" s="8">
        <v>2.78</v>
      </c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11"/>
      <c r="AQ4263" s="8"/>
      <c r="AR4263" s="8"/>
      <c r="AS4263" s="8"/>
      <c r="AT4263" s="8">
        <v>375.6</v>
      </c>
      <c r="AU4263" s="8"/>
      <c r="AV4263" s="8"/>
      <c r="AW4263" s="8"/>
      <c r="AX4263" s="8"/>
      <c r="AY4263" s="8"/>
      <c r="AZ4263" s="8"/>
      <c r="BA4263" s="8"/>
      <c r="BB4263" s="8"/>
      <c r="BC4263" s="8">
        <v>0.84</v>
      </c>
      <c r="BD4263" s="8"/>
      <c r="BE4263" s="8"/>
      <c r="BF4263" s="8"/>
      <c r="BG4263" s="8">
        <v>28.11</v>
      </c>
      <c r="BH4263" s="9">
        <f t="shared" si="594"/>
        <v>692.84</v>
      </c>
      <c r="BI4263" s="9">
        <f t="shared" si="595"/>
        <v>1.74</v>
      </c>
      <c r="BJ4263" s="9">
        <f t="shared" si="596"/>
        <v>2.5</v>
      </c>
      <c r="BK4263" s="9">
        <f t="shared" si="597"/>
        <v>8.83</v>
      </c>
      <c r="BL4263" s="9">
        <f t="shared" si="598"/>
        <v>0</v>
      </c>
      <c r="BM4263" s="9">
        <f t="shared" si="599"/>
        <v>2.78</v>
      </c>
      <c r="BN4263" s="9">
        <f t="shared" si="600"/>
        <v>375.6</v>
      </c>
      <c r="BO4263" s="9">
        <f t="shared" si="601"/>
        <v>0.84</v>
      </c>
      <c r="BP4263" s="9">
        <f t="shared" si="602"/>
        <v>0</v>
      </c>
    </row>
    <row r="4264" spans="1:68">
      <c r="A4264" s="6">
        <v>45345</v>
      </c>
      <c r="B4264" s="7">
        <v>3029</v>
      </c>
      <c r="C4264" s="8"/>
      <c r="D4264" s="8">
        <v>456.91</v>
      </c>
      <c r="E4264" s="8"/>
      <c r="F4264" s="8">
        <v>322.69</v>
      </c>
      <c r="G4264" s="8"/>
      <c r="H4264" s="8"/>
      <c r="I4264" s="8">
        <v>1907.53</v>
      </c>
      <c r="J4264" s="8"/>
      <c r="K4264" s="8"/>
      <c r="L4264" s="8"/>
      <c r="M4264" s="8"/>
      <c r="N4264" s="8">
        <v>21.24</v>
      </c>
      <c r="O4264" s="8"/>
      <c r="P4264" s="8"/>
      <c r="Q4264" s="11"/>
      <c r="R4264" s="11"/>
      <c r="S4264" s="8">
        <v>1.61</v>
      </c>
      <c r="T4264" s="8"/>
      <c r="U4264" s="8"/>
      <c r="V4264" s="8"/>
      <c r="W4264" s="8">
        <v>26.91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>
        <v>9.41</v>
      </c>
      <c r="AN4264" s="8">
        <f>769*17.93/1000</f>
        <v>13.788170000000001</v>
      </c>
      <c r="AO4264" s="8"/>
      <c r="AP4264" s="11"/>
      <c r="AQ4264" s="8"/>
      <c r="AR4264" s="8">
        <f>4560*17.93/1000</f>
        <v>81.760800000000003</v>
      </c>
      <c r="AS4264" s="8"/>
      <c r="AT4264" s="8">
        <v>1021.74</v>
      </c>
      <c r="AU4264" s="8"/>
      <c r="AV4264" s="8"/>
      <c r="AW4264" s="8"/>
      <c r="AX4264" s="8"/>
      <c r="AY4264" s="8"/>
      <c r="AZ4264" s="8"/>
      <c r="BA4264" s="8"/>
      <c r="BB4264" s="8"/>
      <c r="BC4264" s="8"/>
      <c r="BD4264" s="8"/>
      <c r="BE4264" s="8"/>
      <c r="BF4264" s="8"/>
      <c r="BG4264" s="8">
        <v>71.31</v>
      </c>
      <c r="BH4264" s="9">
        <f t="shared" si="594"/>
        <v>2687.13</v>
      </c>
      <c r="BI4264" s="9">
        <f t="shared" si="595"/>
        <v>21.24</v>
      </c>
      <c r="BJ4264" s="9">
        <f t="shared" si="596"/>
        <v>1.61</v>
      </c>
      <c r="BK4264" s="9">
        <f t="shared" si="597"/>
        <v>26.91</v>
      </c>
      <c r="BL4264" s="9">
        <f t="shared" si="598"/>
        <v>0</v>
      </c>
      <c r="BM4264" s="9">
        <f t="shared" si="599"/>
        <v>104.95897000000001</v>
      </c>
      <c r="BN4264" s="9">
        <f t="shared" si="600"/>
        <v>1021.74</v>
      </c>
      <c r="BO4264" s="9">
        <f t="shared" si="601"/>
        <v>0</v>
      </c>
      <c r="BP4264" s="9">
        <f t="shared" si="602"/>
        <v>0</v>
      </c>
    </row>
    <row r="4265" spans="1:68">
      <c r="A4265" s="6">
        <v>45345</v>
      </c>
      <c r="B4265" s="7">
        <v>3031</v>
      </c>
      <c r="C4265" s="8"/>
      <c r="D4265" s="8"/>
      <c r="E4265" s="8"/>
      <c r="F4265" s="8"/>
      <c r="G4265" s="8"/>
      <c r="H4265" s="8"/>
      <c r="I4265" s="8">
        <v>1163.4100000000001</v>
      </c>
      <c r="J4265" s="8"/>
      <c r="K4265" s="8"/>
      <c r="L4265" s="8"/>
      <c r="M4265" s="8"/>
      <c r="N4265" s="8">
        <v>8.0399999999999991</v>
      </c>
      <c r="O4265" s="8"/>
      <c r="P4265" s="8"/>
      <c r="Q4265" s="11"/>
      <c r="R4265" s="11"/>
      <c r="S4265" s="8">
        <v>0.81</v>
      </c>
      <c r="T4265" s="8"/>
      <c r="U4265" s="8"/>
      <c r="V4265" s="8"/>
      <c r="W4265" s="8">
        <v>11.65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8">
        <f>1836*9.7/1000</f>
        <v>17.809199999999997</v>
      </c>
      <c r="AJ4265" s="8"/>
      <c r="AK4265" s="8"/>
      <c r="AL4265" s="8"/>
      <c r="AM4265" s="8"/>
      <c r="AN4265" s="8">
        <f>1220*9.7/1000</f>
        <v>11.834</v>
      </c>
      <c r="AO4265" s="8"/>
      <c r="AP4265" s="11"/>
      <c r="AQ4265" s="8"/>
      <c r="AR4265" s="8">
        <f>3677*9.7/1000</f>
        <v>35.666899999999991</v>
      </c>
      <c r="AS4265" s="8"/>
      <c r="AT4265" s="8">
        <v>554.26</v>
      </c>
      <c r="AU4265" s="8"/>
      <c r="AV4265" s="8"/>
      <c r="AW4265" s="8"/>
      <c r="AX4265" s="8"/>
      <c r="AY4265" s="8"/>
      <c r="AZ4265" s="8"/>
      <c r="BA4265" s="8"/>
      <c r="BB4265" s="8"/>
      <c r="BC4265" s="8"/>
      <c r="BD4265" s="8"/>
      <c r="BE4265" s="8"/>
      <c r="BF4265" s="8"/>
      <c r="BG4265" s="8">
        <v>37.46</v>
      </c>
      <c r="BH4265" s="9">
        <f t="shared" si="594"/>
        <v>1163.4100000000001</v>
      </c>
      <c r="BI4265" s="9">
        <f t="shared" si="595"/>
        <v>8.0399999999999991</v>
      </c>
      <c r="BJ4265" s="9">
        <f t="shared" si="596"/>
        <v>0.81</v>
      </c>
      <c r="BK4265" s="9">
        <f t="shared" si="597"/>
        <v>11.65</v>
      </c>
      <c r="BL4265" s="9">
        <f t="shared" si="598"/>
        <v>0</v>
      </c>
      <c r="BM4265" s="9">
        <f t="shared" si="599"/>
        <v>65.310099999999991</v>
      </c>
      <c r="BN4265" s="9">
        <f t="shared" si="600"/>
        <v>554.26</v>
      </c>
      <c r="BO4265" s="9">
        <f t="shared" si="601"/>
        <v>0</v>
      </c>
      <c r="BP4265" s="9">
        <f t="shared" si="602"/>
        <v>0</v>
      </c>
    </row>
    <row r="4266" spans="1:68">
      <c r="A4266" s="6">
        <v>45345</v>
      </c>
      <c r="B4266" s="7">
        <v>3200</v>
      </c>
      <c r="C4266" s="8">
        <v>2251.64</v>
      </c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>
        <v>5.63</v>
      </c>
      <c r="P4266" s="8"/>
      <c r="Q4266" s="11"/>
      <c r="R4266" s="11"/>
      <c r="S4266" s="8">
        <v>8.7799999999999994</v>
      </c>
      <c r="T4266" s="8"/>
      <c r="U4266" s="8">
        <v>33.79</v>
      </c>
      <c r="V4266" s="8"/>
      <c r="W4266" s="8"/>
      <c r="X4266" s="8"/>
      <c r="Y4266" s="8"/>
      <c r="Z4266" s="8">
        <v>473.15</v>
      </c>
      <c r="AA4266" s="8"/>
      <c r="AB4266" s="8"/>
      <c r="AC4266" s="8"/>
      <c r="AD4266" s="8"/>
      <c r="AE4266" s="8"/>
      <c r="AF4266" s="8">
        <v>112.4</v>
      </c>
      <c r="AG4266" s="8"/>
      <c r="AH4266" s="8"/>
      <c r="AI4266" s="8"/>
      <c r="AJ4266" s="8"/>
      <c r="AK4266" s="8"/>
      <c r="AL4266" s="8"/>
      <c r="AM4266" s="8"/>
      <c r="AN4266" s="8"/>
      <c r="AO4266" s="8"/>
      <c r="AP4266" s="11"/>
      <c r="AQ4266" s="8">
        <f>1518*22.52/1000</f>
        <v>34.185360000000003</v>
      </c>
      <c r="AR4266" s="8"/>
      <c r="AS4266" s="8"/>
      <c r="AT4266" s="8">
        <v>1542.52</v>
      </c>
      <c r="AU4266" s="8"/>
      <c r="AV4266" s="8"/>
      <c r="AW4266" s="8">
        <v>6.48</v>
      </c>
      <c r="AX4266" s="8"/>
      <c r="AY4266" s="8"/>
      <c r="AZ4266" s="8"/>
      <c r="BA4266" s="8"/>
      <c r="BB4266" s="8"/>
      <c r="BC4266" s="8"/>
      <c r="BD4266" s="8"/>
      <c r="BE4266" s="8"/>
      <c r="BF4266" s="8">
        <v>108.1</v>
      </c>
      <c r="BG4266" s="8">
        <v>111.77</v>
      </c>
      <c r="BH4266" s="9">
        <f t="shared" si="594"/>
        <v>2251.64</v>
      </c>
      <c r="BI4266" s="9">
        <f t="shared" si="595"/>
        <v>5.63</v>
      </c>
      <c r="BJ4266" s="9">
        <f t="shared" si="596"/>
        <v>8.7799999999999994</v>
      </c>
      <c r="BK4266" s="9">
        <f t="shared" si="597"/>
        <v>33.79</v>
      </c>
      <c r="BL4266" s="9">
        <f t="shared" si="598"/>
        <v>473.15</v>
      </c>
      <c r="BM4266" s="9">
        <f t="shared" si="599"/>
        <v>146.58536000000001</v>
      </c>
      <c r="BN4266" s="9">
        <f t="shared" si="600"/>
        <v>1542.52</v>
      </c>
      <c r="BO4266" s="9">
        <f t="shared" si="601"/>
        <v>6.48</v>
      </c>
      <c r="BP4266" s="9">
        <f t="shared" si="602"/>
        <v>108.1</v>
      </c>
    </row>
    <row r="4267" spans="1:68">
      <c r="A4267" s="6">
        <v>45345</v>
      </c>
      <c r="B4267" s="7">
        <v>8345</v>
      </c>
      <c r="C4267" s="8">
        <v>915.86</v>
      </c>
      <c r="D4267" s="8">
        <v>162.28</v>
      </c>
      <c r="E4267" s="8"/>
      <c r="F4267" s="8"/>
      <c r="G4267" s="8"/>
      <c r="H4267" s="8"/>
      <c r="I4267" s="8"/>
      <c r="J4267" s="8"/>
      <c r="K4267" s="8"/>
      <c r="L4267" s="8"/>
      <c r="M4267" s="8">
        <v>3.34</v>
      </c>
      <c r="N4267" s="8"/>
      <c r="O4267" s="8"/>
      <c r="P4267" s="8"/>
      <c r="Q4267" s="11"/>
      <c r="R4267" s="11"/>
      <c r="S4267" s="8">
        <v>5.07</v>
      </c>
      <c r="T4267" s="8"/>
      <c r="U4267" s="8">
        <v>16.170000000000002</v>
      </c>
      <c r="V4267" s="8"/>
      <c r="W4267" s="8"/>
      <c r="X4267" s="8"/>
      <c r="Y4267" s="8"/>
      <c r="Z4267" s="8"/>
      <c r="AA4267" s="8"/>
      <c r="AB4267" s="8"/>
      <c r="AC4267" s="8">
        <v>4.32</v>
      </c>
      <c r="AD4267" s="8"/>
      <c r="AE4267" s="8"/>
      <c r="AF4267" s="8"/>
      <c r="AG4267" s="8"/>
      <c r="AH4267" s="8"/>
      <c r="AI4267" s="8"/>
      <c r="AJ4267" s="8"/>
      <c r="AK4267" s="8"/>
      <c r="AL4267" s="8"/>
      <c r="AM4267" s="8"/>
      <c r="AN4267" s="8"/>
      <c r="AO4267" s="8"/>
      <c r="AP4267" s="11"/>
      <c r="AQ4267" s="8"/>
      <c r="AR4267" s="8"/>
      <c r="AS4267" s="8"/>
      <c r="AT4267" s="8">
        <v>708.31</v>
      </c>
      <c r="AU4267" s="8"/>
      <c r="AV4267" s="8"/>
      <c r="AW4267" s="8"/>
      <c r="AX4267" s="8"/>
      <c r="AY4267" s="8"/>
      <c r="AZ4267" s="8"/>
      <c r="BA4267" s="8"/>
      <c r="BB4267" s="8"/>
      <c r="BC4267" s="8">
        <v>1.89</v>
      </c>
      <c r="BD4267" s="8"/>
      <c r="BE4267" s="8"/>
      <c r="BF4267" s="8">
        <v>75.489999999999995</v>
      </c>
      <c r="BG4267" s="8">
        <v>56.13</v>
      </c>
      <c r="BH4267" s="9">
        <f t="shared" si="594"/>
        <v>1078.1400000000001</v>
      </c>
      <c r="BI4267" s="9">
        <f t="shared" si="595"/>
        <v>3.34</v>
      </c>
      <c r="BJ4267" s="9">
        <f t="shared" si="596"/>
        <v>5.07</v>
      </c>
      <c r="BK4267" s="9">
        <f t="shared" si="597"/>
        <v>16.170000000000002</v>
      </c>
      <c r="BL4267" s="9">
        <f t="shared" si="598"/>
        <v>0</v>
      </c>
      <c r="BM4267" s="9">
        <f t="shared" si="599"/>
        <v>4.32</v>
      </c>
      <c r="BN4267" s="9">
        <f t="shared" si="600"/>
        <v>708.31</v>
      </c>
      <c r="BO4267" s="9">
        <f t="shared" si="601"/>
        <v>1.89</v>
      </c>
      <c r="BP4267" s="9">
        <f t="shared" si="602"/>
        <v>75.489999999999995</v>
      </c>
    </row>
    <row r="4268" spans="1:68">
      <c r="A4268" s="6">
        <v>45345</v>
      </c>
      <c r="B4268" s="7">
        <v>8064</v>
      </c>
      <c r="C4268" s="8">
        <v>1515.26</v>
      </c>
      <c r="D4268" s="8">
        <v>267.02</v>
      </c>
      <c r="E4268" s="8"/>
      <c r="F4268" s="8"/>
      <c r="G4268" s="8"/>
      <c r="H4268" s="8"/>
      <c r="I4268" s="8"/>
      <c r="J4268" s="8"/>
      <c r="K4268" s="8"/>
      <c r="L4268" s="8"/>
      <c r="M4268" s="8">
        <v>1.26</v>
      </c>
      <c r="N4268" s="8">
        <v>1.25</v>
      </c>
      <c r="O4268" s="8"/>
      <c r="P4268" s="8"/>
      <c r="Q4268" s="11"/>
      <c r="R4268" s="11"/>
      <c r="S4268" s="8">
        <v>5.71</v>
      </c>
      <c r="T4268" s="8"/>
      <c r="U4268" s="8">
        <v>17.850000000000001</v>
      </c>
      <c r="V4268" s="8"/>
      <c r="W4268" s="8"/>
      <c r="X4268" s="8"/>
      <c r="Y4268" s="8"/>
      <c r="Z4268" s="8"/>
      <c r="AA4268" s="8"/>
      <c r="AB4268" s="8"/>
      <c r="AC4268" s="8">
        <v>7.13</v>
      </c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11"/>
      <c r="AQ4268" s="8"/>
      <c r="AR4268" s="8"/>
      <c r="AS4268" s="8"/>
      <c r="AT4268" s="8">
        <v>733.9</v>
      </c>
      <c r="AU4268" s="8"/>
      <c r="AV4268" s="8"/>
      <c r="AW4268" s="8"/>
      <c r="AX4268" s="8"/>
      <c r="AY4268" s="8"/>
      <c r="AZ4268" s="8"/>
      <c r="BA4268" s="8">
        <v>10.73</v>
      </c>
      <c r="BB4268" s="8"/>
      <c r="BC4268" s="8"/>
      <c r="BD4268" s="8"/>
      <c r="BE4268" s="8"/>
      <c r="BF4268" s="8"/>
      <c r="BG4268" s="8">
        <v>53.74</v>
      </c>
      <c r="BH4268" s="9">
        <f t="shared" si="594"/>
        <v>1782.28</v>
      </c>
      <c r="BI4268" s="9">
        <f t="shared" si="595"/>
        <v>2.5099999999999998</v>
      </c>
      <c r="BJ4268" s="9">
        <f t="shared" si="596"/>
        <v>5.71</v>
      </c>
      <c r="BK4268" s="9">
        <f t="shared" si="597"/>
        <v>17.850000000000001</v>
      </c>
      <c r="BL4268" s="9">
        <f t="shared" si="598"/>
        <v>0</v>
      </c>
      <c r="BM4268" s="9">
        <f t="shared" si="599"/>
        <v>7.13</v>
      </c>
      <c r="BN4268" s="9">
        <f t="shared" si="600"/>
        <v>733.9</v>
      </c>
      <c r="BO4268" s="9">
        <f t="shared" si="601"/>
        <v>10.73</v>
      </c>
      <c r="BP4268" s="9">
        <f t="shared" si="602"/>
        <v>0</v>
      </c>
    </row>
    <row r="4269" spans="1:68">
      <c r="A4269" s="6">
        <v>45345</v>
      </c>
      <c r="B4269" s="7">
        <v>3121</v>
      </c>
      <c r="C4269" s="8">
        <v>528.03</v>
      </c>
      <c r="D4269" s="8"/>
      <c r="E4269" s="8"/>
      <c r="F4269" s="8"/>
      <c r="G4269" s="8"/>
      <c r="H4269" s="8"/>
      <c r="I4269" s="8"/>
      <c r="J4269" s="8"/>
      <c r="K4269" s="8"/>
      <c r="L4269" s="8"/>
      <c r="M4269" s="8">
        <v>1.32</v>
      </c>
      <c r="N4269" s="8"/>
      <c r="O4269" s="8"/>
      <c r="P4269" s="8"/>
      <c r="Q4269" s="11"/>
      <c r="R4269" s="11"/>
      <c r="S4269" s="8">
        <v>1.68</v>
      </c>
      <c r="T4269" s="8"/>
      <c r="U4269" s="8">
        <v>5.3</v>
      </c>
      <c r="V4269" s="8"/>
      <c r="W4269" s="8"/>
      <c r="X4269" s="8"/>
      <c r="Y4269" s="8"/>
      <c r="Z4269" s="8"/>
      <c r="AA4269" s="8"/>
      <c r="AB4269" s="8"/>
      <c r="AC4269" s="8">
        <v>2.1</v>
      </c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11">
        <f>2220*2.4/1000</f>
        <v>5.3280000000000003</v>
      </c>
      <c r="AQ4269" s="8"/>
      <c r="AR4269" s="8"/>
      <c r="AS4269" s="8"/>
      <c r="AT4269" s="8">
        <v>279.58999999999997</v>
      </c>
      <c r="AU4269" s="8"/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  <c r="BF4269" s="8"/>
      <c r="BG4269" s="8">
        <v>20.67</v>
      </c>
      <c r="BH4269" s="9">
        <f t="shared" si="594"/>
        <v>528.03</v>
      </c>
      <c r="BI4269" s="9">
        <f t="shared" si="595"/>
        <v>1.32</v>
      </c>
      <c r="BJ4269" s="9">
        <f t="shared" si="596"/>
        <v>1.68</v>
      </c>
      <c r="BK4269" s="9">
        <f t="shared" si="597"/>
        <v>5.3</v>
      </c>
      <c r="BL4269" s="9">
        <f t="shared" si="598"/>
        <v>0</v>
      </c>
      <c r="BM4269" s="9">
        <f t="shared" si="599"/>
        <v>7.4280000000000008</v>
      </c>
      <c r="BN4269" s="9">
        <f t="shared" si="600"/>
        <v>279.58999999999997</v>
      </c>
      <c r="BO4269" s="9">
        <f t="shared" si="601"/>
        <v>0</v>
      </c>
      <c r="BP4269" s="9">
        <f t="shared" si="602"/>
        <v>0</v>
      </c>
    </row>
    <row r="4270" spans="1:68">
      <c r="A4270" s="6">
        <v>45345</v>
      </c>
      <c r="B4270" s="7">
        <v>3106</v>
      </c>
      <c r="C4270" s="8">
        <v>4107.71</v>
      </c>
      <c r="D4270" s="8"/>
      <c r="E4270" s="8"/>
      <c r="F4270" s="8"/>
      <c r="G4270" s="8"/>
      <c r="H4270" s="8"/>
      <c r="I4270" s="8"/>
      <c r="J4270" s="8"/>
      <c r="K4270" s="8"/>
      <c r="L4270" s="8"/>
      <c r="M4270" s="8">
        <v>11.09</v>
      </c>
      <c r="N4270" s="8"/>
      <c r="O4270" s="8"/>
      <c r="P4270" s="8"/>
      <c r="Q4270" s="11"/>
      <c r="R4270" s="11"/>
      <c r="S4270" s="8">
        <v>12.36</v>
      </c>
      <c r="T4270" s="8"/>
      <c r="U4270" s="8">
        <v>52.27</v>
      </c>
      <c r="V4270" s="8"/>
      <c r="W4270" s="8"/>
      <c r="X4270" s="8"/>
      <c r="Y4270" s="8"/>
      <c r="Z4270" s="8"/>
      <c r="AA4270" s="8"/>
      <c r="AB4270" s="8"/>
      <c r="AC4270" s="8">
        <v>10.28</v>
      </c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11"/>
      <c r="AQ4270" s="8"/>
      <c r="AR4270" s="8"/>
      <c r="AS4270" s="8"/>
      <c r="AT4270" s="8">
        <v>2342.6</v>
      </c>
      <c r="AU4270" s="8"/>
      <c r="AV4270" s="8"/>
      <c r="AW4270" s="8"/>
      <c r="AX4270" s="8">
        <v>5.14</v>
      </c>
      <c r="AY4270" s="8"/>
      <c r="AZ4270" s="8"/>
      <c r="BA4270" s="8"/>
      <c r="BB4270" s="8"/>
      <c r="BC4270" s="8"/>
      <c r="BD4270" s="8"/>
      <c r="BE4270" s="8"/>
      <c r="BF4270" s="8"/>
      <c r="BG4270" s="8">
        <v>176.59</v>
      </c>
      <c r="BH4270" s="9">
        <f t="shared" si="594"/>
        <v>4107.71</v>
      </c>
      <c r="BI4270" s="9">
        <f t="shared" si="595"/>
        <v>11.09</v>
      </c>
      <c r="BJ4270" s="9">
        <f t="shared" si="596"/>
        <v>12.36</v>
      </c>
      <c r="BK4270" s="9">
        <f t="shared" si="597"/>
        <v>52.27</v>
      </c>
      <c r="BL4270" s="9">
        <f t="shared" si="598"/>
        <v>0</v>
      </c>
      <c r="BM4270" s="9">
        <f t="shared" si="599"/>
        <v>10.28</v>
      </c>
      <c r="BN4270" s="9">
        <f t="shared" si="600"/>
        <v>2342.6</v>
      </c>
      <c r="BO4270" s="9">
        <f t="shared" si="601"/>
        <v>5.14</v>
      </c>
      <c r="BP4270" s="9">
        <f t="shared" si="602"/>
        <v>0</v>
      </c>
    </row>
    <row r="4271" spans="1:68">
      <c r="A4271" s="6">
        <v>45345</v>
      </c>
      <c r="B4271" s="7">
        <v>3141</v>
      </c>
      <c r="C4271" s="8">
        <v>2403.5100000000002</v>
      </c>
      <c r="D4271" s="8">
        <v>424.52</v>
      </c>
      <c r="E4271" s="8"/>
      <c r="F4271" s="8"/>
      <c r="G4271" s="8"/>
      <c r="H4271" s="8"/>
      <c r="I4271" s="8"/>
      <c r="J4271" s="8"/>
      <c r="K4271" s="8"/>
      <c r="L4271" s="8"/>
      <c r="M4271" s="8">
        <v>8.2100000000000009</v>
      </c>
      <c r="N4271" s="8"/>
      <c r="O4271" s="8"/>
      <c r="P4271" s="8"/>
      <c r="Q4271" s="11"/>
      <c r="R4271" s="11"/>
      <c r="S4271" s="8">
        <v>13.32</v>
      </c>
      <c r="T4271" s="8"/>
      <c r="U4271" s="8">
        <v>42.48</v>
      </c>
      <c r="V4271" s="8"/>
      <c r="W4271" s="8"/>
      <c r="X4271" s="8"/>
      <c r="Y4271" s="8"/>
      <c r="Z4271" s="8"/>
      <c r="AA4271" s="8"/>
      <c r="AB4271" s="8"/>
      <c r="AC4271" s="8">
        <v>11.33</v>
      </c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11"/>
      <c r="AQ4271" s="8"/>
      <c r="AR4271" s="8"/>
      <c r="AS4271" s="8"/>
      <c r="AT4271" s="8">
        <v>1867.33</v>
      </c>
      <c r="AU4271" s="8"/>
      <c r="AV4271" s="8"/>
      <c r="AW4271" s="8"/>
      <c r="AX4271" s="8"/>
      <c r="AY4271" s="8"/>
      <c r="AZ4271" s="8"/>
      <c r="BA4271" s="8">
        <v>64.89</v>
      </c>
      <c r="BB4271" s="8"/>
      <c r="BC4271" s="8"/>
      <c r="BD4271" s="8"/>
      <c r="BE4271" s="8"/>
      <c r="BF4271" s="8">
        <v>198.29</v>
      </c>
      <c r="BG4271" s="8">
        <v>146.97</v>
      </c>
      <c r="BH4271" s="9">
        <f t="shared" si="594"/>
        <v>2828.03</v>
      </c>
      <c r="BI4271" s="9">
        <f t="shared" si="595"/>
        <v>8.2100000000000009</v>
      </c>
      <c r="BJ4271" s="9">
        <f t="shared" si="596"/>
        <v>13.32</v>
      </c>
      <c r="BK4271" s="9">
        <f t="shared" si="597"/>
        <v>42.48</v>
      </c>
      <c r="BL4271" s="9">
        <f t="shared" si="598"/>
        <v>0</v>
      </c>
      <c r="BM4271" s="9">
        <f t="shared" si="599"/>
        <v>11.33</v>
      </c>
      <c r="BN4271" s="9">
        <f t="shared" si="600"/>
        <v>1867.33</v>
      </c>
      <c r="BO4271" s="9">
        <f t="shared" si="601"/>
        <v>64.89</v>
      </c>
      <c r="BP4271" s="9">
        <f t="shared" si="602"/>
        <v>198.29</v>
      </c>
    </row>
    <row r="4272" spans="1:68">
      <c r="A4272" s="6">
        <v>45345</v>
      </c>
      <c r="B4272" s="7">
        <v>3601</v>
      </c>
      <c r="C4272" s="8">
        <v>292.14</v>
      </c>
      <c r="D4272" s="8"/>
      <c r="E4272" s="8"/>
      <c r="F4272" s="8"/>
      <c r="G4272" s="8">
        <v>437.78</v>
      </c>
      <c r="H4272" s="8"/>
      <c r="I4272" s="8"/>
      <c r="J4272" s="8"/>
      <c r="K4272" s="8"/>
      <c r="L4272" s="8"/>
      <c r="M4272" s="8">
        <v>0.88</v>
      </c>
      <c r="N4272" s="8"/>
      <c r="O4272" s="8"/>
      <c r="P4272" s="8"/>
      <c r="Q4272" s="11"/>
      <c r="R4272" s="11"/>
      <c r="S4272" s="8">
        <v>3.51</v>
      </c>
      <c r="T4272" s="8"/>
      <c r="U4272" s="8">
        <v>4.38</v>
      </c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11"/>
      <c r="AQ4272" s="8"/>
      <c r="AR4272" s="8"/>
      <c r="AS4272" s="8"/>
      <c r="AT4272" s="8">
        <v>358.35</v>
      </c>
      <c r="AU4272" s="8"/>
      <c r="AV4272" s="8"/>
      <c r="AW4272" s="8">
        <v>22.19</v>
      </c>
      <c r="AX4272" s="8"/>
      <c r="AY4272" s="8"/>
      <c r="AZ4272" s="8"/>
      <c r="BA4272" s="8"/>
      <c r="BB4272" s="8"/>
      <c r="BC4272" s="8"/>
      <c r="BD4272" s="8"/>
      <c r="BE4272" s="8"/>
      <c r="BF4272" s="8">
        <v>40.83</v>
      </c>
      <c r="BG4272" s="8">
        <v>26.04</v>
      </c>
      <c r="BH4272" s="9">
        <f t="shared" si="594"/>
        <v>729.92</v>
      </c>
      <c r="BI4272" s="9">
        <f t="shared" si="595"/>
        <v>0.88</v>
      </c>
      <c r="BJ4272" s="9">
        <f t="shared" si="596"/>
        <v>3.51</v>
      </c>
      <c r="BK4272" s="9">
        <f t="shared" si="597"/>
        <v>4.38</v>
      </c>
      <c r="BL4272" s="9">
        <f t="shared" si="598"/>
        <v>0</v>
      </c>
      <c r="BM4272" s="9">
        <f t="shared" si="599"/>
        <v>0</v>
      </c>
      <c r="BN4272" s="9">
        <f t="shared" si="600"/>
        <v>358.35</v>
      </c>
      <c r="BO4272" s="9">
        <f t="shared" si="601"/>
        <v>22.19</v>
      </c>
      <c r="BP4272" s="9">
        <f t="shared" si="602"/>
        <v>40.83</v>
      </c>
    </row>
    <row r="4273" spans="1:68">
      <c r="A4273" s="6">
        <v>45345</v>
      </c>
      <c r="B4273" s="7">
        <v>3155</v>
      </c>
      <c r="C4273" s="8">
        <v>427.39</v>
      </c>
      <c r="D4273" s="8">
        <v>427.28</v>
      </c>
      <c r="E4273" s="8"/>
      <c r="F4273" s="8"/>
      <c r="G4273" s="8"/>
      <c r="H4273" s="8"/>
      <c r="I4273" s="8"/>
      <c r="J4273" s="8"/>
      <c r="K4273" s="8"/>
      <c r="L4273" s="8"/>
      <c r="M4273" s="8">
        <v>2.48</v>
      </c>
      <c r="N4273" s="8"/>
      <c r="O4273" s="8"/>
      <c r="P4273" s="8"/>
      <c r="Q4273" s="11"/>
      <c r="R4273" s="11"/>
      <c r="S4273" s="8">
        <v>4.28</v>
      </c>
      <c r="T4273" s="8"/>
      <c r="U4273" s="8">
        <v>13.7</v>
      </c>
      <c r="V4273" s="8"/>
      <c r="W4273" s="8"/>
      <c r="X4273" s="8"/>
      <c r="Y4273" s="8"/>
      <c r="Z4273" s="8"/>
      <c r="AA4273" s="8"/>
      <c r="AB4273" s="8"/>
      <c r="AC4273" s="8">
        <v>3.43</v>
      </c>
      <c r="AD4273" s="8"/>
      <c r="AE4273" s="8"/>
      <c r="AF4273" s="8"/>
      <c r="AG4273" s="8">
        <v>4.28</v>
      </c>
      <c r="AH4273" s="8"/>
      <c r="AI4273" s="8"/>
      <c r="AJ4273" s="8"/>
      <c r="AK4273" s="8"/>
      <c r="AL4273" s="8"/>
      <c r="AM4273" s="8"/>
      <c r="AN4273" s="8"/>
      <c r="AO4273" s="8"/>
      <c r="AP4273" s="11"/>
      <c r="AQ4273" s="8"/>
      <c r="AR4273" s="8"/>
      <c r="AS4273" s="8"/>
      <c r="AT4273" s="8">
        <v>551.19000000000005</v>
      </c>
      <c r="AU4273" s="8"/>
      <c r="AV4273" s="8"/>
      <c r="AW4273" s="8"/>
      <c r="AX4273" s="8"/>
      <c r="AY4273" s="8"/>
      <c r="AZ4273" s="8"/>
      <c r="BA4273" s="8"/>
      <c r="BB4273" s="8"/>
      <c r="BC4273" s="8"/>
      <c r="BD4273" s="8"/>
      <c r="BE4273" s="8"/>
      <c r="BF4273" s="8">
        <v>111.3</v>
      </c>
      <c r="BG4273" s="8">
        <v>44.42</v>
      </c>
      <c r="BH4273" s="9">
        <f t="shared" si="594"/>
        <v>854.67</v>
      </c>
      <c r="BI4273" s="9">
        <f t="shared" si="595"/>
        <v>2.48</v>
      </c>
      <c r="BJ4273" s="9">
        <f t="shared" si="596"/>
        <v>4.28</v>
      </c>
      <c r="BK4273" s="9">
        <f t="shared" si="597"/>
        <v>13.7</v>
      </c>
      <c r="BL4273" s="9">
        <f t="shared" si="598"/>
        <v>0</v>
      </c>
      <c r="BM4273" s="9">
        <f t="shared" si="599"/>
        <v>7.7100000000000009</v>
      </c>
      <c r="BN4273" s="9">
        <f t="shared" si="600"/>
        <v>551.19000000000005</v>
      </c>
      <c r="BO4273" s="9">
        <f t="shared" si="601"/>
        <v>0</v>
      </c>
      <c r="BP4273" s="9">
        <f t="shared" si="602"/>
        <v>111.3</v>
      </c>
    </row>
    <row r="4274" spans="1:68">
      <c r="A4274" s="6">
        <v>45345</v>
      </c>
      <c r="B4274" s="7">
        <v>3602</v>
      </c>
      <c r="C4274" s="8">
        <v>573.27</v>
      </c>
      <c r="D4274" s="8"/>
      <c r="E4274" s="8"/>
      <c r="F4274" s="8"/>
      <c r="G4274" s="8">
        <v>858.53</v>
      </c>
      <c r="H4274" s="8"/>
      <c r="I4274" s="8"/>
      <c r="J4274" s="8"/>
      <c r="K4274" s="8"/>
      <c r="L4274" s="8"/>
      <c r="M4274" s="8">
        <v>1.73</v>
      </c>
      <c r="N4274" s="8"/>
      <c r="O4274" s="8"/>
      <c r="P4274" s="8"/>
      <c r="Q4274" s="11"/>
      <c r="R4274" s="11"/>
      <c r="S4274" s="8">
        <v>6.87</v>
      </c>
      <c r="T4274" s="8"/>
      <c r="U4274" s="8">
        <v>11.47</v>
      </c>
      <c r="V4274" s="8">
        <f>859*16.37/1000</f>
        <v>14.061830000000002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11"/>
      <c r="AQ4274" s="8"/>
      <c r="AR4274" s="8"/>
      <c r="AS4274" s="8"/>
      <c r="AT4274" s="8">
        <v>576.29999999999995</v>
      </c>
      <c r="AU4274" s="8"/>
      <c r="AV4274" s="8"/>
      <c r="AW4274" s="8">
        <v>37.01</v>
      </c>
      <c r="AX4274" s="8"/>
      <c r="AY4274" s="8"/>
      <c r="AZ4274" s="8"/>
      <c r="BA4274" s="8"/>
      <c r="BB4274" s="8"/>
      <c r="BC4274" s="8"/>
      <c r="BD4274" s="8"/>
      <c r="BE4274" s="8"/>
      <c r="BF4274" s="8">
        <v>45.85</v>
      </c>
      <c r="BG4274" s="8">
        <v>43</v>
      </c>
      <c r="BH4274" s="9">
        <f t="shared" si="594"/>
        <v>1431.8</v>
      </c>
      <c r="BI4274" s="9">
        <f t="shared" si="595"/>
        <v>1.73</v>
      </c>
      <c r="BJ4274" s="9">
        <f t="shared" si="596"/>
        <v>6.87</v>
      </c>
      <c r="BK4274" s="9">
        <f t="shared" si="597"/>
        <v>25.531830000000003</v>
      </c>
      <c r="BL4274" s="9">
        <f t="shared" si="598"/>
        <v>0</v>
      </c>
      <c r="BM4274" s="9">
        <f t="shared" si="599"/>
        <v>0</v>
      </c>
      <c r="BN4274" s="9">
        <f t="shared" si="600"/>
        <v>576.29999999999995</v>
      </c>
      <c r="BO4274" s="9">
        <f t="shared" si="601"/>
        <v>37.01</v>
      </c>
      <c r="BP4274" s="9">
        <f t="shared" si="602"/>
        <v>45.85</v>
      </c>
    </row>
    <row r="4275" spans="1:68">
      <c r="A4275" s="6">
        <v>45348</v>
      </c>
      <c r="B4275" s="7">
        <v>3101</v>
      </c>
      <c r="C4275" s="8">
        <v>664.53</v>
      </c>
      <c r="D4275" s="8"/>
      <c r="E4275" s="8"/>
      <c r="F4275" s="8"/>
      <c r="G4275" s="8"/>
      <c r="H4275" s="8"/>
      <c r="I4275" s="8"/>
      <c r="J4275" s="8"/>
      <c r="K4275" s="8"/>
      <c r="L4275" s="8"/>
      <c r="M4275" s="8">
        <v>1.68</v>
      </c>
      <c r="N4275" s="8"/>
      <c r="O4275" s="8"/>
      <c r="P4275" s="8"/>
      <c r="Q4275" s="11"/>
      <c r="R4275" s="11"/>
      <c r="S4275" s="8">
        <v>3.87</v>
      </c>
      <c r="T4275" s="8"/>
      <c r="U4275" s="8">
        <v>10.66</v>
      </c>
      <c r="V4275" s="8"/>
      <c r="W4275" s="8"/>
      <c r="X4275" s="8"/>
      <c r="Y4275" s="8"/>
      <c r="Z4275" s="8"/>
      <c r="AA4275" s="8"/>
      <c r="AB4275" s="8"/>
      <c r="AC4275" s="8">
        <v>2.66</v>
      </c>
      <c r="AD4275" s="8"/>
      <c r="AE4275" s="8"/>
      <c r="AF4275" s="8"/>
      <c r="AG4275" s="8"/>
      <c r="AH4275" s="8"/>
      <c r="AI4275" s="8"/>
      <c r="AJ4275" s="8"/>
      <c r="AK4275" s="8"/>
      <c r="AL4275" s="8"/>
      <c r="AM4275" s="8"/>
      <c r="AN4275" s="8"/>
      <c r="AO4275" s="8"/>
      <c r="AP4275" s="11"/>
      <c r="AQ4275" s="8"/>
      <c r="AR4275" s="8"/>
      <c r="AS4275" s="8"/>
      <c r="AT4275" s="8">
        <v>446.87</v>
      </c>
      <c r="AU4275" s="8"/>
      <c r="AV4275" s="8"/>
      <c r="AW4275" s="8">
        <v>14.19</v>
      </c>
      <c r="AX4275" s="8"/>
      <c r="AY4275" s="8"/>
      <c r="AZ4275" s="8"/>
      <c r="BA4275" s="8"/>
      <c r="BB4275" s="8"/>
      <c r="BC4275" s="8"/>
      <c r="BD4275" s="8"/>
      <c r="BE4275" s="8"/>
      <c r="BF4275" s="8">
        <v>86.64</v>
      </c>
      <c r="BG4275" s="8">
        <v>34.26</v>
      </c>
      <c r="BH4275" s="9">
        <f t="shared" si="594"/>
        <v>664.53</v>
      </c>
      <c r="BI4275" s="9">
        <f t="shared" si="595"/>
        <v>1.68</v>
      </c>
      <c r="BJ4275" s="9">
        <f t="shared" si="596"/>
        <v>3.87</v>
      </c>
      <c r="BK4275" s="9">
        <f t="shared" si="597"/>
        <v>10.66</v>
      </c>
      <c r="BL4275" s="9">
        <f t="shared" si="598"/>
        <v>0</v>
      </c>
      <c r="BM4275" s="9">
        <f t="shared" si="599"/>
        <v>2.66</v>
      </c>
      <c r="BN4275" s="9">
        <f t="shared" si="600"/>
        <v>446.87</v>
      </c>
      <c r="BO4275" s="9">
        <f t="shared" si="601"/>
        <v>14.19</v>
      </c>
      <c r="BP4275" s="9">
        <f t="shared" si="602"/>
        <v>86.64</v>
      </c>
    </row>
    <row r="4276" spans="1:68">
      <c r="A4276" s="6">
        <v>45348</v>
      </c>
      <c r="B4276" s="7">
        <v>3118</v>
      </c>
      <c r="C4276" s="8">
        <v>701.83</v>
      </c>
      <c r="D4276" s="8"/>
      <c r="E4276" s="8"/>
      <c r="F4276" s="8"/>
      <c r="G4276" s="8"/>
      <c r="H4276" s="8"/>
      <c r="I4276" s="8"/>
      <c r="J4276" s="8"/>
      <c r="K4276" s="8"/>
      <c r="L4276" s="8"/>
      <c r="M4276" s="8">
        <v>2.31</v>
      </c>
      <c r="N4276" s="8"/>
      <c r="O4276" s="8"/>
      <c r="P4276" s="8"/>
      <c r="Q4276" s="11"/>
      <c r="R4276" s="11"/>
      <c r="S4276" s="8">
        <v>3.87</v>
      </c>
      <c r="T4276" s="8"/>
      <c r="U4276" s="8">
        <v>8.43</v>
      </c>
      <c r="V4276" s="8"/>
      <c r="W4276" s="8"/>
      <c r="X4276" s="8"/>
      <c r="Y4276" s="8"/>
      <c r="Z4276" s="8"/>
      <c r="AA4276" s="8"/>
      <c r="AB4276" s="8"/>
      <c r="AC4276" s="8">
        <v>2.82</v>
      </c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11"/>
      <c r="AQ4276" s="8">
        <f>716*10.03/1000</f>
        <v>7.1814799999999996</v>
      </c>
      <c r="AR4276" s="8"/>
      <c r="AS4276" s="8"/>
      <c r="AT4276" s="8">
        <v>455.54</v>
      </c>
      <c r="AU4276" s="8"/>
      <c r="AV4276" s="8"/>
      <c r="AW4276" s="8"/>
      <c r="AX4276" s="8"/>
      <c r="AY4276" s="8"/>
      <c r="AZ4276" s="8"/>
      <c r="BA4276" s="8"/>
      <c r="BB4276" s="8"/>
      <c r="BC4276" s="8"/>
      <c r="BD4276" s="8"/>
      <c r="BE4276" s="8"/>
      <c r="BF4276" s="8">
        <v>49.26</v>
      </c>
      <c r="BG4276" s="8">
        <v>34.89</v>
      </c>
      <c r="BH4276" s="9">
        <f t="shared" si="594"/>
        <v>701.83</v>
      </c>
      <c r="BI4276" s="9">
        <f t="shared" si="595"/>
        <v>2.31</v>
      </c>
      <c r="BJ4276" s="9">
        <f t="shared" si="596"/>
        <v>3.87</v>
      </c>
      <c r="BK4276" s="9">
        <f t="shared" si="597"/>
        <v>8.43</v>
      </c>
      <c r="BL4276" s="9">
        <f t="shared" si="598"/>
        <v>0</v>
      </c>
      <c r="BM4276" s="9">
        <f t="shared" si="599"/>
        <v>10.001479999999999</v>
      </c>
      <c r="BN4276" s="9">
        <f t="shared" si="600"/>
        <v>455.54</v>
      </c>
      <c r="BO4276" s="9">
        <f t="shared" si="601"/>
        <v>0</v>
      </c>
      <c r="BP4276" s="9">
        <f t="shared" si="602"/>
        <v>49.26</v>
      </c>
    </row>
    <row r="4277" spans="1:68">
      <c r="A4277" s="6">
        <v>45348</v>
      </c>
      <c r="B4277" s="7">
        <v>3016</v>
      </c>
      <c r="C4277" s="8"/>
      <c r="D4277" s="8">
        <v>2365.6</v>
      </c>
      <c r="E4277" s="8"/>
      <c r="F4277" s="8"/>
      <c r="G4277" s="8"/>
      <c r="H4277" s="8"/>
      <c r="I4277" s="8">
        <v>2181.0300000000002</v>
      </c>
      <c r="J4277" s="8"/>
      <c r="K4277" s="8"/>
      <c r="L4277" s="8"/>
      <c r="M4277" s="8"/>
      <c r="N4277" s="8">
        <v>28.65</v>
      </c>
      <c r="O4277" s="8"/>
      <c r="P4277" s="8"/>
      <c r="Q4277" s="11"/>
      <c r="R4277" s="11"/>
      <c r="S4277" s="8">
        <v>3.18</v>
      </c>
      <c r="T4277" s="8"/>
      <c r="U4277" s="8"/>
      <c r="V4277" s="8"/>
      <c r="W4277" s="8">
        <v>45.43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/>
      <c r="AM4277" s="8">
        <v>18.18</v>
      </c>
      <c r="AN4277" s="8">
        <f>2058*26.73/1000</f>
        <v>55.010340000000006</v>
      </c>
      <c r="AO4277" s="8"/>
      <c r="AP4277" s="11"/>
      <c r="AQ4277" s="8"/>
      <c r="AR4277" s="8">
        <f>4286*26.73/1000</f>
        <v>114.56478</v>
      </c>
      <c r="AS4277" s="8"/>
      <c r="AT4277" s="8">
        <v>1690.67</v>
      </c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  <c r="BF4277" s="8"/>
      <c r="BG4277" s="8">
        <v>123.43</v>
      </c>
      <c r="BH4277" s="9">
        <f t="shared" si="594"/>
        <v>4546.63</v>
      </c>
      <c r="BI4277" s="9">
        <f t="shared" si="595"/>
        <v>28.65</v>
      </c>
      <c r="BJ4277" s="9">
        <f t="shared" si="596"/>
        <v>3.18</v>
      </c>
      <c r="BK4277" s="9">
        <f t="shared" si="597"/>
        <v>45.43</v>
      </c>
      <c r="BL4277" s="9">
        <f t="shared" si="598"/>
        <v>0</v>
      </c>
      <c r="BM4277" s="9">
        <f t="shared" si="599"/>
        <v>187.75512000000001</v>
      </c>
      <c r="BN4277" s="9">
        <f t="shared" si="600"/>
        <v>1690.67</v>
      </c>
      <c r="BO4277" s="9">
        <f t="shared" si="601"/>
        <v>0</v>
      </c>
      <c r="BP4277" s="9">
        <f t="shared" si="602"/>
        <v>0</v>
      </c>
    </row>
    <row r="4278" spans="1:68">
      <c r="A4278" s="6">
        <v>45348</v>
      </c>
      <c r="B4278" s="7">
        <v>3079</v>
      </c>
      <c r="C4278" s="8"/>
      <c r="D4278" s="8"/>
      <c r="E4278" s="8"/>
      <c r="F4278" s="8">
        <v>333.59</v>
      </c>
      <c r="G4278" s="8"/>
      <c r="H4278" s="8"/>
      <c r="I4278" s="8">
        <v>2695.55</v>
      </c>
      <c r="J4278" s="8"/>
      <c r="K4278" s="8"/>
      <c r="L4278" s="8"/>
      <c r="M4278" s="8"/>
      <c r="N4278" s="8">
        <v>22.13</v>
      </c>
      <c r="O4278" s="8"/>
      <c r="P4278" s="8"/>
      <c r="Q4278" s="11"/>
      <c r="R4278" s="11"/>
      <c r="S4278" s="8">
        <v>1.21</v>
      </c>
      <c r="T4278" s="8"/>
      <c r="U4278" s="8"/>
      <c r="V4278" s="8"/>
      <c r="W4278" s="8">
        <v>30.33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>
        <v>12.12</v>
      </c>
      <c r="AN4278" s="8">
        <f>1724*17.83/1000</f>
        <v>30.738919999999997</v>
      </c>
      <c r="AO4278" s="8"/>
      <c r="AP4278" s="11"/>
      <c r="AQ4278" s="8"/>
      <c r="AR4278" s="8">
        <f>4286*17.83/1000</f>
        <v>76.41937999999999</v>
      </c>
      <c r="AS4278" s="8"/>
      <c r="AT4278" s="8">
        <v>1168.77</v>
      </c>
      <c r="AU4278" s="8"/>
      <c r="AV4278" s="8"/>
      <c r="AW4278" s="8"/>
      <c r="AX4278" s="8"/>
      <c r="AY4278" s="8"/>
      <c r="AZ4278" s="8"/>
      <c r="BA4278" s="8"/>
      <c r="BB4278" s="8"/>
      <c r="BC4278" s="8"/>
      <c r="BD4278" s="8"/>
      <c r="BE4278" s="8"/>
      <c r="BF4278" s="8"/>
      <c r="BG4278" s="8">
        <v>84.48</v>
      </c>
      <c r="BH4278" s="9">
        <f t="shared" si="594"/>
        <v>3029.1400000000003</v>
      </c>
      <c r="BI4278" s="9">
        <f t="shared" si="595"/>
        <v>22.13</v>
      </c>
      <c r="BJ4278" s="9">
        <f t="shared" si="596"/>
        <v>1.21</v>
      </c>
      <c r="BK4278" s="9">
        <f t="shared" si="597"/>
        <v>30.33</v>
      </c>
      <c r="BL4278" s="9">
        <f t="shared" si="598"/>
        <v>0</v>
      </c>
      <c r="BM4278" s="9">
        <f t="shared" si="599"/>
        <v>119.27829999999999</v>
      </c>
      <c r="BN4278" s="9">
        <f t="shared" si="600"/>
        <v>1168.77</v>
      </c>
      <c r="BO4278" s="9">
        <f t="shared" si="601"/>
        <v>0</v>
      </c>
      <c r="BP4278" s="9">
        <f t="shared" si="602"/>
        <v>0</v>
      </c>
    </row>
    <row r="4279" spans="1:68">
      <c r="A4279" s="6">
        <v>45348</v>
      </c>
      <c r="B4279" s="7">
        <v>3083</v>
      </c>
      <c r="C4279" s="8"/>
      <c r="D4279" s="8">
        <v>1074.3</v>
      </c>
      <c r="E4279" s="8"/>
      <c r="F4279" s="8"/>
      <c r="G4279" s="8"/>
      <c r="H4279" s="8"/>
      <c r="I4279" s="8">
        <v>2511.3200000000002</v>
      </c>
      <c r="J4279" s="8"/>
      <c r="K4279" s="8"/>
      <c r="L4279" s="8"/>
      <c r="M4279" s="8"/>
      <c r="N4279" s="8">
        <v>23.33</v>
      </c>
      <c r="O4279" s="8"/>
      <c r="P4279" s="8"/>
      <c r="Q4279" s="11"/>
      <c r="R4279" s="11"/>
      <c r="S4279" s="8">
        <v>2.5099999999999998</v>
      </c>
      <c r="T4279" s="8"/>
      <c r="U4279" s="8"/>
      <c r="V4279" s="8"/>
      <c r="W4279" s="8">
        <v>28.73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/>
      <c r="AM4279" s="8">
        <v>14.33</v>
      </c>
      <c r="AN4279" s="8">
        <f>1908*26.58/1000</f>
        <v>50.714640000000003</v>
      </c>
      <c r="AO4279" s="8"/>
      <c r="AP4279" s="11"/>
      <c r="AQ4279" s="8"/>
      <c r="AR4279" s="8">
        <f>3457*26.58/1000</f>
        <v>91.887059999999991</v>
      </c>
      <c r="AS4279" s="8"/>
      <c r="AT4279" s="8">
        <v>1690.64</v>
      </c>
      <c r="AU4279" s="8"/>
      <c r="AV4279" s="8"/>
      <c r="AW4279" s="8"/>
      <c r="AX4279" s="8"/>
      <c r="AY4279" s="8"/>
      <c r="AZ4279" s="8"/>
      <c r="BA4279" s="8"/>
      <c r="BB4279" s="8"/>
      <c r="BC4279" s="8"/>
      <c r="BD4279" s="8"/>
      <c r="BE4279" s="8"/>
      <c r="BF4279" s="8"/>
      <c r="BG4279" s="8">
        <v>134.06</v>
      </c>
      <c r="BH4279" s="9">
        <f t="shared" si="594"/>
        <v>3585.62</v>
      </c>
      <c r="BI4279" s="9">
        <f t="shared" si="595"/>
        <v>23.33</v>
      </c>
      <c r="BJ4279" s="9">
        <f t="shared" si="596"/>
        <v>2.5099999999999998</v>
      </c>
      <c r="BK4279" s="9">
        <f t="shared" si="597"/>
        <v>28.73</v>
      </c>
      <c r="BL4279" s="9">
        <f t="shared" si="598"/>
        <v>0</v>
      </c>
      <c r="BM4279" s="9">
        <f t="shared" si="599"/>
        <v>156.93169999999998</v>
      </c>
      <c r="BN4279" s="9">
        <f t="shared" si="600"/>
        <v>1690.64</v>
      </c>
      <c r="BO4279" s="9">
        <f t="shared" si="601"/>
        <v>0</v>
      </c>
      <c r="BP4279" s="9">
        <f t="shared" si="602"/>
        <v>0</v>
      </c>
    </row>
    <row r="4280" spans="1:68">
      <c r="A4280" s="6">
        <v>45348</v>
      </c>
      <c r="B4280" s="7">
        <v>3021</v>
      </c>
      <c r="C4280" s="8"/>
      <c r="D4280" s="8">
        <v>186.92</v>
      </c>
      <c r="E4280" s="8"/>
      <c r="F4280" s="8"/>
      <c r="G4280" s="8"/>
      <c r="H4280" s="8"/>
      <c r="I4280" s="8">
        <v>348.82</v>
      </c>
      <c r="J4280" s="8"/>
      <c r="K4280" s="8"/>
      <c r="L4280" s="8"/>
      <c r="M4280" s="8"/>
      <c r="N4280" s="8">
        <v>2.84</v>
      </c>
      <c r="O4280" s="8"/>
      <c r="P4280" s="8"/>
      <c r="Q4280" s="11"/>
      <c r="R4280" s="11"/>
      <c r="S4280" s="8">
        <v>0.96</v>
      </c>
      <c r="T4280" s="8"/>
      <c r="U4280" s="8"/>
      <c r="V4280" s="8"/>
      <c r="W4280" s="8">
        <v>5.36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>
        <v>5.37</v>
      </c>
      <c r="AN4280" s="8"/>
      <c r="AO4280" s="8"/>
      <c r="AP4280" s="11"/>
      <c r="AQ4280" s="8"/>
      <c r="AR4280" s="8"/>
      <c r="AS4280" s="8">
        <f>2644*5.12/1000</f>
        <v>13.537280000000001</v>
      </c>
      <c r="AT4280" s="8">
        <v>252.79</v>
      </c>
      <c r="AU4280" s="8"/>
      <c r="AV4280" s="8"/>
      <c r="AW4280" s="8"/>
      <c r="AX4280" s="8"/>
      <c r="AY4280" s="8"/>
      <c r="AZ4280" s="8"/>
      <c r="BA4280" s="8"/>
      <c r="BB4280" s="8"/>
      <c r="BC4280" s="8"/>
      <c r="BD4280" s="8"/>
      <c r="BE4280" s="8"/>
      <c r="BF4280" s="8"/>
      <c r="BG4280" s="8">
        <v>19.18</v>
      </c>
      <c r="BH4280" s="9">
        <f t="shared" si="594"/>
        <v>535.74</v>
      </c>
      <c r="BI4280" s="9">
        <f t="shared" si="595"/>
        <v>2.84</v>
      </c>
      <c r="BJ4280" s="9">
        <f t="shared" si="596"/>
        <v>0.96</v>
      </c>
      <c r="BK4280" s="9">
        <f t="shared" si="597"/>
        <v>5.36</v>
      </c>
      <c r="BL4280" s="9">
        <f t="shared" si="598"/>
        <v>0</v>
      </c>
      <c r="BM4280" s="9">
        <f t="shared" si="599"/>
        <v>18.90728</v>
      </c>
      <c r="BN4280" s="9">
        <f t="shared" si="600"/>
        <v>252.79</v>
      </c>
      <c r="BO4280" s="9">
        <f t="shared" si="601"/>
        <v>0</v>
      </c>
      <c r="BP4280" s="9">
        <f t="shared" si="602"/>
        <v>0</v>
      </c>
    </row>
    <row r="4281" spans="1:68">
      <c r="A4281" s="6">
        <v>45348</v>
      </c>
      <c r="B4281" s="7">
        <v>3020</v>
      </c>
      <c r="C4281" s="8"/>
      <c r="D4281" s="8">
        <v>99.64</v>
      </c>
      <c r="E4281" s="8"/>
      <c r="F4281" s="8"/>
      <c r="G4281" s="8"/>
      <c r="H4281" s="8"/>
      <c r="I4281" s="8">
        <v>562.9</v>
      </c>
      <c r="J4281" s="8"/>
      <c r="K4281" s="8"/>
      <c r="L4281" s="8"/>
      <c r="M4281" s="8"/>
      <c r="N4281" s="8">
        <v>4.04</v>
      </c>
      <c r="O4281" s="8"/>
      <c r="P4281" s="8"/>
      <c r="Q4281" s="11"/>
      <c r="R4281" s="11"/>
      <c r="S4281" s="8">
        <v>1.19</v>
      </c>
      <c r="T4281" s="8"/>
      <c r="U4281" s="8"/>
      <c r="V4281" s="8"/>
      <c r="W4281" s="8">
        <v>6.63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  <c r="AI4281" s="8"/>
      <c r="AJ4281" s="8"/>
      <c r="AK4281" s="8"/>
      <c r="AL4281" s="8"/>
      <c r="AM4281" s="8">
        <v>6.63</v>
      </c>
      <c r="AN4281" s="8"/>
      <c r="AO4281" s="8"/>
      <c r="AP4281" s="11"/>
      <c r="AQ4281" s="8"/>
      <c r="AR4281" s="8"/>
      <c r="AS4281" s="8">
        <f>3070*5.52/1000</f>
        <v>16.946399999999997</v>
      </c>
      <c r="AT4281" s="8">
        <v>326.08999999999997</v>
      </c>
      <c r="AU4281" s="8"/>
      <c r="AV4281" s="8"/>
      <c r="AW4281" s="8"/>
      <c r="AX4281" s="8"/>
      <c r="AY4281" s="8"/>
      <c r="AZ4281" s="8"/>
      <c r="BA4281" s="8"/>
      <c r="BB4281" s="8"/>
      <c r="BC4281" s="8"/>
      <c r="BD4281" s="8"/>
      <c r="BE4281" s="8"/>
      <c r="BF4281" s="8"/>
      <c r="BG4281" s="8">
        <v>23.83</v>
      </c>
      <c r="BH4281" s="9">
        <f t="shared" si="594"/>
        <v>662.54</v>
      </c>
      <c r="BI4281" s="9">
        <f t="shared" si="595"/>
        <v>4.04</v>
      </c>
      <c r="BJ4281" s="9">
        <f t="shared" si="596"/>
        <v>1.19</v>
      </c>
      <c r="BK4281" s="9">
        <f t="shared" si="597"/>
        <v>6.63</v>
      </c>
      <c r="BL4281" s="9">
        <f t="shared" si="598"/>
        <v>0</v>
      </c>
      <c r="BM4281" s="9">
        <f t="shared" si="599"/>
        <v>23.576399999999996</v>
      </c>
      <c r="BN4281" s="9">
        <f t="shared" si="600"/>
        <v>326.08999999999997</v>
      </c>
      <c r="BO4281" s="9">
        <f t="shared" si="601"/>
        <v>0</v>
      </c>
      <c r="BP4281" s="9">
        <f t="shared" si="602"/>
        <v>0</v>
      </c>
    </row>
    <row r="4282" spans="1:68">
      <c r="A4282" s="6">
        <v>45348</v>
      </c>
      <c r="B4282" s="7">
        <v>3139</v>
      </c>
      <c r="C4282" s="8">
        <v>1059.3800000000001</v>
      </c>
      <c r="D4282" s="8"/>
      <c r="E4282" s="8"/>
      <c r="F4282" s="8"/>
      <c r="G4282" s="8"/>
      <c r="H4282" s="8">
        <v>439.95</v>
      </c>
      <c r="I4282" s="8"/>
      <c r="J4282" s="8"/>
      <c r="K4282" s="8"/>
      <c r="L4282" s="8"/>
      <c r="M4282" s="8">
        <v>2.4900000000000002</v>
      </c>
      <c r="N4282" s="8"/>
      <c r="O4282" s="8"/>
      <c r="P4282" s="8"/>
      <c r="Q4282" s="11"/>
      <c r="R4282" s="11"/>
      <c r="S4282" s="8">
        <v>4.7</v>
      </c>
      <c r="T4282" s="8"/>
      <c r="U4282" s="8">
        <v>15.7</v>
      </c>
      <c r="V4282" s="8"/>
      <c r="W4282" s="8"/>
      <c r="X4282" s="8"/>
      <c r="Y4282" s="8"/>
      <c r="Z4282" s="8"/>
      <c r="AA4282" s="8"/>
      <c r="AB4282" s="8"/>
      <c r="AC4282" s="8">
        <v>5.22</v>
      </c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11"/>
      <c r="AQ4282" s="8"/>
      <c r="AR4282" s="8"/>
      <c r="AS4282" s="8"/>
      <c r="AT4282" s="8">
        <v>769.38</v>
      </c>
      <c r="AU4282" s="8"/>
      <c r="AV4282" s="8">
        <v>25.95</v>
      </c>
      <c r="AW4282" s="8"/>
      <c r="AX4282" s="8"/>
      <c r="AY4282" s="8"/>
      <c r="AZ4282" s="8"/>
      <c r="BA4282" s="8"/>
      <c r="BB4282" s="8"/>
      <c r="BC4282" s="8"/>
      <c r="BD4282" s="8"/>
      <c r="BE4282" s="8"/>
      <c r="BF4282" s="8"/>
      <c r="BG4282" s="8">
        <v>56.14</v>
      </c>
      <c r="BH4282" s="9">
        <f t="shared" si="594"/>
        <v>1499.3300000000002</v>
      </c>
      <c r="BI4282" s="9">
        <f t="shared" si="595"/>
        <v>2.4900000000000002</v>
      </c>
      <c r="BJ4282" s="9">
        <f t="shared" si="596"/>
        <v>4.7</v>
      </c>
      <c r="BK4282" s="9">
        <f t="shared" si="597"/>
        <v>15.7</v>
      </c>
      <c r="BL4282" s="9">
        <f t="shared" si="598"/>
        <v>0</v>
      </c>
      <c r="BM4282" s="9">
        <f t="shared" si="599"/>
        <v>5.22</v>
      </c>
      <c r="BN4282" s="9">
        <f t="shared" si="600"/>
        <v>769.38</v>
      </c>
      <c r="BO4282" s="9">
        <f t="shared" si="601"/>
        <v>25.95</v>
      </c>
      <c r="BP4282" s="9">
        <f t="shared" si="602"/>
        <v>0</v>
      </c>
    </row>
    <row r="4283" spans="1:68">
      <c r="A4283" s="6">
        <v>45349</v>
      </c>
      <c r="B4283" s="7">
        <v>3106</v>
      </c>
      <c r="C4283" s="8">
        <v>4071.12</v>
      </c>
      <c r="D4283" s="8"/>
      <c r="E4283" s="8"/>
      <c r="F4283" s="8"/>
      <c r="G4283" s="8"/>
      <c r="H4283" s="8"/>
      <c r="I4283" s="8"/>
      <c r="J4283" s="8"/>
      <c r="K4283" s="8"/>
      <c r="L4283" s="8"/>
      <c r="M4283" s="8">
        <v>10.130000000000001</v>
      </c>
      <c r="N4283" s="8"/>
      <c r="O4283" s="8"/>
      <c r="P4283" s="8"/>
      <c r="Q4283" s="11"/>
      <c r="R4283" s="11"/>
      <c r="S4283" s="8">
        <v>12.25</v>
      </c>
      <c r="T4283" s="8"/>
      <c r="U4283" s="8">
        <v>52.16</v>
      </c>
      <c r="V4283" s="8"/>
      <c r="W4283" s="8"/>
      <c r="X4283" s="8"/>
      <c r="Y4283" s="8"/>
      <c r="Z4283" s="8"/>
      <c r="AA4283" s="8"/>
      <c r="AB4283" s="8"/>
      <c r="AC4283" s="8">
        <v>10.19</v>
      </c>
      <c r="AD4283" s="8"/>
      <c r="AE4283" s="8"/>
      <c r="AF4283" s="8"/>
      <c r="AG4283" s="8"/>
      <c r="AH4283" s="8"/>
      <c r="AI4283" s="8"/>
      <c r="AJ4283" s="8"/>
      <c r="AK4283" s="8"/>
      <c r="AL4283" s="8"/>
      <c r="AM4283" s="8"/>
      <c r="AN4283" s="8"/>
      <c r="AO4283" s="8"/>
      <c r="AP4283" s="11"/>
      <c r="AQ4283" s="8"/>
      <c r="AR4283" s="8"/>
      <c r="AS4283" s="8"/>
      <c r="AT4283" s="8">
        <v>2317.29</v>
      </c>
      <c r="AU4283" s="8"/>
      <c r="AV4283" s="8"/>
      <c r="AW4283" s="8"/>
      <c r="AX4283" s="8">
        <v>5.09</v>
      </c>
      <c r="AY4283" s="8"/>
      <c r="AZ4283" s="8"/>
      <c r="BA4283" s="8"/>
      <c r="BB4283" s="8"/>
      <c r="BC4283" s="8"/>
      <c r="BD4283" s="8"/>
      <c r="BE4283" s="8"/>
      <c r="BF4283" s="8"/>
      <c r="BG4283" s="8">
        <v>175.62</v>
      </c>
      <c r="BH4283" s="9">
        <f t="shared" si="594"/>
        <v>4071.12</v>
      </c>
      <c r="BI4283" s="9">
        <f t="shared" si="595"/>
        <v>10.130000000000001</v>
      </c>
      <c r="BJ4283" s="9">
        <f t="shared" si="596"/>
        <v>12.25</v>
      </c>
      <c r="BK4283" s="9">
        <f t="shared" si="597"/>
        <v>52.16</v>
      </c>
      <c r="BL4283" s="9">
        <f t="shared" si="598"/>
        <v>0</v>
      </c>
      <c r="BM4283" s="9">
        <f t="shared" si="599"/>
        <v>10.19</v>
      </c>
      <c r="BN4283" s="9">
        <f t="shared" si="600"/>
        <v>2317.29</v>
      </c>
      <c r="BO4283" s="9">
        <f t="shared" si="601"/>
        <v>5.09</v>
      </c>
      <c r="BP4283" s="9">
        <f t="shared" si="602"/>
        <v>0</v>
      </c>
    </row>
    <row r="4284" spans="1:68">
      <c r="A4284" s="6">
        <v>45349</v>
      </c>
      <c r="B4284" s="7">
        <v>3104</v>
      </c>
      <c r="C4284" s="8">
        <v>811.65</v>
      </c>
      <c r="D4284" s="8"/>
      <c r="E4284" s="8"/>
      <c r="F4284" s="8"/>
      <c r="G4284" s="8"/>
      <c r="H4284" s="8">
        <v>208.35</v>
      </c>
      <c r="I4284" s="8"/>
      <c r="J4284" s="8"/>
      <c r="K4284" s="8"/>
      <c r="L4284" s="8"/>
      <c r="M4284" s="8">
        <v>2.3199999999999998</v>
      </c>
      <c r="N4284" s="8"/>
      <c r="O4284" s="8"/>
      <c r="P4284" s="8"/>
      <c r="Q4284" s="11"/>
      <c r="R4284" s="11"/>
      <c r="S4284" s="8">
        <v>4.0199999999999996</v>
      </c>
      <c r="T4284" s="8"/>
      <c r="U4284" s="8">
        <v>10.69</v>
      </c>
      <c r="V4284" s="8"/>
      <c r="W4284" s="8"/>
      <c r="X4284" s="8"/>
      <c r="Y4284" s="8"/>
      <c r="Z4284" s="8"/>
      <c r="AA4284" s="8"/>
      <c r="AB4284" s="8"/>
      <c r="AC4284" s="8">
        <v>3.71</v>
      </c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11"/>
      <c r="AQ4284" s="8"/>
      <c r="AR4284" s="8"/>
      <c r="AS4284" s="8"/>
      <c r="AT4284" s="8">
        <v>591.61</v>
      </c>
      <c r="AU4284" s="8"/>
      <c r="AV4284" s="8"/>
      <c r="AW4284" s="8"/>
      <c r="AX4284" s="8"/>
      <c r="AY4284" s="8"/>
      <c r="AZ4284" s="8"/>
      <c r="BA4284" s="8">
        <v>21.17</v>
      </c>
      <c r="BB4284" s="8"/>
      <c r="BC4284" s="8"/>
      <c r="BD4284" s="8"/>
      <c r="BE4284" s="8"/>
      <c r="BF4284" s="8">
        <v>18.75</v>
      </c>
      <c r="BG4284" s="8">
        <v>45.88</v>
      </c>
      <c r="BH4284" s="9">
        <f t="shared" si="594"/>
        <v>1020</v>
      </c>
      <c r="BI4284" s="9">
        <f t="shared" si="595"/>
        <v>2.3199999999999998</v>
      </c>
      <c r="BJ4284" s="9">
        <f t="shared" si="596"/>
        <v>4.0199999999999996</v>
      </c>
      <c r="BK4284" s="9">
        <f t="shared" si="597"/>
        <v>10.69</v>
      </c>
      <c r="BL4284" s="9">
        <f t="shared" si="598"/>
        <v>0</v>
      </c>
      <c r="BM4284" s="9">
        <f t="shared" si="599"/>
        <v>3.71</v>
      </c>
      <c r="BN4284" s="9">
        <f t="shared" si="600"/>
        <v>591.61</v>
      </c>
      <c r="BO4284" s="9">
        <f t="shared" si="601"/>
        <v>21.17</v>
      </c>
      <c r="BP4284" s="9">
        <f t="shared" si="602"/>
        <v>18.75</v>
      </c>
    </row>
    <row r="4285" spans="1:68">
      <c r="A4285" s="6">
        <v>45349</v>
      </c>
      <c r="B4285" s="7">
        <v>3145</v>
      </c>
      <c r="C4285" s="8">
        <v>1789.09</v>
      </c>
      <c r="D4285" s="8">
        <v>316.02</v>
      </c>
      <c r="E4285" s="8"/>
      <c r="F4285" s="8"/>
      <c r="G4285" s="8"/>
      <c r="H4285" s="8"/>
      <c r="I4285" s="8"/>
      <c r="J4285" s="8"/>
      <c r="K4285" s="8"/>
      <c r="L4285" s="8"/>
      <c r="M4285" s="8">
        <v>6.11</v>
      </c>
      <c r="N4285" s="8"/>
      <c r="O4285" s="8"/>
      <c r="P4285" s="8"/>
      <c r="Q4285" s="11"/>
      <c r="R4285" s="11"/>
      <c r="S4285" s="8">
        <v>9.92</v>
      </c>
      <c r="T4285" s="8"/>
      <c r="U4285" s="8">
        <v>31.64</v>
      </c>
      <c r="V4285" s="8"/>
      <c r="W4285" s="8"/>
      <c r="X4285" s="8"/>
      <c r="Y4285" s="8"/>
      <c r="Z4285" s="8"/>
      <c r="AA4285" s="8"/>
      <c r="AB4285" s="8"/>
      <c r="AC4285" s="8">
        <v>8.43</v>
      </c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11"/>
      <c r="AQ4285" s="8"/>
      <c r="AR4285" s="8"/>
      <c r="AS4285" s="8"/>
      <c r="AT4285" s="8">
        <v>1376.44</v>
      </c>
      <c r="AU4285" s="8"/>
      <c r="AV4285" s="8"/>
      <c r="AW4285" s="8"/>
      <c r="AX4285" s="8"/>
      <c r="AY4285" s="8"/>
      <c r="AZ4285" s="8"/>
      <c r="BA4285" s="8"/>
      <c r="BB4285" s="8"/>
      <c r="BC4285" s="8"/>
      <c r="BD4285" s="8">
        <v>5.27</v>
      </c>
      <c r="BE4285" s="8">
        <f>1357*14.05/1000</f>
        <v>19.065850000000001</v>
      </c>
      <c r="BF4285" s="8">
        <v>147.84</v>
      </c>
      <c r="BG4285" s="8">
        <v>109.21</v>
      </c>
      <c r="BH4285" s="9">
        <f t="shared" si="594"/>
        <v>2105.1099999999997</v>
      </c>
      <c r="BI4285" s="9">
        <f t="shared" si="595"/>
        <v>6.11</v>
      </c>
      <c r="BJ4285" s="9">
        <f t="shared" si="596"/>
        <v>9.92</v>
      </c>
      <c r="BK4285" s="9">
        <f t="shared" si="597"/>
        <v>31.64</v>
      </c>
      <c r="BL4285" s="9">
        <f t="shared" si="598"/>
        <v>0</v>
      </c>
      <c r="BM4285" s="9">
        <f t="shared" si="599"/>
        <v>8.43</v>
      </c>
      <c r="BN4285" s="9">
        <f t="shared" si="600"/>
        <v>1376.44</v>
      </c>
      <c r="BO4285" s="9">
        <f t="shared" si="601"/>
        <v>24.335850000000001</v>
      </c>
      <c r="BP4285" s="9">
        <f t="shared" si="602"/>
        <v>147.84</v>
      </c>
    </row>
    <row r="4286" spans="1:68">
      <c r="A4286" s="6">
        <v>45349</v>
      </c>
      <c r="B4286" s="7">
        <v>3201</v>
      </c>
      <c r="C4286" s="8">
        <v>1188.32</v>
      </c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>
        <v>2.99</v>
      </c>
      <c r="P4286" s="8"/>
      <c r="Q4286" s="11"/>
      <c r="R4286" s="11"/>
      <c r="S4286" s="8">
        <v>4.63</v>
      </c>
      <c r="T4286" s="8"/>
      <c r="U4286" s="8">
        <v>17.82</v>
      </c>
      <c r="V4286" s="8"/>
      <c r="W4286" s="8"/>
      <c r="X4286" s="8"/>
      <c r="Y4286" s="8"/>
      <c r="Z4286" s="8">
        <v>249.81</v>
      </c>
      <c r="AA4286" s="8"/>
      <c r="AB4286" s="8"/>
      <c r="AC4286" s="8"/>
      <c r="AD4286" s="8"/>
      <c r="AE4286" s="8"/>
      <c r="AF4286" s="8">
        <v>59.11</v>
      </c>
      <c r="AG4286" s="8"/>
      <c r="AH4286" s="8"/>
      <c r="AI4286" s="8"/>
      <c r="AJ4286" s="8"/>
      <c r="AK4286" s="8"/>
      <c r="AL4286" s="8"/>
      <c r="AM4286" s="8"/>
      <c r="AN4286" s="8"/>
      <c r="AO4286" s="8"/>
      <c r="AP4286" s="11"/>
      <c r="AQ4286" s="8">
        <f>1524*11.88/1000</f>
        <v>18.105120000000003</v>
      </c>
      <c r="AR4286" s="8"/>
      <c r="AS4286" s="8"/>
      <c r="AT4286" s="8">
        <v>813.15</v>
      </c>
      <c r="AU4286" s="8"/>
      <c r="AV4286" s="8"/>
      <c r="AW4286" s="8"/>
      <c r="AX4286" s="8"/>
      <c r="AY4286" s="8"/>
      <c r="AZ4286" s="8"/>
      <c r="BA4286" s="8"/>
      <c r="BB4286" s="8"/>
      <c r="BC4286" s="8">
        <v>3.09</v>
      </c>
      <c r="BD4286" s="8"/>
      <c r="BE4286" s="8"/>
      <c r="BF4286" s="8">
        <v>57.1</v>
      </c>
      <c r="BG4286" s="8">
        <v>58.35</v>
      </c>
      <c r="BH4286" s="9">
        <f t="shared" si="594"/>
        <v>1188.32</v>
      </c>
      <c r="BI4286" s="9">
        <f t="shared" si="595"/>
        <v>2.99</v>
      </c>
      <c r="BJ4286" s="9">
        <f t="shared" si="596"/>
        <v>4.63</v>
      </c>
      <c r="BK4286" s="9">
        <f t="shared" si="597"/>
        <v>17.82</v>
      </c>
      <c r="BL4286" s="9">
        <f t="shared" si="598"/>
        <v>249.81</v>
      </c>
      <c r="BM4286" s="9">
        <f t="shared" si="599"/>
        <v>77.215119999999999</v>
      </c>
      <c r="BN4286" s="9">
        <f t="shared" si="600"/>
        <v>813.15</v>
      </c>
      <c r="BO4286" s="9">
        <f t="shared" si="601"/>
        <v>3.09</v>
      </c>
      <c r="BP4286" s="9">
        <f t="shared" si="602"/>
        <v>57.1</v>
      </c>
    </row>
    <row r="4287" spans="1:68">
      <c r="A4287" s="6">
        <v>45349</v>
      </c>
      <c r="B4287" s="7">
        <v>3083</v>
      </c>
      <c r="C4287" s="8"/>
      <c r="D4287" s="8">
        <v>735.94</v>
      </c>
      <c r="E4287" s="8"/>
      <c r="F4287" s="8"/>
      <c r="G4287" s="8"/>
      <c r="H4287" s="8"/>
      <c r="I4287" s="8">
        <v>1713</v>
      </c>
      <c r="J4287" s="8"/>
      <c r="K4287" s="8"/>
      <c r="L4287" s="8"/>
      <c r="M4287" s="8"/>
      <c r="N4287" s="8">
        <v>15.95</v>
      </c>
      <c r="O4287" s="8"/>
      <c r="P4287" s="8"/>
      <c r="Q4287" s="11"/>
      <c r="R4287" s="11"/>
      <c r="S4287" s="8">
        <v>1.7</v>
      </c>
      <c r="T4287" s="8"/>
      <c r="U4287" s="8"/>
      <c r="V4287" s="8"/>
      <c r="W4287" s="8">
        <v>19.64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/>
      <c r="AM4287" s="8">
        <v>9.75</v>
      </c>
      <c r="AN4287" s="8">
        <f>1912*18.17/1000</f>
        <v>34.741039999999998</v>
      </c>
      <c r="AO4287" s="8"/>
      <c r="AP4287" s="11"/>
      <c r="AQ4287" s="8"/>
      <c r="AR4287" s="8">
        <f>3416*18.17/1000</f>
        <v>62.068720000000006</v>
      </c>
      <c r="AS4287" s="8"/>
      <c r="AT4287" s="8">
        <v>1153.73</v>
      </c>
      <c r="AU4287" s="8"/>
      <c r="AV4287" s="8"/>
      <c r="AW4287" s="8"/>
      <c r="AX4287" s="8"/>
      <c r="AY4287" s="8"/>
      <c r="AZ4287" s="8"/>
      <c r="BA4287" s="8"/>
      <c r="BB4287" s="8"/>
      <c r="BC4287" s="8"/>
      <c r="BD4287" s="8"/>
      <c r="BE4287" s="8"/>
      <c r="BF4287" s="8"/>
      <c r="BG4287" s="8">
        <v>91.53</v>
      </c>
      <c r="BH4287" s="9">
        <f t="shared" si="594"/>
        <v>2448.94</v>
      </c>
      <c r="BI4287" s="9">
        <f t="shared" si="595"/>
        <v>15.95</v>
      </c>
      <c r="BJ4287" s="9">
        <f t="shared" si="596"/>
        <v>1.7</v>
      </c>
      <c r="BK4287" s="9">
        <f t="shared" si="597"/>
        <v>19.64</v>
      </c>
      <c r="BL4287" s="9">
        <f t="shared" si="598"/>
        <v>0</v>
      </c>
      <c r="BM4287" s="9">
        <f t="shared" si="599"/>
        <v>106.55976000000001</v>
      </c>
      <c r="BN4287" s="9">
        <f t="shared" si="600"/>
        <v>1153.73</v>
      </c>
      <c r="BO4287" s="9">
        <f t="shared" si="601"/>
        <v>0</v>
      </c>
      <c r="BP4287" s="9">
        <f t="shared" si="602"/>
        <v>0</v>
      </c>
    </row>
    <row r="4288" spans="1:68">
      <c r="A4288" s="6">
        <v>45349</v>
      </c>
      <c r="B4288" s="7">
        <v>3028</v>
      </c>
      <c r="C4288" s="8"/>
      <c r="D4288" s="8">
        <v>766.79</v>
      </c>
      <c r="E4288" s="8"/>
      <c r="F4288" s="8">
        <v>707.38</v>
      </c>
      <c r="G4288" s="8"/>
      <c r="H4288" s="8"/>
      <c r="I4288" s="8">
        <v>1599.39</v>
      </c>
      <c r="J4288" s="8"/>
      <c r="K4288" s="8"/>
      <c r="L4288" s="8"/>
      <c r="M4288" s="8"/>
      <c r="N4288" s="8">
        <v>23.65</v>
      </c>
      <c r="O4288" s="8"/>
      <c r="P4288" s="8"/>
      <c r="Q4288" s="11"/>
      <c r="R4288" s="11"/>
      <c r="S4288" s="8">
        <v>4.29</v>
      </c>
      <c r="T4288" s="8"/>
      <c r="U4288" s="8"/>
      <c r="V4288" s="8"/>
      <c r="W4288" s="8">
        <v>23.06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>
        <v>30.67</v>
      </c>
      <c r="AN4288" s="8">
        <f>1065*20.47/1000</f>
        <v>21.800549999999998</v>
      </c>
      <c r="AO4288" s="8"/>
      <c r="AP4288" s="11"/>
      <c r="AQ4288" s="8"/>
      <c r="AR4288" s="8"/>
      <c r="AS4288" s="8">
        <f>4987*20.47/1000</f>
        <v>102.08389</v>
      </c>
      <c r="AT4288" s="8">
        <v>1024.22</v>
      </c>
      <c r="AU4288" s="8"/>
      <c r="AV4288" s="8"/>
      <c r="AW4288" s="8"/>
      <c r="AX4288" s="8"/>
      <c r="AY4288" s="8"/>
      <c r="AZ4288" s="8"/>
      <c r="BA4288" s="8"/>
      <c r="BB4288" s="8"/>
      <c r="BC4288" s="8"/>
      <c r="BD4288" s="8"/>
      <c r="BE4288" s="8"/>
      <c r="BF4288" s="8"/>
      <c r="BG4288" s="8">
        <v>69.930000000000007</v>
      </c>
      <c r="BH4288" s="9">
        <f t="shared" si="594"/>
        <v>3073.5600000000004</v>
      </c>
      <c r="BI4288" s="9">
        <f t="shared" si="595"/>
        <v>23.65</v>
      </c>
      <c r="BJ4288" s="9">
        <f t="shared" si="596"/>
        <v>4.29</v>
      </c>
      <c r="BK4288" s="9">
        <f t="shared" si="597"/>
        <v>23.06</v>
      </c>
      <c r="BL4288" s="9">
        <f t="shared" si="598"/>
        <v>0</v>
      </c>
      <c r="BM4288" s="9">
        <f t="shared" si="599"/>
        <v>154.55444</v>
      </c>
      <c r="BN4288" s="9">
        <f t="shared" si="600"/>
        <v>1024.22</v>
      </c>
      <c r="BO4288" s="9">
        <f t="shared" si="601"/>
        <v>0</v>
      </c>
      <c r="BP4288" s="9">
        <f t="shared" si="602"/>
        <v>0</v>
      </c>
    </row>
    <row r="4289" spans="1:68">
      <c r="A4289" s="6">
        <v>45349</v>
      </c>
      <c r="B4289" s="7">
        <v>3029</v>
      </c>
      <c r="C4289" s="8"/>
      <c r="D4289" s="8">
        <v>460.96</v>
      </c>
      <c r="E4289" s="8"/>
      <c r="F4289" s="8">
        <v>325.16000000000003</v>
      </c>
      <c r="G4289" s="8"/>
      <c r="H4289" s="8"/>
      <c r="I4289" s="8">
        <v>1922.25</v>
      </c>
      <c r="J4289" s="8"/>
      <c r="K4289" s="8"/>
      <c r="L4289" s="8"/>
      <c r="M4289" s="8"/>
      <c r="N4289" s="8">
        <v>21.61</v>
      </c>
      <c r="O4289" s="8"/>
      <c r="P4289" s="8"/>
      <c r="Q4289" s="11"/>
      <c r="R4289" s="11"/>
      <c r="S4289" s="8">
        <v>1.62</v>
      </c>
      <c r="T4289" s="8"/>
      <c r="U4289" s="8"/>
      <c r="V4289" s="8"/>
      <c r="W4289" s="8">
        <v>27.08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>
        <v>9.4700000000000006</v>
      </c>
      <c r="AN4289" s="8">
        <f>762*18.05/1000</f>
        <v>13.754100000000001</v>
      </c>
      <c r="AO4289" s="8"/>
      <c r="AP4289" s="11"/>
      <c r="AQ4289" s="8"/>
      <c r="AR4289" s="8">
        <f>4524*18.05/1000</f>
        <v>81.658199999999994</v>
      </c>
      <c r="AS4289" s="8"/>
      <c r="AT4289" s="8">
        <v>1028.56</v>
      </c>
      <c r="AU4289" s="8"/>
      <c r="AV4289" s="8"/>
      <c r="AW4289" s="8"/>
      <c r="AX4289" s="8"/>
      <c r="AY4289" s="8"/>
      <c r="AZ4289" s="8"/>
      <c r="BA4289" s="8"/>
      <c r="BB4289" s="8"/>
      <c r="BC4289" s="8"/>
      <c r="BD4289" s="8"/>
      <c r="BE4289" s="8"/>
      <c r="BF4289" s="8"/>
      <c r="BG4289" s="8">
        <v>71.540000000000006</v>
      </c>
      <c r="BH4289" s="9">
        <f t="shared" si="594"/>
        <v>2708.37</v>
      </c>
      <c r="BI4289" s="9">
        <f t="shared" si="595"/>
        <v>21.61</v>
      </c>
      <c r="BJ4289" s="9">
        <f t="shared" si="596"/>
        <v>1.62</v>
      </c>
      <c r="BK4289" s="9">
        <f t="shared" si="597"/>
        <v>27.08</v>
      </c>
      <c r="BL4289" s="9">
        <f t="shared" si="598"/>
        <v>0</v>
      </c>
      <c r="BM4289" s="9">
        <f t="shared" si="599"/>
        <v>104.88229999999999</v>
      </c>
      <c r="BN4289" s="9">
        <f t="shared" si="600"/>
        <v>1028.56</v>
      </c>
      <c r="BO4289" s="9">
        <f t="shared" si="601"/>
        <v>0</v>
      </c>
      <c r="BP4289" s="9">
        <f t="shared" si="602"/>
        <v>0</v>
      </c>
    </row>
    <row r="4290" spans="1:68">
      <c r="A4290" s="6">
        <v>45349</v>
      </c>
      <c r="B4290" s="7">
        <v>3080</v>
      </c>
      <c r="C4290" s="8"/>
      <c r="D4290" s="8"/>
      <c r="E4290" s="8"/>
      <c r="F4290" s="8">
        <v>747.34</v>
      </c>
      <c r="G4290" s="8"/>
      <c r="H4290" s="8"/>
      <c r="I4290" s="8">
        <v>1122.97</v>
      </c>
      <c r="J4290" s="8"/>
      <c r="K4290" s="8"/>
      <c r="L4290" s="8"/>
      <c r="M4290" s="8"/>
      <c r="N4290" s="8">
        <v>12.85</v>
      </c>
      <c r="O4290" s="8"/>
      <c r="P4290" s="8">
        <f>633*12.18/1000</f>
        <v>7.7099399999999996</v>
      </c>
      <c r="Q4290" s="11"/>
      <c r="R4290" s="11"/>
      <c r="S4290" s="8">
        <v>1.1299999999999999</v>
      </c>
      <c r="T4290" s="8"/>
      <c r="U4290" s="8"/>
      <c r="V4290" s="8"/>
      <c r="W4290" s="8">
        <v>18.93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>
        <f>2347*12.18/1000</f>
        <v>28.586459999999999</v>
      </c>
      <c r="AJ4290" s="8"/>
      <c r="AK4290" s="8"/>
      <c r="AL4290" s="8"/>
      <c r="AM4290" s="8"/>
      <c r="AN4290" s="8"/>
      <c r="AO4290" s="8"/>
      <c r="AP4290" s="11"/>
      <c r="AQ4290" s="8">
        <f>1566*12.18/1000</f>
        <v>19.073880000000003</v>
      </c>
      <c r="AR4290" s="8">
        <f>5439*12.18/1000</f>
        <v>66.247020000000006</v>
      </c>
      <c r="AS4290" s="8"/>
      <c r="AT4290" s="8">
        <v>662.5</v>
      </c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  <c r="BF4290" s="8"/>
      <c r="BG4290" s="8">
        <v>35.909999999999997</v>
      </c>
      <c r="BH4290" s="9">
        <f t="shared" si="594"/>
        <v>1870.31</v>
      </c>
      <c r="BI4290" s="9">
        <f t="shared" si="595"/>
        <v>20.559939999999997</v>
      </c>
      <c r="BJ4290" s="9">
        <f t="shared" si="596"/>
        <v>1.1299999999999999</v>
      </c>
      <c r="BK4290" s="9">
        <f t="shared" si="597"/>
        <v>18.93</v>
      </c>
      <c r="BL4290" s="9">
        <f t="shared" si="598"/>
        <v>0</v>
      </c>
      <c r="BM4290" s="9">
        <f t="shared" si="599"/>
        <v>113.90736000000001</v>
      </c>
      <c r="BN4290" s="9">
        <f t="shared" si="600"/>
        <v>662.5</v>
      </c>
      <c r="BO4290" s="9">
        <f t="shared" si="601"/>
        <v>0</v>
      </c>
      <c r="BP4290" s="9">
        <f t="shared" si="602"/>
        <v>0</v>
      </c>
    </row>
    <row r="4291" spans="1:68">
      <c r="A4291" s="6">
        <v>45350</v>
      </c>
      <c r="B4291" s="7">
        <v>3602</v>
      </c>
      <c r="C4291" s="8">
        <v>569.07000000000005</v>
      </c>
      <c r="D4291" s="8"/>
      <c r="E4291" s="8"/>
      <c r="F4291" s="8"/>
      <c r="G4291" s="8">
        <v>854.09</v>
      </c>
      <c r="H4291" s="8"/>
      <c r="I4291" s="8"/>
      <c r="J4291" s="8"/>
      <c r="K4291" s="8"/>
      <c r="L4291" s="8"/>
      <c r="M4291" s="8">
        <v>1.72</v>
      </c>
      <c r="N4291" s="8"/>
      <c r="O4291" s="8"/>
      <c r="P4291" s="8"/>
      <c r="Q4291" s="11"/>
      <c r="R4291" s="11"/>
      <c r="S4291" s="8">
        <v>6.84</v>
      </c>
      <c r="T4291" s="8"/>
      <c r="U4291" s="8">
        <v>11.4</v>
      </c>
      <c r="V4291" s="8">
        <f>863*16.28/1000</f>
        <v>14.049640000000002</v>
      </c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11"/>
      <c r="AQ4291" s="8"/>
      <c r="AR4291" s="8"/>
      <c r="AS4291" s="8"/>
      <c r="AT4291" s="8">
        <v>574.02</v>
      </c>
      <c r="AU4291" s="8"/>
      <c r="AV4291" s="8"/>
      <c r="AW4291" s="8">
        <v>36.840000000000003</v>
      </c>
      <c r="AX4291" s="8"/>
      <c r="AY4291" s="8"/>
      <c r="AZ4291" s="8"/>
      <c r="BA4291" s="8"/>
      <c r="BB4291" s="8"/>
      <c r="BC4291" s="8"/>
      <c r="BD4291" s="8"/>
      <c r="BE4291" s="8"/>
      <c r="BF4291" s="8">
        <v>45.64</v>
      </c>
      <c r="BG4291" s="8">
        <v>42.85</v>
      </c>
      <c r="BH4291" s="9">
        <f t="shared" si="594"/>
        <v>1423.16</v>
      </c>
      <c r="BI4291" s="9">
        <f t="shared" si="595"/>
        <v>1.72</v>
      </c>
      <c r="BJ4291" s="9">
        <f t="shared" si="596"/>
        <v>6.84</v>
      </c>
      <c r="BK4291" s="9">
        <f t="shared" si="597"/>
        <v>25.449640000000002</v>
      </c>
      <c r="BL4291" s="9">
        <f t="shared" si="598"/>
        <v>0</v>
      </c>
      <c r="BM4291" s="9">
        <f t="shared" si="599"/>
        <v>0</v>
      </c>
      <c r="BN4291" s="9">
        <f t="shared" si="600"/>
        <v>574.02</v>
      </c>
      <c r="BO4291" s="9">
        <f t="shared" si="601"/>
        <v>36.840000000000003</v>
      </c>
      <c r="BP4291" s="9">
        <f t="shared" si="602"/>
        <v>45.64</v>
      </c>
    </row>
    <row r="4292" spans="1:68">
      <c r="A4292" s="6">
        <v>45350</v>
      </c>
      <c r="B4292" s="7">
        <v>3801</v>
      </c>
      <c r="C4292" s="8">
        <v>368.28</v>
      </c>
      <c r="D4292" s="8"/>
      <c r="E4292" s="8"/>
      <c r="F4292" s="8"/>
      <c r="G4292" s="8"/>
      <c r="H4292" s="8"/>
      <c r="I4292" s="8"/>
      <c r="J4292" s="8"/>
      <c r="K4292" s="8"/>
      <c r="L4292" s="8">
        <f>43150*7.13/1000</f>
        <v>307.65949999999998</v>
      </c>
      <c r="M4292" s="8"/>
      <c r="N4292" s="8">
        <v>0.75</v>
      </c>
      <c r="O4292" s="8"/>
      <c r="P4292" s="8"/>
      <c r="Q4292" s="11"/>
      <c r="R4292" s="11"/>
      <c r="S4292" s="8">
        <v>2.95</v>
      </c>
      <c r="T4292" s="8"/>
      <c r="U4292" s="8">
        <v>3.23</v>
      </c>
      <c r="V4292" s="8"/>
      <c r="W4292" s="8"/>
      <c r="X4292" s="8"/>
      <c r="Y4292" s="8"/>
      <c r="Z4292" s="8">
        <v>53.69</v>
      </c>
      <c r="AA4292" s="8">
        <f>3080*7.13/1000</f>
        <v>21.9604</v>
      </c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11"/>
      <c r="AQ4292" s="8">
        <f>271*7.13/1000</f>
        <v>1.9322300000000001</v>
      </c>
      <c r="AR4292" s="8"/>
      <c r="AS4292" s="8"/>
      <c r="AT4292" s="8">
        <v>261.87</v>
      </c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  <c r="BF4292" s="8"/>
      <c r="BG4292" s="8">
        <v>19.920000000000002</v>
      </c>
      <c r="BH4292" s="9">
        <f t="shared" ref="BH4292:BH4355" si="603">SUM(C4292:L4292)</f>
        <v>675.93949999999995</v>
      </c>
      <c r="BI4292" s="9">
        <f t="shared" ref="BI4292:BI4355" si="604">SUM(M4292:R4292)</f>
        <v>0.75</v>
      </c>
      <c r="BJ4292" s="9">
        <f t="shared" ref="BJ4292:BJ4355" si="605">SUM(S4292)</f>
        <v>2.95</v>
      </c>
      <c r="BK4292" s="9">
        <f t="shared" ref="BK4292:BK4355" si="606">SUM(T4292:Y4292)</f>
        <v>3.23</v>
      </c>
      <c r="BL4292" s="9">
        <f t="shared" ref="BL4292:BL4355" si="607">SUM(Z4292:AA4292)</f>
        <v>75.650399999999991</v>
      </c>
      <c r="BM4292" s="9">
        <f t="shared" ref="BM4292:BM4355" si="608">SUM(AB4292:AS4292)</f>
        <v>1.9322300000000001</v>
      </c>
      <c r="BN4292" s="9">
        <f t="shared" ref="BN4292:BN4355" si="609">SUM(AT4292:AU4292)</f>
        <v>261.87</v>
      </c>
      <c r="BO4292" s="9">
        <f t="shared" ref="BO4292:BO4355" si="610">SUM(AV4292:BE4292)</f>
        <v>0</v>
      </c>
      <c r="BP4292" s="9">
        <f t="shared" ref="BP4292:BP4355" si="611">SUM(BF4292)</f>
        <v>0</v>
      </c>
    </row>
    <row r="4293" spans="1:68">
      <c r="A4293" s="6">
        <v>45350</v>
      </c>
      <c r="B4293" s="7">
        <v>3157</v>
      </c>
      <c r="C4293" s="8">
        <v>372.89</v>
      </c>
      <c r="D4293" s="8">
        <v>372.78</v>
      </c>
      <c r="E4293" s="8"/>
      <c r="F4293" s="8"/>
      <c r="G4293" s="8"/>
      <c r="H4293" s="8"/>
      <c r="I4293" s="8"/>
      <c r="J4293" s="8"/>
      <c r="K4293" s="8"/>
      <c r="L4293" s="8"/>
      <c r="M4293" s="8">
        <v>2.99</v>
      </c>
      <c r="N4293" s="8"/>
      <c r="O4293" s="8"/>
      <c r="P4293" s="8"/>
      <c r="Q4293" s="11"/>
      <c r="R4293" s="11"/>
      <c r="S4293" s="8">
        <v>3.74</v>
      </c>
      <c r="T4293" s="8"/>
      <c r="U4293" s="8">
        <v>11.95</v>
      </c>
      <c r="V4293" s="8"/>
      <c r="W4293" s="8"/>
      <c r="X4293" s="8"/>
      <c r="Y4293" s="8"/>
      <c r="Z4293" s="8"/>
      <c r="AA4293" s="8"/>
      <c r="AB4293" s="8"/>
      <c r="AC4293" s="8">
        <v>2.99</v>
      </c>
      <c r="AD4293" s="8"/>
      <c r="AE4293" s="8"/>
      <c r="AF4293" s="8"/>
      <c r="AG4293" s="8">
        <v>3.73</v>
      </c>
      <c r="AH4293" s="8"/>
      <c r="AI4293" s="8"/>
      <c r="AJ4293" s="8"/>
      <c r="AK4293" s="8"/>
      <c r="AL4293" s="8"/>
      <c r="AM4293" s="8"/>
      <c r="AN4293" s="8"/>
      <c r="AO4293" s="8"/>
      <c r="AP4293" s="11"/>
      <c r="AQ4293" s="8"/>
      <c r="AR4293" s="8"/>
      <c r="AS4293" s="8"/>
      <c r="AT4293" s="8">
        <v>480.69</v>
      </c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8">
        <v>97.05</v>
      </c>
      <c r="BG4293" s="8">
        <v>38.75</v>
      </c>
      <c r="BH4293" s="9">
        <f t="shared" si="603"/>
        <v>745.67</v>
      </c>
      <c r="BI4293" s="9">
        <f t="shared" si="604"/>
        <v>2.99</v>
      </c>
      <c r="BJ4293" s="9">
        <f t="shared" si="605"/>
        <v>3.74</v>
      </c>
      <c r="BK4293" s="9">
        <f t="shared" si="606"/>
        <v>11.95</v>
      </c>
      <c r="BL4293" s="9">
        <f t="shared" si="607"/>
        <v>0</v>
      </c>
      <c r="BM4293" s="9">
        <f t="shared" si="608"/>
        <v>6.7200000000000006</v>
      </c>
      <c r="BN4293" s="9">
        <f t="shared" si="609"/>
        <v>480.69</v>
      </c>
      <c r="BO4293" s="9">
        <f t="shared" si="610"/>
        <v>0</v>
      </c>
      <c r="BP4293" s="9">
        <f t="shared" si="611"/>
        <v>97.05</v>
      </c>
    </row>
    <row r="4294" spans="1:68">
      <c r="A4294" s="6">
        <v>45350</v>
      </c>
      <c r="B4294" s="7">
        <v>3016</v>
      </c>
      <c r="C4294" s="8"/>
      <c r="D4294" s="8">
        <v>2367.38</v>
      </c>
      <c r="E4294" s="8"/>
      <c r="F4294" s="8"/>
      <c r="G4294" s="8"/>
      <c r="H4294" s="8"/>
      <c r="I4294" s="8">
        <v>2185.94</v>
      </c>
      <c r="J4294" s="8"/>
      <c r="K4294" s="8"/>
      <c r="L4294" s="8"/>
      <c r="M4294" s="8"/>
      <c r="N4294" s="8">
        <v>29.14</v>
      </c>
      <c r="O4294" s="8"/>
      <c r="P4294" s="8"/>
      <c r="Q4294" s="11"/>
      <c r="R4294" s="11"/>
      <c r="S4294" s="8">
        <v>3.18</v>
      </c>
      <c r="T4294" s="8"/>
      <c r="U4294" s="8"/>
      <c r="V4294" s="8"/>
      <c r="W4294" s="8">
        <v>45.58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>
        <v>18.22</v>
      </c>
      <c r="AN4294" s="8">
        <f>2071*26.78/1000</f>
        <v>55.461380000000005</v>
      </c>
      <c r="AO4294" s="8"/>
      <c r="AP4294" s="11"/>
      <c r="AQ4294" s="8"/>
      <c r="AR4294" s="8">
        <f>4275*26.78/1000</f>
        <v>114.4845</v>
      </c>
      <c r="AS4294" s="8"/>
      <c r="AT4294" s="8">
        <v>1695.06</v>
      </c>
      <c r="AU4294" s="8"/>
      <c r="AV4294" s="8"/>
      <c r="AW4294" s="8"/>
      <c r="AX4294" s="8"/>
      <c r="AY4294" s="8"/>
      <c r="AZ4294" s="8"/>
      <c r="BA4294" s="8"/>
      <c r="BB4294" s="8"/>
      <c r="BC4294" s="8"/>
      <c r="BD4294" s="8"/>
      <c r="BE4294" s="8"/>
      <c r="BF4294" s="8"/>
      <c r="BG4294" s="8">
        <v>123.71</v>
      </c>
      <c r="BH4294" s="9">
        <f t="shared" si="603"/>
        <v>4553.32</v>
      </c>
      <c r="BI4294" s="9">
        <f t="shared" si="604"/>
        <v>29.14</v>
      </c>
      <c r="BJ4294" s="9">
        <f t="shared" si="605"/>
        <v>3.18</v>
      </c>
      <c r="BK4294" s="9">
        <f t="shared" si="606"/>
        <v>45.58</v>
      </c>
      <c r="BL4294" s="9">
        <f t="shared" si="607"/>
        <v>0</v>
      </c>
      <c r="BM4294" s="9">
        <f t="shared" si="608"/>
        <v>188.16588000000002</v>
      </c>
      <c r="BN4294" s="9">
        <f t="shared" si="609"/>
        <v>1695.06</v>
      </c>
      <c r="BO4294" s="9">
        <f t="shared" si="610"/>
        <v>0</v>
      </c>
      <c r="BP4294" s="9">
        <f t="shared" si="611"/>
        <v>0</v>
      </c>
    </row>
    <row r="4295" spans="1:68">
      <c r="A4295" s="6">
        <v>45351</v>
      </c>
      <c r="B4295" s="7">
        <v>3200</v>
      </c>
      <c r="C4295" s="8">
        <v>2321.9899999999998</v>
      </c>
      <c r="D4295" s="8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>
        <v>5.88</v>
      </c>
      <c r="P4295" s="8"/>
      <c r="Q4295" s="11"/>
      <c r="R4295" s="11"/>
      <c r="S4295" s="8">
        <v>9.09</v>
      </c>
      <c r="T4295" s="8"/>
      <c r="U4295" s="8">
        <v>35</v>
      </c>
      <c r="V4295" s="8"/>
      <c r="W4295" s="8"/>
      <c r="X4295" s="8"/>
      <c r="Y4295" s="8"/>
      <c r="Z4295" s="8">
        <v>489.83</v>
      </c>
      <c r="AA4295" s="8"/>
      <c r="AB4295" s="8"/>
      <c r="AC4295" s="8"/>
      <c r="AD4295" s="8"/>
      <c r="AE4295" s="8"/>
      <c r="AF4295" s="8">
        <v>115.85</v>
      </c>
      <c r="AG4295" s="8"/>
      <c r="AH4295" s="8"/>
      <c r="AI4295" s="8"/>
      <c r="AJ4295" s="8"/>
      <c r="AK4295" s="8"/>
      <c r="AL4295" s="8"/>
      <c r="AM4295" s="8"/>
      <c r="AN4295" s="8"/>
      <c r="AO4295" s="8"/>
      <c r="AP4295" s="11"/>
      <c r="AQ4295" s="8">
        <f>1521*23.32/1000</f>
        <v>35.469720000000002</v>
      </c>
      <c r="AR4295" s="8"/>
      <c r="AS4295" s="8"/>
      <c r="AT4295" s="8">
        <v>1592.28</v>
      </c>
      <c r="AU4295" s="8"/>
      <c r="AV4295" s="8"/>
      <c r="AW4295" s="8">
        <v>6.86</v>
      </c>
      <c r="AX4295" s="8"/>
      <c r="AY4295" s="8"/>
      <c r="AZ4295" s="8"/>
      <c r="BA4295" s="8"/>
      <c r="BB4295" s="8"/>
      <c r="BC4295" s="8"/>
      <c r="BD4295" s="8"/>
      <c r="BE4295" s="8"/>
      <c r="BF4295" s="8">
        <v>111.99</v>
      </c>
      <c r="BG4295" s="8">
        <v>114.83</v>
      </c>
      <c r="BH4295" s="9">
        <f t="shared" si="603"/>
        <v>2321.9899999999998</v>
      </c>
      <c r="BI4295" s="9">
        <f t="shared" si="604"/>
        <v>5.88</v>
      </c>
      <c r="BJ4295" s="9">
        <f t="shared" si="605"/>
        <v>9.09</v>
      </c>
      <c r="BK4295" s="9">
        <f t="shared" si="606"/>
        <v>35</v>
      </c>
      <c r="BL4295" s="9">
        <f t="shared" si="607"/>
        <v>489.83</v>
      </c>
      <c r="BM4295" s="9">
        <f t="shared" si="608"/>
        <v>151.31971999999999</v>
      </c>
      <c r="BN4295" s="9">
        <f t="shared" si="609"/>
        <v>1592.28</v>
      </c>
      <c r="BO4295" s="9">
        <f t="shared" si="610"/>
        <v>6.86</v>
      </c>
      <c r="BP4295" s="9">
        <f t="shared" si="611"/>
        <v>111.99</v>
      </c>
    </row>
    <row r="4296" spans="1:68">
      <c r="A4296" s="6">
        <v>45351</v>
      </c>
      <c r="B4296" s="7">
        <v>3005</v>
      </c>
      <c r="C4296" s="8">
        <v>417.64</v>
      </c>
      <c r="D4296" s="8">
        <v>278.06</v>
      </c>
      <c r="E4296" s="8"/>
      <c r="F4296" s="8"/>
      <c r="G4296" s="8"/>
      <c r="H4296" s="8"/>
      <c r="I4296" s="8"/>
      <c r="J4296" s="8"/>
      <c r="K4296" s="8"/>
      <c r="L4296" s="8"/>
      <c r="M4296" s="8"/>
      <c r="N4296" s="8">
        <v>0.7</v>
      </c>
      <c r="O4296" s="8"/>
      <c r="P4296" s="8"/>
      <c r="Q4296" s="11"/>
      <c r="R4296" s="11"/>
      <c r="S4296" s="8">
        <v>2.4300000000000002</v>
      </c>
      <c r="T4296" s="8"/>
      <c r="U4296" s="8"/>
      <c r="V4296" s="8"/>
      <c r="W4296" s="8">
        <v>7.65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11"/>
      <c r="AQ4296" s="8"/>
      <c r="AR4296" s="8"/>
      <c r="AS4296" s="8"/>
      <c r="AT4296" s="8">
        <v>339.95</v>
      </c>
      <c r="AU4296" s="8"/>
      <c r="AV4296" s="8"/>
      <c r="AW4296" s="8">
        <v>7.72</v>
      </c>
      <c r="AX4296" s="8"/>
      <c r="AY4296" s="8"/>
      <c r="AZ4296" s="8"/>
      <c r="BA4296" s="8"/>
      <c r="BB4296" s="8"/>
      <c r="BC4296" s="8"/>
      <c r="BD4296" s="8"/>
      <c r="BE4296" s="8"/>
      <c r="BF4296" s="8"/>
      <c r="BG4296" s="8">
        <v>25.45</v>
      </c>
      <c r="BH4296" s="9">
        <f t="shared" si="603"/>
        <v>695.7</v>
      </c>
      <c r="BI4296" s="9">
        <f t="shared" si="604"/>
        <v>0.7</v>
      </c>
      <c r="BJ4296" s="9">
        <f t="shared" si="605"/>
        <v>2.4300000000000002</v>
      </c>
      <c r="BK4296" s="9">
        <f t="shared" si="606"/>
        <v>7.65</v>
      </c>
      <c r="BL4296" s="9">
        <f t="shared" si="607"/>
        <v>0</v>
      </c>
      <c r="BM4296" s="9">
        <f t="shared" si="608"/>
        <v>0</v>
      </c>
      <c r="BN4296" s="9">
        <f t="shared" si="609"/>
        <v>339.95</v>
      </c>
      <c r="BO4296" s="9">
        <f t="shared" si="610"/>
        <v>7.72</v>
      </c>
      <c r="BP4296" s="9">
        <f t="shared" si="611"/>
        <v>0</v>
      </c>
    </row>
    <row r="4297" spans="1:68">
      <c r="A4297" s="6">
        <v>45351</v>
      </c>
      <c r="B4297" s="7">
        <v>3022</v>
      </c>
      <c r="C4297" s="8"/>
      <c r="D4297" s="8">
        <v>340.6</v>
      </c>
      <c r="E4297" s="8"/>
      <c r="F4297" s="8"/>
      <c r="G4297" s="8"/>
      <c r="H4297" s="8"/>
      <c r="I4297" s="8">
        <v>277.24</v>
      </c>
      <c r="J4297" s="8"/>
      <c r="K4297" s="8"/>
      <c r="L4297" s="8"/>
      <c r="M4297" s="8"/>
      <c r="N4297" s="8">
        <v>3.08</v>
      </c>
      <c r="O4297" s="8"/>
      <c r="P4297" s="8"/>
      <c r="Q4297" s="11"/>
      <c r="R4297" s="11"/>
      <c r="S4297" s="8">
        <v>1.1100000000000001</v>
      </c>
      <c r="T4297" s="8"/>
      <c r="U4297" s="8"/>
      <c r="V4297" s="8"/>
      <c r="W4297" s="8">
        <v>6.18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>
        <v>7.99</v>
      </c>
      <c r="AN4297" s="8"/>
      <c r="AO4297" s="8"/>
      <c r="AP4297" s="11"/>
      <c r="AQ4297" s="8"/>
      <c r="AR4297" s="8"/>
      <c r="AS4297" s="8">
        <f>3874*5.6/1000</f>
        <v>21.694399999999998</v>
      </c>
      <c r="AT4297" s="8">
        <v>288.14</v>
      </c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  <c r="BF4297" s="8"/>
      <c r="BG4297" s="8">
        <v>22.21</v>
      </c>
      <c r="BH4297" s="9">
        <f t="shared" si="603"/>
        <v>617.84</v>
      </c>
      <c r="BI4297" s="9">
        <f t="shared" si="604"/>
        <v>3.08</v>
      </c>
      <c r="BJ4297" s="9">
        <f t="shared" si="605"/>
        <v>1.1100000000000001</v>
      </c>
      <c r="BK4297" s="9">
        <f t="shared" si="606"/>
        <v>6.18</v>
      </c>
      <c r="BL4297" s="9">
        <f t="shared" si="607"/>
        <v>0</v>
      </c>
      <c r="BM4297" s="9">
        <f t="shared" si="608"/>
        <v>29.684399999999997</v>
      </c>
      <c r="BN4297" s="9">
        <f t="shared" si="609"/>
        <v>288.14</v>
      </c>
      <c r="BO4297" s="9">
        <f t="shared" si="610"/>
        <v>0</v>
      </c>
      <c r="BP4297" s="9">
        <f t="shared" si="611"/>
        <v>0</v>
      </c>
    </row>
    <row r="4298" spans="1:68">
      <c r="A4298" s="6">
        <v>45351</v>
      </c>
      <c r="B4298" s="7">
        <v>3023</v>
      </c>
      <c r="C4298" s="8"/>
      <c r="D4298" s="8">
        <v>899.65</v>
      </c>
      <c r="E4298" s="8"/>
      <c r="F4298" s="8"/>
      <c r="G4298" s="8"/>
      <c r="H4298" s="8"/>
      <c r="I4298" s="8">
        <v>484.55</v>
      </c>
      <c r="J4298" s="8"/>
      <c r="K4298" s="8"/>
      <c r="L4298" s="8"/>
      <c r="M4298" s="8"/>
      <c r="N4298" s="8">
        <v>7.86</v>
      </c>
      <c r="O4298" s="8"/>
      <c r="P4298" s="8"/>
      <c r="Q4298" s="11"/>
      <c r="R4298" s="11"/>
      <c r="S4298" s="8">
        <v>2.2200000000000002</v>
      </c>
      <c r="T4298" s="8"/>
      <c r="U4298" s="8"/>
      <c r="V4298" s="8"/>
      <c r="W4298" s="8">
        <v>12.46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>
        <v>13.83</v>
      </c>
      <c r="AN4298" s="8">
        <f>1044*9.55/1000</f>
        <v>9.9702000000000002</v>
      </c>
      <c r="AO4298" s="8"/>
      <c r="AP4298" s="11"/>
      <c r="AQ4298" s="8"/>
      <c r="AR4298" s="8"/>
      <c r="AS4298" s="8">
        <f>4772*9.55/1000</f>
        <v>45.572600000000008</v>
      </c>
      <c r="AT4298" s="8">
        <v>567.16</v>
      </c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  <c r="BF4298" s="8"/>
      <c r="BG4298" s="8">
        <v>42.87</v>
      </c>
      <c r="BH4298" s="9">
        <f t="shared" si="603"/>
        <v>1384.2</v>
      </c>
      <c r="BI4298" s="9">
        <f t="shared" si="604"/>
        <v>7.86</v>
      </c>
      <c r="BJ4298" s="9">
        <f t="shared" si="605"/>
        <v>2.2200000000000002</v>
      </c>
      <c r="BK4298" s="9">
        <f t="shared" si="606"/>
        <v>12.46</v>
      </c>
      <c r="BL4298" s="9">
        <f t="shared" si="607"/>
        <v>0</v>
      </c>
      <c r="BM4298" s="9">
        <f t="shared" si="608"/>
        <v>69.372800000000012</v>
      </c>
      <c r="BN4298" s="9">
        <f t="shared" si="609"/>
        <v>567.16</v>
      </c>
      <c r="BO4298" s="9">
        <f t="shared" si="610"/>
        <v>0</v>
      </c>
      <c r="BP4298" s="9">
        <f t="shared" si="611"/>
        <v>0</v>
      </c>
    </row>
    <row r="4299" spans="1:68">
      <c r="A4299" s="6">
        <v>45351</v>
      </c>
      <c r="B4299" s="7">
        <v>3024</v>
      </c>
      <c r="C4299" s="8"/>
      <c r="D4299" s="8">
        <v>344.97</v>
      </c>
      <c r="E4299" s="8"/>
      <c r="F4299" s="8"/>
      <c r="G4299" s="8"/>
      <c r="H4299" s="8"/>
      <c r="I4299" s="8">
        <v>343.75</v>
      </c>
      <c r="J4299" s="8"/>
      <c r="K4299" s="8"/>
      <c r="L4299" s="8"/>
      <c r="M4299" s="8"/>
      <c r="N4299" s="8">
        <v>4.32</v>
      </c>
      <c r="O4299" s="8"/>
      <c r="P4299" s="8"/>
      <c r="Q4299" s="11"/>
      <c r="R4299" s="11"/>
      <c r="S4299" s="8">
        <v>1.1000000000000001</v>
      </c>
      <c r="T4299" s="8"/>
      <c r="U4299" s="8"/>
      <c r="V4299" s="8"/>
      <c r="W4299" s="8">
        <v>5.49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>
        <v>6.89</v>
      </c>
      <c r="AN4299" s="8">
        <f>852*5.73/1000</f>
        <v>4.8819600000000003</v>
      </c>
      <c r="AO4299" s="8"/>
      <c r="AP4299" s="11"/>
      <c r="AQ4299" s="8"/>
      <c r="AR4299" s="8"/>
      <c r="AS4299" s="8">
        <f>3973*5.73/1000</f>
        <v>22.76529</v>
      </c>
      <c r="AT4299" s="8">
        <v>265.27999999999997</v>
      </c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  <c r="BF4299" s="8"/>
      <c r="BG4299" s="8">
        <v>19.3</v>
      </c>
      <c r="BH4299" s="9">
        <f t="shared" si="603"/>
        <v>688.72</v>
      </c>
      <c r="BI4299" s="9">
        <f t="shared" si="604"/>
        <v>4.32</v>
      </c>
      <c r="BJ4299" s="9">
        <f t="shared" si="605"/>
        <v>1.1000000000000001</v>
      </c>
      <c r="BK4299" s="9">
        <f t="shared" si="606"/>
        <v>5.49</v>
      </c>
      <c r="BL4299" s="9">
        <f t="shared" si="607"/>
        <v>0</v>
      </c>
      <c r="BM4299" s="9">
        <f t="shared" si="608"/>
        <v>34.53725</v>
      </c>
      <c r="BN4299" s="9">
        <f t="shared" si="609"/>
        <v>265.27999999999997</v>
      </c>
      <c r="BO4299" s="9">
        <f t="shared" si="610"/>
        <v>0</v>
      </c>
      <c r="BP4299" s="9">
        <f t="shared" si="611"/>
        <v>0</v>
      </c>
    </row>
    <row r="4300" spans="1:68">
      <c r="A4300" s="6">
        <v>45351</v>
      </c>
      <c r="B4300" s="7">
        <v>3106</v>
      </c>
      <c r="C4300" s="8">
        <v>6101.44</v>
      </c>
      <c r="D4300" s="8"/>
      <c r="E4300" s="8"/>
      <c r="F4300" s="8"/>
      <c r="G4300" s="8"/>
      <c r="H4300" s="8"/>
      <c r="I4300" s="8"/>
      <c r="J4300" s="8"/>
      <c r="K4300" s="8"/>
      <c r="L4300" s="8"/>
      <c r="M4300" s="8">
        <v>16.5</v>
      </c>
      <c r="N4300" s="8"/>
      <c r="O4300" s="8"/>
      <c r="P4300" s="8"/>
      <c r="Q4300" s="11"/>
      <c r="R4300" s="11"/>
      <c r="S4300" s="8">
        <v>18.34</v>
      </c>
      <c r="T4300" s="8"/>
      <c r="U4300" s="8">
        <v>77.569999999999993</v>
      </c>
      <c r="V4300" s="8"/>
      <c r="W4300" s="8"/>
      <c r="X4300" s="8"/>
      <c r="Y4300" s="8"/>
      <c r="Z4300" s="8"/>
      <c r="AA4300" s="8"/>
      <c r="AB4300" s="8"/>
      <c r="AC4300" s="8">
        <v>15.26</v>
      </c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11"/>
      <c r="AQ4300" s="8"/>
      <c r="AR4300" s="8"/>
      <c r="AS4300" s="8"/>
      <c r="AT4300" s="8">
        <v>3475.17</v>
      </c>
      <c r="AU4300" s="8"/>
      <c r="AV4300" s="8"/>
      <c r="AW4300" s="8"/>
      <c r="AX4300" s="8">
        <v>7.64</v>
      </c>
      <c r="AY4300" s="8"/>
      <c r="AZ4300" s="8"/>
      <c r="BA4300" s="8"/>
      <c r="BB4300" s="8"/>
      <c r="BC4300" s="8"/>
      <c r="BD4300" s="8"/>
      <c r="BE4300" s="8"/>
      <c r="BF4300" s="8"/>
      <c r="BG4300" s="8">
        <v>262.83999999999997</v>
      </c>
      <c r="BH4300" s="9">
        <f t="shared" si="603"/>
        <v>6101.44</v>
      </c>
      <c r="BI4300" s="9">
        <f t="shared" si="604"/>
        <v>16.5</v>
      </c>
      <c r="BJ4300" s="9">
        <f t="shared" si="605"/>
        <v>18.34</v>
      </c>
      <c r="BK4300" s="9">
        <f t="shared" si="606"/>
        <v>77.569999999999993</v>
      </c>
      <c r="BL4300" s="9">
        <f t="shared" si="607"/>
        <v>0</v>
      </c>
      <c r="BM4300" s="9">
        <f t="shared" si="608"/>
        <v>15.26</v>
      </c>
      <c r="BN4300" s="9">
        <f t="shared" si="609"/>
        <v>3475.17</v>
      </c>
      <c r="BO4300" s="9">
        <f t="shared" si="610"/>
        <v>7.64</v>
      </c>
      <c r="BP4300" s="9">
        <f t="shared" si="611"/>
        <v>0</v>
      </c>
    </row>
    <row r="4301" spans="1:68">
      <c r="A4301" s="6">
        <v>45351</v>
      </c>
      <c r="B4301" s="7">
        <v>3154</v>
      </c>
      <c r="C4301" s="8">
        <v>761.15</v>
      </c>
      <c r="D4301" s="8"/>
      <c r="E4301" s="8"/>
      <c r="F4301" s="8"/>
      <c r="G4301" s="8"/>
      <c r="H4301" s="8"/>
      <c r="I4301" s="8"/>
      <c r="J4301" s="8"/>
      <c r="K4301" s="8"/>
      <c r="L4301" s="8"/>
      <c r="M4301" s="8">
        <v>1.9</v>
      </c>
      <c r="N4301" s="8"/>
      <c r="O4301" s="8"/>
      <c r="P4301" s="8"/>
      <c r="Q4301" s="11"/>
      <c r="R4301" s="11"/>
      <c r="S4301" s="8">
        <v>2.75</v>
      </c>
      <c r="T4301" s="8"/>
      <c r="U4301" s="8">
        <v>9.68</v>
      </c>
      <c r="V4301" s="8"/>
      <c r="W4301" s="8"/>
      <c r="X4301" s="8"/>
      <c r="Y4301" s="8"/>
      <c r="Z4301" s="8"/>
      <c r="AA4301" s="8"/>
      <c r="AB4301" s="8"/>
      <c r="AC4301" s="8">
        <v>3.05</v>
      </c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11"/>
      <c r="AQ4301" s="8"/>
      <c r="AR4301" s="8"/>
      <c r="AS4301" s="8"/>
      <c r="AT4301" s="8">
        <v>411.64</v>
      </c>
      <c r="AU4301" s="8"/>
      <c r="AV4301" s="8"/>
      <c r="AW4301" s="8"/>
      <c r="AX4301" s="8"/>
      <c r="AY4301" s="8"/>
      <c r="AZ4301" s="8"/>
      <c r="BA4301" s="8"/>
      <c r="BB4301" s="8"/>
      <c r="BC4301" s="8">
        <v>0.92</v>
      </c>
      <c r="BD4301" s="8"/>
      <c r="BE4301" s="8"/>
      <c r="BF4301" s="8"/>
      <c r="BG4301" s="8">
        <v>30.81</v>
      </c>
      <c r="BH4301" s="9">
        <f t="shared" si="603"/>
        <v>761.15</v>
      </c>
      <c r="BI4301" s="9">
        <f t="shared" si="604"/>
        <v>1.9</v>
      </c>
      <c r="BJ4301" s="9">
        <f t="shared" si="605"/>
        <v>2.75</v>
      </c>
      <c r="BK4301" s="9">
        <f t="shared" si="606"/>
        <v>9.68</v>
      </c>
      <c r="BL4301" s="9">
        <f t="shared" si="607"/>
        <v>0</v>
      </c>
      <c r="BM4301" s="9">
        <f t="shared" si="608"/>
        <v>3.05</v>
      </c>
      <c r="BN4301" s="9">
        <f t="shared" si="609"/>
        <v>411.64</v>
      </c>
      <c r="BO4301" s="9">
        <f t="shared" si="610"/>
        <v>0.92</v>
      </c>
      <c r="BP4301" s="9">
        <f t="shared" si="611"/>
        <v>0</v>
      </c>
    </row>
    <row r="4302" spans="1:68">
      <c r="A4302" s="6">
        <v>45351</v>
      </c>
      <c r="B4302" s="7">
        <v>8303</v>
      </c>
      <c r="C4302" s="8"/>
      <c r="D4302" s="8"/>
      <c r="E4302" s="8"/>
      <c r="F4302" s="8"/>
      <c r="G4302" s="8"/>
      <c r="H4302" s="8"/>
      <c r="I4302" s="8">
        <v>345.07</v>
      </c>
      <c r="J4302" s="8">
        <f>51000*0.011</f>
        <v>561</v>
      </c>
      <c r="K4302" s="8"/>
      <c r="L4302" s="8"/>
      <c r="M4302" s="8"/>
      <c r="N4302" s="8">
        <v>2.14</v>
      </c>
      <c r="O4302" s="8"/>
      <c r="P4302" s="8"/>
      <c r="Q4302" s="11"/>
      <c r="R4302" s="11"/>
      <c r="S4302" s="8">
        <v>2.54</v>
      </c>
      <c r="T4302" s="8"/>
      <c r="U4302" s="8">
        <v>5.58</v>
      </c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>
        <v>18.68</v>
      </c>
      <c r="AH4302" s="8"/>
      <c r="AI4302" s="8"/>
      <c r="AJ4302" s="8">
        <f>2566*0.011</f>
        <v>28.225999999999999</v>
      </c>
      <c r="AK4302" s="8"/>
      <c r="AL4302" s="8"/>
      <c r="AM4302" s="8"/>
      <c r="AN4302" s="8"/>
      <c r="AO4302" s="8"/>
      <c r="AP4302" s="11"/>
      <c r="AQ4302" s="8"/>
      <c r="AR4302" s="8"/>
      <c r="AS4302" s="8"/>
      <c r="AT4302" s="8"/>
      <c r="AU4302" s="8">
        <v>328.48</v>
      </c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  <c r="BF4302" s="8"/>
      <c r="BG4302" s="8">
        <v>22.32</v>
      </c>
      <c r="BH4302" s="9">
        <f t="shared" si="603"/>
        <v>906.06999999999994</v>
      </c>
      <c r="BI4302" s="9">
        <f t="shared" si="604"/>
        <v>2.14</v>
      </c>
      <c r="BJ4302" s="9">
        <f t="shared" si="605"/>
        <v>2.54</v>
      </c>
      <c r="BK4302" s="9">
        <f t="shared" si="606"/>
        <v>5.58</v>
      </c>
      <c r="BL4302" s="9">
        <f t="shared" si="607"/>
        <v>0</v>
      </c>
      <c r="BM4302" s="9">
        <f t="shared" si="608"/>
        <v>46.905999999999999</v>
      </c>
      <c r="BN4302" s="9">
        <f t="shared" si="609"/>
        <v>328.48</v>
      </c>
      <c r="BO4302" s="9">
        <f t="shared" si="610"/>
        <v>0</v>
      </c>
      <c r="BP4302" s="9">
        <f t="shared" si="611"/>
        <v>0</v>
      </c>
    </row>
    <row r="4303" spans="1:68">
      <c r="A4303" s="6">
        <v>45351</v>
      </c>
      <c r="B4303" s="7">
        <v>3704</v>
      </c>
      <c r="C4303" s="8">
        <v>637.85</v>
      </c>
      <c r="D4303" s="8">
        <v>963.05</v>
      </c>
      <c r="E4303" s="8"/>
      <c r="F4303" s="8"/>
      <c r="G4303" s="8"/>
      <c r="H4303" s="8"/>
      <c r="I4303" s="8"/>
      <c r="J4303" s="8"/>
      <c r="K4303" s="8"/>
      <c r="L4303" s="8"/>
      <c r="M4303" s="8">
        <v>4.8099999999999996</v>
      </c>
      <c r="N4303" s="8"/>
      <c r="O4303" s="8"/>
      <c r="P4303" s="8"/>
      <c r="Q4303" s="11"/>
      <c r="R4303" s="11"/>
      <c r="S4303" s="8">
        <v>5.61</v>
      </c>
      <c r="T4303" s="8"/>
      <c r="U4303" s="8">
        <v>12.04</v>
      </c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>
        <v>19.18</v>
      </c>
      <c r="AN4303" s="8"/>
      <c r="AO4303" s="8"/>
      <c r="AP4303" s="11"/>
      <c r="AQ4303" s="8"/>
      <c r="AR4303" s="8"/>
      <c r="AS4303" s="8"/>
      <c r="AT4303" s="8">
        <v>277.24</v>
      </c>
      <c r="AU4303" s="8">
        <v>139.13</v>
      </c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  <c r="BF4303" s="8"/>
      <c r="BG4303" s="8">
        <v>25.42</v>
      </c>
      <c r="BH4303" s="9">
        <f t="shared" si="603"/>
        <v>1600.9</v>
      </c>
      <c r="BI4303" s="9">
        <f t="shared" si="604"/>
        <v>4.8099999999999996</v>
      </c>
      <c r="BJ4303" s="9">
        <f t="shared" si="605"/>
        <v>5.61</v>
      </c>
      <c r="BK4303" s="9">
        <f t="shared" si="606"/>
        <v>12.04</v>
      </c>
      <c r="BL4303" s="9">
        <f t="shared" si="607"/>
        <v>0</v>
      </c>
      <c r="BM4303" s="9">
        <f t="shared" si="608"/>
        <v>19.18</v>
      </c>
      <c r="BN4303" s="9">
        <f t="shared" si="609"/>
        <v>416.37</v>
      </c>
      <c r="BO4303" s="9">
        <f t="shared" si="610"/>
        <v>0</v>
      </c>
      <c r="BP4303" s="9">
        <f t="shared" si="611"/>
        <v>0</v>
      </c>
    </row>
    <row r="4304" spans="1:68">
      <c r="A4304" s="6">
        <v>45352</v>
      </c>
      <c r="B4304" s="7">
        <v>3118</v>
      </c>
      <c r="C4304" s="8">
        <v>570.98</v>
      </c>
      <c r="D4304" s="8"/>
      <c r="E4304" s="8"/>
      <c r="F4304" s="8"/>
      <c r="G4304" s="8"/>
      <c r="H4304" s="8"/>
      <c r="I4304" s="8"/>
      <c r="J4304" s="8"/>
      <c r="K4304" s="8"/>
      <c r="L4304" s="8"/>
      <c r="M4304" s="8">
        <v>1.88</v>
      </c>
      <c r="N4304" s="8"/>
      <c r="O4304" s="8"/>
      <c r="P4304" s="8"/>
      <c r="Q4304" s="11"/>
      <c r="R4304" s="11"/>
      <c r="S4304" s="8">
        <v>3.14</v>
      </c>
      <c r="T4304" s="8"/>
      <c r="U4304" s="8">
        <v>6.85</v>
      </c>
      <c r="V4304" s="8"/>
      <c r="W4304" s="8"/>
      <c r="X4304" s="8"/>
      <c r="Y4304" s="8"/>
      <c r="Z4304" s="8"/>
      <c r="AA4304" s="8"/>
      <c r="AB4304" s="8"/>
      <c r="AC4304" s="8">
        <v>2.29</v>
      </c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11"/>
      <c r="AQ4304" s="8">
        <f>717*8.15/1000</f>
        <v>5.8435500000000005</v>
      </c>
      <c r="AR4304" s="8"/>
      <c r="AS4304" s="8"/>
      <c r="AT4304" s="8">
        <v>368.87</v>
      </c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  <c r="BF4304" s="8">
        <v>40</v>
      </c>
      <c r="BG4304" s="8">
        <v>28.24</v>
      </c>
      <c r="BH4304" s="9">
        <f t="shared" si="603"/>
        <v>570.98</v>
      </c>
      <c r="BI4304" s="9">
        <f t="shared" si="604"/>
        <v>1.88</v>
      </c>
      <c r="BJ4304" s="9">
        <f t="shared" si="605"/>
        <v>3.14</v>
      </c>
      <c r="BK4304" s="9">
        <f t="shared" si="606"/>
        <v>6.85</v>
      </c>
      <c r="BL4304" s="9">
        <f t="shared" si="607"/>
        <v>0</v>
      </c>
      <c r="BM4304" s="9">
        <f t="shared" si="608"/>
        <v>8.1335499999999996</v>
      </c>
      <c r="BN4304" s="9">
        <f t="shared" si="609"/>
        <v>368.87</v>
      </c>
      <c r="BO4304" s="9">
        <f t="shared" si="610"/>
        <v>0</v>
      </c>
      <c r="BP4304" s="9">
        <f t="shared" si="611"/>
        <v>40</v>
      </c>
    </row>
    <row r="4305" spans="1:68">
      <c r="A4305" s="6">
        <v>45352</v>
      </c>
      <c r="B4305" s="7">
        <v>3145</v>
      </c>
      <c r="C4305" s="8">
        <v>1254.57</v>
      </c>
      <c r="D4305" s="8">
        <v>221.45</v>
      </c>
      <c r="E4305" s="8"/>
      <c r="F4305" s="8"/>
      <c r="G4305" s="8"/>
      <c r="H4305" s="8"/>
      <c r="I4305" s="8"/>
      <c r="J4305" s="8"/>
      <c r="K4305" s="8"/>
      <c r="L4305" s="8"/>
      <c r="M4305" s="8">
        <v>4.55</v>
      </c>
      <c r="N4305" s="8"/>
      <c r="O4305" s="8"/>
      <c r="P4305" s="8"/>
      <c r="Q4305" s="11"/>
      <c r="R4305" s="11"/>
      <c r="S4305" s="8">
        <v>6.94</v>
      </c>
      <c r="T4305" s="8"/>
      <c r="U4305" s="8">
        <v>22.16</v>
      </c>
      <c r="V4305" s="8"/>
      <c r="W4305" s="8"/>
      <c r="X4305" s="8"/>
      <c r="Y4305" s="8"/>
      <c r="Z4305" s="8"/>
      <c r="AA4305" s="8"/>
      <c r="AB4305" s="8"/>
      <c r="AC4305" s="8">
        <v>5.91</v>
      </c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11"/>
      <c r="AQ4305" s="8"/>
      <c r="AR4305" s="8"/>
      <c r="AS4305" s="8"/>
      <c r="AT4305" s="8">
        <v>977.9</v>
      </c>
      <c r="AU4305" s="8"/>
      <c r="AV4305" s="8"/>
      <c r="AW4305" s="8"/>
      <c r="AX4305" s="8"/>
      <c r="AY4305" s="8"/>
      <c r="AZ4305" s="8"/>
      <c r="BA4305" s="8"/>
      <c r="BB4305" s="8"/>
      <c r="BC4305" s="8"/>
      <c r="BD4305" s="8">
        <v>3.69</v>
      </c>
      <c r="BE4305" s="8">
        <f>1375*9.85/1000</f>
        <v>13.543749999999999</v>
      </c>
      <c r="BF4305" s="8">
        <v>103.5</v>
      </c>
      <c r="BG4305" s="8">
        <v>77.010000000000005</v>
      </c>
      <c r="BH4305" s="9">
        <f t="shared" si="603"/>
        <v>1476.02</v>
      </c>
      <c r="BI4305" s="9">
        <f t="shared" si="604"/>
        <v>4.55</v>
      </c>
      <c r="BJ4305" s="9">
        <f t="shared" si="605"/>
        <v>6.94</v>
      </c>
      <c r="BK4305" s="9">
        <f t="shared" si="606"/>
        <v>22.16</v>
      </c>
      <c r="BL4305" s="9">
        <f t="shared" si="607"/>
        <v>0</v>
      </c>
      <c r="BM4305" s="9">
        <f t="shared" si="608"/>
        <v>5.91</v>
      </c>
      <c r="BN4305" s="9">
        <f t="shared" si="609"/>
        <v>977.9</v>
      </c>
      <c r="BO4305" s="9">
        <f t="shared" si="610"/>
        <v>17.233750000000001</v>
      </c>
      <c r="BP4305" s="9">
        <f t="shared" si="611"/>
        <v>103.5</v>
      </c>
    </row>
    <row r="4306" spans="1:68">
      <c r="A4306" s="6">
        <v>45352</v>
      </c>
      <c r="B4306" s="7">
        <v>3141</v>
      </c>
      <c r="C4306" s="8">
        <v>2382.25</v>
      </c>
      <c r="D4306" s="8">
        <v>420.39</v>
      </c>
      <c r="E4306" s="8"/>
      <c r="F4306" s="8"/>
      <c r="G4306" s="8"/>
      <c r="H4306" s="8"/>
      <c r="I4306" s="8"/>
      <c r="J4306" s="8"/>
      <c r="K4306" s="8"/>
      <c r="L4306" s="8"/>
      <c r="M4306" s="8">
        <v>8.4</v>
      </c>
      <c r="N4306" s="8"/>
      <c r="O4306" s="8"/>
      <c r="P4306" s="8"/>
      <c r="Q4306" s="11"/>
      <c r="R4306" s="11"/>
      <c r="S4306" s="8">
        <v>13.18</v>
      </c>
      <c r="T4306" s="8"/>
      <c r="U4306" s="8">
        <v>42.06</v>
      </c>
      <c r="V4306" s="8"/>
      <c r="W4306" s="8"/>
      <c r="X4306" s="8"/>
      <c r="Y4306" s="8"/>
      <c r="Z4306" s="8"/>
      <c r="AA4306" s="8"/>
      <c r="AB4306" s="8"/>
      <c r="AC4306" s="8">
        <v>11.22</v>
      </c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11"/>
      <c r="AQ4306" s="8"/>
      <c r="AR4306" s="8"/>
      <c r="AS4306" s="8"/>
      <c r="AT4306" s="8">
        <v>1842.38</v>
      </c>
      <c r="AU4306" s="8"/>
      <c r="AV4306" s="8"/>
      <c r="AW4306" s="8"/>
      <c r="AX4306" s="8"/>
      <c r="AY4306" s="8"/>
      <c r="AZ4306" s="8"/>
      <c r="BA4306" s="8">
        <v>64.2</v>
      </c>
      <c r="BB4306" s="8"/>
      <c r="BC4306" s="8"/>
      <c r="BD4306" s="8"/>
      <c r="BE4306" s="8"/>
      <c r="BF4306" s="8">
        <v>196.14</v>
      </c>
      <c r="BG4306" s="8">
        <v>145.66999999999999</v>
      </c>
      <c r="BH4306" s="9">
        <f t="shared" si="603"/>
        <v>2802.64</v>
      </c>
      <c r="BI4306" s="9">
        <f t="shared" si="604"/>
        <v>8.4</v>
      </c>
      <c r="BJ4306" s="9">
        <f t="shared" si="605"/>
        <v>13.18</v>
      </c>
      <c r="BK4306" s="9">
        <f t="shared" si="606"/>
        <v>42.06</v>
      </c>
      <c r="BL4306" s="9">
        <f t="shared" si="607"/>
        <v>0</v>
      </c>
      <c r="BM4306" s="9">
        <f t="shared" si="608"/>
        <v>11.22</v>
      </c>
      <c r="BN4306" s="9">
        <f t="shared" si="609"/>
        <v>1842.38</v>
      </c>
      <c r="BO4306" s="9">
        <f t="shared" si="610"/>
        <v>64.2</v>
      </c>
      <c r="BP4306" s="9">
        <f t="shared" si="611"/>
        <v>196.14</v>
      </c>
    </row>
    <row r="4307" spans="1:68">
      <c r="A4307" s="6">
        <v>45352</v>
      </c>
      <c r="B4307" s="7">
        <v>3116</v>
      </c>
      <c r="C4307" s="8">
        <v>1410</v>
      </c>
      <c r="D4307" s="8"/>
      <c r="E4307" s="8"/>
      <c r="F4307" s="8"/>
      <c r="G4307" s="8"/>
      <c r="H4307" s="8"/>
      <c r="I4307" s="8"/>
      <c r="J4307" s="8"/>
      <c r="K4307" s="8"/>
      <c r="L4307" s="8"/>
      <c r="M4307" s="8">
        <v>3.55</v>
      </c>
      <c r="N4307" s="8"/>
      <c r="O4307" s="8"/>
      <c r="P4307" s="8"/>
      <c r="Q4307" s="11"/>
      <c r="R4307" s="11"/>
      <c r="S4307" s="8">
        <v>5.67</v>
      </c>
      <c r="T4307" s="8"/>
      <c r="U4307" s="8">
        <v>20.83</v>
      </c>
      <c r="V4307" s="8"/>
      <c r="W4307" s="8"/>
      <c r="X4307" s="8"/>
      <c r="Y4307" s="8"/>
      <c r="Z4307" s="8"/>
      <c r="AA4307" s="8"/>
      <c r="AB4307" s="8"/>
      <c r="AC4307" s="8">
        <v>5.67</v>
      </c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11"/>
      <c r="AQ4307" s="8">
        <f>1404*10.12/1000</f>
        <v>14.20848</v>
      </c>
      <c r="AR4307" s="8"/>
      <c r="AS4307" s="8"/>
      <c r="AT4307" s="8">
        <v>866.09</v>
      </c>
      <c r="AU4307" s="8"/>
      <c r="AV4307" s="8"/>
      <c r="AW4307" s="8"/>
      <c r="AX4307" s="8"/>
      <c r="AY4307" s="8"/>
      <c r="AZ4307" s="8"/>
      <c r="BA4307" s="8"/>
      <c r="BB4307" s="8"/>
      <c r="BC4307" s="8"/>
      <c r="BD4307" s="8"/>
      <c r="BE4307" s="8"/>
      <c r="BF4307" s="8">
        <v>56.78</v>
      </c>
      <c r="BG4307" s="8">
        <v>64.62</v>
      </c>
      <c r="BH4307" s="9">
        <f t="shared" si="603"/>
        <v>1410</v>
      </c>
      <c r="BI4307" s="9">
        <f t="shared" si="604"/>
        <v>3.55</v>
      </c>
      <c r="BJ4307" s="9">
        <f t="shared" si="605"/>
        <v>5.67</v>
      </c>
      <c r="BK4307" s="9">
        <f t="shared" si="606"/>
        <v>20.83</v>
      </c>
      <c r="BL4307" s="9">
        <f t="shared" si="607"/>
        <v>0</v>
      </c>
      <c r="BM4307" s="9">
        <f t="shared" si="608"/>
        <v>19.87848</v>
      </c>
      <c r="BN4307" s="9">
        <f t="shared" si="609"/>
        <v>866.09</v>
      </c>
      <c r="BO4307" s="9">
        <f t="shared" si="610"/>
        <v>0</v>
      </c>
      <c r="BP4307" s="9">
        <f t="shared" si="611"/>
        <v>56.78</v>
      </c>
    </row>
    <row r="4308" spans="1:68">
      <c r="A4308" s="6">
        <v>45352</v>
      </c>
      <c r="B4308" s="7">
        <v>3029</v>
      </c>
      <c r="C4308" s="8"/>
      <c r="D4308" s="8">
        <v>466.37</v>
      </c>
      <c r="E4308" s="8"/>
      <c r="F4308" s="8">
        <v>329.69</v>
      </c>
      <c r="G4308" s="8"/>
      <c r="H4308" s="8"/>
      <c r="I4308" s="8">
        <v>1947.27</v>
      </c>
      <c r="J4308" s="8"/>
      <c r="K4308" s="8"/>
      <c r="L4308" s="8"/>
      <c r="M4308" s="8"/>
      <c r="N4308" s="8">
        <v>21.7</v>
      </c>
      <c r="O4308" s="8"/>
      <c r="P4308" s="8"/>
      <c r="Q4308" s="11"/>
      <c r="R4308" s="11"/>
      <c r="S4308" s="8">
        <v>1.64</v>
      </c>
      <c r="T4308" s="8"/>
      <c r="U4308" s="8"/>
      <c r="V4308" s="8"/>
      <c r="W4308" s="8">
        <v>27.46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>
        <v>9.59</v>
      </c>
      <c r="AN4308" s="8">
        <f>766*18.3/1000</f>
        <v>14.017800000000001</v>
      </c>
      <c r="AO4308" s="8"/>
      <c r="AP4308" s="11"/>
      <c r="AQ4308" s="8"/>
      <c r="AR4308" s="8">
        <f>4591*18.3/1000</f>
        <v>84.015299999999996</v>
      </c>
      <c r="AS4308" s="8"/>
      <c r="AT4308" s="8">
        <v>1043.19</v>
      </c>
      <c r="AU4308" s="8"/>
      <c r="AV4308" s="8"/>
      <c r="AW4308" s="8"/>
      <c r="AX4308" s="8"/>
      <c r="AY4308" s="8"/>
      <c r="AZ4308" s="8"/>
      <c r="BA4308" s="8"/>
      <c r="BB4308" s="8"/>
      <c r="BC4308" s="8"/>
      <c r="BD4308" s="8"/>
      <c r="BE4308" s="8"/>
      <c r="BF4308" s="8"/>
      <c r="BG4308" s="8">
        <v>72.62</v>
      </c>
      <c r="BH4308" s="9">
        <f t="shared" si="603"/>
        <v>2743.33</v>
      </c>
      <c r="BI4308" s="9">
        <f t="shared" si="604"/>
        <v>21.7</v>
      </c>
      <c r="BJ4308" s="9">
        <f t="shared" si="605"/>
        <v>1.64</v>
      </c>
      <c r="BK4308" s="9">
        <f t="shared" si="606"/>
        <v>27.46</v>
      </c>
      <c r="BL4308" s="9">
        <f t="shared" si="607"/>
        <v>0</v>
      </c>
      <c r="BM4308" s="9">
        <f t="shared" si="608"/>
        <v>107.62309999999999</v>
      </c>
      <c r="BN4308" s="9">
        <f t="shared" si="609"/>
        <v>1043.19</v>
      </c>
      <c r="BO4308" s="9">
        <f t="shared" si="610"/>
        <v>0</v>
      </c>
      <c r="BP4308" s="9">
        <f t="shared" si="611"/>
        <v>0</v>
      </c>
    </row>
    <row r="4309" spans="1:68">
      <c r="A4309" s="6">
        <v>45352</v>
      </c>
      <c r="B4309" s="7">
        <v>3016</v>
      </c>
      <c r="C4309" s="8"/>
      <c r="D4309" s="8">
        <v>1577.88</v>
      </c>
      <c r="E4309" s="8"/>
      <c r="F4309" s="8"/>
      <c r="G4309" s="8"/>
      <c r="H4309" s="8"/>
      <c r="I4309" s="8">
        <v>1460.12</v>
      </c>
      <c r="J4309" s="8"/>
      <c r="K4309" s="8"/>
      <c r="L4309" s="8"/>
      <c r="M4309" s="8"/>
      <c r="N4309" s="8">
        <v>19.16</v>
      </c>
      <c r="O4309" s="8"/>
      <c r="P4309" s="8"/>
      <c r="Q4309" s="11"/>
      <c r="R4309" s="11"/>
      <c r="S4309" s="8">
        <v>2.12</v>
      </c>
      <c r="T4309" s="8"/>
      <c r="U4309" s="8"/>
      <c r="V4309" s="8"/>
      <c r="W4309" s="8">
        <v>30.44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>
        <v>12.15</v>
      </c>
      <c r="AN4309" s="8">
        <f>2055*17.9/1000</f>
        <v>36.784500000000001</v>
      </c>
      <c r="AO4309" s="8"/>
      <c r="AP4309" s="11"/>
      <c r="AQ4309" s="8"/>
      <c r="AR4309" s="8">
        <f>4291*17.9/1000</f>
        <v>76.808899999999994</v>
      </c>
      <c r="AS4309" s="8"/>
      <c r="AT4309" s="8">
        <v>1131.54</v>
      </c>
      <c r="AU4309" s="8"/>
      <c r="AV4309" s="8"/>
      <c r="AW4309" s="8"/>
      <c r="AX4309" s="8"/>
      <c r="AY4309" s="8"/>
      <c r="AZ4309" s="8"/>
      <c r="BA4309" s="8"/>
      <c r="BB4309" s="8"/>
      <c r="BC4309" s="8"/>
      <c r="BD4309" s="8"/>
      <c r="BE4309" s="8"/>
      <c r="BF4309" s="8"/>
      <c r="BG4309" s="8">
        <v>82.61</v>
      </c>
      <c r="BH4309" s="9">
        <f t="shared" si="603"/>
        <v>3038</v>
      </c>
      <c r="BI4309" s="9">
        <f t="shared" si="604"/>
        <v>19.16</v>
      </c>
      <c r="BJ4309" s="9">
        <f t="shared" si="605"/>
        <v>2.12</v>
      </c>
      <c r="BK4309" s="9">
        <f t="shared" si="606"/>
        <v>30.44</v>
      </c>
      <c r="BL4309" s="9">
        <f t="shared" si="607"/>
        <v>0</v>
      </c>
      <c r="BM4309" s="9">
        <f t="shared" si="608"/>
        <v>125.74339999999999</v>
      </c>
      <c r="BN4309" s="9">
        <f t="shared" si="609"/>
        <v>1131.54</v>
      </c>
      <c r="BO4309" s="9">
        <f t="shared" si="610"/>
        <v>0</v>
      </c>
      <c r="BP4309" s="9">
        <f t="shared" si="611"/>
        <v>0</v>
      </c>
    </row>
    <row r="4310" spans="1:68">
      <c r="A4310" s="6">
        <v>45352</v>
      </c>
      <c r="B4310" s="7">
        <v>3083</v>
      </c>
      <c r="C4310" s="8"/>
      <c r="D4310" s="8">
        <v>1078.8699999999999</v>
      </c>
      <c r="E4310" s="8"/>
      <c r="F4310" s="8"/>
      <c r="G4310" s="8"/>
      <c r="H4310" s="8"/>
      <c r="I4310" s="8">
        <v>2519.5700000000002</v>
      </c>
      <c r="J4310" s="8"/>
      <c r="K4310" s="8"/>
      <c r="L4310" s="8"/>
      <c r="M4310" s="8"/>
      <c r="N4310" s="8">
        <v>23.42</v>
      </c>
      <c r="O4310" s="8"/>
      <c r="P4310" s="8"/>
      <c r="Q4310" s="11"/>
      <c r="R4310" s="11"/>
      <c r="S4310" s="8">
        <v>2.5099999999999998</v>
      </c>
      <c r="T4310" s="8"/>
      <c r="U4310" s="8"/>
      <c r="V4310" s="8"/>
      <c r="W4310" s="8">
        <v>28.82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>
        <v>14.36</v>
      </c>
      <c r="AN4310" s="8">
        <f>1912*26.67/1000</f>
        <v>50.993040000000001</v>
      </c>
      <c r="AO4310" s="8"/>
      <c r="AP4310" s="11"/>
      <c r="AQ4310" s="8"/>
      <c r="AR4310" s="8">
        <f>3394*26.67/1000</f>
        <v>90.517980000000009</v>
      </c>
      <c r="AS4310" s="8"/>
      <c r="AT4310" s="8">
        <v>1693.37</v>
      </c>
      <c r="AU4310" s="8"/>
      <c r="AV4310" s="8"/>
      <c r="AW4310" s="8"/>
      <c r="AX4310" s="8"/>
      <c r="AY4310" s="8"/>
      <c r="AZ4310" s="8"/>
      <c r="BA4310" s="8"/>
      <c r="BB4310" s="8"/>
      <c r="BC4310" s="8"/>
      <c r="BD4310" s="8"/>
      <c r="BE4310" s="8"/>
      <c r="BF4310" s="8"/>
      <c r="BG4310" s="8">
        <v>134.09</v>
      </c>
      <c r="BH4310" s="9">
        <f t="shared" si="603"/>
        <v>3598.44</v>
      </c>
      <c r="BI4310" s="9">
        <f t="shared" si="604"/>
        <v>23.42</v>
      </c>
      <c r="BJ4310" s="9">
        <f t="shared" si="605"/>
        <v>2.5099999999999998</v>
      </c>
      <c r="BK4310" s="9">
        <f t="shared" si="606"/>
        <v>28.82</v>
      </c>
      <c r="BL4310" s="9">
        <f t="shared" si="607"/>
        <v>0</v>
      </c>
      <c r="BM4310" s="9">
        <f t="shared" si="608"/>
        <v>155.87101999999999</v>
      </c>
      <c r="BN4310" s="9">
        <f t="shared" si="609"/>
        <v>1693.37</v>
      </c>
      <c r="BO4310" s="9">
        <f t="shared" si="610"/>
        <v>0</v>
      </c>
      <c r="BP4310" s="9">
        <f t="shared" si="611"/>
        <v>0</v>
      </c>
    </row>
    <row r="4311" spans="1:68">
      <c r="A4311" s="6">
        <v>45352</v>
      </c>
      <c r="B4311" s="7">
        <v>3203</v>
      </c>
      <c r="C4311" s="8">
        <v>1649.45</v>
      </c>
      <c r="D4311" s="8"/>
      <c r="E4311" s="8">
        <v>705.23</v>
      </c>
      <c r="F4311" s="8"/>
      <c r="G4311" s="8"/>
      <c r="H4311" s="8"/>
      <c r="I4311" s="8"/>
      <c r="J4311" s="8"/>
      <c r="K4311" s="8"/>
      <c r="L4311" s="8"/>
      <c r="M4311" s="8"/>
      <c r="N4311" s="8"/>
      <c r="O4311" s="8">
        <v>7.1</v>
      </c>
      <c r="P4311" s="8"/>
      <c r="Q4311" s="11"/>
      <c r="R4311" s="11"/>
      <c r="S4311" s="8">
        <v>9.66</v>
      </c>
      <c r="T4311" s="8"/>
      <c r="U4311" s="8">
        <v>29.21</v>
      </c>
      <c r="V4311" s="8"/>
      <c r="W4311" s="8"/>
      <c r="X4311" s="8"/>
      <c r="Y4311" s="8"/>
      <c r="Z4311" s="8">
        <v>371.18</v>
      </c>
      <c r="AA4311" s="8">
        <f>10427*27.72/1000</f>
        <v>289.03644000000003</v>
      </c>
      <c r="AB4311" s="8"/>
      <c r="AC4311" s="8"/>
      <c r="AD4311" s="8"/>
      <c r="AE4311" s="8"/>
      <c r="AF4311" s="8"/>
      <c r="AG4311" s="8"/>
      <c r="AH4311" s="8"/>
      <c r="AI4311" s="8"/>
      <c r="AJ4311" s="8"/>
      <c r="AK4311" s="8"/>
      <c r="AL4311" s="8"/>
      <c r="AM4311" s="8"/>
      <c r="AN4311" s="8"/>
      <c r="AO4311" s="8"/>
      <c r="AP4311" s="11"/>
      <c r="AQ4311" s="8"/>
      <c r="AR4311" s="8"/>
      <c r="AS4311" s="8"/>
      <c r="AT4311" s="8">
        <v>882.42</v>
      </c>
      <c r="AU4311" s="8">
        <v>440.97</v>
      </c>
      <c r="AV4311" s="8"/>
      <c r="AW4311" s="8"/>
      <c r="AX4311" s="8"/>
      <c r="AY4311" s="8"/>
      <c r="AZ4311" s="8"/>
      <c r="BA4311" s="8"/>
      <c r="BB4311" s="8"/>
      <c r="BC4311" s="8">
        <v>6.13</v>
      </c>
      <c r="BD4311" s="8"/>
      <c r="BE4311" s="8"/>
      <c r="BF4311" s="8"/>
      <c r="BG4311" s="8">
        <v>86.51</v>
      </c>
      <c r="BH4311" s="9">
        <f t="shared" si="603"/>
        <v>2354.6800000000003</v>
      </c>
      <c r="BI4311" s="9">
        <f t="shared" si="604"/>
        <v>7.1</v>
      </c>
      <c r="BJ4311" s="9">
        <f t="shared" si="605"/>
        <v>9.66</v>
      </c>
      <c r="BK4311" s="9">
        <f t="shared" si="606"/>
        <v>29.21</v>
      </c>
      <c r="BL4311" s="9">
        <f t="shared" si="607"/>
        <v>660.21644000000003</v>
      </c>
      <c r="BM4311" s="9">
        <f t="shared" si="608"/>
        <v>0</v>
      </c>
      <c r="BN4311" s="9">
        <f t="shared" si="609"/>
        <v>1323.3899999999999</v>
      </c>
      <c r="BO4311" s="9">
        <f t="shared" si="610"/>
        <v>6.13</v>
      </c>
      <c r="BP4311" s="9">
        <f t="shared" si="611"/>
        <v>0</v>
      </c>
    </row>
    <row r="4312" spans="1:68">
      <c r="A4312" s="6">
        <v>45352</v>
      </c>
      <c r="B4312" s="7">
        <v>8303</v>
      </c>
      <c r="C4312" s="8">
        <v>224.26</v>
      </c>
      <c r="D4312" s="8"/>
      <c r="E4312" s="8"/>
      <c r="F4312" s="8"/>
      <c r="G4312" s="8"/>
      <c r="H4312" s="8"/>
      <c r="I4312" s="8">
        <v>281.95999999999998</v>
      </c>
      <c r="J4312" s="8">
        <f>51240*16.5/1000</f>
        <v>845.46</v>
      </c>
      <c r="K4312" s="8"/>
      <c r="L4312" s="8"/>
      <c r="M4312" s="8"/>
      <c r="N4312" s="8">
        <v>3.32</v>
      </c>
      <c r="O4312" s="8"/>
      <c r="P4312" s="8"/>
      <c r="Q4312" s="11"/>
      <c r="R4312" s="11"/>
      <c r="S4312" s="8">
        <v>3.88</v>
      </c>
      <c r="T4312" s="8"/>
      <c r="U4312" s="8">
        <v>8.1999999999999993</v>
      </c>
      <c r="V4312" s="8"/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>
        <v>27.45</v>
      </c>
      <c r="AH4312" s="8"/>
      <c r="AI4312" s="8"/>
      <c r="AJ4312" s="8">
        <f>2539*16.5/1000</f>
        <v>41.893500000000003</v>
      </c>
      <c r="AK4312" s="8"/>
      <c r="AL4312" s="8"/>
      <c r="AM4312" s="8"/>
      <c r="AN4312" s="8"/>
      <c r="AO4312" s="8"/>
      <c r="AP4312" s="11"/>
      <c r="AQ4312" s="8"/>
      <c r="AR4312" s="8"/>
      <c r="AS4312" s="8"/>
      <c r="AT4312" s="8"/>
      <c r="AU4312" s="8">
        <v>482.36</v>
      </c>
      <c r="AV4312" s="8"/>
      <c r="AW4312" s="8"/>
      <c r="AX4312" s="8"/>
      <c r="AY4312" s="8"/>
      <c r="AZ4312" s="8"/>
      <c r="BA4312" s="8"/>
      <c r="BB4312" s="8"/>
      <c r="BC4312" s="8"/>
      <c r="BD4312" s="8"/>
      <c r="BE4312" s="8"/>
      <c r="BF4312" s="8"/>
      <c r="BG4312" s="8">
        <v>32.85</v>
      </c>
      <c r="BH4312" s="9">
        <f t="shared" si="603"/>
        <v>1351.68</v>
      </c>
      <c r="BI4312" s="9">
        <f t="shared" si="604"/>
        <v>3.32</v>
      </c>
      <c r="BJ4312" s="9">
        <f t="shared" si="605"/>
        <v>3.88</v>
      </c>
      <c r="BK4312" s="9">
        <f t="shared" si="606"/>
        <v>8.1999999999999993</v>
      </c>
      <c r="BL4312" s="9">
        <f t="shared" si="607"/>
        <v>0</v>
      </c>
      <c r="BM4312" s="9">
        <f t="shared" si="608"/>
        <v>69.343500000000006</v>
      </c>
      <c r="BN4312" s="9">
        <f t="shared" si="609"/>
        <v>482.36</v>
      </c>
      <c r="BO4312" s="9">
        <f t="shared" si="610"/>
        <v>0</v>
      </c>
      <c r="BP4312" s="9">
        <f t="shared" si="611"/>
        <v>0</v>
      </c>
    </row>
    <row r="4313" spans="1:68">
      <c r="A4313" s="6">
        <v>45355</v>
      </c>
      <c r="B4313" s="7">
        <v>3139</v>
      </c>
      <c r="C4313" s="8">
        <v>929.67</v>
      </c>
      <c r="D4313" s="8"/>
      <c r="E4313" s="8"/>
      <c r="F4313" s="8"/>
      <c r="G4313" s="8"/>
      <c r="H4313" s="8">
        <v>385.26</v>
      </c>
      <c r="I4313" s="8"/>
      <c r="J4313" s="8"/>
      <c r="K4313" s="8"/>
      <c r="L4313" s="8"/>
      <c r="M4313" s="8">
        <v>2.14</v>
      </c>
      <c r="N4313" s="8"/>
      <c r="O4313" s="8"/>
      <c r="P4313" s="8"/>
      <c r="Q4313" s="11"/>
      <c r="R4313" s="11"/>
      <c r="S4313" s="8">
        <v>4.1100000000000003</v>
      </c>
      <c r="T4313" s="8"/>
      <c r="U4313" s="8">
        <v>13.73</v>
      </c>
      <c r="V4313" s="8"/>
      <c r="W4313" s="8"/>
      <c r="X4313" s="8"/>
      <c r="Y4313" s="8"/>
      <c r="Z4313" s="8"/>
      <c r="AA4313" s="8"/>
      <c r="AB4313" s="8"/>
      <c r="AC4313" s="8">
        <v>4.58</v>
      </c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11"/>
      <c r="AQ4313" s="8"/>
      <c r="AR4313" s="8"/>
      <c r="AS4313" s="8"/>
      <c r="AT4313" s="8">
        <v>676.78</v>
      </c>
      <c r="AU4313" s="8"/>
      <c r="AV4313" s="8">
        <v>22.91</v>
      </c>
      <c r="AW4313" s="8"/>
      <c r="AX4313" s="8"/>
      <c r="AY4313" s="8"/>
      <c r="AZ4313" s="8"/>
      <c r="BA4313" s="8"/>
      <c r="BB4313" s="8"/>
      <c r="BC4313" s="8"/>
      <c r="BD4313" s="8"/>
      <c r="BE4313" s="8"/>
      <c r="BF4313" s="8"/>
      <c r="BG4313" s="8">
        <v>49.2</v>
      </c>
      <c r="BH4313" s="9">
        <f t="shared" si="603"/>
        <v>1314.9299999999998</v>
      </c>
      <c r="BI4313" s="9">
        <f t="shared" si="604"/>
        <v>2.14</v>
      </c>
      <c r="BJ4313" s="9">
        <f t="shared" si="605"/>
        <v>4.1100000000000003</v>
      </c>
      <c r="BK4313" s="9">
        <f t="shared" si="606"/>
        <v>13.73</v>
      </c>
      <c r="BL4313" s="9">
        <f t="shared" si="607"/>
        <v>0</v>
      </c>
      <c r="BM4313" s="9">
        <f t="shared" si="608"/>
        <v>4.58</v>
      </c>
      <c r="BN4313" s="9">
        <f t="shared" si="609"/>
        <v>676.78</v>
      </c>
      <c r="BO4313" s="9">
        <f t="shared" si="610"/>
        <v>22.91</v>
      </c>
      <c r="BP4313" s="9">
        <f t="shared" si="611"/>
        <v>0</v>
      </c>
    </row>
    <row r="4314" spans="1:68">
      <c r="A4314" s="6">
        <v>45355</v>
      </c>
      <c r="B4314" s="7">
        <v>3702</v>
      </c>
      <c r="C4314" s="8">
        <v>960.97</v>
      </c>
      <c r="D4314" s="8">
        <v>640.66</v>
      </c>
      <c r="E4314" s="8"/>
      <c r="F4314" s="8"/>
      <c r="G4314" s="8"/>
      <c r="H4314" s="8"/>
      <c r="I4314" s="8"/>
      <c r="J4314" s="8"/>
      <c r="K4314" s="8"/>
      <c r="L4314" s="8"/>
      <c r="M4314" s="8">
        <v>3.2</v>
      </c>
      <c r="N4314" s="8"/>
      <c r="O4314" s="8"/>
      <c r="P4314" s="8"/>
      <c r="Q4314" s="11"/>
      <c r="R4314" s="11"/>
      <c r="S4314" s="8">
        <v>7.54</v>
      </c>
      <c r="T4314" s="8"/>
      <c r="U4314" s="8">
        <v>12.03</v>
      </c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11"/>
      <c r="AQ4314" s="8"/>
      <c r="AR4314" s="8"/>
      <c r="AS4314" s="8"/>
      <c r="AT4314" s="8">
        <v>389.79</v>
      </c>
      <c r="AU4314" s="8">
        <v>195.42</v>
      </c>
      <c r="AV4314" s="8"/>
      <c r="AW4314" s="8">
        <v>3.5</v>
      </c>
      <c r="AX4314" s="8"/>
      <c r="AY4314" s="8"/>
      <c r="AZ4314" s="8"/>
      <c r="BA4314" s="8"/>
      <c r="BB4314" s="8"/>
      <c r="BC4314" s="8"/>
      <c r="BD4314" s="8"/>
      <c r="BE4314" s="8"/>
      <c r="BF4314" s="8"/>
      <c r="BG4314" s="8">
        <v>40.94</v>
      </c>
      <c r="BH4314" s="9">
        <f t="shared" si="603"/>
        <v>1601.63</v>
      </c>
      <c r="BI4314" s="9">
        <f t="shared" si="604"/>
        <v>3.2</v>
      </c>
      <c r="BJ4314" s="9">
        <f t="shared" si="605"/>
        <v>7.54</v>
      </c>
      <c r="BK4314" s="9">
        <f t="shared" si="606"/>
        <v>12.03</v>
      </c>
      <c r="BL4314" s="9">
        <f t="shared" si="607"/>
        <v>0</v>
      </c>
      <c r="BM4314" s="9">
        <f t="shared" si="608"/>
        <v>0</v>
      </c>
      <c r="BN4314" s="9">
        <f t="shared" si="609"/>
        <v>585.21</v>
      </c>
      <c r="BO4314" s="9">
        <f t="shared" si="610"/>
        <v>3.5</v>
      </c>
      <c r="BP4314" s="9">
        <f t="shared" si="611"/>
        <v>0</v>
      </c>
    </row>
    <row r="4315" spans="1:68">
      <c r="A4315" s="6">
        <v>45355</v>
      </c>
      <c r="B4315" s="7">
        <v>3122</v>
      </c>
      <c r="C4315" s="8">
        <v>1433.17</v>
      </c>
      <c r="D4315" s="8"/>
      <c r="E4315" s="8"/>
      <c r="F4315" s="8"/>
      <c r="G4315" s="8"/>
      <c r="H4315" s="8"/>
      <c r="I4315" s="8"/>
      <c r="J4315" s="8"/>
      <c r="K4315" s="8"/>
      <c r="L4315" s="8"/>
      <c r="M4315" s="8">
        <v>2.59</v>
      </c>
      <c r="N4315" s="8">
        <v>2.56</v>
      </c>
      <c r="O4315" s="8"/>
      <c r="P4315" s="8"/>
      <c r="Q4315" s="11"/>
      <c r="R4315" s="11"/>
      <c r="S4315" s="8">
        <v>5.85</v>
      </c>
      <c r="T4315" s="8"/>
      <c r="U4315" s="8">
        <v>14.26</v>
      </c>
      <c r="V4315" s="8"/>
      <c r="W4315" s="8"/>
      <c r="X4315" s="8"/>
      <c r="Y4315" s="8"/>
      <c r="Z4315" s="8"/>
      <c r="AA4315" s="8"/>
      <c r="AB4315" s="8"/>
      <c r="AC4315" s="8">
        <v>5.7</v>
      </c>
      <c r="AD4315" s="8"/>
      <c r="AE4315" s="8"/>
      <c r="AF4315" s="8"/>
      <c r="AG4315" s="8"/>
      <c r="AH4315" s="8"/>
      <c r="AI4315" s="8"/>
      <c r="AJ4315" s="8"/>
      <c r="AK4315" s="8"/>
      <c r="AL4315" s="8"/>
      <c r="AM4315" s="8"/>
      <c r="AN4315" s="8"/>
      <c r="AO4315" s="8"/>
      <c r="AP4315" s="11"/>
      <c r="AQ4315" s="8"/>
      <c r="AR4315" s="8"/>
      <c r="AS4315" s="8"/>
      <c r="AT4315" s="8">
        <v>630.69000000000005</v>
      </c>
      <c r="AU4315" s="8"/>
      <c r="AV4315" s="8">
        <v>48.39</v>
      </c>
      <c r="AW4315" s="8"/>
      <c r="AX4315" s="8"/>
      <c r="AY4315" s="8"/>
      <c r="AZ4315" s="8"/>
      <c r="BA4315" s="8"/>
      <c r="BB4315" s="8"/>
      <c r="BC4315" s="8"/>
      <c r="BD4315" s="8"/>
      <c r="BE4315" s="8"/>
      <c r="BF4315" s="8"/>
      <c r="BG4315" s="8">
        <v>46.35</v>
      </c>
      <c r="BH4315" s="9">
        <f t="shared" si="603"/>
        <v>1433.17</v>
      </c>
      <c r="BI4315" s="9">
        <f t="shared" si="604"/>
        <v>5.15</v>
      </c>
      <c r="BJ4315" s="9">
        <f t="shared" si="605"/>
        <v>5.85</v>
      </c>
      <c r="BK4315" s="9">
        <f t="shared" si="606"/>
        <v>14.26</v>
      </c>
      <c r="BL4315" s="9">
        <f t="shared" si="607"/>
        <v>0</v>
      </c>
      <c r="BM4315" s="9">
        <f t="shared" si="608"/>
        <v>5.7</v>
      </c>
      <c r="BN4315" s="9">
        <f t="shared" si="609"/>
        <v>630.69000000000005</v>
      </c>
      <c r="BO4315" s="9">
        <f t="shared" si="610"/>
        <v>48.39</v>
      </c>
      <c r="BP4315" s="9">
        <f t="shared" si="611"/>
        <v>0</v>
      </c>
    </row>
    <row r="4316" spans="1:68">
      <c r="A4316" s="6">
        <v>45355</v>
      </c>
      <c r="B4316" s="7">
        <v>8311</v>
      </c>
      <c r="C4316" s="8"/>
      <c r="D4316" s="8">
        <v>339.76</v>
      </c>
      <c r="E4316" s="8"/>
      <c r="F4316" s="8"/>
      <c r="G4316" s="8"/>
      <c r="H4316" s="8"/>
      <c r="I4316" s="8">
        <v>74.12</v>
      </c>
      <c r="J4316" s="8"/>
      <c r="K4316" s="8"/>
      <c r="L4316" s="8"/>
      <c r="M4316" s="8">
        <v>1.24</v>
      </c>
      <c r="N4316" s="8"/>
      <c r="O4316" s="8"/>
      <c r="P4316" s="8"/>
      <c r="Q4316" s="11"/>
      <c r="R4316" s="11"/>
      <c r="S4316" s="8">
        <v>1.45</v>
      </c>
      <c r="T4316" s="8"/>
      <c r="U4316" s="8">
        <v>2.9</v>
      </c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11"/>
      <c r="AQ4316" s="8"/>
      <c r="AR4316" s="8"/>
      <c r="AS4316" s="8"/>
      <c r="AT4316" s="8">
        <v>24.74</v>
      </c>
      <c r="AU4316" s="8">
        <v>49.04</v>
      </c>
      <c r="AV4316" s="8">
        <v>5.62</v>
      </c>
      <c r="AW4316" s="8"/>
      <c r="AX4316" s="8"/>
      <c r="AY4316" s="8"/>
      <c r="AZ4316" s="8"/>
      <c r="BA4316" s="8"/>
      <c r="BB4316" s="8"/>
      <c r="BC4316" s="8"/>
      <c r="BD4316" s="8"/>
      <c r="BE4316" s="8"/>
      <c r="BF4316" s="8"/>
      <c r="BG4316" s="8">
        <v>4.07</v>
      </c>
      <c r="BH4316" s="9">
        <f t="shared" si="603"/>
        <v>413.88</v>
      </c>
      <c r="BI4316" s="9">
        <f t="shared" si="604"/>
        <v>1.24</v>
      </c>
      <c r="BJ4316" s="9">
        <f t="shared" si="605"/>
        <v>1.45</v>
      </c>
      <c r="BK4316" s="9">
        <f t="shared" si="606"/>
        <v>2.9</v>
      </c>
      <c r="BL4316" s="9">
        <f t="shared" si="607"/>
        <v>0</v>
      </c>
      <c r="BM4316" s="9">
        <f t="shared" si="608"/>
        <v>0</v>
      </c>
      <c r="BN4316" s="9">
        <f t="shared" si="609"/>
        <v>73.78</v>
      </c>
      <c r="BO4316" s="9">
        <f t="shared" si="610"/>
        <v>5.62</v>
      </c>
      <c r="BP4316" s="9">
        <f t="shared" si="611"/>
        <v>0</v>
      </c>
    </row>
    <row r="4317" spans="1:68">
      <c r="A4317" s="6">
        <v>45355</v>
      </c>
      <c r="B4317" s="7">
        <v>3705</v>
      </c>
      <c r="C4317" s="8"/>
      <c r="D4317" s="8">
        <v>340.86</v>
      </c>
      <c r="E4317" s="8"/>
      <c r="F4317" s="8"/>
      <c r="G4317" s="8"/>
      <c r="H4317" s="8"/>
      <c r="I4317" s="8">
        <v>75.209999999999994</v>
      </c>
      <c r="J4317" s="8"/>
      <c r="K4317" s="8"/>
      <c r="L4317" s="8"/>
      <c r="M4317" s="8">
        <v>1.25</v>
      </c>
      <c r="N4317" s="8"/>
      <c r="O4317" s="8"/>
      <c r="P4317" s="8"/>
      <c r="Q4317" s="11"/>
      <c r="R4317" s="11"/>
      <c r="S4317" s="8">
        <v>1.45</v>
      </c>
      <c r="T4317" s="8"/>
      <c r="U4317" s="8">
        <v>2.91</v>
      </c>
      <c r="V4317" s="8"/>
      <c r="W4317" s="8"/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11"/>
      <c r="AQ4317" s="8"/>
      <c r="AR4317" s="8"/>
      <c r="AS4317" s="8"/>
      <c r="AT4317" s="8">
        <v>25.1</v>
      </c>
      <c r="AU4317" s="8">
        <v>49.7</v>
      </c>
      <c r="AV4317" s="8">
        <v>0.83</v>
      </c>
      <c r="AW4317" s="8"/>
      <c r="AX4317" s="8"/>
      <c r="AY4317" s="8"/>
      <c r="AZ4317" s="8"/>
      <c r="BA4317" s="8"/>
      <c r="BB4317" s="8"/>
      <c r="BC4317" s="8"/>
      <c r="BD4317" s="8"/>
      <c r="BE4317" s="8"/>
      <c r="BF4317" s="8"/>
      <c r="BG4317" s="8">
        <v>4.08</v>
      </c>
      <c r="BH4317" s="9">
        <f t="shared" si="603"/>
        <v>416.07</v>
      </c>
      <c r="BI4317" s="9">
        <f t="shared" si="604"/>
        <v>1.25</v>
      </c>
      <c r="BJ4317" s="9">
        <f t="shared" si="605"/>
        <v>1.45</v>
      </c>
      <c r="BK4317" s="9">
        <f t="shared" si="606"/>
        <v>2.91</v>
      </c>
      <c r="BL4317" s="9">
        <f t="shared" si="607"/>
        <v>0</v>
      </c>
      <c r="BM4317" s="9">
        <f t="shared" si="608"/>
        <v>0</v>
      </c>
      <c r="BN4317" s="9">
        <f t="shared" si="609"/>
        <v>74.800000000000011</v>
      </c>
      <c r="BO4317" s="9">
        <f t="shared" si="610"/>
        <v>0.83</v>
      </c>
      <c r="BP4317" s="9">
        <f t="shared" si="611"/>
        <v>0</v>
      </c>
    </row>
    <row r="4318" spans="1:68">
      <c r="A4318" s="6">
        <v>45355</v>
      </c>
      <c r="B4318" s="7">
        <v>3139</v>
      </c>
      <c r="C4318" s="8">
        <v>1072.82</v>
      </c>
      <c r="D4318" s="8"/>
      <c r="E4318" s="8"/>
      <c r="F4318" s="8"/>
      <c r="G4318" s="8"/>
      <c r="H4318" s="8">
        <v>445.36</v>
      </c>
      <c r="I4318" s="8"/>
      <c r="J4318" s="8"/>
      <c r="K4318" s="8"/>
      <c r="L4318" s="8"/>
      <c r="M4318" s="8">
        <v>2.52</v>
      </c>
      <c r="N4318" s="8"/>
      <c r="O4318" s="8"/>
      <c r="P4318" s="8"/>
      <c r="Q4318" s="11"/>
      <c r="R4318" s="11"/>
      <c r="S4318" s="8">
        <v>4.76</v>
      </c>
      <c r="T4318" s="8"/>
      <c r="U4318" s="8">
        <v>15.86</v>
      </c>
      <c r="V4318" s="8"/>
      <c r="W4318" s="8"/>
      <c r="X4318" s="8"/>
      <c r="Y4318" s="8"/>
      <c r="Z4318" s="8"/>
      <c r="AA4318" s="8"/>
      <c r="AB4318" s="8"/>
      <c r="AC4318" s="8">
        <v>5.29</v>
      </c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11"/>
      <c r="AQ4318" s="8"/>
      <c r="AR4318" s="8"/>
      <c r="AS4318" s="8"/>
      <c r="AT4318" s="8">
        <v>784.18</v>
      </c>
      <c r="AU4318" s="8"/>
      <c r="AV4318" s="8">
        <v>26.43</v>
      </c>
      <c r="AW4318" s="8"/>
      <c r="AX4318" s="8"/>
      <c r="AY4318" s="8"/>
      <c r="AZ4318" s="8"/>
      <c r="BA4318" s="8"/>
      <c r="BB4318" s="8"/>
      <c r="BC4318" s="8"/>
      <c r="BD4318" s="8"/>
      <c r="BE4318" s="8"/>
      <c r="BF4318" s="8"/>
      <c r="BG4318" s="8">
        <v>56.87</v>
      </c>
      <c r="BH4318" s="9">
        <f t="shared" si="603"/>
        <v>1518.1799999999998</v>
      </c>
      <c r="BI4318" s="9">
        <f t="shared" si="604"/>
        <v>2.52</v>
      </c>
      <c r="BJ4318" s="9">
        <f t="shared" si="605"/>
        <v>4.76</v>
      </c>
      <c r="BK4318" s="9">
        <f t="shared" si="606"/>
        <v>15.86</v>
      </c>
      <c r="BL4318" s="9">
        <f t="shared" si="607"/>
        <v>0</v>
      </c>
      <c r="BM4318" s="9">
        <f t="shared" si="608"/>
        <v>5.29</v>
      </c>
      <c r="BN4318" s="9">
        <f t="shared" si="609"/>
        <v>784.18</v>
      </c>
      <c r="BO4318" s="9">
        <f t="shared" si="610"/>
        <v>26.43</v>
      </c>
      <c r="BP4318" s="9">
        <f t="shared" si="611"/>
        <v>0</v>
      </c>
    </row>
    <row r="4319" spans="1:68">
      <c r="A4319" s="6">
        <v>45355</v>
      </c>
      <c r="B4319" s="7">
        <v>3020</v>
      </c>
      <c r="C4319" s="8"/>
      <c r="D4319" s="8">
        <v>100.58</v>
      </c>
      <c r="E4319" s="8"/>
      <c r="F4319" s="8"/>
      <c r="G4319" s="8"/>
      <c r="H4319" s="8"/>
      <c r="I4319" s="8">
        <v>568.36</v>
      </c>
      <c r="J4319" s="8"/>
      <c r="K4319" s="8"/>
      <c r="L4319" s="8"/>
      <c r="M4319" s="8"/>
      <c r="N4319" s="8">
        <v>4.08</v>
      </c>
      <c r="O4319" s="8"/>
      <c r="P4319" s="8"/>
      <c r="Q4319" s="11"/>
      <c r="R4319" s="11"/>
      <c r="S4319" s="8">
        <v>1.2</v>
      </c>
      <c r="T4319" s="8"/>
      <c r="U4319" s="8"/>
      <c r="V4319" s="8"/>
      <c r="W4319" s="8">
        <v>6.7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8"/>
      <c r="AJ4319" s="8"/>
      <c r="AK4319" s="8"/>
      <c r="AL4319" s="8"/>
      <c r="AM4319" s="8">
        <v>6.67</v>
      </c>
      <c r="AN4319" s="8"/>
      <c r="AO4319" s="8"/>
      <c r="AP4319" s="11"/>
      <c r="AQ4319" s="8"/>
      <c r="AR4319" s="8"/>
      <c r="AS4319" s="8">
        <f>3076*5.57/1000</f>
        <v>17.133320000000001</v>
      </c>
      <c r="AT4319" s="8">
        <v>329.03</v>
      </c>
      <c r="AU4319" s="8"/>
      <c r="AV4319" s="8"/>
      <c r="AW4319" s="8"/>
      <c r="AX4319" s="8"/>
      <c r="AY4319" s="8"/>
      <c r="AZ4319" s="8"/>
      <c r="BA4319" s="8"/>
      <c r="BB4319" s="8"/>
      <c r="BC4319" s="8"/>
      <c r="BD4319" s="8"/>
      <c r="BE4319" s="8"/>
      <c r="BF4319" s="8"/>
      <c r="BG4319" s="8">
        <v>24.06</v>
      </c>
      <c r="BH4319" s="9">
        <f t="shared" si="603"/>
        <v>668.94</v>
      </c>
      <c r="BI4319" s="9">
        <f t="shared" si="604"/>
        <v>4.08</v>
      </c>
      <c r="BJ4319" s="9">
        <f t="shared" si="605"/>
        <v>1.2</v>
      </c>
      <c r="BK4319" s="9">
        <f t="shared" si="606"/>
        <v>6.7</v>
      </c>
      <c r="BL4319" s="9">
        <f t="shared" si="607"/>
        <v>0</v>
      </c>
      <c r="BM4319" s="9">
        <f t="shared" si="608"/>
        <v>23.803319999999999</v>
      </c>
      <c r="BN4319" s="9">
        <f t="shared" si="609"/>
        <v>329.03</v>
      </c>
      <c r="BO4319" s="9">
        <f t="shared" si="610"/>
        <v>0</v>
      </c>
      <c r="BP4319" s="9">
        <f t="shared" si="611"/>
        <v>0</v>
      </c>
    </row>
    <row r="4320" spans="1:68">
      <c r="A4320" s="6">
        <v>45355</v>
      </c>
      <c r="B4320" s="7">
        <v>3024</v>
      </c>
      <c r="C4320" s="8"/>
      <c r="D4320" s="8">
        <v>344.28</v>
      </c>
      <c r="E4320" s="8"/>
      <c r="F4320" s="8"/>
      <c r="G4320" s="8"/>
      <c r="H4320" s="8"/>
      <c r="I4320" s="8">
        <v>346.71</v>
      </c>
      <c r="J4320" s="8"/>
      <c r="K4320" s="8"/>
      <c r="L4320" s="8"/>
      <c r="M4320" s="8"/>
      <c r="N4320" s="8">
        <v>4.3499999999999996</v>
      </c>
      <c r="O4320" s="8"/>
      <c r="P4320" s="8"/>
      <c r="Q4320" s="11"/>
      <c r="R4320" s="11"/>
      <c r="S4320" s="8">
        <v>1.1100000000000001</v>
      </c>
      <c r="T4320" s="8"/>
      <c r="U4320" s="8"/>
      <c r="V4320" s="8"/>
      <c r="W4320" s="8">
        <v>5.53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>
        <v>6.9</v>
      </c>
      <c r="AN4320" s="8">
        <f>580*5.77/1000</f>
        <v>3.3466</v>
      </c>
      <c r="AO4320" s="8"/>
      <c r="AP4320" s="11"/>
      <c r="AQ4320" s="8"/>
      <c r="AR4320" s="8"/>
      <c r="AS4320" s="8">
        <f>3981*5.77/1000</f>
        <v>22.970369999999999</v>
      </c>
      <c r="AT4320" s="8">
        <v>266.01</v>
      </c>
      <c r="AU4320" s="8"/>
      <c r="AV4320" s="8"/>
      <c r="AW4320" s="8"/>
      <c r="AX4320" s="8"/>
      <c r="AY4320" s="8"/>
      <c r="AZ4320" s="8"/>
      <c r="BA4320" s="8"/>
      <c r="BB4320" s="8"/>
      <c r="BC4320" s="8"/>
      <c r="BD4320" s="8"/>
      <c r="BE4320" s="8"/>
      <c r="BF4320" s="8"/>
      <c r="BG4320" s="8">
        <v>19.38</v>
      </c>
      <c r="BH4320" s="9">
        <f t="shared" si="603"/>
        <v>690.99</v>
      </c>
      <c r="BI4320" s="9">
        <f t="shared" si="604"/>
        <v>4.3499999999999996</v>
      </c>
      <c r="BJ4320" s="9">
        <f t="shared" si="605"/>
        <v>1.1100000000000001</v>
      </c>
      <c r="BK4320" s="9">
        <f t="shared" si="606"/>
        <v>5.53</v>
      </c>
      <c r="BL4320" s="9">
        <f t="shared" si="607"/>
        <v>0</v>
      </c>
      <c r="BM4320" s="9">
        <f t="shared" si="608"/>
        <v>33.216970000000003</v>
      </c>
      <c r="BN4320" s="9">
        <f t="shared" si="609"/>
        <v>266.01</v>
      </c>
      <c r="BO4320" s="9">
        <f t="shared" si="610"/>
        <v>0</v>
      </c>
      <c r="BP4320" s="9">
        <f t="shared" si="611"/>
        <v>0</v>
      </c>
    </row>
    <row r="4321" spans="1:68">
      <c r="A4321" s="6">
        <v>45355</v>
      </c>
      <c r="B4321" s="7">
        <v>3106</v>
      </c>
      <c r="C4321" s="8">
        <v>6152.25</v>
      </c>
      <c r="D4321" s="8"/>
      <c r="E4321" s="8"/>
      <c r="F4321" s="8"/>
      <c r="G4321" s="8"/>
      <c r="H4321" s="8"/>
      <c r="I4321" s="8"/>
      <c r="J4321" s="8"/>
      <c r="K4321" s="8"/>
      <c r="L4321" s="8"/>
      <c r="M4321" s="8">
        <v>16.61</v>
      </c>
      <c r="N4321" s="8"/>
      <c r="O4321" s="8"/>
      <c r="P4321" s="8"/>
      <c r="Q4321" s="11"/>
      <c r="R4321" s="11"/>
      <c r="S4321" s="8">
        <v>18.48</v>
      </c>
      <c r="T4321" s="8"/>
      <c r="U4321" s="8">
        <v>78.14</v>
      </c>
      <c r="V4321" s="8"/>
      <c r="W4321" s="8"/>
      <c r="X4321" s="8"/>
      <c r="Y4321" s="8"/>
      <c r="Z4321" s="8"/>
      <c r="AA4321" s="8"/>
      <c r="AB4321" s="8"/>
      <c r="AC4321" s="8">
        <v>15.37</v>
      </c>
      <c r="AD4321" s="8"/>
      <c r="AE4321" s="8"/>
      <c r="AF4321" s="8"/>
      <c r="AG4321" s="8"/>
      <c r="AH4321" s="8"/>
      <c r="AI4321" s="8"/>
      <c r="AJ4321" s="8"/>
      <c r="AK4321" s="8"/>
      <c r="AL4321" s="8"/>
      <c r="AM4321" s="8"/>
      <c r="AN4321" s="8"/>
      <c r="AO4321" s="8"/>
      <c r="AP4321" s="11"/>
      <c r="AQ4321" s="8"/>
      <c r="AR4321" s="8"/>
      <c r="AS4321" s="8"/>
      <c r="AT4321" s="8">
        <v>3506.88</v>
      </c>
      <c r="AU4321" s="8"/>
      <c r="AV4321" s="8"/>
      <c r="AW4321" s="8"/>
      <c r="AX4321" s="8">
        <v>7.69</v>
      </c>
      <c r="AY4321" s="8"/>
      <c r="AZ4321" s="8"/>
      <c r="BA4321" s="8"/>
      <c r="BB4321" s="8"/>
      <c r="BC4321" s="8"/>
      <c r="BD4321" s="8"/>
      <c r="BE4321" s="8"/>
      <c r="BF4321" s="8"/>
      <c r="BG4321" s="8">
        <v>264.07</v>
      </c>
      <c r="BH4321" s="9">
        <f t="shared" si="603"/>
        <v>6152.25</v>
      </c>
      <c r="BI4321" s="9">
        <f t="shared" si="604"/>
        <v>16.61</v>
      </c>
      <c r="BJ4321" s="9">
        <f t="shared" si="605"/>
        <v>18.48</v>
      </c>
      <c r="BK4321" s="9">
        <f t="shared" si="606"/>
        <v>78.14</v>
      </c>
      <c r="BL4321" s="9">
        <f t="shared" si="607"/>
        <v>0</v>
      </c>
      <c r="BM4321" s="9">
        <f t="shared" si="608"/>
        <v>15.37</v>
      </c>
      <c r="BN4321" s="9">
        <f t="shared" si="609"/>
        <v>3506.88</v>
      </c>
      <c r="BO4321" s="9">
        <f t="shared" si="610"/>
        <v>7.69</v>
      </c>
      <c r="BP4321" s="9">
        <f t="shared" si="611"/>
        <v>0</v>
      </c>
    </row>
    <row r="4322" spans="1:68">
      <c r="A4322" s="6">
        <v>45356</v>
      </c>
      <c r="B4322" s="7">
        <v>3602</v>
      </c>
      <c r="C4322" s="8">
        <v>560.70000000000005</v>
      </c>
      <c r="D4322" s="8"/>
      <c r="E4322" s="8"/>
      <c r="F4322" s="8"/>
      <c r="G4322" s="8">
        <v>839.74</v>
      </c>
      <c r="H4322" s="8"/>
      <c r="I4322" s="8"/>
      <c r="J4322" s="8"/>
      <c r="K4322" s="8"/>
      <c r="L4322" s="8"/>
      <c r="M4322" s="8">
        <v>1.68</v>
      </c>
      <c r="N4322" s="8"/>
      <c r="O4322" s="8"/>
      <c r="P4322" s="8"/>
      <c r="Q4322" s="11"/>
      <c r="R4322" s="11"/>
      <c r="S4322" s="8">
        <v>6.72</v>
      </c>
      <c r="T4322" s="8"/>
      <c r="U4322" s="8">
        <v>11.21</v>
      </c>
      <c r="V4322" s="8">
        <f>853*16.02/1000</f>
        <v>13.665059999999999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11"/>
      <c r="AQ4322" s="8"/>
      <c r="AR4322" s="8"/>
      <c r="AS4322" s="8"/>
      <c r="AT4322" s="8">
        <v>566.26</v>
      </c>
      <c r="AU4322" s="8"/>
      <c r="AV4322" s="8"/>
      <c r="AW4322" s="8">
        <v>36.200000000000003</v>
      </c>
      <c r="AX4322" s="8"/>
      <c r="AY4322" s="8"/>
      <c r="AZ4322" s="8"/>
      <c r="BA4322" s="8"/>
      <c r="BB4322" s="8"/>
      <c r="BC4322" s="8"/>
      <c r="BD4322" s="8"/>
      <c r="BE4322" s="8"/>
      <c r="BF4322" s="8">
        <v>44.88</v>
      </c>
      <c r="BG4322" s="8">
        <v>41.85</v>
      </c>
      <c r="BH4322" s="9">
        <f t="shared" si="603"/>
        <v>1400.44</v>
      </c>
      <c r="BI4322" s="9">
        <f t="shared" si="604"/>
        <v>1.68</v>
      </c>
      <c r="BJ4322" s="9">
        <f t="shared" si="605"/>
        <v>6.72</v>
      </c>
      <c r="BK4322" s="9">
        <f t="shared" si="606"/>
        <v>24.875059999999998</v>
      </c>
      <c r="BL4322" s="9">
        <f t="shared" si="607"/>
        <v>0</v>
      </c>
      <c r="BM4322" s="9">
        <f t="shared" si="608"/>
        <v>0</v>
      </c>
      <c r="BN4322" s="9">
        <f t="shared" si="609"/>
        <v>566.26</v>
      </c>
      <c r="BO4322" s="9">
        <f t="shared" si="610"/>
        <v>36.200000000000003</v>
      </c>
      <c r="BP4322" s="9">
        <f t="shared" si="611"/>
        <v>44.88</v>
      </c>
    </row>
    <row r="4323" spans="1:68">
      <c r="A4323" s="6">
        <v>45356</v>
      </c>
      <c r="B4323" s="7">
        <v>3601</v>
      </c>
      <c r="C4323" s="8">
        <v>304.67</v>
      </c>
      <c r="D4323" s="8"/>
      <c r="E4323" s="8"/>
      <c r="F4323" s="8"/>
      <c r="G4323" s="8">
        <v>457.73</v>
      </c>
      <c r="H4323" s="8"/>
      <c r="I4323" s="8"/>
      <c r="J4323" s="8"/>
      <c r="K4323" s="8"/>
      <c r="L4323" s="8"/>
      <c r="M4323" s="8">
        <v>0.92</v>
      </c>
      <c r="N4323" s="8"/>
      <c r="O4323" s="8"/>
      <c r="P4323" s="8"/>
      <c r="Q4323" s="11"/>
      <c r="R4323" s="11"/>
      <c r="S4323" s="8">
        <v>3.66</v>
      </c>
      <c r="T4323" s="8"/>
      <c r="U4323" s="8">
        <v>4.58</v>
      </c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/>
      <c r="AM4323" s="8"/>
      <c r="AN4323" s="8"/>
      <c r="AO4323" s="8"/>
      <c r="AP4323" s="11"/>
      <c r="AQ4323" s="8"/>
      <c r="AR4323" s="8"/>
      <c r="AS4323" s="8"/>
      <c r="AT4323" s="8">
        <v>374.54</v>
      </c>
      <c r="AU4323" s="8"/>
      <c r="AV4323" s="8"/>
      <c r="AW4323" s="8">
        <v>23.2</v>
      </c>
      <c r="AX4323" s="8"/>
      <c r="AY4323" s="8"/>
      <c r="AZ4323" s="8"/>
      <c r="BA4323" s="8"/>
      <c r="BB4323" s="8"/>
      <c r="BC4323" s="8"/>
      <c r="BD4323" s="8"/>
      <c r="BE4323" s="8"/>
      <c r="BF4323" s="8">
        <v>42.82</v>
      </c>
      <c r="BG4323" s="8">
        <v>27.24</v>
      </c>
      <c r="BH4323" s="9">
        <f t="shared" si="603"/>
        <v>762.40000000000009</v>
      </c>
      <c r="BI4323" s="9">
        <f t="shared" si="604"/>
        <v>0.92</v>
      </c>
      <c r="BJ4323" s="9">
        <f t="shared" si="605"/>
        <v>3.66</v>
      </c>
      <c r="BK4323" s="9">
        <f t="shared" si="606"/>
        <v>4.58</v>
      </c>
      <c r="BL4323" s="9">
        <f t="shared" si="607"/>
        <v>0</v>
      </c>
      <c r="BM4323" s="9">
        <f t="shared" si="608"/>
        <v>0</v>
      </c>
      <c r="BN4323" s="9">
        <f t="shared" si="609"/>
        <v>374.54</v>
      </c>
      <c r="BO4323" s="9">
        <f t="shared" si="610"/>
        <v>23.2</v>
      </c>
      <c r="BP4323" s="9">
        <f t="shared" si="611"/>
        <v>42.82</v>
      </c>
    </row>
    <row r="4324" spans="1:68">
      <c r="A4324" s="6">
        <v>45356</v>
      </c>
      <c r="B4324" s="7">
        <v>3304</v>
      </c>
      <c r="C4324" s="8"/>
      <c r="D4324" s="8">
        <v>1111.02</v>
      </c>
      <c r="E4324" s="8"/>
      <c r="F4324" s="8"/>
      <c r="G4324" s="8"/>
      <c r="H4324" s="8"/>
      <c r="I4324" s="8"/>
      <c r="J4324" s="8"/>
      <c r="K4324" s="8"/>
      <c r="L4324" s="8"/>
      <c r="M4324" s="8">
        <v>2.2400000000000002</v>
      </c>
      <c r="N4324" s="8"/>
      <c r="O4324" s="8"/>
      <c r="P4324" s="8"/>
      <c r="Q4324" s="11"/>
      <c r="R4324" s="11"/>
      <c r="S4324" s="8">
        <v>1.67</v>
      </c>
      <c r="T4324" s="8"/>
      <c r="U4324" s="8">
        <v>10.02</v>
      </c>
      <c r="V4324" s="8"/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>
        <v>11.13</v>
      </c>
      <c r="AH4324" s="8"/>
      <c r="AI4324" s="8"/>
      <c r="AJ4324" s="8"/>
      <c r="AK4324" s="8"/>
      <c r="AL4324" s="8"/>
      <c r="AM4324" s="8"/>
      <c r="AN4324" s="8"/>
      <c r="AO4324" s="8"/>
      <c r="AP4324" s="11"/>
      <c r="AQ4324" s="8"/>
      <c r="AR4324" s="8"/>
      <c r="AS4324" s="8"/>
      <c r="AT4324" s="8">
        <v>296.72000000000003</v>
      </c>
      <c r="AU4324" s="8">
        <v>148.1</v>
      </c>
      <c r="AV4324" s="8"/>
      <c r="AW4324" s="8"/>
      <c r="AX4324" s="8"/>
      <c r="AY4324" s="8"/>
      <c r="AZ4324" s="8"/>
      <c r="BA4324" s="8"/>
      <c r="BB4324" s="8"/>
      <c r="BC4324" s="8"/>
      <c r="BD4324" s="8"/>
      <c r="BE4324" s="8"/>
      <c r="BF4324" s="8"/>
      <c r="BG4324" s="8">
        <v>31.04</v>
      </c>
      <c r="BH4324" s="9">
        <f t="shared" si="603"/>
        <v>1111.02</v>
      </c>
      <c r="BI4324" s="9">
        <f t="shared" si="604"/>
        <v>2.2400000000000002</v>
      </c>
      <c r="BJ4324" s="9">
        <f t="shared" si="605"/>
        <v>1.67</v>
      </c>
      <c r="BK4324" s="9">
        <f t="shared" si="606"/>
        <v>10.02</v>
      </c>
      <c r="BL4324" s="9">
        <f t="shared" si="607"/>
        <v>0</v>
      </c>
      <c r="BM4324" s="9">
        <f t="shared" si="608"/>
        <v>11.13</v>
      </c>
      <c r="BN4324" s="9">
        <f t="shared" si="609"/>
        <v>444.82000000000005</v>
      </c>
      <c r="BO4324" s="9">
        <f t="shared" si="610"/>
        <v>0</v>
      </c>
      <c r="BP4324" s="9">
        <f t="shared" si="611"/>
        <v>0</v>
      </c>
    </row>
    <row r="4325" spans="1:68">
      <c r="A4325" s="6">
        <v>45356</v>
      </c>
      <c r="B4325" s="7">
        <v>3145</v>
      </c>
      <c r="C4325" s="8">
        <v>759.61</v>
      </c>
      <c r="D4325" s="8">
        <v>134.16999999999999</v>
      </c>
      <c r="E4325" s="8"/>
      <c r="F4325" s="8"/>
      <c r="G4325" s="8"/>
      <c r="H4325" s="8"/>
      <c r="I4325" s="8"/>
      <c r="J4325" s="8"/>
      <c r="K4325" s="8"/>
      <c r="L4325" s="8"/>
      <c r="M4325" s="8">
        <v>2.75</v>
      </c>
      <c r="N4325" s="8"/>
      <c r="O4325" s="8"/>
      <c r="P4325" s="8"/>
      <c r="Q4325" s="11"/>
      <c r="R4325" s="11"/>
      <c r="S4325" s="8">
        <v>4.21</v>
      </c>
      <c r="T4325" s="8"/>
      <c r="U4325" s="8">
        <v>13.44</v>
      </c>
      <c r="V4325" s="8"/>
      <c r="W4325" s="8"/>
      <c r="X4325" s="8"/>
      <c r="Y4325" s="8"/>
      <c r="Z4325" s="8"/>
      <c r="AA4325" s="8"/>
      <c r="AB4325" s="8"/>
      <c r="AC4325" s="8">
        <v>3.58</v>
      </c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11"/>
      <c r="AQ4325" s="8"/>
      <c r="AR4325" s="8"/>
      <c r="AS4325" s="8"/>
      <c r="AT4325" s="8">
        <v>594.47</v>
      </c>
      <c r="AU4325" s="8"/>
      <c r="AV4325" s="8"/>
      <c r="AW4325" s="8"/>
      <c r="AX4325" s="8"/>
      <c r="AY4325" s="8"/>
      <c r="AZ4325" s="8"/>
      <c r="BA4325" s="8"/>
      <c r="BB4325" s="8"/>
      <c r="BC4325" s="8"/>
      <c r="BD4325" s="8">
        <v>2.2400000000000002</v>
      </c>
      <c r="BE4325" s="8">
        <f>1359*5.97/1000</f>
        <v>8.1132299999999997</v>
      </c>
      <c r="BF4325" s="8">
        <v>62.78</v>
      </c>
      <c r="BG4325" s="8">
        <v>46.65</v>
      </c>
      <c r="BH4325" s="9">
        <f t="shared" si="603"/>
        <v>893.78</v>
      </c>
      <c r="BI4325" s="9">
        <f t="shared" si="604"/>
        <v>2.75</v>
      </c>
      <c r="BJ4325" s="9">
        <f t="shared" si="605"/>
        <v>4.21</v>
      </c>
      <c r="BK4325" s="9">
        <f t="shared" si="606"/>
        <v>13.44</v>
      </c>
      <c r="BL4325" s="9">
        <f t="shared" si="607"/>
        <v>0</v>
      </c>
      <c r="BM4325" s="9">
        <f t="shared" si="608"/>
        <v>3.58</v>
      </c>
      <c r="BN4325" s="9">
        <f t="shared" si="609"/>
        <v>594.47</v>
      </c>
      <c r="BO4325" s="9">
        <f t="shared" si="610"/>
        <v>10.35323</v>
      </c>
      <c r="BP4325" s="9">
        <f t="shared" si="611"/>
        <v>62.78</v>
      </c>
    </row>
    <row r="4326" spans="1:68">
      <c r="A4326" s="6">
        <v>45356</v>
      </c>
      <c r="B4326" s="7">
        <v>3141</v>
      </c>
      <c r="C4326" s="8">
        <v>2385.09</v>
      </c>
      <c r="D4326" s="8">
        <v>420.91</v>
      </c>
      <c r="E4326" s="8"/>
      <c r="F4326" s="8"/>
      <c r="G4326" s="8"/>
      <c r="H4326" s="8"/>
      <c r="I4326" s="8"/>
      <c r="J4326" s="8"/>
      <c r="K4326" s="8"/>
      <c r="L4326" s="8"/>
      <c r="M4326" s="8">
        <v>8.32</v>
      </c>
      <c r="N4326" s="8"/>
      <c r="O4326" s="8"/>
      <c r="P4326" s="8"/>
      <c r="Q4326" s="11"/>
      <c r="R4326" s="11"/>
      <c r="S4326" s="8">
        <v>13.2</v>
      </c>
      <c r="T4326" s="8"/>
      <c r="U4326" s="8">
        <v>42.11</v>
      </c>
      <c r="V4326" s="8"/>
      <c r="W4326" s="8"/>
      <c r="X4326" s="8"/>
      <c r="Y4326" s="8"/>
      <c r="Z4326" s="8"/>
      <c r="AA4326" s="8"/>
      <c r="AB4326" s="8"/>
      <c r="AC4326" s="8">
        <v>11.23</v>
      </c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11"/>
      <c r="AQ4326" s="8"/>
      <c r="AR4326" s="8"/>
      <c r="AS4326" s="8"/>
      <c r="AT4326" s="8">
        <v>1837.45</v>
      </c>
      <c r="AU4326" s="8"/>
      <c r="AV4326" s="8"/>
      <c r="AW4326" s="8"/>
      <c r="AX4326" s="8"/>
      <c r="AY4326" s="8"/>
      <c r="AZ4326" s="8"/>
      <c r="BA4326" s="8">
        <v>64.180000000000007</v>
      </c>
      <c r="BB4326" s="8"/>
      <c r="BC4326" s="8"/>
      <c r="BD4326" s="8"/>
      <c r="BE4326" s="8"/>
      <c r="BF4326" s="8"/>
      <c r="BG4326" s="8">
        <v>146.04</v>
      </c>
      <c r="BH4326" s="9">
        <f t="shared" si="603"/>
        <v>2806</v>
      </c>
      <c r="BI4326" s="9">
        <f t="shared" si="604"/>
        <v>8.32</v>
      </c>
      <c r="BJ4326" s="9">
        <f t="shared" si="605"/>
        <v>13.2</v>
      </c>
      <c r="BK4326" s="9">
        <f t="shared" si="606"/>
        <v>42.11</v>
      </c>
      <c r="BL4326" s="9">
        <f t="shared" si="607"/>
        <v>0</v>
      </c>
      <c r="BM4326" s="9">
        <f t="shared" si="608"/>
        <v>11.23</v>
      </c>
      <c r="BN4326" s="9">
        <f t="shared" si="609"/>
        <v>1837.45</v>
      </c>
      <c r="BO4326" s="9">
        <f t="shared" si="610"/>
        <v>64.180000000000007</v>
      </c>
      <c r="BP4326" s="9">
        <f t="shared" si="611"/>
        <v>0</v>
      </c>
    </row>
    <row r="4327" spans="1:68">
      <c r="A4327" s="6">
        <v>45356</v>
      </c>
      <c r="B4327" s="7">
        <v>3108</v>
      </c>
      <c r="C4327" s="8">
        <v>2251.25</v>
      </c>
      <c r="D4327" s="8"/>
      <c r="E4327" s="8"/>
      <c r="F4327" s="8"/>
      <c r="G4327" s="8"/>
      <c r="H4327" s="8"/>
      <c r="I4327" s="8"/>
      <c r="J4327" s="8"/>
      <c r="K4327" s="8"/>
      <c r="L4327" s="8"/>
      <c r="M4327" s="8">
        <v>5.63</v>
      </c>
      <c r="N4327" s="8"/>
      <c r="O4327" s="8"/>
      <c r="P4327" s="8"/>
      <c r="Q4327" s="11"/>
      <c r="R4327" s="11"/>
      <c r="S4327" s="8">
        <v>7.23</v>
      </c>
      <c r="T4327" s="8"/>
      <c r="U4327" s="8">
        <v>28.63</v>
      </c>
      <c r="V4327" s="8"/>
      <c r="W4327" s="8"/>
      <c r="X4327" s="8"/>
      <c r="Y4327" s="8"/>
      <c r="Z4327" s="8"/>
      <c r="AA4327" s="8"/>
      <c r="AB4327" s="8"/>
      <c r="AC4327" s="8">
        <v>9.01</v>
      </c>
      <c r="AD4327" s="8"/>
      <c r="AE4327" s="8"/>
      <c r="AF4327" s="8"/>
      <c r="AG4327" s="8"/>
      <c r="AH4327" s="8"/>
      <c r="AI4327" s="8"/>
      <c r="AJ4327" s="8"/>
      <c r="AK4327" s="8"/>
      <c r="AL4327" s="8"/>
      <c r="AM4327" s="8"/>
      <c r="AN4327" s="8"/>
      <c r="AO4327" s="8"/>
      <c r="AP4327" s="11"/>
      <c r="AQ4327" s="8"/>
      <c r="AR4327" s="8"/>
      <c r="AS4327" s="8"/>
      <c r="AT4327" s="8">
        <v>1226.07</v>
      </c>
      <c r="AU4327" s="8"/>
      <c r="AV4327" s="8"/>
      <c r="AW4327" s="8"/>
      <c r="AX4327" s="8"/>
      <c r="AY4327" s="8"/>
      <c r="AZ4327" s="8"/>
      <c r="BA4327" s="8">
        <v>83.81</v>
      </c>
      <c r="BB4327" s="8"/>
      <c r="BC4327" s="8"/>
      <c r="BD4327" s="8"/>
      <c r="BE4327" s="8"/>
      <c r="BF4327" s="8"/>
      <c r="BG4327" s="8">
        <v>91.34</v>
      </c>
      <c r="BH4327" s="9">
        <f t="shared" si="603"/>
        <v>2251.25</v>
      </c>
      <c r="BI4327" s="9">
        <f t="shared" si="604"/>
        <v>5.63</v>
      </c>
      <c r="BJ4327" s="9">
        <f t="shared" si="605"/>
        <v>7.23</v>
      </c>
      <c r="BK4327" s="9">
        <f t="shared" si="606"/>
        <v>28.63</v>
      </c>
      <c r="BL4327" s="9">
        <f t="shared" si="607"/>
        <v>0</v>
      </c>
      <c r="BM4327" s="9">
        <f t="shared" si="608"/>
        <v>9.01</v>
      </c>
      <c r="BN4327" s="9">
        <f t="shared" si="609"/>
        <v>1226.07</v>
      </c>
      <c r="BO4327" s="9">
        <f t="shared" si="610"/>
        <v>83.81</v>
      </c>
      <c r="BP4327" s="9">
        <f t="shared" si="611"/>
        <v>0</v>
      </c>
    </row>
    <row r="4328" spans="1:68">
      <c r="A4328" s="6">
        <v>45356</v>
      </c>
      <c r="B4328" s="7">
        <v>3106</v>
      </c>
      <c r="C4328" s="8">
        <v>4111.05</v>
      </c>
      <c r="D4328" s="8"/>
      <c r="E4328" s="8"/>
      <c r="F4328" s="8"/>
      <c r="G4328" s="8"/>
      <c r="H4328" s="8"/>
      <c r="I4328" s="8"/>
      <c r="J4328" s="8"/>
      <c r="K4328" s="8"/>
      <c r="L4328" s="8"/>
      <c r="M4328" s="8">
        <v>11.09</v>
      </c>
      <c r="N4328" s="8"/>
      <c r="O4328" s="8"/>
      <c r="P4328" s="8"/>
      <c r="Q4328" s="11"/>
      <c r="R4328" s="11"/>
      <c r="S4328" s="8">
        <v>12.36</v>
      </c>
      <c r="T4328" s="8"/>
      <c r="U4328" s="8">
        <v>52.22</v>
      </c>
      <c r="V4328" s="8"/>
      <c r="W4328" s="8"/>
      <c r="X4328" s="8"/>
      <c r="Y4328" s="8"/>
      <c r="Z4328" s="8"/>
      <c r="AA4328" s="8"/>
      <c r="AB4328" s="8"/>
      <c r="AC4328" s="8">
        <v>10.28</v>
      </c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11"/>
      <c r="AQ4328" s="8"/>
      <c r="AR4328" s="8"/>
      <c r="AS4328" s="8"/>
      <c r="AT4328" s="8">
        <v>2340.1</v>
      </c>
      <c r="AU4328" s="8"/>
      <c r="AV4328" s="8"/>
      <c r="AW4328" s="8"/>
      <c r="AX4328" s="8">
        <v>5.13</v>
      </c>
      <c r="AY4328" s="8"/>
      <c r="AZ4328" s="8"/>
      <c r="BA4328" s="8"/>
      <c r="BB4328" s="8"/>
      <c r="BC4328" s="8"/>
      <c r="BD4328" s="8"/>
      <c r="BE4328" s="8"/>
      <c r="BF4328" s="8"/>
      <c r="BG4328" s="8">
        <v>176.77</v>
      </c>
      <c r="BH4328" s="9">
        <f t="shared" si="603"/>
        <v>4111.05</v>
      </c>
      <c r="BI4328" s="9">
        <f t="shared" si="604"/>
        <v>11.09</v>
      </c>
      <c r="BJ4328" s="9">
        <f t="shared" si="605"/>
        <v>12.36</v>
      </c>
      <c r="BK4328" s="9">
        <f t="shared" si="606"/>
        <v>52.22</v>
      </c>
      <c r="BL4328" s="9">
        <f t="shared" si="607"/>
        <v>0</v>
      </c>
      <c r="BM4328" s="9">
        <f t="shared" si="608"/>
        <v>10.28</v>
      </c>
      <c r="BN4328" s="9">
        <f t="shared" si="609"/>
        <v>2340.1</v>
      </c>
      <c r="BO4328" s="9">
        <f t="shared" si="610"/>
        <v>5.13</v>
      </c>
      <c r="BP4328" s="9">
        <f t="shared" si="611"/>
        <v>0</v>
      </c>
    </row>
    <row r="4329" spans="1:68">
      <c r="A4329" s="6">
        <v>45356</v>
      </c>
      <c r="B4329" s="7">
        <v>3200</v>
      </c>
      <c r="C4329" s="8">
        <v>2251.64</v>
      </c>
      <c r="D4329" s="8"/>
      <c r="E4329" s="8"/>
      <c r="F4329" s="8"/>
      <c r="G4329" s="8"/>
      <c r="H4329" s="8"/>
      <c r="I4329" s="8"/>
      <c r="J4329" s="8"/>
      <c r="K4329" s="8"/>
      <c r="L4329" s="8"/>
      <c r="M4329" s="8"/>
      <c r="N4329" s="8"/>
      <c r="O4329" s="8">
        <v>5.63</v>
      </c>
      <c r="P4329" s="8"/>
      <c r="Q4329" s="11"/>
      <c r="R4329" s="11"/>
      <c r="S4329" s="8">
        <v>8.7799999999999994</v>
      </c>
      <c r="T4329" s="8"/>
      <c r="U4329" s="8">
        <v>33.79</v>
      </c>
      <c r="V4329" s="8"/>
      <c r="W4329" s="8"/>
      <c r="X4329" s="8"/>
      <c r="Y4329" s="8"/>
      <c r="Z4329" s="8">
        <v>473.15</v>
      </c>
      <c r="AA4329" s="8"/>
      <c r="AB4329" s="8"/>
      <c r="AC4329" s="8"/>
      <c r="AD4329" s="8"/>
      <c r="AE4329" s="8"/>
      <c r="AF4329" s="8">
        <v>112.4</v>
      </c>
      <c r="AG4329" s="8"/>
      <c r="AH4329" s="8"/>
      <c r="AI4329" s="8"/>
      <c r="AJ4329" s="8"/>
      <c r="AK4329" s="8"/>
      <c r="AL4329" s="8"/>
      <c r="AM4329" s="8"/>
      <c r="AN4329" s="8"/>
      <c r="AO4329" s="8"/>
      <c r="AP4329" s="11"/>
      <c r="AQ4329" s="8">
        <f>1509*22.52/1000</f>
        <v>33.982680000000002</v>
      </c>
      <c r="AR4329" s="8"/>
      <c r="AS4329" s="8"/>
      <c r="AT4329" s="8">
        <v>1542.52</v>
      </c>
      <c r="AU4329" s="8"/>
      <c r="AV4329" s="8"/>
      <c r="AW4329" s="8">
        <v>6.48</v>
      </c>
      <c r="AX4329" s="8"/>
      <c r="AY4329" s="8"/>
      <c r="AZ4329" s="8"/>
      <c r="BA4329" s="8"/>
      <c r="BB4329" s="8"/>
      <c r="BC4329" s="8"/>
      <c r="BD4329" s="8"/>
      <c r="BE4329" s="8"/>
      <c r="BF4329" s="8">
        <v>108.1</v>
      </c>
      <c r="BG4329" s="8">
        <v>111.77</v>
      </c>
      <c r="BH4329" s="9">
        <f t="shared" si="603"/>
        <v>2251.64</v>
      </c>
      <c r="BI4329" s="9">
        <f t="shared" si="604"/>
        <v>5.63</v>
      </c>
      <c r="BJ4329" s="9">
        <f t="shared" si="605"/>
        <v>8.7799999999999994</v>
      </c>
      <c r="BK4329" s="9">
        <f t="shared" si="606"/>
        <v>33.79</v>
      </c>
      <c r="BL4329" s="9">
        <f t="shared" si="607"/>
        <v>473.15</v>
      </c>
      <c r="BM4329" s="9">
        <f t="shared" si="608"/>
        <v>146.38267999999999</v>
      </c>
      <c r="BN4329" s="9">
        <f t="shared" si="609"/>
        <v>1542.52</v>
      </c>
      <c r="BO4329" s="9">
        <f t="shared" si="610"/>
        <v>6.48</v>
      </c>
      <c r="BP4329" s="9">
        <f t="shared" si="611"/>
        <v>108.1</v>
      </c>
    </row>
    <row r="4330" spans="1:68">
      <c r="A4330" s="6">
        <v>45356</v>
      </c>
      <c r="B4330" s="7">
        <v>3100</v>
      </c>
      <c r="C4330" s="8">
        <v>694.12</v>
      </c>
      <c r="D4330" s="8"/>
      <c r="E4330" s="8"/>
      <c r="F4330" s="8"/>
      <c r="G4330" s="8"/>
      <c r="H4330" s="8"/>
      <c r="I4330" s="8"/>
      <c r="J4330" s="8"/>
      <c r="K4330" s="8"/>
      <c r="L4330" s="8"/>
      <c r="M4330" s="8">
        <v>1.71</v>
      </c>
      <c r="N4330" s="8"/>
      <c r="O4330" s="8"/>
      <c r="P4330" s="8"/>
      <c r="Q4330" s="11"/>
      <c r="R4330" s="11"/>
      <c r="S4330" s="8">
        <v>3.96</v>
      </c>
      <c r="T4330" s="8"/>
      <c r="U4330" s="8">
        <v>11.12</v>
      </c>
      <c r="V4330" s="8"/>
      <c r="W4330" s="8"/>
      <c r="X4330" s="8"/>
      <c r="Y4330" s="8"/>
      <c r="Z4330" s="8"/>
      <c r="AA4330" s="8"/>
      <c r="AB4330" s="8"/>
      <c r="AC4330" s="8">
        <v>2.78</v>
      </c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11"/>
      <c r="AQ4330" s="8"/>
      <c r="AR4330" s="8"/>
      <c r="AS4330" s="8"/>
      <c r="AT4330" s="8">
        <v>468.02</v>
      </c>
      <c r="AU4330" s="8"/>
      <c r="AV4330" s="8"/>
      <c r="AW4330" s="8"/>
      <c r="AX4330" s="8"/>
      <c r="AY4330" s="8"/>
      <c r="AZ4330" s="8"/>
      <c r="BA4330" s="8"/>
      <c r="BB4330" s="8"/>
      <c r="BC4330" s="8"/>
      <c r="BD4330" s="8"/>
      <c r="BE4330" s="8"/>
      <c r="BF4330" s="8">
        <v>90.36</v>
      </c>
      <c r="BG4330" s="8">
        <v>35.729999999999997</v>
      </c>
      <c r="BH4330" s="9">
        <f t="shared" si="603"/>
        <v>694.12</v>
      </c>
      <c r="BI4330" s="9">
        <f t="shared" si="604"/>
        <v>1.71</v>
      </c>
      <c r="BJ4330" s="9">
        <f t="shared" si="605"/>
        <v>3.96</v>
      </c>
      <c r="BK4330" s="9">
        <f t="shared" si="606"/>
        <v>11.12</v>
      </c>
      <c r="BL4330" s="9">
        <f t="shared" si="607"/>
        <v>0</v>
      </c>
      <c r="BM4330" s="9">
        <f t="shared" si="608"/>
        <v>2.78</v>
      </c>
      <c r="BN4330" s="9">
        <f t="shared" si="609"/>
        <v>468.02</v>
      </c>
      <c r="BO4330" s="9">
        <f t="shared" si="610"/>
        <v>0</v>
      </c>
      <c r="BP4330" s="9">
        <f t="shared" si="611"/>
        <v>90.36</v>
      </c>
    </row>
    <row r="4331" spans="1:68">
      <c r="A4331" s="6">
        <v>45357</v>
      </c>
      <c r="B4331" s="7">
        <v>3110</v>
      </c>
      <c r="C4331" s="8">
        <v>1281.22</v>
      </c>
      <c r="D4331" s="8"/>
      <c r="E4331" s="8"/>
      <c r="F4331" s="8"/>
      <c r="G4331" s="8"/>
      <c r="H4331" s="8"/>
      <c r="I4331" s="8"/>
      <c r="J4331" s="8"/>
      <c r="K4331" s="8"/>
      <c r="L4331" s="8"/>
      <c r="M4331" s="8">
        <v>2.8</v>
      </c>
      <c r="N4331" s="8"/>
      <c r="O4331" s="8"/>
      <c r="P4331" s="8"/>
      <c r="Q4331" s="11"/>
      <c r="R4331" s="11"/>
      <c r="S4331" s="8">
        <v>4.3600000000000003</v>
      </c>
      <c r="T4331" s="8"/>
      <c r="U4331" s="8">
        <v>12.81</v>
      </c>
      <c r="V4331" s="8"/>
      <c r="W4331" s="8"/>
      <c r="X4331" s="8"/>
      <c r="Y4331" s="8"/>
      <c r="Z4331" s="8"/>
      <c r="AA4331" s="8"/>
      <c r="AB4331" s="8"/>
      <c r="AC4331" s="8">
        <v>5.12</v>
      </c>
      <c r="AD4331" s="8"/>
      <c r="AE4331" s="8"/>
      <c r="AF4331" s="8"/>
      <c r="AG4331" s="8"/>
      <c r="AH4331" s="8"/>
      <c r="AI4331" s="8"/>
      <c r="AJ4331" s="8"/>
      <c r="AK4331" s="8"/>
      <c r="AL4331" s="8"/>
      <c r="AM4331" s="8"/>
      <c r="AN4331" s="8"/>
      <c r="AO4331" s="8"/>
      <c r="AP4331" s="11"/>
      <c r="AQ4331" s="8"/>
      <c r="AR4331" s="8"/>
      <c r="AS4331" s="8"/>
      <c r="AT4331" s="8">
        <v>668.5</v>
      </c>
      <c r="AU4331" s="8"/>
      <c r="AV4331" s="8">
        <v>21.81</v>
      </c>
      <c r="AW4331" s="8"/>
      <c r="AX4331" s="8"/>
      <c r="AY4331" s="8"/>
      <c r="AZ4331" s="8"/>
      <c r="BA4331" s="8"/>
      <c r="BB4331" s="8"/>
      <c r="BC4331" s="8"/>
      <c r="BD4331" s="8"/>
      <c r="BE4331" s="8"/>
      <c r="BF4331" s="8"/>
      <c r="BG4331" s="8">
        <v>49.4</v>
      </c>
      <c r="BH4331" s="9">
        <f t="shared" si="603"/>
        <v>1281.22</v>
      </c>
      <c r="BI4331" s="9">
        <f t="shared" si="604"/>
        <v>2.8</v>
      </c>
      <c r="BJ4331" s="9">
        <f t="shared" si="605"/>
        <v>4.3600000000000003</v>
      </c>
      <c r="BK4331" s="9">
        <f t="shared" si="606"/>
        <v>12.81</v>
      </c>
      <c r="BL4331" s="9">
        <f t="shared" si="607"/>
        <v>0</v>
      </c>
      <c r="BM4331" s="9">
        <f t="shared" si="608"/>
        <v>5.12</v>
      </c>
      <c r="BN4331" s="9">
        <f t="shared" si="609"/>
        <v>668.5</v>
      </c>
      <c r="BO4331" s="9">
        <f t="shared" si="610"/>
        <v>21.81</v>
      </c>
      <c r="BP4331" s="9">
        <f t="shared" si="611"/>
        <v>0</v>
      </c>
    </row>
    <row r="4332" spans="1:68">
      <c r="A4332" s="6">
        <v>45357</v>
      </c>
      <c r="B4332" s="7">
        <v>3105</v>
      </c>
      <c r="C4332" s="8">
        <v>792.91</v>
      </c>
      <c r="D4332" s="8"/>
      <c r="E4332" s="8"/>
      <c r="F4332" s="8"/>
      <c r="G4332" s="8"/>
      <c r="H4332" s="8"/>
      <c r="I4332" s="8"/>
      <c r="J4332" s="8"/>
      <c r="K4332" s="8"/>
      <c r="L4332" s="8"/>
      <c r="M4332" s="8">
        <v>1.98</v>
      </c>
      <c r="N4332" s="8"/>
      <c r="O4332" s="8"/>
      <c r="P4332" s="8"/>
      <c r="Q4332" s="11"/>
      <c r="R4332" s="11"/>
      <c r="S4332" s="8">
        <v>2.54</v>
      </c>
      <c r="T4332" s="8"/>
      <c r="U4332" s="8">
        <v>10.07</v>
      </c>
      <c r="V4332" s="8"/>
      <c r="W4332" s="8"/>
      <c r="X4332" s="8"/>
      <c r="Y4332" s="8"/>
      <c r="Z4332" s="8"/>
      <c r="AA4332" s="8"/>
      <c r="AB4332" s="8"/>
      <c r="AC4332" s="8">
        <v>3.17</v>
      </c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11"/>
      <c r="AQ4332" s="8"/>
      <c r="AR4332" s="8"/>
      <c r="AS4332" s="8"/>
      <c r="AT4332" s="8">
        <v>453</v>
      </c>
      <c r="AU4332" s="8"/>
      <c r="AV4332" s="8">
        <v>2.77</v>
      </c>
      <c r="AW4332" s="8"/>
      <c r="AX4332" s="8"/>
      <c r="AY4332" s="8"/>
      <c r="AZ4332" s="8"/>
      <c r="BA4332" s="8"/>
      <c r="BB4332" s="8"/>
      <c r="BC4332" s="8"/>
      <c r="BD4332" s="8"/>
      <c r="BE4332" s="8"/>
      <c r="BF4332" s="8"/>
      <c r="BG4332" s="8">
        <v>34.1</v>
      </c>
      <c r="BH4332" s="9">
        <f t="shared" si="603"/>
        <v>792.91</v>
      </c>
      <c r="BI4332" s="9">
        <f t="shared" si="604"/>
        <v>1.98</v>
      </c>
      <c r="BJ4332" s="9">
        <f t="shared" si="605"/>
        <v>2.54</v>
      </c>
      <c r="BK4332" s="9">
        <f t="shared" si="606"/>
        <v>10.07</v>
      </c>
      <c r="BL4332" s="9">
        <f t="shared" si="607"/>
        <v>0</v>
      </c>
      <c r="BM4332" s="9">
        <f t="shared" si="608"/>
        <v>3.17</v>
      </c>
      <c r="BN4332" s="9">
        <f t="shared" si="609"/>
        <v>453</v>
      </c>
      <c r="BO4332" s="9">
        <f t="shared" si="610"/>
        <v>2.77</v>
      </c>
      <c r="BP4332" s="9">
        <f t="shared" si="611"/>
        <v>0</v>
      </c>
    </row>
    <row r="4333" spans="1:68">
      <c r="A4333" s="6">
        <v>45357</v>
      </c>
      <c r="B4333" s="7">
        <v>3079</v>
      </c>
      <c r="C4333" s="8"/>
      <c r="D4333" s="8"/>
      <c r="E4333" s="8"/>
      <c r="F4333" s="8">
        <v>336.28</v>
      </c>
      <c r="G4333" s="8"/>
      <c r="H4333" s="8"/>
      <c r="I4333" s="8">
        <v>2719.08</v>
      </c>
      <c r="J4333" s="8"/>
      <c r="K4333" s="8"/>
      <c r="L4333" s="8"/>
      <c r="M4333" s="8"/>
      <c r="N4333" s="8">
        <v>22.33</v>
      </c>
      <c r="O4333" s="8"/>
      <c r="P4333" s="8"/>
      <c r="Q4333" s="11"/>
      <c r="R4333" s="11"/>
      <c r="S4333" s="8">
        <v>1.22</v>
      </c>
      <c r="T4333" s="8"/>
      <c r="U4333" s="8"/>
      <c r="V4333" s="8"/>
      <c r="W4333" s="8">
        <v>30.59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>
        <v>12.14</v>
      </c>
      <c r="AN4333" s="8">
        <f>1709*17.97/1000</f>
        <v>30.710729999999998</v>
      </c>
      <c r="AO4333" s="8"/>
      <c r="AP4333" s="11"/>
      <c r="AQ4333" s="8"/>
      <c r="AR4333" s="8">
        <f>4315*17.97/1000</f>
        <v>77.540549999999982</v>
      </c>
      <c r="AS4333" s="8"/>
      <c r="AT4333" s="8">
        <v>1178.27</v>
      </c>
      <c r="AU4333" s="8"/>
      <c r="AV4333" s="8"/>
      <c r="AW4333" s="8"/>
      <c r="AX4333" s="8"/>
      <c r="AY4333" s="8"/>
      <c r="AZ4333" s="8"/>
      <c r="BA4333" s="8"/>
      <c r="BB4333" s="8"/>
      <c r="BC4333" s="8"/>
      <c r="BD4333" s="8"/>
      <c r="BE4333" s="8"/>
      <c r="BF4333" s="8"/>
      <c r="BG4333" s="8">
        <v>85.48</v>
      </c>
      <c r="BH4333" s="9">
        <f t="shared" si="603"/>
        <v>3055.3599999999997</v>
      </c>
      <c r="BI4333" s="9">
        <f t="shared" si="604"/>
        <v>22.33</v>
      </c>
      <c r="BJ4333" s="9">
        <f t="shared" si="605"/>
        <v>1.22</v>
      </c>
      <c r="BK4333" s="9">
        <f t="shared" si="606"/>
        <v>30.59</v>
      </c>
      <c r="BL4333" s="9">
        <f t="shared" si="607"/>
        <v>0</v>
      </c>
      <c r="BM4333" s="9">
        <f t="shared" si="608"/>
        <v>120.39127999999998</v>
      </c>
      <c r="BN4333" s="9">
        <f t="shared" si="609"/>
        <v>1178.27</v>
      </c>
      <c r="BO4333" s="9">
        <f t="shared" si="610"/>
        <v>0</v>
      </c>
      <c r="BP4333" s="9">
        <f t="shared" si="611"/>
        <v>0</v>
      </c>
    </row>
    <row r="4334" spans="1:68">
      <c r="A4334" s="6">
        <v>45357</v>
      </c>
      <c r="B4334" s="7">
        <v>3204</v>
      </c>
      <c r="C4334" s="8"/>
      <c r="D4334" s="8">
        <v>1750.3</v>
      </c>
      <c r="E4334" s="8">
        <v>750.65</v>
      </c>
      <c r="F4334" s="8"/>
      <c r="G4334" s="8"/>
      <c r="H4334" s="8"/>
      <c r="I4334" s="8"/>
      <c r="J4334" s="8"/>
      <c r="K4334" s="8"/>
      <c r="L4334" s="8"/>
      <c r="M4334" s="8"/>
      <c r="N4334" s="8"/>
      <c r="O4334" s="8">
        <v>12.51</v>
      </c>
      <c r="P4334" s="8"/>
      <c r="Q4334" s="11"/>
      <c r="R4334" s="11"/>
      <c r="S4334" s="8">
        <v>8.5</v>
      </c>
      <c r="T4334" s="8"/>
      <c r="U4334" s="8">
        <v>27.54</v>
      </c>
      <c r="V4334" s="8"/>
      <c r="W4334" s="8"/>
      <c r="X4334" s="8"/>
      <c r="Y4334" s="8"/>
      <c r="Z4334" s="8">
        <v>375.52</v>
      </c>
      <c r="AA4334" s="8"/>
      <c r="AB4334" s="8">
        <f>718*17.87/1000</f>
        <v>12.83066</v>
      </c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11"/>
      <c r="AQ4334" s="8"/>
      <c r="AR4334" s="8"/>
      <c r="AS4334" s="8"/>
      <c r="AT4334" s="8">
        <v>1100.8800000000001</v>
      </c>
      <c r="AU4334" s="8"/>
      <c r="AV4334" s="8"/>
      <c r="AW4334" s="8">
        <v>8</v>
      </c>
      <c r="AX4334" s="8"/>
      <c r="AY4334" s="8"/>
      <c r="AZ4334" s="8"/>
      <c r="BA4334" s="8"/>
      <c r="BB4334" s="8"/>
      <c r="BC4334" s="8"/>
      <c r="BD4334" s="8"/>
      <c r="BE4334" s="8"/>
      <c r="BF4334" s="8"/>
      <c r="BG4334" s="8">
        <v>81.34</v>
      </c>
      <c r="BH4334" s="9">
        <f t="shared" si="603"/>
        <v>2500.9499999999998</v>
      </c>
      <c r="BI4334" s="9">
        <f t="shared" si="604"/>
        <v>12.51</v>
      </c>
      <c r="BJ4334" s="9">
        <f t="shared" si="605"/>
        <v>8.5</v>
      </c>
      <c r="BK4334" s="9">
        <f t="shared" si="606"/>
        <v>27.54</v>
      </c>
      <c r="BL4334" s="9">
        <f t="shared" si="607"/>
        <v>375.52</v>
      </c>
      <c r="BM4334" s="9">
        <f t="shared" si="608"/>
        <v>12.83066</v>
      </c>
      <c r="BN4334" s="9">
        <f t="shared" si="609"/>
        <v>1100.8800000000001</v>
      </c>
      <c r="BO4334" s="9">
        <f t="shared" si="610"/>
        <v>8</v>
      </c>
      <c r="BP4334" s="9">
        <f t="shared" si="611"/>
        <v>0</v>
      </c>
    </row>
    <row r="4335" spans="1:68">
      <c r="A4335" s="6">
        <v>45357</v>
      </c>
      <c r="B4335" s="7">
        <v>3704</v>
      </c>
      <c r="C4335" s="8">
        <v>638.47</v>
      </c>
      <c r="D4335" s="8">
        <v>958.31</v>
      </c>
      <c r="E4335" s="8"/>
      <c r="F4335" s="8"/>
      <c r="G4335" s="8"/>
      <c r="H4335" s="8"/>
      <c r="I4335" s="8"/>
      <c r="J4335" s="8"/>
      <c r="K4335" s="8"/>
      <c r="L4335" s="8"/>
      <c r="M4335" s="8">
        <v>4.79</v>
      </c>
      <c r="N4335" s="8"/>
      <c r="O4335" s="8"/>
      <c r="P4335" s="8"/>
      <c r="Q4335" s="11"/>
      <c r="R4335" s="11"/>
      <c r="S4335" s="8">
        <v>5.58</v>
      </c>
      <c r="T4335" s="8"/>
      <c r="U4335" s="8">
        <v>11.98</v>
      </c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/>
      <c r="AM4335" s="8">
        <v>19.11</v>
      </c>
      <c r="AN4335" s="8"/>
      <c r="AO4335" s="8"/>
      <c r="AP4335" s="11"/>
      <c r="AQ4335" s="8"/>
      <c r="AR4335" s="8"/>
      <c r="AS4335" s="8"/>
      <c r="AT4335" s="8">
        <v>277.29000000000002</v>
      </c>
      <c r="AU4335" s="8">
        <v>138.68</v>
      </c>
      <c r="AV4335" s="8"/>
      <c r="AW4335" s="8"/>
      <c r="AX4335" s="8"/>
      <c r="AY4335" s="8"/>
      <c r="AZ4335" s="8"/>
      <c r="BA4335" s="8"/>
      <c r="BB4335" s="8"/>
      <c r="BC4335" s="8"/>
      <c r="BD4335" s="8"/>
      <c r="BE4335" s="8"/>
      <c r="BF4335" s="8"/>
      <c r="BG4335" s="8">
        <v>25.46</v>
      </c>
      <c r="BH4335" s="9">
        <f t="shared" si="603"/>
        <v>1596.78</v>
      </c>
      <c r="BI4335" s="9">
        <f t="shared" si="604"/>
        <v>4.79</v>
      </c>
      <c r="BJ4335" s="9">
        <f t="shared" si="605"/>
        <v>5.58</v>
      </c>
      <c r="BK4335" s="9">
        <f t="shared" si="606"/>
        <v>11.98</v>
      </c>
      <c r="BL4335" s="9">
        <f t="shared" si="607"/>
        <v>0</v>
      </c>
      <c r="BM4335" s="9">
        <f t="shared" si="608"/>
        <v>19.11</v>
      </c>
      <c r="BN4335" s="9">
        <f t="shared" si="609"/>
        <v>415.97</v>
      </c>
      <c r="BO4335" s="9">
        <f t="shared" si="610"/>
        <v>0</v>
      </c>
      <c r="BP4335" s="9">
        <f t="shared" si="611"/>
        <v>0</v>
      </c>
    </row>
    <row r="4336" spans="1:68">
      <c r="A4336" s="6">
        <v>45357</v>
      </c>
      <c r="B4336" s="7">
        <v>3155</v>
      </c>
      <c r="C4336" s="8">
        <v>410.46</v>
      </c>
      <c r="D4336" s="8">
        <v>410.84</v>
      </c>
      <c r="E4336" s="8"/>
      <c r="F4336" s="8"/>
      <c r="G4336" s="8"/>
      <c r="H4336" s="8"/>
      <c r="I4336" s="8"/>
      <c r="J4336" s="8"/>
      <c r="K4336" s="8"/>
      <c r="L4336" s="8"/>
      <c r="M4336" s="8">
        <v>2.39</v>
      </c>
      <c r="N4336" s="8"/>
      <c r="O4336" s="8"/>
      <c r="P4336" s="8"/>
      <c r="Q4336" s="11"/>
      <c r="R4336" s="11"/>
      <c r="S4336" s="8">
        <v>4.1100000000000003</v>
      </c>
      <c r="T4336" s="8"/>
      <c r="U4336" s="8">
        <v>13.15</v>
      </c>
      <c r="V4336" s="8"/>
      <c r="W4336" s="8"/>
      <c r="X4336" s="8"/>
      <c r="Y4336" s="8"/>
      <c r="Z4336" s="8"/>
      <c r="AA4336" s="8"/>
      <c r="AB4336" s="8"/>
      <c r="AC4336" s="8">
        <v>3.29</v>
      </c>
      <c r="AD4336" s="8"/>
      <c r="AE4336" s="8"/>
      <c r="AF4336" s="8"/>
      <c r="AG4336" s="8">
        <v>4.12</v>
      </c>
      <c r="AH4336" s="8"/>
      <c r="AI4336" s="8"/>
      <c r="AJ4336" s="8"/>
      <c r="AK4336" s="8"/>
      <c r="AL4336" s="8"/>
      <c r="AM4336" s="8"/>
      <c r="AN4336" s="8"/>
      <c r="AO4336" s="8"/>
      <c r="AP4336" s="11"/>
      <c r="AQ4336" s="8"/>
      <c r="AR4336" s="8"/>
      <c r="AS4336" s="8"/>
      <c r="AT4336" s="8">
        <v>528.24</v>
      </c>
      <c r="AU4336" s="8"/>
      <c r="AV4336" s="8"/>
      <c r="AW4336" s="8"/>
      <c r="AX4336" s="8"/>
      <c r="AY4336" s="8"/>
      <c r="AZ4336" s="8"/>
      <c r="BA4336" s="8"/>
      <c r="BB4336" s="8"/>
      <c r="BC4336" s="8"/>
      <c r="BD4336" s="8"/>
      <c r="BE4336" s="8"/>
      <c r="BF4336" s="8">
        <v>106.89</v>
      </c>
      <c r="BG4336" s="8">
        <v>42.88</v>
      </c>
      <c r="BH4336" s="9">
        <f t="shared" si="603"/>
        <v>821.3</v>
      </c>
      <c r="BI4336" s="9">
        <f t="shared" si="604"/>
        <v>2.39</v>
      </c>
      <c r="BJ4336" s="9">
        <f t="shared" si="605"/>
        <v>4.1100000000000003</v>
      </c>
      <c r="BK4336" s="9">
        <f t="shared" si="606"/>
        <v>13.15</v>
      </c>
      <c r="BL4336" s="9">
        <f t="shared" si="607"/>
        <v>0</v>
      </c>
      <c r="BM4336" s="9">
        <f t="shared" si="608"/>
        <v>7.41</v>
      </c>
      <c r="BN4336" s="9">
        <f t="shared" si="609"/>
        <v>528.24</v>
      </c>
      <c r="BO4336" s="9">
        <f t="shared" si="610"/>
        <v>0</v>
      </c>
      <c r="BP4336" s="9">
        <f t="shared" si="611"/>
        <v>106.89</v>
      </c>
    </row>
    <row r="4337" spans="1:68">
      <c r="A4337" s="6">
        <v>45358</v>
      </c>
      <c r="B4337" s="7">
        <v>3701</v>
      </c>
      <c r="C4337" s="8"/>
      <c r="D4337" s="8"/>
      <c r="E4337" s="8"/>
      <c r="F4337" s="8"/>
      <c r="G4337" s="8"/>
      <c r="H4337" s="8"/>
      <c r="I4337" s="8">
        <v>634.85</v>
      </c>
      <c r="J4337" s="8">
        <f>51240*20.1/1000</f>
        <v>1029.9240000000002</v>
      </c>
      <c r="K4337" s="8"/>
      <c r="L4337" s="8"/>
      <c r="M4337" s="8"/>
      <c r="N4337" s="8">
        <v>4.7300000000000004</v>
      </c>
      <c r="O4337" s="8"/>
      <c r="P4337" s="8"/>
      <c r="Q4337" s="11"/>
      <c r="R4337" s="11"/>
      <c r="S4337" s="8">
        <v>5.12</v>
      </c>
      <c r="T4337" s="8"/>
      <c r="U4337" s="8">
        <v>10.25</v>
      </c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>
        <v>34.24</v>
      </c>
      <c r="AH4337" s="8"/>
      <c r="AI4337" s="8"/>
      <c r="AJ4337" s="8">
        <f>2579*20.1/1000</f>
        <v>51.837900000000005</v>
      </c>
      <c r="AK4337" s="8"/>
      <c r="AL4337" s="8"/>
      <c r="AM4337" s="8"/>
      <c r="AN4337" s="8"/>
      <c r="AO4337" s="8"/>
      <c r="AP4337" s="11"/>
      <c r="AQ4337" s="8"/>
      <c r="AR4337" s="8"/>
      <c r="AS4337" s="8"/>
      <c r="AT4337" s="8"/>
      <c r="AU4337" s="8">
        <v>603.83000000000004</v>
      </c>
      <c r="AV4337" s="8"/>
      <c r="AW4337" s="8"/>
      <c r="AX4337" s="8"/>
      <c r="AY4337" s="8"/>
      <c r="AZ4337" s="8"/>
      <c r="BA4337" s="8"/>
      <c r="BB4337" s="8"/>
      <c r="BC4337" s="8"/>
      <c r="BD4337" s="8"/>
      <c r="BE4337" s="8"/>
      <c r="BF4337" s="8"/>
      <c r="BG4337" s="8">
        <v>41.15</v>
      </c>
      <c r="BH4337" s="9">
        <f t="shared" si="603"/>
        <v>1664.7740000000003</v>
      </c>
      <c r="BI4337" s="9">
        <f t="shared" si="604"/>
        <v>4.7300000000000004</v>
      </c>
      <c r="BJ4337" s="9">
        <f t="shared" si="605"/>
        <v>5.12</v>
      </c>
      <c r="BK4337" s="9">
        <f t="shared" si="606"/>
        <v>10.25</v>
      </c>
      <c r="BL4337" s="9">
        <f t="shared" si="607"/>
        <v>0</v>
      </c>
      <c r="BM4337" s="9">
        <f t="shared" si="608"/>
        <v>86.0779</v>
      </c>
      <c r="BN4337" s="9">
        <f t="shared" si="609"/>
        <v>603.83000000000004</v>
      </c>
      <c r="BO4337" s="9">
        <f t="shared" si="610"/>
        <v>0</v>
      </c>
      <c r="BP4337" s="9">
        <f t="shared" si="611"/>
        <v>0</v>
      </c>
    </row>
    <row r="4338" spans="1:68">
      <c r="A4338" s="6">
        <v>45358</v>
      </c>
      <c r="B4338" s="7">
        <v>3016</v>
      </c>
      <c r="C4338" s="8"/>
      <c r="D4338" s="8">
        <v>1571.87</v>
      </c>
      <c r="E4338" s="8"/>
      <c r="F4338" s="8"/>
      <c r="G4338" s="8"/>
      <c r="H4338" s="8"/>
      <c r="I4338" s="8">
        <v>1451.3</v>
      </c>
      <c r="J4338" s="8"/>
      <c r="K4338" s="8"/>
      <c r="L4338" s="8"/>
      <c r="M4338" s="8"/>
      <c r="N4338" s="8">
        <v>19.260000000000002</v>
      </c>
      <c r="O4338" s="8"/>
      <c r="P4338" s="8"/>
      <c r="Q4338" s="11"/>
      <c r="R4338" s="11"/>
      <c r="S4338" s="8">
        <v>2.12</v>
      </c>
      <c r="T4338" s="8"/>
      <c r="U4338" s="8"/>
      <c r="V4338" s="8"/>
      <c r="W4338" s="8">
        <v>30.24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>
        <v>12.07</v>
      </c>
      <c r="AN4338" s="8">
        <f>2053*17.78/1000</f>
        <v>36.502340000000004</v>
      </c>
      <c r="AO4338" s="8"/>
      <c r="AP4338" s="11"/>
      <c r="AQ4338" s="8"/>
      <c r="AR4338" s="8">
        <f>4266*17.78/1000</f>
        <v>75.849480000000014</v>
      </c>
      <c r="AS4338" s="8"/>
      <c r="AT4338" s="8">
        <v>1123.75</v>
      </c>
      <c r="AU4338" s="8"/>
      <c r="AV4338" s="8"/>
      <c r="AW4338" s="8"/>
      <c r="AX4338" s="8"/>
      <c r="AY4338" s="8"/>
      <c r="AZ4338" s="8"/>
      <c r="BA4338" s="8"/>
      <c r="BB4338" s="8"/>
      <c r="BC4338" s="8"/>
      <c r="BD4338" s="8"/>
      <c r="BE4338" s="8"/>
      <c r="BF4338" s="8"/>
      <c r="BG4338" s="8">
        <v>82.29</v>
      </c>
      <c r="BH4338" s="9">
        <f t="shared" si="603"/>
        <v>3023.17</v>
      </c>
      <c r="BI4338" s="9">
        <f t="shared" si="604"/>
        <v>19.260000000000002</v>
      </c>
      <c r="BJ4338" s="9">
        <f t="shared" si="605"/>
        <v>2.12</v>
      </c>
      <c r="BK4338" s="9">
        <f t="shared" si="606"/>
        <v>30.24</v>
      </c>
      <c r="BL4338" s="9">
        <f t="shared" si="607"/>
        <v>0</v>
      </c>
      <c r="BM4338" s="9">
        <f t="shared" si="608"/>
        <v>124.42182000000003</v>
      </c>
      <c r="BN4338" s="9">
        <f t="shared" si="609"/>
        <v>1123.75</v>
      </c>
      <c r="BO4338" s="9">
        <f t="shared" si="610"/>
        <v>0</v>
      </c>
      <c r="BP4338" s="9">
        <f t="shared" si="611"/>
        <v>0</v>
      </c>
    </row>
    <row r="4339" spans="1:68">
      <c r="A4339" s="6">
        <v>45358</v>
      </c>
      <c r="B4339" s="7">
        <v>3083</v>
      </c>
      <c r="C4339" s="8"/>
      <c r="D4339" s="8">
        <v>725.53</v>
      </c>
      <c r="E4339" s="8"/>
      <c r="F4339" s="8"/>
      <c r="G4339" s="8"/>
      <c r="H4339" s="8"/>
      <c r="I4339" s="8">
        <v>1691</v>
      </c>
      <c r="J4339" s="8"/>
      <c r="K4339" s="8"/>
      <c r="L4339" s="8"/>
      <c r="M4339" s="8"/>
      <c r="N4339" s="8">
        <v>15.7</v>
      </c>
      <c r="O4339" s="8"/>
      <c r="P4339" s="8"/>
      <c r="Q4339" s="11"/>
      <c r="R4339" s="11"/>
      <c r="S4339" s="8">
        <v>1.69</v>
      </c>
      <c r="T4339" s="8"/>
      <c r="U4339" s="8"/>
      <c r="V4339" s="8"/>
      <c r="W4339" s="8">
        <v>19.32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  <c r="AI4339" s="8"/>
      <c r="AJ4339" s="8"/>
      <c r="AK4339" s="8"/>
      <c r="AL4339" s="8"/>
      <c r="AM4339" s="8">
        <v>9.65</v>
      </c>
      <c r="AN4339" s="8">
        <f>1912*17.88/1000</f>
        <v>34.18656</v>
      </c>
      <c r="AO4339" s="8"/>
      <c r="AP4339" s="11"/>
      <c r="AQ4339" s="8"/>
      <c r="AR4339" s="8">
        <f>3440*17.88/1000</f>
        <v>61.507199999999997</v>
      </c>
      <c r="AS4339" s="8"/>
      <c r="AT4339" s="8">
        <v>1136.01</v>
      </c>
      <c r="AU4339" s="8"/>
      <c r="AV4339" s="8"/>
      <c r="AW4339" s="8"/>
      <c r="AX4339" s="8"/>
      <c r="AY4339" s="8"/>
      <c r="AZ4339" s="8"/>
      <c r="BA4339" s="8"/>
      <c r="BB4339" s="8"/>
      <c r="BC4339" s="8"/>
      <c r="BD4339" s="8"/>
      <c r="BE4339" s="8"/>
      <c r="BF4339" s="8"/>
      <c r="BG4339" s="8">
        <v>90.1</v>
      </c>
      <c r="BH4339" s="9">
        <f t="shared" si="603"/>
        <v>2416.5299999999997</v>
      </c>
      <c r="BI4339" s="9">
        <f t="shared" si="604"/>
        <v>15.7</v>
      </c>
      <c r="BJ4339" s="9">
        <f t="shared" si="605"/>
        <v>1.69</v>
      </c>
      <c r="BK4339" s="9">
        <f t="shared" si="606"/>
        <v>19.32</v>
      </c>
      <c r="BL4339" s="9">
        <f t="shared" si="607"/>
        <v>0</v>
      </c>
      <c r="BM4339" s="9">
        <f t="shared" si="608"/>
        <v>105.34376</v>
      </c>
      <c r="BN4339" s="9">
        <f t="shared" si="609"/>
        <v>1136.01</v>
      </c>
      <c r="BO4339" s="9">
        <f t="shared" si="610"/>
        <v>0</v>
      </c>
      <c r="BP4339" s="9">
        <f t="shared" si="611"/>
        <v>0</v>
      </c>
    </row>
    <row r="4340" spans="1:68">
      <c r="A4340" s="6">
        <v>45358</v>
      </c>
      <c r="B4340" s="7">
        <v>3029</v>
      </c>
      <c r="C4340" s="8"/>
      <c r="D4340" s="8">
        <v>457.38</v>
      </c>
      <c r="E4340" s="8"/>
      <c r="F4340" s="8">
        <v>321.93</v>
      </c>
      <c r="G4340" s="8"/>
      <c r="H4340" s="8"/>
      <c r="I4340" s="8">
        <v>1900.23</v>
      </c>
      <c r="J4340" s="8"/>
      <c r="K4340" s="8"/>
      <c r="L4340" s="8"/>
      <c r="M4340" s="8"/>
      <c r="N4340" s="8">
        <v>21.45</v>
      </c>
      <c r="O4340" s="8"/>
      <c r="P4340" s="8"/>
      <c r="Q4340" s="11"/>
      <c r="R4340" s="11"/>
      <c r="S4340" s="8">
        <v>1.61</v>
      </c>
      <c r="T4340" s="8"/>
      <c r="U4340" s="8"/>
      <c r="V4340" s="8"/>
      <c r="W4340" s="8">
        <v>26.83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>
        <v>9.3699999999999992</v>
      </c>
      <c r="AN4340" s="8">
        <f>760*17.88/1000</f>
        <v>13.588799999999999</v>
      </c>
      <c r="AO4340" s="8"/>
      <c r="AP4340" s="11"/>
      <c r="AQ4340" s="8"/>
      <c r="AR4340" s="8">
        <f>4625*17.88/1000</f>
        <v>82.694999999999993</v>
      </c>
      <c r="AS4340" s="8"/>
      <c r="AT4340" s="8">
        <v>1019.67</v>
      </c>
      <c r="AU4340" s="8"/>
      <c r="AV4340" s="8"/>
      <c r="AW4340" s="8"/>
      <c r="AX4340" s="8"/>
      <c r="AY4340" s="8"/>
      <c r="AZ4340" s="8"/>
      <c r="BA4340" s="8"/>
      <c r="BB4340" s="8"/>
      <c r="BC4340" s="8"/>
      <c r="BD4340" s="8"/>
      <c r="BE4340" s="8"/>
      <c r="BF4340" s="8"/>
      <c r="BG4340" s="8">
        <v>71</v>
      </c>
      <c r="BH4340" s="9">
        <f t="shared" si="603"/>
        <v>2679.54</v>
      </c>
      <c r="BI4340" s="9">
        <f t="shared" si="604"/>
        <v>21.45</v>
      </c>
      <c r="BJ4340" s="9">
        <f t="shared" si="605"/>
        <v>1.61</v>
      </c>
      <c r="BK4340" s="9">
        <f t="shared" si="606"/>
        <v>26.83</v>
      </c>
      <c r="BL4340" s="9">
        <f t="shared" si="607"/>
        <v>0</v>
      </c>
      <c r="BM4340" s="9">
        <f t="shared" si="608"/>
        <v>105.65379999999999</v>
      </c>
      <c r="BN4340" s="9">
        <f t="shared" si="609"/>
        <v>1019.67</v>
      </c>
      <c r="BO4340" s="9">
        <f t="shared" si="610"/>
        <v>0</v>
      </c>
      <c r="BP4340" s="9">
        <f t="shared" si="611"/>
        <v>0</v>
      </c>
    </row>
    <row r="4341" spans="1:68">
      <c r="A4341" s="6">
        <v>45358</v>
      </c>
      <c r="B4341" s="7">
        <v>3030</v>
      </c>
      <c r="C4341" s="8"/>
      <c r="D4341" s="8">
        <v>185.19</v>
      </c>
      <c r="E4341" s="8"/>
      <c r="F4341" s="8"/>
      <c r="G4341" s="8"/>
      <c r="H4341" s="8"/>
      <c r="I4341" s="8">
        <v>75.8</v>
      </c>
      <c r="J4341" s="8"/>
      <c r="K4341" s="8"/>
      <c r="L4341" s="8"/>
      <c r="M4341" s="8"/>
      <c r="N4341" s="8">
        <v>1.9</v>
      </c>
      <c r="O4341" s="8"/>
      <c r="P4341" s="8"/>
      <c r="Q4341" s="11"/>
      <c r="R4341" s="11"/>
      <c r="S4341" s="8">
        <v>0.18</v>
      </c>
      <c r="T4341" s="8"/>
      <c r="U4341" s="8"/>
      <c r="V4341" s="8"/>
      <c r="W4341" s="8">
        <v>2.09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>
        <v>1.04</v>
      </c>
      <c r="AN4341" s="8">
        <f>1694*2.17/1000</f>
        <v>3.67598</v>
      </c>
      <c r="AO4341" s="8"/>
      <c r="AP4341" s="11"/>
      <c r="AQ4341" s="8"/>
      <c r="AR4341" s="8">
        <f>3971*2.17/1000</f>
        <v>8.61707</v>
      </c>
      <c r="AS4341" s="8"/>
      <c r="AT4341" s="8">
        <v>91.34</v>
      </c>
      <c r="AU4341" s="8">
        <v>22.85</v>
      </c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  <c r="BF4341" s="8"/>
      <c r="BG4341" s="8">
        <v>9.0399999999999991</v>
      </c>
      <c r="BH4341" s="9">
        <f t="shared" si="603"/>
        <v>260.99</v>
      </c>
      <c r="BI4341" s="9">
        <f t="shared" si="604"/>
        <v>1.9</v>
      </c>
      <c r="BJ4341" s="9">
        <f t="shared" si="605"/>
        <v>0.18</v>
      </c>
      <c r="BK4341" s="9">
        <f t="shared" si="606"/>
        <v>2.09</v>
      </c>
      <c r="BL4341" s="9">
        <f t="shared" si="607"/>
        <v>0</v>
      </c>
      <c r="BM4341" s="9">
        <f t="shared" si="608"/>
        <v>13.33305</v>
      </c>
      <c r="BN4341" s="9">
        <f t="shared" si="609"/>
        <v>114.19</v>
      </c>
      <c r="BO4341" s="9">
        <f t="shared" si="610"/>
        <v>0</v>
      </c>
      <c r="BP4341" s="9">
        <f t="shared" si="611"/>
        <v>0</v>
      </c>
    </row>
    <row r="4342" spans="1:68">
      <c r="A4342" s="6">
        <v>45358</v>
      </c>
      <c r="B4342" s="7">
        <v>3106</v>
      </c>
      <c r="C4342" s="8">
        <f>543.36+5601.01</f>
        <v>6144.37</v>
      </c>
      <c r="D4342" s="8"/>
      <c r="E4342" s="8"/>
      <c r="F4342" s="8"/>
      <c r="G4342" s="8"/>
      <c r="H4342" s="8"/>
      <c r="I4342" s="8"/>
      <c r="J4342" s="8"/>
      <c r="K4342" s="8"/>
      <c r="L4342" s="8"/>
      <c r="M4342" s="8">
        <f>1.46+14.98</f>
        <v>16.440000000000001</v>
      </c>
      <c r="N4342" s="8"/>
      <c r="O4342" s="8"/>
      <c r="P4342" s="8"/>
      <c r="Q4342" s="11"/>
      <c r="R4342" s="11"/>
      <c r="S4342" s="8">
        <f>1.62+16.82</f>
        <v>18.440000000000001</v>
      </c>
      <c r="T4342" s="8"/>
      <c r="U4342" s="8">
        <f>6.93+71.21</f>
        <v>78.139999999999986</v>
      </c>
      <c r="V4342" s="8"/>
      <c r="W4342" s="8"/>
      <c r="X4342" s="8"/>
      <c r="Y4342" s="8"/>
      <c r="Z4342" s="8"/>
      <c r="AA4342" s="8"/>
      <c r="AB4342" s="8"/>
      <c r="AC4342" s="8">
        <f>1.37+13.99</f>
        <v>15.36</v>
      </c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11"/>
      <c r="AQ4342" s="8"/>
      <c r="AR4342" s="8"/>
      <c r="AS4342" s="8"/>
      <c r="AT4342" s="8">
        <f>309.78+3188.92</f>
        <v>3498.7</v>
      </c>
      <c r="AU4342" s="8"/>
      <c r="AV4342" s="8"/>
      <c r="AW4342" s="8"/>
      <c r="AX4342" s="8">
        <f>0.68+7</f>
        <v>7.68</v>
      </c>
      <c r="AY4342" s="8"/>
      <c r="AZ4342" s="8"/>
      <c r="BA4342" s="8"/>
      <c r="BB4342" s="8"/>
      <c r="BC4342" s="8"/>
      <c r="BD4342" s="8"/>
      <c r="BE4342" s="8"/>
      <c r="BF4342" s="8"/>
      <c r="BG4342" s="8">
        <f>23.4+240.76</f>
        <v>264.15999999999997</v>
      </c>
      <c r="BH4342" s="9">
        <f t="shared" si="603"/>
        <v>6144.37</v>
      </c>
      <c r="BI4342" s="9">
        <f t="shared" si="604"/>
        <v>16.440000000000001</v>
      </c>
      <c r="BJ4342" s="9">
        <f t="shared" si="605"/>
        <v>18.440000000000001</v>
      </c>
      <c r="BK4342" s="9">
        <f t="shared" si="606"/>
        <v>78.139999999999986</v>
      </c>
      <c r="BL4342" s="9">
        <f t="shared" si="607"/>
        <v>0</v>
      </c>
      <c r="BM4342" s="9">
        <f t="shared" si="608"/>
        <v>15.36</v>
      </c>
      <c r="BN4342" s="9">
        <f t="shared" si="609"/>
        <v>3498.7</v>
      </c>
      <c r="BO4342" s="9">
        <f t="shared" si="610"/>
        <v>7.68</v>
      </c>
      <c r="BP4342" s="9">
        <f t="shared" si="611"/>
        <v>0</v>
      </c>
    </row>
    <row r="4343" spans="1:68">
      <c r="A4343" s="6">
        <v>45358</v>
      </c>
      <c r="B4343" s="7">
        <v>3141</v>
      </c>
      <c r="C4343" s="8">
        <v>3550.38</v>
      </c>
      <c r="D4343" s="8">
        <v>626.66</v>
      </c>
      <c r="E4343" s="8"/>
      <c r="F4343" s="8"/>
      <c r="G4343" s="8"/>
      <c r="H4343" s="8"/>
      <c r="I4343" s="8"/>
      <c r="J4343" s="8"/>
      <c r="K4343" s="8"/>
      <c r="L4343" s="8"/>
      <c r="M4343" s="8">
        <v>12.13</v>
      </c>
      <c r="N4343" s="8"/>
      <c r="O4343" s="8"/>
      <c r="P4343" s="8"/>
      <c r="Q4343" s="11"/>
      <c r="R4343" s="11"/>
      <c r="S4343" s="8">
        <v>19.649999999999999</v>
      </c>
      <c r="T4343" s="8"/>
      <c r="U4343" s="8">
        <v>62.68</v>
      </c>
      <c r="V4343" s="8"/>
      <c r="W4343" s="8"/>
      <c r="X4343" s="8"/>
      <c r="Y4343" s="8"/>
      <c r="Z4343" s="8"/>
      <c r="AA4343" s="8"/>
      <c r="AB4343" s="8"/>
      <c r="AC4343" s="8">
        <v>16.71</v>
      </c>
      <c r="AD4343" s="8"/>
      <c r="AE4343" s="8"/>
      <c r="AF4343" s="8"/>
      <c r="AG4343" s="8"/>
      <c r="AH4343" s="8"/>
      <c r="AI4343" s="8"/>
      <c r="AJ4343" s="8"/>
      <c r="AK4343" s="8"/>
      <c r="AL4343" s="8"/>
      <c r="AM4343" s="8"/>
      <c r="AN4343" s="8"/>
      <c r="AO4343" s="8"/>
      <c r="AP4343" s="11"/>
      <c r="AQ4343" s="8"/>
      <c r="AR4343" s="8"/>
      <c r="AS4343" s="8"/>
      <c r="AT4343" s="8">
        <v>2764.33</v>
      </c>
      <c r="AU4343" s="8"/>
      <c r="AV4343" s="8"/>
      <c r="AW4343" s="8"/>
      <c r="AX4343" s="8"/>
      <c r="AY4343" s="8"/>
      <c r="AZ4343" s="8"/>
      <c r="BA4343" s="8">
        <v>95.77</v>
      </c>
      <c r="BB4343" s="8"/>
      <c r="BC4343" s="8"/>
      <c r="BD4343" s="8"/>
      <c r="BE4343" s="8"/>
      <c r="BF4343" s="8">
        <v>292.48</v>
      </c>
      <c r="BG4343" s="8">
        <v>216.94</v>
      </c>
      <c r="BH4343" s="9">
        <f t="shared" si="603"/>
        <v>4177.04</v>
      </c>
      <c r="BI4343" s="9">
        <f t="shared" si="604"/>
        <v>12.13</v>
      </c>
      <c r="BJ4343" s="9">
        <f t="shared" si="605"/>
        <v>19.649999999999999</v>
      </c>
      <c r="BK4343" s="9">
        <f t="shared" si="606"/>
        <v>62.68</v>
      </c>
      <c r="BL4343" s="9">
        <f t="shared" si="607"/>
        <v>0</v>
      </c>
      <c r="BM4343" s="9">
        <f t="shared" si="608"/>
        <v>16.71</v>
      </c>
      <c r="BN4343" s="9">
        <f t="shared" si="609"/>
        <v>2764.33</v>
      </c>
      <c r="BO4343" s="9">
        <f t="shared" si="610"/>
        <v>95.77</v>
      </c>
      <c r="BP4343" s="9">
        <f t="shared" si="611"/>
        <v>292.48</v>
      </c>
    </row>
    <row r="4344" spans="1:68">
      <c r="A4344" s="6">
        <v>45358</v>
      </c>
      <c r="B4344" s="7">
        <v>3206</v>
      </c>
      <c r="C4344" s="8">
        <v>397.3</v>
      </c>
      <c r="D4344" s="8">
        <v>710.05</v>
      </c>
      <c r="E4344" s="8">
        <v>474.74</v>
      </c>
      <c r="F4344" s="8"/>
      <c r="G4344" s="8"/>
      <c r="H4344" s="8"/>
      <c r="I4344" s="8"/>
      <c r="J4344" s="8"/>
      <c r="K4344" s="8"/>
      <c r="L4344" s="8"/>
      <c r="M4344" s="8"/>
      <c r="N4344" s="8"/>
      <c r="O4344" s="8">
        <v>3.17</v>
      </c>
      <c r="P4344" s="8"/>
      <c r="Q4344" s="11"/>
      <c r="R4344" s="11"/>
      <c r="S4344" s="8">
        <v>7.9</v>
      </c>
      <c r="T4344" s="8"/>
      <c r="U4344" s="8">
        <v>5.55</v>
      </c>
      <c r="V4344" s="8"/>
      <c r="W4344" s="8"/>
      <c r="X4344" s="8"/>
      <c r="Y4344" s="8"/>
      <c r="Z4344" s="8">
        <v>94.71</v>
      </c>
      <c r="AA4344" s="8"/>
      <c r="AB4344" s="8">
        <f>824*9.87/1000</f>
        <v>8.1328799999999983</v>
      </c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11"/>
      <c r="AQ4344" s="8"/>
      <c r="AR4344" s="8"/>
      <c r="AS4344" s="8"/>
      <c r="AT4344" s="8">
        <v>275.07</v>
      </c>
      <c r="AU4344" s="8">
        <v>137.97</v>
      </c>
      <c r="AV4344" s="8"/>
      <c r="AW4344" s="8">
        <v>6</v>
      </c>
      <c r="AX4344" s="8"/>
      <c r="AY4344" s="8"/>
      <c r="AZ4344" s="8"/>
      <c r="BA4344" s="8"/>
      <c r="BB4344" s="8"/>
      <c r="BC4344" s="8"/>
      <c r="BD4344" s="8"/>
      <c r="BE4344" s="8"/>
      <c r="BF4344" s="8"/>
      <c r="BG4344" s="8">
        <v>27.81</v>
      </c>
      <c r="BH4344" s="9">
        <f t="shared" si="603"/>
        <v>1582.09</v>
      </c>
      <c r="BI4344" s="9">
        <f t="shared" si="604"/>
        <v>3.17</v>
      </c>
      <c r="BJ4344" s="9">
        <f t="shared" si="605"/>
        <v>7.9</v>
      </c>
      <c r="BK4344" s="9">
        <f t="shared" si="606"/>
        <v>5.55</v>
      </c>
      <c r="BL4344" s="9">
        <f t="shared" si="607"/>
        <v>94.71</v>
      </c>
      <c r="BM4344" s="9">
        <f t="shared" si="608"/>
        <v>8.1328799999999983</v>
      </c>
      <c r="BN4344" s="9">
        <f t="shared" si="609"/>
        <v>413.03999999999996</v>
      </c>
      <c r="BO4344" s="9">
        <f t="shared" si="610"/>
        <v>6</v>
      </c>
      <c r="BP4344" s="9">
        <f t="shared" si="611"/>
        <v>0</v>
      </c>
    </row>
    <row r="4345" spans="1:68">
      <c r="A4345" s="6">
        <v>45358</v>
      </c>
      <c r="B4345" s="7">
        <v>3310</v>
      </c>
      <c r="C4345" s="8"/>
      <c r="D4345" s="8">
        <v>559.77</v>
      </c>
      <c r="E4345" s="8"/>
      <c r="F4345" s="8"/>
      <c r="G4345" s="8"/>
      <c r="H4345" s="8"/>
      <c r="I4345" s="8"/>
      <c r="J4345" s="8"/>
      <c r="K4345" s="8"/>
      <c r="L4345" s="8"/>
      <c r="M4345" s="8">
        <v>1.1299999999999999</v>
      </c>
      <c r="N4345" s="8"/>
      <c r="O4345" s="8"/>
      <c r="P4345" s="8"/>
      <c r="Q4345" s="11"/>
      <c r="R4345" s="11"/>
      <c r="S4345" s="8">
        <v>0.84</v>
      </c>
      <c r="T4345" s="8"/>
      <c r="U4345" s="8">
        <v>5.03</v>
      </c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>
        <v>5.62</v>
      </c>
      <c r="AH4345" s="8"/>
      <c r="AI4345" s="8"/>
      <c r="AJ4345" s="8"/>
      <c r="AK4345" s="8"/>
      <c r="AL4345" s="8"/>
      <c r="AM4345" s="8"/>
      <c r="AN4345" s="8"/>
      <c r="AO4345" s="8"/>
      <c r="AP4345" s="11"/>
      <c r="AQ4345" s="8"/>
      <c r="AR4345" s="8"/>
      <c r="AS4345" s="8"/>
      <c r="AT4345" s="8">
        <v>148.6</v>
      </c>
      <c r="AU4345" s="8">
        <v>74.87</v>
      </c>
      <c r="AV4345" s="8"/>
      <c r="AW4345" s="8"/>
      <c r="AX4345" s="8"/>
      <c r="AY4345" s="8"/>
      <c r="AZ4345" s="8"/>
      <c r="BA4345" s="8"/>
      <c r="BB4345" s="8"/>
      <c r="BC4345" s="8"/>
      <c r="BD4345" s="8"/>
      <c r="BE4345" s="8"/>
      <c r="BF4345" s="8"/>
      <c r="BG4345" s="8">
        <v>15.59</v>
      </c>
      <c r="BH4345" s="9">
        <f t="shared" si="603"/>
        <v>559.77</v>
      </c>
      <c r="BI4345" s="9">
        <f t="shared" si="604"/>
        <v>1.1299999999999999</v>
      </c>
      <c r="BJ4345" s="9">
        <f t="shared" si="605"/>
        <v>0.84</v>
      </c>
      <c r="BK4345" s="9">
        <f t="shared" si="606"/>
        <v>5.03</v>
      </c>
      <c r="BL4345" s="9">
        <f t="shared" si="607"/>
        <v>0</v>
      </c>
      <c r="BM4345" s="9">
        <f t="shared" si="608"/>
        <v>5.62</v>
      </c>
      <c r="BN4345" s="9">
        <f t="shared" si="609"/>
        <v>223.47</v>
      </c>
      <c r="BO4345" s="9">
        <f t="shared" si="610"/>
        <v>0</v>
      </c>
      <c r="BP4345" s="9">
        <f t="shared" si="611"/>
        <v>0</v>
      </c>
    </row>
    <row r="4346" spans="1:68">
      <c r="A4346" s="6">
        <v>45359</v>
      </c>
      <c r="B4346" s="7">
        <v>3139</v>
      </c>
      <c r="C4346" s="8">
        <v>1111.23</v>
      </c>
      <c r="D4346" s="8"/>
      <c r="E4346" s="8"/>
      <c r="F4346" s="8"/>
      <c r="G4346" s="8"/>
      <c r="H4346" s="8">
        <v>461.11</v>
      </c>
      <c r="I4346" s="8"/>
      <c r="J4346" s="8"/>
      <c r="K4346" s="8"/>
      <c r="L4346" s="8"/>
      <c r="M4346" s="8">
        <v>2.61</v>
      </c>
      <c r="N4346" s="8"/>
      <c r="O4346" s="8"/>
      <c r="P4346" s="8"/>
      <c r="Q4346" s="11"/>
      <c r="R4346" s="11"/>
      <c r="S4346" s="8">
        <v>4.93</v>
      </c>
      <c r="T4346" s="8"/>
      <c r="U4346" s="8">
        <v>16.45</v>
      </c>
      <c r="V4346" s="8"/>
      <c r="W4346" s="8"/>
      <c r="X4346" s="8"/>
      <c r="Y4346" s="8"/>
      <c r="Z4346" s="8"/>
      <c r="AA4346" s="8"/>
      <c r="AB4346" s="8"/>
      <c r="AC4346" s="8">
        <v>5.48</v>
      </c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11"/>
      <c r="AQ4346" s="8"/>
      <c r="AR4346" s="8"/>
      <c r="AS4346" s="8"/>
      <c r="AT4346" s="8">
        <v>808.04</v>
      </c>
      <c r="AU4346" s="8"/>
      <c r="AV4346" s="8">
        <v>27.34</v>
      </c>
      <c r="AW4346" s="8"/>
      <c r="AX4346" s="8"/>
      <c r="AY4346" s="8"/>
      <c r="AZ4346" s="8"/>
      <c r="BA4346" s="8"/>
      <c r="BB4346" s="8"/>
      <c r="BC4346" s="8"/>
      <c r="BD4346" s="8"/>
      <c r="BE4346" s="8"/>
      <c r="BF4346" s="8"/>
      <c r="BG4346" s="8">
        <v>58.88</v>
      </c>
      <c r="BH4346" s="9">
        <f t="shared" si="603"/>
        <v>1572.3400000000001</v>
      </c>
      <c r="BI4346" s="9">
        <f t="shared" si="604"/>
        <v>2.61</v>
      </c>
      <c r="BJ4346" s="9">
        <f t="shared" si="605"/>
        <v>4.93</v>
      </c>
      <c r="BK4346" s="9">
        <f t="shared" si="606"/>
        <v>16.45</v>
      </c>
      <c r="BL4346" s="9">
        <f t="shared" si="607"/>
        <v>0</v>
      </c>
      <c r="BM4346" s="9">
        <f t="shared" si="608"/>
        <v>5.48</v>
      </c>
      <c r="BN4346" s="9">
        <f t="shared" si="609"/>
        <v>808.04</v>
      </c>
      <c r="BO4346" s="9">
        <f t="shared" si="610"/>
        <v>27.34</v>
      </c>
      <c r="BP4346" s="9">
        <f t="shared" si="611"/>
        <v>0</v>
      </c>
    </row>
    <row r="4347" spans="1:68">
      <c r="A4347" s="6">
        <v>45359</v>
      </c>
      <c r="B4347" s="7">
        <v>3200</v>
      </c>
      <c r="C4347" s="8">
        <v>2367.8200000000002</v>
      </c>
      <c r="D4347" s="8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>
        <v>5.93</v>
      </c>
      <c r="P4347" s="8"/>
      <c r="Q4347" s="11"/>
      <c r="R4347" s="11"/>
      <c r="S4347" s="8">
        <v>9.23</v>
      </c>
      <c r="T4347" s="8"/>
      <c r="U4347" s="8">
        <v>35.51</v>
      </c>
      <c r="V4347" s="8"/>
      <c r="W4347" s="8"/>
      <c r="X4347" s="8"/>
      <c r="Y4347" s="8"/>
      <c r="Z4347" s="8">
        <v>497.63</v>
      </c>
      <c r="AA4347" s="8"/>
      <c r="AB4347" s="8"/>
      <c r="AC4347" s="8"/>
      <c r="AD4347" s="8"/>
      <c r="AE4347" s="8"/>
      <c r="AF4347" s="8">
        <v>118.41</v>
      </c>
      <c r="AG4347" s="8"/>
      <c r="AH4347" s="8"/>
      <c r="AI4347" s="8"/>
      <c r="AJ4347" s="8"/>
      <c r="AK4347" s="8"/>
      <c r="AL4347" s="8"/>
      <c r="AM4347" s="8"/>
      <c r="AN4347" s="8"/>
      <c r="AO4347" s="8"/>
      <c r="AP4347" s="11"/>
      <c r="AQ4347" s="8">
        <f>1521*23.68/1000</f>
        <v>36.01728</v>
      </c>
      <c r="AR4347" s="8"/>
      <c r="AS4347" s="8"/>
      <c r="AT4347" s="8">
        <v>1620.97</v>
      </c>
      <c r="AU4347" s="8"/>
      <c r="AV4347" s="8"/>
      <c r="AW4347" s="8">
        <v>6.92</v>
      </c>
      <c r="AX4347" s="8"/>
      <c r="AY4347" s="8"/>
      <c r="AZ4347" s="8"/>
      <c r="BA4347" s="8"/>
      <c r="BB4347" s="8"/>
      <c r="BC4347" s="8"/>
      <c r="BD4347" s="8"/>
      <c r="BE4347" s="8"/>
      <c r="BF4347" s="8">
        <v>113.7</v>
      </c>
      <c r="BG4347" s="8">
        <v>117.28</v>
      </c>
      <c r="BH4347" s="9">
        <f t="shared" si="603"/>
        <v>2367.8200000000002</v>
      </c>
      <c r="BI4347" s="9">
        <f t="shared" si="604"/>
        <v>5.93</v>
      </c>
      <c r="BJ4347" s="9">
        <f t="shared" si="605"/>
        <v>9.23</v>
      </c>
      <c r="BK4347" s="9">
        <f t="shared" si="606"/>
        <v>35.51</v>
      </c>
      <c r="BL4347" s="9">
        <f t="shared" si="607"/>
        <v>497.63</v>
      </c>
      <c r="BM4347" s="9">
        <f t="shared" si="608"/>
        <v>154.42728</v>
      </c>
      <c r="BN4347" s="9">
        <f t="shared" si="609"/>
        <v>1620.97</v>
      </c>
      <c r="BO4347" s="9">
        <f t="shared" si="610"/>
        <v>6.92</v>
      </c>
      <c r="BP4347" s="9">
        <f t="shared" si="611"/>
        <v>113.7</v>
      </c>
    </row>
    <row r="4348" spans="1:68">
      <c r="A4348" s="6">
        <v>45359</v>
      </c>
      <c r="B4348" s="7">
        <v>3020</v>
      </c>
      <c r="C4348" s="8"/>
      <c r="D4348" s="8">
        <v>100.14</v>
      </c>
      <c r="E4348" s="8"/>
      <c r="F4348" s="8"/>
      <c r="G4348" s="8"/>
      <c r="H4348" s="8"/>
      <c r="I4348" s="8">
        <v>566.29</v>
      </c>
      <c r="J4348" s="8"/>
      <c r="K4348" s="8"/>
      <c r="L4348" s="8"/>
      <c r="M4348" s="8"/>
      <c r="N4348" s="8">
        <v>4.0599999999999996</v>
      </c>
      <c r="O4348" s="8"/>
      <c r="P4348" s="8"/>
      <c r="Q4348" s="11"/>
      <c r="R4348" s="11"/>
      <c r="S4348" s="8">
        <v>1.2</v>
      </c>
      <c r="T4348" s="8"/>
      <c r="U4348" s="8"/>
      <c r="V4348" s="8"/>
      <c r="W4348" s="8">
        <v>6.67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>
        <v>6.65</v>
      </c>
      <c r="AN4348" s="8"/>
      <c r="AO4348" s="8"/>
      <c r="AP4348" s="11"/>
      <c r="AQ4348" s="8"/>
      <c r="AR4348" s="8"/>
      <c r="AS4348" s="8">
        <f>3023*5.53/1000</f>
        <v>16.717190000000002</v>
      </c>
      <c r="AT4348" s="8">
        <v>327</v>
      </c>
      <c r="AU4348" s="8"/>
      <c r="AV4348" s="8"/>
      <c r="AW4348" s="8"/>
      <c r="AX4348" s="8"/>
      <c r="AY4348" s="8"/>
      <c r="AZ4348" s="8"/>
      <c r="BA4348" s="8"/>
      <c r="BB4348" s="8"/>
      <c r="BC4348" s="8"/>
      <c r="BD4348" s="8"/>
      <c r="BE4348" s="8"/>
      <c r="BF4348" s="8"/>
      <c r="BG4348" s="8">
        <v>23.95</v>
      </c>
      <c r="BH4348" s="9">
        <f t="shared" si="603"/>
        <v>666.43</v>
      </c>
      <c r="BI4348" s="9">
        <f t="shared" si="604"/>
        <v>4.0599999999999996</v>
      </c>
      <c r="BJ4348" s="9">
        <f t="shared" si="605"/>
        <v>1.2</v>
      </c>
      <c r="BK4348" s="9">
        <f t="shared" si="606"/>
        <v>6.67</v>
      </c>
      <c r="BL4348" s="9">
        <f t="shared" si="607"/>
        <v>0</v>
      </c>
      <c r="BM4348" s="9">
        <f t="shared" si="608"/>
        <v>23.367190000000001</v>
      </c>
      <c r="BN4348" s="9">
        <f t="shared" si="609"/>
        <v>327</v>
      </c>
      <c r="BO4348" s="9">
        <f t="shared" si="610"/>
        <v>0</v>
      </c>
      <c r="BP4348" s="9">
        <f t="shared" si="611"/>
        <v>0</v>
      </c>
    </row>
    <row r="4349" spans="1:68">
      <c r="A4349" s="6">
        <v>45359</v>
      </c>
      <c r="B4349" s="7">
        <v>3028</v>
      </c>
      <c r="C4349" s="8"/>
      <c r="D4349" s="8">
        <v>719.81</v>
      </c>
      <c r="E4349" s="8"/>
      <c r="F4349" s="8">
        <v>664.29</v>
      </c>
      <c r="G4349" s="8"/>
      <c r="H4349" s="8"/>
      <c r="I4349" s="8">
        <v>1501.68</v>
      </c>
      <c r="J4349" s="8"/>
      <c r="K4349" s="8"/>
      <c r="L4349" s="8"/>
      <c r="M4349" s="8"/>
      <c r="N4349" s="8">
        <v>22.22</v>
      </c>
      <c r="O4349" s="8"/>
      <c r="P4349" s="8"/>
      <c r="Q4349" s="11"/>
      <c r="R4349" s="11"/>
      <c r="S4349" s="8">
        <v>4.04</v>
      </c>
      <c r="T4349" s="8"/>
      <c r="U4349" s="8"/>
      <c r="V4349" s="8"/>
      <c r="W4349" s="8">
        <v>21.64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>
        <v>28.82</v>
      </c>
      <c r="AN4349" s="8">
        <f>1053*19.25/1000</f>
        <v>20.270250000000001</v>
      </c>
      <c r="AO4349" s="8"/>
      <c r="AP4349" s="11"/>
      <c r="AQ4349" s="8"/>
      <c r="AR4349" s="8"/>
      <c r="AS4349" s="8">
        <f>4984*19.25/1000</f>
        <v>95.941999999999993</v>
      </c>
      <c r="AT4349" s="8">
        <v>961.95</v>
      </c>
      <c r="AU4349" s="8"/>
      <c r="AV4349" s="8"/>
      <c r="AW4349" s="8"/>
      <c r="AX4349" s="8"/>
      <c r="AY4349" s="8"/>
      <c r="AZ4349" s="8"/>
      <c r="BA4349" s="8"/>
      <c r="BB4349" s="8"/>
      <c r="BC4349" s="8"/>
      <c r="BD4349" s="8"/>
      <c r="BE4349" s="8"/>
      <c r="BF4349" s="8"/>
      <c r="BG4349" s="8">
        <v>65.42</v>
      </c>
      <c r="BH4349" s="9">
        <f t="shared" si="603"/>
        <v>2885.7799999999997</v>
      </c>
      <c r="BI4349" s="9">
        <f t="shared" si="604"/>
        <v>22.22</v>
      </c>
      <c r="BJ4349" s="9">
        <f t="shared" si="605"/>
        <v>4.04</v>
      </c>
      <c r="BK4349" s="9">
        <f t="shared" si="606"/>
        <v>21.64</v>
      </c>
      <c r="BL4349" s="9">
        <f t="shared" si="607"/>
        <v>0</v>
      </c>
      <c r="BM4349" s="9">
        <f t="shared" si="608"/>
        <v>145.03224999999998</v>
      </c>
      <c r="BN4349" s="9">
        <f t="shared" si="609"/>
        <v>961.95</v>
      </c>
      <c r="BO4349" s="9">
        <f t="shared" si="610"/>
        <v>0</v>
      </c>
      <c r="BP4349" s="9">
        <f t="shared" si="611"/>
        <v>0</v>
      </c>
    </row>
    <row r="4350" spans="1:68">
      <c r="A4350" s="6">
        <v>45359</v>
      </c>
      <c r="B4350" s="7">
        <v>3157</v>
      </c>
      <c r="C4350" s="8">
        <v>370.75</v>
      </c>
      <c r="D4350" s="8">
        <v>371.59</v>
      </c>
      <c r="E4350" s="8"/>
      <c r="F4350" s="8"/>
      <c r="G4350" s="8"/>
      <c r="H4350" s="8"/>
      <c r="I4350" s="8"/>
      <c r="J4350" s="8"/>
      <c r="K4350" s="8"/>
      <c r="L4350" s="8"/>
      <c r="M4350" s="8">
        <v>2.97</v>
      </c>
      <c r="N4350" s="8"/>
      <c r="O4350" s="8"/>
      <c r="P4350" s="8"/>
      <c r="Q4350" s="11"/>
      <c r="R4350" s="11"/>
      <c r="S4350" s="8">
        <v>3.71</v>
      </c>
      <c r="T4350" s="8"/>
      <c r="U4350" s="8">
        <v>11.88</v>
      </c>
      <c r="V4350" s="8"/>
      <c r="W4350" s="8"/>
      <c r="X4350" s="8"/>
      <c r="Y4350" s="8"/>
      <c r="Z4350" s="8"/>
      <c r="AA4350" s="8"/>
      <c r="AB4350" s="8"/>
      <c r="AC4350" s="8">
        <v>2.97</v>
      </c>
      <c r="AD4350" s="8"/>
      <c r="AE4350" s="8"/>
      <c r="AF4350" s="8"/>
      <c r="AG4350" s="8">
        <v>3.72</v>
      </c>
      <c r="AH4350" s="8"/>
      <c r="AI4350" s="8"/>
      <c r="AJ4350" s="8"/>
      <c r="AK4350" s="8"/>
      <c r="AL4350" s="8"/>
      <c r="AM4350" s="8"/>
      <c r="AN4350" s="8"/>
      <c r="AO4350" s="8"/>
      <c r="AP4350" s="11"/>
      <c r="AQ4350" s="8"/>
      <c r="AR4350" s="8"/>
      <c r="AS4350" s="8"/>
      <c r="AT4350" s="8">
        <v>476.73</v>
      </c>
      <c r="AU4350" s="8"/>
      <c r="AV4350" s="8"/>
      <c r="AW4350" s="8"/>
      <c r="AX4350" s="8"/>
      <c r="AY4350" s="8"/>
      <c r="AZ4350" s="8"/>
      <c r="BA4350" s="8"/>
      <c r="BB4350" s="8"/>
      <c r="BC4350" s="8"/>
      <c r="BD4350" s="8"/>
      <c r="BE4350" s="8"/>
      <c r="BF4350" s="8">
        <v>96.5</v>
      </c>
      <c r="BG4350" s="8">
        <v>38.54</v>
      </c>
      <c r="BH4350" s="9">
        <f t="shared" si="603"/>
        <v>742.33999999999992</v>
      </c>
      <c r="BI4350" s="9">
        <f t="shared" si="604"/>
        <v>2.97</v>
      </c>
      <c r="BJ4350" s="9">
        <f t="shared" si="605"/>
        <v>3.71</v>
      </c>
      <c r="BK4350" s="9">
        <f t="shared" si="606"/>
        <v>11.88</v>
      </c>
      <c r="BL4350" s="9">
        <f t="shared" si="607"/>
        <v>0</v>
      </c>
      <c r="BM4350" s="9">
        <f t="shared" si="608"/>
        <v>6.69</v>
      </c>
      <c r="BN4350" s="9">
        <f t="shared" si="609"/>
        <v>476.73</v>
      </c>
      <c r="BO4350" s="9">
        <f t="shared" si="610"/>
        <v>0</v>
      </c>
      <c r="BP4350" s="9">
        <f t="shared" si="611"/>
        <v>96.5</v>
      </c>
    </row>
    <row r="4351" spans="1:68">
      <c r="A4351" s="6">
        <v>45359</v>
      </c>
      <c r="B4351" s="7">
        <v>3151</v>
      </c>
      <c r="C4351" s="8">
        <v>725.8</v>
      </c>
      <c r="D4351" s="8"/>
      <c r="E4351" s="8"/>
      <c r="F4351" s="8"/>
      <c r="G4351" s="8"/>
      <c r="H4351" s="8"/>
      <c r="I4351" s="8"/>
      <c r="J4351" s="8"/>
      <c r="K4351" s="8"/>
      <c r="L4351" s="8"/>
      <c r="M4351" s="8">
        <v>2.17</v>
      </c>
      <c r="N4351" s="8"/>
      <c r="O4351" s="8"/>
      <c r="P4351" s="8"/>
      <c r="Q4351" s="11"/>
      <c r="R4351" s="11"/>
      <c r="S4351" s="8">
        <v>2.75</v>
      </c>
      <c r="T4351" s="8"/>
      <c r="U4351" s="8">
        <v>9.2100000000000009</v>
      </c>
      <c r="V4351" s="8"/>
      <c r="W4351" s="8"/>
      <c r="X4351" s="8"/>
      <c r="Y4351" s="8"/>
      <c r="Z4351" s="8"/>
      <c r="AA4351" s="8"/>
      <c r="AB4351" s="8"/>
      <c r="AC4351" s="8">
        <v>1.81</v>
      </c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11"/>
      <c r="AQ4351" s="8"/>
      <c r="AR4351" s="8"/>
      <c r="AS4351" s="8"/>
      <c r="AT4351" s="8">
        <v>325.95999999999998</v>
      </c>
      <c r="AU4351" s="8"/>
      <c r="AV4351" s="8">
        <v>7.24</v>
      </c>
      <c r="AW4351" s="8"/>
      <c r="AX4351" s="8"/>
      <c r="AY4351" s="8"/>
      <c r="AZ4351" s="8"/>
      <c r="BA4351" s="8"/>
      <c r="BB4351" s="8"/>
      <c r="BC4351" s="8"/>
      <c r="BD4351" s="8"/>
      <c r="BE4351" s="8"/>
      <c r="BF4351" s="8">
        <v>29</v>
      </c>
      <c r="BG4351" s="8">
        <v>23.18</v>
      </c>
      <c r="BH4351" s="9">
        <f t="shared" si="603"/>
        <v>725.8</v>
      </c>
      <c r="BI4351" s="9">
        <f t="shared" si="604"/>
        <v>2.17</v>
      </c>
      <c r="BJ4351" s="9">
        <f t="shared" si="605"/>
        <v>2.75</v>
      </c>
      <c r="BK4351" s="9">
        <f t="shared" si="606"/>
        <v>9.2100000000000009</v>
      </c>
      <c r="BL4351" s="9">
        <f t="shared" si="607"/>
        <v>0</v>
      </c>
      <c r="BM4351" s="9">
        <f t="shared" si="608"/>
        <v>1.81</v>
      </c>
      <c r="BN4351" s="9">
        <f t="shared" si="609"/>
        <v>325.95999999999998</v>
      </c>
      <c r="BO4351" s="9">
        <f t="shared" si="610"/>
        <v>7.24</v>
      </c>
      <c r="BP4351" s="9">
        <f t="shared" si="611"/>
        <v>29</v>
      </c>
    </row>
    <row r="4352" spans="1:68">
      <c r="A4352" s="6">
        <v>45359</v>
      </c>
      <c r="B4352" s="7">
        <v>3117</v>
      </c>
      <c r="C4352" s="8">
        <v>786.94</v>
      </c>
      <c r="D4352" s="8"/>
      <c r="E4352" s="8"/>
      <c r="F4352" s="8"/>
      <c r="G4352" s="8"/>
      <c r="H4352" s="8"/>
      <c r="I4352" s="8"/>
      <c r="J4352" s="8"/>
      <c r="K4352" s="8"/>
      <c r="L4352" s="8"/>
      <c r="M4352" s="8">
        <v>2.27</v>
      </c>
      <c r="N4352" s="8"/>
      <c r="O4352" s="8"/>
      <c r="P4352" s="8"/>
      <c r="Q4352" s="11"/>
      <c r="R4352" s="11"/>
      <c r="S4352" s="8">
        <v>3.15</v>
      </c>
      <c r="T4352" s="8"/>
      <c r="U4352" s="8">
        <v>7.88</v>
      </c>
      <c r="V4352" s="8"/>
      <c r="W4352" s="8"/>
      <c r="X4352" s="8"/>
      <c r="Y4352" s="8"/>
      <c r="Z4352" s="8"/>
      <c r="AA4352" s="8"/>
      <c r="AB4352" s="8"/>
      <c r="AC4352" s="8">
        <v>3.14</v>
      </c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11"/>
      <c r="AQ4352" s="8"/>
      <c r="AR4352" s="8"/>
      <c r="AS4352" s="8"/>
      <c r="AT4352" s="8">
        <v>495.73</v>
      </c>
      <c r="AU4352" s="8"/>
      <c r="AV4352" s="8">
        <v>19.66</v>
      </c>
      <c r="AW4352" s="8"/>
      <c r="AX4352" s="8"/>
      <c r="AY4352" s="8"/>
      <c r="AZ4352" s="8"/>
      <c r="BA4352" s="8"/>
      <c r="BB4352" s="8"/>
      <c r="BC4352" s="8"/>
      <c r="BD4352" s="8"/>
      <c r="BE4352" s="8"/>
      <c r="BF4352" s="8">
        <v>39.33</v>
      </c>
      <c r="BG4352" s="8">
        <v>37.72</v>
      </c>
      <c r="BH4352" s="9">
        <f t="shared" si="603"/>
        <v>786.94</v>
      </c>
      <c r="BI4352" s="9">
        <f t="shared" si="604"/>
        <v>2.27</v>
      </c>
      <c r="BJ4352" s="9">
        <f t="shared" si="605"/>
        <v>3.15</v>
      </c>
      <c r="BK4352" s="9">
        <f t="shared" si="606"/>
        <v>7.88</v>
      </c>
      <c r="BL4352" s="9">
        <f t="shared" si="607"/>
        <v>0</v>
      </c>
      <c r="BM4352" s="9">
        <f t="shared" si="608"/>
        <v>3.14</v>
      </c>
      <c r="BN4352" s="9">
        <f t="shared" si="609"/>
        <v>495.73</v>
      </c>
      <c r="BO4352" s="9">
        <f t="shared" si="610"/>
        <v>19.66</v>
      </c>
      <c r="BP4352" s="9">
        <f t="shared" si="611"/>
        <v>39.33</v>
      </c>
    </row>
    <row r="4353" spans="1:68">
      <c r="A4353" s="6">
        <v>45359</v>
      </c>
      <c r="B4353" s="7">
        <v>3309</v>
      </c>
      <c r="C4353" s="8"/>
      <c r="D4353" s="8">
        <v>1122.5899999999999</v>
      </c>
      <c r="E4353" s="8"/>
      <c r="F4353" s="8"/>
      <c r="G4353" s="8"/>
      <c r="H4353" s="8"/>
      <c r="I4353" s="8"/>
      <c r="J4353" s="8"/>
      <c r="K4353" s="8"/>
      <c r="L4353" s="8"/>
      <c r="M4353" s="8">
        <v>2.2400000000000002</v>
      </c>
      <c r="N4353" s="8"/>
      <c r="O4353" s="8"/>
      <c r="P4353" s="8"/>
      <c r="Q4353" s="11"/>
      <c r="R4353" s="11"/>
      <c r="S4353" s="8">
        <v>1.68</v>
      </c>
      <c r="T4353" s="8"/>
      <c r="U4353" s="8">
        <v>10.119999999999999</v>
      </c>
      <c r="V4353" s="8"/>
      <c r="W4353" s="8"/>
      <c r="X4353" s="8"/>
      <c r="Y4353" s="8"/>
      <c r="Z4353" s="8"/>
      <c r="AA4353" s="8"/>
      <c r="AB4353" s="8"/>
      <c r="AC4353" s="8"/>
      <c r="AD4353" s="8"/>
      <c r="AE4353" s="8"/>
      <c r="AF4353" s="8"/>
      <c r="AG4353" s="8">
        <v>11.22</v>
      </c>
      <c r="AH4353" s="8"/>
      <c r="AI4353" s="8"/>
      <c r="AJ4353" s="8"/>
      <c r="AK4353" s="8"/>
      <c r="AL4353" s="8"/>
      <c r="AM4353" s="8"/>
      <c r="AN4353" s="8"/>
      <c r="AO4353" s="8"/>
      <c r="AP4353" s="11"/>
      <c r="AQ4353" s="8"/>
      <c r="AR4353" s="8"/>
      <c r="AS4353" s="8"/>
      <c r="AT4353" s="8">
        <v>299.22000000000003</v>
      </c>
      <c r="AU4353" s="8">
        <v>149.75</v>
      </c>
      <c r="AV4353" s="8"/>
      <c r="AW4353" s="8"/>
      <c r="AX4353" s="8"/>
      <c r="AY4353" s="8"/>
      <c r="AZ4353" s="8"/>
      <c r="BA4353" s="8"/>
      <c r="BB4353" s="8"/>
      <c r="BC4353" s="8">
        <v>1.05</v>
      </c>
      <c r="BD4353" s="8"/>
      <c r="BE4353" s="8"/>
      <c r="BF4353" s="8"/>
      <c r="BG4353" s="8">
        <v>31.34</v>
      </c>
      <c r="BH4353" s="9">
        <f t="shared" si="603"/>
        <v>1122.5899999999999</v>
      </c>
      <c r="BI4353" s="9">
        <f t="shared" si="604"/>
        <v>2.2400000000000002</v>
      </c>
      <c r="BJ4353" s="9">
        <f t="shared" si="605"/>
        <v>1.68</v>
      </c>
      <c r="BK4353" s="9">
        <f t="shared" si="606"/>
        <v>10.119999999999999</v>
      </c>
      <c r="BL4353" s="9">
        <f t="shared" si="607"/>
        <v>0</v>
      </c>
      <c r="BM4353" s="9">
        <f t="shared" si="608"/>
        <v>11.22</v>
      </c>
      <c r="BN4353" s="9">
        <f t="shared" si="609"/>
        <v>448.97</v>
      </c>
      <c r="BO4353" s="9">
        <f t="shared" si="610"/>
        <v>1.05</v>
      </c>
      <c r="BP4353" s="9">
        <f t="shared" si="611"/>
        <v>0</v>
      </c>
    </row>
    <row r="4354" spans="1:68">
      <c r="A4354" s="6">
        <v>45363</v>
      </c>
      <c r="B4354" s="7">
        <v>3602</v>
      </c>
      <c r="C4354" s="8">
        <v>570.04999999999995</v>
      </c>
      <c r="D4354" s="8"/>
      <c r="E4354" s="8"/>
      <c r="F4354" s="8"/>
      <c r="G4354" s="8">
        <v>855.92</v>
      </c>
      <c r="H4354" s="8"/>
      <c r="I4354" s="8"/>
      <c r="J4354" s="8"/>
      <c r="K4354" s="8"/>
      <c r="L4354" s="8"/>
      <c r="M4354" s="8">
        <v>1.73</v>
      </c>
      <c r="N4354" s="8"/>
      <c r="O4354" s="8"/>
      <c r="P4354" s="8"/>
      <c r="Q4354" s="11"/>
      <c r="R4354" s="11"/>
      <c r="S4354" s="8">
        <v>6.85</v>
      </c>
      <c r="T4354" s="8"/>
      <c r="U4354" s="8">
        <v>11.43</v>
      </c>
      <c r="V4354" s="8">
        <f>853*16.32/1000</f>
        <v>13.920960000000001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11"/>
      <c r="AQ4354" s="8"/>
      <c r="AR4354" s="8"/>
      <c r="AS4354" s="8"/>
      <c r="AT4354" s="8">
        <v>577.83000000000004</v>
      </c>
      <c r="AU4354" s="8"/>
      <c r="AV4354" s="8"/>
      <c r="AW4354" s="8">
        <v>36.94</v>
      </c>
      <c r="AX4354" s="8"/>
      <c r="AY4354" s="8"/>
      <c r="AZ4354" s="8"/>
      <c r="BA4354" s="8"/>
      <c r="BB4354" s="8"/>
      <c r="BC4354" s="8"/>
      <c r="BD4354" s="8"/>
      <c r="BE4354" s="8"/>
      <c r="BF4354" s="8">
        <v>45.8</v>
      </c>
      <c r="BG4354" s="8">
        <v>42.9</v>
      </c>
      <c r="BH4354" s="9">
        <f t="shared" si="603"/>
        <v>1425.9699999999998</v>
      </c>
      <c r="BI4354" s="9">
        <f t="shared" si="604"/>
        <v>1.73</v>
      </c>
      <c r="BJ4354" s="9">
        <f t="shared" si="605"/>
        <v>6.85</v>
      </c>
      <c r="BK4354" s="9">
        <f t="shared" si="606"/>
        <v>25.350960000000001</v>
      </c>
      <c r="BL4354" s="9">
        <f t="shared" si="607"/>
        <v>0</v>
      </c>
      <c r="BM4354" s="9">
        <f t="shared" si="608"/>
        <v>0</v>
      </c>
      <c r="BN4354" s="9">
        <f t="shared" si="609"/>
        <v>577.83000000000004</v>
      </c>
      <c r="BO4354" s="9">
        <f t="shared" si="610"/>
        <v>36.94</v>
      </c>
      <c r="BP4354" s="9">
        <f t="shared" si="611"/>
        <v>45.8</v>
      </c>
    </row>
    <row r="4355" spans="1:68">
      <c r="A4355" s="6">
        <v>45363</v>
      </c>
      <c r="B4355" s="7">
        <v>3205</v>
      </c>
      <c r="C4355" s="8">
        <v>692.26</v>
      </c>
      <c r="D4355" s="8">
        <v>385.59</v>
      </c>
      <c r="E4355" s="8">
        <v>461.69</v>
      </c>
      <c r="F4355" s="8"/>
      <c r="G4355" s="8"/>
      <c r="H4355" s="8"/>
      <c r="I4355" s="8"/>
      <c r="J4355" s="8"/>
      <c r="K4355" s="8"/>
      <c r="L4355" s="8"/>
      <c r="M4355" s="8"/>
      <c r="N4355" s="8"/>
      <c r="O4355" s="8">
        <v>6.16</v>
      </c>
      <c r="P4355" s="8"/>
      <c r="Q4355" s="11"/>
      <c r="R4355" s="11"/>
      <c r="S4355" s="8">
        <v>5.69</v>
      </c>
      <c r="T4355" s="8"/>
      <c r="U4355" s="8">
        <v>18.440000000000001</v>
      </c>
      <c r="V4355" s="8"/>
      <c r="W4355" s="8"/>
      <c r="X4355" s="8"/>
      <c r="Y4355" s="8"/>
      <c r="Z4355" s="8">
        <v>153.88999999999999</v>
      </c>
      <c r="AA4355" s="8"/>
      <c r="AB4355" s="8">
        <f>1023*15.37/1000</f>
        <v>15.723509999999999</v>
      </c>
      <c r="AC4355" s="8"/>
      <c r="AD4355" s="8"/>
      <c r="AE4355" s="8"/>
      <c r="AF4355" s="8"/>
      <c r="AG4355" s="8"/>
      <c r="AH4355" s="8"/>
      <c r="AI4355" s="8"/>
      <c r="AJ4355" s="8"/>
      <c r="AK4355" s="8"/>
      <c r="AL4355" s="8"/>
      <c r="AM4355" s="8"/>
      <c r="AN4355" s="8"/>
      <c r="AO4355" s="8"/>
      <c r="AP4355" s="11"/>
      <c r="AQ4355" s="8">
        <f>514*15.37/1000</f>
        <v>7.9001799999999998</v>
      </c>
      <c r="AR4355" s="8"/>
      <c r="AS4355" s="8"/>
      <c r="AT4355" s="8">
        <v>401.34</v>
      </c>
      <c r="AU4355" s="8">
        <v>200.52</v>
      </c>
      <c r="AV4355" s="8"/>
      <c r="AW4355" s="8">
        <v>6.65</v>
      </c>
      <c r="AX4355" s="8"/>
      <c r="AY4355" s="8"/>
      <c r="AZ4355" s="8"/>
      <c r="BA4355" s="8"/>
      <c r="BB4355" s="8"/>
      <c r="BC4355" s="8"/>
      <c r="BD4355" s="8"/>
      <c r="BE4355" s="8"/>
      <c r="BF4355" s="8"/>
      <c r="BG4355" s="8">
        <v>36.03</v>
      </c>
      <c r="BH4355" s="9">
        <f t="shared" si="603"/>
        <v>1539.54</v>
      </c>
      <c r="BI4355" s="9">
        <f t="shared" si="604"/>
        <v>6.16</v>
      </c>
      <c r="BJ4355" s="9">
        <f t="shared" si="605"/>
        <v>5.69</v>
      </c>
      <c r="BK4355" s="9">
        <f t="shared" si="606"/>
        <v>18.440000000000001</v>
      </c>
      <c r="BL4355" s="9">
        <f t="shared" si="607"/>
        <v>153.88999999999999</v>
      </c>
      <c r="BM4355" s="9">
        <f t="shared" si="608"/>
        <v>23.62369</v>
      </c>
      <c r="BN4355" s="9">
        <f t="shared" si="609"/>
        <v>601.86</v>
      </c>
      <c r="BO4355" s="9">
        <f t="shared" si="610"/>
        <v>6.65</v>
      </c>
      <c r="BP4355" s="9">
        <f t="shared" si="611"/>
        <v>0</v>
      </c>
    </row>
    <row r="4356" spans="1:68">
      <c r="A4356" s="6">
        <v>45363</v>
      </c>
      <c r="B4356" s="7">
        <v>3200</v>
      </c>
      <c r="C4356" s="8">
        <v>2346.9499999999998</v>
      </c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>
        <v>5.87</v>
      </c>
      <c r="P4356" s="8"/>
      <c r="Q4356" s="11"/>
      <c r="R4356" s="11"/>
      <c r="S4356" s="8">
        <v>9.15</v>
      </c>
      <c r="T4356" s="8"/>
      <c r="U4356" s="8">
        <v>35.200000000000003</v>
      </c>
      <c r="V4356" s="8"/>
      <c r="W4356" s="8"/>
      <c r="X4356" s="8"/>
      <c r="Y4356" s="8"/>
      <c r="Z4356" s="8">
        <v>493.44</v>
      </c>
      <c r="AA4356" s="8"/>
      <c r="AB4356" s="8"/>
      <c r="AC4356" s="8"/>
      <c r="AD4356" s="8"/>
      <c r="AE4356" s="8"/>
      <c r="AF4356" s="8">
        <v>117.71</v>
      </c>
      <c r="AG4356" s="8"/>
      <c r="AH4356" s="8"/>
      <c r="AI4356" s="8"/>
      <c r="AJ4356" s="8"/>
      <c r="AK4356" s="8"/>
      <c r="AL4356" s="8"/>
      <c r="AM4356" s="8"/>
      <c r="AN4356" s="8"/>
      <c r="AO4356" s="8"/>
      <c r="AP4356" s="11"/>
      <c r="AQ4356" s="8">
        <f>1523*23.47/1000</f>
        <v>35.744810000000001</v>
      </c>
      <c r="AR4356" s="8"/>
      <c r="AS4356" s="8"/>
      <c r="AT4356" s="8">
        <v>1609.85</v>
      </c>
      <c r="AU4356" s="8"/>
      <c r="AV4356" s="8"/>
      <c r="AW4356" s="8">
        <v>6.91</v>
      </c>
      <c r="AX4356" s="8"/>
      <c r="AY4356" s="8"/>
      <c r="AZ4356" s="8"/>
      <c r="BA4356" s="8"/>
      <c r="BB4356" s="8"/>
      <c r="BC4356" s="8"/>
      <c r="BD4356" s="8"/>
      <c r="BE4356" s="8"/>
      <c r="BF4356" s="8">
        <v>112.69</v>
      </c>
      <c r="BG4356" s="8">
        <v>116.11</v>
      </c>
      <c r="BH4356" s="9">
        <f t="shared" ref="BH4356:BH4419" si="612">SUM(C4356:L4356)</f>
        <v>2346.9499999999998</v>
      </c>
      <c r="BI4356" s="9">
        <f t="shared" ref="BI4356:BI4419" si="613">SUM(M4356:R4356)</f>
        <v>5.87</v>
      </c>
      <c r="BJ4356" s="9">
        <f t="shared" ref="BJ4356:BJ4419" si="614">SUM(S4356)</f>
        <v>9.15</v>
      </c>
      <c r="BK4356" s="9">
        <f t="shared" ref="BK4356:BK4419" si="615">SUM(T4356:Y4356)</f>
        <v>35.200000000000003</v>
      </c>
      <c r="BL4356" s="9">
        <f t="shared" ref="BL4356:BL4419" si="616">SUM(Z4356:AA4356)</f>
        <v>493.44</v>
      </c>
      <c r="BM4356" s="9">
        <f t="shared" ref="BM4356:BM4419" si="617">SUM(AB4356:AS4356)</f>
        <v>153.45481000000001</v>
      </c>
      <c r="BN4356" s="9">
        <f t="shared" ref="BN4356:BN4419" si="618">SUM(AT4356:AU4356)</f>
        <v>1609.85</v>
      </c>
      <c r="BO4356" s="9">
        <f t="shared" ref="BO4356:BO4419" si="619">SUM(AV4356:BE4356)</f>
        <v>6.91</v>
      </c>
      <c r="BP4356" s="9">
        <f t="shared" ref="BP4356:BP4419" si="620">SUM(BF4356)</f>
        <v>112.69</v>
      </c>
    </row>
    <row r="4357" spans="1:68">
      <c r="A4357" s="6">
        <v>45363</v>
      </c>
      <c r="B4357" s="7">
        <v>3029</v>
      </c>
      <c r="C4357" s="8"/>
      <c r="D4357" s="8">
        <v>661.88</v>
      </c>
      <c r="E4357" s="8"/>
      <c r="F4357" s="8">
        <v>467.26</v>
      </c>
      <c r="G4357" s="8"/>
      <c r="H4357" s="8"/>
      <c r="I4357" s="8">
        <v>2764.94</v>
      </c>
      <c r="J4357" s="8"/>
      <c r="K4357" s="8"/>
      <c r="L4357" s="8"/>
      <c r="M4357" s="8"/>
      <c r="N4357" s="8">
        <v>31.38</v>
      </c>
      <c r="O4357" s="8"/>
      <c r="P4357" s="8"/>
      <c r="Q4357" s="11"/>
      <c r="R4357" s="11"/>
      <c r="S4357" s="8">
        <v>2.33</v>
      </c>
      <c r="T4357" s="8"/>
      <c r="U4357" s="8"/>
      <c r="V4357" s="8"/>
      <c r="W4357" s="8">
        <v>38.979999999999997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>
        <v>13.54</v>
      </c>
      <c r="AN4357" s="8">
        <f>763*25.98/1000</f>
        <v>19.822740000000003</v>
      </c>
      <c r="AO4357" s="8"/>
      <c r="AP4357" s="11"/>
      <c r="AQ4357" s="8"/>
      <c r="AR4357" s="8">
        <f>4538*25.98/1000</f>
        <v>117.89724000000001</v>
      </c>
      <c r="AS4357" s="8"/>
      <c r="AT4357" s="8">
        <v>1478.85</v>
      </c>
      <c r="AU4357" s="8"/>
      <c r="AV4357" s="8"/>
      <c r="AW4357" s="8"/>
      <c r="AX4357" s="8"/>
      <c r="AY4357" s="8"/>
      <c r="AZ4357" s="8"/>
      <c r="BA4357" s="8"/>
      <c r="BB4357" s="8"/>
      <c r="BC4357" s="8"/>
      <c r="BD4357" s="8"/>
      <c r="BE4357" s="8"/>
      <c r="BF4357" s="8"/>
      <c r="BG4357" s="8">
        <v>103.55</v>
      </c>
      <c r="BH4357" s="9">
        <f t="shared" si="612"/>
        <v>3894.08</v>
      </c>
      <c r="BI4357" s="9">
        <f t="shared" si="613"/>
        <v>31.38</v>
      </c>
      <c r="BJ4357" s="9">
        <f t="shared" si="614"/>
        <v>2.33</v>
      </c>
      <c r="BK4357" s="9">
        <f t="shared" si="615"/>
        <v>38.979999999999997</v>
      </c>
      <c r="BL4357" s="9">
        <f t="shared" si="616"/>
        <v>0</v>
      </c>
      <c r="BM4357" s="9">
        <f t="shared" si="617"/>
        <v>151.25998000000001</v>
      </c>
      <c r="BN4357" s="9">
        <f t="shared" si="618"/>
        <v>1478.85</v>
      </c>
      <c r="BO4357" s="9">
        <f t="shared" si="619"/>
        <v>0</v>
      </c>
      <c r="BP4357" s="9">
        <f t="shared" si="620"/>
        <v>0</v>
      </c>
    </row>
    <row r="4358" spans="1:68">
      <c r="A4358" s="6">
        <v>45363</v>
      </c>
      <c r="B4358" s="7">
        <v>3081</v>
      </c>
      <c r="C4358" s="8"/>
      <c r="D4358" s="8">
        <v>293.13</v>
      </c>
      <c r="E4358" s="8"/>
      <c r="F4358" s="8">
        <v>329.82</v>
      </c>
      <c r="G4358" s="8"/>
      <c r="H4358" s="8"/>
      <c r="I4358" s="8">
        <v>1203.17</v>
      </c>
      <c r="J4358" s="8"/>
      <c r="K4358" s="8"/>
      <c r="L4358" s="8"/>
      <c r="M4358" s="8"/>
      <c r="N4358" s="8">
        <v>13.38</v>
      </c>
      <c r="O4358" s="8"/>
      <c r="P4358" s="8">
        <f>632*11.82/1000</f>
        <v>7.4702399999999995</v>
      </c>
      <c r="Q4358" s="11"/>
      <c r="R4358" s="11"/>
      <c r="S4358" s="8">
        <v>1.28</v>
      </c>
      <c r="T4358" s="8"/>
      <c r="U4358" s="8"/>
      <c r="V4358" s="8"/>
      <c r="W4358" s="8">
        <v>18.329999999999998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11"/>
      <c r="AQ4358" s="8">
        <f>1568*11.82/1000</f>
        <v>18.533760000000001</v>
      </c>
      <c r="AR4358" s="8">
        <f>5438*11.82/1000</f>
        <v>64.277160000000009</v>
      </c>
      <c r="AS4358" s="8"/>
      <c r="AT4358" s="8">
        <v>573.28</v>
      </c>
      <c r="AU4358" s="8"/>
      <c r="AV4358" s="8"/>
      <c r="AW4358" s="8"/>
      <c r="AX4358" s="8"/>
      <c r="AY4358" s="8"/>
      <c r="AZ4358" s="8"/>
      <c r="BA4358" s="8"/>
      <c r="BB4358" s="8"/>
      <c r="BC4358" s="8"/>
      <c r="BD4358" s="8"/>
      <c r="BE4358" s="8"/>
      <c r="BF4358" s="8"/>
      <c r="BG4358" s="8">
        <v>37.979999999999997</v>
      </c>
      <c r="BH4358" s="9">
        <f t="shared" si="612"/>
        <v>1826.1200000000001</v>
      </c>
      <c r="BI4358" s="9">
        <f t="shared" si="613"/>
        <v>20.850239999999999</v>
      </c>
      <c r="BJ4358" s="9">
        <f t="shared" si="614"/>
        <v>1.28</v>
      </c>
      <c r="BK4358" s="9">
        <f t="shared" si="615"/>
        <v>18.329999999999998</v>
      </c>
      <c r="BL4358" s="9">
        <f t="shared" si="616"/>
        <v>0</v>
      </c>
      <c r="BM4358" s="9">
        <f t="shared" si="617"/>
        <v>82.81092000000001</v>
      </c>
      <c r="BN4358" s="9">
        <f t="shared" si="618"/>
        <v>573.28</v>
      </c>
      <c r="BO4358" s="9">
        <f t="shared" si="619"/>
        <v>0</v>
      </c>
      <c r="BP4358" s="9">
        <f t="shared" si="620"/>
        <v>0</v>
      </c>
    </row>
    <row r="4359" spans="1:68">
      <c r="A4359" s="6">
        <v>45363</v>
      </c>
      <c r="B4359" s="7">
        <v>3136</v>
      </c>
      <c r="C4359" s="8">
        <v>1315.82</v>
      </c>
      <c r="D4359" s="8"/>
      <c r="E4359" s="8"/>
      <c r="F4359" s="8"/>
      <c r="G4359" s="8"/>
      <c r="H4359" s="8">
        <v>546.59</v>
      </c>
      <c r="I4359" s="8"/>
      <c r="J4359" s="8"/>
      <c r="K4359" s="8"/>
      <c r="L4359" s="8"/>
      <c r="M4359" s="8">
        <v>2.44</v>
      </c>
      <c r="N4359" s="8"/>
      <c r="O4359" s="8"/>
      <c r="P4359" s="8"/>
      <c r="Q4359" s="11"/>
      <c r="R4359" s="11"/>
      <c r="S4359" s="8">
        <v>6.97</v>
      </c>
      <c r="T4359" s="8"/>
      <c r="U4359" s="8">
        <v>21.1</v>
      </c>
      <c r="V4359" s="8"/>
      <c r="W4359" s="8"/>
      <c r="X4359" s="8"/>
      <c r="Y4359" s="8"/>
      <c r="Z4359" s="8"/>
      <c r="AA4359" s="8"/>
      <c r="AB4359" s="8"/>
      <c r="AC4359" s="8">
        <v>6.48</v>
      </c>
      <c r="AD4359" s="8"/>
      <c r="AE4359" s="8"/>
      <c r="AF4359" s="8"/>
      <c r="AG4359" s="8"/>
      <c r="AH4359" s="8"/>
      <c r="AI4359" s="8"/>
      <c r="AJ4359" s="8"/>
      <c r="AK4359" s="8"/>
      <c r="AL4359" s="8"/>
      <c r="AM4359" s="8"/>
      <c r="AN4359" s="8"/>
      <c r="AO4359" s="8"/>
      <c r="AP4359" s="11"/>
      <c r="AQ4359" s="8"/>
      <c r="AR4359" s="8"/>
      <c r="AS4359" s="8"/>
      <c r="AT4359" s="8">
        <v>1052.52</v>
      </c>
      <c r="AU4359" s="8"/>
      <c r="AV4359" s="8"/>
      <c r="AW4359" s="8"/>
      <c r="AX4359" s="8"/>
      <c r="AY4359" s="8"/>
      <c r="AZ4359" s="8"/>
      <c r="BA4359" s="8">
        <v>16.07</v>
      </c>
      <c r="BB4359" s="8"/>
      <c r="BC4359" s="8"/>
      <c r="BD4359" s="8"/>
      <c r="BE4359" s="8"/>
      <c r="BF4359" s="8">
        <v>64.91</v>
      </c>
      <c r="BG4359" s="8">
        <v>79.59</v>
      </c>
      <c r="BH4359" s="9">
        <f t="shared" si="612"/>
        <v>1862.4099999999999</v>
      </c>
      <c r="BI4359" s="9">
        <f t="shared" si="613"/>
        <v>2.44</v>
      </c>
      <c r="BJ4359" s="9">
        <f t="shared" si="614"/>
        <v>6.97</v>
      </c>
      <c r="BK4359" s="9">
        <f t="shared" si="615"/>
        <v>21.1</v>
      </c>
      <c r="BL4359" s="9">
        <f t="shared" si="616"/>
        <v>0</v>
      </c>
      <c r="BM4359" s="9">
        <f t="shared" si="617"/>
        <v>6.48</v>
      </c>
      <c r="BN4359" s="9">
        <f t="shared" si="618"/>
        <v>1052.52</v>
      </c>
      <c r="BO4359" s="9">
        <f t="shared" si="619"/>
        <v>16.07</v>
      </c>
      <c r="BP4359" s="9">
        <f t="shared" si="620"/>
        <v>64.91</v>
      </c>
    </row>
    <row r="4360" spans="1:68">
      <c r="A4360" s="6">
        <v>45363</v>
      </c>
      <c r="B4360" s="7">
        <v>3113</v>
      </c>
      <c r="C4360" s="8">
        <v>1576.75</v>
      </c>
      <c r="D4360" s="8"/>
      <c r="E4360" s="8"/>
      <c r="F4360" s="8"/>
      <c r="G4360" s="8"/>
      <c r="H4360" s="8"/>
      <c r="I4360" s="8"/>
      <c r="J4360" s="8"/>
      <c r="K4360" s="8"/>
      <c r="L4360" s="8"/>
      <c r="M4360" s="8">
        <v>1.44</v>
      </c>
      <c r="N4360" s="8">
        <v>1.43</v>
      </c>
      <c r="O4360" s="8"/>
      <c r="P4360" s="8"/>
      <c r="Q4360" s="11"/>
      <c r="R4360" s="11"/>
      <c r="S4360" s="8">
        <v>4.7699999999999996</v>
      </c>
      <c r="T4360" s="8"/>
      <c r="U4360" s="8">
        <v>15.81</v>
      </c>
      <c r="V4360" s="8"/>
      <c r="W4360" s="8"/>
      <c r="X4360" s="8"/>
      <c r="Y4360" s="8"/>
      <c r="Z4360" s="8"/>
      <c r="AA4360" s="8"/>
      <c r="AB4360" s="8"/>
      <c r="AC4360" s="8">
        <v>6.32</v>
      </c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11"/>
      <c r="AQ4360" s="8"/>
      <c r="AR4360" s="8"/>
      <c r="AS4360" s="8"/>
      <c r="AT4360" s="8">
        <v>662.27</v>
      </c>
      <c r="AU4360" s="8"/>
      <c r="AV4360" s="8">
        <v>53.76</v>
      </c>
      <c r="AW4360" s="8"/>
      <c r="AX4360" s="8"/>
      <c r="AY4360" s="8"/>
      <c r="AZ4360" s="8"/>
      <c r="BA4360" s="8"/>
      <c r="BB4360" s="8"/>
      <c r="BC4360" s="8"/>
      <c r="BD4360" s="8"/>
      <c r="BE4360" s="8"/>
      <c r="BF4360" s="8"/>
      <c r="BG4360" s="8">
        <v>47.36</v>
      </c>
      <c r="BH4360" s="9">
        <f t="shared" si="612"/>
        <v>1576.75</v>
      </c>
      <c r="BI4360" s="9">
        <f t="shared" si="613"/>
        <v>2.87</v>
      </c>
      <c r="BJ4360" s="9">
        <f t="shared" si="614"/>
        <v>4.7699999999999996</v>
      </c>
      <c r="BK4360" s="9">
        <f t="shared" si="615"/>
        <v>15.81</v>
      </c>
      <c r="BL4360" s="9">
        <f t="shared" si="616"/>
        <v>0</v>
      </c>
      <c r="BM4360" s="9">
        <f t="shared" si="617"/>
        <v>6.32</v>
      </c>
      <c r="BN4360" s="9">
        <f t="shared" si="618"/>
        <v>662.27</v>
      </c>
      <c r="BO4360" s="9">
        <f t="shared" si="619"/>
        <v>53.76</v>
      </c>
      <c r="BP4360" s="9">
        <f t="shared" si="620"/>
        <v>0</v>
      </c>
    </row>
    <row r="4361" spans="1:68">
      <c r="A4361" s="6">
        <v>45364</v>
      </c>
      <c r="B4361" s="7">
        <v>3145</v>
      </c>
      <c r="C4361" s="8">
        <v>677.32</v>
      </c>
      <c r="D4361" s="8">
        <v>119.93</v>
      </c>
      <c r="E4361" s="8"/>
      <c r="F4361" s="8"/>
      <c r="G4361" s="8"/>
      <c r="H4361" s="8"/>
      <c r="I4361" s="8"/>
      <c r="J4361" s="8"/>
      <c r="K4361" s="8"/>
      <c r="L4361" s="8"/>
      <c r="M4361" s="8">
        <v>2.3199999999999998</v>
      </c>
      <c r="N4361" s="8"/>
      <c r="O4361" s="8"/>
      <c r="P4361" s="8"/>
      <c r="Q4361" s="11"/>
      <c r="R4361" s="11"/>
      <c r="S4361" s="8">
        <v>3.76</v>
      </c>
      <c r="T4361" s="8"/>
      <c r="U4361" s="8">
        <v>12.01</v>
      </c>
      <c r="V4361" s="8"/>
      <c r="W4361" s="8"/>
      <c r="X4361" s="8"/>
      <c r="Y4361" s="8"/>
      <c r="Z4361" s="8"/>
      <c r="AA4361" s="8"/>
      <c r="AB4361" s="8"/>
      <c r="AC4361" s="8">
        <v>3.2</v>
      </c>
      <c r="AD4361" s="8"/>
      <c r="AE4361" s="8"/>
      <c r="AF4361" s="8"/>
      <c r="AG4361" s="8"/>
      <c r="AH4361" s="8"/>
      <c r="AI4361" s="8"/>
      <c r="AJ4361" s="8"/>
      <c r="AK4361" s="8"/>
      <c r="AL4361" s="8"/>
      <c r="AM4361" s="8"/>
      <c r="AN4361" s="8"/>
      <c r="AO4361" s="8"/>
      <c r="AP4361" s="11"/>
      <c r="AQ4361" s="8"/>
      <c r="AR4361" s="8"/>
      <c r="AS4361" s="8"/>
      <c r="AT4361" s="8">
        <v>530.23</v>
      </c>
      <c r="AU4361" s="8"/>
      <c r="AV4361" s="8"/>
      <c r="AW4361" s="8"/>
      <c r="AX4361" s="8"/>
      <c r="AY4361" s="8"/>
      <c r="AZ4361" s="8"/>
      <c r="BA4361" s="8"/>
      <c r="BB4361" s="8"/>
      <c r="BC4361" s="8"/>
      <c r="BD4361" s="8">
        <v>2</v>
      </c>
      <c r="BE4361" s="8">
        <f>1370*5.33/1000</f>
        <v>7.3021000000000003</v>
      </c>
      <c r="BF4361" s="8">
        <v>55.99</v>
      </c>
      <c r="BG4361" s="8">
        <v>41.47</v>
      </c>
      <c r="BH4361" s="9">
        <f t="shared" si="612"/>
        <v>797.25</v>
      </c>
      <c r="BI4361" s="9">
        <f t="shared" si="613"/>
        <v>2.3199999999999998</v>
      </c>
      <c r="BJ4361" s="9">
        <f t="shared" si="614"/>
        <v>3.76</v>
      </c>
      <c r="BK4361" s="9">
        <f t="shared" si="615"/>
        <v>12.01</v>
      </c>
      <c r="BL4361" s="9">
        <f t="shared" si="616"/>
        <v>0</v>
      </c>
      <c r="BM4361" s="9">
        <f t="shared" si="617"/>
        <v>3.2</v>
      </c>
      <c r="BN4361" s="9">
        <f t="shared" si="618"/>
        <v>530.23</v>
      </c>
      <c r="BO4361" s="9">
        <f t="shared" si="619"/>
        <v>9.3020999999999994</v>
      </c>
      <c r="BP4361" s="9">
        <f t="shared" si="620"/>
        <v>55.99</v>
      </c>
    </row>
    <row r="4362" spans="1:68">
      <c r="A4362" s="6">
        <v>45364</v>
      </c>
      <c r="B4362" s="7">
        <v>3141</v>
      </c>
      <c r="C4362" s="8">
        <v>2393.88</v>
      </c>
      <c r="D4362" s="8">
        <v>422.46</v>
      </c>
      <c r="E4362" s="8"/>
      <c r="F4362" s="8"/>
      <c r="G4362" s="8"/>
      <c r="H4362" s="8"/>
      <c r="I4362" s="8"/>
      <c r="J4362" s="8"/>
      <c r="K4362" s="8"/>
      <c r="L4362" s="8"/>
      <c r="M4362" s="8">
        <v>8.15</v>
      </c>
      <c r="N4362" s="8"/>
      <c r="O4362" s="8"/>
      <c r="P4362" s="8"/>
      <c r="Q4362" s="11"/>
      <c r="R4362" s="11"/>
      <c r="S4362" s="8">
        <v>13.25</v>
      </c>
      <c r="T4362" s="8"/>
      <c r="U4362" s="8">
        <v>42.26</v>
      </c>
      <c r="V4362" s="8"/>
      <c r="W4362" s="8"/>
      <c r="X4362" s="8"/>
      <c r="Y4362" s="8"/>
      <c r="Z4362" s="8"/>
      <c r="AA4362" s="8"/>
      <c r="AB4362" s="8"/>
      <c r="AC4362" s="8">
        <v>11.27</v>
      </c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11"/>
      <c r="AQ4362" s="8"/>
      <c r="AR4362" s="8"/>
      <c r="AS4362" s="8"/>
      <c r="AT4362" s="8">
        <v>1857.28</v>
      </c>
      <c r="AU4362" s="8"/>
      <c r="AV4362" s="8"/>
      <c r="AW4362" s="8"/>
      <c r="AX4362" s="8"/>
      <c r="AY4362" s="8"/>
      <c r="AZ4362" s="8"/>
      <c r="BA4362" s="8">
        <v>64.58</v>
      </c>
      <c r="BB4362" s="8"/>
      <c r="BC4362" s="8"/>
      <c r="BD4362" s="8"/>
      <c r="BE4362" s="8"/>
      <c r="BF4362" s="8">
        <v>197.23</v>
      </c>
      <c r="BG4362" s="8">
        <v>146.65</v>
      </c>
      <c r="BH4362" s="9">
        <f t="shared" si="612"/>
        <v>2816.34</v>
      </c>
      <c r="BI4362" s="9">
        <f t="shared" si="613"/>
        <v>8.15</v>
      </c>
      <c r="BJ4362" s="9">
        <f t="shared" si="614"/>
        <v>13.25</v>
      </c>
      <c r="BK4362" s="9">
        <f t="shared" si="615"/>
        <v>42.26</v>
      </c>
      <c r="BL4362" s="9">
        <f t="shared" si="616"/>
        <v>0</v>
      </c>
      <c r="BM4362" s="9">
        <f t="shared" si="617"/>
        <v>11.27</v>
      </c>
      <c r="BN4362" s="9">
        <f t="shared" si="618"/>
        <v>1857.28</v>
      </c>
      <c r="BO4362" s="9">
        <f t="shared" si="619"/>
        <v>64.58</v>
      </c>
      <c r="BP4362" s="9">
        <f t="shared" si="620"/>
        <v>197.23</v>
      </c>
    </row>
    <row r="4363" spans="1:68">
      <c r="A4363" s="6">
        <v>45364</v>
      </c>
      <c r="B4363" s="7">
        <v>3106</v>
      </c>
      <c r="C4363" s="8">
        <v>8141.82</v>
      </c>
      <c r="D4363" s="8"/>
      <c r="E4363" s="8"/>
      <c r="F4363" s="8"/>
      <c r="G4363" s="8"/>
      <c r="H4363" s="8"/>
      <c r="I4363" s="8"/>
      <c r="J4363" s="8"/>
      <c r="K4363" s="8"/>
      <c r="L4363" s="8"/>
      <c r="M4363" s="8">
        <v>21.19</v>
      </c>
      <c r="N4363" s="8"/>
      <c r="O4363" s="8"/>
      <c r="P4363" s="8"/>
      <c r="Q4363" s="11"/>
      <c r="R4363" s="11"/>
      <c r="S4363" s="8">
        <v>24.43</v>
      </c>
      <c r="T4363" s="8"/>
      <c r="U4363" s="8">
        <v>103.66</v>
      </c>
      <c r="V4363" s="8"/>
      <c r="W4363" s="8"/>
      <c r="X4363" s="8"/>
      <c r="Y4363" s="8"/>
      <c r="Z4363" s="8"/>
      <c r="AA4363" s="8"/>
      <c r="AB4363" s="8"/>
      <c r="AC4363" s="8">
        <v>20.39</v>
      </c>
      <c r="AD4363" s="8"/>
      <c r="AE4363" s="8"/>
      <c r="AF4363" s="8"/>
      <c r="AG4363" s="8"/>
      <c r="AH4363" s="8"/>
      <c r="AI4363" s="8"/>
      <c r="AJ4363" s="8"/>
      <c r="AK4363" s="8"/>
      <c r="AL4363" s="8"/>
      <c r="AM4363" s="8"/>
      <c r="AN4363" s="8"/>
      <c r="AO4363" s="8"/>
      <c r="AP4363" s="11"/>
      <c r="AQ4363" s="8"/>
      <c r="AR4363" s="8"/>
      <c r="AS4363" s="8"/>
      <c r="AT4363" s="8">
        <v>4644.47</v>
      </c>
      <c r="AU4363" s="8"/>
      <c r="AV4363" s="8"/>
      <c r="AW4363" s="8"/>
      <c r="AX4363" s="8">
        <v>10.199999999999999</v>
      </c>
      <c r="AY4363" s="8"/>
      <c r="AZ4363" s="8"/>
      <c r="BA4363" s="8"/>
      <c r="BB4363" s="8"/>
      <c r="BC4363" s="8"/>
      <c r="BD4363" s="8"/>
      <c r="BE4363" s="8"/>
      <c r="BF4363" s="8"/>
      <c r="BG4363" s="8">
        <v>350.85</v>
      </c>
      <c r="BH4363" s="9">
        <f t="shared" si="612"/>
        <v>8141.82</v>
      </c>
      <c r="BI4363" s="9">
        <f t="shared" si="613"/>
        <v>21.19</v>
      </c>
      <c r="BJ4363" s="9">
        <f t="shared" si="614"/>
        <v>24.43</v>
      </c>
      <c r="BK4363" s="9">
        <f t="shared" si="615"/>
        <v>103.66</v>
      </c>
      <c r="BL4363" s="9">
        <f t="shared" si="616"/>
        <v>0</v>
      </c>
      <c r="BM4363" s="9">
        <f t="shared" si="617"/>
        <v>20.39</v>
      </c>
      <c r="BN4363" s="9">
        <f t="shared" si="618"/>
        <v>4644.47</v>
      </c>
      <c r="BO4363" s="9">
        <f t="shared" si="619"/>
        <v>10.199999999999999</v>
      </c>
      <c r="BP4363" s="9">
        <f t="shared" si="620"/>
        <v>0</v>
      </c>
    </row>
    <row r="4364" spans="1:68">
      <c r="A4364" s="6">
        <v>45364</v>
      </c>
      <c r="B4364" s="7">
        <v>8347</v>
      </c>
      <c r="C4364" s="8">
        <v>785.04</v>
      </c>
      <c r="D4364" s="8">
        <v>138.94</v>
      </c>
      <c r="E4364" s="8"/>
      <c r="F4364" s="8"/>
      <c r="G4364" s="8"/>
      <c r="H4364" s="8"/>
      <c r="I4364" s="8"/>
      <c r="J4364" s="8"/>
      <c r="K4364" s="8"/>
      <c r="L4364" s="8"/>
      <c r="M4364" s="8">
        <v>2.78</v>
      </c>
      <c r="N4364" s="8"/>
      <c r="O4364" s="8"/>
      <c r="P4364" s="8"/>
      <c r="Q4364" s="11"/>
      <c r="R4364" s="11"/>
      <c r="S4364" s="8">
        <v>4.3499999999999996</v>
      </c>
      <c r="T4364" s="8"/>
      <c r="U4364" s="8">
        <v>13.91</v>
      </c>
      <c r="V4364" s="8"/>
      <c r="W4364" s="8"/>
      <c r="X4364" s="8"/>
      <c r="Y4364" s="8"/>
      <c r="Z4364" s="8"/>
      <c r="AA4364" s="8"/>
      <c r="AB4364" s="8"/>
      <c r="AC4364" s="8">
        <v>3.71</v>
      </c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11">
        <f>762*10.28/1000</f>
        <v>7.8333599999999999</v>
      </c>
      <c r="AQ4364" s="8"/>
      <c r="AR4364" s="8"/>
      <c r="AS4364" s="8"/>
      <c r="AT4364" s="8">
        <v>609.24</v>
      </c>
      <c r="AU4364" s="8"/>
      <c r="AV4364" s="8"/>
      <c r="AW4364" s="8"/>
      <c r="AX4364" s="8"/>
      <c r="AY4364" s="8"/>
      <c r="AZ4364" s="8"/>
      <c r="BA4364" s="8"/>
      <c r="BB4364" s="8"/>
      <c r="BC4364" s="8"/>
      <c r="BD4364" s="8"/>
      <c r="BE4364" s="8"/>
      <c r="BF4364" s="8">
        <v>64.88</v>
      </c>
      <c r="BG4364" s="8">
        <v>48.16</v>
      </c>
      <c r="BH4364" s="9">
        <f t="shared" si="612"/>
        <v>923.98</v>
      </c>
      <c r="BI4364" s="9">
        <f t="shared" si="613"/>
        <v>2.78</v>
      </c>
      <c r="BJ4364" s="9">
        <f t="shared" si="614"/>
        <v>4.3499999999999996</v>
      </c>
      <c r="BK4364" s="9">
        <f t="shared" si="615"/>
        <v>13.91</v>
      </c>
      <c r="BL4364" s="9">
        <f t="shared" si="616"/>
        <v>0</v>
      </c>
      <c r="BM4364" s="9">
        <f t="shared" si="617"/>
        <v>11.54336</v>
      </c>
      <c r="BN4364" s="9">
        <f t="shared" si="618"/>
        <v>609.24</v>
      </c>
      <c r="BO4364" s="9">
        <f t="shared" si="619"/>
        <v>0</v>
      </c>
      <c r="BP4364" s="9">
        <f t="shared" si="620"/>
        <v>64.88</v>
      </c>
    </row>
    <row r="4365" spans="1:68">
      <c r="A4365" s="6">
        <v>45364</v>
      </c>
      <c r="B4365" s="7">
        <v>3203</v>
      </c>
      <c r="C4365" s="8">
        <v>1670.79</v>
      </c>
      <c r="D4365" s="8"/>
      <c r="E4365" s="8">
        <v>715.74</v>
      </c>
      <c r="F4365" s="8"/>
      <c r="G4365" s="8"/>
      <c r="H4365" s="8"/>
      <c r="I4365" s="8"/>
      <c r="J4365" s="8"/>
      <c r="K4365" s="8"/>
      <c r="L4365" s="8"/>
      <c r="M4365" s="8"/>
      <c r="N4365" s="8"/>
      <c r="O4365" s="8">
        <v>7.17</v>
      </c>
      <c r="P4365" s="8"/>
      <c r="Q4365" s="11"/>
      <c r="R4365" s="11"/>
      <c r="S4365" s="8">
        <v>9.7899999999999991</v>
      </c>
      <c r="T4365" s="8"/>
      <c r="U4365" s="8">
        <v>29.58</v>
      </c>
      <c r="V4365" s="8"/>
      <c r="W4365" s="8"/>
      <c r="X4365" s="8"/>
      <c r="Y4365" s="8"/>
      <c r="Z4365" s="8">
        <v>375.94</v>
      </c>
      <c r="AA4365" s="8">
        <f>10471*28.07/1000</f>
        <v>293.92097000000001</v>
      </c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11"/>
      <c r="AQ4365" s="8"/>
      <c r="AR4365" s="8"/>
      <c r="AS4365" s="8"/>
      <c r="AT4365" s="8">
        <v>898.17</v>
      </c>
      <c r="AU4365" s="8">
        <v>446.49</v>
      </c>
      <c r="AV4365" s="8"/>
      <c r="AW4365" s="8"/>
      <c r="AX4365" s="8"/>
      <c r="AY4365" s="8"/>
      <c r="AZ4365" s="8"/>
      <c r="BA4365" s="8"/>
      <c r="BB4365" s="8"/>
      <c r="BC4365" s="8">
        <v>6.2</v>
      </c>
      <c r="BD4365" s="8"/>
      <c r="BE4365" s="8"/>
      <c r="BF4365" s="8"/>
      <c r="BG4365" s="8">
        <v>86.8</v>
      </c>
      <c r="BH4365" s="9">
        <f t="shared" si="612"/>
        <v>2386.5299999999997</v>
      </c>
      <c r="BI4365" s="9">
        <f t="shared" si="613"/>
        <v>7.17</v>
      </c>
      <c r="BJ4365" s="9">
        <f t="shared" si="614"/>
        <v>9.7899999999999991</v>
      </c>
      <c r="BK4365" s="9">
        <f t="shared" si="615"/>
        <v>29.58</v>
      </c>
      <c r="BL4365" s="9">
        <f t="shared" si="616"/>
        <v>669.86096999999995</v>
      </c>
      <c r="BM4365" s="9">
        <f t="shared" si="617"/>
        <v>0</v>
      </c>
      <c r="BN4365" s="9">
        <f t="shared" si="618"/>
        <v>1344.6599999999999</v>
      </c>
      <c r="BO4365" s="9">
        <f t="shared" si="619"/>
        <v>6.2</v>
      </c>
      <c r="BP4365" s="9">
        <f t="shared" si="620"/>
        <v>0</v>
      </c>
    </row>
    <row r="4366" spans="1:68">
      <c r="A4366" s="6">
        <v>45364</v>
      </c>
      <c r="B4366" s="7">
        <v>3022</v>
      </c>
      <c r="C4366" s="8"/>
      <c r="D4366" s="8">
        <v>335.4</v>
      </c>
      <c r="E4366" s="8"/>
      <c r="F4366" s="8"/>
      <c r="G4366" s="8"/>
      <c r="H4366" s="8"/>
      <c r="I4366" s="8">
        <v>274.36</v>
      </c>
      <c r="J4366" s="8"/>
      <c r="K4366" s="8"/>
      <c r="L4366" s="8"/>
      <c r="M4366" s="8"/>
      <c r="N4366" s="8">
        <v>3.05</v>
      </c>
      <c r="O4366" s="8"/>
      <c r="P4366" s="8"/>
      <c r="Q4366" s="11"/>
      <c r="R4366" s="11"/>
      <c r="S4366" s="8">
        <v>1.1000000000000001</v>
      </c>
      <c r="T4366" s="8"/>
      <c r="U4366" s="8"/>
      <c r="V4366" s="8"/>
      <c r="W4366" s="8">
        <v>6.1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>
        <v>7.92</v>
      </c>
      <c r="AN4366" s="8"/>
      <c r="AO4366" s="8"/>
      <c r="AP4366" s="11"/>
      <c r="AQ4366" s="8"/>
      <c r="AR4366" s="8"/>
      <c r="AS4366" s="8">
        <f>3859*5.55/1000</f>
        <v>21.417450000000002</v>
      </c>
      <c r="AT4366" s="8">
        <v>285.52999999999997</v>
      </c>
      <c r="AU4366" s="8"/>
      <c r="AV4366" s="8"/>
      <c r="AW4366" s="8"/>
      <c r="AX4366" s="8"/>
      <c r="AY4366" s="8"/>
      <c r="AZ4366" s="8"/>
      <c r="BA4366" s="8"/>
      <c r="BB4366" s="8"/>
      <c r="BC4366" s="8"/>
      <c r="BD4366" s="8"/>
      <c r="BE4366" s="8"/>
      <c r="BF4366" s="8"/>
      <c r="BG4366" s="8">
        <v>22</v>
      </c>
      <c r="BH4366" s="9">
        <f t="shared" si="612"/>
        <v>609.76</v>
      </c>
      <c r="BI4366" s="9">
        <f t="shared" si="613"/>
        <v>3.05</v>
      </c>
      <c r="BJ4366" s="9">
        <f t="shared" si="614"/>
        <v>1.1000000000000001</v>
      </c>
      <c r="BK4366" s="9">
        <f t="shared" si="615"/>
        <v>6.1</v>
      </c>
      <c r="BL4366" s="9">
        <f t="shared" si="616"/>
        <v>0</v>
      </c>
      <c r="BM4366" s="9">
        <f t="shared" si="617"/>
        <v>29.337450000000004</v>
      </c>
      <c r="BN4366" s="9">
        <f t="shared" si="618"/>
        <v>285.52999999999997</v>
      </c>
      <c r="BO4366" s="9">
        <f t="shared" si="619"/>
        <v>0</v>
      </c>
      <c r="BP4366" s="9">
        <f t="shared" si="620"/>
        <v>0</v>
      </c>
    </row>
    <row r="4367" spans="1:68">
      <c r="A4367" s="6">
        <v>45364</v>
      </c>
      <c r="B4367" s="7">
        <v>3023</v>
      </c>
      <c r="C4367" s="8"/>
      <c r="D4367" s="8">
        <v>887.34</v>
      </c>
      <c r="E4367" s="8"/>
      <c r="F4367" s="8"/>
      <c r="G4367" s="8"/>
      <c r="H4367" s="8"/>
      <c r="I4367" s="8">
        <v>478.17</v>
      </c>
      <c r="J4367" s="8"/>
      <c r="K4367" s="8"/>
      <c r="L4367" s="8"/>
      <c r="M4367" s="8"/>
      <c r="N4367" s="8">
        <v>7.77</v>
      </c>
      <c r="O4367" s="8"/>
      <c r="P4367" s="8"/>
      <c r="Q4367" s="11"/>
      <c r="R4367" s="11"/>
      <c r="S4367" s="8">
        <v>2.1800000000000002</v>
      </c>
      <c r="T4367" s="8"/>
      <c r="U4367" s="8"/>
      <c r="V4367" s="8"/>
      <c r="W4367" s="8">
        <v>12.29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8"/>
      <c r="AJ4367" s="8"/>
      <c r="AK4367" s="8"/>
      <c r="AL4367" s="8"/>
      <c r="AM4367" s="8">
        <v>13.65</v>
      </c>
      <c r="AN4367" s="8">
        <f>1016*9.42/1000</f>
        <v>9.5707199999999997</v>
      </c>
      <c r="AO4367" s="8"/>
      <c r="AP4367" s="11"/>
      <c r="AQ4367" s="8"/>
      <c r="AR4367" s="8"/>
      <c r="AS4367" s="8">
        <f>4752*9.42/1000</f>
        <v>44.763839999999995</v>
      </c>
      <c r="AT4367" s="8">
        <v>559.61</v>
      </c>
      <c r="AU4367" s="8"/>
      <c r="AV4367" s="8"/>
      <c r="AW4367" s="8"/>
      <c r="AX4367" s="8"/>
      <c r="AY4367" s="8"/>
      <c r="AZ4367" s="8"/>
      <c r="BA4367" s="8"/>
      <c r="BB4367" s="8"/>
      <c r="BC4367" s="8"/>
      <c r="BD4367" s="8"/>
      <c r="BE4367" s="8"/>
      <c r="BF4367" s="8"/>
      <c r="BG4367" s="8">
        <v>42.3</v>
      </c>
      <c r="BH4367" s="9">
        <f t="shared" si="612"/>
        <v>1365.51</v>
      </c>
      <c r="BI4367" s="9">
        <f t="shared" si="613"/>
        <v>7.77</v>
      </c>
      <c r="BJ4367" s="9">
        <f t="shared" si="614"/>
        <v>2.1800000000000002</v>
      </c>
      <c r="BK4367" s="9">
        <f t="shared" si="615"/>
        <v>12.29</v>
      </c>
      <c r="BL4367" s="9">
        <f t="shared" si="616"/>
        <v>0</v>
      </c>
      <c r="BM4367" s="9">
        <f t="shared" si="617"/>
        <v>67.984559999999988</v>
      </c>
      <c r="BN4367" s="9">
        <f t="shared" si="618"/>
        <v>559.61</v>
      </c>
      <c r="BO4367" s="9">
        <f t="shared" si="619"/>
        <v>0</v>
      </c>
      <c r="BP4367" s="9">
        <f t="shared" si="620"/>
        <v>0</v>
      </c>
    </row>
    <row r="4368" spans="1:68">
      <c r="A4368" s="6">
        <v>45364</v>
      </c>
      <c r="B4368" s="7">
        <v>3083</v>
      </c>
      <c r="C4368" s="8"/>
      <c r="D4368" s="8">
        <v>730.19</v>
      </c>
      <c r="E4368" s="8"/>
      <c r="F4368" s="8"/>
      <c r="G4368" s="8"/>
      <c r="H4368" s="8"/>
      <c r="I4368" s="8">
        <v>1696.28</v>
      </c>
      <c r="J4368" s="8"/>
      <c r="K4368" s="8"/>
      <c r="L4368" s="8"/>
      <c r="M4368" s="8"/>
      <c r="N4368" s="8">
        <v>15.78</v>
      </c>
      <c r="O4368" s="8"/>
      <c r="P4368" s="8"/>
      <c r="Q4368" s="11"/>
      <c r="R4368" s="11"/>
      <c r="S4368" s="8">
        <v>1.69</v>
      </c>
      <c r="T4368" s="8"/>
      <c r="U4368" s="8"/>
      <c r="V4368" s="8"/>
      <c r="W4368" s="8">
        <v>19.440000000000001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>
        <v>9.66</v>
      </c>
      <c r="AN4368" s="8">
        <f>1912*17.98/1000</f>
        <v>34.377760000000002</v>
      </c>
      <c r="AO4368" s="8"/>
      <c r="AP4368" s="11"/>
      <c r="AQ4368" s="8"/>
      <c r="AR4368" s="8">
        <f>3397*17.98/1000</f>
        <v>61.078060000000008</v>
      </c>
      <c r="AS4368" s="8"/>
      <c r="AT4368" s="8">
        <v>1143.72</v>
      </c>
      <c r="AU4368" s="8"/>
      <c r="AV4368" s="8"/>
      <c r="AW4368" s="8"/>
      <c r="AX4368" s="8"/>
      <c r="AY4368" s="8"/>
      <c r="AZ4368" s="8"/>
      <c r="BA4368" s="8"/>
      <c r="BB4368" s="8"/>
      <c r="BC4368" s="8"/>
      <c r="BD4368" s="8"/>
      <c r="BE4368" s="8"/>
      <c r="BF4368" s="8"/>
      <c r="BG4368" s="8">
        <v>90.48</v>
      </c>
      <c r="BH4368" s="9">
        <f t="shared" si="612"/>
        <v>2426.4700000000003</v>
      </c>
      <c r="BI4368" s="9">
        <f t="shared" si="613"/>
        <v>15.78</v>
      </c>
      <c r="BJ4368" s="9">
        <f t="shared" si="614"/>
        <v>1.69</v>
      </c>
      <c r="BK4368" s="9">
        <f t="shared" si="615"/>
        <v>19.440000000000001</v>
      </c>
      <c r="BL4368" s="9">
        <f t="shared" si="616"/>
        <v>0</v>
      </c>
      <c r="BM4368" s="9">
        <f t="shared" si="617"/>
        <v>105.11582000000001</v>
      </c>
      <c r="BN4368" s="9">
        <f t="shared" si="618"/>
        <v>1143.72</v>
      </c>
      <c r="BO4368" s="9">
        <f t="shared" si="619"/>
        <v>0</v>
      </c>
      <c r="BP4368" s="9">
        <f t="shared" si="620"/>
        <v>0</v>
      </c>
    </row>
    <row r="4369" spans="1:68">
      <c r="A4369" s="6">
        <v>45364</v>
      </c>
      <c r="B4369" s="7">
        <v>3704</v>
      </c>
      <c r="C4369" s="8">
        <v>627.57000000000005</v>
      </c>
      <c r="D4369" s="8">
        <v>944.83</v>
      </c>
      <c r="E4369" s="8"/>
      <c r="F4369" s="8"/>
      <c r="G4369" s="8"/>
      <c r="H4369" s="8"/>
      <c r="I4369" s="8"/>
      <c r="J4369" s="8"/>
      <c r="K4369" s="8"/>
      <c r="L4369" s="8"/>
      <c r="M4369" s="8">
        <v>4.72</v>
      </c>
      <c r="N4369" s="8"/>
      <c r="O4369" s="8"/>
      <c r="P4369" s="8"/>
      <c r="Q4369" s="11"/>
      <c r="R4369" s="11"/>
      <c r="S4369" s="8">
        <v>5.49</v>
      </c>
      <c r="T4369" s="8"/>
      <c r="U4369" s="8">
        <v>11.78</v>
      </c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/>
      <c r="AM4369" s="8">
        <v>18.84</v>
      </c>
      <c r="AN4369" s="8"/>
      <c r="AO4369" s="8"/>
      <c r="AP4369" s="11"/>
      <c r="AQ4369" s="8"/>
      <c r="AR4369" s="8"/>
      <c r="AS4369" s="8"/>
      <c r="AT4369" s="8">
        <v>272.57</v>
      </c>
      <c r="AU4369" s="8">
        <v>136.07</v>
      </c>
      <c r="AV4369" s="8"/>
      <c r="AW4369" s="8"/>
      <c r="AX4369" s="8"/>
      <c r="AY4369" s="8"/>
      <c r="AZ4369" s="8"/>
      <c r="BA4369" s="8"/>
      <c r="BB4369" s="8"/>
      <c r="BC4369" s="8"/>
      <c r="BD4369" s="8"/>
      <c r="BE4369" s="8"/>
      <c r="BF4369" s="8"/>
      <c r="BG4369" s="8">
        <v>24.86</v>
      </c>
      <c r="BH4369" s="9">
        <f t="shared" si="612"/>
        <v>1572.4</v>
      </c>
      <c r="BI4369" s="9">
        <f t="shared" si="613"/>
        <v>4.72</v>
      </c>
      <c r="BJ4369" s="9">
        <f t="shared" si="614"/>
        <v>5.49</v>
      </c>
      <c r="BK4369" s="9">
        <f t="shared" si="615"/>
        <v>11.78</v>
      </c>
      <c r="BL4369" s="9">
        <f t="shared" si="616"/>
        <v>0</v>
      </c>
      <c r="BM4369" s="9">
        <f t="shared" si="617"/>
        <v>18.84</v>
      </c>
      <c r="BN4369" s="9">
        <f t="shared" si="618"/>
        <v>408.64</v>
      </c>
      <c r="BO4369" s="9">
        <f t="shared" si="619"/>
        <v>0</v>
      </c>
      <c r="BP4369" s="9">
        <f t="shared" si="620"/>
        <v>0</v>
      </c>
    </row>
    <row r="4370" spans="1:68">
      <c r="A4370" s="6">
        <v>45365</v>
      </c>
      <c r="B4370" s="7">
        <v>3141</v>
      </c>
      <c r="C4370" s="8">
        <v>2406.25</v>
      </c>
      <c r="D4370" s="8">
        <v>424.41</v>
      </c>
      <c r="E4370" s="8"/>
      <c r="F4370" s="8"/>
      <c r="G4370" s="8"/>
      <c r="H4370" s="8"/>
      <c r="I4370" s="8"/>
      <c r="J4370" s="8"/>
      <c r="K4370" s="8"/>
      <c r="L4370" s="8"/>
      <c r="M4370" s="8">
        <v>8.44</v>
      </c>
      <c r="N4370" s="8"/>
      <c r="O4370" s="8"/>
      <c r="P4370" s="8"/>
      <c r="Q4370" s="11"/>
      <c r="R4370" s="11"/>
      <c r="S4370" s="8">
        <v>13.36</v>
      </c>
      <c r="T4370" s="8"/>
      <c r="U4370" s="8">
        <v>42.63</v>
      </c>
      <c r="V4370" s="8"/>
      <c r="W4370" s="8"/>
      <c r="X4370" s="8"/>
      <c r="Y4370" s="8"/>
      <c r="Z4370" s="8"/>
      <c r="AA4370" s="8"/>
      <c r="AB4370" s="8"/>
      <c r="AC4370" s="8">
        <v>11.37</v>
      </c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11"/>
      <c r="AQ4370" s="8"/>
      <c r="AR4370" s="8"/>
      <c r="AS4370" s="8"/>
      <c r="AT4370" s="8">
        <v>1864.76</v>
      </c>
      <c r="AU4370" s="8"/>
      <c r="AV4370" s="8"/>
      <c r="AW4370" s="8"/>
      <c r="AX4370" s="8"/>
      <c r="AY4370" s="8"/>
      <c r="AZ4370" s="8"/>
      <c r="BA4370" s="8">
        <v>65.08</v>
      </c>
      <c r="BB4370" s="8"/>
      <c r="BC4370" s="8"/>
      <c r="BD4370" s="8"/>
      <c r="BE4370" s="8"/>
      <c r="BF4370" s="8">
        <v>198.86</v>
      </c>
      <c r="BG4370" s="8">
        <v>147.88999999999999</v>
      </c>
      <c r="BH4370" s="9">
        <f t="shared" si="612"/>
        <v>2830.66</v>
      </c>
      <c r="BI4370" s="9">
        <f t="shared" si="613"/>
        <v>8.44</v>
      </c>
      <c r="BJ4370" s="9">
        <f t="shared" si="614"/>
        <v>13.36</v>
      </c>
      <c r="BK4370" s="9">
        <f t="shared" si="615"/>
        <v>42.63</v>
      </c>
      <c r="BL4370" s="9">
        <f t="shared" si="616"/>
        <v>0</v>
      </c>
      <c r="BM4370" s="9">
        <f t="shared" si="617"/>
        <v>11.37</v>
      </c>
      <c r="BN4370" s="9">
        <f t="shared" si="618"/>
        <v>1864.76</v>
      </c>
      <c r="BO4370" s="9">
        <f t="shared" si="619"/>
        <v>65.08</v>
      </c>
      <c r="BP4370" s="9">
        <f t="shared" si="620"/>
        <v>198.86</v>
      </c>
    </row>
    <row r="4371" spans="1:68">
      <c r="A4371" s="6">
        <v>45365</v>
      </c>
      <c r="B4371" s="7">
        <v>3106</v>
      </c>
      <c r="C4371" s="8">
        <f>720.34+4571.24</f>
        <v>5291.58</v>
      </c>
      <c r="D4371" s="8"/>
      <c r="E4371" s="8"/>
      <c r="F4371" s="8"/>
      <c r="G4371" s="8"/>
      <c r="H4371" s="8"/>
      <c r="I4371" s="8"/>
      <c r="J4371" s="8"/>
      <c r="K4371" s="8"/>
      <c r="L4371" s="8"/>
      <c r="M4371" s="8">
        <f>1.95+12.34</f>
        <v>14.29</v>
      </c>
      <c r="N4371" s="8"/>
      <c r="O4371" s="8"/>
      <c r="P4371" s="8"/>
      <c r="Q4371" s="11"/>
      <c r="R4371" s="11"/>
      <c r="S4371" s="8">
        <f>2.16+13.71</f>
        <v>15.870000000000001</v>
      </c>
      <c r="T4371" s="8"/>
      <c r="U4371" s="8">
        <f>9.16+58.19</f>
        <v>67.349999999999994</v>
      </c>
      <c r="V4371" s="8"/>
      <c r="W4371" s="8"/>
      <c r="X4371" s="8"/>
      <c r="Y4371" s="8"/>
      <c r="Z4371" s="8"/>
      <c r="AA4371" s="8"/>
      <c r="AB4371" s="8"/>
      <c r="AC4371" s="8">
        <f>1.8+11.44</f>
        <v>13.24</v>
      </c>
      <c r="AD4371" s="8"/>
      <c r="AE4371" s="8"/>
      <c r="AF4371" s="8"/>
      <c r="AG4371" s="8"/>
      <c r="AH4371" s="8"/>
      <c r="AI4371" s="8"/>
      <c r="AJ4371" s="8"/>
      <c r="AK4371" s="8"/>
      <c r="AL4371" s="8"/>
      <c r="AM4371" s="8"/>
      <c r="AN4371" s="8"/>
      <c r="AO4371" s="8"/>
      <c r="AP4371" s="11"/>
      <c r="AQ4371" s="8"/>
      <c r="AR4371" s="8"/>
      <c r="AS4371" s="8"/>
      <c r="AT4371" s="8">
        <f>411.09+2610.8</f>
        <v>3021.8900000000003</v>
      </c>
      <c r="AU4371" s="8"/>
      <c r="AV4371" s="8"/>
      <c r="AW4371" s="8"/>
      <c r="AX4371" s="8">
        <f>0.9+5.72</f>
        <v>6.62</v>
      </c>
      <c r="AY4371" s="8"/>
      <c r="AZ4371" s="8"/>
      <c r="BA4371" s="8"/>
      <c r="BB4371" s="8"/>
      <c r="BC4371" s="8"/>
      <c r="BD4371" s="8"/>
      <c r="BE4371" s="8"/>
      <c r="BF4371" s="8"/>
      <c r="BG4371" s="8">
        <f>31.09+196.42</f>
        <v>227.51</v>
      </c>
      <c r="BH4371" s="9">
        <f t="shared" si="612"/>
        <v>5291.58</v>
      </c>
      <c r="BI4371" s="9">
        <f t="shared" si="613"/>
        <v>14.29</v>
      </c>
      <c r="BJ4371" s="9">
        <f t="shared" si="614"/>
        <v>15.870000000000001</v>
      </c>
      <c r="BK4371" s="9">
        <f t="shared" si="615"/>
        <v>67.349999999999994</v>
      </c>
      <c r="BL4371" s="9">
        <f t="shared" si="616"/>
        <v>0</v>
      </c>
      <c r="BM4371" s="9">
        <f t="shared" si="617"/>
        <v>13.24</v>
      </c>
      <c r="BN4371" s="9">
        <f t="shared" si="618"/>
        <v>3021.8900000000003</v>
      </c>
      <c r="BO4371" s="9">
        <f t="shared" si="619"/>
        <v>6.62</v>
      </c>
      <c r="BP4371" s="9">
        <f t="shared" si="620"/>
        <v>0</v>
      </c>
    </row>
    <row r="4372" spans="1:68">
      <c r="A4372" s="6">
        <v>45365</v>
      </c>
      <c r="B4372" s="7">
        <v>3016</v>
      </c>
      <c r="C4372" s="8"/>
      <c r="D4372" s="8">
        <f>63.52+830.25</f>
        <v>893.77</v>
      </c>
      <c r="E4372" s="8"/>
      <c r="F4372" s="8"/>
      <c r="G4372" s="8"/>
      <c r="H4372" s="8"/>
      <c r="I4372" s="8">
        <f>58.14+763.49</f>
        <v>821.63</v>
      </c>
      <c r="J4372" s="8"/>
      <c r="K4372" s="8"/>
      <c r="L4372" s="8"/>
      <c r="M4372" s="8"/>
      <c r="N4372" s="8">
        <f>0.78+10.2</f>
        <v>10.979999999999999</v>
      </c>
      <c r="O4372" s="8"/>
      <c r="P4372" s="8"/>
      <c r="Q4372" s="11"/>
      <c r="R4372" s="11"/>
      <c r="S4372" s="8">
        <f>0.09+1.12</f>
        <v>1.2100000000000002</v>
      </c>
      <c r="T4372" s="8"/>
      <c r="U4372" s="8"/>
      <c r="V4372" s="8"/>
      <c r="W4372" s="8">
        <f>1.22+15.95</f>
        <v>17.169999999999998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>
        <f>0.49+6.33</f>
        <v>6.82</v>
      </c>
      <c r="AN4372" s="8">
        <f>2052*10.09/1000</f>
        <v>20.70468</v>
      </c>
      <c r="AO4372" s="8"/>
      <c r="AP4372" s="11"/>
      <c r="AQ4372" s="8"/>
      <c r="AR4372" s="8">
        <f>4265*10.09/1000</f>
        <v>43.033850000000001</v>
      </c>
      <c r="AS4372" s="8"/>
      <c r="AT4372" s="8">
        <f>45.38+594.62</f>
        <v>640</v>
      </c>
      <c r="AU4372" s="8"/>
      <c r="AV4372" s="8"/>
      <c r="AW4372" s="8"/>
      <c r="AX4372" s="8"/>
      <c r="AY4372" s="8"/>
      <c r="AZ4372" s="8"/>
      <c r="BA4372" s="8"/>
      <c r="BB4372" s="8"/>
      <c r="BC4372" s="8"/>
      <c r="BD4372" s="8"/>
      <c r="BE4372" s="8"/>
      <c r="BF4372" s="8"/>
      <c r="BG4372" s="8">
        <f>3.32+43.3</f>
        <v>46.62</v>
      </c>
      <c r="BH4372" s="9">
        <f t="shared" si="612"/>
        <v>1715.4</v>
      </c>
      <c r="BI4372" s="9">
        <f t="shared" si="613"/>
        <v>10.979999999999999</v>
      </c>
      <c r="BJ4372" s="9">
        <f t="shared" si="614"/>
        <v>1.2100000000000002</v>
      </c>
      <c r="BK4372" s="9">
        <f t="shared" si="615"/>
        <v>17.169999999999998</v>
      </c>
      <c r="BL4372" s="9">
        <f t="shared" si="616"/>
        <v>0</v>
      </c>
      <c r="BM4372" s="9">
        <f t="shared" si="617"/>
        <v>70.558530000000005</v>
      </c>
      <c r="BN4372" s="9">
        <f t="shared" si="618"/>
        <v>640</v>
      </c>
      <c r="BO4372" s="9">
        <f t="shared" si="619"/>
        <v>0</v>
      </c>
      <c r="BP4372" s="9">
        <f t="shared" si="620"/>
        <v>0</v>
      </c>
    </row>
    <row r="4373" spans="1:68">
      <c r="A4373" s="6">
        <v>45365</v>
      </c>
      <c r="B4373" s="7">
        <v>3204</v>
      </c>
      <c r="C4373" s="8"/>
      <c r="D4373" s="8">
        <v>997.58</v>
      </c>
      <c r="E4373" s="8">
        <v>426.96</v>
      </c>
      <c r="F4373" s="8"/>
      <c r="G4373" s="8"/>
      <c r="H4373" s="8"/>
      <c r="I4373" s="8"/>
      <c r="J4373" s="8"/>
      <c r="K4373" s="8"/>
      <c r="L4373" s="8"/>
      <c r="M4373" s="8"/>
      <c r="N4373" s="8"/>
      <c r="O4373" s="8">
        <v>7.13</v>
      </c>
      <c r="P4373" s="8"/>
      <c r="Q4373" s="11"/>
      <c r="R4373" s="11"/>
      <c r="S4373" s="8">
        <v>15.68</v>
      </c>
      <c r="T4373" s="8"/>
      <c r="U4373" s="8">
        <v>15.68</v>
      </c>
      <c r="V4373" s="8"/>
      <c r="W4373" s="8"/>
      <c r="X4373" s="8"/>
      <c r="Y4373" s="8"/>
      <c r="Z4373" s="8">
        <v>213.72</v>
      </c>
      <c r="AA4373" s="8"/>
      <c r="AB4373" s="8">
        <f>703*10.17/1000</f>
        <v>7.1495100000000003</v>
      </c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11"/>
      <c r="AQ4373" s="8"/>
      <c r="AR4373" s="8"/>
      <c r="AS4373" s="8"/>
      <c r="AT4373" s="8">
        <v>628.35</v>
      </c>
      <c r="AU4373" s="8"/>
      <c r="AV4373" s="8"/>
      <c r="AW4373" s="8">
        <v>4.57</v>
      </c>
      <c r="AX4373" s="8"/>
      <c r="AY4373" s="8"/>
      <c r="AZ4373" s="8"/>
      <c r="BA4373" s="8"/>
      <c r="BB4373" s="8"/>
      <c r="BC4373" s="8"/>
      <c r="BD4373" s="8"/>
      <c r="BE4373" s="8"/>
      <c r="BF4373" s="8"/>
      <c r="BG4373" s="8">
        <v>46.32</v>
      </c>
      <c r="BH4373" s="9">
        <f t="shared" si="612"/>
        <v>1424.54</v>
      </c>
      <c r="BI4373" s="9">
        <f t="shared" si="613"/>
        <v>7.13</v>
      </c>
      <c r="BJ4373" s="9">
        <f t="shared" si="614"/>
        <v>15.68</v>
      </c>
      <c r="BK4373" s="9">
        <f t="shared" si="615"/>
        <v>15.68</v>
      </c>
      <c r="BL4373" s="9">
        <f t="shared" si="616"/>
        <v>213.72</v>
      </c>
      <c r="BM4373" s="9">
        <f t="shared" si="617"/>
        <v>7.1495100000000003</v>
      </c>
      <c r="BN4373" s="9">
        <f t="shared" si="618"/>
        <v>628.35</v>
      </c>
      <c r="BO4373" s="9">
        <f t="shared" si="619"/>
        <v>4.57</v>
      </c>
      <c r="BP4373" s="9">
        <f t="shared" si="620"/>
        <v>0</v>
      </c>
    </row>
    <row r="4374" spans="1:68">
      <c r="A4374" s="6">
        <v>45366</v>
      </c>
      <c r="B4374" s="7">
        <v>3106</v>
      </c>
      <c r="C4374" s="8">
        <v>4129</v>
      </c>
      <c r="D4374" s="8"/>
      <c r="E4374" s="8"/>
      <c r="F4374" s="8"/>
      <c r="G4374" s="8"/>
      <c r="H4374" s="8"/>
      <c r="I4374" s="8"/>
      <c r="J4374" s="8"/>
      <c r="K4374" s="8"/>
      <c r="L4374" s="8"/>
      <c r="M4374" s="8">
        <v>11.14</v>
      </c>
      <c r="N4374" s="8"/>
      <c r="O4374" s="8"/>
      <c r="P4374" s="8"/>
      <c r="Q4374" s="11"/>
      <c r="R4374" s="11"/>
      <c r="S4374" s="8">
        <v>12.38</v>
      </c>
      <c r="T4374" s="8"/>
      <c r="U4374" s="8">
        <v>52.49</v>
      </c>
      <c r="V4374" s="8"/>
      <c r="W4374" s="8"/>
      <c r="X4374" s="8"/>
      <c r="Y4374" s="8"/>
      <c r="Z4374" s="8"/>
      <c r="AA4374" s="8"/>
      <c r="AB4374" s="8"/>
      <c r="AC4374" s="8">
        <v>10.32</v>
      </c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11"/>
      <c r="AQ4374" s="8"/>
      <c r="AR4374" s="8"/>
      <c r="AS4374" s="8"/>
      <c r="AT4374" s="8">
        <v>2353.1799999999998</v>
      </c>
      <c r="AU4374" s="8"/>
      <c r="AV4374" s="8"/>
      <c r="AW4374" s="8"/>
      <c r="AX4374" s="8">
        <v>5.16</v>
      </c>
      <c r="AY4374" s="8"/>
      <c r="AZ4374" s="8"/>
      <c r="BA4374" s="8"/>
      <c r="BB4374" s="8"/>
      <c r="BC4374" s="8"/>
      <c r="BD4374" s="8"/>
      <c r="BE4374" s="8"/>
      <c r="BF4374" s="8"/>
      <c r="BG4374" s="8">
        <v>177.63</v>
      </c>
      <c r="BH4374" s="9">
        <f t="shared" si="612"/>
        <v>4129</v>
      </c>
      <c r="BI4374" s="9">
        <f t="shared" si="613"/>
        <v>11.14</v>
      </c>
      <c r="BJ4374" s="9">
        <f t="shared" si="614"/>
        <v>12.38</v>
      </c>
      <c r="BK4374" s="9">
        <f t="shared" si="615"/>
        <v>52.49</v>
      </c>
      <c r="BL4374" s="9">
        <f t="shared" si="616"/>
        <v>0</v>
      </c>
      <c r="BM4374" s="9">
        <f t="shared" si="617"/>
        <v>10.32</v>
      </c>
      <c r="BN4374" s="9">
        <f t="shared" si="618"/>
        <v>2353.1799999999998</v>
      </c>
      <c r="BO4374" s="9">
        <f t="shared" si="619"/>
        <v>5.16</v>
      </c>
      <c r="BP4374" s="9">
        <f t="shared" si="620"/>
        <v>0</v>
      </c>
    </row>
    <row r="4375" spans="1:68">
      <c r="A4375" s="6">
        <v>45366</v>
      </c>
      <c r="B4375" s="7">
        <v>3079</v>
      </c>
      <c r="C4375" s="8"/>
      <c r="D4375" s="8"/>
      <c r="E4375" s="8"/>
      <c r="F4375" s="8">
        <v>335.06</v>
      </c>
      <c r="G4375" s="8"/>
      <c r="H4375" s="8"/>
      <c r="I4375" s="8">
        <v>2710.88</v>
      </c>
      <c r="J4375" s="8"/>
      <c r="K4375" s="8"/>
      <c r="L4375" s="8"/>
      <c r="M4375" s="8"/>
      <c r="N4375" s="8">
        <v>22.23</v>
      </c>
      <c r="O4375" s="8"/>
      <c r="P4375" s="8"/>
      <c r="Q4375" s="11"/>
      <c r="R4375" s="11"/>
      <c r="S4375" s="8">
        <v>1.22</v>
      </c>
      <c r="T4375" s="8"/>
      <c r="U4375" s="8"/>
      <c r="V4375" s="8"/>
      <c r="W4375" s="8">
        <v>30.5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8"/>
      <c r="AJ4375" s="8"/>
      <c r="AK4375" s="8"/>
      <c r="AL4375" s="8"/>
      <c r="AM4375" s="8">
        <v>12.1</v>
      </c>
      <c r="AN4375" s="8">
        <f>1723*17.92/1000</f>
        <v>30.876160000000002</v>
      </c>
      <c r="AO4375" s="8"/>
      <c r="AP4375" s="11"/>
      <c r="AQ4375" s="8"/>
      <c r="AR4375" s="8">
        <f>4337*17.92/1000</f>
        <v>77.719040000000007</v>
      </c>
      <c r="AS4375" s="8"/>
      <c r="AT4375" s="8">
        <v>1174.97</v>
      </c>
      <c r="AU4375" s="8"/>
      <c r="AV4375" s="8"/>
      <c r="AW4375" s="8"/>
      <c r="AX4375" s="8"/>
      <c r="AY4375" s="8"/>
      <c r="AZ4375" s="8"/>
      <c r="BA4375" s="8"/>
      <c r="BB4375" s="8"/>
      <c r="BC4375" s="8"/>
      <c r="BD4375" s="8"/>
      <c r="BE4375" s="8"/>
      <c r="BF4375" s="8"/>
      <c r="BG4375" s="8">
        <v>85.04</v>
      </c>
      <c r="BH4375" s="9">
        <f t="shared" si="612"/>
        <v>3045.94</v>
      </c>
      <c r="BI4375" s="9">
        <f t="shared" si="613"/>
        <v>22.23</v>
      </c>
      <c r="BJ4375" s="9">
        <f t="shared" si="614"/>
        <v>1.22</v>
      </c>
      <c r="BK4375" s="9">
        <f t="shared" si="615"/>
        <v>30.5</v>
      </c>
      <c r="BL4375" s="9">
        <f t="shared" si="616"/>
        <v>0</v>
      </c>
      <c r="BM4375" s="9">
        <f t="shared" si="617"/>
        <v>120.6952</v>
      </c>
      <c r="BN4375" s="9">
        <f t="shared" si="618"/>
        <v>1174.97</v>
      </c>
      <c r="BO4375" s="9">
        <f t="shared" si="619"/>
        <v>0</v>
      </c>
      <c r="BP4375" s="9">
        <f t="shared" si="620"/>
        <v>0</v>
      </c>
    </row>
    <row r="4376" spans="1:68">
      <c r="A4376" s="6">
        <v>45366</v>
      </c>
      <c r="B4376" s="7">
        <v>3016</v>
      </c>
      <c r="C4376" s="8"/>
      <c r="D4376" s="8">
        <v>1568.4</v>
      </c>
      <c r="E4376" s="8"/>
      <c r="F4376" s="8"/>
      <c r="G4376" s="8"/>
      <c r="H4376" s="8"/>
      <c r="I4376" s="8">
        <v>1450.14</v>
      </c>
      <c r="J4376" s="8"/>
      <c r="K4376" s="8"/>
      <c r="L4376" s="8"/>
      <c r="M4376" s="8"/>
      <c r="N4376" s="8">
        <v>19.309999999999999</v>
      </c>
      <c r="O4376" s="8"/>
      <c r="P4376" s="8"/>
      <c r="Q4376" s="11"/>
      <c r="R4376" s="11"/>
      <c r="S4376" s="8">
        <v>2.11</v>
      </c>
      <c r="T4376" s="8"/>
      <c r="U4376" s="8"/>
      <c r="V4376" s="8"/>
      <c r="W4376" s="8">
        <v>30.19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>
        <v>12.09</v>
      </c>
      <c r="AN4376" s="8">
        <f>2053*17.75/1000</f>
        <v>36.440750000000001</v>
      </c>
      <c r="AO4376" s="8"/>
      <c r="AP4376" s="11"/>
      <c r="AQ4376" s="8"/>
      <c r="AR4376" s="8">
        <f>4337*17.75/1000</f>
        <v>76.981750000000005</v>
      </c>
      <c r="AS4376" s="8"/>
      <c r="AT4376" s="8">
        <v>1121.95</v>
      </c>
      <c r="AU4376" s="8"/>
      <c r="AV4376" s="8"/>
      <c r="AW4376" s="8"/>
      <c r="AX4376" s="8"/>
      <c r="AY4376" s="8"/>
      <c r="AZ4376" s="8"/>
      <c r="BA4376" s="8"/>
      <c r="BB4376" s="8"/>
      <c r="BC4376" s="8"/>
      <c r="BD4376" s="8"/>
      <c r="BE4376" s="8"/>
      <c r="BF4376" s="8"/>
      <c r="BG4376" s="8">
        <v>81.99</v>
      </c>
      <c r="BH4376" s="9">
        <f t="shared" si="612"/>
        <v>3018.54</v>
      </c>
      <c r="BI4376" s="9">
        <f t="shared" si="613"/>
        <v>19.309999999999999</v>
      </c>
      <c r="BJ4376" s="9">
        <f t="shared" si="614"/>
        <v>2.11</v>
      </c>
      <c r="BK4376" s="9">
        <f t="shared" si="615"/>
        <v>30.19</v>
      </c>
      <c r="BL4376" s="9">
        <f t="shared" si="616"/>
        <v>0</v>
      </c>
      <c r="BM4376" s="9">
        <f t="shared" si="617"/>
        <v>125.5125</v>
      </c>
      <c r="BN4376" s="9">
        <f t="shared" si="618"/>
        <v>1121.95</v>
      </c>
      <c r="BO4376" s="9">
        <f t="shared" si="619"/>
        <v>0</v>
      </c>
      <c r="BP4376" s="9">
        <f t="shared" si="620"/>
        <v>0</v>
      </c>
    </row>
    <row r="4377" spans="1:68">
      <c r="A4377" s="6">
        <v>45366</v>
      </c>
      <c r="B4377" s="7">
        <v>3083</v>
      </c>
      <c r="C4377" s="8"/>
      <c r="D4377" s="8">
        <v>1071.5899999999999</v>
      </c>
      <c r="E4377" s="8"/>
      <c r="F4377" s="8"/>
      <c r="G4377" s="8"/>
      <c r="H4377" s="8"/>
      <c r="I4377" s="8">
        <v>2498.7199999999998</v>
      </c>
      <c r="J4377" s="8"/>
      <c r="K4377" s="8"/>
      <c r="L4377" s="8"/>
      <c r="M4377" s="8"/>
      <c r="N4377" s="8">
        <v>23.22</v>
      </c>
      <c r="O4377" s="8"/>
      <c r="P4377" s="8"/>
      <c r="Q4377" s="11"/>
      <c r="R4377" s="11"/>
      <c r="S4377" s="8">
        <v>2.4900000000000002</v>
      </c>
      <c r="T4377" s="8"/>
      <c r="U4377" s="8"/>
      <c r="V4377" s="8"/>
      <c r="W4377" s="8">
        <v>28.55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  <c r="AI4377" s="8"/>
      <c r="AJ4377" s="8"/>
      <c r="AK4377" s="8"/>
      <c r="AL4377" s="8"/>
      <c r="AM4377" s="8">
        <v>14.26</v>
      </c>
      <c r="AN4377" s="8">
        <f>1908*26.43/1000</f>
        <v>50.428440000000002</v>
      </c>
      <c r="AO4377" s="8"/>
      <c r="AP4377" s="11"/>
      <c r="AQ4377" s="8"/>
      <c r="AR4377" s="8">
        <f>3395*26.43/1000</f>
        <v>89.729849999999999</v>
      </c>
      <c r="AS4377" s="8"/>
      <c r="AT4377" s="8">
        <v>1678.27</v>
      </c>
      <c r="AU4377" s="8"/>
      <c r="AV4377" s="8"/>
      <c r="AW4377" s="8"/>
      <c r="AX4377" s="8"/>
      <c r="AY4377" s="8"/>
      <c r="AZ4377" s="8"/>
      <c r="BA4377" s="8"/>
      <c r="BB4377" s="8"/>
      <c r="BC4377" s="8"/>
      <c r="BD4377" s="8"/>
      <c r="BE4377" s="8"/>
      <c r="BF4377" s="8"/>
      <c r="BG4377" s="8">
        <v>132.97</v>
      </c>
      <c r="BH4377" s="9">
        <f t="shared" si="612"/>
        <v>3570.3099999999995</v>
      </c>
      <c r="BI4377" s="9">
        <f t="shared" si="613"/>
        <v>23.22</v>
      </c>
      <c r="BJ4377" s="9">
        <f t="shared" si="614"/>
        <v>2.4900000000000002</v>
      </c>
      <c r="BK4377" s="9">
        <f t="shared" si="615"/>
        <v>28.55</v>
      </c>
      <c r="BL4377" s="9">
        <f t="shared" si="616"/>
        <v>0</v>
      </c>
      <c r="BM4377" s="9">
        <f t="shared" si="617"/>
        <v>154.41829000000001</v>
      </c>
      <c r="BN4377" s="9">
        <f t="shared" si="618"/>
        <v>1678.27</v>
      </c>
      <c r="BO4377" s="9">
        <f t="shared" si="619"/>
        <v>0</v>
      </c>
      <c r="BP4377" s="9">
        <f t="shared" si="620"/>
        <v>0</v>
      </c>
    </row>
    <row r="4378" spans="1:68">
      <c r="A4378" s="6">
        <v>45366</v>
      </c>
      <c r="B4378" s="7">
        <v>3601</v>
      </c>
      <c r="C4378" s="8">
        <v>576.74</v>
      </c>
      <c r="D4378" s="8"/>
      <c r="E4378" s="8"/>
      <c r="F4378" s="8"/>
      <c r="G4378" s="8">
        <v>864.93</v>
      </c>
      <c r="H4378" s="8"/>
      <c r="I4378" s="8"/>
      <c r="J4378" s="8"/>
      <c r="K4378" s="8"/>
      <c r="L4378" s="8"/>
      <c r="M4378" s="8">
        <v>1.74</v>
      </c>
      <c r="N4378" s="8"/>
      <c r="O4378" s="8"/>
      <c r="P4378" s="8"/>
      <c r="Q4378" s="11"/>
      <c r="R4378" s="11"/>
      <c r="S4378" s="8">
        <v>6.92</v>
      </c>
      <c r="T4378" s="8"/>
      <c r="U4378" s="8">
        <v>8.67</v>
      </c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11"/>
      <c r="AQ4378" s="8"/>
      <c r="AR4378" s="8"/>
      <c r="AS4378" s="8"/>
      <c r="AT4378" s="8">
        <v>707.94</v>
      </c>
      <c r="AU4378" s="8"/>
      <c r="AV4378" s="8"/>
      <c r="AW4378" s="8">
        <v>43.89</v>
      </c>
      <c r="AX4378" s="8"/>
      <c r="AY4378" s="8"/>
      <c r="AZ4378" s="8"/>
      <c r="BA4378" s="8"/>
      <c r="BB4378" s="8"/>
      <c r="BC4378" s="8"/>
      <c r="BD4378" s="8"/>
      <c r="BE4378" s="8"/>
      <c r="BF4378" s="8">
        <v>80.790000000000006</v>
      </c>
      <c r="BG4378" s="8">
        <v>51.41</v>
      </c>
      <c r="BH4378" s="9">
        <f t="shared" si="612"/>
        <v>1441.67</v>
      </c>
      <c r="BI4378" s="9">
        <f t="shared" si="613"/>
        <v>1.74</v>
      </c>
      <c r="BJ4378" s="9">
        <f t="shared" si="614"/>
        <v>6.92</v>
      </c>
      <c r="BK4378" s="9">
        <f t="shared" si="615"/>
        <v>8.67</v>
      </c>
      <c r="BL4378" s="9">
        <f t="shared" si="616"/>
        <v>0</v>
      </c>
      <c r="BM4378" s="9">
        <f t="shared" si="617"/>
        <v>0</v>
      </c>
      <c r="BN4378" s="9">
        <f t="shared" si="618"/>
        <v>707.94</v>
      </c>
      <c r="BO4378" s="9">
        <f t="shared" si="619"/>
        <v>43.89</v>
      </c>
      <c r="BP4378" s="9">
        <f t="shared" si="620"/>
        <v>80.790000000000006</v>
      </c>
    </row>
    <row r="4379" spans="1:68">
      <c r="A4379" s="6">
        <v>45366</v>
      </c>
      <c r="B4379" s="7">
        <v>3602</v>
      </c>
      <c r="C4379" s="8">
        <v>289.92</v>
      </c>
      <c r="D4379" s="8"/>
      <c r="E4379" s="8"/>
      <c r="F4379" s="8"/>
      <c r="G4379" s="8">
        <v>434.41</v>
      </c>
      <c r="H4379" s="8"/>
      <c r="I4379" s="8"/>
      <c r="J4379" s="8"/>
      <c r="K4379" s="8"/>
      <c r="L4379" s="8"/>
      <c r="M4379" s="8">
        <v>0.88</v>
      </c>
      <c r="N4379" s="8"/>
      <c r="O4379" s="8"/>
      <c r="P4379" s="8"/>
      <c r="Q4379" s="11"/>
      <c r="R4379" s="11"/>
      <c r="S4379" s="8">
        <v>3.48</v>
      </c>
      <c r="T4379" s="8"/>
      <c r="U4379" s="8">
        <v>5.79</v>
      </c>
      <c r="V4379" s="8">
        <f>853*8.28/1000</f>
        <v>7.0628399999999996</v>
      </c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8"/>
      <c r="AJ4379" s="8"/>
      <c r="AK4379" s="8"/>
      <c r="AL4379" s="8"/>
      <c r="AM4379" s="8"/>
      <c r="AN4379" s="8"/>
      <c r="AO4379" s="8"/>
      <c r="AP4379" s="11"/>
      <c r="AQ4379" s="8"/>
      <c r="AR4379" s="8"/>
      <c r="AS4379" s="8"/>
      <c r="AT4379" s="8">
        <v>292.57</v>
      </c>
      <c r="AU4379" s="8"/>
      <c r="AV4379" s="8"/>
      <c r="AW4379" s="8">
        <v>18.73</v>
      </c>
      <c r="AX4379" s="8"/>
      <c r="AY4379" s="8"/>
      <c r="AZ4379" s="8"/>
      <c r="BA4379" s="8"/>
      <c r="BB4379" s="8"/>
      <c r="BC4379" s="8"/>
      <c r="BD4379" s="8"/>
      <c r="BE4379" s="8"/>
      <c r="BF4379" s="8">
        <v>23.23</v>
      </c>
      <c r="BG4379" s="8">
        <v>21.85</v>
      </c>
      <c r="BH4379" s="9">
        <f t="shared" si="612"/>
        <v>724.33</v>
      </c>
      <c r="BI4379" s="9">
        <f t="shared" si="613"/>
        <v>0.88</v>
      </c>
      <c r="BJ4379" s="9">
        <f t="shared" si="614"/>
        <v>3.48</v>
      </c>
      <c r="BK4379" s="9">
        <f t="shared" si="615"/>
        <v>12.85284</v>
      </c>
      <c r="BL4379" s="9">
        <f t="shared" si="616"/>
        <v>0</v>
      </c>
      <c r="BM4379" s="9">
        <f t="shared" si="617"/>
        <v>0</v>
      </c>
      <c r="BN4379" s="9">
        <f t="shared" si="618"/>
        <v>292.57</v>
      </c>
      <c r="BO4379" s="9">
        <f t="shared" si="619"/>
        <v>18.73</v>
      </c>
      <c r="BP4379" s="9">
        <f t="shared" si="620"/>
        <v>23.23</v>
      </c>
    </row>
    <row r="4380" spans="1:68">
      <c r="A4380" s="6">
        <v>45366</v>
      </c>
      <c r="B4380" s="7">
        <v>3139</v>
      </c>
      <c r="C4380" s="8">
        <v>968.69</v>
      </c>
      <c r="D4380" s="8"/>
      <c r="E4380" s="8"/>
      <c r="F4380" s="8"/>
      <c r="G4380" s="8"/>
      <c r="H4380" s="8">
        <v>405.55</v>
      </c>
      <c r="I4380" s="8"/>
      <c r="J4380" s="8"/>
      <c r="K4380" s="8"/>
      <c r="L4380" s="8"/>
      <c r="M4380" s="8">
        <v>2.2599999999999998</v>
      </c>
      <c r="N4380" s="8"/>
      <c r="O4380" s="8"/>
      <c r="P4380" s="8"/>
      <c r="Q4380" s="11"/>
      <c r="R4380" s="11"/>
      <c r="S4380" s="8">
        <v>4.28</v>
      </c>
      <c r="T4380" s="8"/>
      <c r="U4380" s="8">
        <v>14.3</v>
      </c>
      <c r="V4380" s="8"/>
      <c r="W4380" s="8"/>
      <c r="X4380" s="8"/>
      <c r="Y4380" s="8"/>
      <c r="Z4380" s="8"/>
      <c r="AA4380" s="8"/>
      <c r="AB4380" s="8"/>
      <c r="AC4380" s="8">
        <v>4.76</v>
      </c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11"/>
      <c r="AQ4380" s="8"/>
      <c r="AR4380" s="8"/>
      <c r="AS4380" s="8"/>
      <c r="AT4380" s="8">
        <v>704.15</v>
      </c>
      <c r="AU4380" s="8"/>
      <c r="AV4380" s="8">
        <v>23.75</v>
      </c>
      <c r="AW4380" s="8"/>
      <c r="AX4380" s="8"/>
      <c r="AY4380" s="8"/>
      <c r="AZ4380" s="8"/>
      <c r="BA4380" s="8"/>
      <c r="BB4380" s="8"/>
      <c r="BC4380" s="8"/>
      <c r="BD4380" s="8"/>
      <c r="BE4380" s="8"/>
      <c r="BF4380" s="8"/>
      <c r="BG4380" s="8">
        <v>51.18</v>
      </c>
      <c r="BH4380" s="9">
        <f t="shared" si="612"/>
        <v>1374.24</v>
      </c>
      <c r="BI4380" s="9">
        <f t="shared" si="613"/>
        <v>2.2599999999999998</v>
      </c>
      <c r="BJ4380" s="9">
        <f t="shared" si="614"/>
        <v>4.28</v>
      </c>
      <c r="BK4380" s="9">
        <f t="shared" si="615"/>
        <v>14.3</v>
      </c>
      <c r="BL4380" s="9">
        <f t="shared" si="616"/>
        <v>0</v>
      </c>
      <c r="BM4380" s="9">
        <f t="shared" si="617"/>
        <v>4.76</v>
      </c>
      <c r="BN4380" s="9">
        <f t="shared" si="618"/>
        <v>704.15</v>
      </c>
      <c r="BO4380" s="9">
        <f t="shared" si="619"/>
        <v>23.75</v>
      </c>
      <c r="BP4380" s="9">
        <f t="shared" si="620"/>
        <v>0</v>
      </c>
    </row>
    <row r="4381" spans="1:68">
      <c r="A4381" s="6">
        <v>45369</v>
      </c>
      <c r="B4381" s="7">
        <v>3200</v>
      </c>
      <c r="C4381" s="8">
        <v>2330.66</v>
      </c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>
        <v>5.87</v>
      </c>
      <c r="P4381" s="8"/>
      <c r="Q4381" s="11"/>
      <c r="R4381" s="11"/>
      <c r="S4381" s="8">
        <v>9.11</v>
      </c>
      <c r="T4381" s="8"/>
      <c r="U4381" s="8">
        <v>35.14</v>
      </c>
      <c r="V4381" s="8"/>
      <c r="W4381" s="8"/>
      <c r="X4381" s="8"/>
      <c r="Y4381" s="8"/>
      <c r="Z4381" s="8">
        <v>490.78</v>
      </c>
      <c r="AA4381" s="8"/>
      <c r="AB4381" s="8"/>
      <c r="AC4381" s="8"/>
      <c r="AD4381" s="8"/>
      <c r="AE4381" s="8"/>
      <c r="AF4381" s="8">
        <v>116.65</v>
      </c>
      <c r="AG4381" s="8"/>
      <c r="AH4381" s="8"/>
      <c r="AI4381" s="8"/>
      <c r="AJ4381" s="8"/>
      <c r="AK4381" s="8"/>
      <c r="AL4381" s="8"/>
      <c r="AM4381" s="8"/>
      <c r="AN4381" s="8"/>
      <c r="AO4381" s="8"/>
      <c r="AP4381" s="11"/>
      <c r="AQ4381" s="8">
        <f>1519*23.35/1000</f>
        <v>35.468650000000004</v>
      </c>
      <c r="AR4381" s="8"/>
      <c r="AS4381" s="8"/>
      <c r="AT4381" s="8">
        <v>1600.14</v>
      </c>
      <c r="AU4381" s="8"/>
      <c r="AV4381" s="8"/>
      <c r="AW4381" s="8">
        <v>6.61</v>
      </c>
      <c r="AX4381" s="8"/>
      <c r="AY4381" s="8"/>
      <c r="AZ4381" s="8"/>
      <c r="BA4381" s="8"/>
      <c r="BB4381" s="8"/>
      <c r="BC4381" s="8"/>
      <c r="BD4381" s="8"/>
      <c r="BE4381" s="8"/>
      <c r="BF4381" s="8">
        <v>112.15</v>
      </c>
      <c r="BG4381" s="8">
        <v>115.95</v>
      </c>
      <c r="BH4381" s="9">
        <f t="shared" si="612"/>
        <v>2330.66</v>
      </c>
      <c r="BI4381" s="9">
        <f t="shared" si="613"/>
        <v>5.87</v>
      </c>
      <c r="BJ4381" s="9">
        <f t="shared" si="614"/>
        <v>9.11</v>
      </c>
      <c r="BK4381" s="9">
        <f t="shared" si="615"/>
        <v>35.14</v>
      </c>
      <c r="BL4381" s="9">
        <f t="shared" si="616"/>
        <v>490.78</v>
      </c>
      <c r="BM4381" s="9">
        <f t="shared" si="617"/>
        <v>152.11865</v>
      </c>
      <c r="BN4381" s="9">
        <f t="shared" si="618"/>
        <v>1600.14</v>
      </c>
      <c r="BO4381" s="9">
        <f t="shared" si="619"/>
        <v>6.61</v>
      </c>
      <c r="BP4381" s="9">
        <f t="shared" si="620"/>
        <v>112.15</v>
      </c>
    </row>
    <row r="4382" spans="1:68">
      <c r="A4382" s="6">
        <v>45369</v>
      </c>
      <c r="B4382" s="7">
        <v>3106</v>
      </c>
      <c r="C4382" s="8">
        <v>4105.9799999999996</v>
      </c>
      <c r="D4382" s="8"/>
      <c r="E4382" s="8"/>
      <c r="F4382" s="8"/>
      <c r="G4382" s="8"/>
      <c r="H4382" s="8"/>
      <c r="I4382" s="8"/>
      <c r="J4382" s="8"/>
      <c r="K4382" s="8"/>
      <c r="L4382" s="8"/>
      <c r="M4382" s="8">
        <v>10.6</v>
      </c>
      <c r="N4382" s="8"/>
      <c r="O4382" s="8"/>
      <c r="P4382" s="8"/>
      <c r="Q4382" s="11"/>
      <c r="R4382" s="11"/>
      <c r="S4382" s="8">
        <v>12.31</v>
      </c>
      <c r="T4382" s="8"/>
      <c r="U4382" s="8">
        <v>52.09</v>
      </c>
      <c r="V4382" s="8"/>
      <c r="W4382" s="8"/>
      <c r="X4382" s="8"/>
      <c r="Y4382" s="8"/>
      <c r="Z4382" s="8"/>
      <c r="AA4382" s="8"/>
      <c r="AB4382" s="8"/>
      <c r="AC4382" s="8">
        <v>10.24</v>
      </c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11"/>
      <c r="AQ4382" s="8"/>
      <c r="AR4382" s="8"/>
      <c r="AS4382" s="8"/>
      <c r="AT4382" s="8">
        <v>2334.4499999999998</v>
      </c>
      <c r="AU4382" s="8"/>
      <c r="AV4382" s="8"/>
      <c r="AW4382" s="8"/>
      <c r="AX4382" s="8">
        <v>5.12</v>
      </c>
      <c r="AY4382" s="8"/>
      <c r="AZ4382" s="8"/>
      <c r="BA4382" s="8"/>
      <c r="BB4382" s="8"/>
      <c r="BC4382" s="8"/>
      <c r="BD4382" s="8"/>
      <c r="BE4382" s="8"/>
      <c r="BF4382" s="8"/>
      <c r="BG4382" s="8">
        <v>176.68</v>
      </c>
      <c r="BH4382" s="9">
        <f t="shared" si="612"/>
        <v>4105.9799999999996</v>
      </c>
      <c r="BI4382" s="9">
        <f t="shared" si="613"/>
        <v>10.6</v>
      </c>
      <c r="BJ4382" s="9">
        <f t="shared" si="614"/>
        <v>12.31</v>
      </c>
      <c r="BK4382" s="9">
        <f t="shared" si="615"/>
        <v>52.09</v>
      </c>
      <c r="BL4382" s="9">
        <f t="shared" si="616"/>
        <v>0</v>
      </c>
      <c r="BM4382" s="9">
        <f t="shared" si="617"/>
        <v>10.24</v>
      </c>
      <c r="BN4382" s="9">
        <f t="shared" si="618"/>
        <v>2334.4499999999998</v>
      </c>
      <c r="BO4382" s="9">
        <f t="shared" si="619"/>
        <v>5.12</v>
      </c>
      <c r="BP4382" s="9">
        <f t="shared" si="620"/>
        <v>0</v>
      </c>
    </row>
    <row r="4383" spans="1:68">
      <c r="A4383" s="6">
        <v>45369</v>
      </c>
      <c r="B4383" s="7">
        <v>3136</v>
      </c>
      <c r="C4383" s="8">
        <v>1273.28</v>
      </c>
      <c r="D4383" s="8"/>
      <c r="E4383" s="8"/>
      <c r="F4383" s="8"/>
      <c r="G4383" s="8"/>
      <c r="H4383" s="8">
        <v>527.22</v>
      </c>
      <c r="I4383" s="8"/>
      <c r="J4383" s="8"/>
      <c r="K4383" s="8"/>
      <c r="L4383" s="8"/>
      <c r="M4383" s="8">
        <v>2.35</v>
      </c>
      <c r="N4383" s="8"/>
      <c r="O4383" s="8"/>
      <c r="P4383" s="8"/>
      <c r="Q4383" s="11"/>
      <c r="R4383" s="11"/>
      <c r="S4383" s="8">
        <v>6.72</v>
      </c>
      <c r="T4383" s="8"/>
      <c r="U4383" s="8">
        <v>20.3</v>
      </c>
      <c r="V4383" s="8"/>
      <c r="W4383" s="8"/>
      <c r="X4383" s="8"/>
      <c r="Y4383" s="8"/>
      <c r="Z4383" s="8"/>
      <c r="AA4383" s="8"/>
      <c r="AB4383" s="8"/>
      <c r="AC4383" s="8">
        <v>6.25</v>
      </c>
      <c r="AD4383" s="8"/>
      <c r="AE4383" s="8"/>
      <c r="AF4383" s="8"/>
      <c r="AG4383" s="8"/>
      <c r="AH4383" s="8"/>
      <c r="AI4383" s="8"/>
      <c r="AJ4383" s="8"/>
      <c r="AK4383" s="8"/>
      <c r="AL4383" s="8"/>
      <c r="AM4383" s="8"/>
      <c r="AN4383" s="8"/>
      <c r="AO4383" s="8"/>
      <c r="AP4383" s="11"/>
      <c r="AQ4383" s="8"/>
      <c r="AR4383" s="8"/>
      <c r="AS4383" s="8"/>
      <c r="AT4383" s="8">
        <v>1016.76</v>
      </c>
      <c r="AU4383" s="8"/>
      <c r="AV4383" s="8"/>
      <c r="AW4383" s="8"/>
      <c r="AX4383" s="8"/>
      <c r="AY4383" s="8"/>
      <c r="AZ4383" s="8"/>
      <c r="BA4383" s="8">
        <v>15.47</v>
      </c>
      <c r="BB4383" s="8"/>
      <c r="BC4383" s="8"/>
      <c r="BD4383" s="8"/>
      <c r="BE4383" s="8"/>
      <c r="BF4383" s="8">
        <v>62.51</v>
      </c>
      <c r="BG4383" s="8">
        <v>76.790000000000006</v>
      </c>
      <c r="BH4383" s="9">
        <f t="shared" si="612"/>
        <v>1800.5</v>
      </c>
      <c r="BI4383" s="9">
        <f t="shared" si="613"/>
        <v>2.35</v>
      </c>
      <c r="BJ4383" s="9">
        <f t="shared" si="614"/>
        <v>6.72</v>
      </c>
      <c r="BK4383" s="9">
        <f t="shared" si="615"/>
        <v>20.3</v>
      </c>
      <c r="BL4383" s="9">
        <f t="shared" si="616"/>
        <v>0</v>
      </c>
      <c r="BM4383" s="9">
        <f t="shared" si="617"/>
        <v>6.25</v>
      </c>
      <c r="BN4383" s="9">
        <f t="shared" si="618"/>
        <v>1016.76</v>
      </c>
      <c r="BO4383" s="9">
        <f t="shared" si="619"/>
        <v>15.47</v>
      </c>
      <c r="BP4383" s="9">
        <f t="shared" si="620"/>
        <v>62.51</v>
      </c>
    </row>
    <row r="4384" spans="1:68">
      <c r="A4384" s="6">
        <v>45369</v>
      </c>
      <c r="B4384" s="7">
        <v>3144</v>
      </c>
      <c r="C4384" s="8">
        <v>672.57</v>
      </c>
      <c r="D4384" s="8">
        <v>118.29</v>
      </c>
      <c r="E4384" s="8"/>
      <c r="F4384" s="8"/>
      <c r="G4384" s="8"/>
      <c r="H4384" s="8"/>
      <c r="I4384" s="8"/>
      <c r="J4384" s="8"/>
      <c r="K4384" s="8"/>
      <c r="L4384" s="8"/>
      <c r="M4384" s="8">
        <v>2.31</v>
      </c>
      <c r="N4384" s="8"/>
      <c r="O4384" s="8"/>
      <c r="P4384" s="8"/>
      <c r="Q4384" s="11"/>
      <c r="R4384" s="11"/>
      <c r="S4384" s="8">
        <v>3.74</v>
      </c>
      <c r="T4384" s="8"/>
      <c r="U4384" s="8">
        <v>11.96</v>
      </c>
      <c r="V4384" s="8"/>
      <c r="W4384" s="8"/>
      <c r="X4384" s="8"/>
      <c r="Y4384" s="8"/>
      <c r="Z4384" s="8"/>
      <c r="AA4384" s="8"/>
      <c r="AB4384" s="8"/>
      <c r="AC4384" s="8">
        <v>3.19</v>
      </c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11">
        <f>1219*5.3/1000</f>
        <v>6.4607000000000001</v>
      </c>
      <c r="AQ4384" s="8"/>
      <c r="AR4384" s="8"/>
      <c r="AS4384" s="8"/>
      <c r="AT4384" s="8">
        <v>524.55999999999995</v>
      </c>
      <c r="AU4384" s="8"/>
      <c r="AV4384" s="8"/>
      <c r="AW4384" s="8"/>
      <c r="AX4384" s="8"/>
      <c r="AY4384" s="8"/>
      <c r="AZ4384" s="8"/>
      <c r="BA4384" s="8"/>
      <c r="BB4384" s="8"/>
      <c r="BC4384" s="8"/>
      <c r="BD4384" s="8"/>
      <c r="BE4384" s="8"/>
      <c r="BF4384" s="8">
        <v>55.75</v>
      </c>
      <c r="BG4384" s="8">
        <v>41.36</v>
      </c>
      <c r="BH4384" s="9">
        <f t="shared" si="612"/>
        <v>790.86</v>
      </c>
      <c r="BI4384" s="9">
        <f t="shared" si="613"/>
        <v>2.31</v>
      </c>
      <c r="BJ4384" s="9">
        <f t="shared" si="614"/>
        <v>3.74</v>
      </c>
      <c r="BK4384" s="9">
        <f t="shared" si="615"/>
        <v>11.96</v>
      </c>
      <c r="BL4384" s="9">
        <f t="shared" si="616"/>
        <v>0</v>
      </c>
      <c r="BM4384" s="9">
        <f t="shared" si="617"/>
        <v>9.6507000000000005</v>
      </c>
      <c r="BN4384" s="9">
        <f t="shared" si="618"/>
        <v>524.55999999999995</v>
      </c>
      <c r="BO4384" s="9">
        <f t="shared" si="619"/>
        <v>0</v>
      </c>
      <c r="BP4384" s="9">
        <f t="shared" si="620"/>
        <v>55.75</v>
      </c>
    </row>
    <row r="4385" spans="1:68">
      <c r="A4385" s="6">
        <v>45369</v>
      </c>
      <c r="B4385" s="7">
        <v>3029</v>
      </c>
      <c r="C4385" s="8"/>
      <c r="D4385" s="8">
        <v>655.1</v>
      </c>
      <c r="E4385" s="8"/>
      <c r="F4385" s="8">
        <v>461.74</v>
      </c>
      <c r="G4385" s="8"/>
      <c r="H4385" s="8"/>
      <c r="I4385" s="8">
        <v>2733.51</v>
      </c>
      <c r="J4385" s="8"/>
      <c r="K4385" s="8"/>
      <c r="L4385" s="8"/>
      <c r="M4385" s="8"/>
      <c r="N4385" s="8">
        <v>30.91</v>
      </c>
      <c r="O4385" s="8"/>
      <c r="P4385" s="8"/>
      <c r="Q4385" s="11"/>
      <c r="R4385" s="11"/>
      <c r="S4385" s="8">
        <v>2.31</v>
      </c>
      <c r="T4385" s="8"/>
      <c r="U4385" s="8"/>
      <c r="V4385" s="8"/>
      <c r="W4385" s="8">
        <v>38.64</v>
      </c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8"/>
      <c r="AJ4385" s="8"/>
      <c r="AK4385" s="8"/>
      <c r="AL4385" s="8"/>
      <c r="AM4385" s="8">
        <v>13.41</v>
      </c>
      <c r="AN4385" s="8">
        <f>761*25.73/1000</f>
        <v>19.58053</v>
      </c>
      <c r="AO4385" s="8"/>
      <c r="AP4385" s="11"/>
      <c r="AQ4385" s="8"/>
      <c r="AR4385" s="8">
        <f>4599*25.73/1000</f>
        <v>118.33227000000001</v>
      </c>
      <c r="AS4385" s="8"/>
      <c r="AT4385" s="8">
        <v>1465.67</v>
      </c>
      <c r="AU4385" s="8"/>
      <c r="AV4385" s="8"/>
      <c r="AW4385" s="8"/>
      <c r="AX4385" s="8"/>
      <c r="AY4385" s="8"/>
      <c r="AZ4385" s="8"/>
      <c r="BA4385" s="8"/>
      <c r="BB4385" s="8"/>
      <c r="BC4385" s="8"/>
      <c r="BD4385" s="8"/>
      <c r="BE4385" s="8"/>
      <c r="BF4385" s="8"/>
      <c r="BG4385" s="8">
        <v>102.2</v>
      </c>
      <c r="BH4385" s="9">
        <f t="shared" si="612"/>
        <v>3850.3500000000004</v>
      </c>
      <c r="BI4385" s="9">
        <f t="shared" si="613"/>
        <v>30.91</v>
      </c>
      <c r="BJ4385" s="9">
        <f t="shared" si="614"/>
        <v>2.31</v>
      </c>
      <c r="BK4385" s="9">
        <f t="shared" si="615"/>
        <v>38.64</v>
      </c>
      <c r="BL4385" s="9">
        <f t="shared" si="616"/>
        <v>0</v>
      </c>
      <c r="BM4385" s="9">
        <f t="shared" si="617"/>
        <v>151.3228</v>
      </c>
      <c r="BN4385" s="9">
        <f t="shared" si="618"/>
        <v>1465.67</v>
      </c>
      <c r="BO4385" s="9">
        <f t="shared" si="619"/>
        <v>0</v>
      </c>
      <c r="BP4385" s="9">
        <f t="shared" si="620"/>
        <v>0</v>
      </c>
    </row>
    <row r="4386" spans="1:68">
      <c r="A4386" s="6">
        <v>45370</v>
      </c>
      <c r="B4386" s="7">
        <v>3141</v>
      </c>
      <c r="C4386" s="8">
        <v>2397.3000000000002</v>
      </c>
      <c r="D4386" s="8">
        <v>423.76</v>
      </c>
      <c r="E4386" s="8"/>
      <c r="F4386" s="8"/>
      <c r="G4386" s="8"/>
      <c r="H4386" s="8"/>
      <c r="I4386" s="8"/>
      <c r="J4386" s="8"/>
      <c r="K4386" s="8"/>
      <c r="L4386" s="8"/>
      <c r="M4386" s="8">
        <v>7.83</v>
      </c>
      <c r="N4386" s="8"/>
      <c r="O4386" s="8"/>
      <c r="P4386" s="8"/>
      <c r="Q4386" s="11"/>
      <c r="R4386" s="11"/>
      <c r="S4386" s="8">
        <v>13.33</v>
      </c>
      <c r="T4386" s="8"/>
      <c r="U4386" s="8">
        <v>42.53</v>
      </c>
      <c r="V4386" s="8"/>
      <c r="W4386" s="8"/>
      <c r="X4386" s="8"/>
      <c r="Y4386" s="8"/>
      <c r="Z4386" s="8"/>
      <c r="AA4386" s="8"/>
      <c r="AB4386" s="8"/>
      <c r="AC4386" s="8">
        <v>11.35</v>
      </c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11"/>
      <c r="AQ4386" s="8"/>
      <c r="AR4386" s="8"/>
      <c r="AS4386" s="8"/>
      <c r="AT4386" s="8">
        <v>1869.63</v>
      </c>
      <c r="AU4386" s="8"/>
      <c r="AV4386" s="8"/>
      <c r="AW4386" s="8"/>
      <c r="AX4386" s="8"/>
      <c r="AY4386" s="8"/>
      <c r="AZ4386" s="8"/>
      <c r="BA4386" s="8">
        <v>64.83</v>
      </c>
      <c r="BB4386" s="8"/>
      <c r="BC4386" s="8"/>
      <c r="BD4386" s="8"/>
      <c r="BE4386" s="8"/>
      <c r="BF4386" s="8">
        <v>198.74</v>
      </c>
      <c r="BG4386" s="8">
        <v>147.63</v>
      </c>
      <c r="BH4386" s="9">
        <f t="shared" si="612"/>
        <v>2821.0600000000004</v>
      </c>
      <c r="BI4386" s="9">
        <f t="shared" si="613"/>
        <v>7.83</v>
      </c>
      <c r="BJ4386" s="9">
        <f t="shared" si="614"/>
        <v>13.33</v>
      </c>
      <c r="BK4386" s="9">
        <f t="shared" si="615"/>
        <v>42.53</v>
      </c>
      <c r="BL4386" s="9">
        <f t="shared" si="616"/>
        <v>0</v>
      </c>
      <c r="BM4386" s="9">
        <f t="shared" si="617"/>
        <v>11.35</v>
      </c>
      <c r="BN4386" s="9">
        <f t="shared" si="618"/>
        <v>1869.63</v>
      </c>
      <c r="BO4386" s="9">
        <f t="shared" si="619"/>
        <v>64.83</v>
      </c>
      <c r="BP4386" s="9">
        <f t="shared" si="620"/>
        <v>198.74</v>
      </c>
    </row>
    <row r="4387" spans="1:68">
      <c r="A4387" s="6">
        <v>45370</v>
      </c>
      <c r="B4387" s="7">
        <v>3106</v>
      </c>
      <c r="C4387" s="8">
        <v>4108.49</v>
      </c>
      <c r="D4387" s="8"/>
      <c r="E4387" s="8"/>
      <c r="F4387" s="8"/>
      <c r="G4387" s="8"/>
      <c r="H4387" s="8"/>
      <c r="I4387" s="8"/>
      <c r="J4387" s="8"/>
      <c r="K4387" s="8"/>
      <c r="L4387" s="8"/>
      <c r="M4387" s="8">
        <v>10.67</v>
      </c>
      <c r="N4387" s="8"/>
      <c r="O4387" s="8"/>
      <c r="P4387" s="8"/>
      <c r="Q4387" s="11"/>
      <c r="R4387" s="11"/>
      <c r="S4387" s="8">
        <v>12.36</v>
      </c>
      <c r="T4387" s="8"/>
      <c r="U4387" s="8">
        <v>52.24</v>
      </c>
      <c r="V4387" s="8"/>
      <c r="W4387" s="8"/>
      <c r="X4387" s="8"/>
      <c r="Y4387" s="8"/>
      <c r="Z4387" s="8"/>
      <c r="AA4387" s="8"/>
      <c r="AB4387" s="8"/>
      <c r="AC4387" s="8">
        <v>10.28</v>
      </c>
      <c r="AD4387" s="8"/>
      <c r="AE4387" s="8"/>
      <c r="AF4387" s="8"/>
      <c r="AG4387" s="8"/>
      <c r="AH4387" s="8"/>
      <c r="AI4387" s="8"/>
      <c r="AJ4387" s="8"/>
      <c r="AK4387" s="8"/>
      <c r="AL4387" s="8"/>
      <c r="AM4387" s="8"/>
      <c r="AN4387" s="8"/>
      <c r="AO4387" s="8"/>
      <c r="AP4387" s="11"/>
      <c r="AQ4387" s="8"/>
      <c r="AR4387" s="8"/>
      <c r="AS4387" s="8"/>
      <c r="AT4387" s="8">
        <v>2342.89</v>
      </c>
      <c r="AU4387" s="8"/>
      <c r="AV4387" s="8"/>
      <c r="AW4387" s="8"/>
      <c r="AX4387" s="8">
        <v>5.14</v>
      </c>
      <c r="AY4387" s="8"/>
      <c r="AZ4387" s="8"/>
      <c r="BA4387" s="8"/>
      <c r="BB4387" s="8"/>
      <c r="BC4387" s="8"/>
      <c r="BD4387" s="8"/>
      <c r="BE4387" s="8"/>
      <c r="BF4387" s="8"/>
      <c r="BG4387" s="8">
        <v>176.62</v>
      </c>
      <c r="BH4387" s="9">
        <f t="shared" si="612"/>
        <v>4108.49</v>
      </c>
      <c r="BI4387" s="9">
        <f t="shared" si="613"/>
        <v>10.67</v>
      </c>
      <c r="BJ4387" s="9">
        <f t="shared" si="614"/>
        <v>12.36</v>
      </c>
      <c r="BK4387" s="9">
        <f t="shared" si="615"/>
        <v>52.24</v>
      </c>
      <c r="BL4387" s="9">
        <f t="shared" si="616"/>
        <v>0</v>
      </c>
      <c r="BM4387" s="9">
        <f t="shared" si="617"/>
        <v>10.28</v>
      </c>
      <c r="BN4387" s="9">
        <f t="shared" si="618"/>
        <v>2342.89</v>
      </c>
      <c r="BO4387" s="9">
        <f t="shared" si="619"/>
        <v>5.14</v>
      </c>
      <c r="BP4387" s="9">
        <f t="shared" si="620"/>
        <v>0</v>
      </c>
    </row>
    <row r="4388" spans="1:68">
      <c r="A4388" s="6">
        <v>45370</v>
      </c>
      <c r="B4388" s="7">
        <v>3079</v>
      </c>
      <c r="C4388" s="8"/>
      <c r="D4388" s="8"/>
      <c r="E4388" s="8"/>
      <c r="F4388" s="8">
        <v>332</v>
      </c>
      <c r="G4388" s="8"/>
      <c r="H4388" s="8"/>
      <c r="I4388" s="8">
        <v>2710.64</v>
      </c>
      <c r="J4388" s="8"/>
      <c r="K4388" s="8"/>
      <c r="L4388" s="8"/>
      <c r="M4388" s="8"/>
      <c r="N4388" s="8">
        <v>22.29</v>
      </c>
      <c r="O4388" s="8"/>
      <c r="P4388" s="8"/>
      <c r="Q4388" s="11"/>
      <c r="R4388" s="11"/>
      <c r="S4388" s="8">
        <v>1.22</v>
      </c>
      <c r="T4388" s="8"/>
      <c r="U4388" s="8"/>
      <c r="V4388" s="8"/>
      <c r="W4388" s="8">
        <v>30.62</v>
      </c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>
        <v>12.03</v>
      </c>
      <c r="AN4388" s="8">
        <f>1716*17.97/1000</f>
        <v>30.836519999999997</v>
      </c>
      <c r="AO4388" s="8"/>
      <c r="AP4388" s="11"/>
      <c r="AQ4388" s="8"/>
      <c r="AR4388" s="8">
        <f>4312*17.97/1000</f>
        <v>77.486639999999994</v>
      </c>
      <c r="AS4388" s="8"/>
      <c r="AT4388" s="8">
        <v>1177.25</v>
      </c>
      <c r="AU4388" s="8"/>
      <c r="AV4388" s="8"/>
      <c r="AW4388" s="8"/>
      <c r="AX4388" s="8"/>
      <c r="AY4388" s="8"/>
      <c r="AZ4388" s="8"/>
      <c r="BA4388" s="8"/>
      <c r="BB4388" s="8"/>
      <c r="BC4388" s="8"/>
      <c r="BD4388" s="8"/>
      <c r="BE4388" s="8"/>
      <c r="BF4388" s="8"/>
      <c r="BG4388" s="8">
        <v>85.08</v>
      </c>
      <c r="BH4388" s="9">
        <f t="shared" si="612"/>
        <v>3042.64</v>
      </c>
      <c r="BI4388" s="9">
        <f t="shared" si="613"/>
        <v>22.29</v>
      </c>
      <c r="BJ4388" s="9">
        <f t="shared" si="614"/>
        <v>1.22</v>
      </c>
      <c r="BK4388" s="9">
        <f t="shared" si="615"/>
        <v>30.62</v>
      </c>
      <c r="BL4388" s="9">
        <f t="shared" si="616"/>
        <v>0</v>
      </c>
      <c r="BM4388" s="9">
        <f t="shared" si="617"/>
        <v>120.35315999999999</v>
      </c>
      <c r="BN4388" s="9">
        <f t="shared" si="618"/>
        <v>1177.25</v>
      </c>
      <c r="BO4388" s="9">
        <f t="shared" si="619"/>
        <v>0</v>
      </c>
      <c r="BP4388" s="9">
        <f t="shared" si="620"/>
        <v>0</v>
      </c>
    </row>
    <row r="4389" spans="1:68">
      <c r="A4389" s="6">
        <v>45370</v>
      </c>
      <c r="B4389" s="7">
        <v>3016</v>
      </c>
      <c r="C4389" s="8"/>
      <c r="D4389" s="8">
        <v>1578.5</v>
      </c>
      <c r="E4389" s="8"/>
      <c r="F4389" s="8"/>
      <c r="G4389" s="8"/>
      <c r="H4389" s="8"/>
      <c r="I4389" s="8">
        <v>1461.26</v>
      </c>
      <c r="J4389" s="8"/>
      <c r="K4389" s="8"/>
      <c r="L4389" s="8"/>
      <c r="M4389" s="8"/>
      <c r="N4389" s="8">
        <v>19.420000000000002</v>
      </c>
      <c r="O4389" s="8"/>
      <c r="P4389" s="8"/>
      <c r="Q4389" s="11"/>
      <c r="R4389" s="11"/>
      <c r="S4389" s="8">
        <v>2.13</v>
      </c>
      <c r="T4389" s="8"/>
      <c r="U4389" s="8"/>
      <c r="V4389" s="8"/>
      <c r="W4389" s="8">
        <v>30.43</v>
      </c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>
        <v>12.18</v>
      </c>
      <c r="AN4389" s="8">
        <f>2058*17.88/1000</f>
        <v>36.797040000000003</v>
      </c>
      <c r="AO4389" s="8"/>
      <c r="AP4389" s="11"/>
      <c r="AQ4389" s="8"/>
      <c r="AR4389" s="8">
        <f>4312*17.88/1000</f>
        <v>77.098559999999992</v>
      </c>
      <c r="AS4389" s="8"/>
      <c r="AT4389" s="8">
        <v>1131.0899999999999</v>
      </c>
      <c r="AU4389" s="8"/>
      <c r="AV4389" s="8"/>
      <c r="AW4389" s="8"/>
      <c r="AX4389" s="8"/>
      <c r="AY4389" s="8"/>
      <c r="AZ4389" s="8"/>
      <c r="BA4389" s="8"/>
      <c r="BB4389" s="8"/>
      <c r="BC4389" s="8"/>
      <c r="BD4389" s="8"/>
      <c r="BE4389" s="8"/>
      <c r="BF4389" s="8"/>
      <c r="BG4389" s="8">
        <v>83.29</v>
      </c>
      <c r="BH4389" s="9">
        <f t="shared" si="612"/>
        <v>3039.76</v>
      </c>
      <c r="BI4389" s="9">
        <f t="shared" si="613"/>
        <v>19.420000000000002</v>
      </c>
      <c r="BJ4389" s="9">
        <f t="shared" si="614"/>
        <v>2.13</v>
      </c>
      <c r="BK4389" s="9">
        <f t="shared" si="615"/>
        <v>30.43</v>
      </c>
      <c r="BL4389" s="9">
        <f t="shared" si="616"/>
        <v>0</v>
      </c>
      <c r="BM4389" s="9">
        <f t="shared" si="617"/>
        <v>126.07559999999999</v>
      </c>
      <c r="BN4389" s="9">
        <f t="shared" si="618"/>
        <v>1131.0899999999999</v>
      </c>
      <c r="BO4389" s="9">
        <f t="shared" si="619"/>
        <v>0</v>
      </c>
      <c r="BP4389" s="9">
        <f t="shared" si="620"/>
        <v>0</v>
      </c>
    </row>
    <row r="4390" spans="1:68">
      <c r="A4390" s="6">
        <v>45370</v>
      </c>
      <c r="B4390" s="7">
        <v>3020</v>
      </c>
      <c r="C4390" s="8"/>
      <c r="D4390" s="8">
        <v>172.71</v>
      </c>
      <c r="E4390" s="8"/>
      <c r="F4390" s="8"/>
      <c r="G4390" s="8"/>
      <c r="H4390" s="8"/>
      <c r="I4390" s="8">
        <v>978.32</v>
      </c>
      <c r="J4390" s="8"/>
      <c r="K4390" s="8"/>
      <c r="L4390" s="8"/>
      <c r="M4390" s="8"/>
      <c r="N4390" s="8">
        <v>7.01</v>
      </c>
      <c r="O4390" s="8"/>
      <c r="P4390" s="8"/>
      <c r="Q4390" s="11"/>
      <c r="R4390" s="11"/>
      <c r="S4390" s="8">
        <v>2.06</v>
      </c>
      <c r="T4390" s="8"/>
      <c r="U4390" s="8"/>
      <c r="V4390" s="8"/>
      <c r="W4390" s="8">
        <v>11.52</v>
      </c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>
        <v>11.49</v>
      </c>
      <c r="AN4390" s="8"/>
      <c r="AO4390" s="8"/>
      <c r="AP4390" s="11"/>
      <c r="AQ4390" s="8"/>
      <c r="AR4390" s="8"/>
      <c r="AS4390" s="8">
        <f>3015*9.57/1000</f>
        <v>28.853549999999998</v>
      </c>
      <c r="AT4390" s="8">
        <v>564.51</v>
      </c>
      <c r="AU4390" s="8"/>
      <c r="AV4390" s="8"/>
      <c r="AW4390" s="8"/>
      <c r="AX4390" s="8"/>
      <c r="AY4390" s="8"/>
      <c r="AZ4390" s="8"/>
      <c r="BA4390" s="8"/>
      <c r="BB4390" s="8"/>
      <c r="BC4390" s="8"/>
      <c r="BD4390" s="8"/>
      <c r="BE4390" s="8"/>
      <c r="BF4390" s="8"/>
      <c r="BG4390" s="8">
        <v>41.31</v>
      </c>
      <c r="BH4390" s="9">
        <f t="shared" si="612"/>
        <v>1151.03</v>
      </c>
      <c r="BI4390" s="9">
        <f t="shared" si="613"/>
        <v>7.01</v>
      </c>
      <c r="BJ4390" s="9">
        <f t="shared" si="614"/>
        <v>2.06</v>
      </c>
      <c r="BK4390" s="9">
        <f t="shared" si="615"/>
        <v>11.52</v>
      </c>
      <c r="BL4390" s="9">
        <f t="shared" si="616"/>
        <v>0</v>
      </c>
      <c r="BM4390" s="9">
        <f t="shared" si="617"/>
        <v>40.34355</v>
      </c>
      <c r="BN4390" s="9">
        <f t="shared" si="618"/>
        <v>564.51</v>
      </c>
      <c r="BO4390" s="9">
        <f t="shared" si="619"/>
        <v>0</v>
      </c>
      <c r="BP4390" s="9">
        <f t="shared" si="620"/>
        <v>0</v>
      </c>
    </row>
    <row r="4391" spans="1:68">
      <c r="A4391" s="6">
        <v>45370</v>
      </c>
      <c r="B4391" s="7">
        <v>3021</v>
      </c>
      <c r="C4391" s="8"/>
      <c r="D4391" s="8">
        <v>192.37</v>
      </c>
      <c r="E4391" s="8"/>
      <c r="F4391" s="8"/>
      <c r="G4391" s="8"/>
      <c r="H4391" s="8"/>
      <c r="I4391" s="8">
        <v>360.06</v>
      </c>
      <c r="J4391" s="8"/>
      <c r="K4391" s="8"/>
      <c r="L4391" s="8"/>
      <c r="M4391" s="8"/>
      <c r="N4391" s="8">
        <v>2.94</v>
      </c>
      <c r="O4391" s="8"/>
      <c r="P4391" s="8"/>
      <c r="Q4391" s="11"/>
      <c r="R4391" s="11"/>
      <c r="S4391" s="8">
        <v>0.99</v>
      </c>
      <c r="T4391" s="8"/>
      <c r="U4391" s="8"/>
      <c r="V4391" s="8"/>
      <c r="W4391" s="8">
        <v>5.53</v>
      </c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  <c r="AI4391" s="8"/>
      <c r="AJ4391" s="8"/>
      <c r="AK4391" s="8"/>
      <c r="AL4391" s="8"/>
      <c r="AM4391" s="8">
        <v>5.56</v>
      </c>
      <c r="AN4391" s="8"/>
      <c r="AO4391" s="8"/>
      <c r="AP4391" s="11"/>
      <c r="AQ4391" s="8"/>
      <c r="AR4391" s="8"/>
      <c r="AS4391" s="8">
        <f>2638*5.27/1000</f>
        <v>13.902259999999998</v>
      </c>
      <c r="AT4391" s="8">
        <v>260.5</v>
      </c>
      <c r="AU4391" s="8"/>
      <c r="AV4391" s="8"/>
      <c r="AW4391" s="8"/>
      <c r="AX4391" s="8"/>
      <c r="AY4391" s="8"/>
      <c r="AZ4391" s="8"/>
      <c r="BA4391" s="8"/>
      <c r="BB4391" s="8"/>
      <c r="BC4391" s="8"/>
      <c r="BD4391" s="8"/>
      <c r="BE4391" s="8"/>
      <c r="BF4391" s="8"/>
      <c r="BG4391" s="8">
        <v>19.61</v>
      </c>
      <c r="BH4391" s="9">
        <f t="shared" si="612"/>
        <v>552.43000000000006</v>
      </c>
      <c r="BI4391" s="9">
        <f t="shared" si="613"/>
        <v>2.94</v>
      </c>
      <c r="BJ4391" s="9">
        <f t="shared" si="614"/>
        <v>0.99</v>
      </c>
      <c r="BK4391" s="9">
        <f t="shared" si="615"/>
        <v>5.53</v>
      </c>
      <c r="BL4391" s="9">
        <f t="shared" si="616"/>
        <v>0</v>
      </c>
      <c r="BM4391" s="9">
        <f t="shared" si="617"/>
        <v>19.462259999999997</v>
      </c>
      <c r="BN4391" s="9">
        <f t="shared" si="618"/>
        <v>260.5</v>
      </c>
      <c r="BO4391" s="9">
        <f t="shared" si="619"/>
        <v>0</v>
      </c>
      <c r="BP4391" s="9">
        <f t="shared" si="620"/>
        <v>0</v>
      </c>
    </row>
    <row r="4392" spans="1:68">
      <c r="A4392" s="6">
        <v>45370</v>
      </c>
      <c r="B4392" s="7">
        <v>3221</v>
      </c>
      <c r="C4392" s="8">
        <v>609.97</v>
      </c>
      <c r="D4392" s="8">
        <v>103.48</v>
      </c>
      <c r="E4392" s="8">
        <v>309.04000000000002</v>
      </c>
      <c r="F4392" s="8"/>
      <c r="G4392" s="8"/>
      <c r="H4392" s="8"/>
      <c r="I4392" s="8"/>
      <c r="J4392" s="8"/>
      <c r="K4392" s="8"/>
      <c r="L4392" s="8"/>
      <c r="M4392" s="8"/>
      <c r="N4392" s="8"/>
      <c r="O4392" s="8">
        <v>2.0499999999999998</v>
      </c>
      <c r="P4392" s="8"/>
      <c r="Q4392" s="11"/>
      <c r="R4392" s="11"/>
      <c r="S4392" s="8">
        <v>4.6500000000000004</v>
      </c>
      <c r="T4392" s="8"/>
      <c r="U4392" s="8">
        <v>15.49</v>
      </c>
      <c r="V4392" s="8"/>
      <c r="W4392" s="8"/>
      <c r="X4392" s="8"/>
      <c r="Y4392" s="8"/>
      <c r="Z4392" s="8"/>
      <c r="AA4392" s="8"/>
      <c r="AB4392" s="8">
        <f>406*12.88/1000</f>
        <v>5.229280000000001</v>
      </c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11"/>
      <c r="AQ4392" s="8">
        <f>1226*12.88/1000</f>
        <v>15.790880000000001</v>
      </c>
      <c r="AR4392" s="8"/>
      <c r="AS4392" s="8"/>
      <c r="AT4392" s="8">
        <v>585.02</v>
      </c>
      <c r="AU4392" s="8"/>
      <c r="AV4392" s="8"/>
      <c r="AW4392" s="8">
        <v>35.090000000000003</v>
      </c>
      <c r="AX4392" s="8"/>
      <c r="AY4392" s="8"/>
      <c r="AZ4392" s="8"/>
      <c r="BA4392" s="8"/>
      <c r="BB4392" s="8"/>
      <c r="BC4392" s="8"/>
      <c r="BD4392" s="8"/>
      <c r="BE4392" s="8"/>
      <c r="BF4392" s="8">
        <v>46.34</v>
      </c>
      <c r="BG4392" s="8">
        <v>43.34</v>
      </c>
      <c r="BH4392" s="9">
        <f t="shared" si="612"/>
        <v>1022.49</v>
      </c>
      <c r="BI4392" s="9">
        <f t="shared" si="613"/>
        <v>2.0499999999999998</v>
      </c>
      <c r="BJ4392" s="9">
        <f t="shared" si="614"/>
        <v>4.6500000000000004</v>
      </c>
      <c r="BK4392" s="9">
        <f t="shared" si="615"/>
        <v>15.49</v>
      </c>
      <c r="BL4392" s="9">
        <f t="shared" si="616"/>
        <v>0</v>
      </c>
      <c r="BM4392" s="9">
        <f t="shared" si="617"/>
        <v>21.020160000000004</v>
      </c>
      <c r="BN4392" s="9">
        <f t="shared" si="618"/>
        <v>585.02</v>
      </c>
      <c r="BO4392" s="9">
        <f t="shared" si="619"/>
        <v>35.090000000000003</v>
      </c>
      <c r="BP4392" s="9">
        <f t="shared" si="620"/>
        <v>46.34</v>
      </c>
    </row>
    <row r="4393" spans="1:68">
      <c r="A4393" s="6">
        <v>45370</v>
      </c>
      <c r="B4393" s="7">
        <v>3703</v>
      </c>
      <c r="C4393" s="8">
        <v>471.67</v>
      </c>
      <c r="D4393" s="8">
        <v>312.58</v>
      </c>
      <c r="E4393" s="8"/>
      <c r="F4393" s="8"/>
      <c r="G4393" s="8"/>
      <c r="H4393" s="8"/>
      <c r="I4393" s="8"/>
      <c r="J4393" s="8"/>
      <c r="K4393" s="8"/>
      <c r="L4393" s="8"/>
      <c r="M4393" s="8">
        <v>1.56</v>
      </c>
      <c r="N4393" s="8"/>
      <c r="O4393" s="8"/>
      <c r="P4393" s="8"/>
      <c r="Q4393" s="11"/>
      <c r="R4393" s="11"/>
      <c r="S4393" s="8">
        <v>3.83</v>
      </c>
      <c r="T4393" s="8"/>
      <c r="U4393" s="8">
        <v>6.26</v>
      </c>
      <c r="V4393" s="8"/>
      <c r="W4393" s="8"/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8"/>
      <c r="AJ4393" s="8"/>
      <c r="AK4393" s="8"/>
      <c r="AL4393" s="8"/>
      <c r="AM4393" s="8">
        <v>7.81</v>
      </c>
      <c r="AN4393" s="8"/>
      <c r="AO4393" s="8"/>
      <c r="AP4393" s="11"/>
      <c r="AQ4393" s="8"/>
      <c r="AR4393" s="8"/>
      <c r="AS4393" s="8"/>
      <c r="AT4393" s="8">
        <v>189.41</v>
      </c>
      <c r="AU4393" s="8">
        <v>94.49</v>
      </c>
      <c r="AV4393" s="8"/>
      <c r="AW4393" s="8"/>
      <c r="AX4393" s="8"/>
      <c r="AY4393" s="8"/>
      <c r="AZ4393" s="8"/>
      <c r="BA4393" s="8"/>
      <c r="BB4393" s="8"/>
      <c r="BC4393" s="8"/>
      <c r="BD4393" s="8"/>
      <c r="BE4393" s="8"/>
      <c r="BF4393" s="8"/>
      <c r="BG4393" s="8">
        <v>19.98</v>
      </c>
      <c r="BH4393" s="9">
        <f t="shared" si="612"/>
        <v>784.25</v>
      </c>
      <c r="BI4393" s="9">
        <f t="shared" si="613"/>
        <v>1.56</v>
      </c>
      <c r="BJ4393" s="9">
        <f t="shared" si="614"/>
        <v>3.83</v>
      </c>
      <c r="BK4393" s="9">
        <f t="shared" si="615"/>
        <v>6.26</v>
      </c>
      <c r="BL4393" s="9">
        <f t="shared" si="616"/>
        <v>0</v>
      </c>
      <c r="BM4393" s="9">
        <f t="shared" si="617"/>
        <v>7.81</v>
      </c>
      <c r="BN4393" s="9">
        <f t="shared" si="618"/>
        <v>283.89999999999998</v>
      </c>
      <c r="BO4393" s="9">
        <f t="shared" si="619"/>
        <v>0</v>
      </c>
      <c r="BP4393" s="9">
        <f t="shared" si="620"/>
        <v>0</v>
      </c>
    </row>
    <row r="4394" spans="1:68">
      <c r="A4394" s="6">
        <v>45370</v>
      </c>
      <c r="B4394" s="7">
        <v>3602</v>
      </c>
      <c r="C4394" s="8">
        <v>572.75</v>
      </c>
      <c r="D4394" s="8"/>
      <c r="E4394" s="8"/>
      <c r="F4394" s="8"/>
      <c r="G4394" s="8">
        <v>857.74</v>
      </c>
      <c r="H4394" s="8"/>
      <c r="I4394" s="8"/>
      <c r="J4394" s="8"/>
      <c r="K4394" s="8"/>
      <c r="L4394" s="8"/>
      <c r="M4394" s="8">
        <v>1.73</v>
      </c>
      <c r="N4394" s="8"/>
      <c r="O4394" s="8"/>
      <c r="P4394" s="8"/>
      <c r="Q4394" s="11"/>
      <c r="R4394" s="11"/>
      <c r="S4394" s="8">
        <v>6.9</v>
      </c>
      <c r="T4394" s="8"/>
      <c r="U4394" s="8">
        <v>11.53</v>
      </c>
      <c r="V4394" s="8">
        <f>859*16.42/1000</f>
        <v>14.10478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11"/>
      <c r="AQ4394" s="8"/>
      <c r="AR4394" s="8"/>
      <c r="AS4394" s="8"/>
      <c r="AT4394" s="8">
        <v>579.16999999999996</v>
      </c>
      <c r="AU4394" s="8"/>
      <c r="AV4394" s="8"/>
      <c r="AW4394" s="8">
        <v>37.17</v>
      </c>
      <c r="AX4394" s="8"/>
      <c r="AY4394" s="8"/>
      <c r="AZ4394" s="8"/>
      <c r="BA4394" s="8"/>
      <c r="BB4394" s="8"/>
      <c r="BC4394" s="8"/>
      <c r="BD4394" s="8"/>
      <c r="BE4394" s="8"/>
      <c r="BF4394" s="8">
        <v>46.08</v>
      </c>
      <c r="BG4394" s="8">
        <v>43.32</v>
      </c>
      <c r="BH4394" s="9">
        <f t="shared" si="612"/>
        <v>1430.49</v>
      </c>
      <c r="BI4394" s="9">
        <f t="shared" si="613"/>
        <v>1.73</v>
      </c>
      <c r="BJ4394" s="9">
        <f t="shared" si="614"/>
        <v>6.9</v>
      </c>
      <c r="BK4394" s="9">
        <f t="shared" si="615"/>
        <v>25.634779999999999</v>
      </c>
      <c r="BL4394" s="9">
        <f t="shared" si="616"/>
        <v>0</v>
      </c>
      <c r="BM4394" s="9">
        <f t="shared" si="617"/>
        <v>0</v>
      </c>
      <c r="BN4394" s="9">
        <f t="shared" si="618"/>
        <v>579.16999999999996</v>
      </c>
      <c r="BO4394" s="9">
        <f t="shared" si="619"/>
        <v>37.17</v>
      </c>
      <c r="BP4394" s="9">
        <f t="shared" si="620"/>
        <v>46.08</v>
      </c>
    </row>
    <row r="4395" spans="1:68">
      <c r="A4395" s="6">
        <v>45371</v>
      </c>
      <c r="B4395" s="7">
        <v>3005</v>
      </c>
      <c r="C4395" s="8">
        <v>447.82</v>
      </c>
      <c r="D4395" s="8">
        <v>297.64</v>
      </c>
      <c r="E4395" s="8"/>
      <c r="F4395" s="8"/>
      <c r="G4395" s="8"/>
      <c r="H4395" s="8"/>
      <c r="I4395" s="8"/>
      <c r="J4395" s="8"/>
      <c r="K4395" s="8"/>
      <c r="L4395" s="8"/>
      <c r="M4395" s="8"/>
      <c r="N4395" s="8">
        <v>0.74</v>
      </c>
      <c r="O4395" s="8"/>
      <c r="P4395" s="8"/>
      <c r="Q4395" s="11"/>
      <c r="R4395" s="11"/>
      <c r="S4395" s="8">
        <v>2.6</v>
      </c>
      <c r="T4395" s="8"/>
      <c r="U4395" s="8"/>
      <c r="V4395" s="8"/>
      <c r="W4395" s="8">
        <v>8.18</v>
      </c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  <c r="AI4395" s="8"/>
      <c r="AJ4395" s="8"/>
      <c r="AK4395" s="8"/>
      <c r="AL4395" s="8"/>
      <c r="AM4395" s="8"/>
      <c r="AN4395" s="8"/>
      <c r="AO4395" s="8"/>
      <c r="AP4395" s="11"/>
      <c r="AQ4395" s="8"/>
      <c r="AR4395" s="8"/>
      <c r="AS4395" s="8"/>
      <c r="AT4395" s="8">
        <v>364.28</v>
      </c>
      <c r="AU4395" s="8"/>
      <c r="AV4395" s="8"/>
      <c r="AW4395" s="8">
        <v>8.26</v>
      </c>
      <c r="AX4395" s="8"/>
      <c r="AY4395" s="8"/>
      <c r="AZ4395" s="8"/>
      <c r="BA4395" s="8"/>
      <c r="BB4395" s="8"/>
      <c r="BC4395" s="8"/>
      <c r="BD4395" s="8"/>
      <c r="BE4395" s="8"/>
      <c r="BF4395" s="8"/>
      <c r="BG4395" s="8">
        <v>27.1</v>
      </c>
      <c r="BH4395" s="9">
        <f t="shared" si="612"/>
        <v>745.46</v>
      </c>
      <c r="BI4395" s="9">
        <f t="shared" si="613"/>
        <v>0.74</v>
      </c>
      <c r="BJ4395" s="9">
        <f t="shared" si="614"/>
        <v>2.6</v>
      </c>
      <c r="BK4395" s="9">
        <f t="shared" si="615"/>
        <v>8.18</v>
      </c>
      <c r="BL4395" s="9">
        <f t="shared" si="616"/>
        <v>0</v>
      </c>
      <c r="BM4395" s="9">
        <f t="shared" si="617"/>
        <v>0</v>
      </c>
      <c r="BN4395" s="9">
        <f t="shared" si="618"/>
        <v>364.28</v>
      </c>
      <c r="BO4395" s="9">
        <f t="shared" si="619"/>
        <v>8.26</v>
      </c>
      <c r="BP4395" s="9">
        <f t="shared" si="620"/>
        <v>0</v>
      </c>
    </row>
    <row r="4396" spans="1:68">
      <c r="A4396" s="6">
        <v>45371</v>
      </c>
      <c r="B4396" s="7">
        <v>3028</v>
      </c>
      <c r="C4396" s="8"/>
      <c r="D4396" s="8">
        <v>734.94</v>
      </c>
      <c r="E4396" s="8"/>
      <c r="F4396" s="8">
        <v>674.87</v>
      </c>
      <c r="G4396" s="8"/>
      <c r="H4396" s="8"/>
      <c r="I4396" s="8">
        <v>1524.48</v>
      </c>
      <c r="J4396" s="8"/>
      <c r="K4396" s="8"/>
      <c r="L4396" s="8"/>
      <c r="M4396" s="8"/>
      <c r="N4396" s="8">
        <v>22.58</v>
      </c>
      <c r="O4396" s="8"/>
      <c r="P4396" s="8"/>
      <c r="Q4396" s="11"/>
      <c r="R4396" s="11"/>
      <c r="S4396" s="8">
        <v>4.0999999999999996</v>
      </c>
      <c r="T4396" s="8"/>
      <c r="U4396" s="8"/>
      <c r="V4396" s="8"/>
      <c r="W4396" s="8">
        <v>22.02</v>
      </c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>
        <v>29.3</v>
      </c>
      <c r="AN4396" s="8">
        <f>1063*19.55/1000</f>
        <v>20.781650000000003</v>
      </c>
      <c r="AO4396" s="8"/>
      <c r="AP4396" s="11"/>
      <c r="AQ4396" s="8"/>
      <c r="AR4396" s="8"/>
      <c r="AS4396" s="8">
        <f>4962*19.55/1000</f>
        <v>97.007100000000008</v>
      </c>
      <c r="AT4396" s="8">
        <v>979.61</v>
      </c>
      <c r="AU4396" s="8"/>
      <c r="AV4396" s="8"/>
      <c r="AW4396" s="8"/>
      <c r="AX4396" s="8"/>
      <c r="AY4396" s="8"/>
      <c r="AZ4396" s="8"/>
      <c r="BA4396" s="8"/>
      <c r="BB4396" s="8"/>
      <c r="BC4396" s="8"/>
      <c r="BD4396" s="8"/>
      <c r="BE4396" s="8"/>
      <c r="BF4396" s="8"/>
      <c r="BG4396" s="8">
        <v>66.42</v>
      </c>
      <c r="BH4396" s="9">
        <f t="shared" si="612"/>
        <v>2934.29</v>
      </c>
      <c r="BI4396" s="9">
        <f t="shared" si="613"/>
        <v>22.58</v>
      </c>
      <c r="BJ4396" s="9">
        <f t="shared" si="614"/>
        <v>4.0999999999999996</v>
      </c>
      <c r="BK4396" s="9">
        <f t="shared" si="615"/>
        <v>22.02</v>
      </c>
      <c r="BL4396" s="9">
        <f t="shared" si="616"/>
        <v>0</v>
      </c>
      <c r="BM4396" s="9">
        <f t="shared" si="617"/>
        <v>147.08875</v>
      </c>
      <c r="BN4396" s="9">
        <f t="shared" si="618"/>
        <v>979.61</v>
      </c>
      <c r="BO4396" s="9">
        <f t="shared" si="619"/>
        <v>0</v>
      </c>
      <c r="BP4396" s="9">
        <f t="shared" si="620"/>
        <v>0</v>
      </c>
    </row>
    <row r="4397" spans="1:68">
      <c r="A4397" s="6">
        <v>45371</v>
      </c>
      <c r="B4397" s="7">
        <v>3081</v>
      </c>
      <c r="C4397" s="8"/>
      <c r="D4397" s="8">
        <v>296.66000000000003</v>
      </c>
      <c r="E4397" s="8"/>
      <c r="F4397" s="8">
        <v>333.04</v>
      </c>
      <c r="G4397" s="8"/>
      <c r="H4397" s="8"/>
      <c r="I4397" s="8">
        <v>1215.52</v>
      </c>
      <c r="J4397" s="8"/>
      <c r="K4397" s="8"/>
      <c r="L4397" s="8"/>
      <c r="M4397" s="8"/>
      <c r="N4397" s="8">
        <v>13.52</v>
      </c>
      <c r="O4397" s="8"/>
      <c r="P4397" s="8">
        <f>639*11.93/1000</f>
        <v>7.6232699999999998</v>
      </c>
      <c r="Q4397" s="11"/>
      <c r="R4397" s="11"/>
      <c r="S4397" s="8">
        <v>1.3</v>
      </c>
      <c r="T4397" s="8"/>
      <c r="U4397" s="8"/>
      <c r="V4397" s="8"/>
      <c r="W4397" s="8">
        <v>18.54</v>
      </c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11"/>
      <c r="AQ4397" s="8">
        <f>1546*11.93/1000</f>
        <v>18.44378</v>
      </c>
      <c r="AR4397" s="8">
        <f>5523*11.93/1000</f>
        <v>65.889390000000006</v>
      </c>
      <c r="AS4397" s="8"/>
      <c r="AT4397" s="8">
        <v>580.32000000000005</v>
      </c>
      <c r="AU4397" s="8"/>
      <c r="AV4397" s="8"/>
      <c r="AW4397" s="8"/>
      <c r="AX4397" s="8"/>
      <c r="AY4397" s="8"/>
      <c r="AZ4397" s="8"/>
      <c r="BA4397" s="8"/>
      <c r="BB4397" s="8"/>
      <c r="BC4397" s="8"/>
      <c r="BD4397" s="8"/>
      <c r="BE4397" s="8"/>
      <c r="BF4397" s="8"/>
      <c r="BG4397" s="8">
        <v>38.58</v>
      </c>
      <c r="BH4397" s="9">
        <f t="shared" si="612"/>
        <v>1845.22</v>
      </c>
      <c r="BI4397" s="9">
        <f t="shared" si="613"/>
        <v>21.143270000000001</v>
      </c>
      <c r="BJ4397" s="9">
        <f t="shared" si="614"/>
        <v>1.3</v>
      </c>
      <c r="BK4397" s="9">
        <f t="shared" si="615"/>
        <v>18.54</v>
      </c>
      <c r="BL4397" s="9">
        <f t="shared" si="616"/>
        <v>0</v>
      </c>
      <c r="BM4397" s="9">
        <f t="shared" si="617"/>
        <v>84.33317000000001</v>
      </c>
      <c r="BN4397" s="9">
        <f t="shared" si="618"/>
        <v>580.32000000000005</v>
      </c>
      <c r="BO4397" s="9">
        <f t="shared" si="619"/>
        <v>0</v>
      </c>
      <c r="BP4397" s="9">
        <f t="shared" si="620"/>
        <v>0</v>
      </c>
    </row>
    <row r="4398" spans="1:68">
      <c r="A4398" s="6">
        <v>45371</v>
      </c>
      <c r="B4398" s="7">
        <v>3205</v>
      </c>
      <c r="C4398" s="8">
        <v>480.09</v>
      </c>
      <c r="D4398" s="8">
        <v>268.47000000000003</v>
      </c>
      <c r="E4398" s="8">
        <v>320.95</v>
      </c>
      <c r="F4398" s="8"/>
      <c r="G4398" s="8"/>
      <c r="H4398" s="8"/>
      <c r="I4398" s="8"/>
      <c r="J4398" s="8"/>
      <c r="K4398" s="8"/>
      <c r="L4398" s="8"/>
      <c r="M4398" s="8"/>
      <c r="N4398" s="8"/>
      <c r="O4398" s="8">
        <v>4.3</v>
      </c>
      <c r="P4398" s="8"/>
      <c r="Q4398" s="11"/>
      <c r="R4398" s="11"/>
      <c r="S4398" s="8">
        <v>3.97</v>
      </c>
      <c r="T4398" s="8"/>
      <c r="U4398" s="8">
        <v>12.88</v>
      </c>
      <c r="V4398" s="8"/>
      <c r="W4398" s="8"/>
      <c r="X4398" s="8"/>
      <c r="Y4398" s="8"/>
      <c r="Z4398" s="8">
        <v>107.25</v>
      </c>
      <c r="AA4398" s="8"/>
      <c r="AB4398" s="8">
        <f>1022*10.72/1000</f>
        <v>10.95584</v>
      </c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11"/>
      <c r="AQ4398" s="8">
        <f>508*10.72/1000</f>
        <v>5.4457599999999999</v>
      </c>
      <c r="AR4398" s="8"/>
      <c r="AS4398" s="8"/>
      <c r="AT4398" s="8">
        <v>279.10000000000002</v>
      </c>
      <c r="AU4398" s="8">
        <v>139.36000000000001</v>
      </c>
      <c r="AV4398" s="8"/>
      <c r="AW4398" s="8">
        <v>4.6100000000000003</v>
      </c>
      <c r="AX4398" s="8"/>
      <c r="AY4398" s="8"/>
      <c r="AZ4398" s="8"/>
      <c r="BA4398" s="8"/>
      <c r="BB4398" s="8"/>
      <c r="BC4398" s="8"/>
      <c r="BD4398" s="8"/>
      <c r="BE4398" s="8"/>
      <c r="BF4398" s="8"/>
      <c r="BG4398" s="8">
        <v>25.19</v>
      </c>
      <c r="BH4398" s="9">
        <f t="shared" si="612"/>
        <v>1069.51</v>
      </c>
      <c r="BI4398" s="9">
        <f t="shared" si="613"/>
        <v>4.3</v>
      </c>
      <c r="BJ4398" s="9">
        <f t="shared" si="614"/>
        <v>3.97</v>
      </c>
      <c r="BK4398" s="9">
        <f t="shared" si="615"/>
        <v>12.88</v>
      </c>
      <c r="BL4398" s="9">
        <f t="shared" si="616"/>
        <v>107.25</v>
      </c>
      <c r="BM4398" s="9">
        <f t="shared" si="617"/>
        <v>16.401600000000002</v>
      </c>
      <c r="BN4398" s="9">
        <f t="shared" si="618"/>
        <v>418.46000000000004</v>
      </c>
      <c r="BO4398" s="9">
        <f t="shared" si="619"/>
        <v>4.6100000000000003</v>
      </c>
      <c r="BP4398" s="9">
        <f t="shared" si="620"/>
        <v>0</v>
      </c>
    </row>
    <row r="4399" spans="1:68">
      <c r="A4399" s="6">
        <v>45371</v>
      </c>
      <c r="B4399" s="7">
        <v>3106</v>
      </c>
      <c r="C4399" s="8">
        <v>2392.17</v>
      </c>
      <c r="D4399" s="8"/>
      <c r="E4399" s="8"/>
      <c r="F4399" s="8"/>
      <c r="G4399" s="8"/>
      <c r="H4399" s="8"/>
      <c r="I4399" s="8"/>
      <c r="J4399" s="8"/>
      <c r="K4399" s="8"/>
      <c r="L4399" s="8"/>
      <c r="M4399" s="8">
        <v>6.15</v>
      </c>
      <c r="N4399" s="8"/>
      <c r="O4399" s="8"/>
      <c r="P4399" s="8"/>
      <c r="Q4399" s="11"/>
      <c r="R4399" s="11"/>
      <c r="S4399" s="8">
        <v>7.17</v>
      </c>
      <c r="T4399" s="8"/>
      <c r="U4399" s="8">
        <v>30.43</v>
      </c>
      <c r="V4399" s="8"/>
      <c r="W4399" s="8"/>
      <c r="X4399" s="8"/>
      <c r="Y4399" s="8"/>
      <c r="Z4399" s="8"/>
      <c r="AA4399" s="8"/>
      <c r="AB4399" s="8"/>
      <c r="AC4399" s="8">
        <v>5.99</v>
      </c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11"/>
      <c r="AQ4399" s="8"/>
      <c r="AR4399" s="8"/>
      <c r="AS4399" s="8"/>
      <c r="AT4399" s="8">
        <v>1364.66</v>
      </c>
      <c r="AU4399" s="8"/>
      <c r="AV4399" s="8"/>
      <c r="AW4399" s="8"/>
      <c r="AX4399" s="8">
        <v>2.99</v>
      </c>
      <c r="AY4399" s="8"/>
      <c r="AZ4399" s="8"/>
      <c r="BA4399" s="8"/>
      <c r="BB4399" s="8"/>
      <c r="BC4399" s="8"/>
      <c r="BD4399" s="8"/>
      <c r="BE4399" s="8"/>
      <c r="BF4399" s="8"/>
      <c r="BG4399" s="8">
        <v>103.04</v>
      </c>
      <c r="BH4399" s="9">
        <f t="shared" si="612"/>
        <v>2392.17</v>
      </c>
      <c r="BI4399" s="9">
        <f t="shared" si="613"/>
        <v>6.15</v>
      </c>
      <c r="BJ4399" s="9">
        <f t="shared" si="614"/>
        <v>7.17</v>
      </c>
      <c r="BK4399" s="9">
        <f t="shared" si="615"/>
        <v>30.43</v>
      </c>
      <c r="BL4399" s="9">
        <f t="shared" si="616"/>
        <v>0</v>
      </c>
      <c r="BM4399" s="9">
        <f t="shared" si="617"/>
        <v>5.99</v>
      </c>
      <c r="BN4399" s="9">
        <f t="shared" si="618"/>
        <v>1364.66</v>
      </c>
      <c r="BO4399" s="9">
        <f t="shared" si="619"/>
        <v>2.99</v>
      </c>
      <c r="BP4399" s="9">
        <f t="shared" si="620"/>
        <v>0</v>
      </c>
    </row>
    <row r="4400" spans="1:68">
      <c r="A4400" s="6">
        <v>45372</v>
      </c>
      <c r="B4400" s="7">
        <v>3113</v>
      </c>
      <c r="C4400" s="8">
        <v>1665.83</v>
      </c>
      <c r="D4400" s="8"/>
      <c r="E4400" s="8"/>
      <c r="F4400" s="8"/>
      <c r="G4400" s="8"/>
      <c r="H4400" s="8"/>
      <c r="I4400" s="8"/>
      <c r="J4400" s="8"/>
      <c r="K4400" s="8"/>
      <c r="L4400" s="8"/>
      <c r="M4400" s="8">
        <v>1.5</v>
      </c>
      <c r="N4400" s="8">
        <v>1.5</v>
      </c>
      <c r="O4400" s="8"/>
      <c r="P4400" s="8"/>
      <c r="Q4400" s="11"/>
      <c r="R4400" s="11"/>
      <c r="S4400" s="8">
        <v>5.01</v>
      </c>
      <c r="T4400" s="8"/>
      <c r="U4400" s="8">
        <v>16.690000000000001</v>
      </c>
      <c r="V4400" s="8"/>
      <c r="W4400" s="8"/>
      <c r="X4400" s="8"/>
      <c r="Y4400" s="8"/>
      <c r="Z4400" s="8"/>
      <c r="AA4400" s="8"/>
      <c r="AB4400" s="8"/>
      <c r="AC4400" s="8">
        <v>6.67</v>
      </c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11"/>
      <c r="AQ4400" s="8"/>
      <c r="AR4400" s="8"/>
      <c r="AS4400" s="8"/>
      <c r="AT4400" s="8">
        <v>699.29</v>
      </c>
      <c r="AU4400" s="8"/>
      <c r="AV4400" s="8">
        <v>56.73</v>
      </c>
      <c r="AW4400" s="8"/>
      <c r="AX4400" s="8"/>
      <c r="AY4400" s="8"/>
      <c r="AZ4400" s="8"/>
      <c r="BA4400" s="8"/>
      <c r="BB4400" s="8"/>
      <c r="BC4400" s="8"/>
      <c r="BD4400" s="8"/>
      <c r="BE4400" s="8"/>
      <c r="BF4400" s="8"/>
      <c r="BG4400" s="8">
        <v>49.97</v>
      </c>
      <c r="BH4400" s="9">
        <f t="shared" si="612"/>
        <v>1665.83</v>
      </c>
      <c r="BI4400" s="9">
        <f t="shared" si="613"/>
        <v>3</v>
      </c>
      <c r="BJ4400" s="9">
        <f t="shared" si="614"/>
        <v>5.01</v>
      </c>
      <c r="BK4400" s="9">
        <f t="shared" si="615"/>
        <v>16.690000000000001</v>
      </c>
      <c r="BL4400" s="9">
        <f t="shared" si="616"/>
        <v>0</v>
      </c>
      <c r="BM4400" s="9">
        <f t="shared" si="617"/>
        <v>6.67</v>
      </c>
      <c r="BN4400" s="9">
        <f t="shared" si="618"/>
        <v>699.29</v>
      </c>
      <c r="BO4400" s="9">
        <f t="shared" si="619"/>
        <v>56.73</v>
      </c>
      <c r="BP4400" s="9">
        <f t="shared" si="620"/>
        <v>0</v>
      </c>
    </row>
    <row r="4401" spans="1:68">
      <c r="A4401" s="6">
        <v>45372</v>
      </c>
      <c r="B4401" s="7">
        <v>3141</v>
      </c>
      <c r="C4401" s="8">
        <v>2416.83</v>
      </c>
      <c r="D4401" s="8">
        <v>426.28</v>
      </c>
      <c r="E4401" s="8"/>
      <c r="F4401" s="8"/>
      <c r="G4401" s="8"/>
      <c r="H4401" s="8"/>
      <c r="I4401" s="8"/>
      <c r="J4401" s="8"/>
      <c r="K4401" s="8"/>
      <c r="L4401" s="8"/>
      <c r="M4401" s="8">
        <v>8.24</v>
      </c>
      <c r="N4401" s="8"/>
      <c r="O4401" s="8"/>
      <c r="P4401" s="8"/>
      <c r="Q4401" s="11"/>
      <c r="R4401" s="11"/>
      <c r="S4401" s="8">
        <v>13.38</v>
      </c>
      <c r="T4401" s="8"/>
      <c r="U4401" s="8">
        <v>42.67</v>
      </c>
      <c r="V4401" s="8"/>
      <c r="W4401" s="8"/>
      <c r="X4401" s="8"/>
      <c r="Y4401" s="8"/>
      <c r="Z4401" s="8"/>
      <c r="AA4401" s="8"/>
      <c r="AB4401" s="8"/>
      <c r="AC4401" s="8">
        <v>11.37</v>
      </c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11"/>
      <c r="AQ4401" s="8"/>
      <c r="AR4401" s="8"/>
      <c r="AS4401" s="8"/>
      <c r="AT4401" s="8">
        <v>1876.62</v>
      </c>
      <c r="AU4401" s="8"/>
      <c r="AV4401" s="8"/>
      <c r="AW4401" s="8"/>
      <c r="AX4401" s="8"/>
      <c r="AY4401" s="8"/>
      <c r="AZ4401" s="8"/>
      <c r="BA4401" s="8"/>
      <c r="BB4401" s="8"/>
      <c r="BC4401" s="8"/>
      <c r="BD4401" s="8"/>
      <c r="BE4401" s="8"/>
      <c r="BF4401" s="8">
        <v>199.13</v>
      </c>
      <c r="BG4401" s="8">
        <v>147.91</v>
      </c>
      <c r="BH4401" s="9">
        <f t="shared" si="612"/>
        <v>2843.1099999999997</v>
      </c>
      <c r="BI4401" s="9">
        <f t="shared" si="613"/>
        <v>8.24</v>
      </c>
      <c r="BJ4401" s="9">
        <f t="shared" si="614"/>
        <v>13.38</v>
      </c>
      <c r="BK4401" s="9">
        <f t="shared" si="615"/>
        <v>42.67</v>
      </c>
      <c r="BL4401" s="9">
        <f t="shared" si="616"/>
        <v>0</v>
      </c>
      <c r="BM4401" s="9">
        <f t="shared" si="617"/>
        <v>11.37</v>
      </c>
      <c r="BN4401" s="9">
        <f t="shared" si="618"/>
        <v>1876.62</v>
      </c>
      <c r="BO4401" s="9">
        <f t="shared" si="619"/>
        <v>0</v>
      </c>
      <c r="BP4401" s="9">
        <f t="shared" si="620"/>
        <v>199.13</v>
      </c>
    </row>
    <row r="4402" spans="1:68">
      <c r="A4402" s="6">
        <v>45372</v>
      </c>
      <c r="B4402" s="7">
        <v>3106</v>
      </c>
      <c r="C4402" s="8">
        <f>1096.92+3372.74</f>
        <v>4469.66</v>
      </c>
      <c r="D4402" s="8"/>
      <c r="E4402" s="8"/>
      <c r="F4402" s="8"/>
      <c r="G4402" s="8"/>
      <c r="H4402" s="8"/>
      <c r="I4402" s="8"/>
      <c r="J4402" s="8"/>
      <c r="K4402" s="8"/>
      <c r="L4402" s="8"/>
      <c r="M4402" s="8">
        <f>6.45+2.43</f>
        <v>8.8800000000000008</v>
      </c>
      <c r="N4402" s="8"/>
      <c r="O4402" s="8"/>
      <c r="P4402" s="8"/>
      <c r="Q4402" s="11"/>
      <c r="R4402" s="11"/>
      <c r="S4402" s="8">
        <f>10.13+3.31</f>
        <v>13.440000000000001</v>
      </c>
      <c r="T4402" s="8"/>
      <c r="U4402" s="8">
        <f>42.87+14.02</f>
        <v>56.89</v>
      </c>
      <c r="V4402" s="8"/>
      <c r="W4402" s="8"/>
      <c r="X4402" s="8"/>
      <c r="Y4402" s="8"/>
      <c r="Z4402" s="8"/>
      <c r="AA4402" s="8"/>
      <c r="AB4402" s="8"/>
      <c r="AC4402" s="8">
        <f>8.45+2.75</f>
        <v>11.2</v>
      </c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11"/>
      <c r="AQ4402" s="8"/>
      <c r="AR4402" s="8"/>
      <c r="AS4402" s="8"/>
      <c r="AT4402" s="8">
        <f>1920.93+626.61</f>
        <v>2547.54</v>
      </c>
      <c r="AU4402" s="8"/>
      <c r="AV4402" s="8"/>
      <c r="AW4402" s="8"/>
      <c r="AX4402" s="8">
        <f>4.22+1.38</f>
        <v>5.6</v>
      </c>
      <c r="AY4402" s="8"/>
      <c r="AZ4402" s="8"/>
      <c r="BA4402" s="8"/>
      <c r="BB4402" s="8"/>
      <c r="BC4402" s="8"/>
      <c r="BD4402" s="8"/>
      <c r="BE4402" s="8"/>
      <c r="BF4402" s="8"/>
      <c r="BG4402" s="8">
        <f>144.71+47.4</f>
        <v>192.11</v>
      </c>
      <c r="BH4402" s="9">
        <f t="shared" si="612"/>
        <v>4469.66</v>
      </c>
      <c r="BI4402" s="9">
        <f t="shared" si="613"/>
        <v>8.8800000000000008</v>
      </c>
      <c r="BJ4402" s="9">
        <f t="shared" si="614"/>
        <v>13.440000000000001</v>
      </c>
      <c r="BK4402" s="9">
        <f t="shared" si="615"/>
        <v>56.89</v>
      </c>
      <c r="BL4402" s="9">
        <f t="shared" si="616"/>
        <v>0</v>
      </c>
      <c r="BM4402" s="9">
        <f t="shared" si="617"/>
        <v>11.2</v>
      </c>
      <c r="BN4402" s="9">
        <f t="shared" si="618"/>
        <v>2547.54</v>
      </c>
      <c r="BO4402" s="9">
        <f t="shared" si="619"/>
        <v>5.6</v>
      </c>
      <c r="BP4402" s="9">
        <f t="shared" si="620"/>
        <v>0</v>
      </c>
    </row>
    <row r="4403" spans="1:68">
      <c r="A4403" s="6">
        <v>45372</v>
      </c>
      <c r="B4403" s="7">
        <v>3200</v>
      </c>
      <c r="C4403" s="8">
        <v>2333.88</v>
      </c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>
        <v>5.84</v>
      </c>
      <c r="P4403" s="8"/>
      <c r="Q4403" s="11"/>
      <c r="R4403" s="11"/>
      <c r="S4403" s="8">
        <v>9.1</v>
      </c>
      <c r="T4403" s="8"/>
      <c r="U4403" s="8">
        <v>35.03</v>
      </c>
      <c r="V4403" s="8"/>
      <c r="W4403" s="8"/>
      <c r="X4403" s="8"/>
      <c r="Y4403" s="8"/>
      <c r="Z4403" s="8">
        <v>490.63</v>
      </c>
      <c r="AA4403" s="8"/>
      <c r="AB4403" s="8"/>
      <c r="AC4403" s="8"/>
      <c r="AD4403" s="8"/>
      <c r="AE4403" s="8"/>
      <c r="AF4403" s="8">
        <v>116.64</v>
      </c>
      <c r="AG4403" s="8"/>
      <c r="AH4403" s="8"/>
      <c r="AI4403" s="8"/>
      <c r="AJ4403" s="8"/>
      <c r="AK4403" s="8"/>
      <c r="AL4403" s="8"/>
      <c r="AM4403" s="8"/>
      <c r="AN4403" s="8"/>
      <c r="AO4403" s="8"/>
      <c r="AP4403" s="11"/>
      <c r="AQ4403" s="8">
        <f>1533*23.35/1000</f>
        <v>35.795550000000006</v>
      </c>
      <c r="AR4403" s="8"/>
      <c r="AS4403" s="8"/>
      <c r="AT4403" s="8">
        <v>1598.82</v>
      </c>
      <c r="AU4403" s="8"/>
      <c r="AV4403" s="8"/>
      <c r="AW4403" s="8">
        <v>6.79</v>
      </c>
      <c r="AX4403" s="8"/>
      <c r="AY4403" s="8"/>
      <c r="AZ4403" s="8"/>
      <c r="BA4403" s="8"/>
      <c r="BB4403" s="8"/>
      <c r="BC4403" s="8"/>
      <c r="BD4403" s="8"/>
      <c r="BE4403" s="8"/>
      <c r="BF4403" s="8">
        <v>112.12</v>
      </c>
      <c r="BG4403" s="8">
        <v>115.28</v>
      </c>
      <c r="BH4403" s="9">
        <f t="shared" si="612"/>
        <v>2333.88</v>
      </c>
      <c r="BI4403" s="9">
        <f t="shared" si="613"/>
        <v>5.84</v>
      </c>
      <c r="BJ4403" s="9">
        <f t="shared" si="614"/>
        <v>9.1</v>
      </c>
      <c r="BK4403" s="9">
        <f t="shared" si="615"/>
        <v>35.03</v>
      </c>
      <c r="BL4403" s="9">
        <f t="shared" si="616"/>
        <v>490.63</v>
      </c>
      <c r="BM4403" s="9">
        <f t="shared" si="617"/>
        <v>152.43555000000001</v>
      </c>
      <c r="BN4403" s="9">
        <f t="shared" si="618"/>
        <v>1598.82</v>
      </c>
      <c r="BO4403" s="9">
        <f t="shared" si="619"/>
        <v>6.79</v>
      </c>
      <c r="BP4403" s="9">
        <f t="shared" si="620"/>
        <v>112.12</v>
      </c>
    </row>
    <row r="4404" spans="1:68">
      <c r="A4404" s="6">
        <v>45372</v>
      </c>
      <c r="B4404" s="7">
        <v>3022</v>
      </c>
      <c r="C4404" s="8"/>
      <c r="D4404" s="8">
        <v>357.61</v>
      </c>
      <c r="E4404" s="8"/>
      <c r="F4404" s="8"/>
      <c r="G4404" s="8"/>
      <c r="H4404" s="8"/>
      <c r="I4404" s="8">
        <v>292.37</v>
      </c>
      <c r="J4404" s="8"/>
      <c r="K4404" s="8"/>
      <c r="L4404" s="8"/>
      <c r="M4404" s="8"/>
      <c r="N4404" s="8">
        <v>3.25</v>
      </c>
      <c r="O4404" s="8"/>
      <c r="P4404" s="8"/>
      <c r="Q4404" s="11"/>
      <c r="R4404" s="11"/>
      <c r="S4404" s="8">
        <v>1.17</v>
      </c>
      <c r="T4404" s="8"/>
      <c r="U4404" s="8"/>
      <c r="V4404" s="8"/>
      <c r="W4404" s="8">
        <v>6.51</v>
      </c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>
        <v>8.44</v>
      </c>
      <c r="AN4404" s="8"/>
      <c r="AO4404" s="8"/>
      <c r="AP4404" s="11"/>
      <c r="AQ4404" s="8"/>
      <c r="AR4404" s="8"/>
      <c r="AS4404" s="8">
        <f>3874*5.9/1000</f>
        <v>22.856600000000004</v>
      </c>
      <c r="AT4404" s="8">
        <v>304</v>
      </c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  <c r="BF4404" s="8"/>
      <c r="BG4404" s="8">
        <v>23.41</v>
      </c>
      <c r="BH4404" s="9">
        <f t="shared" si="612"/>
        <v>649.98</v>
      </c>
      <c r="BI4404" s="9">
        <f t="shared" si="613"/>
        <v>3.25</v>
      </c>
      <c r="BJ4404" s="9">
        <f t="shared" si="614"/>
        <v>1.17</v>
      </c>
      <c r="BK4404" s="9">
        <f t="shared" si="615"/>
        <v>6.51</v>
      </c>
      <c r="BL4404" s="9">
        <f t="shared" si="616"/>
        <v>0</v>
      </c>
      <c r="BM4404" s="9">
        <f t="shared" si="617"/>
        <v>31.296600000000005</v>
      </c>
      <c r="BN4404" s="9">
        <f t="shared" si="618"/>
        <v>304</v>
      </c>
      <c r="BO4404" s="9">
        <f t="shared" si="619"/>
        <v>0</v>
      </c>
      <c r="BP4404" s="9">
        <f t="shared" si="620"/>
        <v>0</v>
      </c>
    </row>
    <row r="4405" spans="1:68">
      <c r="A4405" s="6">
        <v>45372</v>
      </c>
      <c r="B4405" s="7">
        <v>3023</v>
      </c>
      <c r="C4405" s="8"/>
      <c r="D4405" s="8">
        <v>892.75</v>
      </c>
      <c r="E4405" s="8"/>
      <c r="F4405" s="8"/>
      <c r="G4405" s="8"/>
      <c r="H4405" s="8"/>
      <c r="I4405" s="8">
        <v>481.33</v>
      </c>
      <c r="J4405" s="8"/>
      <c r="K4405" s="8"/>
      <c r="L4405" s="8"/>
      <c r="M4405" s="8"/>
      <c r="N4405" s="8">
        <v>7.82</v>
      </c>
      <c r="O4405" s="8"/>
      <c r="P4405" s="8"/>
      <c r="Q4405" s="11"/>
      <c r="R4405" s="11"/>
      <c r="S4405" s="8">
        <v>2.19</v>
      </c>
      <c r="T4405" s="8"/>
      <c r="U4405" s="8"/>
      <c r="V4405" s="8"/>
      <c r="W4405" s="8">
        <v>12.37</v>
      </c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>
        <v>13.75</v>
      </c>
      <c r="AN4405" s="8">
        <f>1025*9.47/1000</f>
        <v>9.7067499999999995</v>
      </c>
      <c r="AO4405" s="8"/>
      <c r="AP4405" s="11"/>
      <c r="AQ4405" s="8"/>
      <c r="AR4405" s="8"/>
      <c r="AS4405" s="8">
        <f>4769*9.47/1000</f>
        <v>45.162430000000001</v>
      </c>
      <c r="AT4405" s="8">
        <v>563.74</v>
      </c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  <c r="BF4405" s="8"/>
      <c r="BG4405" s="8">
        <v>42.58</v>
      </c>
      <c r="BH4405" s="9">
        <f t="shared" si="612"/>
        <v>1374.08</v>
      </c>
      <c r="BI4405" s="9">
        <f t="shared" si="613"/>
        <v>7.82</v>
      </c>
      <c r="BJ4405" s="9">
        <f t="shared" si="614"/>
        <v>2.19</v>
      </c>
      <c r="BK4405" s="9">
        <f t="shared" si="615"/>
        <v>12.37</v>
      </c>
      <c r="BL4405" s="9">
        <f t="shared" si="616"/>
        <v>0</v>
      </c>
      <c r="BM4405" s="9">
        <f t="shared" si="617"/>
        <v>68.61918</v>
      </c>
      <c r="BN4405" s="9">
        <f t="shared" si="618"/>
        <v>563.74</v>
      </c>
      <c r="BO4405" s="9">
        <f t="shared" si="619"/>
        <v>0</v>
      </c>
      <c r="BP4405" s="9">
        <f t="shared" si="620"/>
        <v>0</v>
      </c>
    </row>
    <row r="4406" spans="1:68">
      <c r="A4406" s="6">
        <v>45372</v>
      </c>
      <c r="B4406" s="7">
        <v>3024</v>
      </c>
      <c r="C4406" s="8"/>
      <c r="D4406" s="8">
        <v>617.46</v>
      </c>
      <c r="E4406" s="8"/>
      <c r="F4406" s="8"/>
      <c r="G4406" s="8"/>
      <c r="H4406" s="8"/>
      <c r="I4406" s="8">
        <v>616.97</v>
      </c>
      <c r="J4406" s="8"/>
      <c r="K4406" s="8"/>
      <c r="L4406" s="8"/>
      <c r="M4406" s="8"/>
      <c r="N4406" s="8">
        <v>7.77</v>
      </c>
      <c r="O4406" s="8"/>
      <c r="P4406" s="8"/>
      <c r="Q4406" s="11"/>
      <c r="R4406" s="11"/>
      <c r="S4406" s="8">
        <v>1.97</v>
      </c>
      <c r="T4406" s="8"/>
      <c r="U4406" s="8"/>
      <c r="V4406" s="8"/>
      <c r="W4406" s="8">
        <v>9.86</v>
      </c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>
        <v>12.34</v>
      </c>
      <c r="AN4406" s="8">
        <f>847*10.28/1000</f>
        <v>8.70716</v>
      </c>
      <c r="AO4406" s="8"/>
      <c r="AP4406" s="11"/>
      <c r="AQ4406" s="8"/>
      <c r="AR4406" s="8"/>
      <c r="AS4406" s="8">
        <f>3975*10.28/1000</f>
        <v>40.863</v>
      </c>
      <c r="AT4406" s="8">
        <v>474.97</v>
      </c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  <c r="BF4406" s="8"/>
      <c r="BG4406" s="8">
        <v>34.590000000000003</v>
      </c>
      <c r="BH4406" s="9">
        <f t="shared" si="612"/>
        <v>1234.43</v>
      </c>
      <c r="BI4406" s="9">
        <f t="shared" si="613"/>
        <v>7.77</v>
      </c>
      <c r="BJ4406" s="9">
        <f t="shared" si="614"/>
        <v>1.97</v>
      </c>
      <c r="BK4406" s="9">
        <f t="shared" si="615"/>
        <v>9.86</v>
      </c>
      <c r="BL4406" s="9">
        <f t="shared" si="616"/>
        <v>0</v>
      </c>
      <c r="BM4406" s="9">
        <f t="shared" si="617"/>
        <v>61.910159999999998</v>
      </c>
      <c r="BN4406" s="9">
        <f t="shared" si="618"/>
        <v>474.97</v>
      </c>
      <c r="BO4406" s="9">
        <f t="shared" si="619"/>
        <v>0</v>
      </c>
      <c r="BP4406" s="9">
        <f t="shared" si="620"/>
        <v>0</v>
      </c>
    </row>
    <row r="4407" spans="1:68">
      <c r="A4407" s="6">
        <v>45372</v>
      </c>
      <c r="B4407" s="7">
        <v>3025</v>
      </c>
      <c r="C4407" s="8"/>
      <c r="D4407" s="8">
        <v>213.46</v>
      </c>
      <c r="E4407" s="8"/>
      <c r="F4407" s="8"/>
      <c r="G4407" s="8"/>
      <c r="H4407" s="8"/>
      <c r="I4407" s="8">
        <v>1206.6500000000001</v>
      </c>
      <c r="J4407" s="8"/>
      <c r="K4407" s="8"/>
      <c r="L4407" s="8"/>
      <c r="M4407" s="8"/>
      <c r="N4407" s="8">
        <v>7.95</v>
      </c>
      <c r="O4407" s="8"/>
      <c r="P4407" s="8"/>
      <c r="Q4407" s="11"/>
      <c r="R4407" s="11"/>
      <c r="S4407" s="8">
        <v>2.27</v>
      </c>
      <c r="T4407" s="8"/>
      <c r="U4407" s="8"/>
      <c r="V4407" s="8"/>
      <c r="W4407" s="8">
        <v>12.78</v>
      </c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>
        <v>14.2</v>
      </c>
      <c r="AN4407" s="8">
        <f>709*14.2/1000</f>
        <v>10.0678</v>
      </c>
      <c r="AO4407" s="8"/>
      <c r="AP4407" s="11"/>
      <c r="AQ4407" s="8"/>
      <c r="AR4407" s="8"/>
      <c r="AS4407" s="8">
        <f>3316*14.2/1000</f>
        <v>47.087199999999996</v>
      </c>
      <c r="AT4407" s="8">
        <v>491.02</v>
      </c>
      <c r="AU4407" s="8"/>
      <c r="AV4407" s="8"/>
      <c r="AW4407" s="8"/>
      <c r="AX4407" s="8"/>
      <c r="AY4407" s="8"/>
      <c r="AZ4407" s="8"/>
      <c r="BA4407" s="8"/>
      <c r="BB4407" s="8"/>
      <c r="BC4407" s="8"/>
      <c r="BD4407" s="8"/>
      <c r="BE4407" s="8"/>
      <c r="BF4407" s="8"/>
      <c r="BG4407" s="8">
        <v>32.659999999999997</v>
      </c>
      <c r="BH4407" s="9">
        <f t="shared" si="612"/>
        <v>1420.1100000000001</v>
      </c>
      <c r="BI4407" s="9">
        <f t="shared" si="613"/>
        <v>7.95</v>
      </c>
      <c r="BJ4407" s="9">
        <f t="shared" si="614"/>
        <v>2.27</v>
      </c>
      <c r="BK4407" s="9">
        <f t="shared" si="615"/>
        <v>12.78</v>
      </c>
      <c r="BL4407" s="9">
        <f t="shared" si="616"/>
        <v>0</v>
      </c>
      <c r="BM4407" s="9">
        <f t="shared" si="617"/>
        <v>71.35499999999999</v>
      </c>
      <c r="BN4407" s="9">
        <f t="shared" si="618"/>
        <v>491.02</v>
      </c>
      <c r="BO4407" s="9">
        <f t="shared" si="619"/>
        <v>0</v>
      </c>
      <c r="BP4407" s="9">
        <f t="shared" si="620"/>
        <v>0</v>
      </c>
    </row>
    <row r="4408" spans="1:68">
      <c r="A4408" s="6">
        <v>45372</v>
      </c>
      <c r="B4408" s="7">
        <v>3139</v>
      </c>
      <c r="C4408" s="8">
        <v>949.87</v>
      </c>
      <c r="D4408" s="8"/>
      <c r="E4408" s="8"/>
      <c r="F4408" s="8"/>
      <c r="G4408" s="8"/>
      <c r="H4408" s="8">
        <v>394.5</v>
      </c>
      <c r="I4408" s="8"/>
      <c r="J4408" s="8"/>
      <c r="K4408" s="8"/>
      <c r="L4408" s="8"/>
      <c r="M4408" s="8">
        <v>2.2200000000000002</v>
      </c>
      <c r="N4408" s="8"/>
      <c r="O4408" s="8"/>
      <c r="P4408" s="8"/>
      <c r="Q4408" s="11"/>
      <c r="R4408" s="11"/>
      <c r="S4408" s="8">
        <v>4.21</v>
      </c>
      <c r="T4408" s="8"/>
      <c r="U4408" s="8">
        <v>14.04</v>
      </c>
      <c r="V4408" s="8"/>
      <c r="W4408" s="8"/>
      <c r="X4408" s="8"/>
      <c r="Y4408" s="8"/>
      <c r="Z4408" s="8"/>
      <c r="AA4408" s="8"/>
      <c r="AB4408" s="8"/>
      <c r="AC4408" s="8">
        <v>4.6900000000000004</v>
      </c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11"/>
      <c r="AQ4408" s="8"/>
      <c r="AR4408" s="8"/>
      <c r="AS4408" s="8"/>
      <c r="AT4408" s="8">
        <v>693.31</v>
      </c>
      <c r="AU4408" s="8"/>
      <c r="AV4408" s="8">
        <v>23.45</v>
      </c>
      <c r="AW4408" s="8"/>
      <c r="AX4408" s="8"/>
      <c r="AY4408" s="8"/>
      <c r="AZ4408" s="8"/>
      <c r="BA4408" s="8"/>
      <c r="BB4408" s="8"/>
      <c r="BC4408" s="8"/>
      <c r="BD4408" s="8"/>
      <c r="BE4408" s="8"/>
      <c r="BF4408" s="8"/>
      <c r="BG4408" s="8">
        <v>50.37</v>
      </c>
      <c r="BH4408" s="9">
        <f t="shared" si="612"/>
        <v>1344.37</v>
      </c>
      <c r="BI4408" s="9">
        <f t="shared" si="613"/>
        <v>2.2200000000000002</v>
      </c>
      <c r="BJ4408" s="9">
        <f t="shared" si="614"/>
        <v>4.21</v>
      </c>
      <c r="BK4408" s="9">
        <f t="shared" si="615"/>
        <v>14.04</v>
      </c>
      <c r="BL4408" s="9">
        <f t="shared" si="616"/>
        <v>0</v>
      </c>
      <c r="BM4408" s="9">
        <f t="shared" si="617"/>
        <v>4.6900000000000004</v>
      </c>
      <c r="BN4408" s="9">
        <f t="shared" si="618"/>
        <v>693.31</v>
      </c>
      <c r="BO4408" s="9">
        <f t="shared" si="619"/>
        <v>23.45</v>
      </c>
      <c r="BP4408" s="9">
        <f t="shared" si="620"/>
        <v>0</v>
      </c>
    </row>
    <row r="4409" spans="1:68">
      <c r="A4409" s="6">
        <v>45373</v>
      </c>
      <c r="B4409" s="7">
        <v>3204</v>
      </c>
      <c r="C4409" s="8"/>
      <c r="D4409" s="8">
        <v>1745.2</v>
      </c>
      <c r="E4409" s="8">
        <v>747.84</v>
      </c>
      <c r="F4409" s="8"/>
      <c r="G4409" s="8"/>
      <c r="H4409" s="8"/>
      <c r="I4409" s="8"/>
      <c r="J4409" s="8"/>
      <c r="K4409" s="8"/>
      <c r="L4409" s="8"/>
      <c r="M4409" s="8"/>
      <c r="N4409" s="8"/>
      <c r="O4409" s="8">
        <v>12.47</v>
      </c>
      <c r="P4409" s="8"/>
      <c r="Q4409" s="11"/>
      <c r="R4409" s="11"/>
      <c r="S4409" s="8">
        <v>8.48</v>
      </c>
      <c r="T4409" s="8"/>
      <c r="U4409" s="8">
        <v>27.46</v>
      </c>
      <c r="V4409" s="8"/>
      <c r="W4409" s="8"/>
      <c r="X4409" s="8"/>
      <c r="Y4409" s="8"/>
      <c r="Z4409" s="8">
        <v>374.44</v>
      </c>
      <c r="AA4409" s="8"/>
      <c r="AB4409" s="8">
        <f>715*17.82/1000</f>
        <v>12.741300000000001</v>
      </c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11"/>
      <c r="AQ4409" s="8"/>
      <c r="AR4409" s="8"/>
      <c r="AS4409" s="8"/>
      <c r="AT4409" s="8">
        <v>1098.18</v>
      </c>
      <c r="AU4409" s="8"/>
      <c r="AV4409" s="8"/>
      <c r="AW4409" s="8">
        <v>8</v>
      </c>
      <c r="AX4409" s="8"/>
      <c r="AY4409" s="8"/>
      <c r="AZ4409" s="8"/>
      <c r="BA4409" s="8"/>
      <c r="BB4409" s="8"/>
      <c r="BC4409" s="8"/>
      <c r="BD4409" s="8"/>
      <c r="BE4409" s="8"/>
      <c r="BF4409" s="8"/>
      <c r="BG4409" s="8">
        <v>81.14</v>
      </c>
      <c r="BH4409" s="9">
        <f t="shared" si="612"/>
        <v>2493.04</v>
      </c>
      <c r="BI4409" s="9">
        <f t="shared" si="613"/>
        <v>12.47</v>
      </c>
      <c r="BJ4409" s="9">
        <f t="shared" si="614"/>
        <v>8.48</v>
      </c>
      <c r="BK4409" s="9">
        <f t="shared" si="615"/>
        <v>27.46</v>
      </c>
      <c r="BL4409" s="9">
        <f t="shared" si="616"/>
        <v>374.44</v>
      </c>
      <c r="BM4409" s="9">
        <f t="shared" si="617"/>
        <v>12.741300000000001</v>
      </c>
      <c r="BN4409" s="9">
        <f t="shared" si="618"/>
        <v>1098.18</v>
      </c>
      <c r="BO4409" s="9">
        <f t="shared" si="619"/>
        <v>8</v>
      </c>
      <c r="BP4409" s="9">
        <f t="shared" si="620"/>
        <v>0</v>
      </c>
    </row>
    <row r="4410" spans="1:68">
      <c r="A4410" s="6">
        <v>45373</v>
      </c>
      <c r="B4410" s="7">
        <v>3605</v>
      </c>
      <c r="C4410" s="8">
        <v>1444.39</v>
      </c>
      <c r="D4410" s="8">
        <v>254.16</v>
      </c>
      <c r="E4410" s="8"/>
      <c r="F4410" s="8"/>
      <c r="G4410" s="8"/>
      <c r="H4410" s="8"/>
      <c r="I4410" s="8"/>
      <c r="J4410" s="8"/>
      <c r="K4410" s="8"/>
      <c r="L4410" s="8"/>
      <c r="M4410" s="8">
        <v>1.19</v>
      </c>
      <c r="N4410" s="8">
        <v>1.19</v>
      </c>
      <c r="O4410" s="8"/>
      <c r="P4410" s="8"/>
      <c r="Q4410" s="11"/>
      <c r="R4410" s="11"/>
      <c r="S4410" s="8">
        <v>5.44</v>
      </c>
      <c r="T4410" s="8"/>
      <c r="U4410" s="8">
        <v>17.010000000000002</v>
      </c>
      <c r="V4410" s="8"/>
      <c r="W4410" s="8"/>
      <c r="X4410" s="8"/>
      <c r="Y4410" s="8"/>
      <c r="Z4410" s="8"/>
      <c r="AA4410" s="8"/>
      <c r="AB4410" s="8"/>
      <c r="AC4410" s="8">
        <v>6.8</v>
      </c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11"/>
      <c r="AQ4410" s="8"/>
      <c r="AR4410" s="8"/>
      <c r="AS4410" s="8"/>
      <c r="AT4410" s="8">
        <v>699.4</v>
      </c>
      <c r="AU4410" s="8"/>
      <c r="AV4410" s="8"/>
      <c r="AW4410" s="8"/>
      <c r="AX4410" s="8"/>
      <c r="AY4410" s="8"/>
      <c r="AZ4410" s="8"/>
      <c r="BA4410" s="8">
        <v>10.18</v>
      </c>
      <c r="BB4410" s="8"/>
      <c r="BC4410" s="8"/>
      <c r="BD4410" s="8"/>
      <c r="BE4410" s="8"/>
      <c r="BF4410" s="8"/>
      <c r="BG4410" s="8">
        <v>51.15</v>
      </c>
      <c r="BH4410" s="9">
        <f t="shared" si="612"/>
        <v>1698.5500000000002</v>
      </c>
      <c r="BI4410" s="9">
        <f t="shared" si="613"/>
        <v>2.38</v>
      </c>
      <c r="BJ4410" s="9">
        <f t="shared" si="614"/>
        <v>5.44</v>
      </c>
      <c r="BK4410" s="9">
        <f t="shared" si="615"/>
        <v>17.010000000000002</v>
      </c>
      <c r="BL4410" s="9">
        <f t="shared" si="616"/>
        <v>0</v>
      </c>
      <c r="BM4410" s="9">
        <f t="shared" si="617"/>
        <v>6.8</v>
      </c>
      <c r="BN4410" s="9">
        <f t="shared" si="618"/>
        <v>699.4</v>
      </c>
      <c r="BO4410" s="9">
        <f t="shared" si="619"/>
        <v>10.18</v>
      </c>
      <c r="BP4410" s="9">
        <f t="shared" si="620"/>
        <v>0</v>
      </c>
    </row>
    <row r="4411" spans="1:68">
      <c r="A4411" s="6">
        <v>45373</v>
      </c>
      <c r="B4411" s="7">
        <v>3079</v>
      </c>
      <c r="C4411" s="8"/>
      <c r="D4411" s="8"/>
      <c r="E4411" s="8"/>
      <c r="F4411" s="8">
        <v>336.94</v>
      </c>
      <c r="G4411" s="8"/>
      <c r="H4411" s="8"/>
      <c r="I4411" s="8">
        <v>2728.62</v>
      </c>
      <c r="J4411" s="8"/>
      <c r="K4411" s="8"/>
      <c r="L4411" s="8"/>
      <c r="M4411" s="8"/>
      <c r="N4411" s="8">
        <v>22.41</v>
      </c>
      <c r="O4411" s="8"/>
      <c r="P4411" s="8"/>
      <c r="Q4411" s="11"/>
      <c r="R4411" s="11"/>
      <c r="S4411" s="8">
        <v>1.23</v>
      </c>
      <c r="T4411" s="8"/>
      <c r="U4411" s="8"/>
      <c r="V4411" s="8"/>
      <c r="W4411" s="8">
        <v>30.69</v>
      </c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>
        <v>12.26</v>
      </c>
      <c r="AN4411" s="8">
        <f>1702*18.03/1000</f>
        <v>30.687060000000002</v>
      </c>
      <c r="AO4411" s="8"/>
      <c r="AP4411" s="11"/>
      <c r="AQ4411" s="8"/>
      <c r="AR4411" s="8">
        <f>4265*18.03/1000</f>
        <v>76.897950000000009</v>
      </c>
      <c r="AS4411" s="8"/>
      <c r="AT4411" s="8">
        <v>1182.99</v>
      </c>
      <c r="AU4411" s="8"/>
      <c r="AV4411" s="8"/>
      <c r="AW4411" s="8"/>
      <c r="AX4411" s="8"/>
      <c r="AY4411" s="8"/>
      <c r="AZ4411" s="8"/>
      <c r="BA4411" s="8"/>
      <c r="BB4411" s="8"/>
      <c r="BC4411" s="8"/>
      <c r="BD4411" s="8"/>
      <c r="BE4411" s="8"/>
      <c r="BF4411" s="8"/>
      <c r="BG4411" s="8">
        <v>85.94</v>
      </c>
      <c r="BH4411" s="9">
        <f t="shared" si="612"/>
        <v>3065.56</v>
      </c>
      <c r="BI4411" s="9">
        <f t="shared" si="613"/>
        <v>22.41</v>
      </c>
      <c r="BJ4411" s="9">
        <f t="shared" si="614"/>
        <v>1.23</v>
      </c>
      <c r="BK4411" s="9">
        <f t="shared" si="615"/>
        <v>30.69</v>
      </c>
      <c r="BL4411" s="9">
        <f t="shared" si="616"/>
        <v>0</v>
      </c>
      <c r="BM4411" s="9">
        <f t="shared" si="617"/>
        <v>119.84501</v>
      </c>
      <c r="BN4411" s="9">
        <f t="shared" si="618"/>
        <v>1182.99</v>
      </c>
      <c r="BO4411" s="9">
        <f t="shared" si="619"/>
        <v>0</v>
      </c>
      <c r="BP4411" s="9">
        <f t="shared" si="620"/>
        <v>0</v>
      </c>
    </row>
    <row r="4412" spans="1:68">
      <c r="A4412" s="6">
        <v>45373</v>
      </c>
      <c r="B4412" s="7">
        <v>3083</v>
      </c>
      <c r="C4412" s="8"/>
      <c r="D4412" s="8">
        <v>721.3</v>
      </c>
      <c r="E4412" s="8"/>
      <c r="F4412" s="8"/>
      <c r="G4412" s="8"/>
      <c r="H4412" s="8"/>
      <c r="I4412" s="8">
        <v>1690.64</v>
      </c>
      <c r="J4412" s="8"/>
      <c r="K4412" s="8"/>
      <c r="L4412" s="8"/>
      <c r="M4412" s="8"/>
      <c r="N4412" s="8">
        <v>15.65</v>
      </c>
      <c r="O4412" s="8"/>
      <c r="P4412" s="8"/>
      <c r="Q4412" s="11"/>
      <c r="R4412" s="11"/>
      <c r="S4412" s="8">
        <v>1.68</v>
      </c>
      <c r="T4412" s="8"/>
      <c r="U4412" s="8"/>
      <c r="V4412" s="8"/>
      <c r="W4412" s="8">
        <v>19.32</v>
      </c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>
        <v>9.64</v>
      </c>
      <c r="AN4412" s="8">
        <f>1911*17.87/1000</f>
        <v>34.149569999999997</v>
      </c>
      <c r="AO4412" s="8"/>
      <c r="AP4412" s="11"/>
      <c r="AQ4412" s="8"/>
      <c r="AR4412" s="8">
        <f>3386*17.87/1000</f>
        <v>60.507820000000009</v>
      </c>
      <c r="AS4412" s="8"/>
      <c r="AT4412" s="8">
        <v>1134.29</v>
      </c>
      <c r="AU4412" s="8"/>
      <c r="AV4412" s="8"/>
      <c r="AW4412" s="8"/>
      <c r="AX4412" s="8"/>
      <c r="AY4412" s="8"/>
      <c r="AZ4412" s="8"/>
      <c r="BA4412" s="8"/>
      <c r="BB4412" s="8"/>
      <c r="BC4412" s="8"/>
      <c r="BD4412" s="8"/>
      <c r="BE4412" s="8"/>
      <c r="BF4412" s="8"/>
      <c r="BG4412" s="8">
        <v>89.93</v>
      </c>
      <c r="BH4412" s="9">
        <f t="shared" si="612"/>
        <v>2411.94</v>
      </c>
      <c r="BI4412" s="9">
        <f t="shared" si="613"/>
        <v>15.65</v>
      </c>
      <c r="BJ4412" s="9">
        <f t="shared" si="614"/>
        <v>1.68</v>
      </c>
      <c r="BK4412" s="9">
        <f t="shared" si="615"/>
        <v>19.32</v>
      </c>
      <c r="BL4412" s="9">
        <f t="shared" si="616"/>
        <v>0</v>
      </c>
      <c r="BM4412" s="9">
        <f t="shared" si="617"/>
        <v>104.29739000000001</v>
      </c>
      <c r="BN4412" s="9">
        <f t="shared" si="618"/>
        <v>1134.29</v>
      </c>
      <c r="BO4412" s="9">
        <f t="shared" si="619"/>
        <v>0</v>
      </c>
      <c r="BP4412" s="9">
        <f t="shared" si="620"/>
        <v>0</v>
      </c>
    </row>
    <row r="4413" spans="1:68">
      <c r="A4413" s="6">
        <v>45373</v>
      </c>
      <c r="B4413" s="7">
        <v>3016</v>
      </c>
      <c r="C4413" s="8"/>
      <c r="D4413" s="8">
        <v>1573.24</v>
      </c>
      <c r="E4413" s="8"/>
      <c r="F4413" s="8"/>
      <c r="G4413" s="8"/>
      <c r="H4413" s="8"/>
      <c r="I4413" s="8">
        <v>1453.96</v>
      </c>
      <c r="J4413" s="8"/>
      <c r="K4413" s="8"/>
      <c r="L4413" s="8"/>
      <c r="M4413" s="8"/>
      <c r="N4413" s="8">
        <v>19.37</v>
      </c>
      <c r="O4413" s="8"/>
      <c r="P4413" s="8"/>
      <c r="Q4413" s="11"/>
      <c r="R4413" s="11"/>
      <c r="S4413" s="8">
        <v>2.12</v>
      </c>
      <c r="T4413" s="8"/>
      <c r="U4413" s="8"/>
      <c r="V4413" s="8"/>
      <c r="W4413" s="8">
        <v>30.29</v>
      </c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>
        <v>12.12</v>
      </c>
      <c r="AN4413" s="8">
        <f>2068*17.82/1000</f>
        <v>36.851759999999999</v>
      </c>
      <c r="AO4413" s="8"/>
      <c r="AP4413" s="11"/>
      <c r="AQ4413" s="8"/>
      <c r="AR4413" s="8">
        <f>4265*17.82/1000</f>
        <v>76.002300000000005</v>
      </c>
      <c r="AS4413" s="8"/>
      <c r="AT4413" s="8">
        <v>1126.3800000000001</v>
      </c>
      <c r="AU4413" s="8"/>
      <c r="AV4413" s="8"/>
      <c r="AW4413" s="8"/>
      <c r="AX4413" s="8"/>
      <c r="AY4413" s="8"/>
      <c r="AZ4413" s="8"/>
      <c r="BA4413" s="8"/>
      <c r="BB4413" s="8"/>
      <c r="BC4413" s="8"/>
      <c r="BD4413" s="8"/>
      <c r="BE4413" s="8"/>
      <c r="BF4413" s="8"/>
      <c r="BG4413" s="8">
        <v>82.4</v>
      </c>
      <c r="BH4413" s="9">
        <f t="shared" si="612"/>
        <v>3027.2</v>
      </c>
      <c r="BI4413" s="9">
        <f t="shared" si="613"/>
        <v>19.37</v>
      </c>
      <c r="BJ4413" s="9">
        <f t="shared" si="614"/>
        <v>2.12</v>
      </c>
      <c r="BK4413" s="9">
        <f t="shared" si="615"/>
        <v>30.29</v>
      </c>
      <c r="BL4413" s="9">
        <f t="shared" si="616"/>
        <v>0</v>
      </c>
      <c r="BM4413" s="9">
        <f t="shared" si="617"/>
        <v>124.97406000000001</v>
      </c>
      <c r="BN4413" s="9">
        <f t="shared" si="618"/>
        <v>1126.3800000000001</v>
      </c>
      <c r="BO4413" s="9">
        <f t="shared" si="619"/>
        <v>0</v>
      </c>
      <c r="BP4413" s="9">
        <f t="shared" si="620"/>
        <v>0</v>
      </c>
    </row>
    <row r="4414" spans="1:68">
      <c r="A4414" s="6">
        <v>45373</v>
      </c>
      <c r="B4414" s="7">
        <v>8350</v>
      </c>
      <c r="C4414" s="8">
        <v>694.06</v>
      </c>
      <c r="D4414" s="8">
        <v>123.52</v>
      </c>
      <c r="E4414" s="8"/>
      <c r="F4414" s="8"/>
      <c r="G4414" s="8"/>
      <c r="H4414" s="8"/>
      <c r="I4414" s="8"/>
      <c r="J4414" s="8"/>
      <c r="K4414" s="8"/>
      <c r="L4414" s="8"/>
      <c r="M4414" s="8">
        <v>2.7</v>
      </c>
      <c r="N4414" s="8"/>
      <c r="O4414" s="8"/>
      <c r="P4414" s="8"/>
      <c r="Q4414" s="11"/>
      <c r="R4414" s="11"/>
      <c r="S4414" s="8">
        <v>3.85</v>
      </c>
      <c r="T4414" s="8"/>
      <c r="U4414" s="8">
        <v>12.28</v>
      </c>
      <c r="V4414" s="8"/>
      <c r="W4414" s="8"/>
      <c r="X4414" s="8"/>
      <c r="Y4414" s="8"/>
      <c r="Z4414" s="8"/>
      <c r="AA4414" s="8"/>
      <c r="AB4414" s="8"/>
      <c r="AC4414" s="8">
        <v>3.28</v>
      </c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11"/>
      <c r="AQ4414" s="8"/>
      <c r="AR4414" s="8"/>
      <c r="AS4414" s="8"/>
      <c r="AT4414" s="8">
        <v>536.03</v>
      </c>
      <c r="AU4414" s="8"/>
      <c r="AV4414" s="8"/>
      <c r="AW4414" s="8">
        <v>26.42</v>
      </c>
      <c r="AX4414" s="8"/>
      <c r="AY4414" s="8"/>
      <c r="AZ4414" s="8"/>
      <c r="BA4414" s="8"/>
      <c r="BB4414" s="8"/>
      <c r="BC4414" s="8"/>
      <c r="BD4414" s="8"/>
      <c r="BE4414" s="8"/>
      <c r="BF4414" s="8">
        <v>57.33</v>
      </c>
      <c r="BG4414" s="8">
        <v>42.79</v>
      </c>
      <c r="BH4414" s="9">
        <f t="shared" si="612"/>
        <v>817.57999999999993</v>
      </c>
      <c r="BI4414" s="9">
        <f t="shared" si="613"/>
        <v>2.7</v>
      </c>
      <c r="BJ4414" s="9">
        <f t="shared" si="614"/>
        <v>3.85</v>
      </c>
      <c r="BK4414" s="9">
        <f t="shared" si="615"/>
        <v>12.28</v>
      </c>
      <c r="BL4414" s="9">
        <f t="shared" si="616"/>
        <v>0</v>
      </c>
      <c r="BM4414" s="9">
        <f t="shared" si="617"/>
        <v>3.28</v>
      </c>
      <c r="BN4414" s="9">
        <f t="shared" si="618"/>
        <v>536.03</v>
      </c>
      <c r="BO4414" s="9">
        <f t="shared" si="619"/>
        <v>26.42</v>
      </c>
      <c r="BP4414" s="9">
        <f t="shared" si="620"/>
        <v>57.33</v>
      </c>
    </row>
    <row r="4415" spans="1:68">
      <c r="A4415" s="6">
        <v>45376</v>
      </c>
      <c r="B4415" s="7">
        <v>3106</v>
      </c>
      <c r="C4415" s="8">
        <v>4347.3500000000004</v>
      </c>
      <c r="D4415" s="8"/>
      <c r="E4415" s="8"/>
      <c r="F4415" s="8"/>
      <c r="G4415" s="8"/>
      <c r="H4415" s="8"/>
      <c r="I4415" s="8"/>
      <c r="J4415" s="8"/>
      <c r="K4415" s="8"/>
      <c r="L4415" s="8"/>
      <c r="M4415" s="8">
        <v>10.45</v>
      </c>
      <c r="N4415" s="8"/>
      <c r="O4415" s="8"/>
      <c r="P4415" s="8"/>
      <c r="Q4415" s="11"/>
      <c r="R4415" s="11"/>
      <c r="S4415" s="8">
        <v>13.05</v>
      </c>
      <c r="T4415" s="8"/>
      <c r="U4415" s="8">
        <v>55.28</v>
      </c>
      <c r="V4415" s="8"/>
      <c r="W4415" s="8"/>
      <c r="X4415" s="8"/>
      <c r="Y4415" s="8"/>
      <c r="Z4415" s="8"/>
      <c r="AA4415" s="8"/>
      <c r="AB4415" s="8"/>
      <c r="AC4415" s="8">
        <v>10.87</v>
      </c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11"/>
      <c r="AQ4415" s="8"/>
      <c r="AR4415" s="8"/>
      <c r="AS4415" s="8"/>
      <c r="AT4415" s="8">
        <v>2478.2800000000002</v>
      </c>
      <c r="AU4415" s="8"/>
      <c r="AV4415" s="8"/>
      <c r="AW4415" s="8"/>
      <c r="AX4415" s="8">
        <v>5.43</v>
      </c>
      <c r="AY4415" s="8"/>
      <c r="AZ4415" s="8"/>
      <c r="BA4415" s="8"/>
      <c r="BB4415" s="8"/>
      <c r="BC4415" s="8"/>
      <c r="BD4415" s="8"/>
      <c r="BE4415" s="8"/>
      <c r="BF4415" s="8"/>
      <c r="BG4415" s="8">
        <v>186.75</v>
      </c>
      <c r="BH4415" s="9">
        <f t="shared" si="612"/>
        <v>4347.3500000000004</v>
      </c>
      <c r="BI4415" s="9">
        <f t="shared" si="613"/>
        <v>10.45</v>
      </c>
      <c r="BJ4415" s="9">
        <f t="shared" si="614"/>
        <v>13.05</v>
      </c>
      <c r="BK4415" s="9">
        <f t="shared" si="615"/>
        <v>55.28</v>
      </c>
      <c r="BL4415" s="9">
        <f t="shared" si="616"/>
        <v>0</v>
      </c>
      <c r="BM4415" s="9">
        <f t="shared" si="617"/>
        <v>10.87</v>
      </c>
      <c r="BN4415" s="9">
        <f t="shared" si="618"/>
        <v>2478.2800000000002</v>
      </c>
      <c r="BO4415" s="9">
        <f t="shared" si="619"/>
        <v>5.43</v>
      </c>
      <c r="BP4415" s="9">
        <f t="shared" si="620"/>
        <v>0</v>
      </c>
    </row>
    <row r="4416" spans="1:68">
      <c r="A4416" s="6">
        <v>45376</v>
      </c>
      <c r="B4416" s="7">
        <v>3141</v>
      </c>
      <c r="C4416" s="8">
        <v>2404.35</v>
      </c>
      <c r="D4416" s="8">
        <v>423.04</v>
      </c>
      <c r="E4416" s="8"/>
      <c r="F4416" s="8"/>
      <c r="G4416" s="8"/>
      <c r="H4416" s="8"/>
      <c r="I4416" s="8"/>
      <c r="J4416" s="8"/>
      <c r="K4416" s="8"/>
      <c r="L4416" s="8"/>
      <c r="M4416" s="8">
        <v>8.2100000000000009</v>
      </c>
      <c r="N4416" s="8"/>
      <c r="O4416" s="8"/>
      <c r="P4416" s="8"/>
      <c r="Q4416" s="11"/>
      <c r="R4416" s="11"/>
      <c r="S4416" s="8">
        <v>13.27</v>
      </c>
      <c r="T4416" s="8"/>
      <c r="U4416" s="8">
        <v>42.27</v>
      </c>
      <c r="V4416" s="8"/>
      <c r="W4416" s="8"/>
      <c r="X4416" s="8"/>
      <c r="Y4416" s="8"/>
      <c r="Z4416" s="8"/>
      <c r="AA4416" s="8"/>
      <c r="AB4416" s="8"/>
      <c r="AC4416" s="8">
        <v>11.3</v>
      </c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11"/>
      <c r="AQ4416" s="8"/>
      <c r="AR4416" s="8"/>
      <c r="AS4416" s="8"/>
      <c r="AT4416" s="8">
        <v>1862.45</v>
      </c>
      <c r="AU4416" s="8"/>
      <c r="AV4416" s="8"/>
      <c r="AW4416" s="8"/>
      <c r="AX4416" s="8"/>
      <c r="AY4416" s="8"/>
      <c r="AZ4416" s="8"/>
      <c r="BA4416" s="8">
        <v>64.650000000000006</v>
      </c>
      <c r="BB4416" s="8"/>
      <c r="BC4416" s="8"/>
      <c r="BD4416" s="8"/>
      <c r="BE4416" s="8"/>
      <c r="BF4416" s="8">
        <v>197.48</v>
      </c>
      <c r="BG4416" s="8">
        <v>147.25</v>
      </c>
      <c r="BH4416" s="9">
        <f t="shared" si="612"/>
        <v>2827.39</v>
      </c>
      <c r="BI4416" s="9">
        <f t="shared" si="613"/>
        <v>8.2100000000000009</v>
      </c>
      <c r="BJ4416" s="9">
        <f t="shared" si="614"/>
        <v>13.27</v>
      </c>
      <c r="BK4416" s="9">
        <f t="shared" si="615"/>
        <v>42.27</v>
      </c>
      <c r="BL4416" s="9">
        <f t="shared" si="616"/>
        <v>0</v>
      </c>
      <c r="BM4416" s="9">
        <f t="shared" si="617"/>
        <v>11.3</v>
      </c>
      <c r="BN4416" s="9">
        <f t="shared" si="618"/>
        <v>1862.45</v>
      </c>
      <c r="BO4416" s="9">
        <f t="shared" si="619"/>
        <v>64.650000000000006</v>
      </c>
      <c r="BP4416" s="9">
        <f t="shared" si="620"/>
        <v>197.48</v>
      </c>
    </row>
    <row r="4417" spans="1:68">
      <c r="A4417" s="6">
        <v>45376</v>
      </c>
      <c r="B4417" s="7">
        <v>3029</v>
      </c>
      <c r="C4417" s="8"/>
      <c r="D4417" s="8">
        <v>666.47</v>
      </c>
      <c r="E4417" s="8"/>
      <c r="F4417" s="8">
        <v>469.82</v>
      </c>
      <c r="G4417" s="8"/>
      <c r="H4417" s="8"/>
      <c r="I4417" s="8">
        <v>2781.93</v>
      </c>
      <c r="J4417" s="8"/>
      <c r="K4417" s="8"/>
      <c r="L4417" s="8"/>
      <c r="M4417" s="8"/>
      <c r="N4417" s="8">
        <v>31.41</v>
      </c>
      <c r="O4417" s="8"/>
      <c r="P4417" s="8"/>
      <c r="Q4417" s="11"/>
      <c r="R4417" s="11"/>
      <c r="S4417" s="8">
        <v>2.34</v>
      </c>
      <c r="T4417" s="8"/>
      <c r="U4417" s="8"/>
      <c r="V4417" s="8"/>
      <c r="W4417" s="8">
        <v>39.229999999999997</v>
      </c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>
        <v>13.71</v>
      </c>
      <c r="AN4417" s="8">
        <f>770*26.15/1000</f>
        <v>20.1355</v>
      </c>
      <c r="AO4417" s="8"/>
      <c r="AP4417" s="11"/>
      <c r="AQ4417" s="8"/>
      <c r="AR4417" s="8">
        <f>4556*26.15/1000</f>
        <v>119.13939999999999</v>
      </c>
      <c r="AS4417" s="8"/>
      <c r="AT4417" s="8">
        <v>1489.86</v>
      </c>
      <c r="AU4417" s="8"/>
      <c r="AV4417" s="8"/>
      <c r="AW4417" s="8"/>
      <c r="AX4417" s="8"/>
      <c r="AY4417" s="8"/>
      <c r="AZ4417" s="8"/>
      <c r="BA4417" s="8"/>
      <c r="BB4417" s="8"/>
      <c r="BC4417" s="8"/>
      <c r="BD4417" s="8"/>
      <c r="BE4417" s="8"/>
      <c r="BF4417" s="8"/>
      <c r="BG4417" s="8">
        <v>103.71</v>
      </c>
      <c r="BH4417" s="9">
        <f t="shared" si="612"/>
        <v>3918.22</v>
      </c>
      <c r="BI4417" s="9">
        <f t="shared" si="613"/>
        <v>31.41</v>
      </c>
      <c r="BJ4417" s="9">
        <f t="shared" si="614"/>
        <v>2.34</v>
      </c>
      <c r="BK4417" s="9">
        <f t="shared" si="615"/>
        <v>39.229999999999997</v>
      </c>
      <c r="BL4417" s="9">
        <f t="shared" si="616"/>
        <v>0</v>
      </c>
      <c r="BM4417" s="9">
        <f t="shared" si="617"/>
        <v>152.98489999999998</v>
      </c>
      <c r="BN4417" s="9">
        <f t="shared" si="618"/>
        <v>1489.86</v>
      </c>
      <c r="BO4417" s="9">
        <f t="shared" si="619"/>
        <v>0</v>
      </c>
      <c r="BP4417" s="9">
        <f t="shared" si="620"/>
        <v>0</v>
      </c>
    </row>
    <row r="4418" spans="1:68">
      <c r="A4418" s="6">
        <v>45376</v>
      </c>
      <c r="B4418" s="7">
        <v>3021</v>
      </c>
      <c r="C4418" s="8"/>
      <c r="D4418" s="8">
        <v>359.26</v>
      </c>
      <c r="E4418" s="8"/>
      <c r="F4418" s="8"/>
      <c r="G4418" s="8"/>
      <c r="H4418" s="8"/>
      <c r="I4418" s="8">
        <v>667.42</v>
      </c>
      <c r="J4418" s="8"/>
      <c r="K4418" s="8"/>
      <c r="L4418" s="8"/>
      <c r="M4418" s="8"/>
      <c r="N4418" s="8">
        <v>5.44</v>
      </c>
      <c r="O4418" s="8"/>
      <c r="P4418" s="8"/>
      <c r="Q4418" s="11"/>
      <c r="R4418" s="11"/>
      <c r="S4418" s="8">
        <v>1.85</v>
      </c>
      <c r="T4418" s="8"/>
      <c r="U4418" s="8"/>
      <c r="V4418" s="8"/>
      <c r="W4418" s="8">
        <v>10.28</v>
      </c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>
        <v>10.25</v>
      </c>
      <c r="AN4418" s="8"/>
      <c r="AO4418" s="8"/>
      <c r="AP4418" s="11"/>
      <c r="AQ4418" s="8"/>
      <c r="AR4418" s="8"/>
      <c r="AS4418" s="8">
        <f>2643*9.77/1000</f>
        <v>25.822110000000002</v>
      </c>
      <c r="AT4418" s="8">
        <v>483.67</v>
      </c>
      <c r="AU4418" s="8"/>
      <c r="AV4418" s="8"/>
      <c r="AW4418" s="8"/>
      <c r="AX4418" s="8"/>
      <c r="AY4418" s="8"/>
      <c r="AZ4418" s="8"/>
      <c r="BA4418" s="8"/>
      <c r="BB4418" s="8"/>
      <c r="BC4418" s="8"/>
      <c r="BD4418" s="8"/>
      <c r="BE4418" s="8"/>
      <c r="BF4418" s="8"/>
      <c r="BG4418" s="8">
        <v>34.44</v>
      </c>
      <c r="BH4418" s="9">
        <f t="shared" si="612"/>
        <v>1026.6799999999998</v>
      </c>
      <c r="BI4418" s="9">
        <f t="shared" si="613"/>
        <v>5.44</v>
      </c>
      <c r="BJ4418" s="9">
        <f t="shared" si="614"/>
        <v>1.85</v>
      </c>
      <c r="BK4418" s="9">
        <f t="shared" si="615"/>
        <v>10.28</v>
      </c>
      <c r="BL4418" s="9">
        <f t="shared" si="616"/>
        <v>0</v>
      </c>
      <c r="BM4418" s="9">
        <f t="shared" si="617"/>
        <v>36.072110000000002</v>
      </c>
      <c r="BN4418" s="9">
        <f t="shared" si="618"/>
        <v>483.67</v>
      </c>
      <c r="BO4418" s="9">
        <f t="shared" si="619"/>
        <v>0</v>
      </c>
      <c r="BP4418" s="9">
        <f t="shared" si="620"/>
        <v>0</v>
      </c>
    </row>
    <row r="4419" spans="1:68">
      <c r="A4419" s="6">
        <v>45376</v>
      </c>
      <c r="B4419" s="7">
        <v>3023</v>
      </c>
      <c r="C4419" s="8"/>
      <c r="D4419" s="8">
        <v>890.67</v>
      </c>
      <c r="E4419" s="8"/>
      <c r="F4419" s="8"/>
      <c r="G4419" s="8"/>
      <c r="H4419" s="8"/>
      <c r="I4419" s="8">
        <v>481.82</v>
      </c>
      <c r="J4419" s="8"/>
      <c r="K4419" s="8"/>
      <c r="L4419" s="8"/>
      <c r="M4419" s="8"/>
      <c r="N4419" s="8">
        <v>7.82</v>
      </c>
      <c r="O4419" s="8"/>
      <c r="P4419" s="8"/>
      <c r="Q4419" s="11"/>
      <c r="R4419" s="11"/>
      <c r="S4419" s="8">
        <v>2.2000000000000002</v>
      </c>
      <c r="T4419" s="8"/>
      <c r="U4419" s="8"/>
      <c r="V4419" s="8"/>
      <c r="W4419" s="8">
        <v>12.37</v>
      </c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>
        <v>13.7</v>
      </c>
      <c r="AN4419" s="8">
        <f>1024*9.48/1000</f>
        <v>9.7075200000000006</v>
      </c>
      <c r="AO4419" s="8"/>
      <c r="AP4419" s="11"/>
      <c r="AQ4419" s="8"/>
      <c r="AR4419" s="8"/>
      <c r="AS4419" s="8">
        <f>4786*9.48/1000</f>
        <v>45.371279999999999</v>
      </c>
      <c r="AT4419" s="8">
        <v>562.33000000000004</v>
      </c>
      <c r="AU4419" s="8"/>
      <c r="AV4419" s="8"/>
      <c r="AW4419" s="8"/>
      <c r="AX4419" s="8"/>
      <c r="AY4419" s="8"/>
      <c r="AZ4419" s="8"/>
      <c r="BA4419" s="8"/>
      <c r="BB4419" s="8"/>
      <c r="BC4419" s="8"/>
      <c r="BD4419" s="8"/>
      <c r="BE4419" s="8"/>
      <c r="BF4419" s="8"/>
      <c r="BG4419" s="8">
        <v>42.53</v>
      </c>
      <c r="BH4419" s="9">
        <f t="shared" si="612"/>
        <v>1372.49</v>
      </c>
      <c r="BI4419" s="9">
        <f t="shared" si="613"/>
        <v>7.82</v>
      </c>
      <c r="BJ4419" s="9">
        <f t="shared" si="614"/>
        <v>2.2000000000000002</v>
      </c>
      <c r="BK4419" s="9">
        <f t="shared" si="615"/>
        <v>12.37</v>
      </c>
      <c r="BL4419" s="9">
        <f t="shared" si="616"/>
        <v>0</v>
      </c>
      <c r="BM4419" s="9">
        <f t="shared" si="617"/>
        <v>68.77879999999999</v>
      </c>
      <c r="BN4419" s="9">
        <f t="shared" si="618"/>
        <v>562.33000000000004</v>
      </c>
      <c r="BO4419" s="9">
        <f t="shared" si="619"/>
        <v>0</v>
      </c>
      <c r="BP4419" s="9">
        <f t="shared" si="620"/>
        <v>0</v>
      </c>
    </row>
    <row r="4420" spans="1:68">
      <c r="A4420" s="6">
        <v>45376</v>
      </c>
      <c r="B4420" s="7">
        <v>3122</v>
      </c>
      <c r="C4420" s="8">
        <v>815.92</v>
      </c>
      <c r="D4420" s="8"/>
      <c r="E4420" s="8"/>
      <c r="F4420" s="8"/>
      <c r="G4420" s="8"/>
      <c r="H4420" s="8"/>
      <c r="I4420" s="8"/>
      <c r="J4420" s="8"/>
      <c r="K4420" s="8"/>
      <c r="L4420" s="8"/>
      <c r="M4420" s="8">
        <v>1.49</v>
      </c>
      <c r="N4420" s="8">
        <v>1.47</v>
      </c>
      <c r="O4420" s="8"/>
      <c r="P4420" s="8"/>
      <c r="Q4420" s="11"/>
      <c r="R4420" s="11"/>
      <c r="S4420" s="8">
        <v>3.36</v>
      </c>
      <c r="T4420" s="8"/>
      <c r="U4420" s="8">
        <v>8.1999999999999993</v>
      </c>
      <c r="V4420" s="8"/>
      <c r="W4420" s="8"/>
      <c r="X4420" s="8"/>
      <c r="Y4420" s="8"/>
      <c r="Z4420" s="8"/>
      <c r="AA4420" s="8"/>
      <c r="AB4420" s="8"/>
      <c r="AC4420" s="8">
        <v>3.27</v>
      </c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11"/>
      <c r="AQ4420" s="8"/>
      <c r="AR4420" s="8"/>
      <c r="AS4420" s="8"/>
      <c r="AT4420" s="8">
        <v>362.83</v>
      </c>
      <c r="AU4420" s="8"/>
      <c r="AV4420" s="8">
        <v>27.79</v>
      </c>
      <c r="AW4420" s="8"/>
      <c r="AX4420" s="8"/>
      <c r="AY4420" s="8"/>
      <c r="AZ4420" s="8"/>
      <c r="BA4420" s="8"/>
      <c r="BB4420" s="8"/>
      <c r="BC4420" s="8"/>
      <c r="BD4420" s="8"/>
      <c r="BE4420" s="8"/>
      <c r="BF4420" s="8"/>
      <c r="BG4420" s="8">
        <v>26.59</v>
      </c>
      <c r="BH4420" s="9">
        <f t="shared" ref="BH4420:BH4483" si="621">SUM(C4420:L4420)</f>
        <v>815.92</v>
      </c>
      <c r="BI4420" s="9">
        <f t="shared" ref="BI4420:BI4483" si="622">SUM(M4420:R4420)</f>
        <v>2.96</v>
      </c>
      <c r="BJ4420" s="9">
        <f t="shared" ref="BJ4420:BJ4483" si="623">SUM(S4420)</f>
        <v>3.36</v>
      </c>
      <c r="BK4420" s="9">
        <f t="shared" ref="BK4420:BK4483" si="624">SUM(T4420:Y4420)</f>
        <v>8.1999999999999993</v>
      </c>
      <c r="BL4420" s="9">
        <f t="shared" ref="BL4420:BL4483" si="625">SUM(Z4420:AA4420)</f>
        <v>0</v>
      </c>
      <c r="BM4420" s="9">
        <f t="shared" ref="BM4420:BM4483" si="626">SUM(AB4420:AS4420)</f>
        <v>3.27</v>
      </c>
      <c r="BN4420" s="9">
        <f t="shared" ref="BN4420:BN4483" si="627">SUM(AT4420:AU4420)</f>
        <v>362.83</v>
      </c>
      <c r="BO4420" s="9">
        <f t="shared" ref="BO4420:BO4483" si="628">SUM(AV4420:BE4420)</f>
        <v>27.79</v>
      </c>
      <c r="BP4420" s="9">
        <f t="shared" ref="BP4420:BP4483" si="629">SUM(BF4420)</f>
        <v>0</v>
      </c>
    </row>
    <row r="4421" spans="1:68">
      <c r="A4421" s="6">
        <v>45376</v>
      </c>
      <c r="B4421" s="7">
        <v>3117</v>
      </c>
      <c r="C4421" s="8">
        <v>791.21</v>
      </c>
      <c r="D4421" s="8"/>
      <c r="E4421" s="8"/>
      <c r="F4421" s="8"/>
      <c r="G4421" s="8"/>
      <c r="H4421" s="8"/>
      <c r="I4421" s="8"/>
      <c r="J4421" s="8"/>
      <c r="K4421" s="8"/>
      <c r="L4421" s="8"/>
      <c r="M4421" s="8">
        <v>2.27</v>
      </c>
      <c r="N4421" s="8"/>
      <c r="O4421" s="8"/>
      <c r="P4421" s="8"/>
      <c r="Q4421" s="11"/>
      <c r="R4421" s="11"/>
      <c r="S4421" s="8">
        <v>3.16</v>
      </c>
      <c r="T4421" s="8"/>
      <c r="U4421" s="8">
        <v>7.92</v>
      </c>
      <c r="V4421" s="8"/>
      <c r="W4421" s="8"/>
      <c r="X4421" s="8"/>
      <c r="Y4421" s="8"/>
      <c r="Z4421" s="8"/>
      <c r="AA4421" s="8"/>
      <c r="AB4421" s="8"/>
      <c r="AC4421" s="8">
        <v>3.17</v>
      </c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11"/>
      <c r="AQ4421" s="8"/>
      <c r="AR4421" s="8"/>
      <c r="AS4421" s="8"/>
      <c r="AT4421" s="8">
        <v>498.35</v>
      </c>
      <c r="AU4421" s="8"/>
      <c r="AV4421" s="8">
        <v>19.809999999999999</v>
      </c>
      <c r="AW4421" s="8"/>
      <c r="AX4421" s="8"/>
      <c r="AY4421" s="8"/>
      <c r="AZ4421" s="8"/>
      <c r="BA4421" s="8"/>
      <c r="BB4421" s="8"/>
      <c r="BC4421" s="8"/>
      <c r="BD4421" s="8"/>
      <c r="BE4421" s="8"/>
      <c r="BF4421" s="8">
        <v>39.549999999999997</v>
      </c>
      <c r="BG4421" s="8">
        <v>38.03</v>
      </c>
      <c r="BH4421" s="9">
        <f t="shared" si="621"/>
        <v>791.21</v>
      </c>
      <c r="BI4421" s="9">
        <f t="shared" si="622"/>
        <v>2.27</v>
      </c>
      <c r="BJ4421" s="9">
        <f t="shared" si="623"/>
        <v>3.16</v>
      </c>
      <c r="BK4421" s="9">
        <f t="shared" si="624"/>
        <v>7.92</v>
      </c>
      <c r="BL4421" s="9">
        <f t="shared" si="625"/>
        <v>0</v>
      </c>
      <c r="BM4421" s="9">
        <f t="shared" si="626"/>
        <v>3.17</v>
      </c>
      <c r="BN4421" s="9">
        <f t="shared" si="627"/>
        <v>498.35</v>
      </c>
      <c r="BO4421" s="9">
        <f t="shared" si="628"/>
        <v>19.809999999999999</v>
      </c>
      <c r="BP4421" s="9">
        <f t="shared" si="629"/>
        <v>39.549999999999997</v>
      </c>
    </row>
    <row r="4422" spans="1:68">
      <c r="A4422" s="6">
        <v>45376</v>
      </c>
      <c r="B4422" s="7">
        <v>3602</v>
      </c>
      <c r="C4422" s="8">
        <v>570.02</v>
      </c>
      <c r="D4422" s="8"/>
      <c r="E4422" s="8"/>
      <c r="F4422" s="8"/>
      <c r="G4422" s="8">
        <v>855.3</v>
      </c>
      <c r="H4422" s="8"/>
      <c r="I4422" s="8"/>
      <c r="J4422" s="8"/>
      <c r="K4422" s="8"/>
      <c r="L4422" s="8"/>
      <c r="M4422" s="8">
        <v>1.72</v>
      </c>
      <c r="N4422" s="8"/>
      <c r="O4422" s="8"/>
      <c r="P4422" s="8"/>
      <c r="Q4422" s="11"/>
      <c r="R4422" s="11"/>
      <c r="S4422" s="8">
        <v>6.85</v>
      </c>
      <c r="T4422" s="8"/>
      <c r="U4422" s="8">
        <v>11.42</v>
      </c>
      <c r="V4422" s="8">
        <f>866*16.32/1000</f>
        <v>14.133120000000002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11"/>
      <c r="AQ4422" s="8"/>
      <c r="AR4422" s="8"/>
      <c r="AS4422" s="8"/>
      <c r="AT4422" s="8">
        <v>575.65</v>
      </c>
      <c r="AU4422" s="8"/>
      <c r="AV4422" s="8"/>
      <c r="AW4422" s="8">
        <v>36.9</v>
      </c>
      <c r="AX4422" s="8"/>
      <c r="AY4422" s="8"/>
      <c r="AZ4422" s="8"/>
      <c r="BA4422" s="8"/>
      <c r="BB4422" s="8"/>
      <c r="BC4422" s="8"/>
      <c r="BD4422" s="8"/>
      <c r="BE4422" s="8"/>
      <c r="BF4422" s="8">
        <v>45.73</v>
      </c>
      <c r="BG4422" s="8">
        <v>42.76</v>
      </c>
      <c r="BH4422" s="9">
        <f t="shared" si="621"/>
        <v>1425.32</v>
      </c>
      <c r="BI4422" s="9">
        <f t="shared" si="622"/>
        <v>1.72</v>
      </c>
      <c r="BJ4422" s="9">
        <f t="shared" si="623"/>
        <v>6.85</v>
      </c>
      <c r="BK4422" s="9">
        <f t="shared" si="624"/>
        <v>25.55312</v>
      </c>
      <c r="BL4422" s="9">
        <f t="shared" si="625"/>
        <v>0</v>
      </c>
      <c r="BM4422" s="9">
        <f t="shared" si="626"/>
        <v>0</v>
      </c>
      <c r="BN4422" s="9">
        <f t="shared" si="627"/>
        <v>575.65</v>
      </c>
      <c r="BO4422" s="9">
        <f t="shared" si="628"/>
        <v>36.9</v>
      </c>
      <c r="BP4422" s="9">
        <f t="shared" si="629"/>
        <v>45.73</v>
      </c>
    </row>
    <row r="4423" spans="1:68">
      <c r="A4423" s="6">
        <v>45377</v>
      </c>
      <c r="B4423" s="7">
        <v>3149</v>
      </c>
      <c r="C4423" s="8">
        <v>722.19</v>
      </c>
      <c r="D4423" s="8">
        <v>128.47</v>
      </c>
      <c r="E4423" s="8"/>
      <c r="F4423" s="8"/>
      <c r="G4423" s="8"/>
      <c r="H4423" s="8"/>
      <c r="I4423" s="8"/>
      <c r="J4423" s="8"/>
      <c r="K4423" s="8"/>
      <c r="L4423" s="8"/>
      <c r="M4423" s="8">
        <v>2.63</v>
      </c>
      <c r="N4423" s="8"/>
      <c r="O4423" s="8"/>
      <c r="P4423" s="8"/>
      <c r="Q4423" s="11"/>
      <c r="R4423" s="11"/>
      <c r="S4423" s="8">
        <v>4</v>
      </c>
      <c r="T4423" s="8"/>
      <c r="U4423" s="8">
        <v>12.76</v>
      </c>
      <c r="V4423" s="8"/>
      <c r="W4423" s="8"/>
      <c r="X4423" s="8"/>
      <c r="Y4423" s="8"/>
      <c r="Z4423" s="8"/>
      <c r="AA4423" s="8"/>
      <c r="AB4423" s="8"/>
      <c r="AC4423" s="8">
        <v>3.4</v>
      </c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11"/>
      <c r="AQ4423" s="8"/>
      <c r="AR4423" s="8"/>
      <c r="AS4423" s="8"/>
      <c r="AT4423" s="8">
        <v>557.14</v>
      </c>
      <c r="AU4423" s="8"/>
      <c r="AV4423" s="8"/>
      <c r="AW4423" s="8">
        <v>27.45</v>
      </c>
      <c r="AX4423" s="8"/>
      <c r="AY4423" s="8"/>
      <c r="AZ4423" s="8"/>
      <c r="BA4423" s="8"/>
      <c r="BB4423" s="8"/>
      <c r="BC4423" s="8"/>
      <c r="BD4423" s="8"/>
      <c r="BE4423" s="8"/>
      <c r="BF4423" s="8">
        <v>59.5</v>
      </c>
      <c r="BG4423" s="8">
        <v>43.97</v>
      </c>
      <c r="BH4423" s="9">
        <f t="shared" si="621"/>
        <v>850.66000000000008</v>
      </c>
      <c r="BI4423" s="9">
        <f t="shared" si="622"/>
        <v>2.63</v>
      </c>
      <c r="BJ4423" s="9">
        <f t="shared" si="623"/>
        <v>4</v>
      </c>
      <c r="BK4423" s="9">
        <f t="shared" si="624"/>
        <v>12.76</v>
      </c>
      <c r="BL4423" s="9">
        <f t="shared" si="625"/>
        <v>0</v>
      </c>
      <c r="BM4423" s="9">
        <f t="shared" si="626"/>
        <v>3.4</v>
      </c>
      <c r="BN4423" s="9">
        <f t="shared" si="627"/>
        <v>557.14</v>
      </c>
      <c r="BO4423" s="9">
        <f t="shared" si="628"/>
        <v>27.45</v>
      </c>
      <c r="BP4423" s="9">
        <f t="shared" si="629"/>
        <v>59.5</v>
      </c>
    </row>
    <row r="4424" spans="1:68">
      <c r="A4424" s="6">
        <v>45377</v>
      </c>
      <c r="B4424" s="7">
        <v>3200</v>
      </c>
      <c r="C4424" s="8">
        <v>2297.91</v>
      </c>
      <c r="D4424" s="8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>
        <v>5.76</v>
      </c>
      <c r="P4424" s="8"/>
      <c r="Q4424" s="11"/>
      <c r="R4424" s="11"/>
      <c r="S4424" s="8">
        <v>8.9700000000000006</v>
      </c>
      <c r="T4424" s="8"/>
      <c r="U4424" s="8">
        <v>34.49</v>
      </c>
      <c r="V4424" s="8"/>
      <c r="W4424" s="8"/>
      <c r="X4424" s="8"/>
      <c r="Y4424" s="8"/>
      <c r="Z4424" s="8">
        <v>483.09</v>
      </c>
      <c r="AA4424" s="8"/>
      <c r="AB4424" s="8"/>
      <c r="AC4424" s="8"/>
      <c r="AD4424" s="8"/>
      <c r="AE4424" s="8"/>
      <c r="AF4424" s="8">
        <v>115.76</v>
      </c>
      <c r="AG4424" s="8"/>
      <c r="AH4424" s="8"/>
      <c r="AI4424" s="8"/>
      <c r="AJ4424" s="8"/>
      <c r="AK4424" s="8"/>
      <c r="AL4424" s="8"/>
      <c r="AM4424" s="8"/>
      <c r="AN4424" s="8"/>
      <c r="AO4424" s="8"/>
      <c r="AP4424" s="11"/>
      <c r="AQ4424" s="8">
        <f>1506*0.023</f>
        <v>34.637999999999998</v>
      </c>
      <c r="AR4424" s="8"/>
      <c r="AS4424" s="8"/>
      <c r="AT4424" s="8">
        <v>1574.5</v>
      </c>
      <c r="AU4424" s="8"/>
      <c r="AV4424" s="8"/>
      <c r="AW4424" s="8">
        <v>6.49</v>
      </c>
      <c r="AX4424" s="8"/>
      <c r="AY4424" s="8"/>
      <c r="AZ4424" s="8"/>
      <c r="BA4424" s="8"/>
      <c r="BB4424" s="8"/>
      <c r="BC4424" s="8"/>
      <c r="BD4424" s="8"/>
      <c r="BE4424" s="8"/>
      <c r="BF4424" s="8">
        <v>110.49</v>
      </c>
      <c r="BG4424" s="8">
        <v>113.57</v>
      </c>
      <c r="BH4424" s="9">
        <f t="shared" si="621"/>
        <v>2297.91</v>
      </c>
      <c r="BI4424" s="9">
        <f t="shared" si="622"/>
        <v>5.76</v>
      </c>
      <c r="BJ4424" s="9">
        <f t="shared" si="623"/>
        <v>8.9700000000000006</v>
      </c>
      <c r="BK4424" s="9">
        <f t="shared" si="624"/>
        <v>34.49</v>
      </c>
      <c r="BL4424" s="9">
        <f t="shared" si="625"/>
        <v>483.09</v>
      </c>
      <c r="BM4424" s="9">
        <f t="shared" si="626"/>
        <v>150.398</v>
      </c>
      <c r="BN4424" s="9">
        <f t="shared" si="627"/>
        <v>1574.5</v>
      </c>
      <c r="BO4424" s="9">
        <f t="shared" si="628"/>
        <v>6.49</v>
      </c>
      <c r="BP4424" s="9">
        <f t="shared" si="629"/>
        <v>110.49</v>
      </c>
    </row>
    <row r="4425" spans="1:68">
      <c r="A4425" s="6">
        <v>45377</v>
      </c>
      <c r="B4425" s="7">
        <v>3145</v>
      </c>
      <c r="C4425" s="8">
        <v>1222.75</v>
      </c>
      <c r="D4425" s="8">
        <v>214.05</v>
      </c>
      <c r="E4425" s="8"/>
      <c r="F4425" s="8"/>
      <c r="G4425" s="8"/>
      <c r="H4425" s="8"/>
      <c r="I4425" s="8"/>
      <c r="J4425" s="8"/>
      <c r="K4425" s="8"/>
      <c r="L4425" s="8"/>
      <c r="M4425" s="8">
        <v>4.22</v>
      </c>
      <c r="N4425" s="8"/>
      <c r="O4425" s="8"/>
      <c r="P4425" s="8"/>
      <c r="Q4425" s="11"/>
      <c r="R4425" s="11"/>
      <c r="S4425" s="8">
        <v>6.83</v>
      </c>
      <c r="T4425" s="8"/>
      <c r="U4425" s="8">
        <v>21.8</v>
      </c>
      <c r="V4425" s="8"/>
      <c r="W4425" s="8"/>
      <c r="X4425" s="8"/>
      <c r="Y4425" s="8"/>
      <c r="Z4425" s="8"/>
      <c r="AA4425" s="8"/>
      <c r="AB4425" s="8"/>
      <c r="AC4425" s="8">
        <v>5.81</v>
      </c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11"/>
      <c r="AQ4425" s="8"/>
      <c r="AR4425" s="8"/>
      <c r="AS4425" s="8"/>
      <c r="AT4425" s="8">
        <v>961.6</v>
      </c>
      <c r="AU4425" s="8"/>
      <c r="AV4425" s="8"/>
      <c r="AW4425" s="8"/>
      <c r="AX4425" s="8"/>
      <c r="AY4425" s="8"/>
      <c r="AZ4425" s="8"/>
      <c r="BA4425" s="8"/>
      <c r="BB4425" s="8"/>
      <c r="BC4425" s="8"/>
      <c r="BD4425" s="8">
        <v>3.63</v>
      </c>
      <c r="BE4425" s="8">
        <f>1368*9.67/1000</f>
        <v>13.22856</v>
      </c>
      <c r="BF4425" s="8">
        <v>101.62</v>
      </c>
      <c r="BG4425" s="8">
        <v>75.400000000000006</v>
      </c>
      <c r="BH4425" s="9">
        <f t="shared" si="621"/>
        <v>1436.8</v>
      </c>
      <c r="BI4425" s="9">
        <f t="shared" si="622"/>
        <v>4.22</v>
      </c>
      <c r="BJ4425" s="9">
        <f t="shared" si="623"/>
        <v>6.83</v>
      </c>
      <c r="BK4425" s="9">
        <f t="shared" si="624"/>
        <v>21.8</v>
      </c>
      <c r="BL4425" s="9">
        <f t="shared" si="625"/>
        <v>0</v>
      </c>
      <c r="BM4425" s="9">
        <f t="shared" si="626"/>
        <v>5.81</v>
      </c>
      <c r="BN4425" s="9">
        <f t="shared" si="627"/>
        <v>961.6</v>
      </c>
      <c r="BO4425" s="9">
        <f t="shared" si="628"/>
        <v>16.858560000000001</v>
      </c>
      <c r="BP4425" s="9">
        <f t="shared" si="629"/>
        <v>101.62</v>
      </c>
    </row>
    <row r="4426" spans="1:68">
      <c r="A4426" s="6">
        <v>45377</v>
      </c>
      <c r="B4426" s="7">
        <v>3104</v>
      </c>
      <c r="C4426" s="8">
        <v>848.95</v>
      </c>
      <c r="D4426" s="8"/>
      <c r="E4426" s="8"/>
      <c r="F4426" s="8"/>
      <c r="G4426" s="8"/>
      <c r="H4426" s="8">
        <v>219.84</v>
      </c>
      <c r="I4426" s="8"/>
      <c r="J4426" s="8"/>
      <c r="K4426" s="8"/>
      <c r="L4426" s="8"/>
      <c r="M4426" s="8">
        <v>2.4300000000000002</v>
      </c>
      <c r="N4426" s="8"/>
      <c r="O4426" s="8"/>
      <c r="P4426" s="8"/>
      <c r="Q4426" s="11"/>
      <c r="R4426" s="11"/>
      <c r="S4426" s="8">
        <v>4.18</v>
      </c>
      <c r="T4426" s="8"/>
      <c r="U4426" s="8">
        <v>11.17</v>
      </c>
      <c r="V4426" s="8"/>
      <c r="W4426" s="8"/>
      <c r="X4426" s="8"/>
      <c r="Y4426" s="8"/>
      <c r="Z4426" s="8"/>
      <c r="AA4426" s="8"/>
      <c r="AB4426" s="8"/>
      <c r="AC4426" s="8">
        <v>3.89</v>
      </c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11"/>
      <c r="AQ4426" s="8"/>
      <c r="AR4426" s="8"/>
      <c r="AS4426" s="8"/>
      <c r="AT4426" s="8">
        <v>618.92999999999995</v>
      </c>
      <c r="AU4426" s="8"/>
      <c r="AV4426" s="8"/>
      <c r="AW4426" s="8"/>
      <c r="AX4426" s="8"/>
      <c r="AY4426" s="8"/>
      <c r="AZ4426" s="8"/>
      <c r="BA4426" s="8">
        <v>22.19</v>
      </c>
      <c r="BB4426" s="8"/>
      <c r="BC4426" s="8"/>
      <c r="BD4426" s="8"/>
      <c r="BE4426" s="8"/>
      <c r="BF4426" s="8">
        <v>19.38</v>
      </c>
      <c r="BG4426" s="8">
        <v>48.03</v>
      </c>
      <c r="BH4426" s="9">
        <f t="shared" si="621"/>
        <v>1068.79</v>
      </c>
      <c r="BI4426" s="9">
        <f t="shared" si="622"/>
        <v>2.4300000000000002</v>
      </c>
      <c r="BJ4426" s="9">
        <f t="shared" si="623"/>
        <v>4.18</v>
      </c>
      <c r="BK4426" s="9">
        <f t="shared" si="624"/>
        <v>11.17</v>
      </c>
      <c r="BL4426" s="9">
        <f t="shared" si="625"/>
        <v>0</v>
      </c>
      <c r="BM4426" s="9">
        <f t="shared" si="626"/>
        <v>3.89</v>
      </c>
      <c r="BN4426" s="9">
        <f t="shared" si="627"/>
        <v>618.92999999999995</v>
      </c>
      <c r="BO4426" s="9">
        <f t="shared" si="628"/>
        <v>22.19</v>
      </c>
      <c r="BP4426" s="9">
        <f t="shared" si="629"/>
        <v>19.38</v>
      </c>
    </row>
    <row r="4427" spans="1:68">
      <c r="A4427" s="6">
        <v>45377</v>
      </c>
      <c r="B4427" s="7">
        <v>3106</v>
      </c>
      <c r="C4427" s="8">
        <v>4054.65</v>
      </c>
      <c r="D4427" s="8"/>
      <c r="E4427" s="8"/>
      <c r="F4427" s="8"/>
      <c r="G4427" s="8"/>
      <c r="H4427" s="8"/>
      <c r="I4427" s="8"/>
      <c r="J4427" s="8"/>
      <c r="K4427" s="8"/>
      <c r="L4427" s="8"/>
      <c r="M4427" s="8">
        <v>10.119999999999999</v>
      </c>
      <c r="N4427" s="8"/>
      <c r="O4427" s="8"/>
      <c r="P4427" s="8"/>
      <c r="Q4427" s="11"/>
      <c r="R4427" s="11"/>
      <c r="S4427" s="8">
        <v>12.2</v>
      </c>
      <c r="T4427" s="8"/>
      <c r="U4427" s="8">
        <v>51.59</v>
      </c>
      <c r="V4427" s="8"/>
      <c r="W4427" s="8"/>
      <c r="X4427" s="8"/>
      <c r="Y4427" s="8"/>
      <c r="Z4427" s="8"/>
      <c r="AA4427" s="8"/>
      <c r="AB4427" s="8"/>
      <c r="AC4427" s="8">
        <v>10.130000000000001</v>
      </c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11"/>
      <c r="AQ4427" s="8"/>
      <c r="AR4427" s="8"/>
      <c r="AS4427" s="8"/>
      <c r="AT4427" s="8">
        <v>2309.9</v>
      </c>
      <c r="AU4427" s="8"/>
      <c r="AV4427" s="8"/>
      <c r="AW4427" s="8"/>
      <c r="AX4427" s="8">
        <v>5.07</v>
      </c>
      <c r="AY4427" s="8"/>
      <c r="AZ4427" s="8"/>
      <c r="BA4427" s="8"/>
      <c r="BB4427" s="8"/>
      <c r="BC4427" s="8"/>
      <c r="BD4427" s="8"/>
      <c r="BE4427" s="8"/>
      <c r="BF4427" s="8"/>
      <c r="BG4427" s="8">
        <v>174.49</v>
      </c>
      <c r="BH4427" s="9">
        <f t="shared" si="621"/>
        <v>4054.65</v>
      </c>
      <c r="BI4427" s="9">
        <f t="shared" si="622"/>
        <v>10.119999999999999</v>
      </c>
      <c r="BJ4427" s="9">
        <f t="shared" si="623"/>
        <v>12.2</v>
      </c>
      <c r="BK4427" s="9">
        <f t="shared" si="624"/>
        <v>51.59</v>
      </c>
      <c r="BL4427" s="9">
        <f t="shared" si="625"/>
        <v>0</v>
      </c>
      <c r="BM4427" s="9">
        <f t="shared" si="626"/>
        <v>10.130000000000001</v>
      </c>
      <c r="BN4427" s="9">
        <f t="shared" si="627"/>
        <v>2309.9</v>
      </c>
      <c r="BO4427" s="9">
        <f t="shared" si="628"/>
        <v>5.07</v>
      </c>
      <c r="BP4427" s="9">
        <f t="shared" si="629"/>
        <v>0</v>
      </c>
    </row>
    <row r="4428" spans="1:68">
      <c r="A4428" s="6">
        <v>45377</v>
      </c>
      <c r="B4428" s="7">
        <v>3016</v>
      </c>
      <c r="C4428" s="8"/>
      <c r="D4428" s="8">
        <v>2354.46</v>
      </c>
      <c r="E4428" s="8"/>
      <c r="F4428" s="8"/>
      <c r="G4428" s="8"/>
      <c r="H4428" s="8"/>
      <c r="I4428" s="8">
        <v>2172.04</v>
      </c>
      <c r="J4428" s="8"/>
      <c r="K4428" s="8"/>
      <c r="L4428" s="8"/>
      <c r="M4428" s="8"/>
      <c r="N4428" s="8">
        <v>28.97</v>
      </c>
      <c r="O4428" s="8"/>
      <c r="P4428" s="8"/>
      <c r="Q4428" s="11"/>
      <c r="R4428" s="11"/>
      <c r="S4428" s="8">
        <v>3.17</v>
      </c>
      <c r="T4428" s="8"/>
      <c r="U4428" s="8"/>
      <c r="V4428" s="8"/>
      <c r="W4428" s="8">
        <v>45.28</v>
      </c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>
        <v>18.05</v>
      </c>
      <c r="AN4428" s="8">
        <f>2045*26.63/1000</f>
        <v>54.458349999999996</v>
      </c>
      <c r="AO4428" s="8"/>
      <c r="AP4428" s="11"/>
      <c r="AQ4428" s="8"/>
      <c r="AR4428" s="8">
        <f>4278*26.63/1000</f>
        <v>113.92314</v>
      </c>
      <c r="AS4428" s="8"/>
      <c r="AT4428" s="8">
        <v>1683.77</v>
      </c>
      <c r="AU4428" s="8"/>
      <c r="AV4428" s="8"/>
      <c r="AW4428" s="8"/>
      <c r="AX4428" s="8"/>
      <c r="AY4428" s="8"/>
      <c r="AZ4428" s="8"/>
      <c r="BA4428" s="8"/>
      <c r="BB4428" s="8"/>
      <c r="BC4428" s="8"/>
      <c r="BD4428" s="8"/>
      <c r="BE4428" s="8"/>
      <c r="BF4428" s="8"/>
      <c r="BG4428" s="8">
        <v>123.03</v>
      </c>
      <c r="BH4428" s="9">
        <f t="shared" si="621"/>
        <v>4526.5</v>
      </c>
      <c r="BI4428" s="9">
        <f t="shared" si="622"/>
        <v>28.97</v>
      </c>
      <c r="BJ4428" s="9">
        <f t="shared" si="623"/>
        <v>3.17</v>
      </c>
      <c r="BK4428" s="9">
        <f t="shared" si="624"/>
        <v>45.28</v>
      </c>
      <c r="BL4428" s="9">
        <f t="shared" si="625"/>
        <v>0</v>
      </c>
      <c r="BM4428" s="9">
        <f t="shared" si="626"/>
        <v>186.43149</v>
      </c>
      <c r="BN4428" s="9">
        <f t="shared" si="627"/>
        <v>1683.77</v>
      </c>
      <c r="BO4428" s="9">
        <f t="shared" si="628"/>
        <v>0</v>
      </c>
      <c r="BP4428" s="9">
        <f t="shared" si="629"/>
        <v>0</v>
      </c>
    </row>
    <row r="4429" spans="1:68">
      <c r="A4429" s="6">
        <v>45377</v>
      </c>
      <c r="B4429" s="7">
        <v>3081</v>
      </c>
      <c r="C4429" s="8"/>
      <c r="D4429" s="8">
        <v>297.19</v>
      </c>
      <c r="E4429" s="8"/>
      <c r="F4429" s="8">
        <v>334.73</v>
      </c>
      <c r="G4429" s="8"/>
      <c r="H4429" s="8"/>
      <c r="I4429" s="8">
        <v>1222.1099999999999</v>
      </c>
      <c r="J4429" s="8"/>
      <c r="K4429" s="8"/>
      <c r="L4429" s="8"/>
      <c r="M4429" s="8"/>
      <c r="N4429" s="8">
        <v>13.59</v>
      </c>
      <c r="O4429" s="8"/>
      <c r="P4429" s="8">
        <f>627*0.012</f>
        <v>7.524</v>
      </c>
      <c r="Q4429" s="11"/>
      <c r="R4429" s="11"/>
      <c r="S4429" s="8">
        <v>1.3</v>
      </c>
      <c r="T4429" s="8"/>
      <c r="U4429" s="8"/>
      <c r="V4429" s="8"/>
      <c r="W4429" s="8">
        <v>18.61</v>
      </c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11"/>
      <c r="AQ4429" s="8">
        <f>1569*0.012</f>
        <v>18.827999999999999</v>
      </c>
      <c r="AR4429" s="8">
        <f>5433*0.012</f>
        <v>65.195999999999998</v>
      </c>
      <c r="AS4429" s="8"/>
      <c r="AT4429" s="8">
        <v>582.54</v>
      </c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  <c r="BF4429" s="8"/>
      <c r="BG4429" s="8">
        <v>38.840000000000003</v>
      </c>
      <c r="BH4429" s="9">
        <f t="shared" si="621"/>
        <v>1854.03</v>
      </c>
      <c r="BI4429" s="9">
        <f t="shared" si="622"/>
        <v>21.114000000000001</v>
      </c>
      <c r="BJ4429" s="9">
        <f t="shared" si="623"/>
        <v>1.3</v>
      </c>
      <c r="BK4429" s="9">
        <f t="shared" si="624"/>
        <v>18.61</v>
      </c>
      <c r="BL4429" s="9">
        <f t="shared" si="625"/>
        <v>0</v>
      </c>
      <c r="BM4429" s="9">
        <f t="shared" si="626"/>
        <v>84.024000000000001</v>
      </c>
      <c r="BN4429" s="9">
        <f t="shared" si="627"/>
        <v>582.54</v>
      </c>
      <c r="BO4429" s="9">
        <f t="shared" si="628"/>
        <v>0</v>
      </c>
      <c r="BP4429" s="9">
        <f t="shared" si="629"/>
        <v>0</v>
      </c>
    </row>
    <row r="4430" spans="1:68">
      <c r="A4430" s="6">
        <v>45378</v>
      </c>
      <c r="B4430" s="7">
        <v>3122</v>
      </c>
      <c r="C4430" s="8">
        <v>1422.32</v>
      </c>
      <c r="D4430" s="8"/>
      <c r="E4430" s="8"/>
      <c r="F4430" s="8"/>
      <c r="G4430" s="8"/>
      <c r="H4430" s="8"/>
      <c r="I4430" s="8"/>
      <c r="J4430" s="8"/>
      <c r="K4430" s="8"/>
      <c r="L4430" s="8"/>
      <c r="M4430" s="8">
        <v>2.6</v>
      </c>
      <c r="N4430" s="8">
        <v>2.58</v>
      </c>
      <c r="O4430" s="8"/>
      <c r="P4430" s="8"/>
      <c r="Q4430" s="11"/>
      <c r="R4430" s="11"/>
      <c r="S4430" s="8">
        <v>5.87</v>
      </c>
      <c r="T4430" s="8"/>
      <c r="U4430" s="8">
        <v>14.3</v>
      </c>
      <c r="V4430" s="8"/>
      <c r="W4430" s="8"/>
      <c r="X4430" s="8"/>
      <c r="Y4430" s="8"/>
      <c r="Z4430" s="8"/>
      <c r="AA4430" s="8"/>
      <c r="AB4430" s="8"/>
      <c r="AC4430" s="8">
        <v>5.72</v>
      </c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11"/>
      <c r="AQ4430" s="8"/>
      <c r="AR4430" s="8"/>
      <c r="AS4430" s="8"/>
      <c r="AT4430" s="8">
        <v>633.45000000000005</v>
      </c>
      <c r="AU4430" s="8"/>
      <c r="AV4430" s="8">
        <v>48.62</v>
      </c>
      <c r="AW4430" s="8"/>
      <c r="AX4430" s="8"/>
      <c r="AY4430" s="8"/>
      <c r="AZ4430" s="8"/>
      <c r="BA4430" s="8"/>
      <c r="BB4430" s="8"/>
      <c r="BC4430" s="8"/>
      <c r="BD4430" s="8"/>
      <c r="BE4430" s="8"/>
      <c r="BF4430" s="8"/>
      <c r="BG4430" s="8">
        <v>46.48</v>
      </c>
      <c r="BH4430" s="9">
        <f t="shared" si="621"/>
        <v>1422.32</v>
      </c>
      <c r="BI4430" s="9">
        <f t="shared" si="622"/>
        <v>5.18</v>
      </c>
      <c r="BJ4430" s="9">
        <f t="shared" si="623"/>
        <v>5.87</v>
      </c>
      <c r="BK4430" s="9">
        <f t="shared" si="624"/>
        <v>14.3</v>
      </c>
      <c r="BL4430" s="9">
        <f t="shared" si="625"/>
        <v>0</v>
      </c>
      <c r="BM4430" s="9">
        <f t="shared" si="626"/>
        <v>5.72</v>
      </c>
      <c r="BN4430" s="9">
        <f t="shared" si="627"/>
        <v>633.45000000000005</v>
      </c>
      <c r="BO4430" s="9">
        <f t="shared" si="628"/>
        <v>48.62</v>
      </c>
      <c r="BP4430" s="9">
        <f t="shared" si="629"/>
        <v>0</v>
      </c>
    </row>
    <row r="4431" spans="1:68">
      <c r="A4431" s="6">
        <v>45378</v>
      </c>
      <c r="B4431" s="7">
        <v>3139</v>
      </c>
      <c r="C4431" s="8">
        <v>927.12</v>
      </c>
      <c r="D4431" s="8"/>
      <c r="E4431" s="8"/>
      <c r="F4431" s="8"/>
      <c r="G4431" s="8"/>
      <c r="H4431" s="8">
        <v>382.18</v>
      </c>
      <c r="I4431" s="8"/>
      <c r="J4431" s="8"/>
      <c r="K4431" s="8"/>
      <c r="L4431" s="8"/>
      <c r="M4431" s="8">
        <v>2.14</v>
      </c>
      <c r="N4431" s="8"/>
      <c r="O4431" s="8"/>
      <c r="P4431" s="8"/>
      <c r="Q4431" s="11"/>
      <c r="R4431" s="11"/>
      <c r="S4431" s="8">
        <v>4.0999999999999996</v>
      </c>
      <c r="T4431" s="8"/>
      <c r="U4431" s="8">
        <v>13.67</v>
      </c>
      <c r="V4431" s="8"/>
      <c r="W4431" s="8"/>
      <c r="X4431" s="8"/>
      <c r="Y4431" s="8"/>
      <c r="Z4431" s="8"/>
      <c r="AA4431" s="8"/>
      <c r="AB4431" s="8"/>
      <c r="AC4431" s="8">
        <v>4.5599999999999996</v>
      </c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11"/>
      <c r="AQ4431" s="8"/>
      <c r="AR4431" s="8"/>
      <c r="AS4431" s="8"/>
      <c r="AT4431" s="8">
        <v>673.83</v>
      </c>
      <c r="AU4431" s="8"/>
      <c r="AV4431" s="8">
        <v>22.83</v>
      </c>
      <c r="AW4431" s="8"/>
      <c r="AX4431" s="8"/>
      <c r="AY4431" s="8"/>
      <c r="AZ4431" s="8"/>
      <c r="BA4431" s="8"/>
      <c r="BB4431" s="8"/>
      <c r="BC4431" s="8"/>
      <c r="BD4431" s="8"/>
      <c r="BE4431" s="8"/>
      <c r="BF4431" s="8"/>
      <c r="BG4431" s="8">
        <v>48.98</v>
      </c>
      <c r="BH4431" s="9">
        <f t="shared" si="621"/>
        <v>1309.3</v>
      </c>
      <c r="BI4431" s="9">
        <f t="shared" si="622"/>
        <v>2.14</v>
      </c>
      <c r="BJ4431" s="9">
        <f t="shared" si="623"/>
        <v>4.0999999999999996</v>
      </c>
      <c r="BK4431" s="9">
        <f t="shared" si="624"/>
        <v>13.67</v>
      </c>
      <c r="BL4431" s="9">
        <f t="shared" si="625"/>
        <v>0</v>
      </c>
      <c r="BM4431" s="9">
        <f t="shared" si="626"/>
        <v>4.5599999999999996</v>
      </c>
      <c r="BN4431" s="9">
        <f t="shared" si="627"/>
        <v>673.83</v>
      </c>
      <c r="BO4431" s="9">
        <f t="shared" si="628"/>
        <v>22.83</v>
      </c>
      <c r="BP4431" s="9">
        <f t="shared" si="629"/>
        <v>0</v>
      </c>
    </row>
    <row r="4432" spans="1:68">
      <c r="A4432" s="6">
        <v>45378</v>
      </c>
      <c r="B4432" s="7">
        <v>3304</v>
      </c>
      <c r="C4432" s="8"/>
      <c r="D4432" s="8">
        <v>1173.28</v>
      </c>
      <c r="E4432" s="8"/>
      <c r="F4432" s="8"/>
      <c r="G4432" s="8"/>
      <c r="H4432" s="8"/>
      <c r="I4432" s="8"/>
      <c r="J4432" s="8"/>
      <c r="K4432" s="8"/>
      <c r="L4432" s="8"/>
      <c r="M4432" s="8">
        <v>2.34</v>
      </c>
      <c r="N4432" s="8"/>
      <c r="O4432" s="8"/>
      <c r="P4432" s="8"/>
      <c r="Q4432" s="11"/>
      <c r="R4432" s="11"/>
      <c r="S4432" s="8">
        <v>1.76</v>
      </c>
      <c r="T4432" s="8"/>
      <c r="U4432" s="8">
        <v>10.56</v>
      </c>
      <c r="V4432" s="8"/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>
        <v>11.73</v>
      </c>
      <c r="AH4432" s="8"/>
      <c r="AI4432" s="8"/>
      <c r="AJ4432" s="8"/>
      <c r="AK4432" s="8"/>
      <c r="AL4432" s="8"/>
      <c r="AM4432" s="8"/>
      <c r="AN4432" s="8"/>
      <c r="AO4432" s="8"/>
      <c r="AP4432" s="11"/>
      <c r="AQ4432" s="8"/>
      <c r="AR4432" s="8"/>
      <c r="AS4432" s="8"/>
      <c r="AT4432" s="8">
        <v>313.42</v>
      </c>
      <c r="AU4432" s="8">
        <v>156.65</v>
      </c>
      <c r="AV4432" s="8"/>
      <c r="AW4432" s="8"/>
      <c r="AX4432" s="8"/>
      <c r="AY4432" s="8"/>
      <c r="AZ4432" s="8"/>
      <c r="BA4432" s="8"/>
      <c r="BB4432" s="8"/>
      <c r="BC4432" s="8"/>
      <c r="BD4432" s="8"/>
      <c r="BE4432" s="8"/>
      <c r="BF4432" s="8"/>
      <c r="BG4432" s="8">
        <v>32.61</v>
      </c>
      <c r="BH4432" s="9">
        <f t="shared" si="621"/>
        <v>1173.28</v>
      </c>
      <c r="BI4432" s="9">
        <f t="shared" si="622"/>
        <v>2.34</v>
      </c>
      <c r="BJ4432" s="9">
        <f t="shared" si="623"/>
        <v>1.76</v>
      </c>
      <c r="BK4432" s="9">
        <f t="shared" si="624"/>
        <v>10.56</v>
      </c>
      <c r="BL4432" s="9">
        <f t="shared" si="625"/>
        <v>0</v>
      </c>
      <c r="BM4432" s="9">
        <f t="shared" si="626"/>
        <v>11.73</v>
      </c>
      <c r="BN4432" s="9">
        <f t="shared" si="627"/>
        <v>470.07000000000005</v>
      </c>
      <c r="BO4432" s="9">
        <f t="shared" si="628"/>
        <v>0</v>
      </c>
      <c r="BP4432" s="9">
        <f t="shared" si="629"/>
        <v>0</v>
      </c>
    </row>
    <row r="4433" spans="1:68">
      <c r="A4433" s="6">
        <v>45378</v>
      </c>
      <c r="B4433" s="7">
        <v>3200</v>
      </c>
      <c r="C4433" s="8">
        <v>1233.49</v>
      </c>
      <c r="D4433" s="8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>
        <v>3.1</v>
      </c>
      <c r="P4433" s="8"/>
      <c r="Q4433" s="11"/>
      <c r="R4433" s="11"/>
      <c r="S4433" s="8">
        <v>4.8099999999999996</v>
      </c>
      <c r="T4433" s="8"/>
      <c r="U4433" s="8">
        <v>18.510000000000002</v>
      </c>
      <c r="V4433" s="8"/>
      <c r="W4433" s="8"/>
      <c r="X4433" s="8"/>
      <c r="Y4433" s="8"/>
      <c r="Z4433" s="8">
        <v>259.23</v>
      </c>
      <c r="AA4433" s="8"/>
      <c r="AB4433" s="8"/>
      <c r="AC4433" s="8"/>
      <c r="AD4433" s="8"/>
      <c r="AE4433" s="8"/>
      <c r="AF4433" s="8">
        <v>61.61</v>
      </c>
      <c r="AG4433" s="8"/>
      <c r="AH4433" s="8"/>
      <c r="AI4433" s="8"/>
      <c r="AJ4433" s="8"/>
      <c r="AK4433" s="8"/>
      <c r="AL4433" s="8"/>
      <c r="AM4433" s="8"/>
      <c r="AN4433" s="8"/>
      <c r="AO4433" s="8"/>
      <c r="AP4433" s="11"/>
      <c r="AQ4433" s="8">
        <f>1503*12.35/1000</f>
        <v>18.562049999999999</v>
      </c>
      <c r="AR4433" s="8"/>
      <c r="AS4433" s="8"/>
      <c r="AT4433" s="8">
        <v>845.2</v>
      </c>
      <c r="AU4433" s="8"/>
      <c r="AV4433" s="8"/>
      <c r="AW4433" s="8">
        <v>3.57</v>
      </c>
      <c r="AX4433" s="8"/>
      <c r="AY4433" s="8"/>
      <c r="AZ4433" s="8"/>
      <c r="BA4433" s="8"/>
      <c r="BB4433" s="8"/>
      <c r="BC4433" s="8"/>
      <c r="BD4433" s="8"/>
      <c r="BE4433" s="8"/>
      <c r="BF4433" s="8">
        <v>59.28</v>
      </c>
      <c r="BG4433" s="8">
        <v>61.06</v>
      </c>
      <c r="BH4433" s="9">
        <f t="shared" si="621"/>
        <v>1233.49</v>
      </c>
      <c r="BI4433" s="9">
        <f t="shared" si="622"/>
        <v>3.1</v>
      </c>
      <c r="BJ4433" s="9">
        <f t="shared" si="623"/>
        <v>4.8099999999999996</v>
      </c>
      <c r="BK4433" s="9">
        <f t="shared" si="624"/>
        <v>18.510000000000002</v>
      </c>
      <c r="BL4433" s="9">
        <f t="shared" si="625"/>
        <v>259.23</v>
      </c>
      <c r="BM4433" s="9">
        <f t="shared" si="626"/>
        <v>80.172049999999999</v>
      </c>
      <c r="BN4433" s="9">
        <f t="shared" si="627"/>
        <v>845.2</v>
      </c>
      <c r="BO4433" s="9">
        <f t="shared" si="628"/>
        <v>3.57</v>
      </c>
      <c r="BP4433" s="9">
        <f t="shared" si="629"/>
        <v>59.28</v>
      </c>
    </row>
    <row r="4434" spans="1:68">
      <c r="A4434" s="6">
        <v>45378</v>
      </c>
      <c r="B4434" s="7">
        <v>3106</v>
      </c>
      <c r="C4434" s="8">
        <v>8144.68</v>
      </c>
      <c r="D4434" s="8"/>
      <c r="E4434" s="8"/>
      <c r="F4434" s="8"/>
      <c r="G4434" s="8"/>
      <c r="H4434" s="8"/>
      <c r="I4434" s="8"/>
      <c r="J4434" s="8"/>
      <c r="K4434" s="8"/>
      <c r="L4434" s="8"/>
      <c r="M4434" s="8">
        <v>21.19</v>
      </c>
      <c r="N4434" s="8"/>
      <c r="O4434" s="8"/>
      <c r="P4434" s="8"/>
      <c r="Q4434" s="11"/>
      <c r="R4434" s="11"/>
      <c r="S4434" s="8">
        <v>24.46</v>
      </c>
      <c r="T4434" s="8"/>
      <c r="U4434" s="8">
        <v>103.45</v>
      </c>
      <c r="V4434" s="8"/>
      <c r="W4434" s="8"/>
      <c r="X4434" s="8"/>
      <c r="Y4434" s="8"/>
      <c r="Z4434" s="8"/>
      <c r="AA4434" s="8"/>
      <c r="AB4434" s="8"/>
      <c r="AC4434" s="8">
        <v>20.350000000000001</v>
      </c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11"/>
      <c r="AQ4434" s="8"/>
      <c r="AR4434" s="8"/>
      <c r="AS4434" s="8"/>
      <c r="AT4434" s="8">
        <v>4637.82</v>
      </c>
      <c r="AU4434" s="8"/>
      <c r="AV4434" s="8"/>
      <c r="AW4434" s="8"/>
      <c r="AX4434" s="8">
        <v>10.18</v>
      </c>
      <c r="AY4434" s="8"/>
      <c r="AZ4434" s="8"/>
      <c r="BA4434" s="8"/>
      <c r="BB4434" s="8"/>
      <c r="BC4434" s="8"/>
      <c r="BD4434" s="8"/>
      <c r="BE4434" s="8"/>
      <c r="BF4434" s="8"/>
      <c r="BG4434" s="8">
        <v>349.71</v>
      </c>
      <c r="BH4434" s="9">
        <f t="shared" si="621"/>
        <v>8144.68</v>
      </c>
      <c r="BI4434" s="9">
        <f t="shared" si="622"/>
        <v>21.19</v>
      </c>
      <c r="BJ4434" s="9">
        <f t="shared" si="623"/>
        <v>24.46</v>
      </c>
      <c r="BK4434" s="9">
        <f t="shared" si="624"/>
        <v>103.45</v>
      </c>
      <c r="BL4434" s="9">
        <f t="shared" si="625"/>
        <v>0</v>
      </c>
      <c r="BM4434" s="9">
        <f t="shared" si="626"/>
        <v>20.350000000000001</v>
      </c>
      <c r="BN4434" s="9">
        <f t="shared" si="627"/>
        <v>4637.82</v>
      </c>
      <c r="BO4434" s="9">
        <f t="shared" si="628"/>
        <v>10.18</v>
      </c>
      <c r="BP4434" s="9">
        <f t="shared" si="629"/>
        <v>0</v>
      </c>
    </row>
    <row r="4435" spans="1:68">
      <c r="A4435" s="6">
        <v>45378</v>
      </c>
      <c r="B4435" s="7">
        <v>3083</v>
      </c>
      <c r="C4435" s="8"/>
      <c r="D4435" s="8">
        <v>1074.46</v>
      </c>
      <c r="E4435" s="8"/>
      <c r="F4435" s="8"/>
      <c r="G4435" s="8"/>
      <c r="H4435" s="8"/>
      <c r="I4435" s="8">
        <v>2506.38</v>
      </c>
      <c r="J4435" s="8"/>
      <c r="K4435" s="8"/>
      <c r="L4435" s="8"/>
      <c r="M4435" s="8"/>
      <c r="N4435" s="8">
        <v>23.3</v>
      </c>
      <c r="O4435" s="8"/>
      <c r="P4435" s="8"/>
      <c r="Q4435" s="11"/>
      <c r="R4435" s="11"/>
      <c r="S4435" s="8">
        <v>2.5</v>
      </c>
      <c r="T4435" s="8"/>
      <c r="U4435" s="8"/>
      <c r="V4435" s="8"/>
      <c r="W4435" s="8">
        <v>28.66</v>
      </c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>
        <v>14.25</v>
      </c>
      <c r="AN4435" s="8">
        <f>1901*26.53/1000</f>
        <v>50.433529999999998</v>
      </c>
      <c r="AO4435" s="8"/>
      <c r="AP4435" s="11"/>
      <c r="AQ4435" s="8"/>
      <c r="AR4435" s="8">
        <f>3461*26.53/1000</f>
        <v>91.820329999999998</v>
      </c>
      <c r="AS4435" s="8"/>
      <c r="AT4435" s="8">
        <v>1685.27</v>
      </c>
      <c r="AU4435" s="8"/>
      <c r="AV4435" s="8"/>
      <c r="AW4435" s="8"/>
      <c r="AX4435" s="8"/>
      <c r="AY4435" s="8"/>
      <c r="AZ4435" s="8"/>
      <c r="BA4435" s="8"/>
      <c r="BB4435" s="8"/>
      <c r="BC4435" s="8"/>
      <c r="BD4435" s="8"/>
      <c r="BE4435" s="8"/>
      <c r="BF4435" s="8"/>
      <c r="BG4435" s="8">
        <v>133.49</v>
      </c>
      <c r="BH4435" s="9">
        <f t="shared" si="621"/>
        <v>3580.84</v>
      </c>
      <c r="BI4435" s="9">
        <f t="shared" si="622"/>
        <v>23.3</v>
      </c>
      <c r="BJ4435" s="9">
        <f t="shared" si="623"/>
        <v>2.5</v>
      </c>
      <c r="BK4435" s="9">
        <f t="shared" si="624"/>
        <v>28.66</v>
      </c>
      <c r="BL4435" s="9">
        <f t="shared" si="625"/>
        <v>0</v>
      </c>
      <c r="BM4435" s="9">
        <f t="shared" si="626"/>
        <v>156.50385999999997</v>
      </c>
      <c r="BN4435" s="9">
        <f t="shared" si="627"/>
        <v>1685.27</v>
      </c>
      <c r="BO4435" s="9">
        <f t="shared" si="628"/>
        <v>0</v>
      </c>
      <c r="BP4435" s="9">
        <f t="shared" si="629"/>
        <v>0</v>
      </c>
    </row>
    <row r="4436" spans="1:68">
      <c r="A4436" s="6">
        <v>45378</v>
      </c>
      <c r="B4436" s="7">
        <v>3009</v>
      </c>
      <c r="C4436" s="8"/>
      <c r="D4436" s="8">
        <v>386.53</v>
      </c>
      <c r="E4436" s="8"/>
      <c r="F4436" s="8">
        <v>217.38</v>
      </c>
      <c r="G4436" s="8"/>
      <c r="H4436" s="8"/>
      <c r="I4436" s="8">
        <v>203.1</v>
      </c>
      <c r="J4436" s="8"/>
      <c r="K4436" s="8"/>
      <c r="L4436" s="8"/>
      <c r="M4436" s="8"/>
      <c r="N4436" s="8">
        <v>5.8</v>
      </c>
      <c r="O4436" s="8"/>
      <c r="P4436" s="8"/>
      <c r="Q4436" s="11"/>
      <c r="R4436" s="11"/>
      <c r="S4436" s="8">
        <v>0.48</v>
      </c>
      <c r="T4436" s="8"/>
      <c r="U4436" s="8"/>
      <c r="V4436" s="8"/>
      <c r="W4436" s="8">
        <v>6.54</v>
      </c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>
        <v>2.82</v>
      </c>
      <c r="AN4436" s="8">
        <f>1526*5.38/1000</f>
        <v>8.2098800000000001</v>
      </c>
      <c r="AO4436" s="8"/>
      <c r="AP4436" s="11"/>
      <c r="AQ4436" s="8"/>
      <c r="AR4436" s="8">
        <f>5274*5.38/1000</f>
        <v>28.374119999999998</v>
      </c>
      <c r="AS4436" s="8"/>
      <c r="AT4436" s="8">
        <v>303.43</v>
      </c>
      <c r="AU4436" s="8"/>
      <c r="AV4436" s="8"/>
      <c r="AW4436" s="8"/>
      <c r="AX4436" s="8"/>
      <c r="AY4436" s="8"/>
      <c r="AZ4436" s="8"/>
      <c r="BA4436" s="8"/>
      <c r="BB4436" s="8"/>
      <c r="BC4436" s="8"/>
      <c r="BD4436" s="8"/>
      <c r="BE4436" s="8"/>
      <c r="BF4436" s="8"/>
      <c r="BG4436" s="8">
        <v>22.25</v>
      </c>
      <c r="BH4436" s="9">
        <f t="shared" si="621"/>
        <v>807.01</v>
      </c>
      <c r="BI4436" s="9">
        <f t="shared" si="622"/>
        <v>5.8</v>
      </c>
      <c r="BJ4436" s="9">
        <f t="shared" si="623"/>
        <v>0.48</v>
      </c>
      <c r="BK4436" s="9">
        <f t="shared" si="624"/>
        <v>6.54</v>
      </c>
      <c r="BL4436" s="9">
        <f t="shared" si="625"/>
        <v>0</v>
      </c>
      <c r="BM4436" s="9">
        <f t="shared" si="626"/>
        <v>39.403999999999996</v>
      </c>
      <c r="BN4436" s="9">
        <f t="shared" si="627"/>
        <v>303.43</v>
      </c>
      <c r="BO4436" s="9">
        <f t="shared" si="628"/>
        <v>0</v>
      </c>
      <c r="BP4436" s="9">
        <f t="shared" si="629"/>
        <v>0</v>
      </c>
    </row>
    <row r="4437" spans="1:68">
      <c r="A4437" s="6">
        <v>45378</v>
      </c>
      <c r="B4437" s="7">
        <v>3022</v>
      </c>
      <c r="C4437" s="8"/>
      <c r="D4437" s="8">
        <v>343.6</v>
      </c>
      <c r="E4437" s="8"/>
      <c r="F4437" s="8"/>
      <c r="G4437" s="8"/>
      <c r="H4437" s="8"/>
      <c r="I4437" s="8">
        <v>279.64999999999998</v>
      </c>
      <c r="J4437" s="8"/>
      <c r="K4437" s="8"/>
      <c r="L4437" s="8"/>
      <c r="M4437" s="8"/>
      <c r="N4437" s="8">
        <v>3.12</v>
      </c>
      <c r="O4437" s="8"/>
      <c r="P4437" s="8"/>
      <c r="Q4437" s="11"/>
      <c r="R4437" s="11"/>
      <c r="S4437" s="8">
        <v>1.1200000000000001</v>
      </c>
      <c r="T4437" s="8"/>
      <c r="U4437" s="8"/>
      <c r="V4437" s="8"/>
      <c r="W4437" s="8">
        <v>6.24</v>
      </c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>
        <v>8.08</v>
      </c>
      <c r="AN4437" s="8"/>
      <c r="AO4437" s="8"/>
      <c r="AP4437" s="11"/>
      <c r="AQ4437" s="8"/>
      <c r="AR4437" s="8"/>
      <c r="AS4437" s="8">
        <f>3868*5.65/1000</f>
        <v>21.854200000000002</v>
      </c>
      <c r="AT4437" s="8">
        <v>291.88</v>
      </c>
      <c r="AU4437" s="8"/>
      <c r="AV4437" s="8"/>
      <c r="AW4437" s="8"/>
      <c r="AX4437" s="8"/>
      <c r="AY4437" s="8"/>
      <c r="AZ4437" s="8"/>
      <c r="BA4437" s="8"/>
      <c r="BB4437" s="8"/>
      <c r="BC4437" s="8"/>
      <c r="BD4437" s="8"/>
      <c r="BE4437" s="8"/>
      <c r="BF4437" s="8"/>
      <c r="BG4437" s="8">
        <v>22.44</v>
      </c>
      <c r="BH4437" s="9">
        <f t="shared" si="621"/>
        <v>623.25</v>
      </c>
      <c r="BI4437" s="9">
        <f t="shared" si="622"/>
        <v>3.12</v>
      </c>
      <c r="BJ4437" s="9">
        <f t="shared" si="623"/>
        <v>1.1200000000000001</v>
      </c>
      <c r="BK4437" s="9">
        <f t="shared" si="624"/>
        <v>6.24</v>
      </c>
      <c r="BL4437" s="9">
        <f t="shared" si="625"/>
        <v>0</v>
      </c>
      <c r="BM4437" s="9">
        <f t="shared" si="626"/>
        <v>29.934200000000004</v>
      </c>
      <c r="BN4437" s="9">
        <f t="shared" si="627"/>
        <v>291.88</v>
      </c>
      <c r="BO4437" s="9">
        <f t="shared" si="628"/>
        <v>0</v>
      </c>
      <c r="BP4437" s="9">
        <f t="shared" si="629"/>
        <v>0</v>
      </c>
    </row>
    <row r="4438" spans="1:68">
      <c r="A4438" s="6">
        <v>45378</v>
      </c>
      <c r="B4438" s="7">
        <v>3020</v>
      </c>
      <c r="C4438" s="8"/>
      <c r="D4438" s="8">
        <v>174.04</v>
      </c>
      <c r="E4438" s="8"/>
      <c r="F4438" s="8"/>
      <c r="G4438" s="8"/>
      <c r="H4438" s="8"/>
      <c r="I4438" s="8">
        <v>976.06</v>
      </c>
      <c r="J4438" s="8"/>
      <c r="K4438" s="8"/>
      <c r="L4438" s="8"/>
      <c r="M4438" s="8"/>
      <c r="N4438" s="8">
        <v>7.02</v>
      </c>
      <c r="O4438" s="8"/>
      <c r="P4438" s="8"/>
      <c r="Q4438" s="11"/>
      <c r="R4438" s="11"/>
      <c r="S4438" s="8">
        <v>2.0699999999999998</v>
      </c>
      <c r="T4438" s="8"/>
      <c r="U4438" s="8"/>
      <c r="V4438" s="8"/>
      <c r="W4438" s="8">
        <v>11.51</v>
      </c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>
        <v>11.51</v>
      </c>
      <c r="AN4438" s="8"/>
      <c r="AO4438" s="8"/>
      <c r="AP4438" s="11"/>
      <c r="AQ4438" s="8"/>
      <c r="AR4438" s="8"/>
      <c r="AS4438" s="8">
        <f>3022*9.58/1000</f>
        <v>28.950759999999999</v>
      </c>
      <c r="AT4438" s="8">
        <v>565.48</v>
      </c>
      <c r="AU4438" s="8"/>
      <c r="AV4438" s="8"/>
      <c r="AW4438" s="8"/>
      <c r="AX4438" s="8"/>
      <c r="AY4438" s="8"/>
      <c r="AZ4438" s="8"/>
      <c r="BA4438" s="8"/>
      <c r="BB4438" s="8"/>
      <c r="BC4438" s="8"/>
      <c r="BD4438" s="8"/>
      <c r="BE4438" s="8"/>
      <c r="BF4438" s="8"/>
      <c r="BG4438" s="8">
        <v>41.5</v>
      </c>
      <c r="BH4438" s="9">
        <f t="shared" si="621"/>
        <v>1150.0999999999999</v>
      </c>
      <c r="BI4438" s="9">
        <f t="shared" si="622"/>
        <v>7.02</v>
      </c>
      <c r="BJ4438" s="9">
        <f t="shared" si="623"/>
        <v>2.0699999999999998</v>
      </c>
      <c r="BK4438" s="9">
        <f t="shared" si="624"/>
        <v>11.51</v>
      </c>
      <c r="BL4438" s="9">
        <f t="shared" si="625"/>
        <v>0</v>
      </c>
      <c r="BM4438" s="9">
        <f t="shared" si="626"/>
        <v>40.460760000000001</v>
      </c>
      <c r="BN4438" s="9">
        <f t="shared" si="627"/>
        <v>565.48</v>
      </c>
      <c r="BO4438" s="9">
        <f t="shared" si="628"/>
        <v>0</v>
      </c>
      <c r="BP4438" s="9">
        <f t="shared" si="629"/>
        <v>0</v>
      </c>
    </row>
    <row r="4439" spans="1:68">
      <c r="A4439" s="6">
        <v>45379</v>
      </c>
      <c r="B4439" s="7">
        <v>3203</v>
      </c>
      <c r="C4439" s="8">
        <v>883.42</v>
      </c>
      <c r="D4439" s="8"/>
      <c r="E4439" s="8">
        <v>380.93</v>
      </c>
      <c r="F4439" s="8"/>
      <c r="G4439" s="8"/>
      <c r="H4439" s="8"/>
      <c r="I4439" s="8"/>
      <c r="J4439" s="8"/>
      <c r="K4439" s="8"/>
      <c r="L4439" s="8"/>
      <c r="M4439" s="8"/>
      <c r="N4439" s="8"/>
      <c r="O4439" s="8">
        <v>3.87</v>
      </c>
      <c r="P4439" s="8"/>
      <c r="Q4439" s="11"/>
      <c r="R4439" s="11"/>
      <c r="S4439" s="8">
        <v>5.25</v>
      </c>
      <c r="T4439" s="8"/>
      <c r="U4439" s="8">
        <v>15.93</v>
      </c>
      <c r="V4439" s="8"/>
      <c r="W4439" s="8"/>
      <c r="X4439" s="8"/>
      <c r="Y4439" s="8"/>
      <c r="Z4439" s="8">
        <v>201.71</v>
      </c>
      <c r="AA4439" s="8">
        <f>10577*15.07/1000</f>
        <v>159.39539000000002</v>
      </c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11"/>
      <c r="AQ4439" s="8"/>
      <c r="AR4439" s="8"/>
      <c r="AS4439" s="8"/>
      <c r="AT4439" s="8">
        <v>479.41</v>
      </c>
      <c r="AU4439" s="8">
        <v>238.97</v>
      </c>
      <c r="AV4439" s="8"/>
      <c r="AW4439" s="8"/>
      <c r="AX4439" s="8"/>
      <c r="AY4439" s="8"/>
      <c r="AZ4439" s="8"/>
      <c r="BA4439" s="8"/>
      <c r="BB4439" s="8"/>
      <c r="BC4439" s="8">
        <v>3.33</v>
      </c>
      <c r="BD4439" s="8"/>
      <c r="BE4439" s="8"/>
      <c r="BF4439" s="8"/>
      <c r="BG4439" s="8">
        <v>46.87</v>
      </c>
      <c r="BH4439" s="9">
        <f t="shared" si="621"/>
        <v>1264.3499999999999</v>
      </c>
      <c r="BI4439" s="9">
        <f t="shared" si="622"/>
        <v>3.87</v>
      </c>
      <c r="BJ4439" s="9">
        <f t="shared" si="623"/>
        <v>5.25</v>
      </c>
      <c r="BK4439" s="9">
        <f t="shared" si="624"/>
        <v>15.93</v>
      </c>
      <c r="BL4439" s="9">
        <f t="shared" si="625"/>
        <v>361.10539000000006</v>
      </c>
      <c r="BM4439" s="9">
        <f t="shared" si="626"/>
        <v>0</v>
      </c>
      <c r="BN4439" s="9">
        <f t="shared" si="627"/>
        <v>718.38</v>
      </c>
      <c r="BO4439" s="9">
        <f t="shared" si="628"/>
        <v>3.33</v>
      </c>
      <c r="BP4439" s="9">
        <f t="shared" si="629"/>
        <v>0</v>
      </c>
    </row>
    <row r="4440" spans="1:68">
      <c r="A4440" s="6">
        <v>45379</v>
      </c>
      <c r="B4440" s="7">
        <v>3139</v>
      </c>
      <c r="C4440" s="8">
        <v>1082.55</v>
      </c>
      <c r="D4440" s="8"/>
      <c r="E4440" s="8"/>
      <c r="F4440" s="8"/>
      <c r="G4440" s="8"/>
      <c r="H4440" s="8">
        <v>449.24</v>
      </c>
      <c r="I4440" s="8"/>
      <c r="J4440" s="8"/>
      <c r="K4440" s="8"/>
      <c r="L4440" s="8"/>
      <c r="M4440" s="8">
        <v>2.52</v>
      </c>
      <c r="N4440" s="8"/>
      <c r="O4440" s="8"/>
      <c r="P4440" s="8"/>
      <c r="Q4440" s="11"/>
      <c r="R4440" s="11"/>
      <c r="S4440" s="8">
        <v>4.79</v>
      </c>
      <c r="T4440" s="8"/>
      <c r="U4440" s="8">
        <v>15.98</v>
      </c>
      <c r="V4440" s="8"/>
      <c r="W4440" s="8"/>
      <c r="X4440" s="8"/>
      <c r="Y4440" s="8"/>
      <c r="Z4440" s="8"/>
      <c r="AA4440" s="8"/>
      <c r="AB4440" s="8"/>
      <c r="AC4440" s="8">
        <v>5.33</v>
      </c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11"/>
      <c r="AQ4440" s="8"/>
      <c r="AR4440" s="8"/>
      <c r="AS4440" s="8"/>
      <c r="AT4440" s="8">
        <v>789.32</v>
      </c>
      <c r="AU4440" s="8"/>
      <c r="AV4440" s="8">
        <v>26.66</v>
      </c>
      <c r="AW4440" s="8"/>
      <c r="AX4440" s="8"/>
      <c r="AY4440" s="8"/>
      <c r="AZ4440" s="8"/>
      <c r="BA4440" s="8"/>
      <c r="BB4440" s="8"/>
      <c r="BC4440" s="8"/>
      <c r="BD4440" s="8"/>
      <c r="BE4440" s="8"/>
      <c r="BF4440" s="8"/>
      <c r="BG4440" s="8">
        <v>57.3</v>
      </c>
      <c r="BH4440" s="9">
        <f t="shared" si="621"/>
        <v>1531.79</v>
      </c>
      <c r="BI4440" s="9">
        <f t="shared" si="622"/>
        <v>2.52</v>
      </c>
      <c r="BJ4440" s="9">
        <f t="shared" si="623"/>
        <v>4.79</v>
      </c>
      <c r="BK4440" s="9">
        <f t="shared" si="624"/>
        <v>15.98</v>
      </c>
      <c r="BL4440" s="9">
        <f t="shared" si="625"/>
        <v>0</v>
      </c>
      <c r="BM4440" s="9">
        <f t="shared" si="626"/>
        <v>5.33</v>
      </c>
      <c r="BN4440" s="9">
        <f t="shared" si="627"/>
        <v>789.32</v>
      </c>
      <c r="BO4440" s="9">
        <f t="shared" si="628"/>
        <v>26.66</v>
      </c>
      <c r="BP4440" s="9">
        <f t="shared" si="629"/>
        <v>0</v>
      </c>
    </row>
    <row r="4441" spans="1:68">
      <c r="A4441" s="6">
        <v>45379</v>
      </c>
      <c r="B4441" s="7">
        <v>3145</v>
      </c>
      <c r="C4441" s="8">
        <v>687.69</v>
      </c>
      <c r="D4441" s="8">
        <v>121.35</v>
      </c>
      <c r="E4441" s="8"/>
      <c r="F4441" s="8"/>
      <c r="G4441" s="8"/>
      <c r="H4441" s="8"/>
      <c r="I4441" s="8"/>
      <c r="J4441" s="8"/>
      <c r="K4441" s="8"/>
      <c r="L4441" s="8"/>
      <c r="M4441" s="8">
        <v>2.35</v>
      </c>
      <c r="N4441" s="8"/>
      <c r="O4441" s="8"/>
      <c r="P4441" s="8"/>
      <c r="Q4441" s="11"/>
      <c r="R4441" s="11"/>
      <c r="S4441" s="8">
        <v>3.81</v>
      </c>
      <c r="T4441" s="8"/>
      <c r="U4441" s="8">
        <v>12.14</v>
      </c>
      <c r="V4441" s="8"/>
      <c r="W4441" s="8"/>
      <c r="X4441" s="8"/>
      <c r="Y4441" s="8"/>
      <c r="Z4441" s="8"/>
      <c r="AA4441" s="8"/>
      <c r="AB4441" s="8"/>
      <c r="AC4441" s="8">
        <v>3.24</v>
      </c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11"/>
      <c r="AQ4441" s="8"/>
      <c r="AR4441" s="8"/>
      <c r="AS4441" s="8"/>
      <c r="AT4441" s="8">
        <v>535.51</v>
      </c>
      <c r="AU4441" s="8"/>
      <c r="AV4441" s="8"/>
      <c r="AW4441" s="8"/>
      <c r="AX4441" s="8"/>
      <c r="AY4441" s="8"/>
      <c r="AZ4441" s="8"/>
      <c r="BA4441" s="8"/>
      <c r="BB4441" s="8"/>
      <c r="BC4441" s="8"/>
      <c r="BD4441" s="8">
        <v>2.02</v>
      </c>
      <c r="BE4441" s="8">
        <f>1370*5.38/1000</f>
        <v>7.3705999999999996</v>
      </c>
      <c r="BF4441" s="8">
        <v>56.68</v>
      </c>
      <c r="BG4441" s="8">
        <v>42.02</v>
      </c>
      <c r="BH4441" s="9">
        <f t="shared" si="621"/>
        <v>809.04000000000008</v>
      </c>
      <c r="BI4441" s="9">
        <f t="shared" si="622"/>
        <v>2.35</v>
      </c>
      <c r="BJ4441" s="9">
        <f t="shared" si="623"/>
        <v>3.81</v>
      </c>
      <c r="BK4441" s="9">
        <f t="shared" si="624"/>
        <v>12.14</v>
      </c>
      <c r="BL4441" s="9">
        <f t="shared" si="625"/>
        <v>0</v>
      </c>
      <c r="BM4441" s="9">
        <f t="shared" si="626"/>
        <v>3.24</v>
      </c>
      <c r="BN4441" s="9">
        <f t="shared" si="627"/>
        <v>535.51</v>
      </c>
      <c r="BO4441" s="9">
        <f t="shared" si="628"/>
        <v>9.3905999999999992</v>
      </c>
      <c r="BP4441" s="9">
        <f t="shared" si="629"/>
        <v>56.68</v>
      </c>
    </row>
    <row r="4442" spans="1:68">
      <c r="A4442" s="6">
        <v>45379</v>
      </c>
      <c r="B4442" s="7">
        <v>3141</v>
      </c>
      <c r="C4442" s="8">
        <v>2387.91</v>
      </c>
      <c r="D4442" s="8">
        <v>421.4</v>
      </c>
      <c r="E4442" s="8"/>
      <c r="F4442" s="8"/>
      <c r="G4442" s="8"/>
      <c r="H4442" s="8"/>
      <c r="I4442" s="8"/>
      <c r="J4442" s="8"/>
      <c r="K4442" s="8"/>
      <c r="L4442" s="8"/>
      <c r="M4442" s="8">
        <v>7.92</v>
      </c>
      <c r="N4442" s="8"/>
      <c r="O4442" s="8"/>
      <c r="P4442" s="8"/>
      <c r="Q4442" s="11"/>
      <c r="R4442" s="11"/>
      <c r="S4442" s="8">
        <v>13.22</v>
      </c>
      <c r="T4442" s="8"/>
      <c r="U4442" s="8">
        <v>42.16</v>
      </c>
      <c r="V4442" s="8"/>
      <c r="W4442" s="8"/>
      <c r="X4442" s="8"/>
      <c r="Y4442" s="8"/>
      <c r="Z4442" s="8"/>
      <c r="AA4442" s="8"/>
      <c r="AB4442" s="8"/>
      <c r="AC4442" s="8">
        <v>11.25</v>
      </c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11"/>
      <c r="AQ4442" s="8"/>
      <c r="AR4442" s="8"/>
      <c r="AS4442" s="8"/>
      <c r="AT4442" s="8">
        <v>1854.17</v>
      </c>
      <c r="AU4442" s="8"/>
      <c r="AV4442" s="8"/>
      <c r="AW4442" s="8"/>
      <c r="AX4442" s="8"/>
      <c r="AY4442" s="8"/>
      <c r="AZ4442" s="8"/>
      <c r="BA4442" s="8">
        <v>64.41</v>
      </c>
      <c r="BB4442" s="8"/>
      <c r="BC4442" s="8"/>
      <c r="BD4442" s="8"/>
      <c r="BE4442" s="8"/>
      <c r="BF4442" s="8">
        <v>196.68</v>
      </c>
      <c r="BG4442" s="8">
        <v>146.13</v>
      </c>
      <c r="BH4442" s="9">
        <f t="shared" si="621"/>
        <v>2809.31</v>
      </c>
      <c r="BI4442" s="9">
        <f t="shared" si="622"/>
        <v>7.92</v>
      </c>
      <c r="BJ4442" s="9">
        <f t="shared" si="623"/>
        <v>13.22</v>
      </c>
      <c r="BK4442" s="9">
        <f t="shared" si="624"/>
        <v>42.16</v>
      </c>
      <c r="BL4442" s="9">
        <f t="shared" si="625"/>
        <v>0</v>
      </c>
      <c r="BM4442" s="9">
        <f t="shared" si="626"/>
        <v>11.25</v>
      </c>
      <c r="BN4442" s="9">
        <f t="shared" si="627"/>
        <v>1854.17</v>
      </c>
      <c r="BO4442" s="9">
        <f t="shared" si="628"/>
        <v>64.41</v>
      </c>
      <c r="BP4442" s="9">
        <f t="shared" si="629"/>
        <v>196.68</v>
      </c>
    </row>
    <row r="4443" spans="1:68">
      <c r="A4443" s="6">
        <v>45379</v>
      </c>
      <c r="B4443" s="7">
        <v>3136</v>
      </c>
      <c r="C4443" s="8">
        <v>1246.1400000000001</v>
      </c>
      <c r="D4443" s="8"/>
      <c r="E4443" s="8"/>
      <c r="F4443" s="8"/>
      <c r="G4443" s="8"/>
      <c r="H4443" s="8">
        <v>517.29999999999995</v>
      </c>
      <c r="I4443" s="8"/>
      <c r="J4443" s="8"/>
      <c r="K4443" s="8"/>
      <c r="L4443" s="8"/>
      <c r="M4443" s="8">
        <v>2.31</v>
      </c>
      <c r="N4443" s="8"/>
      <c r="O4443" s="8"/>
      <c r="P4443" s="8"/>
      <c r="Q4443" s="11"/>
      <c r="R4443" s="11"/>
      <c r="S4443" s="8">
        <v>6.6</v>
      </c>
      <c r="T4443" s="8"/>
      <c r="U4443" s="8">
        <v>19.940000000000001</v>
      </c>
      <c r="V4443" s="8"/>
      <c r="W4443" s="8"/>
      <c r="X4443" s="8"/>
      <c r="Y4443" s="8"/>
      <c r="Z4443" s="8"/>
      <c r="AA4443" s="8"/>
      <c r="AB4443" s="8"/>
      <c r="AC4443" s="8">
        <v>6.13</v>
      </c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11"/>
      <c r="AQ4443" s="8"/>
      <c r="AR4443" s="8"/>
      <c r="AS4443" s="8"/>
      <c r="AT4443" s="8">
        <v>996.71</v>
      </c>
      <c r="AU4443" s="8"/>
      <c r="AV4443" s="8"/>
      <c r="AW4443" s="8"/>
      <c r="AX4443" s="8"/>
      <c r="AY4443" s="8"/>
      <c r="AZ4443" s="8"/>
      <c r="BA4443" s="8">
        <v>15.24</v>
      </c>
      <c r="BB4443" s="8"/>
      <c r="BC4443" s="8"/>
      <c r="BD4443" s="8"/>
      <c r="BE4443" s="8"/>
      <c r="BF4443" s="8">
        <v>61.44</v>
      </c>
      <c r="BG4443" s="8">
        <v>75.290000000000006</v>
      </c>
      <c r="BH4443" s="9">
        <f t="shared" si="621"/>
        <v>1763.44</v>
      </c>
      <c r="BI4443" s="9">
        <f t="shared" si="622"/>
        <v>2.31</v>
      </c>
      <c r="BJ4443" s="9">
        <f t="shared" si="623"/>
        <v>6.6</v>
      </c>
      <c r="BK4443" s="9">
        <f t="shared" si="624"/>
        <v>19.940000000000001</v>
      </c>
      <c r="BL4443" s="9">
        <f t="shared" si="625"/>
        <v>0</v>
      </c>
      <c r="BM4443" s="9">
        <f t="shared" si="626"/>
        <v>6.13</v>
      </c>
      <c r="BN4443" s="9">
        <f t="shared" si="627"/>
        <v>996.71</v>
      </c>
      <c r="BO4443" s="9">
        <f t="shared" si="628"/>
        <v>15.24</v>
      </c>
      <c r="BP4443" s="9">
        <f t="shared" si="629"/>
        <v>61.44</v>
      </c>
    </row>
    <row r="4444" spans="1:68">
      <c r="A4444" s="6">
        <v>45379</v>
      </c>
      <c r="B4444" s="7">
        <v>3105</v>
      </c>
      <c r="C4444" s="8">
        <v>1104.02</v>
      </c>
      <c r="D4444" s="8"/>
      <c r="E4444" s="8"/>
      <c r="F4444" s="8"/>
      <c r="G4444" s="8"/>
      <c r="H4444" s="8"/>
      <c r="I4444" s="8"/>
      <c r="J4444" s="8"/>
      <c r="K4444" s="8"/>
      <c r="L4444" s="8"/>
      <c r="M4444" s="8">
        <v>2.76</v>
      </c>
      <c r="N4444" s="8"/>
      <c r="O4444" s="8"/>
      <c r="P4444" s="8"/>
      <c r="Q4444" s="11"/>
      <c r="R4444" s="11"/>
      <c r="S4444" s="8">
        <v>3.55</v>
      </c>
      <c r="T4444" s="8"/>
      <c r="U4444" s="8">
        <v>14.08</v>
      </c>
      <c r="V4444" s="8"/>
      <c r="W4444" s="8"/>
      <c r="X4444" s="8"/>
      <c r="Y4444" s="8"/>
      <c r="Z4444" s="8"/>
      <c r="AA4444" s="8"/>
      <c r="AB4444" s="8"/>
      <c r="AC4444" s="8">
        <v>4.43</v>
      </c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11"/>
      <c r="AQ4444" s="8"/>
      <c r="AR4444" s="8"/>
      <c r="AS4444" s="8"/>
      <c r="AT4444" s="8">
        <v>632.86</v>
      </c>
      <c r="AU4444" s="8"/>
      <c r="AV4444" s="8">
        <v>3.9</v>
      </c>
      <c r="AW4444" s="8"/>
      <c r="AX4444" s="8"/>
      <c r="AY4444" s="8"/>
      <c r="AZ4444" s="8"/>
      <c r="BA4444" s="8"/>
      <c r="BB4444" s="8"/>
      <c r="BC4444" s="8"/>
      <c r="BD4444" s="8"/>
      <c r="BE4444" s="8"/>
      <c r="BF4444" s="8"/>
      <c r="BG4444" s="8">
        <v>47.59</v>
      </c>
      <c r="BH4444" s="9">
        <f t="shared" si="621"/>
        <v>1104.02</v>
      </c>
      <c r="BI4444" s="9">
        <f t="shared" si="622"/>
        <v>2.76</v>
      </c>
      <c r="BJ4444" s="9">
        <f t="shared" si="623"/>
        <v>3.55</v>
      </c>
      <c r="BK4444" s="9">
        <f t="shared" si="624"/>
        <v>14.08</v>
      </c>
      <c r="BL4444" s="9">
        <f t="shared" si="625"/>
        <v>0</v>
      </c>
      <c r="BM4444" s="9">
        <f t="shared" si="626"/>
        <v>4.43</v>
      </c>
      <c r="BN4444" s="9">
        <f t="shared" si="627"/>
        <v>632.86</v>
      </c>
      <c r="BO4444" s="9">
        <f t="shared" si="628"/>
        <v>3.9</v>
      </c>
      <c r="BP4444" s="9">
        <f t="shared" si="629"/>
        <v>0</v>
      </c>
    </row>
    <row r="4445" spans="1:68">
      <c r="A4445" s="6">
        <v>45379</v>
      </c>
      <c r="B4445" s="7">
        <v>3029</v>
      </c>
      <c r="C4445" s="8"/>
      <c r="D4445" s="8">
        <v>453.65</v>
      </c>
      <c r="E4445" s="8"/>
      <c r="F4445" s="8">
        <v>320.51</v>
      </c>
      <c r="G4445" s="8"/>
      <c r="H4445" s="8"/>
      <c r="I4445" s="8">
        <v>1893.64</v>
      </c>
      <c r="J4445" s="8"/>
      <c r="K4445" s="8"/>
      <c r="L4445" s="8"/>
      <c r="M4445" s="8"/>
      <c r="N4445" s="8">
        <v>21.36</v>
      </c>
      <c r="O4445" s="8"/>
      <c r="P4445" s="8"/>
      <c r="Q4445" s="11"/>
      <c r="R4445" s="11"/>
      <c r="S4445" s="8">
        <v>1.6</v>
      </c>
      <c r="T4445" s="8"/>
      <c r="U4445" s="8"/>
      <c r="V4445" s="8"/>
      <c r="W4445" s="8">
        <v>26.69</v>
      </c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>
        <v>9.33</v>
      </c>
      <c r="AN4445" s="8">
        <f>755*17.8/1000</f>
        <v>13.439</v>
      </c>
      <c r="AO4445" s="8"/>
      <c r="AP4445" s="11"/>
      <c r="AQ4445" s="8"/>
      <c r="AR4445" s="8">
        <f>4542*17.8/1000</f>
        <v>80.8476</v>
      </c>
      <c r="AS4445" s="8"/>
      <c r="AT4445" s="8">
        <v>1013.88</v>
      </c>
      <c r="AU4445" s="8"/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  <c r="BF4445" s="8"/>
      <c r="BG4445" s="8">
        <v>70.73</v>
      </c>
      <c r="BH4445" s="9">
        <f t="shared" si="621"/>
        <v>2667.8</v>
      </c>
      <c r="BI4445" s="9">
        <f t="shared" si="622"/>
        <v>21.36</v>
      </c>
      <c r="BJ4445" s="9">
        <f t="shared" si="623"/>
        <v>1.6</v>
      </c>
      <c r="BK4445" s="9">
        <f t="shared" si="624"/>
        <v>26.69</v>
      </c>
      <c r="BL4445" s="9">
        <f t="shared" si="625"/>
        <v>0</v>
      </c>
      <c r="BM4445" s="9">
        <f t="shared" si="626"/>
        <v>103.61660000000001</v>
      </c>
      <c r="BN4445" s="9">
        <f t="shared" si="627"/>
        <v>1013.88</v>
      </c>
      <c r="BO4445" s="9">
        <f t="shared" si="628"/>
        <v>0</v>
      </c>
      <c r="BP4445" s="9">
        <f t="shared" si="629"/>
        <v>0</v>
      </c>
    </row>
    <row r="4446" spans="1:68">
      <c r="A4446" s="6">
        <v>45379</v>
      </c>
      <c r="B4446" s="7">
        <v>3017</v>
      </c>
      <c r="C4446" s="8"/>
      <c r="D4446" s="8">
        <v>273.45999999999998</v>
      </c>
      <c r="E4446" s="8"/>
      <c r="F4446" s="8"/>
      <c r="G4446" s="8"/>
      <c r="H4446" s="8"/>
      <c r="I4446" s="8">
        <v>378.96</v>
      </c>
      <c r="J4446" s="8"/>
      <c r="K4446" s="8"/>
      <c r="L4446" s="8"/>
      <c r="M4446" s="8"/>
      <c r="N4446" s="8">
        <v>4.71</v>
      </c>
      <c r="O4446" s="8"/>
      <c r="P4446" s="8"/>
      <c r="Q4446" s="11"/>
      <c r="R4446" s="11"/>
      <c r="S4446" s="8">
        <v>0.46</v>
      </c>
      <c r="T4446" s="8"/>
      <c r="U4446" s="8"/>
      <c r="V4446" s="8"/>
      <c r="W4446" s="8">
        <v>4.91</v>
      </c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>
        <v>2.61</v>
      </c>
      <c r="AN4446" s="8">
        <f>1209*5.43/1000</f>
        <v>6.56487</v>
      </c>
      <c r="AO4446" s="8"/>
      <c r="AP4446" s="11"/>
      <c r="AQ4446" s="8"/>
      <c r="AR4446" s="8">
        <f>4822*5.43/1000</f>
        <v>26.18346</v>
      </c>
      <c r="AS4446" s="8"/>
      <c r="AT4446" s="8">
        <v>280.42</v>
      </c>
      <c r="AU4446" s="8"/>
      <c r="AV4446" s="8"/>
      <c r="AW4446" s="8"/>
      <c r="AX4446" s="8"/>
      <c r="AY4446" s="8"/>
      <c r="AZ4446" s="8"/>
      <c r="BA4446" s="8"/>
      <c r="BB4446" s="8"/>
      <c r="BC4446" s="8"/>
      <c r="BD4446" s="8"/>
      <c r="BE4446" s="8"/>
      <c r="BF4446" s="8"/>
      <c r="BG4446" s="8">
        <v>20.420000000000002</v>
      </c>
      <c r="BH4446" s="9">
        <f t="shared" si="621"/>
        <v>652.41999999999996</v>
      </c>
      <c r="BI4446" s="9">
        <f t="shared" si="622"/>
        <v>4.71</v>
      </c>
      <c r="BJ4446" s="9">
        <f t="shared" si="623"/>
        <v>0.46</v>
      </c>
      <c r="BK4446" s="9">
        <f t="shared" si="624"/>
        <v>4.91</v>
      </c>
      <c r="BL4446" s="9">
        <f t="shared" si="625"/>
        <v>0</v>
      </c>
      <c r="BM4446" s="9">
        <f t="shared" si="626"/>
        <v>35.358330000000002</v>
      </c>
      <c r="BN4446" s="9">
        <f t="shared" si="627"/>
        <v>280.42</v>
      </c>
      <c r="BO4446" s="9">
        <f t="shared" si="628"/>
        <v>0</v>
      </c>
      <c r="BP4446" s="9">
        <f t="shared" si="629"/>
        <v>0</v>
      </c>
    </row>
    <row r="4447" spans="1:68">
      <c r="A4447" s="6">
        <v>45379</v>
      </c>
      <c r="B4447" s="7">
        <v>3030</v>
      </c>
      <c r="C4447" s="8"/>
      <c r="D4447" s="8">
        <v>437.59</v>
      </c>
      <c r="E4447" s="8"/>
      <c r="F4447" s="8"/>
      <c r="G4447" s="8"/>
      <c r="H4447" s="8"/>
      <c r="I4447" s="8">
        <v>179.66</v>
      </c>
      <c r="J4447" s="8"/>
      <c r="K4447" s="8"/>
      <c r="L4447" s="8"/>
      <c r="M4447" s="8"/>
      <c r="N4447" s="8">
        <v>4.84</v>
      </c>
      <c r="O4447" s="8"/>
      <c r="P4447" s="8"/>
      <c r="Q4447" s="11"/>
      <c r="R4447" s="11"/>
      <c r="S4447" s="8">
        <v>0.43</v>
      </c>
      <c r="T4447" s="8"/>
      <c r="U4447" s="8"/>
      <c r="V4447" s="8"/>
      <c r="W4447" s="8">
        <v>4.9400000000000004</v>
      </c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>
        <v>2.4700000000000002</v>
      </c>
      <c r="AN4447" s="8">
        <f>1694*5.15/1000</f>
        <v>8.7241</v>
      </c>
      <c r="AO4447" s="8"/>
      <c r="AP4447" s="11"/>
      <c r="AQ4447" s="8"/>
      <c r="AR4447" s="8">
        <f>3971*5.15/1000</f>
        <v>20.450650000000003</v>
      </c>
      <c r="AS4447" s="8"/>
      <c r="AT4447" s="8">
        <v>216.63</v>
      </c>
      <c r="AU4447" s="8">
        <v>54.02</v>
      </c>
      <c r="AV4447" s="8"/>
      <c r="AW4447" s="8"/>
      <c r="AX4447" s="8"/>
      <c r="AY4447" s="8"/>
      <c r="AZ4447" s="8"/>
      <c r="BA4447" s="8"/>
      <c r="BB4447" s="8"/>
      <c r="BC4447" s="8"/>
      <c r="BD4447" s="8"/>
      <c r="BE4447" s="8"/>
      <c r="BF4447" s="8"/>
      <c r="BG4447" s="8">
        <v>21.44</v>
      </c>
      <c r="BH4447" s="9">
        <f t="shared" si="621"/>
        <v>617.25</v>
      </c>
      <c r="BI4447" s="9">
        <f t="shared" si="622"/>
        <v>4.84</v>
      </c>
      <c r="BJ4447" s="9">
        <f t="shared" si="623"/>
        <v>0.43</v>
      </c>
      <c r="BK4447" s="9">
        <f t="shared" si="624"/>
        <v>4.9400000000000004</v>
      </c>
      <c r="BL4447" s="9">
        <f t="shared" si="625"/>
        <v>0</v>
      </c>
      <c r="BM4447" s="9">
        <f t="shared" si="626"/>
        <v>31.644750000000002</v>
      </c>
      <c r="BN4447" s="9">
        <f t="shared" si="627"/>
        <v>270.64999999999998</v>
      </c>
      <c r="BO4447" s="9">
        <f t="shared" si="628"/>
        <v>0</v>
      </c>
      <c r="BP4447" s="9">
        <f t="shared" si="629"/>
        <v>0</v>
      </c>
    </row>
    <row r="4448" spans="1:68">
      <c r="A4448" s="6">
        <v>45379</v>
      </c>
      <c r="B4448" s="7">
        <v>3028</v>
      </c>
      <c r="C4448" s="8"/>
      <c r="D4448" s="8">
        <v>735.68</v>
      </c>
      <c r="E4448" s="8"/>
      <c r="F4448" s="8">
        <v>676.54</v>
      </c>
      <c r="G4448" s="8"/>
      <c r="H4448" s="8"/>
      <c r="I4448" s="8">
        <v>1528.75</v>
      </c>
      <c r="J4448" s="8"/>
      <c r="K4448" s="8"/>
      <c r="L4448" s="8"/>
      <c r="M4448" s="8"/>
      <c r="N4448" s="8">
        <v>22.66</v>
      </c>
      <c r="O4448" s="8"/>
      <c r="P4448" s="8"/>
      <c r="Q4448" s="11"/>
      <c r="R4448" s="11"/>
      <c r="S4448" s="8">
        <v>4.12</v>
      </c>
      <c r="T4448" s="8"/>
      <c r="U4448" s="8"/>
      <c r="V4448" s="8"/>
      <c r="W4448" s="8">
        <v>22.05</v>
      </c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>
        <v>29.41</v>
      </c>
      <c r="AN4448" s="8">
        <f>1065*19.6/1000</f>
        <v>20.873999999999999</v>
      </c>
      <c r="AO4448" s="8"/>
      <c r="AP4448" s="11"/>
      <c r="AQ4448" s="8"/>
      <c r="AR4448" s="8"/>
      <c r="AS4448" s="8">
        <f>4935*19.6/1000</f>
        <v>96.725999999999999</v>
      </c>
      <c r="AT4448" s="8">
        <v>982.47</v>
      </c>
      <c r="AU4448" s="8"/>
      <c r="AV4448" s="8"/>
      <c r="AW4448" s="8"/>
      <c r="AX4448" s="8"/>
      <c r="AY4448" s="8"/>
      <c r="AZ4448" s="8"/>
      <c r="BA4448" s="8"/>
      <c r="BB4448" s="8"/>
      <c r="BC4448" s="8"/>
      <c r="BD4448" s="8"/>
      <c r="BE4448" s="8"/>
      <c r="BF4448" s="8"/>
      <c r="BG4448" s="8">
        <v>66.75</v>
      </c>
      <c r="BH4448" s="9">
        <f t="shared" si="621"/>
        <v>2940.97</v>
      </c>
      <c r="BI4448" s="9">
        <f t="shared" si="622"/>
        <v>22.66</v>
      </c>
      <c r="BJ4448" s="9">
        <f t="shared" si="623"/>
        <v>4.12</v>
      </c>
      <c r="BK4448" s="9">
        <f t="shared" si="624"/>
        <v>22.05</v>
      </c>
      <c r="BL4448" s="9">
        <f t="shared" si="625"/>
        <v>0</v>
      </c>
      <c r="BM4448" s="9">
        <f t="shared" si="626"/>
        <v>147.01</v>
      </c>
      <c r="BN4448" s="9">
        <f t="shared" si="627"/>
        <v>982.47</v>
      </c>
      <c r="BO4448" s="9">
        <f t="shared" si="628"/>
        <v>0</v>
      </c>
      <c r="BP4448" s="9">
        <f t="shared" si="629"/>
        <v>0</v>
      </c>
    </row>
    <row r="4449" spans="1:68">
      <c r="A4449" s="6">
        <v>45379</v>
      </c>
      <c r="B4449" s="7">
        <v>3010</v>
      </c>
      <c r="C4449" s="8">
        <v>644.14</v>
      </c>
      <c r="D4449" s="8">
        <v>430.31</v>
      </c>
      <c r="E4449" s="8"/>
      <c r="F4449" s="8"/>
      <c r="G4449" s="8"/>
      <c r="H4449" s="8"/>
      <c r="I4449" s="8"/>
      <c r="J4449" s="8"/>
      <c r="K4449" s="8"/>
      <c r="L4449" s="8"/>
      <c r="M4449" s="8"/>
      <c r="N4449" s="8">
        <v>2.15</v>
      </c>
      <c r="O4449" s="8"/>
      <c r="P4449" s="8"/>
      <c r="Q4449" s="11"/>
      <c r="R4449" s="11"/>
      <c r="S4449" s="8">
        <v>3.01</v>
      </c>
      <c r="T4449" s="8"/>
      <c r="U4449" s="8"/>
      <c r="V4449" s="8"/>
      <c r="W4449" s="8">
        <v>10.75</v>
      </c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11"/>
      <c r="AQ4449" s="8"/>
      <c r="AR4449" s="8"/>
      <c r="AS4449" s="8"/>
      <c r="AT4449" s="8">
        <v>360.61</v>
      </c>
      <c r="AU4449" s="8"/>
      <c r="AV4449" s="8"/>
      <c r="AW4449" s="8">
        <v>11.93</v>
      </c>
      <c r="AX4449" s="8"/>
      <c r="AY4449" s="8"/>
      <c r="AZ4449" s="8"/>
      <c r="BA4449" s="8"/>
      <c r="BB4449" s="8"/>
      <c r="BC4449" s="8"/>
      <c r="BD4449" s="8"/>
      <c r="BE4449" s="8"/>
      <c r="BF4449" s="8"/>
      <c r="BG4449" s="8">
        <v>23.72</v>
      </c>
      <c r="BH4449" s="9">
        <f t="shared" si="621"/>
        <v>1074.45</v>
      </c>
      <c r="BI4449" s="9">
        <f t="shared" si="622"/>
        <v>2.15</v>
      </c>
      <c r="BJ4449" s="9">
        <f t="shared" si="623"/>
        <v>3.01</v>
      </c>
      <c r="BK4449" s="9">
        <f t="shared" si="624"/>
        <v>10.75</v>
      </c>
      <c r="BL4449" s="9">
        <f t="shared" si="625"/>
        <v>0</v>
      </c>
      <c r="BM4449" s="9">
        <f t="shared" si="626"/>
        <v>0</v>
      </c>
      <c r="BN4449" s="9">
        <f t="shared" si="627"/>
        <v>360.61</v>
      </c>
      <c r="BO4449" s="9">
        <f t="shared" si="628"/>
        <v>11.93</v>
      </c>
      <c r="BP4449" s="9">
        <f t="shared" si="629"/>
        <v>0</v>
      </c>
    </row>
    <row r="4450" spans="1:68">
      <c r="A4450" s="6">
        <v>45379</v>
      </c>
      <c r="B4450" s="7">
        <v>3101</v>
      </c>
      <c r="C4450" s="8">
        <v>658.4</v>
      </c>
      <c r="D4450" s="8"/>
      <c r="E4450" s="8"/>
      <c r="F4450" s="8"/>
      <c r="G4450" s="8"/>
      <c r="H4450" s="8"/>
      <c r="I4450" s="8"/>
      <c r="J4450" s="8"/>
      <c r="K4450" s="8"/>
      <c r="L4450" s="8"/>
      <c r="M4450" s="8">
        <v>1.64</v>
      </c>
      <c r="N4450" s="8"/>
      <c r="O4450" s="8"/>
      <c r="P4450" s="8"/>
      <c r="Q4450" s="11"/>
      <c r="R4450" s="11"/>
      <c r="S4450" s="8">
        <v>3.83</v>
      </c>
      <c r="T4450" s="8"/>
      <c r="U4450" s="8">
        <v>10.56</v>
      </c>
      <c r="V4450" s="8"/>
      <c r="W4450" s="8"/>
      <c r="X4450" s="8"/>
      <c r="Y4450" s="8"/>
      <c r="Z4450" s="8"/>
      <c r="AA4450" s="8"/>
      <c r="AB4450" s="8"/>
      <c r="AC4450" s="8">
        <v>2.64</v>
      </c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11"/>
      <c r="AQ4450" s="8"/>
      <c r="AR4450" s="8"/>
      <c r="AS4450" s="8"/>
      <c r="AT4450" s="8">
        <v>444.19</v>
      </c>
      <c r="AU4450" s="8"/>
      <c r="AV4450" s="8"/>
      <c r="AW4450" s="8">
        <v>14.06</v>
      </c>
      <c r="AX4450" s="8"/>
      <c r="AY4450" s="8"/>
      <c r="AZ4450" s="8"/>
      <c r="BA4450" s="8"/>
      <c r="BB4450" s="8"/>
      <c r="BC4450" s="8"/>
      <c r="BD4450" s="8"/>
      <c r="BE4450" s="8"/>
      <c r="BF4450" s="8">
        <v>85.83</v>
      </c>
      <c r="BG4450" s="8">
        <v>33.93</v>
      </c>
      <c r="BH4450" s="9">
        <f t="shared" si="621"/>
        <v>658.4</v>
      </c>
      <c r="BI4450" s="9">
        <f t="shared" si="622"/>
        <v>1.64</v>
      </c>
      <c r="BJ4450" s="9">
        <f t="shared" si="623"/>
        <v>3.83</v>
      </c>
      <c r="BK4450" s="9">
        <f t="shared" si="624"/>
        <v>10.56</v>
      </c>
      <c r="BL4450" s="9">
        <f t="shared" si="625"/>
        <v>0</v>
      </c>
      <c r="BM4450" s="9">
        <f t="shared" si="626"/>
        <v>2.64</v>
      </c>
      <c r="BN4450" s="9">
        <f t="shared" si="627"/>
        <v>444.19</v>
      </c>
      <c r="BO4450" s="9">
        <f t="shared" si="628"/>
        <v>14.06</v>
      </c>
      <c r="BP4450" s="9">
        <f t="shared" si="629"/>
        <v>85.83</v>
      </c>
    </row>
    <row r="4451" spans="1:68">
      <c r="A4451" s="6">
        <v>45383</v>
      </c>
      <c r="B4451" s="7">
        <v>3100</v>
      </c>
      <c r="C4451" s="8">
        <v>701.92</v>
      </c>
      <c r="D4451" s="8"/>
      <c r="E4451" s="8"/>
      <c r="F4451" s="8"/>
      <c r="G4451" s="8"/>
      <c r="H4451" s="8"/>
      <c r="I4451" s="8"/>
      <c r="J4451" s="8"/>
      <c r="K4451" s="8"/>
      <c r="L4451" s="8"/>
      <c r="M4451" s="8">
        <v>1.76</v>
      </c>
      <c r="N4451" s="8"/>
      <c r="O4451" s="8"/>
      <c r="P4451" s="8"/>
      <c r="Q4451" s="11"/>
      <c r="R4451" s="11"/>
      <c r="S4451" s="8">
        <v>4.01</v>
      </c>
      <c r="T4451" s="8"/>
      <c r="U4451" s="8">
        <v>11.25</v>
      </c>
      <c r="V4451" s="8"/>
      <c r="W4451" s="8"/>
      <c r="X4451" s="8"/>
      <c r="Y4451" s="8"/>
      <c r="Z4451" s="8"/>
      <c r="AA4451" s="8"/>
      <c r="AB4451" s="8"/>
      <c r="AC4451" s="8">
        <v>2.81</v>
      </c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11"/>
      <c r="AQ4451" s="8"/>
      <c r="AR4451" s="8"/>
      <c r="AS4451" s="8"/>
      <c r="AT4451" s="8">
        <v>472.51</v>
      </c>
      <c r="AU4451" s="8"/>
      <c r="AV4451" s="8"/>
      <c r="AW4451" s="8"/>
      <c r="AX4451" s="8"/>
      <c r="AY4451" s="8"/>
      <c r="AZ4451" s="8"/>
      <c r="BA4451" s="8"/>
      <c r="BB4451" s="8"/>
      <c r="BC4451" s="8"/>
      <c r="BD4451" s="8"/>
      <c r="BE4451" s="8"/>
      <c r="BF4451" s="8">
        <v>91.49</v>
      </c>
      <c r="BG4451" s="8">
        <v>36.17</v>
      </c>
      <c r="BH4451" s="9">
        <f t="shared" si="621"/>
        <v>701.92</v>
      </c>
      <c r="BI4451" s="9">
        <f t="shared" si="622"/>
        <v>1.76</v>
      </c>
      <c r="BJ4451" s="9">
        <f t="shared" si="623"/>
        <v>4.01</v>
      </c>
      <c r="BK4451" s="9">
        <f t="shared" si="624"/>
        <v>11.25</v>
      </c>
      <c r="BL4451" s="9">
        <f t="shared" si="625"/>
        <v>0</v>
      </c>
      <c r="BM4451" s="9">
        <f t="shared" si="626"/>
        <v>2.81</v>
      </c>
      <c r="BN4451" s="9">
        <f t="shared" si="627"/>
        <v>472.51</v>
      </c>
      <c r="BO4451" s="9">
        <f t="shared" si="628"/>
        <v>0</v>
      </c>
      <c r="BP4451" s="9">
        <f t="shared" si="629"/>
        <v>91.49</v>
      </c>
    </row>
    <row r="4452" spans="1:68">
      <c r="A4452" s="6">
        <v>45383</v>
      </c>
      <c r="B4452" s="7">
        <v>3601</v>
      </c>
      <c r="C4452" s="8">
        <v>297.81</v>
      </c>
      <c r="D4452" s="8"/>
      <c r="E4452" s="8"/>
      <c r="F4452" s="8"/>
      <c r="G4452" s="8">
        <v>446.36</v>
      </c>
      <c r="H4452" s="8"/>
      <c r="I4452" s="8"/>
      <c r="J4452" s="8"/>
      <c r="K4452" s="8"/>
      <c r="L4452" s="8"/>
      <c r="M4452" s="8">
        <v>0.9</v>
      </c>
      <c r="N4452" s="8"/>
      <c r="O4452" s="8"/>
      <c r="P4452" s="8"/>
      <c r="Q4452" s="11"/>
      <c r="R4452" s="11"/>
      <c r="S4452" s="8">
        <v>3.57</v>
      </c>
      <c r="T4452" s="8"/>
      <c r="U4452" s="8">
        <v>4.47</v>
      </c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11"/>
      <c r="AQ4452" s="8"/>
      <c r="AR4452" s="8"/>
      <c r="AS4452" s="8"/>
      <c r="AT4452" s="8">
        <v>364.54</v>
      </c>
      <c r="AU4452" s="8"/>
      <c r="AV4452" s="8"/>
      <c r="AW4452" s="8">
        <v>22.64</v>
      </c>
      <c r="AX4452" s="8"/>
      <c r="AY4452" s="8"/>
      <c r="AZ4452" s="8"/>
      <c r="BA4452" s="8"/>
      <c r="BB4452" s="8"/>
      <c r="BC4452" s="8"/>
      <c r="BD4452" s="8"/>
      <c r="BE4452" s="8"/>
      <c r="BF4452" s="8">
        <v>41.69</v>
      </c>
      <c r="BG4452" s="8">
        <v>26.58</v>
      </c>
      <c r="BH4452" s="9">
        <f t="shared" si="621"/>
        <v>744.17000000000007</v>
      </c>
      <c r="BI4452" s="9">
        <f t="shared" si="622"/>
        <v>0.9</v>
      </c>
      <c r="BJ4452" s="9">
        <f t="shared" si="623"/>
        <v>3.57</v>
      </c>
      <c r="BK4452" s="9">
        <f t="shared" si="624"/>
        <v>4.47</v>
      </c>
      <c r="BL4452" s="9">
        <f t="shared" si="625"/>
        <v>0</v>
      </c>
      <c r="BM4452" s="9">
        <f t="shared" si="626"/>
        <v>0</v>
      </c>
      <c r="BN4452" s="9">
        <f t="shared" si="627"/>
        <v>364.54</v>
      </c>
      <c r="BO4452" s="9">
        <f t="shared" si="628"/>
        <v>22.64</v>
      </c>
      <c r="BP4452" s="9">
        <f t="shared" si="629"/>
        <v>41.69</v>
      </c>
    </row>
    <row r="4453" spans="1:68">
      <c r="A4453" s="6">
        <v>45383</v>
      </c>
      <c r="B4453" s="7">
        <v>3602</v>
      </c>
      <c r="C4453" s="8">
        <v>558.29</v>
      </c>
      <c r="D4453" s="8"/>
      <c r="E4453" s="8"/>
      <c r="F4453" s="8"/>
      <c r="G4453" s="8">
        <v>839.2</v>
      </c>
      <c r="H4453" s="8"/>
      <c r="I4453" s="8"/>
      <c r="J4453" s="8"/>
      <c r="K4453" s="8"/>
      <c r="L4453" s="8"/>
      <c r="M4453" s="8">
        <v>1.69</v>
      </c>
      <c r="N4453" s="8"/>
      <c r="O4453" s="8"/>
      <c r="P4453" s="8"/>
      <c r="Q4453" s="11"/>
      <c r="R4453" s="11"/>
      <c r="S4453" s="8">
        <v>6.71</v>
      </c>
      <c r="T4453" s="8"/>
      <c r="U4453" s="8">
        <v>11.22</v>
      </c>
      <c r="V4453" s="8">
        <f>860*16/1000</f>
        <v>13.76</v>
      </c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11"/>
      <c r="AQ4453" s="8"/>
      <c r="AR4453" s="8"/>
      <c r="AS4453" s="8"/>
      <c r="AT4453" s="8">
        <v>564.38</v>
      </c>
      <c r="AU4453" s="8"/>
      <c r="AV4453" s="8"/>
      <c r="AW4453" s="8">
        <v>36.19</v>
      </c>
      <c r="AX4453" s="8"/>
      <c r="AY4453" s="8"/>
      <c r="AZ4453" s="8"/>
      <c r="BA4453" s="8"/>
      <c r="BB4453" s="8"/>
      <c r="BC4453" s="8"/>
      <c r="BD4453" s="8"/>
      <c r="BE4453" s="8"/>
      <c r="BF4453" s="8">
        <v>44.85</v>
      </c>
      <c r="BG4453" s="8">
        <v>41.53</v>
      </c>
      <c r="BH4453" s="9">
        <f t="shared" si="621"/>
        <v>1397.49</v>
      </c>
      <c r="BI4453" s="9">
        <f t="shared" si="622"/>
        <v>1.69</v>
      </c>
      <c r="BJ4453" s="9">
        <f t="shared" si="623"/>
        <v>6.71</v>
      </c>
      <c r="BK4453" s="9">
        <f t="shared" si="624"/>
        <v>24.98</v>
      </c>
      <c r="BL4453" s="9">
        <f t="shared" si="625"/>
        <v>0</v>
      </c>
      <c r="BM4453" s="9">
        <f t="shared" si="626"/>
        <v>0</v>
      </c>
      <c r="BN4453" s="9">
        <f t="shared" si="627"/>
        <v>564.38</v>
      </c>
      <c r="BO4453" s="9">
        <f t="shared" si="628"/>
        <v>36.19</v>
      </c>
      <c r="BP4453" s="9">
        <f t="shared" si="629"/>
        <v>44.85</v>
      </c>
    </row>
    <row r="4454" spans="1:68">
      <c r="A4454" s="6">
        <v>45383</v>
      </c>
      <c r="B4454" s="7">
        <v>3141</v>
      </c>
      <c r="C4454" s="8">
        <v>2406.21</v>
      </c>
      <c r="D4454" s="8">
        <v>424.88</v>
      </c>
      <c r="E4454" s="8"/>
      <c r="F4454" s="8"/>
      <c r="G4454" s="8"/>
      <c r="H4454" s="8"/>
      <c r="I4454" s="8"/>
      <c r="J4454" s="8"/>
      <c r="K4454" s="8"/>
      <c r="L4454" s="8"/>
      <c r="M4454" s="8">
        <v>7.69</v>
      </c>
      <c r="N4454" s="8"/>
      <c r="O4454" s="8"/>
      <c r="P4454" s="8"/>
      <c r="Q4454" s="11"/>
      <c r="R4454" s="11"/>
      <c r="S4454" s="8">
        <v>13.33</v>
      </c>
      <c r="T4454" s="8"/>
      <c r="U4454" s="8">
        <v>42.51</v>
      </c>
      <c r="V4454" s="8"/>
      <c r="W4454" s="8"/>
      <c r="X4454" s="8"/>
      <c r="Y4454" s="8"/>
      <c r="Z4454" s="8"/>
      <c r="AA4454" s="8"/>
      <c r="AB4454" s="8"/>
      <c r="AC4454" s="8">
        <v>11.35</v>
      </c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11"/>
      <c r="AQ4454" s="8"/>
      <c r="AR4454" s="8"/>
      <c r="AS4454" s="8"/>
      <c r="AT4454" s="8">
        <v>1871</v>
      </c>
      <c r="AU4454" s="8"/>
      <c r="AV4454" s="8"/>
      <c r="AW4454" s="8"/>
      <c r="AX4454" s="8"/>
      <c r="AY4454" s="8"/>
      <c r="AZ4454" s="8"/>
      <c r="BA4454" s="8">
        <v>64.95</v>
      </c>
      <c r="BB4454" s="8"/>
      <c r="BC4454" s="8"/>
      <c r="BD4454" s="8"/>
      <c r="BE4454" s="8"/>
      <c r="BF4454" s="8">
        <v>198.42</v>
      </c>
      <c r="BG4454" s="8">
        <v>146.82</v>
      </c>
      <c r="BH4454" s="9">
        <f t="shared" si="621"/>
        <v>2831.09</v>
      </c>
      <c r="BI4454" s="9">
        <f t="shared" si="622"/>
        <v>7.69</v>
      </c>
      <c r="BJ4454" s="9">
        <f t="shared" si="623"/>
        <v>13.33</v>
      </c>
      <c r="BK4454" s="9">
        <f t="shared" si="624"/>
        <v>42.51</v>
      </c>
      <c r="BL4454" s="9">
        <f t="shared" si="625"/>
        <v>0</v>
      </c>
      <c r="BM4454" s="9">
        <f t="shared" si="626"/>
        <v>11.35</v>
      </c>
      <c r="BN4454" s="9">
        <f t="shared" si="627"/>
        <v>1871</v>
      </c>
      <c r="BO4454" s="9">
        <f t="shared" si="628"/>
        <v>64.95</v>
      </c>
      <c r="BP4454" s="9">
        <f t="shared" si="629"/>
        <v>198.42</v>
      </c>
    </row>
    <row r="4455" spans="1:68">
      <c r="A4455" s="6">
        <v>45383</v>
      </c>
      <c r="B4455" s="7">
        <v>3108</v>
      </c>
      <c r="C4455" s="8">
        <v>2237.59</v>
      </c>
      <c r="D4455" s="8"/>
      <c r="E4455" s="8"/>
      <c r="F4455" s="8"/>
      <c r="G4455" s="8"/>
      <c r="H4455" s="8"/>
      <c r="I4455" s="8"/>
      <c r="J4455" s="8"/>
      <c r="K4455" s="8"/>
      <c r="L4455" s="8"/>
      <c r="M4455" s="8">
        <v>5.61</v>
      </c>
      <c r="N4455" s="8"/>
      <c r="O4455" s="8"/>
      <c r="P4455" s="8"/>
      <c r="Q4455" s="11"/>
      <c r="R4455" s="11"/>
      <c r="S4455" s="8">
        <v>7.19</v>
      </c>
      <c r="T4455" s="8"/>
      <c r="U4455" s="8">
        <v>28.52</v>
      </c>
      <c r="V4455" s="8"/>
      <c r="W4455" s="8"/>
      <c r="X4455" s="8"/>
      <c r="Y4455" s="8"/>
      <c r="Z4455" s="8"/>
      <c r="AA4455" s="8"/>
      <c r="AB4455" s="8"/>
      <c r="AC4455" s="8">
        <v>8.9499999999999993</v>
      </c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11"/>
      <c r="AQ4455" s="8"/>
      <c r="AR4455" s="8"/>
      <c r="AS4455" s="8"/>
      <c r="AT4455" s="8">
        <v>1219.55</v>
      </c>
      <c r="AU4455" s="8"/>
      <c r="AV4455" s="8"/>
      <c r="AW4455" s="8"/>
      <c r="AX4455" s="8"/>
      <c r="AY4455" s="8"/>
      <c r="AZ4455" s="8"/>
      <c r="BA4455" s="8">
        <v>83.33</v>
      </c>
      <c r="BB4455" s="8"/>
      <c r="BC4455" s="8"/>
      <c r="BD4455" s="8"/>
      <c r="BE4455" s="8"/>
      <c r="BF4455" s="8"/>
      <c r="BG4455" s="8">
        <v>90.7</v>
      </c>
      <c r="BH4455" s="9">
        <f t="shared" si="621"/>
        <v>2237.59</v>
      </c>
      <c r="BI4455" s="9">
        <f t="shared" si="622"/>
        <v>5.61</v>
      </c>
      <c r="BJ4455" s="9">
        <f t="shared" si="623"/>
        <v>7.19</v>
      </c>
      <c r="BK4455" s="9">
        <f t="shared" si="624"/>
        <v>28.52</v>
      </c>
      <c r="BL4455" s="9">
        <f t="shared" si="625"/>
        <v>0</v>
      </c>
      <c r="BM4455" s="9">
        <f t="shared" si="626"/>
        <v>8.9499999999999993</v>
      </c>
      <c r="BN4455" s="9">
        <f t="shared" si="627"/>
        <v>1219.55</v>
      </c>
      <c r="BO4455" s="9">
        <f t="shared" si="628"/>
        <v>83.33</v>
      </c>
      <c r="BP4455" s="9">
        <f t="shared" si="629"/>
        <v>0</v>
      </c>
    </row>
    <row r="4456" spans="1:68">
      <c r="A4456" s="6">
        <v>45383</v>
      </c>
      <c r="B4456" s="7">
        <v>3106</v>
      </c>
      <c r="C4456" s="8">
        <v>6133.71</v>
      </c>
      <c r="D4456" s="8"/>
      <c r="E4456" s="8"/>
      <c r="F4456" s="8"/>
      <c r="G4456" s="8"/>
      <c r="H4456" s="8"/>
      <c r="I4456" s="8"/>
      <c r="J4456" s="8"/>
      <c r="K4456" s="8"/>
      <c r="L4456" s="8"/>
      <c r="M4456" s="8">
        <v>15.34</v>
      </c>
      <c r="N4456" s="8"/>
      <c r="O4456" s="8"/>
      <c r="P4456" s="8"/>
      <c r="Q4456" s="11"/>
      <c r="R4456" s="11"/>
      <c r="S4456" s="8">
        <v>18.420000000000002</v>
      </c>
      <c r="T4456" s="8"/>
      <c r="U4456" s="8">
        <v>77.94</v>
      </c>
      <c r="V4456" s="8"/>
      <c r="W4456" s="8"/>
      <c r="X4456" s="8"/>
      <c r="Y4456" s="8"/>
      <c r="Z4456" s="8"/>
      <c r="AA4456" s="8"/>
      <c r="AB4456" s="8"/>
      <c r="AC4456" s="8">
        <v>15.34</v>
      </c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11"/>
      <c r="AQ4456" s="8"/>
      <c r="AR4456" s="8"/>
      <c r="AS4456" s="8"/>
      <c r="AT4456" s="8">
        <v>3493.22</v>
      </c>
      <c r="AU4456" s="8"/>
      <c r="AV4456" s="8"/>
      <c r="AW4456" s="8"/>
      <c r="AX4456" s="8">
        <v>7.66</v>
      </c>
      <c r="AY4456" s="8"/>
      <c r="AZ4456" s="8"/>
      <c r="BA4456" s="8"/>
      <c r="BB4456" s="8"/>
      <c r="BC4456" s="8"/>
      <c r="BD4456" s="8"/>
      <c r="BE4456" s="8"/>
      <c r="BF4456" s="8"/>
      <c r="BG4456" s="8">
        <v>263.75</v>
      </c>
      <c r="BH4456" s="9">
        <f t="shared" si="621"/>
        <v>6133.71</v>
      </c>
      <c r="BI4456" s="9">
        <f t="shared" si="622"/>
        <v>15.34</v>
      </c>
      <c r="BJ4456" s="9">
        <f t="shared" si="623"/>
        <v>18.420000000000002</v>
      </c>
      <c r="BK4456" s="9">
        <f t="shared" si="624"/>
        <v>77.94</v>
      </c>
      <c r="BL4456" s="9">
        <f t="shared" si="625"/>
        <v>0</v>
      </c>
      <c r="BM4456" s="9">
        <f t="shared" si="626"/>
        <v>15.34</v>
      </c>
      <c r="BN4456" s="9">
        <f t="shared" si="627"/>
        <v>3493.22</v>
      </c>
      <c r="BO4456" s="9">
        <f t="shared" si="628"/>
        <v>7.66</v>
      </c>
      <c r="BP4456" s="9">
        <f t="shared" si="629"/>
        <v>0</v>
      </c>
    </row>
    <row r="4457" spans="1:68">
      <c r="A4457" s="6">
        <v>45383</v>
      </c>
      <c r="B4457" s="7">
        <v>3203</v>
      </c>
      <c r="C4457" s="8">
        <v>1665.31</v>
      </c>
      <c r="D4457" s="8"/>
      <c r="E4457" s="8">
        <v>715.16</v>
      </c>
      <c r="F4457" s="8"/>
      <c r="G4457" s="8"/>
      <c r="H4457" s="8"/>
      <c r="I4457" s="8"/>
      <c r="J4457" s="8"/>
      <c r="K4457" s="8"/>
      <c r="L4457" s="8"/>
      <c r="M4457" s="8"/>
      <c r="N4457" s="8"/>
      <c r="O4457" s="8">
        <v>7.16</v>
      </c>
      <c r="P4457" s="8"/>
      <c r="Q4457" s="11"/>
      <c r="R4457" s="11"/>
      <c r="S4457" s="8">
        <v>9.75</v>
      </c>
      <c r="T4457" s="8"/>
      <c r="U4457" s="8">
        <v>29.54</v>
      </c>
      <c r="V4457" s="8"/>
      <c r="W4457" s="8"/>
      <c r="X4457" s="8"/>
      <c r="Y4457" s="8"/>
      <c r="Z4457" s="8">
        <v>375.2</v>
      </c>
      <c r="AA4457" s="8">
        <f>10528*28.03/1000</f>
        <v>295.09984000000003</v>
      </c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11"/>
      <c r="AQ4457" s="8"/>
      <c r="AR4457" s="8"/>
      <c r="AS4457" s="8"/>
      <c r="AT4457" s="8">
        <v>890.35</v>
      </c>
      <c r="AU4457" s="8">
        <v>445.49</v>
      </c>
      <c r="AV4457" s="8"/>
      <c r="AW4457" s="8"/>
      <c r="AX4457" s="8"/>
      <c r="AY4457" s="8"/>
      <c r="AZ4457" s="8"/>
      <c r="BA4457" s="8"/>
      <c r="BB4457" s="8"/>
      <c r="BC4457" s="8">
        <v>6.2</v>
      </c>
      <c r="BD4457" s="8"/>
      <c r="BE4457" s="8"/>
      <c r="BF4457" s="8"/>
      <c r="BG4457" s="8">
        <v>87.09</v>
      </c>
      <c r="BH4457" s="9">
        <f t="shared" si="621"/>
        <v>2380.4699999999998</v>
      </c>
      <c r="BI4457" s="9">
        <f t="shared" si="622"/>
        <v>7.16</v>
      </c>
      <c r="BJ4457" s="9">
        <f t="shared" si="623"/>
        <v>9.75</v>
      </c>
      <c r="BK4457" s="9">
        <f t="shared" si="624"/>
        <v>29.54</v>
      </c>
      <c r="BL4457" s="9">
        <f t="shared" si="625"/>
        <v>670.29984000000002</v>
      </c>
      <c r="BM4457" s="9">
        <f t="shared" si="626"/>
        <v>0</v>
      </c>
      <c r="BN4457" s="9">
        <f t="shared" si="627"/>
        <v>1335.8400000000001</v>
      </c>
      <c r="BO4457" s="9">
        <f t="shared" si="628"/>
        <v>6.2</v>
      </c>
      <c r="BP4457" s="9">
        <f t="shared" si="629"/>
        <v>0</v>
      </c>
    </row>
    <row r="4458" spans="1:68">
      <c r="A4458" s="6">
        <v>45384</v>
      </c>
      <c r="B4458" s="7">
        <v>3145</v>
      </c>
      <c r="C4458" s="8">
        <v>1238.1400000000001</v>
      </c>
      <c r="D4458" s="8">
        <v>218.19</v>
      </c>
      <c r="E4458" s="8"/>
      <c r="F4458" s="8"/>
      <c r="G4458" s="8"/>
      <c r="H4458" s="8"/>
      <c r="I4458" s="8"/>
      <c r="J4458" s="8"/>
      <c r="K4458" s="8"/>
      <c r="L4458" s="8"/>
      <c r="M4458" s="8">
        <v>4.2300000000000004</v>
      </c>
      <c r="N4458" s="8"/>
      <c r="O4458" s="8"/>
      <c r="P4458" s="8"/>
      <c r="Q4458" s="11"/>
      <c r="R4458" s="11"/>
      <c r="S4458" s="8">
        <v>6.84</v>
      </c>
      <c r="T4458" s="8"/>
      <c r="U4458" s="8">
        <v>21.83</v>
      </c>
      <c r="V4458" s="8"/>
      <c r="W4458" s="8"/>
      <c r="X4458" s="8"/>
      <c r="Y4458" s="8"/>
      <c r="Z4458" s="8"/>
      <c r="AA4458" s="8"/>
      <c r="AB4458" s="8"/>
      <c r="AC4458" s="8">
        <v>5.82</v>
      </c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11"/>
      <c r="AQ4458" s="8"/>
      <c r="AR4458" s="8"/>
      <c r="AS4458" s="8"/>
      <c r="AT4458" s="8">
        <v>963.2</v>
      </c>
      <c r="AU4458" s="8"/>
      <c r="AV4458" s="8"/>
      <c r="AW4458" s="8"/>
      <c r="AX4458" s="8"/>
      <c r="AY4458" s="8"/>
      <c r="AZ4458" s="8"/>
      <c r="BA4458" s="8"/>
      <c r="BB4458" s="8"/>
      <c r="BC4458" s="8"/>
      <c r="BD4458" s="8">
        <v>3.64</v>
      </c>
      <c r="BE4458" s="8">
        <f>1372*9.68/1000</f>
        <v>13.280959999999999</v>
      </c>
      <c r="BF4458" s="8">
        <v>101.82</v>
      </c>
      <c r="BG4458" s="8">
        <v>75.760000000000005</v>
      </c>
      <c r="BH4458" s="9">
        <f t="shared" si="621"/>
        <v>1456.3300000000002</v>
      </c>
      <c r="BI4458" s="9">
        <f t="shared" si="622"/>
        <v>4.2300000000000004</v>
      </c>
      <c r="BJ4458" s="9">
        <f t="shared" si="623"/>
        <v>6.84</v>
      </c>
      <c r="BK4458" s="9">
        <f t="shared" si="624"/>
        <v>21.83</v>
      </c>
      <c r="BL4458" s="9">
        <f t="shared" si="625"/>
        <v>0</v>
      </c>
      <c r="BM4458" s="9">
        <f t="shared" si="626"/>
        <v>5.82</v>
      </c>
      <c r="BN4458" s="9">
        <f t="shared" si="627"/>
        <v>963.2</v>
      </c>
      <c r="BO4458" s="9">
        <f t="shared" si="628"/>
        <v>16.920959999999997</v>
      </c>
      <c r="BP4458" s="9">
        <f t="shared" si="629"/>
        <v>101.82</v>
      </c>
    </row>
    <row r="4459" spans="1:68">
      <c r="A4459" s="6">
        <v>45384</v>
      </c>
      <c r="B4459" s="7">
        <v>3106</v>
      </c>
      <c r="C4459" s="8">
        <v>12157.89</v>
      </c>
      <c r="D4459" s="8"/>
      <c r="E4459" s="8"/>
      <c r="F4459" s="8"/>
      <c r="G4459" s="8"/>
      <c r="H4459" s="8"/>
      <c r="I4459" s="8"/>
      <c r="J4459" s="8"/>
      <c r="K4459" s="8"/>
      <c r="L4459" s="8"/>
      <c r="M4459" s="8">
        <v>31.96</v>
      </c>
      <c r="N4459" s="8"/>
      <c r="O4459" s="8"/>
      <c r="P4459" s="8"/>
      <c r="Q4459" s="11"/>
      <c r="R4459" s="11"/>
      <c r="S4459" s="8">
        <v>36.54</v>
      </c>
      <c r="T4459" s="8"/>
      <c r="U4459" s="8">
        <v>154.54</v>
      </c>
      <c r="V4459" s="8"/>
      <c r="W4459" s="8"/>
      <c r="X4459" s="8"/>
      <c r="Y4459" s="8"/>
      <c r="Z4459" s="8"/>
      <c r="AA4459" s="8"/>
      <c r="AB4459" s="8"/>
      <c r="AC4459" s="8">
        <v>30.38</v>
      </c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11"/>
      <c r="AQ4459" s="8"/>
      <c r="AR4459" s="8"/>
      <c r="AS4459" s="8"/>
      <c r="AT4459" s="8">
        <v>6925.94</v>
      </c>
      <c r="AU4459" s="8"/>
      <c r="AV4459" s="8"/>
      <c r="AW4459" s="8"/>
      <c r="AX4459" s="8">
        <v>15.2</v>
      </c>
      <c r="AY4459" s="8"/>
      <c r="AZ4459" s="8"/>
      <c r="BA4459" s="8"/>
      <c r="BB4459" s="8"/>
      <c r="BC4459" s="8"/>
      <c r="BD4459" s="8"/>
      <c r="BE4459" s="8"/>
      <c r="BF4459" s="8"/>
      <c r="BG4459" s="8">
        <v>522.24</v>
      </c>
      <c r="BH4459" s="9">
        <f t="shared" si="621"/>
        <v>12157.89</v>
      </c>
      <c r="BI4459" s="9">
        <f t="shared" si="622"/>
        <v>31.96</v>
      </c>
      <c r="BJ4459" s="9">
        <f t="shared" si="623"/>
        <v>36.54</v>
      </c>
      <c r="BK4459" s="9">
        <f t="shared" si="624"/>
        <v>154.54</v>
      </c>
      <c r="BL4459" s="9">
        <f t="shared" si="625"/>
        <v>0</v>
      </c>
      <c r="BM4459" s="9">
        <f t="shared" si="626"/>
        <v>30.38</v>
      </c>
      <c r="BN4459" s="9">
        <f t="shared" si="627"/>
        <v>6925.94</v>
      </c>
      <c r="BO4459" s="9">
        <f t="shared" si="628"/>
        <v>15.2</v>
      </c>
      <c r="BP4459" s="9">
        <f t="shared" si="629"/>
        <v>0</v>
      </c>
    </row>
    <row r="4460" spans="1:68">
      <c r="A4460" s="6">
        <v>45384</v>
      </c>
      <c r="B4460" s="7">
        <v>3127</v>
      </c>
      <c r="C4460" s="8">
        <v>1076.9100000000001</v>
      </c>
      <c r="D4460" s="8"/>
      <c r="E4460" s="8"/>
      <c r="F4460" s="8"/>
      <c r="G4460" s="8"/>
      <c r="H4460" s="8"/>
      <c r="I4460" s="8"/>
      <c r="J4460" s="8"/>
      <c r="K4460" s="8"/>
      <c r="L4460" s="8"/>
      <c r="M4460" s="8">
        <v>3</v>
      </c>
      <c r="N4460" s="8"/>
      <c r="O4460" s="8"/>
      <c r="P4460" s="8"/>
      <c r="Q4460" s="11"/>
      <c r="R4460" s="11"/>
      <c r="S4460" s="8">
        <v>5.16</v>
      </c>
      <c r="T4460" s="8"/>
      <c r="U4460" s="8">
        <v>10.72</v>
      </c>
      <c r="V4460" s="8"/>
      <c r="W4460" s="8"/>
      <c r="X4460" s="8"/>
      <c r="Y4460" s="8"/>
      <c r="Z4460" s="8">
        <v>161.43</v>
      </c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11"/>
      <c r="AQ4460" s="8"/>
      <c r="AR4460" s="8"/>
      <c r="AS4460" s="8"/>
      <c r="AT4460" s="8">
        <v>529.17999999999995</v>
      </c>
      <c r="AU4460" s="8"/>
      <c r="AV4460" s="8">
        <v>21.56</v>
      </c>
      <c r="AW4460" s="8"/>
      <c r="AX4460" s="8"/>
      <c r="AY4460" s="8"/>
      <c r="AZ4460" s="8"/>
      <c r="BA4460" s="8"/>
      <c r="BB4460" s="8"/>
      <c r="BC4460" s="8"/>
      <c r="BD4460" s="8"/>
      <c r="BE4460" s="8"/>
      <c r="BF4460" s="8">
        <v>53.84</v>
      </c>
      <c r="BG4460" s="8">
        <v>37.729999999999997</v>
      </c>
      <c r="BH4460" s="9">
        <f t="shared" si="621"/>
        <v>1076.9100000000001</v>
      </c>
      <c r="BI4460" s="9">
        <f t="shared" si="622"/>
        <v>3</v>
      </c>
      <c r="BJ4460" s="9">
        <f t="shared" si="623"/>
        <v>5.16</v>
      </c>
      <c r="BK4460" s="9">
        <f t="shared" si="624"/>
        <v>10.72</v>
      </c>
      <c r="BL4460" s="9">
        <f t="shared" si="625"/>
        <v>161.43</v>
      </c>
      <c r="BM4460" s="9">
        <f t="shared" si="626"/>
        <v>0</v>
      </c>
      <c r="BN4460" s="9">
        <f t="shared" si="627"/>
        <v>529.17999999999995</v>
      </c>
      <c r="BO4460" s="9">
        <f t="shared" si="628"/>
        <v>21.56</v>
      </c>
      <c r="BP4460" s="9">
        <f t="shared" si="629"/>
        <v>53.84</v>
      </c>
    </row>
    <row r="4461" spans="1:68">
      <c r="A4461" s="6">
        <v>45384</v>
      </c>
      <c r="B4461" s="7">
        <v>3029</v>
      </c>
      <c r="C4461" s="8"/>
      <c r="D4461" s="8">
        <v>672.98</v>
      </c>
      <c r="E4461" s="8"/>
      <c r="F4461" s="8">
        <v>475.35</v>
      </c>
      <c r="G4461" s="8"/>
      <c r="H4461" s="8"/>
      <c r="I4461" s="8">
        <v>2808.93</v>
      </c>
      <c r="J4461" s="8"/>
      <c r="K4461" s="8"/>
      <c r="L4461" s="8"/>
      <c r="M4461" s="8"/>
      <c r="N4461" s="8">
        <v>31.68</v>
      </c>
      <c r="O4461" s="8"/>
      <c r="P4461" s="8"/>
      <c r="Q4461" s="11"/>
      <c r="R4461" s="11"/>
      <c r="S4461" s="8">
        <v>2.37</v>
      </c>
      <c r="T4461" s="8"/>
      <c r="U4461" s="8"/>
      <c r="V4461" s="8"/>
      <c r="W4461" s="8">
        <v>39.58</v>
      </c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>
        <v>13.85</v>
      </c>
      <c r="AN4461" s="8">
        <f>765*26.4/1000</f>
        <v>20.196000000000002</v>
      </c>
      <c r="AO4461" s="8"/>
      <c r="AP4461" s="11"/>
      <c r="AQ4461" s="8"/>
      <c r="AR4461" s="8">
        <f>4618*26.4/1000</f>
        <v>121.9152</v>
      </c>
      <c r="AS4461" s="8"/>
      <c r="AT4461" s="8">
        <v>1503.37</v>
      </c>
      <c r="AU4461" s="8"/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  <c r="BF4461" s="8"/>
      <c r="BG4461" s="8">
        <v>104.91</v>
      </c>
      <c r="BH4461" s="9">
        <f t="shared" si="621"/>
        <v>3957.2599999999998</v>
      </c>
      <c r="BI4461" s="9">
        <f t="shared" si="622"/>
        <v>31.68</v>
      </c>
      <c r="BJ4461" s="9">
        <f t="shared" si="623"/>
        <v>2.37</v>
      </c>
      <c r="BK4461" s="9">
        <f t="shared" si="624"/>
        <v>39.58</v>
      </c>
      <c r="BL4461" s="9">
        <f t="shared" si="625"/>
        <v>0</v>
      </c>
      <c r="BM4461" s="9">
        <f t="shared" si="626"/>
        <v>155.96119999999999</v>
      </c>
      <c r="BN4461" s="9">
        <f t="shared" si="627"/>
        <v>1503.37</v>
      </c>
      <c r="BO4461" s="9">
        <f t="shared" si="628"/>
        <v>0</v>
      </c>
      <c r="BP4461" s="9">
        <f t="shared" si="629"/>
        <v>0</v>
      </c>
    </row>
    <row r="4462" spans="1:68">
      <c r="A4462" s="6">
        <v>45384</v>
      </c>
      <c r="B4462" s="7">
        <v>3016</v>
      </c>
      <c r="C4462" s="8"/>
      <c r="D4462" s="8">
        <v>1569.61</v>
      </c>
      <c r="E4462" s="8"/>
      <c r="F4462" s="8"/>
      <c r="G4462" s="8"/>
      <c r="H4462" s="8"/>
      <c r="I4462" s="8">
        <v>1450.57</v>
      </c>
      <c r="J4462" s="8"/>
      <c r="K4462" s="8"/>
      <c r="L4462" s="8"/>
      <c r="M4462" s="8"/>
      <c r="N4462" s="8">
        <v>19.329999999999998</v>
      </c>
      <c r="O4462" s="8"/>
      <c r="P4462" s="8"/>
      <c r="Q4462" s="11"/>
      <c r="R4462" s="11"/>
      <c r="S4462" s="8">
        <v>2.11</v>
      </c>
      <c r="T4462" s="8"/>
      <c r="U4462" s="8"/>
      <c r="V4462" s="8"/>
      <c r="W4462" s="8">
        <v>30.23</v>
      </c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>
        <v>12.07</v>
      </c>
      <c r="AN4462" s="8">
        <f>2053*17.77/1000</f>
        <v>36.481809999999996</v>
      </c>
      <c r="AO4462" s="8"/>
      <c r="AP4462" s="11"/>
      <c r="AQ4462" s="8"/>
      <c r="AR4462" s="8">
        <f>4293*17.77/1000</f>
        <v>76.286609999999996</v>
      </c>
      <c r="AS4462" s="8"/>
      <c r="AT4462" s="8">
        <v>1123.54</v>
      </c>
      <c r="AU4462" s="8"/>
      <c r="AV4462" s="8"/>
      <c r="AW4462" s="8"/>
      <c r="AX4462" s="8"/>
      <c r="AY4462" s="8"/>
      <c r="AZ4462" s="8"/>
      <c r="BA4462" s="8"/>
      <c r="BB4462" s="8"/>
      <c r="BC4462" s="8"/>
      <c r="BD4462" s="8"/>
      <c r="BE4462" s="8"/>
      <c r="BF4462" s="8"/>
      <c r="BG4462" s="8">
        <v>82.53</v>
      </c>
      <c r="BH4462" s="9">
        <f t="shared" si="621"/>
        <v>3020.18</v>
      </c>
      <c r="BI4462" s="9">
        <f t="shared" si="622"/>
        <v>19.329999999999998</v>
      </c>
      <c r="BJ4462" s="9">
        <f t="shared" si="623"/>
        <v>2.11</v>
      </c>
      <c r="BK4462" s="9">
        <f t="shared" si="624"/>
        <v>30.23</v>
      </c>
      <c r="BL4462" s="9">
        <f t="shared" si="625"/>
        <v>0</v>
      </c>
      <c r="BM4462" s="9">
        <f t="shared" si="626"/>
        <v>124.83841999999999</v>
      </c>
      <c r="BN4462" s="9">
        <f t="shared" si="627"/>
        <v>1123.54</v>
      </c>
      <c r="BO4462" s="9">
        <f t="shared" si="628"/>
        <v>0</v>
      </c>
      <c r="BP4462" s="9">
        <f t="shared" si="629"/>
        <v>0</v>
      </c>
    </row>
    <row r="4463" spans="1:68">
      <c r="A4463" s="6">
        <v>45384</v>
      </c>
      <c r="B4463" s="7">
        <v>3005</v>
      </c>
      <c r="C4463" s="8">
        <v>409.62</v>
      </c>
      <c r="D4463" s="8">
        <v>274.08999999999997</v>
      </c>
      <c r="E4463" s="8"/>
      <c r="F4463" s="8"/>
      <c r="G4463" s="8"/>
      <c r="H4463" s="8"/>
      <c r="I4463" s="8"/>
      <c r="J4463" s="8"/>
      <c r="K4463" s="8"/>
      <c r="L4463" s="8"/>
      <c r="M4463" s="8"/>
      <c r="N4463" s="8">
        <v>0.68</v>
      </c>
      <c r="O4463" s="8"/>
      <c r="P4463" s="8"/>
      <c r="Q4463" s="11"/>
      <c r="R4463" s="11"/>
      <c r="S4463" s="8">
        <v>2.39</v>
      </c>
      <c r="T4463" s="8"/>
      <c r="U4463" s="8"/>
      <c r="V4463" s="8"/>
      <c r="W4463" s="8">
        <v>7.54</v>
      </c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11"/>
      <c r="AQ4463" s="8"/>
      <c r="AR4463" s="8"/>
      <c r="AS4463" s="8"/>
      <c r="AT4463" s="8">
        <v>335.18</v>
      </c>
      <c r="AU4463" s="8"/>
      <c r="AV4463" s="8"/>
      <c r="AW4463" s="8">
        <v>7.6</v>
      </c>
      <c r="AX4463" s="8"/>
      <c r="AY4463" s="8"/>
      <c r="AZ4463" s="8"/>
      <c r="BA4463" s="8"/>
      <c r="BB4463" s="8"/>
      <c r="BC4463" s="8"/>
      <c r="BD4463" s="8"/>
      <c r="BE4463" s="8"/>
      <c r="BF4463" s="8"/>
      <c r="BG4463" s="8">
        <v>24.96</v>
      </c>
      <c r="BH4463" s="9">
        <f t="shared" si="621"/>
        <v>683.71</v>
      </c>
      <c r="BI4463" s="9">
        <f t="shared" si="622"/>
        <v>0.68</v>
      </c>
      <c r="BJ4463" s="9">
        <f t="shared" si="623"/>
        <v>2.39</v>
      </c>
      <c r="BK4463" s="9">
        <f t="shared" si="624"/>
        <v>7.54</v>
      </c>
      <c r="BL4463" s="9">
        <f t="shared" si="625"/>
        <v>0</v>
      </c>
      <c r="BM4463" s="9">
        <f t="shared" si="626"/>
        <v>0</v>
      </c>
      <c r="BN4463" s="9">
        <f t="shared" si="627"/>
        <v>335.18</v>
      </c>
      <c r="BO4463" s="9">
        <f t="shared" si="628"/>
        <v>7.6</v>
      </c>
      <c r="BP4463" s="9">
        <f t="shared" si="629"/>
        <v>0</v>
      </c>
    </row>
    <row r="4464" spans="1:68">
      <c r="A4464" s="6">
        <v>45385</v>
      </c>
      <c r="B4464" s="7">
        <v>3200</v>
      </c>
      <c r="C4464" s="8">
        <v>2293.9</v>
      </c>
      <c r="D4464" s="8"/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>
        <v>5.73</v>
      </c>
      <c r="P4464" s="8"/>
      <c r="Q4464" s="11"/>
      <c r="R4464" s="11"/>
      <c r="S4464" s="8">
        <v>8.94</v>
      </c>
      <c r="T4464" s="8"/>
      <c r="U4464" s="8">
        <v>34.43</v>
      </c>
      <c r="V4464" s="8"/>
      <c r="W4464" s="8"/>
      <c r="X4464" s="8"/>
      <c r="Y4464" s="8"/>
      <c r="Z4464" s="8">
        <v>482.09</v>
      </c>
      <c r="AA4464" s="8"/>
      <c r="AB4464" s="8"/>
      <c r="AC4464" s="8"/>
      <c r="AD4464" s="8"/>
      <c r="AE4464" s="8"/>
      <c r="AF4464" s="8">
        <v>114.45</v>
      </c>
      <c r="AG4464" s="8"/>
      <c r="AH4464" s="8"/>
      <c r="AI4464" s="8"/>
      <c r="AJ4464" s="8"/>
      <c r="AK4464" s="8"/>
      <c r="AL4464" s="8"/>
      <c r="AM4464" s="8"/>
      <c r="AN4464" s="8"/>
      <c r="AO4464" s="8"/>
      <c r="AP4464" s="11"/>
      <c r="AQ4464" s="8">
        <f>1528*22.95/1000</f>
        <v>35.067599999999999</v>
      </c>
      <c r="AR4464" s="8"/>
      <c r="AS4464" s="8"/>
      <c r="AT4464" s="8">
        <v>1571.48</v>
      </c>
      <c r="AU4464" s="8"/>
      <c r="AV4464" s="8"/>
      <c r="AW4464" s="8">
        <v>6.65</v>
      </c>
      <c r="AX4464" s="8"/>
      <c r="AY4464" s="8"/>
      <c r="AZ4464" s="8"/>
      <c r="BA4464" s="8"/>
      <c r="BB4464" s="8"/>
      <c r="BC4464" s="8"/>
      <c r="BD4464" s="8"/>
      <c r="BE4464" s="8"/>
      <c r="BF4464" s="8">
        <v>110.27</v>
      </c>
      <c r="BG4464" s="8">
        <v>113.86</v>
      </c>
      <c r="BH4464" s="9">
        <f t="shared" si="621"/>
        <v>2293.9</v>
      </c>
      <c r="BI4464" s="9">
        <f t="shared" si="622"/>
        <v>5.73</v>
      </c>
      <c r="BJ4464" s="9">
        <f t="shared" si="623"/>
        <v>8.94</v>
      </c>
      <c r="BK4464" s="9">
        <f t="shared" si="624"/>
        <v>34.43</v>
      </c>
      <c r="BL4464" s="9">
        <f t="shared" si="625"/>
        <v>482.09</v>
      </c>
      <c r="BM4464" s="9">
        <f t="shared" si="626"/>
        <v>149.51760000000002</v>
      </c>
      <c r="BN4464" s="9">
        <f t="shared" si="627"/>
        <v>1571.48</v>
      </c>
      <c r="BO4464" s="9">
        <f t="shared" si="628"/>
        <v>6.65</v>
      </c>
      <c r="BP4464" s="9">
        <f t="shared" si="629"/>
        <v>110.27</v>
      </c>
    </row>
    <row r="4465" spans="1:68">
      <c r="A4465" s="6">
        <v>45385</v>
      </c>
      <c r="B4465" s="7">
        <v>3141</v>
      </c>
      <c r="C4465" s="8">
        <v>3568.67</v>
      </c>
      <c r="D4465" s="8">
        <v>629.77</v>
      </c>
      <c r="E4465" s="8"/>
      <c r="F4465" s="8"/>
      <c r="G4465" s="8"/>
      <c r="H4465" s="8"/>
      <c r="I4465" s="8"/>
      <c r="J4465" s="8"/>
      <c r="K4465" s="8"/>
      <c r="L4465" s="8"/>
      <c r="M4465" s="8">
        <v>11.81</v>
      </c>
      <c r="N4465" s="8"/>
      <c r="O4465" s="8"/>
      <c r="P4465" s="8"/>
      <c r="Q4465" s="11"/>
      <c r="R4465" s="11"/>
      <c r="S4465" s="8">
        <v>19.739999999999998</v>
      </c>
      <c r="T4465" s="8"/>
      <c r="U4465" s="8">
        <v>63.01</v>
      </c>
      <c r="V4465" s="8"/>
      <c r="W4465" s="8"/>
      <c r="X4465" s="8"/>
      <c r="Y4465" s="8"/>
      <c r="Z4465" s="8"/>
      <c r="AA4465" s="8"/>
      <c r="AB4465" s="8"/>
      <c r="AC4465" s="8">
        <v>16.8</v>
      </c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11"/>
      <c r="AQ4465" s="8"/>
      <c r="AR4465" s="8"/>
      <c r="AS4465" s="8"/>
      <c r="AT4465" s="8">
        <v>2770.98</v>
      </c>
      <c r="AU4465" s="8"/>
      <c r="AV4465" s="8"/>
      <c r="AW4465" s="8"/>
      <c r="AX4465" s="8"/>
      <c r="AY4465" s="8"/>
      <c r="AZ4465" s="8"/>
      <c r="BA4465" s="8">
        <v>96.27</v>
      </c>
      <c r="BB4465" s="8"/>
      <c r="BC4465" s="8"/>
      <c r="BD4465" s="8"/>
      <c r="BE4465" s="8"/>
      <c r="BF4465" s="8">
        <v>294.01</v>
      </c>
      <c r="BG4465" s="8">
        <v>218.51</v>
      </c>
      <c r="BH4465" s="9">
        <f t="shared" si="621"/>
        <v>4198.4400000000005</v>
      </c>
      <c r="BI4465" s="9">
        <f t="shared" si="622"/>
        <v>11.81</v>
      </c>
      <c r="BJ4465" s="9">
        <f t="shared" si="623"/>
        <v>19.739999999999998</v>
      </c>
      <c r="BK4465" s="9">
        <f t="shared" si="624"/>
        <v>63.01</v>
      </c>
      <c r="BL4465" s="9">
        <f t="shared" si="625"/>
        <v>0</v>
      </c>
      <c r="BM4465" s="9">
        <f t="shared" si="626"/>
        <v>16.8</v>
      </c>
      <c r="BN4465" s="9">
        <f t="shared" si="627"/>
        <v>2770.98</v>
      </c>
      <c r="BO4465" s="9">
        <f t="shared" si="628"/>
        <v>96.27</v>
      </c>
      <c r="BP4465" s="9">
        <f t="shared" si="629"/>
        <v>294.01</v>
      </c>
    </row>
    <row r="4466" spans="1:68">
      <c r="A4466" s="6">
        <v>45385</v>
      </c>
      <c r="B4466" s="7">
        <v>3106</v>
      </c>
      <c r="C4466" s="8">
        <v>12144.35</v>
      </c>
      <c r="D4466" s="8"/>
      <c r="E4466" s="8"/>
      <c r="F4466" s="8"/>
      <c r="G4466" s="8"/>
      <c r="H4466" s="8"/>
      <c r="I4466" s="8"/>
      <c r="J4466" s="8"/>
      <c r="K4466" s="8"/>
      <c r="L4466" s="8"/>
      <c r="M4466" s="8">
        <v>30.85</v>
      </c>
      <c r="N4466" s="8"/>
      <c r="O4466" s="8"/>
      <c r="P4466" s="8"/>
      <c r="Q4466" s="11"/>
      <c r="R4466" s="11"/>
      <c r="S4466" s="8">
        <v>36.51</v>
      </c>
      <c r="T4466" s="8"/>
      <c r="U4466" s="8">
        <v>154.4</v>
      </c>
      <c r="V4466" s="8"/>
      <c r="W4466" s="8"/>
      <c r="X4466" s="8"/>
      <c r="Y4466" s="8"/>
      <c r="Z4466" s="8"/>
      <c r="AA4466" s="8"/>
      <c r="AB4466" s="8"/>
      <c r="AC4466" s="8">
        <v>30.37</v>
      </c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11"/>
      <c r="AQ4466" s="8"/>
      <c r="AR4466" s="8"/>
      <c r="AS4466" s="8"/>
      <c r="AT4466" s="8">
        <v>6922.98</v>
      </c>
      <c r="AU4466" s="8"/>
      <c r="AV4466" s="8"/>
      <c r="AW4466" s="8"/>
      <c r="AX4466" s="8">
        <v>15.19</v>
      </c>
      <c r="AY4466" s="8"/>
      <c r="AZ4466" s="8"/>
      <c r="BA4466" s="8"/>
      <c r="BB4466" s="8"/>
      <c r="BC4466" s="8"/>
      <c r="BD4466" s="8"/>
      <c r="BE4466" s="8"/>
      <c r="BF4466" s="8"/>
      <c r="BG4466" s="8">
        <v>522.03</v>
      </c>
      <c r="BH4466" s="9">
        <f t="shared" si="621"/>
        <v>12144.35</v>
      </c>
      <c r="BI4466" s="9">
        <f t="shared" si="622"/>
        <v>30.85</v>
      </c>
      <c r="BJ4466" s="9">
        <f t="shared" si="623"/>
        <v>36.51</v>
      </c>
      <c r="BK4466" s="9">
        <f t="shared" si="624"/>
        <v>154.4</v>
      </c>
      <c r="BL4466" s="9">
        <f t="shared" si="625"/>
        <v>0</v>
      </c>
      <c r="BM4466" s="9">
        <f t="shared" si="626"/>
        <v>30.37</v>
      </c>
      <c r="BN4466" s="9">
        <f t="shared" si="627"/>
        <v>6922.98</v>
      </c>
      <c r="BO4466" s="9">
        <f t="shared" si="628"/>
        <v>15.19</v>
      </c>
      <c r="BP4466" s="9">
        <f t="shared" si="629"/>
        <v>0</v>
      </c>
    </row>
    <row r="4467" spans="1:68">
      <c r="A4467" s="6">
        <v>45385</v>
      </c>
      <c r="B4467" s="7">
        <v>3602</v>
      </c>
      <c r="C4467" s="8">
        <v>567.20000000000005</v>
      </c>
      <c r="D4467" s="8"/>
      <c r="E4467" s="8"/>
      <c r="F4467" s="8"/>
      <c r="G4467" s="8">
        <v>849.34</v>
      </c>
      <c r="H4467" s="8"/>
      <c r="I4467" s="8"/>
      <c r="J4467" s="8"/>
      <c r="K4467" s="8"/>
      <c r="L4467" s="8"/>
      <c r="M4467" s="8">
        <v>1.7</v>
      </c>
      <c r="N4467" s="8"/>
      <c r="O4467" s="8"/>
      <c r="P4467" s="8"/>
      <c r="Q4467" s="11"/>
      <c r="R4467" s="11"/>
      <c r="S4467" s="8">
        <v>6.8</v>
      </c>
      <c r="T4467" s="8"/>
      <c r="U4467" s="8">
        <v>11.33</v>
      </c>
      <c r="V4467" s="8">
        <f>859*16.2/1000</f>
        <v>13.915799999999999</v>
      </c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11"/>
      <c r="AQ4467" s="8"/>
      <c r="AR4467" s="8"/>
      <c r="AS4467" s="8"/>
      <c r="AT4467" s="8">
        <v>571.65</v>
      </c>
      <c r="AU4467" s="8"/>
      <c r="AV4467" s="8"/>
      <c r="AW4467" s="8">
        <v>36.65</v>
      </c>
      <c r="AX4467" s="8"/>
      <c r="AY4467" s="8"/>
      <c r="AZ4467" s="8"/>
      <c r="BA4467" s="8"/>
      <c r="BB4467" s="8"/>
      <c r="BC4467" s="8"/>
      <c r="BD4467" s="8"/>
      <c r="BE4467" s="8"/>
      <c r="BF4467" s="8">
        <v>45.41</v>
      </c>
      <c r="BG4467" s="8">
        <v>42.14</v>
      </c>
      <c r="BH4467" s="9">
        <f t="shared" si="621"/>
        <v>1416.54</v>
      </c>
      <c r="BI4467" s="9">
        <f t="shared" si="622"/>
        <v>1.7</v>
      </c>
      <c r="BJ4467" s="9">
        <f t="shared" si="623"/>
        <v>6.8</v>
      </c>
      <c r="BK4467" s="9">
        <f t="shared" si="624"/>
        <v>25.245799999999999</v>
      </c>
      <c r="BL4467" s="9">
        <f t="shared" si="625"/>
        <v>0</v>
      </c>
      <c r="BM4467" s="9">
        <f t="shared" si="626"/>
        <v>0</v>
      </c>
      <c r="BN4467" s="9">
        <f t="shared" si="627"/>
        <v>571.65</v>
      </c>
      <c r="BO4467" s="9">
        <f t="shared" si="628"/>
        <v>36.65</v>
      </c>
      <c r="BP4467" s="9">
        <f t="shared" si="629"/>
        <v>45.41</v>
      </c>
    </row>
    <row r="4468" spans="1:68">
      <c r="A4468" s="6">
        <v>45386</v>
      </c>
      <c r="B4468" s="7">
        <v>3200</v>
      </c>
      <c r="C4468" s="8">
        <v>2358.6999999999998</v>
      </c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>
        <v>5.9</v>
      </c>
      <c r="P4468" s="8"/>
      <c r="Q4468" s="11"/>
      <c r="R4468" s="11"/>
      <c r="S4468" s="8">
        <v>9.1999999999999993</v>
      </c>
      <c r="T4468" s="8"/>
      <c r="U4468" s="8">
        <v>35.369999999999997</v>
      </c>
      <c r="V4468" s="8"/>
      <c r="W4468" s="8"/>
      <c r="X4468" s="8"/>
      <c r="Y4468" s="8"/>
      <c r="Z4468" s="8">
        <v>495.83</v>
      </c>
      <c r="AA4468" s="8"/>
      <c r="AB4468" s="8"/>
      <c r="AC4468" s="8"/>
      <c r="AD4468" s="8"/>
      <c r="AE4468" s="8"/>
      <c r="AF4468" s="8">
        <v>117.78</v>
      </c>
      <c r="AG4468" s="8"/>
      <c r="AH4468" s="8"/>
      <c r="AI4468" s="8"/>
      <c r="AJ4468" s="8"/>
      <c r="AK4468" s="8"/>
      <c r="AL4468" s="8"/>
      <c r="AM4468" s="8"/>
      <c r="AN4468" s="8"/>
      <c r="AO4468" s="8"/>
      <c r="AP4468" s="11"/>
      <c r="AQ4468" s="8">
        <f>1532*23.58/1000</f>
        <v>36.124559999999995</v>
      </c>
      <c r="AR4468" s="8"/>
      <c r="AS4468" s="8"/>
      <c r="AT4468" s="8">
        <v>1614.54</v>
      </c>
      <c r="AU4468" s="8"/>
      <c r="AV4468" s="8"/>
      <c r="AW4468" s="8">
        <v>6.87</v>
      </c>
      <c r="AX4468" s="8"/>
      <c r="AY4468" s="8"/>
      <c r="AZ4468" s="8"/>
      <c r="BA4468" s="8"/>
      <c r="BB4468" s="8"/>
      <c r="BC4468" s="8"/>
      <c r="BD4468" s="8"/>
      <c r="BE4468" s="8"/>
      <c r="BF4468" s="8">
        <v>113.33</v>
      </c>
      <c r="BG4468" s="8">
        <v>116.73</v>
      </c>
      <c r="BH4468" s="9">
        <f t="shared" si="621"/>
        <v>2358.6999999999998</v>
      </c>
      <c r="BI4468" s="9">
        <f t="shared" si="622"/>
        <v>5.9</v>
      </c>
      <c r="BJ4468" s="9">
        <f t="shared" si="623"/>
        <v>9.1999999999999993</v>
      </c>
      <c r="BK4468" s="9">
        <f t="shared" si="624"/>
        <v>35.369999999999997</v>
      </c>
      <c r="BL4468" s="9">
        <f t="shared" si="625"/>
        <v>495.83</v>
      </c>
      <c r="BM4468" s="9">
        <f t="shared" si="626"/>
        <v>153.90456</v>
      </c>
      <c r="BN4468" s="9">
        <f t="shared" si="627"/>
        <v>1614.54</v>
      </c>
      <c r="BO4468" s="9">
        <f t="shared" si="628"/>
        <v>6.87</v>
      </c>
      <c r="BP4468" s="9">
        <f t="shared" si="629"/>
        <v>113.33</v>
      </c>
    </row>
    <row r="4469" spans="1:68">
      <c r="A4469" s="6">
        <v>45386</v>
      </c>
      <c r="B4469" s="7">
        <v>3022</v>
      </c>
      <c r="C4469" s="8"/>
      <c r="D4469" s="8">
        <v>586.47</v>
      </c>
      <c r="E4469" s="8"/>
      <c r="F4469" s="8"/>
      <c r="G4469" s="8"/>
      <c r="H4469" s="8"/>
      <c r="I4469" s="8">
        <v>478.53</v>
      </c>
      <c r="J4469" s="8"/>
      <c r="K4469" s="8"/>
      <c r="L4469" s="8"/>
      <c r="M4469" s="8"/>
      <c r="N4469" s="8">
        <v>5.31</v>
      </c>
      <c r="O4469" s="8"/>
      <c r="P4469" s="8"/>
      <c r="Q4469" s="11"/>
      <c r="R4469" s="11"/>
      <c r="S4469" s="8">
        <v>1.92</v>
      </c>
      <c r="T4469" s="8"/>
      <c r="U4469" s="8"/>
      <c r="V4469" s="8"/>
      <c r="W4469" s="8">
        <v>10.66</v>
      </c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>
        <v>13.77</v>
      </c>
      <c r="AN4469" s="8"/>
      <c r="AO4469" s="8"/>
      <c r="AP4469" s="11"/>
      <c r="AQ4469" s="8"/>
      <c r="AR4469" s="8"/>
      <c r="AS4469" s="8">
        <f>3880*9.67/1000</f>
        <v>37.519599999999997</v>
      </c>
      <c r="AT4469" s="8">
        <v>498</v>
      </c>
      <c r="AU4469" s="8"/>
      <c r="AV4469" s="8"/>
      <c r="AW4469" s="8"/>
      <c r="AX4469" s="8"/>
      <c r="AY4469" s="8"/>
      <c r="AZ4469" s="8"/>
      <c r="BA4469" s="8"/>
      <c r="BB4469" s="8"/>
      <c r="BC4469" s="8"/>
      <c r="BD4469" s="8"/>
      <c r="BE4469" s="8"/>
      <c r="BF4469" s="8"/>
      <c r="BG4469" s="8">
        <v>38.33</v>
      </c>
      <c r="BH4469" s="9">
        <f t="shared" si="621"/>
        <v>1065</v>
      </c>
      <c r="BI4469" s="9">
        <f t="shared" si="622"/>
        <v>5.31</v>
      </c>
      <c r="BJ4469" s="9">
        <f t="shared" si="623"/>
        <v>1.92</v>
      </c>
      <c r="BK4469" s="9">
        <f t="shared" si="624"/>
        <v>10.66</v>
      </c>
      <c r="BL4469" s="9">
        <f t="shared" si="625"/>
        <v>0</v>
      </c>
      <c r="BM4469" s="9">
        <f t="shared" si="626"/>
        <v>51.289599999999993</v>
      </c>
      <c r="BN4469" s="9">
        <f t="shared" si="627"/>
        <v>498</v>
      </c>
      <c r="BO4469" s="9">
        <f t="shared" si="628"/>
        <v>0</v>
      </c>
      <c r="BP4469" s="9">
        <f t="shared" si="629"/>
        <v>0</v>
      </c>
    </row>
    <row r="4470" spans="1:68">
      <c r="A4470" s="6">
        <v>45386</v>
      </c>
      <c r="B4470" s="7">
        <v>3023</v>
      </c>
      <c r="C4470" s="8"/>
      <c r="D4470" s="8">
        <v>896</v>
      </c>
      <c r="E4470" s="8"/>
      <c r="F4470" s="8"/>
      <c r="G4470" s="8"/>
      <c r="H4470" s="8"/>
      <c r="I4470" s="8">
        <v>483.17</v>
      </c>
      <c r="J4470" s="8"/>
      <c r="K4470" s="8"/>
      <c r="L4470" s="8"/>
      <c r="M4470" s="8"/>
      <c r="N4470" s="8">
        <v>7.85</v>
      </c>
      <c r="O4470" s="8"/>
      <c r="P4470" s="8"/>
      <c r="Q4470" s="11"/>
      <c r="R4470" s="11"/>
      <c r="S4470" s="8">
        <v>2.21</v>
      </c>
      <c r="T4470" s="8"/>
      <c r="U4470" s="8"/>
      <c r="V4470" s="8"/>
      <c r="W4470" s="8">
        <v>12.43</v>
      </c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>
        <v>13.78</v>
      </c>
      <c r="AN4470" s="8">
        <f>1043*9.52/1000</f>
        <v>9.9293599999999991</v>
      </c>
      <c r="AO4470" s="8"/>
      <c r="AP4470" s="11"/>
      <c r="AQ4470" s="8"/>
      <c r="AR4470" s="8"/>
      <c r="AS4470" s="8">
        <f>4755*9.52/1000</f>
        <v>45.267600000000002</v>
      </c>
      <c r="AT4470" s="8">
        <v>565.88</v>
      </c>
      <c r="AU4470" s="8"/>
      <c r="AV4470" s="8"/>
      <c r="AW4470" s="8"/>
      <c r="AX4470" s="8"/>
      <c r="AY4470" s="8"/>
      <c r="AZ4470" s="8"/>
      <c r="BA4470" s="8"/>
      <c r="BB4470" s="8"/>
      <c r="BC4470" s="8"/>
      <c r="BD4470" s="8"/>
      <c r="BE4470" s="8"/>
      <c r="BF4470" s="8"/>
      <c r="BG4470" s="8">
        <v>42.75</v>
      </c>
      <c r="BH4470" s="9">
        <f t="shared" si="621"/>
        <v>1379.17</v>
      </c>
      <c r="BI4470" s="9">
        <f t="shared" si="622"/>
        <v>7.85</v>
      </c>
      <c r="BJ4470" s="9">
        <f t="shared" si="623"/>
        <v>2.21</v>
      </c>
      <c r="BK4470" s="9">
        <f t="shared" si="624"/>
        <v>12.43</v>
      </c>
      <c r="BL4470" s="9">
        <f t="shared" si="625"/>
        <v>0</v>
      </c>
      <c r="BM4470" s="9">
        <f t="shared" si="626"/>
        <v>68.976959999999991</v>
      </c>
      <c r="BN4470" s="9">
        <f t="shared" si="627"/>
        <v>565.88</v>
      </c>
      <c r="BO4470" s="9">
        <f t="shared" si="628"/>
        <v>0</v>
      </c>
      <c r="BP4470" s="9">
        <f t="shared" si="629"/>
        <v>0</v>
      </c>
    </row>
    <row r="4471" spans="1:68">
      <c r="A4471" s="6">
        <v>45386</v>
      </c>
      <c r="B4471" s="7">
        <v>3079</v>
      </c>
      <c r="C4471" s="8"/>
      <c r="D4471" s="8"/>
      <c r="E4471" s="8"/>
      <c r="F4471" s="8">
        <v>339.34</v>
      </c>
      <c r="G4471" s="8"/>
      <c r="H4471" s="8"/>
      <c r="I4471" s="8">
        <v>2746.66</v>
      </c>
      <c r="J4471" s="8"/>
      <c r="K4471" s="8"/>
      <c r="L4471" s="8"/>
      <c r="M4471" s="8"/>
      <c r="N4471" s="8">
        <v>22.55</v>
      </c>
      <c r="O4471" s="8"/>
      <c r="P4471" s="8"/>
      <c r="Q4471" s="11"/>
      <c r="R4471" s="11"/>
      <c r="S4471" s="8">
        <v>1.23</v>
      </c>
      <c r="T4471" s="8"/>
      <c r="U4471" s="8"/>
      <c r="V4471" s="8"/>
      <c r="W4471" s="8">
        <v>30.88</v>
      </c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>
        <v>12.32</v>
      </c>
      <c r="AN4471" s="8">
        <f>1739*18.15/1000</f>
        <v>31.562849999999997</v>
      </c>
      <c r="AO4471" s="8"/>
      <c r="AP4471" s="11"/>
      <c r="AQ4471" s="8"/>
      <c r="AR4471" s="8">
        <f>4339*18.15/1000</f>
        <v>78.752849999999995</v>
      </c>
      <c r="AS4471" s="8"/>
      <c r="AT4471" s="8">
        <v>1189.74</v>
      </c>
      <c r="AU4471" s="8"/>
      <c r="AV4471" s="8"/>
      <c r="AW4471" s="8"/>
      <c r="AX4471" s="8"/>
      <c r="AY4471" s="8"/>
      <c r="AZ4471" s="8"/>
      <c r="BA4471" s="8"/>
      <c r="BB4471" s="8"/>
      <c r="BC4471" s="8"/>
      <c r="BD4471" s="8"/>
      <c r="BE4471" s="8"/>
      <c r="BF4471" s="8"/>
      <c r="BG4471" s="8">
        <v>86.2</v>
      </c>
      <c r="BH4471" s="9">
        <f t="shared" si="621"/>
        <v>3086</v>
      </c>
      <c r="BI4471" s="9">
        <f t="shared" si="622"/>
        <v>22.55</v>
      </c>
      <c r="BJ4471" s="9">
        <f t="shared" si="623"/>
        <v>1.23</v>
      </c>
      <c r="BK4471" s="9">
        <f t="shared" si="624"/>
        <v>30.88</v>
      </c>
      <c r="BL4471" s="9">
        <f t="shared" si="625"/>
        <v>0</v>
      </c>
      <c r="BM4471" s="9">
        <f t="shared" si="626"/>
        <v>122.63569999999999</v>
      </c>
      <c r="BN4471" s="9">
        <f t="shared" si="627"/>
        <v>1189.74</v>
      </c>
      <c r="BO4471" s="9">
        <f t="shared" si="628"/>
        <v>0</v>
      </c>
      <c r="BP4471" s="9">
        <f t="shared" si="629"/>
        <v>0</v>
      </c>
    </row>
    <row r="4472" spans="1:68">
      <c r="A4472" s="6">
        <v>45386</v>
      </c>
      <c r="B4472" s="7">
        <v>3080</v>
      </c>
      <c r="C4472" s="8"/>
      <c r="D4472" s="8"/>
      <c r="E4472" s="8"/>
      <c r="F4472" s="8">
        <v>440.08</v>
      </c>
      <c r="G4472" s="8"/>
      <c r="H4472" s="8"/>
      <c r="I4472" s="8">
        <v>659.85</v>
      </c>
      <c r="J4472" s="8"/>
      <c r="K4472" s="8"/>
      <c r="L4472" s="8"/>
      <c r="M4472" s="8"/>
      <c r="N4472" s="8">
        <v>7.49</v>
      </c>
      <c r="O4472" s="8"/>
      <c r="P4472" s="8">
        <f>623*7.08/1000</f>
        <v>4.4108400000000003</v>
      </c>
      <c r="Q4472" s="11"/>
      <c r="R4472" s="11"/>
      <c r="S4472" s="8">
        <v>0.66</v>
      </c>
      <c r="T4472" s="8"/>
      <c r="U4472" s="8"/>
      <c r="V4472" s="8"/>
      <c r="W4472" s="8">
        <v>11.02</v>
      </c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>
        <f>2346*7.08/1000</f>
        <v>16.609680000000001</v>
      </c>
      <c r="AJ4472" s="8"/>
      <c r="AK4472" s="8"/>
      <c r="AL4472" s="8"/>
      <c r="AM4472" s="8"/>
      <c r="AN4472" s="8"/>
      <c r="AO4472" s="8"/>
      <c r="AP4472" s="11"/>
      <c r="AQ4472" s="8">
        <f>1568*7.08/1000</f>
        <v>11.10144</v>
      </c>
      <c r="AR4472" s="8">
        <f>5431*7.08/1000</f>
        <v>38.451480000000004</v>
      </c>
      <c r="AS4472" s="8"/>
      <c r="AT4472" s="8">
        <v>386.07</v>
      </c>
      <c r="AU4472" s="8"/>
      <c r="AV4472" s="8"/>
      <c r="AW4472" s="8"/>
      <c r="AX4472" s="8"/>
      <c r="AY4472" s="8"/>
      <c r="AZ4472" s="8"/>
      <c r="BA4472" s="8"/>
      <c r="BB4472" s="8"/>
      <c r="BC4472" s="8"/>
      <c r="BD4472" s="8"/>
      <c r="BE4472" s="8"/>
      <c r="BF4472" s="8"/>
      <c r="BG4472" s="8">
        <v>20.91</v>
      </c>
      <c r="BH4472" s="9">
        <f t="shared" si="621"/>
        <v>1099.93</v>
      </c>
      <c r="BI4472" s="9">
        <f t="shared" si="622"/>
        <v>11.900840000000001</v>
      </c>
      <c r="BJ4472" s="9">
        <f t="shared" si="623"/>
        <v>0.66</v>
      </c>
      <c r="BK4472" s="9">
        <f t="shared" si="624"/>
        <v>11.02</v>
      </c>
      <c r="BL4472" s="9">
        <f t="shared" si="625"/>
        <v>0</v>
      </c>
      <c r="BM4472" s="9">
        <f t="shared" si="626"/>
        <v>66.162599999999998</v>
      </c>
      <c r="BN4472" s="9">
        <f t="shared" si="627"/>
        <v>386.07</v>
      </c>
      <c r="BO4472" s="9">
        <f t="shared" si="628"/>
        <v>0</v>
      </c>
      <c r="BP4472" s="9">
        <f t="shared" si="629"/>
        <v>0</v>
      </c>
    </row>
    <row r="4473" spans="1:68">
      <c r="A4473" s="6">
        <v>45386</v>
      </c>
      <c r="B4473" s="7">
        <v>3149</v>
      </c>
      <c r="C4473" s="8">
        <v>741.91</v>
      </c>
      <c r="D4473" s="8">
        <v>132.31</v>
      </c>
      <c r="E4473" s="8"/>
      <c r="F4473" s="8"/>
      <c r="G4473" s="8"/>
      <c r="H4473" s="8"/>
      <c r="I4473" s="8"/>
      <c r="J4473" s="8"/>
      <c r="K4473" s="8"/>
      <c r="L4473" s="8"/>
      <c r="M4473" s="8">
        <v>2.79</v>
      </c>
      <c r="N4473" s="8"/>
      <c r="O4473" s="8"/>
      <c r="P4473" s="8"/>
      <c r="Q4473" s="11"/>
      <c r="R4473" s="11"/>
      <c r="S4473" s="8">
        <v>4.1100000000000003</v>
      </c>
      <c r="T4473" s="8"/>
      <c r="U4473" s="8">
        <v>13.14</v>
      </c>
      <c r="V4473" s="8"/>
      <c r="W4473" s="8"/>
      <c r="X4473" s="8"/>
      <c r="Y4473" s="8"/>
      <c r="Z4473" s="8"/>
      <c r="AA4473" s="8"/>
      <c r="AB4473" s="8"/>
      <c r="AC4473" s="8">
        <v>3.5</v>
      </c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11"/>
      <c r="AQ4473" s="8"/>
      <c r="AR4473" s="8"/>
      <c r="AS4473" s="8"/>
      <c r="AT4473" s="8">
        <v>571.66999999999996</v>
      </c>
      <c r="AU4473" s="8"/>
      <c r="AV4473" s="8"/>
      <c r="AW4473" s="8">
        <v>28.27</v>
      </c>
      <c r="AX4473" s="8"/>
      <c r="AY4473" s="8"/>
      <c r="AZ4473" s="8"/>
      <c r="BA4473" s="8"/>
      <c r="BB4473" s="8"/>
      <c r="BC4473" s="8"/>
      <c r="BD4473" s="8"/>
      <c r="BE4473" s="8"/>
      <c r="BF4473" s="8">
        <v>61.19</v>
      </c>
      <c r="BG4473" s="8">
        <v>45.45</v>
      </c>
      <c r="BH4473" s="9">
        <f t="shared" si="621"/>
        <v>874.22</v>
      </c>
      <c r="BI4473" s="9">
        <f t="shared" si="622"/>
        <v>2.79</v>
      </c>
      <c r="BJ4473" s="9">
        <f t="shared" si="623"/>
        <v>4.1100000000000003</v>
      </c>
      <c r="BK4473" s="9">
        <f t="shared" si="624"/>
        <v>13.14</v>
      </c>
      <c r="BL4473" s="9">
        <f t="shared" si="625"/>
        <v>0</v>
      </c>
      <c r="BM4473" s="9">
        <f t="shared" si="626"/>
        <v>3.5</v>
      </c>
      <c r="BN4473" s="9">
        <f t="shared" si="627"/>
        <v>571.66999999999996</v>
      </c>
      <c r="BO4473" s="9">
        <f t="shared" si="628"/>
        <v>28.27</v>
      </c>
      <c r="BP4473" s="9">
        <f t="shared" si="629"/>
        <v>61.19</v>
      </c>
    </row>
    <row r="4474" spans="1:68">
      <c r="A4474" s="6">
        <v>45398</v>
      </c>
      <c r="B4474" s="7">
        <v>3602</v>
      </c>
      <c r="C4474" s="8">
        <v>561.30999999999995</v>
      </c>
      <c r="D4474" s="8"/>
      <c r="E4474" s="8"/>
      <c r="F4474" s="8"/>
      <c r="G4474" s="8">
        <v>842.65</v>
      </c>
      <c r="H4474" s="8"/>
      <c r="I4474" s="8"/>
      <c r="J4474" s="8"/>
      <c r="K4474" s="8"/>
      <c r="L4474" s="8"/>
      <c r="M4474" s="8">
        <v>1.69</v>
      </c>
      <c r="N4474" s="8"/>
      <c r="O4474" s="8"/>
      <c r="P4474" s="8"/>
      <c r="Q4474" s="11"/>
      <c r="R4474" s="11"/>
      <c r="S4474" s="8">
        <v>6.45</v>
      </c>
      <c r="T4474" s="8"/>
      <c r="U4474" s="8">
        <v>11.24</v>
      </c>
      <c r="V4474" s="8">
        <f>858*16.07/1000</f>
        <v>13.78806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11"/>
      <c r="AQ4474" s="8"/>
      <c r="AR4474" s="8"/>
      <c r="AS4474" s="8"/>
      <c r="AT4474" s="8">
        <v>567.16999999999996</v>
      </c>
      <c r="AU4474" s="8"/>
      <c r="AV4474" s="8"/>
      <c r="AW4474" s="8">
        <v>36.340000000000003</v>
      </c>
      <c r="AX4474" s="8"/>
      <c r="AY4474" s="8"/>
      <c r="AZ4474" s="8"/>
      <c r="BA4474" s="8"/>
      <c r="BB4474" s="8"/>
      <c r="BC4474" s="8"/>
      <c r="BD4474" s="8"/>
      <c r="BE4474" s="8"/>
      <c r="BF4474" s="8">
        <v>45.02</v>
      </c>
      <c r="BG4474" s="8">
        <v>41.84</v>
      </c>
      <c r="BH4474" s="9">
        <f t="shared" si="621"/>
        <v>1403.96</v>
      </c>
      <c r="BI4474" s="9">
        <f t="shared" si="622"/>
        <v>1.69</v>
      </c>
      <c r="BJ4474" s="9">
        <f t="shared" si="623"/>
        <v>6.45</v>
      </c>
      <c r="BK4474" s="9">
        <f t="shared" si="624"/>
        <v>25.02806</v>
      </c>
      <c r="BL4474" s="9">
        <f t="shared" si="625"/>
        <v>0</v>
      </c>
      <c r="BM4474" s="9">
        <f t="shared" si="626"/>
        <v>0</v>
      </c>
      <c r="BN4474" s="9">
        <f t="shared" si="627"/>
        <v>567.16999999999996</v>
      </c>
      <c r="BO4474" s="9">
        <f t="shared" si="628"/>
        <v>36.340000000000003</v>
      </c>
      <c r="BP4474" s="9">
        <f t="shared" si="629"/>
        <v>45.02</v>
      </c>
    </row>
    <row r="4475" spans="1:68">
      <c r="A4475" s="6">
        <v>45398</v>
      </c>
      <c r="B4475" s="7">
        <v>3136</v>
      </c>
      <c r="C4475" s="8">
        <v>1276.3399999999999</v>
      </c>
      <c r="D4475" s="8"/>
      <c r="E4475" s="8"/>
      <c r="F4475" s="8"/>
      <c r="G4475" s="8"/>
      <c r="H4475" s="8">
        <v>528.94000000000005</v>
      </c>
      <c r="I4475" s="8"/>
      <c r="J4475" s="8"/>
      <c r="K4475" s="8"/>
      <c r="L4475" s="8"/>
      <c r="M4475" s="8">
        <v>2.37</v>
      </c>
      <c r="N4475" s="8"/>
      <c r="O4475" s="8"/>
      <c r="P4475" s="8"/>
      <c r="Q4475" s="11"/>
      <c r="R4475" s="11"/>
      <c r="S4475" s="8">
        <v>6.31</v>
      </c>
      <c r="T4475" s="8"/>
      <c r="U4475" s="8">
        <v>20.5</v>
      </c>
      <c r="V4475" s="8"/>
      <c r="W4475" s="8"/>
      <c r="X4475" s="8"/>
      <c r="Y4475" s="8"/>
      <c r="Z4475" s="8"/>
      <c r="AA4475" s="8"/>
      <c r="AB4475" s="8"/>
      <c r="AC4475" s="8">
        <v>6.3</v>
      </c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11"/>
      <c r="AQ4475" s="8"/>
      <c r="AR4475" s="8"/>
      <c r="AS4475" s="8"/>
      <c r="AT4475" s="8">
        <v>1024.22</v>
      </c>
      <c r="AU4475" s="8"/>
      <c r="AV4475" s="8"/>
      <c r="AW4475" s="8"/>
      <c r="AX4475" s="8"/>
      <c r="AY4475" s="8"/>
      <c r="AZ4475" s="8"/>
      <c r="BA4475" s="8">
        <v>15.59</v>
      </c>
      <c r="BB4475" s="8"/>
      <c r="BC4475" s="8"/>
      <c r="BD4475" s="8"/>
      <c r="BE4475" s="8"/>
      <c r="BF4475" s="8">
        <v>62.96</v>
      </c>
      <c r="BG4475" s="8">
        <v>77.11</v>
      </c>
      <c r="BH4475" s="9">
        <f t="shared" si="621"/>
        <v>1805.28</v>
      </c>
      <c r="BI4475" s="9">
        <f t="shared" si="622"/>
        <v>2.37</v>
      </c>
      <c r="BJ4475" s="9">
        <f t="shared" si="623"/>
        <v>6.31</v>
      </c>
      <c r="BK4475" s="9">
        <f t="shared" si="624"/>
        <v>20.5</v>
      </c>
      <c r="BL4475" s="9">
        <f t="shared" si="625"/>
        <v>0</v>
      </c>
      <c r="BM4475" s="9">
        <f t="shared" si="626"/>
        <v>6.3</v>
      </c>
      <c r="BN4475" s="9">
        <f t="shared" si="627"/>
        <v>1024.22</v>
      </c>
      <c r="BO4475" s="9">
        <f t="shared" si="628"/>
        <v>15.59</v>
      </c>
      <c r="BP4475" s="9">
        <f t="shared" si="629"/>
        <v>62.96</v>
      </c>
    </row>
    <row r="4476" spans="1:68">
      <c r="A4476" s="6">
        <v>45398</v>
      </c>
      <c r="B4476" s="7">
        <v>3106</v>
      </c>
      <c r="C4476" s="8">
        <v>6087.7</v>
      </c>
      <c r="D4476" s="8"/>
      <c r="E4476" s="8"/>
      <c r="F4476" s="8"/>
      <c r="G4476" s="8"/>
      <c r="H4476" s="8"/>
      <c r="I4476" s="8"/>
      <c r="J4476" s="8"/>
      <c r="K4476" s="8"/>
      <c r="L4476" s="8"/>
      <c r="M4476" s="8">
        <v>16.440000000000001</v>
      </c>
      <c r="N4476" s="8"/>
      <c r="O4476" s="8"/>
      <c r="P4476" s="8"/>
      <c r="Q4476" s="11"/>
      <c r="R4476" s="11"/>
      <c r="S4476" s="8">
        <v>17.3</v>
      </c>
      <c r="T4476" s="8"/>
      <c r="U4476" s="8">
        <v>77.45</v>
      </c>
      <c r="V4476" s="8"/>
      <c r="W4476" s="8"/>
      <c r="X4476" s="8"/>
      <c r="Y4476" s="8"/>
      <c r="Z4476" s="8"/>
      <c r="AA4476" s="8"/>
      <c r="AB4476" s="8"/>
      <c r="AC4476" s="8">
        <v>15.23</v>
      </c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11"/>
      <c r="AQ4476" s="8"/>
      <c r="AR4476" s="8"/>
      <c r="AS4476" s="8"/>
      <c r="AT4476" s="8">
        <v>3471.97</v>
      </c>
      <c r="AU4476" s="8"/>
      <c r="AV4476" s="8"/>
      <c r="AW4476" s="8"/>
      <c r="AX4476" s="8">
        <v>7.62</v>
      </c>
      <c r="AY4476" s="8"/>
      <c r="AZ4476" s="8"/>
      <c r="BA4476" s="8"/>
      <c r="BB4476" s="8"/>
      <c r="BC4476" s="8"/>
      <c r="BD4476" s="8"/>
      <c r="BE4476" s="8"/>
      <c r="BF4476" s="8"/>
      <c r="BG4476" s="8">
        <v>262.38</v>
      </c>
      <c r="BH4476" s="9">
        <f t="shared" si="621"/>
        <v>6087.7</v>
      </c>
      <c r="BI4476" s="9">
        <f t="shared" si="622"/>
        <v>16.440000000000001</v>
      </c>
      <c r="BJ4476" s="9">
        <f t="shared" si="623"/>
        <v>17.3</v>
      </c>
      <c r="BK4476" s="9">
        <f t="shared" si="624"/>
        <v>77.45</v>
      </c>
      <c r="BL4476" s="9">
        <f t="shared" si="625"/>
        <v>0</v>
      </c>
      <c r="BM4476" s="9">
        <f t="shared" si="626"/>
        <v>15.23</v>
      </c>
      <c r="BN4476" s="9">
        <f t="shared" si="627"/>
        <v>3471.97</v>
      </c>
      <c r="BO4476" s="9">
        <f t="shared" si="628"/>
        <v>7.62</v>
      </c>
      <c r="BP4476" s="9">
        <f t="shared" si="629"/>
        <v>0</v>
      </c>
    </row>
    <row r="4477" spans="1:68">
      <c r="A4477" s="6">
        <v>45398</v>
      </c>
      <c r="B4477" s="7">
        <v>3081</v>
      </c>
      <c r="C4477" s="8"/>
      <c r="D4477" s="8">
        <v>297.82</v>
      </c>
      <c r="E4477" s="8"/>
      <c r="F4477" s="8">
        <v>334.75</v>
      </c>
      <c r="G4477" s="8"/>
      <c r="H4477" s="8"/>
      <c r="I4477" s="8">
        <v>1223.03</v>
      </c>
      <c r="J4477" s="8"/>
      <c r="K4477" s="8"/>
      <c r="L4477" s="8"/>
      <c r="M4477" s="8"/>
      <c r="N4477" s="8">
        <v>13.61</v>
      </c>
      <c r="O4477" s="8"/>
      <c r="P4477" s="8">
        <v>7.6567400000000001</v>
      </c>
      <c r="Q4477" s="11"/>
      <c r="R4477" s="11"/>
      <c r="S4477" s="8">
        <v>1.31</v>
      </c>
      <c r="T4477" s="8"/>
      <c r="U4477" s="8"/>
      <c r="V4477" s="8"/>
      <c r="W4477" s="8">
        <v>18.64</v>
      </c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11"/>
      <c r="AQ4477" s="8">
        <v>18.979579999999999</v>
      </c>
      <c r="AR4477" s="8">
        <v>65.641220000000004</v>
      </c>
      <c r="AS4477" s="8"/>
      <c r="AT4477" s="8">
        <v>583.23</v>
      </c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  <c r="BF4477" s="8"/>
      <c r="BG4477" s="8">
        <v>38.619999999999997</v>
      </c>
      <c r="BH4477" s="9">
        <f t="shared" si="621"/>
        <v>1855.6</v>
      </c>
      <c r="BI4477" s="9">
        <f t="shared" si="622"/>
        <v>21.266739999999999</v>
      </c>
      <c r="BJ4477" s="9">
        <f t="shared" si="623"/>
        <v>1.31</v>
      </c>
      <c r="BK4477" s="9">
        <f t="shared" si="624"/>
        <v>18.64</v>
      </c>
      <c r="BL4477" s="9">
        <f t="shared" si="625"/>
        <v>0</v>
      </c>
      <c r="BM4477" s="9">
        <f t="shared" si="626"/>
        <v>84.620800000000003</v>
      </c>
      <c r="BN4477" s="9">
        <f t="shared" si="627"/>
        <v>583.23</v>
      </c>
      <c r="BO4477" s="9">
        <f t="shared" si="628"/>
        <v>0</v>
      </c>
      <c r="BP4477" s="9">
        <f t="shared" si="629"/>
        <v>0</v>
      </c>
    </row>
    <row r="4478" spans="1:68">
      <c r="A4478" s="6">
        <v>45398</v>
      </c>
      <c r="B4478" s="7">
        <v>3029</v>
      </c>
      <c r="C4478" s="8"/>
      <c r="D4478" s="8">
        <v>672.12</v>
      </c>
      <c r="E4478" s="8"/>
      <c r="F4478" s="8">
        <v>474.67</v>
      </c>
      <c r="G4478" s="8"/>
      <c r="H4478" s="8"/>
      <c r="I4478" s="8">
        <v>2809.18</v>
      </c>
      <c r="J4478" s="8"/>
      <c r="K4478" s="8"/>
      <c r="L4478" s="8"/>
      <c r="M4478" s="8"/>
      <c r="N4478" s="8">
        <v>31.69</v>
      </c>
      <c r="O4478" s="8"/>
      <c r="P4478" s="8"/>
      <c r="Q4478" s="11"/>
      <c r="R4478" s="11"/>
      <c r="S4478" s="8">
        <v>2.36</v>
      </c>
      <c r="T4478" s="8"/>
      <c r="U4478" s="8"/>
      <c r="V4478" s="8"/>
      <c r="W4478" s="8">
        <v>39.619999999999997</v>
      </c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>
        <v>13.83</v>
      </c>
      <c r="AN4478" s="8">
        <f>770*26.4/1000</f>
        <v>20.327999999999999</v>
      </c>
      <c r="AO4478" s="8"/>
      <c r="AP4478" s="11"/>
      <c r="AQ4478" s="8"/>
      <c r="AR4478" s="8">
        <f>4573*26.4/1000</f>
        <v>120.7272</v>
      </c>
      <c r="AS4478" s="8"/>
      <c r="AT4478" s="8">
        <v>1505.07</v>
      </c>
      <c r="AU4478" s="8"/>
      <c r="AV4478" s="8"/>
      <c r="AW4478" s="8"/>
      <c r="AX4478" s="8"/>
      <c r="AY4478" s="8"/>
      <c r="AZ4478" s="8"/>
      <c r="BA4478" s="8"/>
      <c r="BB4478" s="8"/>
      <c r="BC4478" s="8"/>
      <c r="BD4478" s="8"/>
      <c r="BE4478" s="8"/>
      <c r="BF4478" s="8"/>
      <c r="BG4478" s="8">
        <v>105.67</v>
      </c>
      <c r="BH4478" s="9">
        <f t="shared" si="621"/>
        <v>3955.97</v>
      </c>
      <c r="BI4478" s="9">
        <f t="shared" si="622"/>
        <v>31.69</v>
      </c>
      <c r="BJ4478" s="9">
        <f t="shared" si="623"/>
        <v>2.36</v>
      </c>
      <c r="BK4478" s="9">
        <f t="shared" si="624"/>
        <v>39.619999999999997</v>
      </c>
      <c r="BL4478" s="9">
        <f t="shared" si="625"/>
        <v>0</v>
      </c>
      <c r="BM4478" s="9">
        <f t="shared" si="626"/>
        <v>154.8852</v>
      </c>
      <c r="BN4478" s="9">
        <f t="shared" si="627"/>
        <v>1505.07</v>
      </c>
      <c r="BO4478" s="9">
        <f t="shared" si="628"/>
        <v>0</v>
      </c>
      <c r="BP4478" s="9">
        <f t="shared" si="629"/>
        <v>0</v>
      </c>
    </row>
    <row r="4479" spans="1:68">
      <c r="A4479" s="6">
        <v>45399</v>
      </c>
      <c r="B4479" s="7">
        <v>3145</v>
      </c>
      <c r="C4479" s="8">
        <v>1227.6500000000001</v>
      </c>
      <c r="D4479" s="8">
        <v>216.15</v>
      </c>
      <c r="E4479" s="8"/>
      <c r="F4479" s="8"/>
      <c r="G4479" s="8"/>
      <c r="H4479" s="8"/>
      <c r="I4479" s="8"/>
      <c r="J4479" s="8"/>
      <c r="K4479" s="8"/>
      <c r="L4479" s="8"/>
      <c r="M4479" s="8">
        <v>4.2</v>
      </c>
      <c r="N4479" s="8"/>
      <c r="O4479" s="8"/>
      <c r="P4479" s="8"/>
      <c r="Q4479" s="11"/>
      <c r="R4479" s="11"/>
      <c r="S4479" s="8">
        <v>6.82</v>
      </c>
      <c r="T4479" s="8"/>
      <c r="U4479" s="8">
        <v>21.77</v>
      </c>
      <c r="V4479" s="8"/>
      <c r="W4479" s="8"/>
      <c r="X4479" s="8"/>
      <c r="Y4479" s="8"/>
      <c r="Z4479" s="8"/>
      <c r="AA4479" s="8"/>
      <c r="AB4479" s="8"/>
      <c r="AC4479" s="8">
        <v>5.8</v>
      </c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11"/>
      <c r="AQ4479" s="8"/>
      <c r="AR4479" s="8"/>
      <c r="AS4479" s="8"/>
      <c r="AT4479" s="8">
        <v>960.03</v>
      </c>
      <c r="AU4479" s="8"/>
      <c r="AV4479" s="8"/>
      <c r="AW4479" s="8"/>
      <c r="AX4479" s="8"/>
      <c r="AY4479" s="8"/>
      <c r="AZ4479" s="8"/>
      <c r="BA4479" s="8"/>
      <c r="BB4479" s="8"/>
      <c r="BC4479" s="8"/>
      <c r="BD4479" s="8">
        <v>3.63</v>
      </c>
      <c r="BE4479" s="8">
        <f>1343*9.67/1000</f>
        <v>12.98681</v>
      </c>
      <c r="BF4479" s="8">
        <v>101.63</v>
      </c>
      <c r="BG4479" s="8">
        <v>75.41</v>
      </c>
      <c r="BH4479" s="9">
        <f t="shared" si="621"/>
        <v>1443.8000000000002</v>
      </c>
      <c r="BI4479" s="9">
        <f t="shared" si="622"/>
        <v>4.2</v>
      </c>
      <c r="BJ4479" s="9">
        <f t="shared" si="623"/>
        <v>6.82</v>
      </c>
      <c r="BK4479" s="9">
        <f t="shared" si="624"/>
        <v>21.77</v>
      </c>
      <c r="BL4479" s="9">
        <f t="shared" si="625"/>
        <v>0</v>
      </c>
      <c r="BM4479" s="9">
        <f t="shared" si="626"/>
        <v>5.8</v>
      </c>
      <c r="BN4479" s="9">
        <f t="shared" si="627"/>
        <v>960.03</v>
      </c>
      <c r="BO4479" s="9">
        <f t="shared" si="628"/>
        <v>16.616810000000001</v>
      </c>
      <c r="BP4479" s="9">
        <f t="shared" si="629"/>
        <v>101.63</v>
      </c>
    </row>
    <row r="4480" spans="1:68">
      <c r="A4480" s="6">
        <v>45399</v>
      </c>
      <c r="B4480" s="7">
        <v>3141</v>
      </c>
      <c r="C4480" s="8">
        <v>3530.54</v>
      </c>
      <c r="D4480" s="8">
        <v>622.87</v>
      </c>
      <c r="E4480" s="8"/>
      <c r="F4480" s="8"/>
      <c r="G4480" s="8"/>
      <c r="H4480" s="8"/>
      <c r="I4480" s="8"/>
      <c r="J4480" s="8"/>
      <c r="K4480" s="8"/>
      <c r="L4480" s="8"/>
      <c r="M4480" s="8">
        <v>11.63</v>
      </c>
      <c r="N4480" s="8"/>
      <c r="O4480" s="8"/>
      <c r="P4480" s="8"/>
      <c r="Q4480" s="11"/>
      <c r="R4480" s="11"/>
      <c r="S4480" s="8">
        <v>19.53</v>
      </c>
      <c r="T4480" s="8"/>
      <c r="U4480" s="8">
        <v>62.31</v>
      </c>
      <c r="V4480" s="8"/>
      <c r="W4480" s="8"/>
      <c r="X4480" s="8"/>
      <c r="Y4480" s="8"/>
      <c r="Z4480" s="8"/>
      <c r="AA4480" s="8"/>
      <c r="AB4480" s="8"/>
      <c r="AC4480" s="8">
        <v>16.61</v>
      </c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11"/>
      <c r="AQ4480" s="8"/>
      <c r="AR4480" s="8"/>
      <c r="AS4480" s="8"/>
      <c r="AT4480" s="8">
        <v>2743.24</v>
      </c>
      <c r="AU4480" s="8"/>
      <c r="AV4480" s="8"/>
      <c r="AW4480" s="8"/>
      <c r="AX4480" s="8"/>
      <c r="AY4480" s="8"/>
      <c r="AZ4480" s="8"/>
      <c r="BA4480" s="8">
        <v>95.2</v>
      </c>
      <c r="BB4480" s="8"/>
      <c r="BC4480" s="8"/>
      <c r="BD4480" s="8"/>
      <c r="BE4480" s="8"/>
      <c r="BF4480" s="8">
        <v>290.91000000000003</v>
      </c>
      <c r="BG4480" s="8">
        <v>216.08</v>
      </c>
      <c r="BH4480" s="9">
        <f t="shared" si="621"/>
        <v>4153.41</v>
      </c>
      <c r="BI4480" s="9">
        <f t="shared" si="622"/>
        <v>11.63</v>
      </c>
      <c r="BJ4480" s="9">
        <f t="shared" si="623"/>
        <v>19.53</v>
      </c>
      <c r="BK4480" s="9">
        <f t="shared" si="624"/>
        <v>62.31</v>
      </c>
      <c r="BL4480" s="9">
        <f t="shared" si="625"/>
        <v>0</v>
      </c>
      <c r="BM4480" s="9">
        <f t="shared" si="626"/>
        <v>16.61</v>
      </c>
      <c r="BN4480" s="9">
        <f t="shared" si="627"/>
        <v>2743.24</v>
      </c>
      <c r="BO4480" s="9">
        <f t="shared" si="628"/>
        <v>95.2</v>
      </c>
      <c r="BP4480" s="9">
        <f t="shared" si="629"/>
        <v>290.91000000000003</v>
      </c>
    </row>
    <row r="4481" spans="1:68">
      <c r="A4481" s="6">
        <v>45399</v>
      </c>
      <c r="B4481" s="7">
        <v>3605</v>
      </c>
      <c r="C4481" s="8">
        <v>1337.65</v>
      </c>
      <c r="D4481" s="8">
        <v>235.62</v>
      </c>
      <c r="E4481" s="8"/>
      <c r="F4481" s="8"/>
      <c r="G4481" s="8"/>
      <c r="H4481" s="8"/>
      <c r="I4481" s="8"/>
      <c r="J4481" s="8"/>
      <c r="K4481" s="8"/>
      <c r="L4481" s="8"/>
      <c r="M4481" s="8">
        <v>1.1000000000000001</v>
      </c>
      <c r="N4481" s="8">
        <v>1.1000000000000001</v>
      </c>
      <c r="O4481" s="8"/>
      <c r="P4481" s="8"/>
      <c r="Q4481" s="11"/>
      <c r="R4481" s="11"/>
      <c r="S4481" s="8">
        <v>5.05</v>
      </c>
      <c r="T4481" s="8"/>
      <c r="U4481" s="8">
        <v>15.78</v>
      </c>
      <c r="V4481" s="8"/>
      <c r="W4481" s="8"/>
      <c r="X4481" s="8"/>
      <c r="Y4481" s="8"/>
      <c r="Z4481" s="8"/>
      <c r="AA4481" s="8"/>
      <c r="AB4481" s="8"/>
      <c r="AC4481" s="8">
        <v>6.3</v>
      </c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11"/>
      <c r="AQ4481" s="8"/>
      <c r="AR4481" s="8"/>
      <c r="AS4481" s="8"/>
      <c r="AT4481" s="8">
        <v>650.37</v>
      </c>
      <c r="AU4481" s="8"/>
      <c r="AV4481" s="8"/>
      <c r="AW4481" s="8"/>
      <c r="AX4481" s="8"/>
      <c r="AY4481" s="8"/>
      <c r="AZ4481" s="8"/>
      <c r="BA4481" s="8">
        <v>9.51</v>
      </c>
      <c r="BB4481" s="8"/>
      <c r="BC4481" s="8"/>
      <c r="BD4481" s="8"/>
      <c r="BE4481" s="8"/>
      <c r="BF4481" s="8"/>
      <c r="BG4481" s="8">
        <v>47.53</v>
      </c>
      <c r="BH4481" s="9">
        <f t="shared" si="621"/>
        <v>1573.27</v>
      </c>
      <c r="BI4481" s="9">
        <f t="shared" si="622"/>
        <v>2.2000000000000002</v>
      </c>
      <c r="BJ4481" s="9">
        <f t="shared" si="623"/>
        <v>5.05</v>
      </c>
      <c r="BK4481" s="9">
        <f t="shared" si="624"/>
        <v>15.78</v>
      </c>
      <c r="BL4481" s="9">
        <f t="shared" si="625"/>
        <v>0</v>
      </c>
      <c r="BM4481" s="9">
        <f t="shared" si="626"/>
        <v>6.3</v>
      </c>
      <c r="BN4481" s="9">
        <f t="shared" si="627"/>
        <v>650.37</v>
      </c>
      <c r="BO4481" s="9">
        <f t="shared" si="628"/>
        <v>9.51</v>
      </c>
      <c r="BP4481" s="9">
        <f t="shared" si="629"/>
        <v>0</v>
      </c>
    </row>
    <row r="4482" spans="1:68">
      <c r="A4482" s="6">
        <v>45399</v>
      </c>
      <c r="B4482" s="7">
        <v>3112</v>
      </c>
      <c r="C4482" s="8">
        <v>3171.79</v>
      </c>
      <c r="D4482" s="8"/>
      <c r="E4482" s="8"/>
      <c r="F4482" s="8"/>
      <c r="G4482" s="8"/>
      <c r="H4482" s="8"/>
      <c r="I4482" s="8"/>
      <c r="J4482" s="8"/>
      <c r="K4482" s="8"/>
      <c r="L4482" s="8"/>
      <c r="M4482" s="8">
        <v>2.85</v>
      </c>
      <c r="N4482" s="8">
        <v>2.87</v>
      </c>
      <c r="O4482" s="8"/>
      <c r="P4482" s="8"/>
      <c r="Q4482" s="11"/>
      <c r="R4482" s="11"/>
      <c r="S4482" s="8">
        <v>9.5399999999999991</v>
      </c>
      <c r="T4482" s="8"/>
      <c r="U4482" s="8">
        <v>31.74</v>
      </c>
      <c r="V4482" s="8"/>
      <c r="W4482" s="8"/>
      <c r="X4482" s="8"/>
      <c r="Y4482" s="8"/>
      <c r="Z4482" s="8"/>
      <c r="AA4482" s="8"/>
      <c r="AB4482" s="8"/>
      <c r="AC4482" s="8">
        <v>12.69</v>
      </c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11"/>
      <c r="AQ4482" s="8"/>
      <c r="AR4482" s="8"/>
      <c r="AS4482" s="8"/>
      <c r="AT4482" s="8">
        <v>1330.33</v>
      </c>
      <c r="AU4482" s="8"/>
      <c r="AV4482" s="8"/>
      <c r="AW4482" s="8"/>
      <c r="AX4482" s="8"/>
      <c r="AY4482" s="8"/>
      <c r="AZ4482" s="8"/>
      <c r="BA4482" s="8">
        <v>41.9</v>
      </c>
      <c r="BB4482" s="8"/>
      <c r="BC4482" s="8"/>
      <c r="BD4482" s="8"/>
      <c r="BE4482" s="8"/>
      <c r="BF4482" s="8"/>
      <c r="BG4482" s="8">
        <v>95.05</v>
      </c>
      <c r="BH4482" s="9">
        <f t="shared" si="621"/>
        <v>3171.79</v>
      </c>
      <c r="BI4482" s="9">
        <f t="shared" si="622"/>
        <v>5.7200000000000006</v>
      </c>
      <c r="BJ4482" s="9">
        <f t="shared" si="623"/>
        <v>9.5399999999999991</v>
      </c>
      <c r="BK4482" s="9">
        <f t="shared" si="624"/>
        <v>31.74</v>
      </c>
      <c r="BL4482" s="9">
        <f t="shared" si="625"/>
        <v>0</v>
      </c>
      <c r="BM4482" s="9">
        <f t="shared" si="626"/>
        <v>12.69</v>
      </c>
      <c r="BN4482" s="9">
        <f t="shared" si="627"/>
        <v>1330.33</v>
      </c>
      <c r="BO4482" s="9">
        <f t="shared" si="628"/>
        <v>41.9</v>
      </c>
      <c r="BP4482" s="9">
        <f t="shared" si="629"/>
        <v>0</v>
      </c>
    </row>
    <row r="4483" spans="1:68">
      <c r="A4483" s="6">
        <v>45399</v>
      </c>
      <c r="B4483" s="7">
        <v>3106</v>
      </c>
      <c r="C4483" s="8">
        <v>8130.02</v>
      </c>
      <c r="D4483" s="8"/>
      <c r="E4483" s="8"/>
      <c r="F4483" s="8"/>
      <c r="G4483" s="8"/>
      <c r="H4483" s="8"/>
      <c r="I4483" s="8"/>
      <c r="J4483" s="8"/>
      <c r="K4483" s="8"/>
      <c r="L4483" s="8"/>
      <c r="M4483" s="8">
        <v>20.74</v>
      </c>
      <c r="N4483" s="8"/>
      <c r="O4483" s="8"/>
      <c r="P4483" s="8"/>
      <c r="Q4483" s="11"/>
      <c r="R4483" s="11"/>
      <c r="S4483" s="8">
        <v>23.01</v>
      </c>
      <c r="T4483" s="8"/>
      <c r="U4483" s="8">
        <v>103.33</v>
      </c>
      <c r="V4483" s="8"/>
      <c r="W4483" s="8"/>
      <c r="X4483" s="8"/>
      <c r="Y4483" s="8"/>
      <c r="Z4483" s="8"/>
      <c r="AA4483" s="8"/>
      <c r="AB4483" s="8"/>
      <c r="AC4483" s="8">
        <v>20.32</v>
      </c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11"/>
      <c r="AQ4483" s="8"/>
      <c r="AR4483" s="8"/>
      <c r="AS4483" s="8"/>
      <c r="AT4483" s="8">
        <v>4631.3500000000004</v>
      </c>
      <c r="AU4483" s="8"/>
      <c r="AV4483" s="8"/>
      <c r="AW4483" s="8"/>
      <c r="AX4483" s="8">
        <v>10.16</v>
      </c>
      <c r="AY4483" s="8"/>
      <c r="AZ4483" s="8"/>
      <c r="BA4483" s="8"/>
      <c r="BB4483" s="8"/>
      <c r="BC4483" s="8"/>
      <c r="BD4483" s="8"/>
      <c r="BE4483" s="8"/>
      <c r="BF4483" s="8"/>
      <c r="BG4483" s="8">
        <v>349.9</v>
      </c>
      <c r="BH4483" s="9">
        <f t="shared" si="621"/>
        <v>8130.02</v>
      </c>
      <c r="BI4483" s="9">
        <f t="shared" si="622"/>
        <v>20.74</v>
      </c>
      <c r="BJ4483" s="9">
        <f t="shared" si="623"/>
        <v>23.01</v>
      </c>
      <c r="BK4483" s="9">
        <f t="shared" si="624"/>
        <v>103.33</v>
      </c>
      <c r="BL4483" s="9">
        <f t="shared" si="625"/>
        <v>0</v>
      </c>
      <c r="BM4483" s="9">
        <f t="shared" si="626"/>
        <v>20.32</v>
      </c>
      <c r="BN4483" s="9">
        <f t="shared" si="627"/>
        <v>4631.3500000000004</v>
      </c>
      <c r="BO4483" s="9">
        <f t="shared" si="628"/>
        <v>10.16</v>
      </c>
      <c r="BP4483" s="9">
        <f t="shared" si="629"/>
        <v>0</v>
      </c>
    </row>
    <row r="4484" spans="1:68">
      <c r="A4484" s="6">
        <v>45399</v>
      </c>
      <c r="B4484" s="7">
        <v>3113</v>
      </c>
      <c r="C4484" s="8">
        <v>1642.14</v>
      </c>
      <c r="D4484" s="8"/>
      <c r="E4484" s="8"/>
      <c r="F4484" s="8"/>
      <c r="G4484" s="8"/>
      <c r="H4484" s="8"/>
      <c r="I4484" s="8"/>
      <c r="J4484" s="8"/>
      <c r="K4484" s="8"/>
      <c r="L4484" s="8"/>
      <c r="M4484" s="8">
        <v>1.49</v>
      </c>
      <c r="N4484" s="8">
        <v>1.49</v>
      </c>
      <c r="O4484" s="8"/>
      <c r="P4484" s="8"/>
      <c r="Q4484" s="11"/>
      <c r="R4484" s="11"/>
      <c r="S4484" s="8">
        <v>4.9400000000000004</v>
      </c>
      <c r="T4484" s="8"/>
      <c r="U4484" s="8">
        <v>16.45</v>
      </c>
      <c r="V4484" s="8"/>
      <c r="W4484" s="8"/>
      <c r="X4484" s="8"/>
      <c r="Y4484" s="8"/>
      <c r="Z4484" s="8"/>
      <c r="AA4484" s="8"/>
      <c r="AB4484" s="8"/>
      <c r="AC4484" s="8">
        <v>6.57</v>
      </c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11"/>
      <c r="AQ4484" s="8"/>
      <c r="AR4484" s="8"/>
      <c r="AS4484" s="8"/>
      <c r="AT4484" s="8">
        <v>688.93</v>
      </c>
      <c r="AU4484" s="8"/>
      <c r="AV4484" s="8">
        <v>55.93</v>
      </c>
      <c r="AW4484" s="8"/>
      <c r="AX4484" s="8"/>
      <c r="AY4484" s="8"/>
      <c r="AZ4484" s="8"/>
      <c r="BA4484" s="8"/>
      <c r="BB4484" s="8"/>
      <c r="BC4484" s="8"/>
      <c r="BD4484" s="8"/>
      <c r="BE4484" s="8"/>
      <c r="BF4484" s="8"/>
      <c r="BG4484" s="8">
        <v>49.22</v>
      </c>
      <c r="BH4484" s="9">
        <f t="shared" ref="BH4484:BH4547" si="630">SUM(C4484:L4484)</f>
        <v>1642.14</v>
      </c>
      <c r="BI4484" s="9">
        <f t="shared" ref="BI4484:BI4547" si="631">SUM(M4484:R4484)</f>
        <v>2.98</v>
      </c>
      <c r="BJ4484" s="9">
        <f t="shared" ref="BJ4484:BJ4547" si="632">SUM(S4484)</f>
        <v>4.9400000000000004</v>
      </c>
      <c r="BK4484" s="9">
        <f t="shared" ref="BK4484:BK4547" si="633">SUM(T4484:Y4484)</f>
        <v>16.45</v>
      </c>
      <c r="BL4484" s="9">
        <f t="shared" ref="BL4484:BL4547" si="634">SUM(Z4484:AA4484)</f>
        <v>0</v>
      </c>
      <c r="BM4484" s="9">
        <f t="shared" ref="BM4484:BM4547" si="635">SUM(AB4484:AS4484)</f>
        <v>6.57</v>
      </c>
      <c r="BN4484" s="9">
        <f t="shared" ref="BN4484:BN4547" si="636">SUM(AT4484:AU4484)</f>
        <v>688.93</v>
      </c>
      <c r="BO4484" s="9">
        <f t="shared" ref="BO4484:BO4547" si="637">SUM(AV4484:BE4484)</f>
        <v>55.93</v>
      </c>
      <c r="BP4484" s="9">
        <f t="shared" ref="BP4484:BP4547" si="638">SUM(BF4484)</f>
        <v>0</v>
      </c>
    </row>
    <row r="4485" spans="1:68">
      <c r="A4485" s="6">
        <v>45399</v>
      </c>
      <c r="B4485" s="7">
        <v>3028</v>
      </c>
      <c r="C4485" s="8"/>
      <c r="D4485" s="8">
        <v>727.04</v>
      </c>
      <c r="E4485" s="8"/>
      <c r="F4485" s="8">
        <v>669.16</v>
      </c>
      <c r="G4485" s="8"/>
      <c r="H4485" s="8"/>
      <c r="I4485" s="8">
        <v>1512.86</v>
      </c>
      <c r="J4485" s="8"/>
      <c r="K4485" s="8"/>
      <c r="L4485" s="8"/>
      <c r="M4485" s="8"/>
      <c r="N4485" s="8">
        <v>22.43</v>
      </c>
      <c r="O4485" s="8"/>
      <c r="P4485" s="8"/>
      <c r="Q4485" s="11"/>
      <c r="R4485" s="11"/>
      <c r="S4485" s="8">
        <v>4.08</v>
      </c>
      <c r="T4485" s="8"/>
      <c r="U4485" s="8"/>
      <c r="V4485" s="8"/>
      <c r="W4485" s="8">
        <v>21.84</v>
      </c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>
        <v>29.08</v>
      </c>
      <c r="AN4485" s="8">
        <f>1065*19.4/1000</f>
        <v>20.661000000000001</v>
      </c>
      <c r="AO4485" s="8"/>
      <c r="AP4485" s="11"/>
      <c r="AQ4485" s="8"/>
      <c r="AR4485" s="8"/>
      <c r="AS4485" s="8">
        <f>4973*19.4/1000</f>
        <v>96.476199999999992</v>
      </c>
      <c r="AT4485" s="8">
        <v>970.94</v>
      </c>
      <c r="AU4485" s="8"/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  <c r="BF4485" s="8"/>
      <c r="BG4485" s="8">
        <v>65.91</v>
      </c>
      <c r="BH4485" s="9">
        <f t="shared" si="630"/>
        <v>2909.0599999999995</v>
      </c>
      <c r="BI4485" s="9">
        <f t="shared" si="631"/>
        <v>22.43</v>
      </c>
      <c r="BJ4485" s="9">
        <f t="shared" si="632"/>
        <v>4.08</v>
      </c>
      <c r="BK4485" s="9">
        <f t="shared" si="633"/>
        <v>21.84</v>
      </c>
      <c r="BL4485" s="9">
        <f t="shared" si="634"/>
        <v>0</v>
      </c>
      <c r="BM4485" s="9">
        <f t="shared" si="635"/>
        <v>146.21719999999999</v>
      </c>
      <c r="BN4485" s="9">
        <f t="shared" si="636"/>
        <v>970.94</v>
      </c>
      <c r="BO4485" s="9">
        <f t="shared" si="637"/>
        <v>0</v>
      </c>
      <c r="BP4485" s="9">
        <f t="shared" si="638"/>
        <v>0</v>
      </c>
    </row>
    <row r="4486" spans="1:68">
      <c r="A4486" s="6">
        <v>45399</v>
      </c>
      <c r="B4486" s="7">
        <v>3149</v>
      </c>
      <c r="C4486" s="8">
        <v>762.86</v>
      </c>
      <c r="D4486" s="8">
        <v>136.36000000000001</v>
      </c>
      <c r="E4486" s="8"/>
      <c r="F4486" s="8"/>
      <c r="G4486" s="8"/>
      <c r="H4486" s="8"/>
      <c r="I4486" s="8"/>
      <c r="J4486" s="8"/>
      <c r="K4486" s="8"/>
      <c r="L4486" s="8"/>
      <c r="M4486" s="8">
        <v>2.78</v>
      </c>
      <c r="N4486" s="8"/>
      <c r="O4486" s="8"/>
      <c r="P4486" s="8"/>
      <c r="Q4486" s="11"/>
      <c r="R4486" s="11"/>
      <c r="S4486" s="8">
        <v>4.25</v>
      </c>
      <c r="T4486" s="8"/>
      <c r="U4486" s="8">
        <v>13.51</v>
      </c>
      <c r="V4486" s="8"/>
      <c r="W4486" s="8"/>
      <c r="X4486" s="8"/>
      <c r="Y4486" s="8"/>
      <c r="Z4486" s="8"/>
      <c r="AA4486" s="8"/>
      <c r="AB4486" s="8"/>
      <c r="AC4486" s="8">
        <v>3.61</v>
      </c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11"/>
      <c r="AQ4486" s="8"/>
      <c r="AR4486" s="8"/>
      <c r="AS4486" s="8"/>
      <c r="AT4486" s="8">
        <v>590.28</v>
      </c>
      <c r="AU4486" s="8"/>
      <c r="AV4486" s="8"/>
      <c r="AW4486" s="8">
        <v>29.12</v>
      </c>
      <c r="AX4486" s="8"/>
      <c r="AY4486" s="8"/>
      <c r="AZ4486" s="8"/>
      <c r="BA4486" s="8"/>
      <c r="BB4486" s="8"/>
      <c r="BC4486" s="8"/>
      <c r="BD4486" s="8"/>
      <c r="BE4486" s="8"/>
      <c r="BF4486" s="8">
        <v>63.15</v>
      </c>
      <c r="BG4486" s="8">
        <v>47.27</v>
      </c>
      <c r="BH4486" s="9">
        <f t="shared" si="630"/>
        <v>899.22</v>
      </c>
      <c r="BI4486" s="9">
        <f t="shared" si="631"/>
        <v>2.78</v>
      </c>
      <c r="BJ4486" s="9">
        <f t="shared" si="632"/>
        <v>4.25</v>
      </c>
      <c r="BK4486" s="9">
        <f t="shared" si="633"/>
        <v>13.51</v>
      </c>
      <c r="BL4486" s="9">
        <f t="shared" si="634"/>
        <v>0</v>
      </c>
      <c r="BM4486" s="9">
        <f t="shared" si="635"/>
        <v>3.61</v>
      </c>
      <c r="BN4486" s="9">
        <f t="shared" si="636"/>
        <v>590.28</v>
      </c>
      <c r="BO4486" s="9">
        <f t="shared" si="637"/>
        <v>29.12</v>
      </c>
      <c r="BP4486" s="9">
        <f t="shared" si="638"/>
        <v>63.15</v>
      </c>
    </row>
    <row r="4487" spans="1:68">
      <c r="A4487" s="6">
        <v>45399</v>
      </c>
      <c r="B4487" s="7">
        <v>3204</v>
      </c>
      <c r="C4487" s="8"/>
      <c r="D4487" s="8">
        <v>1744.64</v>
      </c>
      <c r="E4487" s="8">
        <v>747.78</v>
      </c>
      <c r="F4487" s="8"/>
      <c r="G4487" s="8"/>
      <c r="H4487" s="8"/>
      <c r="I4487" s="8"/>
      <c r="J4487" s="8"/>
      <c r="K4487" s="8"/>
      <c r="L4487" s="8"/>
      <c r="M4487" s="8"/>
      <c r="N4487" s="8"/>
      <c r="O4487" s="8">
        <v>12.02</v>
      </c>
      <c r="P4487" s="8"/>
      <c r="Q4487" s="11"/>
      <c r="R4487" s="11"/>
      <c r="S4487" s="8">
        <v>8.4700000000000006</v>
      </c>
      <c r="T4487" s="8"/>
      <c r="U4487" s="8">
        <v>27.45</v>
      </c>
      <c r="V4487" s="8"/>
      <c r="W4487" s="8"/>
      <c r="X4487" s="8"/>
      <c r="Y4487" s="8"/>
      <c r="Z4487" s="8">
        <v>374.12</v>
      </c>
      <c r="AA4487" s="8"/>
      <c r="AB4487" s="8">
        <f>712*17.8/1000</f>
        <v>12.6736</v>
      </c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11"/>
      <c r="AQ4487" s="8"/>
      <c r="AR4487" s="8"/>
      <c r="AS4487" s="8"/>
      <c r="AT4487" s="8">
        <v>1099.21</v>
      </c>
      <c r="AU4487" s="8"/>
      <c r="AV4487" s="8"/>
      <c r="AW4487" s="8">
        <v>7.98</v>
      </c>
      <c r="AX4487" s="8"/>
      <c r="AY4487" s="8"/>
      <c r="AZ4487" s="8"/>
      <c r="BA4487" s="8"/>
      <c r="BB4487" s="8"/>
      <c r="BC4487" s="8"/>
      <c r="BD4487" s="8"/>
      <c r="BE4487" s="8"/>
      <c r="BF4487" s="8"/>
      <c r="BG4487" s="8">
        <v>81.099999999999994</v>
      </c>
      <c r="BH4487" s="9">
        <f t="shared" si="630"/>
        <v>2492.42</v>
      </c>
      <c r="BI4487" s="9">
        <f t="shared" si="631"/>
        <v>12.02</v>
      </c>
      <c r="BJ4487" s="9">
        <f t="shared" si="632"/>
        <v>8.4700000000000006</v>
      </c>
      <c r="BK4487" s="9">
        <f t="shared" si="633"/>
        <v>27.45</v>
      </c>
      <c r="BL4487" s="9">
        <f t="shared" si="634"/>
        <v>374.12</v>
      </c>
      <c r="BM4487" s="9">
        <f t="shared" si="635"/>
        <v>12.6736</v>
      </c>
      <c r="BN4487" s="9">
        <f t="shared" si="636"/>
        <v>1099.21</v>
      </c>
      <c r="BO4487" s="9">
        <f t="shared" si="637"/>
        <v>7.98</v>
      </c>
      <c r="BP4487" s="9">
        <f t="shared" si="638"/>
        <v>0</v>
      </c>
    </row>
    <row r="4488" spans="1:68">
      <c r="A4488" s="6">
        <v>45400</v>
      </c>
      <c r="B4488" s="7">
        <v>3158</v>
      </c>
      <c r="C4488" s="8">
        <v>393.94</v>
      </c>
      <c r="D4488" s="8">
        <v>68.430000000000007</v>
      </c>
      <c r="E4488" s="8"/>
      <c r="F4488" s="8"/>
      <c r="G4488" s="8"/>
      <c r="H4488" s="8"/>
      <c r="I4488" s="8"/>
      <c r="J4488" s="8"/>
      <c r="K4488" s="8"/>
      <c r="L4488" s="8"/>
      <c r="M4488" s="8">
        <v>1.4</v>
      </c>
      <c r="N4488" s="8"/>
      <c r="O4488" s="8"/>
      <c r="P4488" s="8"/>
      <c r="Q4488" s="11"/>
      <c r="R4488" s="11"/>
      <c r="S4488" s="8">
        <v>2.1800000000000002</v>
      </c>
      <c r="T4488" s="8"/>
      <c r="U4488" s="8">
        <v>6.96</v>
      </c>
      <c r="V4488" s="8"/>
      <c r="W4488" s="8"/>
      <c r="X4488" s="8"/>
      <c r="Y4488" s="8"/>
      <c r="Z4488" s="8"/>
      <c r="AA4488" s="8"/>
      <c r="AB4488" s="8"/>
      <c r="AC4488" s="8">
        <v>1.85</v>
      </c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11"/>
      <c r="AQ4488" s="8"/>
      <c r="AR4488" s="8"/>
      <c r="AS4488" s="8"/>
      <c r="AT4488" s="8">
        <v>305.32</v>
      </c>
      <c r="AU4488" s="8"/>
      <c r="AV4488" s="8"/>
      <c r="AW4488" s="8"/>
      <c r="AX4488" s="8"/>
      <c r="AY4488" s="8"/>
      <c r="AZ4488" s="8"/>
      <c r="BA4488" s="8"/>
      <c r="BB4488" s="8"/>
      <c r="BC4488" s="8">
        <v>0.81</v>
      </c>
      <c r="BD4488" s="8"/>
      <c r="BE4488" s="8"/>
      <c r="BF4488" s="8">
        <v>32.51</v>
      </c>
      <c r="BG4488" s="8">
        <v>24.3</v>
      </c>
      <c r="BH4488" s="9">
        <f t="shared" si="630"/>
        <v>462.37</v>
      </c>
      <c r="BI4488" s="9">
        <f t="shared" si="631"/>
        <v>1.4</v>
      </c>
      <c r="BJ4488" s="9">
        <f t="shared" si="632"/>
        <v>2.1800000000000002</v>
      </c>
      <c r="BK4488" s="9">
        <f t="shared" si="633"/>
        <v>6.96</v>
      </c>
      <c r="BL4488" s="9">
        <f t="shared" si="634"/>
        <v>0</v>
      </c>
      <c r="BM4488" s="9">
        <f t="shared" si="635"/>
        <v>1.85</v>
      </c>
      <c r="BN4488" s="9">
        <f t="shared" si="636"/>
        <v>305.32</v>
      </c>
      <c r="BO4488" s="9">
        <f t="shared" si="637"/>
        <v>0.81</v>
      </c>
      <c r="BP4488" s="9">
        <f t="shared" si="638"/>
        <v>32.51</v>
      </c>
    </row>
    <row r="4489" spans="1:68">
      <c r="A4489" s="6">
        <v>45400</v>
      </c>
      <c r="B4489" s="7">
        <v>3704</v>
      </c>
      <c r="C4489" s="8">
        <v>359.67</v>
      </c>
      <c r="D4489" s="8">
        <v>540.16</v>
      </c>
      <c r="E4489" s="8"/>
      <c r="F4489" s="8"/>
      <c r="G4489" s="8"/>
      <c r="H4489" s="8"/>
      <c r="I4489" s="8"/>
      <c r="J4489" s="8"/>
      <c r="K4489" s="8"/>
      <c r="L4489" s="8"/>
      <c r="M4489" s="8">
        <v>2.71</v>
      </c>
      <c r="N4489" s="8"/>
      <c r="O4489" s="8"/>
      <c r="P4489" s="8"/>
      <c r="Q4489" s="11"/>
      <c r="R4489" s="11"/>
      <c r="S4489" s="8">
        <v>3.13</v>
      </c>
      <c r="T4489" s="8"/>
      <c r="U4489" s="8">
        <v>6.76</v>
      </c>
      <c r="V4489" s="8"/>
      <c r="W4489" s="8"/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>
        <v>10.79</v>
      </c>
      <c r="AN4489" s="8"/>
      <c r="AO4489" s="8"/>
      <c r="AP4489" s="11"/>
      <c r="AQ4489" s="8"/>
      <c r="AR4489" s="8"/>
      <c r="AS4489" s="8"/>
      <c r="AT4489" s="8">
        <v>156.91</v>
      </c>
      <c r="AU4489" s="8">
        <v>78.34</v>
      </c>
      <c r="AV4489" s="8"/>
      <c r="AW4489" s="8"/>
      <c r="AX4489" s="8"/>
      <c r="AY4489" s="8"/>
      <c r="AZ4489" s="8"/>
      <c r="BA4489" s="8"/>
      <c r="BB4489" s="8"/>
      <c r="BC4489" s="8"/>
      <c r="BD4489" s="8"/>
      <c r="BE4489" s="8"/>
      <c r="BF4489" s="8"/>
      <c r="BG4489" s="8">
        <v>14.35</v>
      </c>
      <c r="BH4489" s="9">
        <f t="shared" si="630"/>
        <v>899.82999999999993</v>
      </c>
      <c r="BI4489" s="9">
        <f t="shared" si="631"/>
        <v>2.71</v>
      </c>
      <c r="BJ4489" s="9">
        <f t="shared" si="632"/>
        <v>3.13</v>
      </c>
      <c r="BK4489" s="9">
        <f t="shared" si="633"/>
        <v>6.76</v>
      </c>
      <c r="BL4489" s="9">
        <f t="shared" si="634"/>
        <v>0</v>
      </c>
      <c r="BM4489" s="9">
        <f t="shared" si="635"/>
        <v>10.79</v>
      </c>
      <c r="BN4489" s="9">
        <f t="shared" si="636"/>
        <v>235.25</v>
      </c>
      <c r="BO4489" s="9">
        <f t="shared" si="637"/>
        <v>0</v>
      </c>
      <c r="BP4489" s="9">
        <f t="shared" si="638"/>
        <v>0</v>
      </c>
    </row>
    <row r="4490" spans="1:68">
      <c r="A4490" s="6">
        <v>45400</v>
      </c>
      <c r="B4490" s="7">
        <v>3702</v>
      </c>
      <c r="C4490" s="8">
        <v>517.69000000000005</v>
      </c>
      <c r="D4490" s="8">
        <v>345.9</v>
      </c>
      <c r="E4490" s="8"/>
      <c r="F4490" s="8"/>
      <c r="G4490" s="8"/>
      <c r="H4490" s="8"/>
      <c r="I4490" s="8"/>
      <c r="J4490" s="8"/>
      <c r="K4490" s="8"/>
      <c r="L4490" s="8"/>
      <c r="M4490" s="8">
        <v>1.74</v>
      </c>
      <c r="N4490" s="8"/>
      <c r="O4490" s="8"/>
      <c r="P4490" s="8"/>
      <c r="Q4490" s="11"/>
      <c r="R4490" s="11"/>
      <c r="S4490" s="8">
        <v>4.07</v>
      </c>
      <c r="T4490" s="8"/>
      <c r="U4490" s="8">
        <v>6.49</v>
      </c>
      <c r="V4490" s="8"/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11"/>
      <c r="AQ4490" s="8"/>
      <c r="AR4490" s="8"/>
      <c r="AS4490" s="8"/>
      <c r="AT4490" s="8">
        <v>210.73</v>
      </c>
      <c r="AU4490" s="8">
        <v>105.4</v>
      </c>
      <c r="AV4490" s="8"/>
      <c r="AW4490" s="8">
        <v>1.91</v>
      </c>
      <c r="AX4490" s="8"/>
      <c r="AY4490" s="8"/>
      <c r="AZ4490" s="8"/>
      <c r="BA4490" s="8"/>
      <c r="BB4490" s="8"/>
      <c r="BC4490" s="8"/>
      <c r="BD4490" s="8"/>
      <c r="BE4490" s="8"/>
      <c r="BF4490" s="8"/>
      <c r="BG4490" s="8">
        <v>22.13</v>
      </c>
      <c r="BH4490" s="9">
        <f t="shared" si="630"/>
        <v>863.59</v>
      </c>
      <c r="BI4490" s="9">
        <f t="shared" si="631"/>
        <v>1.74</v>
      </c>
      <c r="BJ4490" s="9">
        <f t="shared" si="632"/>
        <v>4.07</v>
      </c>
      <c r="BK4490" s="9">
        <f t="shared" si="633"/>
        <v>6.49</v>
      </c>
      <c r="BL4490" s="9">
        <f t="shared" si="634"/>
        <v>0</v>
      </c>
      <c r="BM4490" s="9">
        <f t="shared" si="635"/>
        <v>0</v>
      </c>
      <c r="BN4490" s="9">
        <f t="shared" si="636"/>
        <v>316.13</v>
      </c>
      <c r="BO4490" s="9">
        <f t="shared" si="637"/>
        <v>1.91</v>
      </c>
      <c r="BP4490" s="9">
        <f t="shared" si="638"/>
        <v>0</v>
      </c>
    </row>
    <row r="4491" spans="1:68">
      <c r="A4491" s="6">
        <v>45400</v>
      </c>
      <c r="B4491" s="7">
        <v>3602</v>
      </c>
      <c r="C4491" s="8">
        <f>25.84+562.05</f>
        <v>587.89</v>
      </c>
      <c r="D4491" s="8"/>
      <c r="E4491" s="8"/>
      <c r="F4491" s="8"/>
      <c r="G4491" s="8">
        <f>842.47+38.88</f>
        <v>881.35</v>
      </c>
      <c r="H4491" s="8"/>
      <c r="I4491" s="8"/>
      <c r="J4491" s="8"/>
      <c r="K4491" s="8"/>
      <c r="L4491" s="8"/>
      <c r="M4491" s="8">
        <f>0.08+1.69</f>
        <v>1.77</v>
      </c>
      <c r="N4491" s="8"/>
      <c r="O4491" s="8"/>
      <c r="P4491" s="8"/>
      <c r="Q4491" s="11"/>
      <c r="R4491" s="11"/>
      <c r="S4491" s="8">
        <f>6.07+0.29</f>
        <v>6.36</v>
      </c>
      <c r="T4491" s="8"/>
      <c r="U4491" s="8">
        <f>0.52+11.25</f>
        <v>11.77</v>
      </c>
      <c r="V4491" s="8">
        <f>862*16.17/1000</f>
        <v>13.938540000000001</v>
      </c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11"/>
      <c r="AQ4491" s="8"/>
      <c r="AR4491" s="8"/>
      <c r="AS4491" s="8"/>
      <c r="AT4491" s="8">
        <f>566.51+26.27</f>
        <v>592.78</v>
      </c>
      <c r="AU4491" s="8"/>
      <c r="AV4491" s="8"/>
      <c r="AW4491" s="8">
        <f>36.32+1.69</f>
        <v>38.01</v>
      </c>
      <c r="AX4491" s="8"/>
      <c r="AY4491" s="8"/>
      <c r="AZ4491" s="8"/>
      <c r="BA4491" s="8"/>
      <c r="BB4491" s="8"/>
      <c r="BC4491" s="8"/>
      <c r="BD4491" s="8"/>
      <c r="BE4491" s="8"/>
      <c r="BF4491" s="8">
        <f>2.1+44.98</f>
        <v>47.08</v>
      </c>
      <c r="BG4491" s="8">
        <f>42.29+1.94</f>
        <v>44.23</v>
      </c>
      <c r="BH4491" s="9">
        <f t="shared" si="630"/>
        <v>1469.24</v>
      </c>
      <c r="BI4491" s="9">
        <f t="shared" si="631"/>
        <v>1.77</v>
      </c>
      <c r="BJ4491" s="9">
        <f t="shared" si="632"/>
        <v>6.36</v>
      </c>
      <c r="BK4491" s="9">
        <f t="shared" si="633"/>
        <v>25.708539999999999</v>
      </c>
      <c r="BL4491" s="9">
        <f t="shared" si="634"/>
        <v>0</v>
      </c>
      <c r="BM4491" s="9">
        <f t="shared" si="635"/>
        <v>0</v>
      </c>
      <c r="BN4491" s="9">
        <f t="shared" si="636"/>
        <v>592.78</v>
      </c>
      <c r="BO4491" s="9">
        <f t="shared" si="637"/>
        <v>38.01</v>
      </c>
      <c r="BP4491" s="9">
        <f t="shared" si="638"/>
        <v>47.08</v>
      </c>
    </row>
    <row r="4492" spans="1:68">
      <c r="A4492" s="6">
        <v>45400</v>
      </c>
      <c r="B4492" s="7">
        <v>3141</v>
      </c>
      <c r="C4492" s="8">
        <v>2418.9</v>
      </c>
      <c r="D4492" s="8">
        <v>427.04</v>
      </c>
      <c r="E4492" s="8"/>
      <c r="F4492" s="8"/>
      <c r="G4492" s="8"/>
      <c r="H4492" s="8"/>
      <c r="I4492" s="8"/>
      <c r="J4492" s="8"/>
      <c r="K4492" s="8"/>
      <c r="L4492" s="8"/>
      <c r="M4492" s="8">
        <v>8.2200000000000006</v>
      </c>
      <c r="N4492" s="8"/>
      <c r="O4492" s="8"/>
      <c r="P4492" s="8"/>
      <c r="Q4492" s="11"/>
      <c r="R4492" s="11"/>
      <c r="S4492" s="8">
        <v>13.39</v>
      </c>
      <c r="T4492" s="8"/>
      <c r="U4492" s="8">
        <v>42.72</v>
      </c>
      <c r="V4492" s="8"/>
      <c r="W4492" s="8"/>
      <c r="X4492" s="8"/>
      <c r="Y4492" s="8"/>
      <c r="Z4492" s="8"/>
      <c r="AA4492" s="8"/>
      <c r="AB4492" s="8"/>
      <c r="AC4492" s="8">
        <v>11.4</v>
      </c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11"/>
      <c r="AQ4492" s="8"/>
      <c r="AR4492" s="8"/>
      <c r="AS4492" s="8"/>
      <c r="AT4492" s="8">
        <v>1878.89</v>
      </c>
      <c r="AU4492" s="8"/>
      <c r="AV4492" s="8"/>
      <c r="AW4492" s="8"/>
      <c r="AX4492" s="8"/>
      <c r="AY4492" s="8"/>
      <c r="AZ4492" s="8"/>
      <c r="BA4492" s="8">
        <v>65.27</v>
      </c>
      <c r="BB4492" s="8"/>
      <c r="BC4492" s="8"/>
      <c r="BD4492" s="8"/>
      <c r="BE4492" s="8"/>
      <c r="BF4492" s="8">
        <v>199.3</v>
      </c>
      <c r="BG4492" s="8">
        <v>148.19999999999999</v>
      </c>
      <c r="BH4492" s="9">
        <f t="shared" si="630"/>
        <v>2845.94</v>
      </c>
      <c r="BI4492" s="9">
        <f t="shared" si="631"/>
        <v>8.2200000000000006</v>
      </c>
      <c r="BJ4492" s="9">
        <f t="shared" si="632"/>
        <v>13.39</v>
      </c>
      <c r="BK4492" s="9">
        <f t="shared" si="633"/>
        <v>42.72</v>
      </c>
      <c r="BL4492" s="9">
        <f t="shared" si="634"/>
        <v>0</v>
      </c>
      <c r="BM4492" s="9">
        <f t="shared" si="635"/>
        <v>11.4</v>
      </c>
      <c r="BN4492" s="9">
        <f t="shared" si="636"/>
        <v>1878.89</v>
      </c>
      <c r="BO4492" s="9">
        <f t="shared" si="637"/>
        <v>65.27</v>
      </c>
      <c r="BP4492" s="9">
        <f t="shared" si="638"/>
        <v>199.3</v>
      </c>
    </row>
    <row r="4493" spans="1:68">
      <c r="A4493" s="6">
        <v>45400</v>
      </c>
      <c r="B4493" s="7">
        <v>3106</v>
      </c>
      <c r="C4493" s="8">
        <v>6089.92</v>
      </c>
      <c r="D4493" s="8"/>
      <c r="E4493" s="8"/>
      <c r="F4493" s="8"/>
      <c r="G4493" s="8"/>
      <c r="H4493" s="8"/>
      <c r="I4493" s="8"/>
      <c r="J4493" s="8"/>
      <c r="K4493" s="8"/>
      <c r="L4493" s="8"/>
      <c r="M4493" s="8">
        <v>16.440000000000001</v>
      </c>
      <c r="N4493" s="8"/>
      <c r="O4493" s="8"/>
      <c r="P4493" s="8"/>
      <c r="Q4493" s="8"/>
      <c r="R4493" s="8"/>
      <c r="S4493" s="8">
        <v>17.100000000000001</v>
      </c>
      <c r="T4493" s="8"/>
      <c r="U4493" s="8">
        <v>77.489999999999995</v>
      </c>
      <c r="V4493" s="8"/>
      <c r="W4493" s="8"/>
      <c r="X4493" s="8"/>
      <c r="Y4493" s="8"/>
      <c r="Z4493" s="8"/>
      <c r="AA4493" s="8"/>
      <c r="AB4493" s="8"/>
      <c r="AC4493" s="8">
        <v>15.23</v>
      </c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>
        <v>3473.54</v>
      </c>
      <c r="AU4493" s="8"/>
      <c r="AV4493" s="8"/>
      <c r="AW4493" s="8"/>
      <c r="AX4493" s="8">
        <v>7.62</v>
      </c>
      <c r="AY4493" s="8"/>
      <c r="AZ4493" s="8"/>
      <c r="BA4493" s="8"/>
      <c r="BB4493" s="8"/>
      <c r="BC4493" s="8"/>
      <c r="BD4493" s="8"/>
      <c r="BE4493" s="8"/>
      <c r="BF4493" s="8"/>
      <c r="BG4493" s="8">
        <v>261.93</v>
      </c>
      <c r="BH4493" s="9">
        <f t="shared" si="630"/>
        <v>6089.92</v>
      </c>
      <c r="BI4493" s="9">
        <f t="shared" si="631"/>
        <v>16.440000000000001</v>
      </c>
      <c r="BJ4493" s="9">
        <f t="shared" si="632"/>
        <v>17.100000000000001</v>
      </c>
      <c r="BK4493" s="9">
        <f t="shared" si="633"/>
        <v>77.489999999999995</v>
      </c>
      <c r="BL4493" s="9">
        <f t="shared" si="634"/>
        <v>0</v>
      </c>
      <c r="BM4493" s="9">
        <f t="shared" si="635"/>
        <v>15.23</v>
      </c>
      <c r="BN4493" s="9">
        <f t="shared" si="636"/>
        <v>3473.54</v>
      </c>
      <c r="BO4493" s="9">
        <f t="shared" si="637"/>
        <v>7.62</v>
      </c>
      <c r="BP4493" s="9">
        <f t="shared" si="638"/>
        <v>0</v>
      </c>
    </row>
    <row r="4494" spans="1:68">
      <c r="A4494" s="6">
        <v>45400</v>
      </c>
      <c r="B4494" s="7">
        <v>3083</v>
      </c>
      <c r="C4494" s="8"/>
      <c r="D4494" s="8">
        <v>734.74</v>
      </c>
      <c r="E4494" s="8"/>
      <c r="F4494" s="8"/>
      <c r="G4494" s="8"/>
      <c r="H4494" s="8"/>
      <c r="I4494" s="8">
        <v>1714.42</v>
      </c>
      <c r="J4494" s="8"/>
      <c r="K4494" s="8"/>
      <c r="L4494" s="8"/>
      <c r="M4494" s="8"/>
      <c r="N4494" s="8">
        <v>15.94</v>
      </c>
      <c r="O4494" s="8"/>
      <c r="P4494" s="8"/>
      <c r="Q4494" s="11"/>
      <c r="R4494" s="11"/>
      <c r="S4494" s="8">
        <v>1.71</v>
      </c>
      <c r="T4494" s="8"/>
      <c r="U4494" s="8"/>
      <c r="V4494" s="8"/>
      <c r="W4494" s="8">
        <v>19.600000000000001</v>
      </c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>
        <v>9.76</v>
      </c>
      <c r="AN4494" s="8">
        <f>1920*18.13/1000</f>
        <v>34.809599999999996</v>
      </c>
      <c r="AO4494" s="8"/>
      <c r="AP4494" s="11"/>
      <c r="AQ4494" s="8"/>
      <c r="AR4494" s="8">
        <f>3470*18.13/1000</f>
        <v>62.911099999999998</v>
      </c>
      <c r="AS4494" s="8"/>
      <c r="AT4494" s="8">
        <v>1152.3499999999999</v>
      </c>
      <c r="AU4494" s="8"/>
      <c r="AV4494" s="8"/>
      <c r="AW4494" s="8"/>
      <c r="AX4494" s="8"/>
      <c r="AY4494" s="8"/>
      <c r="AZ4494" s="8"/>
      <c r="BA4494" s="8"/>
      <c r="BB4494" s="8"/>
      <c r="BC4494" s="8"/>
      <c r="BD4494" s="8"/>
      <c r="BE4494" s="8"/>
      <c r="BF4494" s="8"/>
      <c r="BG4494" s="8">
        <v>91.42</v>
      </c>
      <c r="BH4494" s="9">
        <f t="shared" si="630"/>
        <v>2449.16</v>
      </c>
      <c r="BI4494" s="9">
        <f t="shared" si="631"/>
        <v>15.94</v>
      </c>
      <c r="BJ4494" s="9">
        <f t="shared" si="632"/>
        <v>1.71</v>
      </c>
      <c r="BK4494" s="9">
        <f t="shared" si="633"/>
        <v>19.600000000000001</v>
      </c>
      <c r="BL4494" s="9">
        <f t="shared" si="634"/>
        <v>0</v>
      </c>
      <c r="BM4494" s="9">
        <f t="shared" si="635"/>
        <v>107.48069999999998</v>
      </c>
      <c r="BN4494" s="9">
        <f t="shared" si="636"/>
        <v>1152.3499999999999</v>
      </c>
      <c r="BO4494" s="9">
        <f t="shared" si="637"/>
        <v>0</v>
      </c>
      <c r="BP4494" s="9">
        <f t="shared" si="638"/>
        <v>0</v>
      </c>
    </row>
    <row r="4495" spans="1:68">
      <c r="A4495" s="6">
        <v>45400</v>
      </c>
      <c r="B4495" s="7">
        <v>3203</v>
      </c>
      <c r="C4495" s="8">
        <v>1680.41</v>
      </c>
      <c r="D4495" s="8"/>
      <c r="E4495" s="8">
        <v>720.17</v>
      </c>
      <c r="F4495" s="8"/>
      <c r="G4495" s="8"/>
      <c r="H4495" s="8"/>
      <c r="I4495" s="8"/>
      <c r="J4495" s="8"/>
      <c r="K4495" s="8"/>
      <c r="L4495" s="8"/>
      <c r="M4495" s="8"/>
      <c r="N4495" s="8"/>
      <c r="O4495" s="8">
        <v>7.17</v>
      </c>
      <c r="P4495" s="8"/>
      <c r="Q4495" s="11"/>
      <c r="R4495" s="11"/>
      <c r="S4495" s="8">
        <v>9.7200000000000006</v>
      </c>
      <c r="T4495" s="8"/>
      <c r="U4495" s="8">
        <v>29.79</v>
      </c>
      <c r="V4495" s="8"/>
      <c r="W4495" s="8"/>
      <c r="X4495" s="8"/>
      <c r="Y4495" s="8"/>
      <c r="Z4495" s="8">
        <v>378.53</v>
      </c>
      <c r="AA4495" s="8">
        <f>10359*28.27/1000</f>
        <v>292.84893</v>
      </c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11"/>
      <c r="AQ4495" s="8"/>
      <c r="AR4495" s="8"/>
      <c r="AS4495" s="8"/>
      <c r="AT4495" s="8">
        <v>897.75</v>
      </c>
      <c r="AU4495" s="8">
        <v>449.4</v>
      </c>
      <c r="AV4495" s="8"/>
      <c r="AW4495" s="8"/>
      <c r="AX4495" s="8"/>
      <c r="AY4495" s="8"/>
      <c r="AZ4495" s="8"/>
      <c r="BA4495" s="8"/>
      <c r="BB4495" s="8"/>
      <c r="BC4495" s="8">
        <v>6.25</v>
      </c>
      <c r="BD4495" s="8"/>
      <c r="BE4495" s="8"/>
      <c r="BF4495" s="8"/>
      <c r="BG4495" s="8">
        <v>87.9</v>
      </c>
      <c r="BH4495" s="9">
        <f t="shared" si="630"/>
        <v>2400.58</v>
      </c>
      <c r="BI4495" s="9">
        <f t="shared" si="631"/>
        <v>7.17</v>
      </c>
      <c r="BJ4495" s="9">
        <f t="shared" si="632"/>
        <v>9.7200000000000006</v>
      </c>
      <c r="BK4495" s="9">
        <f t="shared" si="633"/>
        <v>29.79</v>
      </c>
      <c r="BL4495" s="9">
        <f t="shared" si="634"/>
        <v>671.37892999999997</v>
      </c>
      <c r="BM4495" s="9">
        <f t="shared" si="635"/>
        <v>0</v>
      </c>
      <c r="BN4495" s="9">
        <f t="shared" si="636"/>
        <v>1347.15</v>
      </c>
      <c r="BO4495" s="9">
        <f t="shared" si="637"/>
        <v>6.25</v>
      </c>
      <c r="BP4495" s="9">
        <f t="shared" si="638"/>
        <v>0</v>
      </c>
    </row>
    <row r="4496" spans="1:68">
      <c r="A4496" s="6">
        <v>45400</v>
      </c>
      <c r="B4496" s="7">
        <v>3200</v>
      </c>
      <c r="C4496" s="8">
        <v>2306.9699999999998</v>
      </c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>
        <v>5.76</v>
      </c>
      <c r="P4496" s="8"/>
      <c r="Q4496" s="11"/>
      <c r="R4496" s="11"/>
      <c r="S4496" s="8">
        <v>9</v>
      </c>
      <c r="T4496" s="8"/>
      <c r="U4496" s="8">
        <v>34.61</v>
      </c>
      <c r="V4496" s="8"/>
      <c r="W4496" s="8"/>
      <c r="X4496" s="8"/>
      <c r="Y4496" s="8"/>
      <c r="Z4496" s="8">
        <v>485.23</v>
      </c>
      <c r="AA4496" s="8"/>
      <c r="AB4496" s="8"/>
      <c r="AC4496" s="8"/>
      <c r="AD4496" s="8"/>
      <c r="AE4496" s="8"/>
      <c r="AF4496" s="8">
        <v>115.19</v>
      </c>
      <c r="AG4496" s="8"/>
      <c r="AH4496" s="8"/>
      <c r="AI4496" s="8"/>
      <c r="AJ4496" s="8"/>
      <c r="AK4496" s="8"/>
      <c r="AL4496" s="8"/>
      <c r="AM4496" s="8"/>
      <c r="AN4496" s="8"/>
      <c r="AO4496" s="8"/>
      <c r="AP4496" s="11"/>
      <c r="AQ4496" s="8">
        <f>1508*23.08/1000</f>
        <v>34.804639999999999</v>
      </c>
      <c r="AR4496" s="8"/>
      <c r="AS4496" s="8"/>
      <c r="AT4496" s="8">
        <v>1579.9</v>
      </c>
      <c r="AU4496" s="8"/>
      <c r="AV4496" s="8"/>
      <c r="AW4496" s="8">
        <v>6.57</v>
      </c>
      <c r="AX4496" s="8"/>
      <c r="AY4496" s="8"/>
      <c r="AZ4496" s="8"/>
      <c r="BA4496" s="8"/>
      <c r="BB4496" s="8"/>
      <c r="BC4496" s="8"/>
      <c r="BD4496" s="8"/>
      <c r="BE4496" s="8"/>
      <c r="BF4496" s="8">
        <v>110.89</v>
      </c>
      <c r="BG4496" s="8">
        <v>114.31</v>
      </c>
      <c r="BH4496" s="9">
        <f t="shared" si="630"/>
        <v>2306.9699999999998</v>
      </c>
      <c r="BI4496" s="9">
        <f t="shared" si="631"/>
        <v>5.76</v>
      </c>
      <c r="BJ4496" s="9">
        <f t="shared" si="632"/>
        <v>9</v>
      </c>
      <c r="BK4496" s="9">
        <f t="shared" si="633"/>
        <v>34.61</v>
      </c>
      <c r="BL4496" s="9">
        <f t="shared" si="634"/>
        <v>485.23</v>
      </c>
      <c r="BM4496" s="9">
        <f t="shared" si="635"/>
        <v>149.99464</v>
      </c>
      <c r="BN4496" s="9">
        <f t="shared" si="636"/>
        <v>1579.9</v>
      </c>
      <c r="BO4496" s="9">
        <f t="shared" si="637"/>
        <v>6.57</v>
      </c>
      <c r="BP4496" s="9">
        <f t="shared" si="638"/>
        <v>110.89</v>
      </c>
    </row>
    <row r="4497" spans="1:68">
      <c r="A4497" s="6">
        <v>45401</v>
      </c>
      <c r="B4497" s="7">
        <v>3200</v>
      </c>
      <c r="C4497" s="8">
        <v>2366.12</v>
      </c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>
        <v>5.95</v>
      </c>
      <c r="P4497" s="8"/>
      <c r="Q4497" s="11"/>
      <c r="R4497" s="11"/>
      <c r="S4497" s="8">
        <v>9.25</v>
      </c>
      <c r="T4497" s="8"/>
      <c r="U4497" s="8">
        <v>35.549999999999997</v>
      </c>
      <c r="V4497" s="8"/>
      <c r="W4497" s="8"/>
      <c r="X4497" s="8"/>
      <c r="Y4497" s="8"/>
      <c r="Z4497" s="8">
        <v>497.96</v>
      </c>
      <c r="AA4497" s="8"/>
      <c r="AB4497" s="8"/>
      <c r="AC4497" s="8"/>
      <c r="AD4497" s="8"/>
      <c r="AE4497" s="8"/>
      <c r="AF4497" s="8">
        <v>119.04</v>
      </c>
      <c r="AG4497" s="8"/>
      <c r="AH4497" s="8"/>
      <c r="AI4497" s="8"/>
      <c r="AJ4497" s="8"/>
      <c r="AK4497" s="8"/>
      <c r="AL4497" s="8"/>
      <c r="AM4497" s="8"/>
      <c r="AN4497" s="8"/>
      <c r="AO4497" s="8"/>
      <c r="AP4497" s="11"/>
      <c r="AQ4497" s="8">
        <f>1532*23.68/1000</f>
        <v>36.277760000000001</v>
      </c>
      <c r="AR4497" s="8"/>
      <c r="AS4497" s="8"/>
      <c r="AT4497" s="8">
        <v>1621.5</v>
      </c>
      <c r="AU4497" s="8"/>
      <c r="AV4497" s="8"/>
      <c r="AW4497" s="8">
        <v>6.89</v>
      </c>
      <c r="AX4497" s="8"/>
      <c r="AY4497" s="8"/>
      <c r="AZ4497" s="8"/>
      <c r="BA4497" s="8"/>
      <c r="BB4497" s="8"/>
      <c r="BC4497" s="8"/>
      <c r="BD4497" s="8"/>
      <c r="BE4497" s="8"/>
      <c r="BF4497" s="8">
        <v>113.76</v>
      </c>
      <c r="BG4497" s="8">
        <v>117.39</v>
      </c>
      <c r="BH4497" s="9">
        <f t="shared" si="630"/>
        <v>2366.12</v>
      </c>
      <c r="BI4497" s="9">
        <f t="shared" si="631"/>
        <v>5.95</v>
      </c>
      <c r="BJ4497" s="9">
        <f t="shared" si="632"/>
        <v>9.25</v>
      </c>
      <c r="BK4497" s="9">
        <f t="shared" si="633"/>
        <v>35.549999999999997</v>
      </c>
      <c r="BL4497" s="9">
        <f t="shared" si="634"/>
        <v>497.96</v>
      </c>
      <c r="BM4497" s="9">
        <f t="shared" si="635"/>
        <v>155.31776000000002</v>
      </c>
      <c r="BN4497" s="9">
        <f t="shared" si="636"/>
        <v>1621.5</v>
      </c>
      <c r="BO4497" s="9">
        <f t="shared" si="637"/>
        <v>6.89</v>
      </c>
      <c r="BP4497" s="9">
        <f t="shared" si="638"/>
        <v>113.76</v>
      </c>
    </row>
    <row r="4498" spans="1:68">
      <c r="A4498" s="6">
        <v>45401</v>
      </c>
      <c r="B4498" s="7">
        <v>3020</v>
      </c>
      <c r="C4498" s="8"/>
      <c r="D4498" s="8">
        <v>174.37</v>
      </c>
      <c r="E4498" s="8"/>
      <c r="F4498" s="8"/>
      <c r="G4498" s="8"/>
      <c r="H4498" s="8"/>
      <c r="I4498" s="8">
        <v>985.85</v>
      </c>
      <c r="J4498" s="8"/>
      <c r="K4498" s="8"/>
      <c r="L4498" s="8"/>
      <c r="M4498" s="8"/>
      <c r="N4498" s="8">
        <v>7.08</v>
      </c>
      <c r="O4498" s="8"/>
      <c r="P4498" s="8"/>
      <c r="Q4498" s="11"/>
      <c r="R4498" s="11"/>
      <c r="S4498" s="8">
        <v>2.09</v>
      </c>
      <c r="T4498" s="8"/>
      <c r="U4498" s="8"/>
      <c r="V4498" s="8"/>
      <c r="W4498" s="8">
        <v>11.62</v>
      </c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>
        <v>11.58</v>
      </c>
      <c r="AN4498" s="8"/>
      <c r="AO4498" s="8"/>
      <c r="AP4498" s="11"/>
      <c r="AQ4498" s="8"/>
      <c r="AR4498" s="8"/>
      <c r="AS4498" s="8">
        <f>3029*9.67/1000</f>
        <v>29.290430000000001</v>
      </c>
      <c r="AT4498" s="8">
        <v>570.16</v>
      </c>
      <c r="AU4498" s="8"/>
      <c r="AV4498" s="8"/>
      <c r="AW4498" s="8"/>
      <c r="AX4498" s="8"/>
      <c r="AY4498" s="8"/>
      <c r="AZ4498" s="8"/>
      <c r="BA4498" s="8"/>
      <c r="BB4498" s="8"/>
      <c r="BC4498" s="8"/>
      <c r="BD4498" s="8"/>
      <c r="BE4498" s="8"/>
      <c r="BF4498" s="8"/>
      <c r="BG4498" s="8">
        <v>41.73</v>
      </c>
      <c r="BH4498" s="9">
        <f t="shared" si="630"/>
        <v>1160.22</v>
      </c>
      <c r="BI4498" s="9">
        <f t="shared" si="631"/>
        <v>7.08</v>
      </c>
      <c r="BJ4498" s="9">
        <f t="shared" si="632"/>
        <v>2.09</v>
      </c>
      <c r="BK4498" s="9">
        <f t="shared" si="633"/>
        <v>11.62</v>
      </c>
      <c r="BL4498" s="9">
        <f t="shared" si="634"/>
        <v>0</v>
      </c>
      <c r="BM4498" s="9">
        <f t="shared" si="635"/>
        <v>40.870429999999999</v>
      </c>
      <c r="BN4498" s="9">
        <f t="shared" si="636"/>
        <v>570.16</v>
      </c>
      <c r="BO4498" s="9">
        <f t="shared" si="637"/>
        <v>0</v>
      </c>
      <c r="BP4498" s="9">
        <f t="shared" si="638"/>
        <v>0</v>
      </c>
    </row>
    <row r="4499" spans="1:68">
      <c r="A4499" s="6">
        <v>45401</v>
      </c>
      <c r="B4499" s="7">
        <v>3021</v>
      </c>
      <c r="C4499" s="8"/>
      <c r="D4499" s="8">
        <v>193.45</v>
      </c>
      <c r="E4499" s="8"/>
      <c r="F4499" s="8"/>
      <c r="G4499" s="8"/>
      <c r="H4499" s="8"/>
      <c r="I4499" s="8">
        <v>361.69</v>
      </c>
      <c r="J4499" s="8"/>
      <c r="K4499" s="8"/>
      <c r="L4499" s="8"/>
      <c r="M4499" s="8"/>
      <c r="N4499" s="8">
        <v>2.94</v>
      </c>
      <c r="O4499" s="8"/>
      <c r="P4499" s="8"/>
      <c r="Q4499" s="11"/>
      <c r="R4499" s="11"/>
      <c r="S4499" s="8">
        <v>1</v>
      </c>
      <c r="T4499" s="8"/>
      <c r="U4499" s="8"/>
      <c r="V4499" s="8"/>
      <c r="W4499" s="8">
        <v>5.56</v>
      </c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>
        <v>5.57</v>
      </c>
      <c r="AN4499" s="8"/>
      <c r="AO4499" s="8"/>
      <c r="AP4499" s="11"/>
      <c r="AQ4499" s="8"/>
      <c r="AR4499" s="8"/>
      <c r="AS4499" s="8">
        <f>2638*5.3/1000</f>
        <v>13.981399999999999</v>
      </c>
      <c r="AT4499" s="8">
        <v>262.26</v>
      </c>
      <c r="AU4499" s="8"/>
      <c r="AV4499" s="8"/>
      <c r="AW4499" s="8"/>
      <c r="AX4499" s="8"/>
      <c r="AY4499" s="8"/>
      <c r="AZ4499" s="8"/>
      <c r="BA4499" s="8"/>
      <c r="BB4499" s="8"/>
      <c r="BC4499" s="8"/>
      <c r="BD4499" s="8"/>
      <c r="BE4499" s="8"/>
      <c r="BF4499" s="8"/>
      <c r="BG4499" s="8">
        <v>19.7</v>
      </c>
      <c r="BH4499" s="9">
        <f t="shared" si="630"/>
        <v>555.14</v>
      </c>
      <c r="BI4499" s="9">
        <f t="shared" si="631"/>
        <v>2.94</v>
      </c>
      <c r="BJ4499" s="9">
        <f t="shared" si="632"/>
        <v>1</v>
      </c>
      <c r="BK4499" s="9">
        <f t="shared" si="633"/>
        <v>5.56</v>
      </c>
      <c r="BL4499" s="9">
        <f t="shared" si="634"/>
        <v>0</v>
      </c>
      <c r="BM4499" s="9">
        <f t="shared" si="635"/>
        <v>19.551400000000001</v>
      </c>
      <c r="BN4499" s="9">
        <f t="shared" si="636"/>
        <v>262.26</v>
      </c>
      <c r="BO4499" s="9">
        <f t="shared" si="637"/>
        <v>0</v>
      </c>
      <c r="BP4499" s="9">
        <f t="shared" si="638"/>
        <v>0</v>
      </c>
    </row>
    <row r="4500" spans="1:68">
      <c r="A4500" s="6">
        <v>45401</v>
      </c>
      <c r="B4500" s="7">
        <v>3027</v>
      </c>
      <c r="C4500" s="8"/>
      <c r="D4500" s="8">
        <v>528.39</v>
      </c>
      <c r="E4500" s="8"/>
      <c r="F4500" s="8"/>
      <c r="G4500" s="8"/>
      <c r="H4500" s="8"/>
      <c r="I4500" s="8">
        <v>433.95</v>
      </c>
      <c r="J4500" s="8"/>
      <c r="K4500" s="8"/>
      <c r="L4500" s="8"/>
      <c r="M4500" s="8"/>
      <c r="N4500" s="8">
        <v>5.48</v>
      </c>
      <c r="O4500" s="8"/>
      <c r="P4500" s="8"/>
      <c r="Q4500" s="11"/>
      <c r="R4500" s="11"/>
      <c r="S4500" s="8">
        <v>1.54</v>
      </c>
      <c r="T4500" s="8"/>
      <c r="U4500" s="8"/>
      <c r="V4500" s="8"/>
      <c r="W4500" s="8">
        <v>7.23</v>
      </c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>
        <v>9.58</v>
      </c>
      <c r="AN4500" s="8">
        <f>1239*5.5/1000</f>
        <v>6.8144999999999998</v>
      </c>
      <c r="AO4500" s="8"/>
      <c r="AP4500" s="11"/>
      <c r="AQ4500" s="8"/>
      <c r="AR4500" s="8"/>
      <c r="AS4500" s="8">
        <f>5782*5.5/1000</f>
        <v>31.800999999999998</v>
      </c>
      <c r="AT4500" s="8">
        <v>320.93</v>
      </c>
      <c r="AU4500" s="8"/>
      <c r="AV4500" s="8"/>
      <c r="AW4500" s="8"/>
      <c r="AX4500" s="8"/>
      <c r="AY4500" s="8"/>
      <c r="AZ4500" s="8"/>
      <c r="BA4500" s="8"/>
      <c r="BB4500" s="8"/>
      <c r="BC4500" s="8"/>
      <c r="BD4500" s="8"/>
      <c r="BE4500" s="8"/>
      <c r="BF4500" s="8"/>
      <c r="BG4500" s="8">
        <v>22.49</v>
      </c>
      <c r="BH4500" s="9">
        <f t="shared" si="630"/>
        <v>962.33999999999992</v>
      </c>
      <c r="BI4500" s="9">
        <f t="shared" si="631"/>
        <v>5.48</v>
      </c>
      <c r="BJ4500" s="9">
        <f t="shared" si="632"/>
        <v>1.54</v>
      </c>
      <c r="BK4500" s="9">
        <f t="shared" si="633"/>
        <v>7.23</v>
      </c>
      <c r="BL4500" s="9">
        <f t="shared" si="634"/>
        <v>0</v>
      </c>
      <c r="BM4500" s="9">
        <f t="shared" si="635"/>
        <v>48.195499999999996</v>
      </c>
      <c r="BN4500" s="9">
        <f t="shared" si="636"/>
        <v>320.93</v>
      </c>
      <c r="BO4500" s="9">
        <f t="shared" si="637"/>
        <v>0</v>
      </c>
      <c r="BP4500" s="9">
        <f t="shared" si="638"/>
        <v>0</v>
      </c>
    </row>
    <row r="4501" spans="1:68">
      <c r="A4501" s="6">
        <v>45401</v>
      </c>
      <c r="B4501" s="7">
        <v>3029</v>
      </c>
      <c r="C4501" s="8"/>
      <c r="D4501" s="8">
        <v>692.59</v>
      </c>
      <c r="E4501" s="8"/>
      <c r="F4501" s="8">
        <v>487.88</v>
      </c>
      <c r="G4501" s="8"/>
      <c r="H4501" s="8"/>
      <c r="I4501" s="8">
        <v>2889.06</v>
      </c>
      <c r="J4501" s="8"/>
      <c r="K4501" s="8"/>
      <c r="L4501" s="8"/>
      <c r="M4501" s="8"/>
      <c r="N4501" s="8">
        <v>32.57</v>
      </c>
      <c r="O4501" s="8"/>
      <c r="P4501" s="8"/>
      <c r="Q4501" s="11"/>
      <c r="R4501" s="11"/>
      <c r="S4501" s="8">
        <v>2.4300000000000002</v>
      </c>
      <c r="T4501" s="8"/>
      <c r="U4501" s="8"/>
      <c r="V4501" s="8"/>
      <c r="W4501" s="8">
        <v>40.729999999999997</v>
      </c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>
        <v>14.2</v>
      </c>
      <c r="AN4501" s="8">
        <f>760*27.15/1000</f>
        <v>20.634</v>
      </c>
      <c r="AO4501" s="8"/>
      <c r="AP4501" s="11"/>
      <c r="AQ4501" s="8"/>
      <c r="AR4501" s="8">
        <f>4601*27.15/1000</f>
        <v>124.91714999999999</v>
      </c>
      <c r="AS4501" s="8"/>
      <c r="AT4501" s="8">
        <v>1547.66</v>
      </c>
      <c r="AU4501" s="8"/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  <c r="BF4501" s="8"/>
      <c r="BG4501" s="8">
        <v>107.59</v>
      </c>
      <c r="BH4501" s="9">
        <f t="shared" si="630"/>
        <v>4069.5299999999997</v>
      </c>
      <c r="BI4501" s="9">
        <f t="shared" si="631"/>
        <v>32.57</v>
      </c>
      <c r="BJ4501" s="9">
        <f t="shared" si="632"/>
        <v>2.4300000000000002</v>
      </c>
      <c r="BK4501" s="9">
        <f t="shared" si="633"/>
        <v>40.729999999999997</v>
      </c>
      <c r="BL4501" s="9">
        <f t="shared" si="634"/>
        <v>0</v>
      </c>
      <c r="BM4501" s="9">
        <f t="shared" si="635"/>
        <v>159.75115</v>
      </c>
      <c r="BN4501" s="9">
        <f t="shared" si="636"/>
        <v>1547.66</v>
      </c>
      <c r="BO4501" s="9">
        <f t="shared" si="637"/>
        <v>0</v>
      </c>
      <c r="BP4501" s="9">
        <f t="shared" si="638"/>
        <v>0</v>
      </c>
    </row>
    <row r="4502" spans="1:68">
      <c r="A4502" s="6">
        <v>45401</v>
      </c>
      <c r="B4502" s="7">
        <v>3016</v>
      </c>
      <c r="C4502" s="8"/>
      <c r="D4502" s="8">
        <v>1628.22</v>
      </c>
      <c r="E4502" s="8"/>
      <c r="F4502" s="8"/>
      <c r="G4502" s="8"/>
      <c r="H4502" s="8"/>
      <c r="I4502" s="8">
        <v>1503.4</v>
      </c>
      <c r="J4502" s="8"/>
      <c r="K4502" s="8"/>
      <c r="L4502" s="8"/>
      <c r="M4502" s="8"/>
      <c r="N4502" s="8">
        <v>20.04</v>
      </c>
      <c r="O4502" s="8"/>
      <c r="P4502" s="8"/>
      <c r="Q4502" s="11"/>
      <c r="R4502" s="11"/>
      <c r="S4502" s="8">
        <v>2.19</v>
      </c>
      <c r="T4502" s="8"/>
      <c r="U4502" s="8"/>
      <c r="V4502" s="8"/>
      <c r="W4502" s="8">
        <v>31.32</v>
      </c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>
        <v>12.48</v>
      </c>
      <c r="AN4502" s="8">
        <f>2043*18.4/1000</f>
        <v>37.591200000000001</v>
      </c>
      <c r="AO4502" s="8"/>
      <c r="AP4502" s="11"/>
      <c r="AQ4502" s="8"/>
      <c r="AR4502" s="8">
        <f>4262*18.4/1000</f>
        <v>78.420799999999986</v>
      </c>
      <c r="AS4502" s="8"/>
      <c r="AT4502" s="8">
        <v>1163.31</v>
      </c>
      <c r="AU4502" s="8"/>
      <c r="AV4502" s="8"/>
      <c r="AW4502" s="8"/>
      <c r="AX4502" s="8"/>
      <c r="AY4502" s="8"/>
      <c r="AZ4502" s="8"/>
      <c r="BA4502" s="8"/>
      <c r="BB4502" s="8"/>
      <c r="BC4502" s="8"/>
      <c r="BD4502" s="8"/>
      <c r="BE4502" s="8"/>
      <c r="BF4502" s="8"/>
      <c r="BG4502" s="8">
        <v>85.1</v>
      </c>
      <c r="BH4502" s="9">
        <f t="shared" si="630"/>
        <v>3131.62</v>
      </c>
      <c r="BI4502" s="9">
        <f t="shared" si="631"/>
        <v>20.04</v>
      </c>
      <c r="BJ4502" s="9">
        <f t="shared" si="632"/>
        <v>2.19</v>
      </c>
      <c r="BK4502" s="9">
        <f t="shared" si="633"/>
        <v>31.32</v>
      </c>
      <c r="BL4502" s="9">
        <f t="shared" si="634"/>
        <v>0</v>
      </c>
      <c r="BM4502" s="9">
        <f t="shared" si="635"/>
        <v>128.49199999999999</v>
      </c>
      <c r="BN4502" s="9">
        <f t="shared" si="636"/>
        <v>1163.31</v>
      </c>
      <c r="BO4502" s="9">
        <f t="shared" si="637"/>
        <v>0</v>
      </c>
      <c r="BP4502" s="9">
        <f t="shared" si="638"/>
        <v>0</v>
      </c>
    </row>
    <row r="4503" spans="1:68">
      <c r="A4503" s="6">
        <v>45401</v>
      </c>
      <c r="B4503" s="7">
        <v>3122</v>
      </c>
      <c r="C4503" s="8">
        <v>1435.41</v>
      </c>
      <c r="D4503" s="8"/>
      <c r="E4503" s="8"/>
      <c r="F4503" s="8"/>
      <c r="G4503" s="8"/>
      <c r="H4503" s="8"/>
      <c r="I4503" s="8"/>
      <c r="J4503" s="8"/>
      <c r="K4503" s="8"/>
      <c r="L4503" s="8"/>
      <c r="M4503" s="8">
        <v>2.58</v>
      </c>
      <c r="N4503" s="8">
        <v>2.58</v>
      </c>
      <c r="O4503" s="8"/>
      <c r="P4503" s="8"/>
      <c r="Q4503" s="11"/>
      <c r="R4503" s="11"/>
      <c r="S4503" s="8">
        <v>5.89</v>
      </c>
      <c r="T4503" s="8"/>
      <c r="U4503" s="8">
        <v>14.37</v>
      </c>
      <c r="V4503" s="8"/>
      <c r="W4503" s="8"/>
      <c r="X4503" s="8"/>
      <c r="Y4503" s="8"/>
      <c r="Z4503" s="8"/>
      <c r="AA4503" s="8"/>
      <c r="AB4503" s="8"/>
      <c r="AC4503" s="8">
        <v>5.74</v>
      </c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11"/>
      <c r="AQ4503" s="8"/>
      <c r="AR4503" s="8"/>
      <c r="AS4503" s="8"/>
      <c r="AT4503" s="8">
        <v>636.72</v>
      </c>
      <c r="AU4503" s="8"/>
      <c r="AV4503" s="8">
        <v>48.79</v>
      </c>
      <c r="AW4503" s="8"/>
      <c r="AX4503" s="8"/>
      <c r="AY4503" s="8"/>
      <c r="AZ4503" s="8"/>
      <c r="BA4503" s="8"/>
      <c r="BB4503" s="8"/>
      <c r="BC4503" s="8"/>
      <c r="BD4503" s="8"/>
      <c r="BE4503" s="8"/>
      <c r="BF4503" s="8"/>
      <c r="BG4503" s="8">
        <v>46.7</v>
      </c>
      <c r="BH4503" s="9">
        <f t="shared" si="630"/>
        <v>1435.41</v>
      </c>
      <c r="BI4503" s="9">
        <f t="shared" si="631"/>
        <v>5.16</v>
      </c>
      <c r="BJ4503" s="9">
        <f t="shared" si="632"/>
        <v>5.89</v>
      </c>
      <c r="BK4503" s="9">
        <f t="shared" si="633"/>
        <v>14.37</v>
      </c>
      <c r="BL4503" s="9">
        <f t="shared" si="634"/>
        <v>0</v>
      </c>
      <c r="BM4503" s="9">
        <f t="shared" si="635"/>
        <v>5.74</v>
      </c>
      <c r="BN4503" s="9">
        <f t="shared" si="636"/>
        <v>636.72</v>
      </c>
      <c r="BO4503" s="9">
        <f t="shared" si="637"/>
        <v>48.79</v>
      </c>
      <c r="BP4503" s="9">
        <f t="shared" si="638"/>
        <v>0</v>
      </c>
    </row>
    <row r="4504" spans="1:68">
      <c r="A4504" s="6">
        <v>45401</v>
      </c>
      <c r="B4504" s="7">
        <v>3117</v>
      </c>
      <c r="C4504" s="8">
        <v>801.64</v>
      </c>
      <c r="D4504" s="8"/>
      <c r="E4504" s="8"/>
      <c r="F4504" s="8"/>
      <c r="G4504" s="8"/>
      <c r="H4504" s="8"/>
      <c r="I4504" s="8"/>
      <c r="J4504" s="8"/>
      <c r="K4504" s="8"/>
      <c r="L4504" s="8"/>
      <c r="M4504" s="8">
        <v>2.31</v>
      </c>
      <c r="N4504" s="8"/>
      <c r="O4504" s="8"/>
      <c r="P4504" s="8"/>
      <c r="Q4504" s="11"/>
      <c r="R4504" s="11"/>
      <c r="S4504" s="8">
        <v>3.21</v>
      </c>
      <c r="T4504" s="8"/>
      <c r="U4504" s="8">
        <v>8.02</v>
      </c>
      <c r="V4504" s="8"/>
      <c r="W4504" s="8"/>
      <c r="X4504" s="8"/>
      <c r="Y4504" s="8"/>
      <c r="Z4504" s="8"/>
      <c r="AA4504" s="8"/>
      <c r="AB4504" s="8"/>
      <c r="AC4504" s="8">
        <v>3.21</v>
      </c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11"/>
      <c r="AQ4504" s="8"/>
      <c r="AR4504" s="8"/>
      <c r="AS4504" s="8"/>
      <c r="AT4504" s="8">
        <v>504.87</v>
      </c>
      <c r="AU4504" s="8"/>
      <c r="AV4504" s="8">
        <v>20.100000000000001</v>
      </c>
      <c r="AW4504" s="8"/>
      <c r="AX4504" s="8"/>
      <c r="AY4504" s="8"/>
      <c r="AZ4504" s="8"/>
      <c r="BA4504" s="8"/>
      <c r="BB4504" s="8"/>
      <c r="BC4504" s="8"/>
      <c r="BD4504" s="8"/>
      <c r="BE4504" s="8"/>
      <c r="BF4504" s="8">
        <v>40.049999999999997</v>
      </c>
      <c r="BG4504" s="8">
        <v>38.44</v>
      </c>
      <c r="BH4504" s="9">
        <f t="shared" si="630"/>
        <v>801.64</v>
      </c>
      <c r="BI4504" s="9">
        <f t="shared" si="631"/>
        <v>2.31</v>
      </c>
      <c r="BJ4504" s="9">
        <f t="shared" si="632"/>
        <v>3.21</v>
      </c>
      <c r="BK4504" s="9">
        <f t="shared" si="633"/>
        <v>8.02</v>
      </c>
      <c r="BL4504" s="9">
        <f t="shared" si="634"/>
        <v>0</v>
      </c>
      <c r="BM4504" s="9">
        <f t="shared" si="635"/>
        <v>3.21</v>
      </c>
      <c r="BN4504" s="9">
        <f t="shared" si="636"/>
        <v>504.87</v>
      </c>
      <c r="BO4504" s="9">
        <f t="shared" si="637"/>
        <v>20.100000000000001</v>
      </c>
      <c r="BP4504" s="9">
        <f t="shared" si="638"/>
        <v>40.049999999999997</v>
      </c>
    </row>
    <row r="4505" spans="1:68">
      <c r="A4505" s="6">
        <v>45401</v>
      </c>
      <c r="B4505" s="7">
        <v>3151</v>
      </c>
      <c r="C4505" s="8">
        <v>1317.58</v>
      </c>
      <c r="D4505" s="8"/>
      <c r="E4505" s="8"/>
      <c r="F4505" s="8"/>
      <c r="G4505" s="8"/>
      <c r="H4505" s="8"/>
      <c r="I4505" s="8"/>
      <c r="J4505" s="8"/>
      <c r="K4505" s="8"/>
      <c r="L4505" s="8"/>
      <c r="M4505" s="8">
        <v>3.95</v>
      </c>
      <c r="N4505" s="8"/>
      <c r="O4505" s="8"/>
      <c r="P4505" s="8"/>
      <c r="Q4505" s="11"/>
      <c r="R4505" s="11"/>
      <c r="S4505" s="8">
        <v>5</v>
      </c>
      <c r="T4505" s="8"/>
      <c r="U4505" s="8">
        <v>16.75</v>
      </c>
      <c r="V4505" s="8"/>
      <c r="W4505" s="8"/>
      <c r="X4505" s="8"/>
      <c r="Y4505" s="8"/>
      <c r="Z4505" s="8"/>
      <c r="AA4505" s="8"/>
      <c r="AB4505" s="8"/>
      <c r="AC4505" s="8">
        <v>3.3</v>
      </c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11"/>
      <c r="AQ4505" s="8"/>
      <c r="AR4505" s="8"/>
      <c r="AS4505" s="8"/>
      <c r="AT4505" s="8">
        <v>593.13</v>
      </c>
      <c r="AU4505" s="8"/>
      <c r="AV4505" s="8">
        <v>13.19</v>
      </c>
      <c r="AW4505" s="8"/>
      <c r="AX4505" s="8"/>
      <c r="AY4505" s="8"/>
      <c r="AZ4505" s="8"/>
      <c r="BA4505" s="8"/>
      <c r="BB4505" s="8"/>
      <c r="BC4505" s="8"/>
      <c r="BD4505" s="8"/>
      <c r="BE4505" s="8"/>
      <c r="BF4505" s="8">
        <v>52.77</v>
      </c>
      <c r="BG4505" s="8">
        <v>42.32</v>
      </c>
      <c r="BH4505" s="9">
        <f t="shared" si="630"/>
        <v>1317.58</v>
      </c>
      <c r="BI4505" s="9">
        <f t="shared" si="631"/>
        <v>3.95</v>
      </c>
      <c r="BJ4505" s="9">
        <f t="shared" si="632"/>
        <v>5</v>
      </c>
      <c r="BK4505" s="9">
        <f t="shared" si="633"/>
        <v>16.75</v>
      </c>
      <c r="BL4505" s="9">
        <f t="shared" si="634"/>
        <v>0</v>
      </c>
      <c r="BM4505" s="9">
        <f t="shared" si="635"/>
        <v>3.3</v>
      </c>
      <c r="BN4505" s="9">
        <f t="shared" si="636"/>
        <v>593.13</v>
      </c>
      <c r="BO4505" s="9">
        <f t="shared" si="637"/>
        <v>13.19</v>
      </c>
      <c r="BP4505" s="9">
        <f t="shared" si="638"/>
        <v>52.77</v>
      </c>
    </row>
    <row r="4506" spans="1:68">
      <c r="A4506" s="6">
        <v>45401</v>
      </c>
      <c r="B4506" s="7">
        <v>3139</v>
      </c>
      <c r="C4506" s="8">
        <v>932.91</v>
      </c>
      <c r="D4506" s="8"/>
      <c r="E4506" s="8"/>
      <c r="F4506" s="8"/>
      <c r="G4506" s="8"/>
      <c r="H4506" s="8">
        <v>386.44</v>
      </c>
      <c r="I4506" s="8"/>
      <c r="J4506" s="8"/>
      <c r="K4506" s="8"/>
      <c r="L4506" s="8"/>
      <c r="M4506" s="8">
        <v>2.1800000000000002</v>
      </c>
      <c r="N4506" s="8"/>
      <c r="O4506" s="8"/>
      <c r="P4506" s="8"/>
      <c r="Q4506" s="11"/>
      <c r="R4506" s="11"/>
      <c r="S4506" s="8">
        <v>4.13</v>
      </c>
      <c r="T4506" s="8"/>
      <c r="U4506" s="8">
        <v>13.77</v>
      </c>
      <c r="V4506" s="8"/>
      <c r="W4506" s="8"/>
      <c r="X4506" s="8"/>
      <c r="Y4506" s="8"/>
      <c r="Z4506" s="8"/>
      <c r="AA4506" s="8"/>
      <c r="AB4506" s="8"/>
      <c r="AC4506" s="8">
        <v>4.58</v>
      </c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11"/>
      <c r="AQ4506" s="8"/>
      <c r="AR4506" s="8"/>
      <c r="AS4506" s="8"/>
      <c r="AT4506" s="8">
        <v>678.9</v>
      </c>
      <c r="AU4506" s="8"/>
      <c r="AV4506" s="8">
        <v>22.93</v>
      </c>
      <c r="AW4506" s="8"/>
      <c r="AX4506" s="8"/>
      <c r="AY4506" s="8"/>
      <c r="AZ4506" s="8"/>
      <c r="BA4506" s="8"/>
      <c r="BB4506" s="8"/>
      <c r="BC4506" s="8"/>
      <c r="BD4506" s="8"/>
      <c r="BE4506" s="8"/>
      <c r="BF4506" s="8"/>
      <c r="BG4506" s="8">
        <v>49.32</v>
      </c>
      <c r="BH4506" s="9">
        <f t="shared" si="630"/>
        <v>1319.35</v>
      </c>
      <c r="BI4506" s="9">
        <f t="shared" si="631"/>
        <v>2.1800000000000002</v>
      </c>
      <c r="BJ4506" s="9">
        <f t="shared" si="632"/>
        <v>4.13</v>
      </c>
      <c r="BK4506" s="9">
        <f t="shared" si="633"/>
        <v>13.77</v>
      </c>
      <c r="BL4506" s="9">
        <f t="shared" si="634"/>
        <v>0</v>
      </c>
      <c r="BM4506" s="9">
        <f t="shared" si="635"/>
        <v>4.58</v>
      </c>
      <c r="BN4506" s="9">
        <f t="shared" si="636"/>
        <v>678.9</v>
      </c>
      <c r="BO4506" s="9">
        <f t="shared" si="637"/>
        <v>22.93</v>
      </c>
      <c r="BP4506" s="9">
        <f t="shared" si="638"/>
        <v>0</v>
      </c>
    </row>
    <row r="4507" spans="1:68">
      <c r="A4507" s="6">
        <v>45404</v>
      </c>
      <c r="B4507" s="7">
        <v>3602</v>
      </c>
      <c r="C4507" s="8">
        <v>559.01</v>
      </c>
      <c r="D4507" s="8"/>
      <c r="E4507" s="8"/>
      <c r="F4507" s="8"/>
      <c r="G4507" s="8">
        <v>837.89</v>
      </c>
      <c r="H4507" s="8"/>
      <c r="I4507" s="8"/>
      <c r="J4507" s="8"/>
      <c r="K4507" s="8"/>
      <c r="L4507" s="8"/>
      <c r="M4507" s="8">
        <v>1.68</v>
      </c>
      <c r="N4507" s="8"/>
      <c r="O4507" s="8"/>
      <c r="P4507" s="8"/>
      <c r="Q4507" s="11"/>
      <c r="R4507" s="11"/>
      <c r="S4507" s="8">
        <v>6.27</v>
      </c>
      <c r="T4507" s="8"/>
      <c r="U4507" s="8">
        <v>11.18</v>
      </c>
      <c r="V4507" s="8">
        <f>868*15.97/1000</f>
        <v>13.861960000000002</v>
      </c>
      <c r="W4507" s="8"/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11"/>
      <c r="AQ4507" s="8"/>
      <c r="AR4507" s="8"/>
      <c r="AS4507" s="8"/>
      <c r="AT4507" s="8">
        <v>563.48</v>
      </c>
      <c r="AU4507" s="8"/>
      <c r="AV4507" s="8"/>
      <c r="AW4507" s="8">
        <v>36.1</v>
      </c>
      <c r="AX4507" s="8"/>
      <c r="AY4507" s="8"/>
      <c r="AZ4507" s="8"/>
      <c r="BA4507" s="8"/>
      <c r="BB4507" s="8"/>
      <c r="BC4507" s="8"/>
      <c r="BD4507" s="8"/>
      <c r="BE4507" s="8"/>
      <c r="BF4507" s="8">
        <v>44.74</v>
      </c>
      <c r="BG4507" s="8">
        <v>41.54</v>
      </c>
      <c r="BH4507" s="9">
        <f t="shared" si="630"/>
        <v>1396.9</v>
      </c>
      <c r="BI4507" s="9">
        <f t="shared" si="631"/>
        <v>1.68</v>
      </c>
      <c r="BJ4507" s="9">
        <f t="shared" si="632"/>
        <v>6.27</v>
      </c>
      <c r="BK4507" s="9">
        <f t="shared" si="633"/>
        <v>25.041960000000003</v>
      </c>
      <c r="BL4507" s="9">
        <f t="shared" si="634"/>
        <v>0</v>
      </c>
      <c r="BM4507" s="9">
        <f t="shared" si="635"/>
        <v>0</v>
      </c>
      <c r="BN4507" s="9">
        <f t="shared" si="636"/>
        <v>563.48</v>
      </c>
      <c r="BO4507" s="9">
        <f t="shared" si="637"/>
        <v>36.1</v>
      </c>
      <c r="BP4507" s="9">
        <f t="shared" si="638"/>
        <v>44.74</v>
      </c>
    </row>
    <row r="4508" spans="1:68">
      <c r="A4508" s="6">
        <v>45404</v>
      </c>
      <c r="B4508" s="7">
        <v>3701</v>
      </c>
      <c r="C4508" s="8"/>
      <c r="D4508" s="8"/>
      <c r="E4508" s="8"/>
      <c r="F4508" s="8"/>
      <c r="G4508" s="8"/>
      <c r="H4508" s="8"/>
      <c r="I4508" s="8">
        <v>254.58</v>
      </c>
      <c r="J4508" s="8">
        <f>51420*8.12/1000</f>
        <v>417.53039999999999</v>
      </c>
      <c r="K4508" s="8"/>
      <c r="L4508" s="8"/>
      <c r="M4508" s="8"/>
      <c r="N4508" s="8">
        <v>2.08</v>
      </c>
      <c r="O4508" s="8"/>
      <c r="P4508" s="8"/>
      <c r="Q4508" s="11"/>
      <c r="R4508" s="11"/>
      <c r="S4508" s="8">
        <v>2.0699999999999998</v>
      </c>
      <c r="T4508" s="8"/>
      <c r="U4508" s="8">
        <v>4.1399999999999997</v>
      </c>
      <c r="V4508" s="8"/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>
        <v>13.82</v>
      </c>
      <c r="AH4508" s="8"/>
      <c r="AI4508" s="8"/>
      <c r="AJ4508" s="8">
        <f>2566*8.12/1000</f>
        <v>20.835919999999998</v>
      </c>
      <c r="AK4508" s="8"/>
      <c r="AL4508" s="8"/>
      <c r="AM4508" s="8"/>
      <c r="AN4508" s="8"/>
      <c r="AO4508" s="8"/>
      <c r="AP4508" s="11"/>
      <c r="AQ4508" s="8"/>
      <c r="AR4508" s="8"/>
      <c r="AS4508" s="8"/>
      <c r="AT4508" s="8"/>
      <c r="AU4508" s="8">
        <v>243.93</v>
      </c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  <c r="BF4508" s="8"/>
      <c r="BG4508" s="8">
        <v>16.55</v>
      </c>
      <c r="BH4508" s="9">
        <f t="shared" si="630"/>
        <v>672.11040000000003</v>
      </c>
      <c r="BI4508" s="9">
        <f t="shared" si="631"/>
        <v>2.08</v>
      </c>
      <c r="BJ4508" s="9">
        <f t="shared" si="632"/>
        <v>2.0699999999999998</v>
      </c>
      <c r="BK4508" s="9">
        <f t="shared" si="633"/>
        <v>4.1399999999999997</v>
      </c>
      <c r="BL4508" s="9">
        <f t="shared" si="634"/>
        <v>0</v>
      </c>
      <c r="BM4508" s="9">
        <f t="shared" si="635"/>
        <v>34.655919999999995</v>
      </c>
      <c r="BN4508" s="9">
        <f t="shared" si="636"/>
        <v>243.93</v>
      </c>
      <c r="BO4508" s="9">
        <f t="shared" si="637"/>
        <v>0</v>
      </c>
      <c r="BP4508" s="9">
        <f t="shared" si="638"/>
        <v>0</v>
      </c>
    </row>
    <row r="4509" spans="1:68">
      <c r="A4509" s="6">
        <v>45404</v>
      </c>
      <c r="B4509" s="7">
        <v>3147</v>
      </c>
      <c r="C4509" s="8">
        <v>705.61</v>
      </c>
      <c r="D4509" s="8">
        <v>125.52</v>
      </c>
      <c r="E4509" s="8"/>
      <c r="F4509" s="8"/>
      <c r="G4509" s="8"/>
      <c r="H4509" s="8"/>
      <c r="I4509" s="8"/>
      <c r="J4509" s="8"/>
      <c r="K4509" s="8"/>
      <c r="L4509" s="8"/>
      <c r="M4509" s="8">
        <v>2.5</v>
      </c>
      <c r="N4509" s="8"/>
      <c r="O4509" s="8"/>
      <c r="P4509" s="8"/>
      <c r="Q4509" s="11"/>
      <c r="R4509" s="11"/>
      <c r="S4509" s="8">
        <v>3.91</v>
      </c>
      <c r="T4509" s="8"/>
      <c r="U4509" s="8">
        <v>12.47</v>
      </c>
      <c r="V4509" s="8"/>
      <c r="W4509" s="8"/>
      <c r="X4509" s="8"/>
      <c r="Y4509" s="8"/>
      <c r="Z4509" s="8"/>
      <c r="AA4509" s="8"/>
      <c r="AB4509" s="8"/>
      <c r="AC4509" s="8">
        <v>3.32</v>
      </c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11">
        <f>651*10.38/1000</f>
        <v>6.7573800000000004</v>
      </c>
      <c r="AQ4509" s="8"/>
      <c r="AR4509" s="8"/>
      <c r="AS4509" s="8"/>
      <c r="AT4509" s="8">
        <v>547.16</v>
      </c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  <c r="BF4509" s="8">
        <v>58.16</v>
      </c>
      <c r="BG4509" s="8">
        <v>43.44</v>
      </c>
      <c r="BH4509" s="9">
        <f t="shared" si="630"/>
        <v>831.13</v>
      </c>
      <c r="BI4509" s="9">
        <f t="shared" si="631"/>
        <v>2.5</v>
      </c>
      <c r="BJ4509" s="9">
        <f t="shared" si="632"/>
        <v>3.91</v>
      </c>
      <c r="BK4509" s="9">
        <f t="shared" si="633"/>
        <v>12.47</v>
      </c>
      <c r="BL4509" s="9">
        <f t="shared" si="634"/>
        <v>0</v>
      </c>
      <c r="BM4509" s="9">
        <f t="shared" si="635"/>
        <v>10.07738</v>
      </c>
      <c r="BN4509" s="9">
        <f t="shared" si="636"/>
        <v>547.16</v>
      </c>
      <c r="BO4509" s="9">
        <f t="shared" si="637"/>
        <v>0</v>
      </c>
      <c r="BP4509" s="9">
        <f t="shared" si="638"/>
        <v>58.16</v>
      </c>
    </row>
    <row r="4510" spans="1:68">
      <c r="A4510" s="6">
        <v>45404</v>
      </c>
      <c r="B4510" s="7">
        <v>3145</v>
      </c>
      <c r="C4510" s="8">
        <v>1311.19</v>
      </c>
      <c r="D4510" s="8">
        <v>231.47</v>
      </c>
      <c r="E4510" s="8"/>
      <c r="F4510" s="8"/>
      <c r="G4510" s="8"/>
      <c r="H4510" s="8"/>
      <c r="I4510" s="8"/>
      <c r="J4510" s="8"/>
      <c r="K4510" s="8"/>
      <c r="L4510" s="8"/>
      <c r="M4510" s="8">
        <v>4.42</v>
      </c>
      <c r="N4510" s="8"/>
      <c r="O4510" s="8"/>
      <c r="P4510" s="8"/>
      <c r="Q4510" s="11"/>
      <c r="R4510" s="11"/>
      <c r="S4510" s="8">
        <v>7.27</v>
      </c>
      <c r="T4510" s="8"/>
      <c r="U4510" s="8">
        <v>23.18</v>
      </c>
      <c r="V4510" s="8"/>
      <c r="W4510" s="8"/>
      <c r="X4510" s="8"/>
      <c r="Y4510" s="8"/>
      <c r="Z4510" s="8"/>
      <c r="AA4510" s="8"/>
      <c r="AB4510" s="8"/>
      <c r="AC4510" s="8">
        <v>6.18</v>
      </c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11"/>
      <c r="AQ4510" s="8"/>
      <c r="AR4510" s="8"/>
      <c r="AS4510" s="8"/>
      <c r="AT4510" s="8">
        <v>1023.34</v>
      </c>
      <c r="AU4510" s="8"/>
      <c r="AV4510" s="8"/>
      <c r="AW4510" s="8"/>
      <c r="AX4510" s="8"/>
      <c r="AY4510" s="8"/>
      <c r="AZ4510" s="8"/>
      <c r="BA4510" s="8"/>
      <c r="BB4510" s="8"/>
      <c r="BC4510" s="8"/>
      <c r="BD4510" s="8">
        <v>3.87</v>
      </c>
      <c r="BE4510" s="8">
        <f>1366*10.3/1000</f>
        <v>14.069800000000001</v>
      </c>
      <c r="BF4510" s="8">
        <v>108.17</v>
      </c>
      <c r="BG4510" s="8">
        <v>80.17</v>
      </c>
      <c r="BH4510" s="9">
        <f t="shared" si="630"/>
        <v>1542.66</v>
      </c>
      <c r="BI4510" s="9">
        <f t="shared" si="631"/>
        <v>4.42</v>
      </c>
      <c r="BJ4510" s="9">
        <f t="shared" si="632"/>
        <v>7.27</v>
      </c>
      <c r="BK4510" s="9">
        <f t="shared" si="633"/>
        <v>23.18</v>
      </c>
      <c r="BL4510" s="9">
        <f t="shared" si="634"/>
        <v>0</v>
      </c>
      <c r="BM4510" s="9">
        <f t="shared" si="635"/>
        <v>6.18</v>
      </c>
      <c r="BN4510" s="9">
        <f t="shared" si="636"/>
        <v>1023.34</v>
      </c>
      <c r="BO4510" s="9">
        <f t="shared" si="637"/>
        <v>17.939800000000002</v>
      </c>
      <c r="BP4510" s="9">
        <f t="shared" si="638"/>
        <v>108.17</v>
      </c>
    </row>
    <row r="4511" spans="1:68">
      <c r="A4511" s="6">
        <v>45404</v>
      </c>
      <c r="B4511" s="7">
        <v>3141</v>
      </c>
      <c r="C4511" s="8">
        <v>2374.0300000000002</v>
      </c>
      <c r="D4511" s="8">
        <v>418.95</v>
      </c>
      <c r="E4511" s="8"/>
      <c r="F4511" s="8"/>
      <c r="G4511" s="8"/>
      <c r="H4511" s="8"/>
      <c r="I4511" s="8"/>
      <c r="J4511" s="8"/>
      <c r="K4511" s="8"/>
      <c r="L4511" s="8"/>
      <c r="M4511" s="8">
        <v>8.11</v>
      </c>
      <c r="N4511" s="8"/>
      <c r="O4511" s="8"/>
      <c r="P4511" s="8"/>
      <c r="Q4511" s="11"/>
      <c r="R4511" s="11"/>
      <c r="S4511" s="8">
        <v>13.14</v>
      </c>
      <c r="T4511" s="8"/>
      <c r="U4511" s="8">
        <v>41.91</v>
      </c>
      <c r="V4511" s="8"/>
      <c r="W4511" s="8"/>
      <c r="X4511" s="8"/>
      <c r="Y4511" s="8"/>
      <c r="Z4511" s="8"/>
      <c r="AA4511" s="8"/>
      <c r="AB4511" s="8"/>
      <c r="AC4511" s="8">
        <v>11.18</v>
      </c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11"/>
      <c r="AQ4511" s="8"/>
      <c r="AR4511" s="8"/>
      <c r="AS4511" s="8"/>
      <c r="AT4511" s="8">
        <v>1842.69</v>
      </c>
      <c r="AU4511" s="8"/>
      <c r="AV4511" s="8"/>
      <c r="AW4511" s="8"/>
      <c r="AX4511" s="8"/>
      <c r="AY4511" s="8"/>
      <c r="AZ4511" s="8"/>
      <c r="BA4511" s="8">
        <v>64.02</v>
      </c>
      <c r="BB4511" s="8"/>
      <c r="BC4511" s="8"/>
      <c r="BD4511" s="8"/>
      <c r="BE4511" s="8"/>
      <c r="BF4511" s="8">
        <v>195.71</v>
      </c>
      <c r="BG4511" s="8">
        <v>145.08000000000001</v>
      </c>
      <c r="BH4511" s="9">
        <f t="shared" si="630"/>
        <v>2792.98</v>
      </c>
      <c r="BI4511" s="9">
        <f t="shared" si="631"/>
        <v>8.11</v>
      </c>
      <c r="BJ4511" s="9">
        <f t="shared" si="632"/>
        <v>13.14</v>
      </c>
      <c r="BK4511" s="9">
        <f t="shared" si="633"/>
        <v>41.91</v>
      </c>
      <c r="BL4511" s="9">
        <f t="shared" si="634"/>
        <v>0</v>
      </c>
      <c r="BM4511" s="9">
        <f t="shared" si="635"/>
        <v>11.18</v>
      </c>
      <c r="BN4511" s="9">
        <f t="shared" si="636"/>
        <v>1842.69</v>
      </c>
      <c r="BO4511" s="9">
        <f t="shared" si="637"/>
        <v>64.02</v>
      </c>
      <c r="BP4511" s="9">
        <f t="shared" si="638"/>
        <v>195.71</v>
      </c>
    </row>
    <row r="4512" spans="1:68">
      <c r="A4512" s="6">
        <v>45404</v>
      </c>
      <c r="B4512" s="7">
        <v>3200</v>
      </c>
      <c r="C4512" s="8">
        <v>2325.31</v>
      </c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>
        <v>5.83</v>
      </c>
      <c r="P4512" s="8"/>
      <c r="Q4512" s="11"/>
      <c r="R4512" s="11"/>
      <c r="S4512" s="8">
        <v>9.1</v>
      </c>
      <c r="T4512" s="8"/>
      <c r="U4512" s="8">
        <v>35</v>
      </c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>
        <v>116.92</v>
      </c>
      <c r="AG4512" s="8"/>
      <c r="AH4512" s="8"/>
      <c r="AI4512" s="8"/>
      <c r="AJ4512" s="8"/>
      <c r="AK4512" s="8"/>
      <c r="AL4512" s="8"/>
      <c r="AM4512" s="8"/>
      <c r="AN4512" s="8"/>
      <c r="AO4512" s="8"/>
      <c r="AP4512" s="11"/>
      <c r="AQ4512" s="8">
        <f>1524*23.32/1000</f>
        <v>35.539679999999997</v>
      </c>
      <c r="AR4512" s="8"/>
      <c r="AS4512" s="8"/>
      <c r="AT4512" s="8">
        <v>1595.08</v>
      </c>
      <c r="AU4512" s="8"/>
      <c r="AV4512" s="8"/>
      <c r="AW4512" s="8">
        <v>6.73</v>
      </c>
      <c r="AX4512" s="8"/>
      <c r="AY4512" s="8"/>
      <c r="AZ4512" s="8"/>
      <c r="BA4512" s="8"/>
      <c r="BB4512" s="8"/>
      <c r="BC4512" s="8"/>
      <c r="BD4512" s="8"/>
      <c r="BE4512" s="8"/>
      <c r="BF4512" s="8">
        <v>111.94</v>
      </c>
      <c r="BG4512" s="8">
        <v>115.62</v>
      </c>
      <c r="BH4512" s="9">
        <f t="shared" si="630"/>
        <v>2325.31</v>
      </c>
      <c r="BI4512" s="9">
        <f t="shared" si="631"/>
        <v>5.83</v>
      </c>
      <c r="BJ4512" s="9">
        <f t="shared" si="632"/>
        <v>9.1</v>
      </c>
      <c r="BK4512" s="9">
        <f t="shared" si="633"/>
        <v>35</v>
      </c>
      <c r="BL4512" s="9">
        <f t="shared" si="634"/>
        <v>0</v>
      </c>
      <c r="BM4512" s="9">
        <f t="shared" si="635"/>
        <v>152.45967999999999</v>
      </c>
      <c r="BN4512" s="9">
        <f t="shared" si="636"/>
        <v>1595.08</v>
      </c>
      <c r="BO4512" s="9">
        <f t="shared" si="637"/>
        <v>6.73</v>
      </c>
      <c r="BP4512" s="9">
        <f t="shared" si="638"/>
        <v>111.94</v>
      </c>
    </row>
    <row r="4513" spans="1:68">
      <c r="A4513" s="6">
        <v>45404</v>
      </c>
      <c r="B4513" s="7">
        <v>3022</v>
      </c>
      <c r="C4513" s="8"/>
      <c r="D4513" s="8">
        <v>595.47</v>
      </c>
      <c r="E4513" s="8"/>
      <c r="F4513" s="8"/>
      <c r="G4513" s="8"/>
      <c r="H4513" s="8"/>
      <c r="I4513" s="8">
        <v>486.4</v>
      </c>
      <c r="J4513" s="8"/>
      <c r="K4513" s="8"/>
      <c r="L4513" s="8"/>
      <c r="M4513" s="8"/>
      <c r="N4513" s="8">
        <v>5.41</v>
      </c>
      <c r="O4513" s="8"/>
      <c r="P4513" s="8"/>
      <c r="Q4513" s="11"/>
      <c r="R4513" s="11"/>
      <c r="S4513" s="8">
        <v>1.95</v>
      </c>
      <c r="T4513" s="8"/>
      <c r="U4513" s="8"/>
      <c r="V4513" s="8"/>
      <c r="W4513" s="8">
        <v>10.83</v>
      </c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>
        <v>14.02</v>
      </c>
      <c r="AN4513" s="8"/>
      <c r="AO4513" s="8"/>
      <c r="AP4513" s="11"/>
      <c r="AQ4513" s="8"/>
      <c r="AR4513" s="8"/>
      <c r="AS4513" s="8">
        <f>3899*9.83/1000</f>
        <v>38.327169999999995</v>
      </c>
      <c r="AT4513" s="8">
        <v>506.54</v>
      </c>
      <c r="AU4513" s="8"/>
      <c r="AV4513" s="8"/>
      <c r="AW4513" s="8"/>
      <c r="AX4513" s="8"/>
      <c r="AY4513" s="8"/>
      <c r="AZ4513" s="8"/>
      <c r="BA4513" s="8"/>
      <c r="BB4513" s="8"/>
      <c r="BC4513" s="8"/>
      <c r="BD4513" s="8"/>
      <c r="BE4513" s="8"/>
      <c r="BF4513" s="8"/>
      <c r="BG4513" s="8">
        <v>38.97</v>
      </c>
      <c r="BH4513" s="9">
        <f t="shared" si="630"/>
        <v>1081.8699999999999</v>
      </c>
      <c r="BI4513" s="9">
        <f t="shared" si="631"/>
        <v>5.41</v>
      </c>
      <c r="BJ4513" s="9">
        <f t="shared" si="632"/>
        <v>1.95</v>
      </c>
      <c r="BK4513" s="9">
        <f t="shared" si="633"/>
        <v>10.83</v>
      </c>
      <c r="BL4513" s="9">
        <f t="shared" si="634"/>
        <v>0</v>
      </c>
      <c r="BM4513" s="9">
        <f t="shared" si="635"/>
        <v>52.347169999999991</v>
      </c>
      <c r="BN4513" s="9">
        <f t="shared" si="636"/>
        <v>506.54</v>
      </c>
      <c r="BO4513" s="9">
        <f t="shared" si="637"/>
        <v>0</v>
      </c>
      <c r="BP4513" s="9">
        <f t="shared" si="638"/>
        <v>0</v>
      </c>
    </row>
    <row r="4514" spans="1:68">
      <c r="A4514" s="6">
        <v>45404</v>
      </c>
      <c r="B4514" s="7">
        <v>3023</v>
      </c>
      <c r="C4514" s="8"/>
      <c r="D4514" s="8">
        <v>902.38</v>
      </c>
      <c r="E4514" s="8"/>
      <c r="F4514" s="8"/>
      <c r="G4514" s="8"/>
      <c r="H4514" s="8"/>
      <c r="I4514" s="8">
        <v>487.96</v>
      </c>
      <c r="J4514" s="8"/>
      <c r="K4514" s="8"/>
      <c r="L4514" s="8"/>
      <c r="M4514" s="8"/>
      <c r="N4514" s="8">
        <v>7.92</v>
      </c>
      <c r="O4514" s="8"/>
      <c r="P4514" s="8"/>
      <c r="Q4514" s="11"/>
      <c r="R4514" s="11"/>
      <c r="S4514" s="8">
        <v>2.2200000000000002</v>
      </c>
      <c r="T4514" s="8"/>
      <c r="U4514" s="8"/>
      <c r="V4514" s="8"/>
      <c r="W4514" s="8">
        <v>12.53</v>
      </c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>
        <v>13.88</v>
      </c>
      <c r="AN4514" s="8">
        <f>1030*9.6/1000</f>
        <v>9.8879999999999999</v>
      </c>
      <c r="AO4514" s="8"/>
      <c r="AP4514" s="11"/>
      <c r="AQ4514" s="8"/>
      <c r="AR4514" s="8"/>
      <c r="AS4514" s="8">
        <f>4793*9.6/1000</f>
        <v>46.012799999999999</v>
      </c>
      <c r="AT4514" s="8">
        <v>570.6</v>
      </c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  <c r="BF4514" s="8"/>
      <c r="BG4514" s="8">
        <v>43.08</v>
      </c>
      <c r="BH4514" s="9">
        <f t="shared" si="630"/>
        <v>1390.34</v>
      </c>
      <c r="BI4514" s="9">
        <f t="shared" si="631"/>
        <v>7.92</v>
      </c>
      <c r="BJ4514" s="9">
        <f t="shared" si="632"/>
        <v>2.2200000000000002</v>
      </c>
      <c r="BK4514" s="9">
        <f t="shared" si="633"/>
        <v>12.53</v>
      </c>
      <c r="BL4514" s="9">
        <f t="shared" si="634"/>
        <v>0</v>
      </c>
      <c r="BM4514" s="9">
        <f t="shared" si="635"/>
        <v>69.780799999999999</v>
      </c>
      <c r="BN4514" s="9">
        <f t="shared" si="636"/>
        <v>570.6</v>
      </c>
      <c r="BO4514" s="9">
        <f t="shared" si="637"/>
        <v>0</v>
      </c>
      <c r="BP4514" s="9">
        <f t="shared" si="638"/>
        <v>0</v>
      </c>
    </row>
    <row r="4515" spans="1:68">
      <c r="A4515" s="6">
        <v>45405</v>
      </c>
      <c r="B4515" s="7">
        <v>3200</v>
      </c>
      <c r="C4515" s="8">
        <v>2282.9499999999998</v>
      </c>
      <c r="D4515" s="8"/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>
        <v>5.74</v>
      </c>
      <c r="P4515" s="8"/>
      <c r="Q4515" s="11"/>
      <c r="R4515" s="11"/>
      <c r="S4515" s="8">
        <v>8.9499999999999993</v>
      </c>
      <c r="T4515" s="8"/>
      <c r="U4515" s="8">
        <v>34.43</v>
      </c>
      <c r="V4515" s="8"/>
      <c r="W4515" s="8"/>
      <c r="X4515" s="8"/>
      <c r="Y4515" s="8"/>
      <c r="Z4515" s="8"/>
      <c r="AA4515" s="8"/>
      <c r="AB4515" s="8"/>
      <c r="AC4515" s="8"/>
      <c r="AD4515" s="8"/>
      <c r="AE4515" s="8"/>
      <c r="AF4515" s="8">
        <v>114.66</v>
      </c>
      <c r="AG4515" s="8"/>
      <c r="AH4515" s="8"/>
      <c r="AI4515" s="8"/>
      <c r="AJ4515" s="8"/>
      <c r="AK4515" s="8"/>
      <c r="AL4515" s="8"/>
      <c r="AM4515" s="8"/>
      <c r="AN4515" s="8"/>
      <c r="AO4515" s="8"/>
      <c r="AP4515" s="11"/>
      <c r="AQ4515" s="8">
        <f>1516*22.93/1000</f>
        <v>34.761879999999998</v>
      </c>
      <c r="AR4515" s="8"/>
      <c r="AS4515" s="8"/>
      <c r="AT4515" s="8">
        <v>1567.76</v>
      </c>
      <c r="AU4515" s="8"/>
      <c r="AV4515" s="8"/>
      <c r="AW4515" s="8">
        <v>6.65</v>
      </c>
      <c r="AX4515" s="8"/>
      <c r="AY4515" s="8"/>
      <c r="AZ4515" s="8"/>
      <c r="BA4515" s="8"/>
      <c r="BB4515" s="8"/>
      <c r="BC4515" s="8"/>
      <c r="BD4515" s="8"/>
      <c r="BE4515" s="8"/>
      <c r="BF4515" s="8">
        <v>110.09</v>
      </c>
      <c r="BG4515" s="8">
        <v>113.9</v>
      </c>
      <c r="BH4515" s="9">
        <f t="shared" si="630"/>
        <v>2282.9499999999998</v>
      </c>
      <c r="BI4515" s="9">
        <f t="shared" si="631"/>
        <v>5.74</v>
      </c>
      <c r="BJ4515" s="9">
        <f t="shared" si="632"/>
        <v>8.9499999999999993</v>
      </c>
      <c r="BK4515" s="9">
        <f t="shared" si="633"/>
        <v>34.43</v>
      </c>
      <c r="BL4515" s="9">
        <f t="shared" si="634"/>
        <v>0</v>
      </c>
      <c r="BM4515" s="9">
        <f t="shared" si="635"/>
        <v>149.42187999999999</v>
      </c>
      <c r="BN4515" s="9">
        <f t="shared" si="636"/>
        <v>1567.76</v>
      </c>
      <c r="BO4515" s="9">
        <f t="shared" si="637"/>
        <v>6.65</v>
      </c>
      <c r="BP4515" s="9">
        <f t="shared" si="638"/>
        <v>110.09</v>
      </c>
    </row>
    <row r="4516" spans="1:68">
      <c r="A4516" s="6">
        <v>45405</v>
      </c>
      <c r="B4516" s="7">
        <v>3106</v>
      </c>
      <c r="C4516" s="8">
        <v>10615.86</v>
      </c>
      <c r="D4516" s="8"/>
      <c r="E4516" s="8"/>
      <c r="F4516" s="8"/>
      <c r="G4516" s="8"/>
      <c r="H4516" s="8"/>
      <c r="I4516" s="8"/>
      <c r="J4516" s="8"/>
      <c r="K4516" s="8"/>
      <c r="L4516" s="8"/>
      <c r="M4516" s="8">
        <v>24.65</v>
      </c>
      <c r="N4516" s="8"/>
      <c r="O4516" s="8"/>
      <c r="P4516" s="8"/>
      <c r="Q4516" s="11"/>
      <c r="R4516" s="11"/>
      <c r="S4516" s="8">
        <v>30.8</v>
      </c>
      <c r="T4516" s="8"/>
      <c r="U4516" s="8">
        <v>134.84</v>
      </c>
      <c r="V4516" s="8"/>
      <c r="W4516" s="8"/>
      <c r="X4516" s="8"/>
      <c r="Y4516" s="8"/>
      <c r="Z4516" s="8"/>
      <c r="AA4516" s="8"/>
      <c r="AB4516" s="8"/>
      <c r="AC4516" s="8">
        <v>26.54</v>
      </c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11"/>
      <c r="AQ4516" s="8"/>
      <c r="AR4516" s="8"/>
      <c r="AS4516" s="8"/>
      <c r="AT4516" s="8">
        <v>6048.14</v>
      </c>
      <c r="AU4516" s="8"/>
      <c r="AV4516" s="8"/>
      <c r="AW4516" s="8"/>
      <c r="AX4516" s="8">
        <v>13.27</v>
      </c>
      <c r="AY4516" s="8"/>
      <c r="AZ4516" s="8"/>
      <c r="BA4516" s="8"/>
      <c r="BB4516" s="8"/>
      <c r="BC4516" s="8"/>
      <c r="BD4516" s="8"/>
      <c r="BE4516" s="8"/>
      <c r="BF4516" s="8"/>
      <c r="BG4516" s="8">
        <v>457.51</v>
      </c>
      <c r="BH4516" s="9">
        <f t="shared" si="630"/>
        <v>10615.86</v>
      </c>
      <c r="BI4516" s="9">
        <f t="shared" si="631"/>
        <v>24.65</v>
      </c>
      <c r="BJ4516" s="9">
        <f t="shared" si="632"/>
        <v>30.8</v>
      </c>
      <c r="BK4516" s="9">
        <f t="shared" si="633"/>
        <v>134.84</v>
      </c>
      <c r="BL4516" s="9">
        <f t="shared" si="634"/>
        <v>0</v>
      </c>
      <c r="BM4516" s="9">
        <f t="shared" si="635"/>
        <v>26.54</v>
      </c>
      <c r="BN4516" s="9">
        <f t="shared" si="636"/>
        <v>6048.14</v>
      </c>
      <c r="BO4516" s="9">
        <f t="shared" si="637"/>
        <v>13.27</v>
      </c>
      <c r="BP4516" s="9">
        <f t="shared" si="638"/>
        <v>0</v>
      </c>
    </row>
    <row r="4517" spans="1:68">
      <c r="A4517" s="6">
        <v>45405</v>
      </c>
      <c r="B4517" s="7">
        <v>3016</v>
      </c>
      <c r="C4517" s="8"/>
      <c r="D4517" s="8">
        <v>1639.02</v>
      </c>
      <c r="E4517" s="8"/>
      <c r="F4517" s="8"/>
      <c r="G4517" s="8"/>
      <c r="H4517" s="8"/>
      <c r="I4517" s="8">
        <v>1511.52</v>
      </c>
      <c r="J4517" s="8"/>
      <c r="K4517" s="8"/>
      <c r="L4517" s="8"/>
      <c r="M4517" s="8"/>
      <c r="N4517" s="8">
        <v>20.170000000000002</v>
      </c>
      <c r="O4517" s="8"/>
      <c r="P4517" s="8"/>
      <c r="Q4517" s="11"/>
      <c r="R4517" s="11"/>
      <c r="S4517" s="8">
        <v>2.2000000000000002</v>
      </c>
      <c r="T4517" s="8"/>
      <c r="U4517" s="8"/>
      <c r="V4517" s="8"/>
      <c r="W4517" s="8">
        <v>31.53</v>
      </c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>
        <v>12.57</v>
      </c>
      <c r="AN4517" s="8">
        <f>2076*18.53/1000</f>
        <v>38.46828</v>
      </c>
      <c r="AO4517" s="8"/>
      <c r="AP4517" s="11"/>
      <c r="AQ4517" s="8"/>
      <c r="AR4517" s="8">
        <f>4286*18.53/1000</f>
        <v>79.419579999999996</v>
      </c>
      <c r="AS4517" s="8"/>
      <c r="AT4517" s="8">
        <v>1172.6600000000001</v>
      </c>
      <c r="AU4517" s="8"/>
      <c r="AV4517" s="8"/>
      <c r="AW4517" s="8"/>
      <c r="AX4517" s="8"/>
      <c r="AY4517" s="8"/>
      <c r="AZ4517" s="8"/>
      <c r="BA4517" s="8"/>
      <c r="BB4517" s="8"/>
      <c r="BC4517" s="8"/>
      <c r="BD4517" s="8"/>
      <c r="BE4517" s="8"/>
      <c r="BF4517" s="8"/>
      <c r="BG4517" s="8">
        <v>85.77</v>
      </c>
      <c r="BH4517" s="9">
        <f t="shared" si="630"/>
        <v>3150.54</v>
      </c>
      <c r="BI4517" s="9">
        <f t="shared" si="631"/>
        <v>20.170000000000002</v>
      </c>
      <c r="BJ4517" s="9">
        <f t="shared" si="632"/>
        <v>2.2000000000000002</v>
      </c>
      <c r="BK4517" s="9">
        <f t="shared" si="633"/>
        <v>31.53</v>
      </c>
      <c r="BL4517" s="9">
        <f t="shared" si="634"/>
        <v>0</v>
      </c>
      <c r="BM4517" s="9">
        <f t="shared" si="635"/>
        <v>130.45785999999998</v>
      </c>
      <c r="BN4517" s="9">
        <f t="shared" si="636"/>
        <v>1172.6600000000001</v>
      </c>
      <c r="BO4517" s="9">
        <f t="shared" si="637"/>
        <v>0</v>
      </c>
      <c r="BP4517" s="9">
        <f t="shared" si="638"/>
        <v>0</v>
      </c>
    </row>
    <row r="4518" spans="1:68">
      <c r="A4518" s="6">
        <v>45405</v>
      </c>
      <c r="B4518" s="7">
        <v>3079</v>
      </c>
      <c r="C4518" s="8"/>
      <c r="D4518" s="8"/>
      <c r="E4518" s="8"/>
      <c r="F4518" s="8">
        <v>184.12</v>
      </c>
      <c r="G4518" s="8"/>
      <c r="H4518" s="8"/>
      <c r="I4518" s="8">
        <v>1489.57</v>
      </c>
      <c r="J4518" s="8"/>
      <c r="K4518" s="8"/>
      <c r="L4518" s="8"/>
      <c r="M4518" s="8"/>
      <c r="N4518" s="8">
        <v>12.21</v>
      </c>
      <c r="O4518" s="8"/>
      <c r="P4518" s="8"/>
      <c r="Q4518" s="11"/>
      <c r="R4518" s="11"/>
      <c r="S4518" s="8">
        <v>0.67</v>
      </c>
      <c r="T4518" s="8"/>
      <c r="U4518" s="8"/>
      <c r="V4518" s="8"/>
      <c r="W4518" s="8">
        <v>16.75</v>
      </c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>
        <v>6.68</v>
      </c>
      <c r="AN4518" s="8">
        <f>1719*9.83/1000</f>
        <v>16.897770000000001</v>
      </c>
      <c r="AO4518" s="8"/>
      <c r="AP4518" s="11"/>
      <c r="AQ4518" s="8"/>
      <c r="AR4518" s="8">
        <f>4286*9.83/1000</f>
        <v>42.13138</v>
      </c>
      <c r="AS4518" s="8"/>
      <c r="AT4518" s="8">
        <v>645.34</v>
      </c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  <c r="BF4518" s="8"/>
      <c r="BG4518" s="8">
        <v>46.77</v>
      </c>
      <c r="BH4518" s="9">
        <f t="shared" si="630"/>
        <v>1673.69</v>
      </c>
      <c r="BI4518" s="9">
        <f t="shared" si="631"/>
        <v>12.21</v>
      </c>
      <c r="BJ4518" s="9">
        <f t="shared" si="632"/>
        <v>0.67</v>
      </c>
      <c r="BK4518" s="9">
        <f t="shared" si="633"/>
        <v>16.75</v>
      </c>
      <c r="BL4518" s="9">
        <f t="shared" si="634"/>
        <v>0</v>
      </c>
      <c r="BM4518" s="9">
        <f t="shared" si="635"/>
        <v>65.709149999999994</v>
      </c>
      <c r="BN4518" s="9">
        <f t="shared" si="636"/>
        <v>645.34</v>
      </c>
      <c r="BO4518" s="9">
        <f t="shared" si="637"/>
        <v>0</v>
      </c>
      <c r="BP4518" s="9">
        <f t="shared" si="638"/>
        <v>0</v>
      </c>
    </row>
    <row r="4519" spans="1:68">
      <c r="A4519" s="6">
        <v>45405</v>
      </c>
      <c r="B4519" s="7">
        <v>3028</v>
      </c>
      <c r="C4519" s="8"/>
      <c r="D4519" s="8">
        <v>1081.98</v>
      </c>
      <c r="E4519" s="8"/>
      <c r="F4519" s="8">
        <v>996.68</v>
      </c>
      <c r="G4519" s="8"/>
      <c r="H4519" s="8"/>
      <c r="I4519" s="8">
        <v>2252.12</v>
      </c>
      <c r="J4519" s="8"/>
      <c r="K4519" s="8"/>
      <c r="L4519" s="8"/>
      <c r="M4519" s="8"/>
      <c r="N4519" s="8">
        <v>33.35</v>
      </c>
      <c r="O4519" s="8"/>
      <c r="P4519" s="8"/>
      <c r="Q4519" s="11"/>
      <c r="R4519" s="11"/>
      <c r="S4519" s="8">
        <v>6.07</v>
      </c>
      <c r="T4519" s="8"/>
      <c r="U4519" s="8"/>
      <c r="V4519" s="8"/>
      <c r="W4519" s="8">
        <v>32.51</v>
      </c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>
        <v>43.27</v>
      </c>
      <c r="AN4519" s="8">
        <f>1066*28.87/1000</f>
        <v>30.77542</v>
      </c>
      <c r="AO4519" s="8"/>
      <c r="AP4519" s="11"/>
      <c r="AQ4519" s="8"/>
      <c r="AR4519" s="8"/>
      <c r="AS4519" s="8">
        <f>4982*28.87/1000</f>
        <v>143.83034000000001</v>
      </c>
      <c r="AT4519" s="8">
        <v>1447.44</v>
      </c>
      <c r="AU4519" s="8"/>
      <c r="AV4519" s="8"/>
      <c r="AW4519" s="8"/>
      <c r="AX4519" s="8"/>
      <c r="AY4519" s="8"/>
      <c r="AZ4519" s="8"/>
      <c r="BA4519" s="8"/>
      <c r="BB4519" s="8"/>
      <c r="BC4519" s="8"/>
      <c r="BD4519" s="8"/>
      <c r="BE4519" s="8"/>
      <c r="BF4519" s="8"/>
      <c r="BG4519" s="8">
        <v>98.4</v>
      </c>
      <c r="BH4519" s="9">
        <f t="shared" si="630"/>
        <v>4330.78</v>
      </c>
      <c r="BI4519" s="9">
        <f t="shared" si="631"/>
        <v>33.35</v>
      </c>
      <c r="BJ4519" s="9">
        <f t="shared" si="632"/>
        <v>6.07</v>
      </c>
      <c r="BK4519" s="9">
        <f t="shared" si="633"/>
        <v>32.51</v>
      </c>
      <c r="BL4519" s="9">
        <f t="shared" si="634"/>
        <v>0</v>
      </c>
      <c r="BM4519" s="9">
        <f t="shared" si="635"/>
        <v>217.87576000000001</v>
      </c>
      <c r="BN4519" s="9">
        <f t="shared" si="636"/>
        <v>1447.44</v>
      </c>
      <c r="BO4519" s="9">
        <f t="shared" si="637"/>
        <v>0</v>
      </c>
      <c r="BP4519" s="9">
        <f t="shared" si="638"/>
        <v>0</v>
      </c>
    </row>
    <row r="4520" spans="1:68">
      <c r="A4520" s="6">
        <v>45405</v>
      </c>
      <c r="B4520" s="7">
        <v>3025</v>
      </c>
      <c r="C4520" s="8"/>
      <c r="D4520" s="8">
        <v>214.43</v>
      </c>
      <c r="E4520" s="8"/>
      <c r="F4520" s="8"/>
      <c r="G4520" s="8"/>
      <c r="H4520" s="8"/>
      <c r="I4520" s="8">
        <v>1211.92</v>
      </c>
      <c r="J4520" s="8"/>
      <c r="K4520" s="8"/>
      <c r="L4520" s="8"/>
      <c r="M4520" s="8"/>
      <c r="N4520" s="8">
        <v>7.99</v>
      </c>
      <c r="O4520" s="8"/>
      <c r="P4520" s="8"/>
      <c r="Q4520" s="11"/>
      <c r="R4520" s="11"/>
      <c r="S4520" s="8">
        <v>2.2799999999999998</v>
      </c>
      <c r="T4520" s="8"/>
      <c r="U4520" s="8"/>
      <c r="V4520" s="8"/>
      <c r="W4520" s="8">
        <v>12.82</v>
      </c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>
        <v>14.26</v>
      </c>
      <c r="AN4520" s="8">
        <f>706*14.27/1000</f>
        <v>10.074619999999999</v>
      </c>
      <c r="AO4520" s="8"/>
      <c r="AP4520" s="11"/>
      <c r="AQ4520" s="8"/>
      <c r="AR4520" s="8"/>
      <c r="AS4520" s="8">
        <f>3321*14.27/1000</f>
        <v>47.39067</v>
      </c>
      <c r="AT4520" s="8">
        <v>493.83</v>
      </c>
      <c r="AU4520" s="8"/>
      <c r="AV4520" s="8"/>
      <c r="AW4520" s="8"/>
      <c r="AX4520" s="8"/>
      <c r="AY4520" s="8"/>
      <c r="AZ4520" s="8"/>
      <c r="BA4520" s="8"/>
      <c r="BB4520" s="8"/>
      <c r="BC4520" s="8"/>
      <c r="BD4520" s="8"/>
      <c r="BE4520" s="8"/>
      <c r="BF4520" s="8"/>
      <c r="BG4520" s="8">
        <v>32.770000000000003</v>
      </c>
      <c r="BH4520" s="9">
        <f t="shared" si="630"/>
        <v>1426.3500000000001</v>
      </c>
      <c r="BI4520" s="9">
        <f t="shared" si="631"/>
        <v>7.99</v>
      </c>
      <c r="BJ4520" s="9">
        <f t="shared" si="632"/>
        <v>2.2799999999999998</v>
      </c>
      <c r="BK4520" s="9">
        <f t="shared" si="633"/>
        <v>12.82</v>
      </c>
      <c r="BL4520" s="9">
        <f t="shared" si="634"/>
        <v>0</v>
      </c>
      <c r="BM4520" s="9">
        <f t="shared" si="635"/>
        <v>71.725290000000001</v>
      </c>
      <c r="BN4520" s="9">
        <f t="shared" si="636"/>
        <v>493.83</v>
      </c>
      <c r="BO4520" s="9">
        <f t="shared" si="637"/>
        <v>0</v>
      </c>
      <c r="BP4520" s="9">
        <f t="shared" si="638"/>
        <v>0</v>
      </c>
    </row>
    <row r="4521" spans="1:68">
      <c r="A4521" s="6">
        <v>45405</v>
      </c>
      <c r="B4521" s="7">
        <v>8273</v>
      </c>
      <c r="C4521" s="8"/>
      <c r="D4521" s="8">
        <v>136.04</v>
      </c>
      <c r="E4521" s="8"/>
      <c r="F4521" s="8"/>
      <c r="G4521" s="8"/>
      <c r="H4521" s="8"/>
      <c r="I4521" s="8">
        <v>203.32</v>
      </c>
      <c r="J4521" s="8"/>
      <c r="K4521" s="8"/>
      <c r="L4521" s="8"/>
      <c r="M4521" s="8"/>
      <c r="N4521" s="8">
        <v>2.79</v>
      </c>
      <c r="O4521" s="8"/>
      <c r="P4521" s="8"/>
      <c r="Q4521" s="11"/>
      <c r="R4521" s="11"/>
      <c r="S4521" s="8">
        <v>0.24</v>
      </c>
      <c r="T4521" s="8"/>
      <c r="U4521" s="8"/>
      <c r="V4521" s="8"/>
      <c r="W4521" s="8"/>
      <c r="X4521" s="8">
        <f>1422*2.42/1000</f>
        <v>3.4412399999999996</v>
      </c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>
        <v>0.91</v>
      </c>
      <c r="AN4521" s="8"/>
      <c r="AO4521" s="8"/>
      <c r="AP4521" s="11"/>
      <c r="AQ4521" s="8"/>
      <c r="AR4521" s="8">
        <f>2134*2.42/1000</f>
        <v>5.1642799999999998</v>
      </c>
      <c r="AS4521" s="8">
        <f>5612*2.42/1000</f>
        <v>13.58104</v>
      </c>
      <c r="AT4521" s="8">
        <v>122.15</v>
      </c>
      <c r="AU4521" s="8">
        <v>16.690000000000001</v>
      </c>
      <c r="AV4521" s="8"/>
      <c r="AW4521" s="8"/>
      <c r="AX4521" s="8"/>
      <c r="AY4521" s="8"/>
      <c r="AZ4521" s="8"/>
      <c r="BA4521" s="8"/>
      <c r="BB4521" s="8"/>
      <c r="BC4521" s="8"/>
      <c r="BD4521" s="8"/>
      <c r="BE4521" s="8"/>
      <c r="BF4521" s="8"/>
      <c r="BG4521" s="8">
        <v>10.55</v>
      </c>
      <c r="BH4521" s="9">
        <f t="shared" si="630"/>
        <v>339.36</v>
      </c>
      <c r="BI4521" s="9">
        <f t="shared" si="631"/>
        <v>2.79</v>
      </c>
      <c r="BJ4521" s="9">
        <f t="shared" si="632"/>
        <v>0.24</v>
      </c>
      <c r="BK4521" s="9">
        <f t="shared" si="633"/>
        <v>3.4412399999999996</v>
      </c>
      <c r="BL4521" s="9">
        <f t="shared" si="634"/>
        <v>0</v>
      </c>
      <c r="BM4521" s="9">
        <f t="shared" si="635"/>
        <v>19.65532</v>
      </c>
      <c r="BN4521" s="9">
        <f t="shared" si="636"/>
        <v>138.84</v>
      </c>
      <c r="BO4521" s="9">
        <f t="shared" si="637"/>
        <v>0</v>
      </c>
      <c r="BP4521" s="9">
        <f t="shared" si="638"/>
        <v>0</v>
      </c>
    </row>
    <row r="4522" spans="1:68">
      <c r="A4522" s="6">
        <v>45405</v>
      </c>
      <c r="B4522" s="7">
        <v>3704</v>
      </c>
      <c r="C4522" s="8">
        <v>632.57000000000005</v>
      </c>
      <c r="D4522" s="8">
        <v>941.19</v>
      </c>
      <c r="E4522" s="8"/>
      <c r="F4522" s="8"/>
      <c r="G4522" s="8"/>
      <c r="H4522" s="8"/>
      <c r="I4522" s="8"/>
      <c r="J4522" s="8"/>
      <c r="K4522" s="8"/>
      <c r="L4522" s="8"/>
      <c r="M4522" s="8">
        <v>4.72</v>
      </c>
      <c r="N4522" s="8"/>
      <c r="O4522" s="8"/>
      <c r="P4522" s="8"/>
      <c r="Q4522" s="11"/>
      <c r="R4522" s="11"/>
      <c r="S4522" s="8">
        <v>5.51</v>
      </c>
      <c r="T4522" s="8"/>
      <c r="U4522" s="8">
        <v>11.81</v>
      </c>
      <c r="V4522" s="8"/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>
        <v>18.8</v>
      </c>
      <c r="AN4522" s="8"/>
      <c r="AO4522" s="8"/>
      <c r="AP4522" s="11"/>
      <c r="AQ4522" s="8"/>
      <c r="AR4522" s="8"/>
      <c r="AS4522" s="8"/>
      <c r="AT4522" s="8">
        <v>271.69</v>
      </c>
      <c r="AU4522" s="8">
        <v>136.01</v>
      </c>
      <c r="AV4522" s="8"/>
      <c r="AW4522" s="8"/>
      <c r="AX4522" s="8"/>
      <c r="AY4522" s="8"/>
      <c r="AZ4522" s="8"/>
      <c r="BA4522" s="8"/>
      <c r="BB4522" s="8"/>
      <c r="BC4522" s="8"/>
      <c r="BD4522" s="8"/>
      <c r="BE4522" s="8"/>
      <c r="BF4522" s="8"/>
      <c r="BG4522" s="8">
        <v>25.37</v>
      </c>
      <c r="BH4522" s="9">
        <f t="shared" si="630"/>
        <v>1573.7600000000002</v>
      </c>
      <c r="BI4522" s="9">
        <f t="shared" si="631"/>
        <v>4.72</v>
      </c>
      <c r="BJ4522" s="9">
        <f t="shared" si="632"/>
        <v>5.51</v>
      </c>
      <c r="BK4522" s="9">
        <f t="shared" si="633"/>
        <v>11.81</v>
      </c>
      <c r="BL4522" s="9">
        <f t="shared" si="634"/>
        <v>0</v>
      </c>
      <c r="BM4522" s="9">
        <f t="shared" si="635"/>
        <v>18.8</v>
      </c>
      <c r="BN4522" s="9">
        <f t="shared" si="636"/>
        <v>407.7</v>
      </c>
      <c r="BO4522" s="9">
        <f t="shared" si="637"/>
        <v>0</v>
      </c>
      <c r="BP4522" s="9">
        <f t="shared" si="638"/>
        <v>0</v>
      </c>
    </row>
    <row r="4523" spans="1:68">
      <c r="A4523" s="6">
        <v>45406</v>
      </c>
      <c r="B4523" s="7">
        <v>3117</v>
      </c>
      <c r="C4523" s="8">
        <v>809.96</v>
      </c>
      <c r="D4523" s="8"/>
      <c r="E4523" s="8"/>
      <c r="F4523" s="8"/>
      <c r="G4523" s="8"/>
      <c r="H4523" s="8"/>
      <c r="I4523" s="8"/>
      <c r="J4523" s="8"/>
      <c r="K4523" s="8"/>
      <c r="L4523" s="8"/>
      <c r="M4523" s="8">
        <v>2.37</v>
      </c>
      <c r="N4523" s="8"/>
      <c r="O4523" s="8"/>
      <c r="P4523" s="8"/>
      <c r="Q4523" s="11"/>
      <c r="R4523" s="11"/>
      <c r="S4523" s="8">
        <v>3.25</v>
      </c>
      <c r="T4523" s="8"/>
      <c r="U4523" s="8">
        <v>8.15</v>
      </c>
      <c r="V4523" s="8"/>
      <c r="W4523" s="8"/>
      <c r="X4523" s="8"/>
      <c r="Y4523" s="8"/>
      <c r="Z4523" s="8"/>
      <c r="AA4523" s="8"/>
      <c r="AB4523" s="8"/>
      <c r="AC4523" s="8">
        <v>3.26</v>
      </c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11"/>
      <c r="AQ4523" s="8"/>
      <c r="AR4523" s="8"/>
      <c r="AS4523" s="8"/>
      <c r="AT4523" s="8">
        <v>511.72</v>
      </c>
      <c r="AU4523" s="8"/>
      <c r="AV4523" s="8">
        <v>20.37</v>
      </c>
      <c r="AW4523" s="8"/>
      <c r="AX4523" s="8"/>
      <c r="AY4523" s="8"/>
      <c r="AZ4523" s="8"/>
      <c r="BA4523" s="8"/>
      <c r="BB4523" s="8"/>
      <c r="BC4523" s="8"/>
      <c r="BD4523" s="8"/>
      <c r="BE4523" s="8"/>
      <c r="BF4523" s="8">
        <v>40.700000000000003</v>
      </c>
      <c r="BG4523" s="8">
        <v>39.020000000000003</v>
      </c>
      <c r="BH4523" s="9">
        <f t="shared" si="630"/>
        <v>809.96</v>
      </c>
      <c r="BI4523" s="9">
        <f t="shared" si="631"/>
        <v>2.37</v>
      </c>
      <c r="BJ4523" s="9">
        <f t="shared" si="632"/>
        <v>3.25</v>
      </c>
      <c r="BK4523" s="9">
        <f t="shared" si="633"/>
        <v>8.15</v>
      </c>
      <c r="BL4523" s="9">
        <f t="shared" si="634"/>
        <v>0</v>
      </c>
      <c r="BM4523" s="9">
        <f t="shared" si="635"/>
        <v>3.26</v>
      </c>
      <c r="BN4523" s="9">
        <f t="shared" si="636"/>
        <v>511.72</v>
      </c>
      <c r="BO4523" s="9">
        <f t="shared" si="637"/>
        <v>20.37</v>
      </c>
      <c r="BP4523" s="9">
        <f t="shared" si="638"/>
        <v>40.700000000000003</v>
      </c>
    </row>
    <row r="4524" spans="1:68">
      <c r="A4524" s="6">
        <v>45406</v>
      </c>
      <c r="B4524" s="7">
        <v>3149</v>
      </c>
      <c r="C4524" s="8">
        <v>708.34</v>
      </c>
      <c r="D4524" s="8">
        <v>123.76</v>
      </c>
      <c r="E4524" s="8"/>
      <c r="F4524" s="8"/>
      <c r="G4524" s="8"/>
      <c r="H4524" s="8"/>
      <c r="I4524" s="8"/>
      <c r="J4524" s="8"/>
      <c r="K4524" s="8"/>
      <c r="L4524" s="8"/>
      <c r="M4524" s="8">
        <v>2.4900000000000002</v>
      </c>
      <c r="N4524" s="8"/>
      <c r="O4524" s="8"/>
      <c r="P4524" s="8"/>
      <c r="Q4524" s="11"/>
      <c r="R4524" s="11"/>
      <c r="S4524" s="8">
        <v>3.91</v>
      </c>
      <c r="T4524" s="8"/>
      <c r="U4524" s="8">
        <v>12.49</v>
      </c>
      <c r="V4524" s="8"/>
      <c r="W4524" s="8"/>
      <c r="X4524" s="8"/>
      <c r="Y4524" s="8"/>
      <c r="Z4524" s="8"/>
      <c r="AA4524" s="8"/>
      <c r="AB4524" s="8"/>
      <c r="AC4524" s="8">
        <v>3.33</v>
      </c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11"/>
      <c r="AQ4524" s="8"/>
      <c r="AR4524" s="8"/>
      <c r="AS4524" s="8"/>
      <c r="AT4524" s="8">
        <v>545.01</v>
      </c>
      <c r="AU4524" s="8"/>
      <c r="AV4524" s="8"/>
      <c r="AW4524" s="8">
        <v>26.89</v>
      </c>
      <c r="AX4524" s="8"/>
      <c r="AY4524" s="8"/>
      <c r="AZ4524" s="8"/>
      <c r="BA4524" s="8"/>
      <c r="BB4524" s="8"/>
      <c r="BC4524" s="8"/>
      <c r="BD4524" s="8"/>
      <c r="BE4524" s="8"/>
      <c r="BF4524" s="8">
        <v>58.25</v>
      </c>
      <c r="BG4524" s="8">
        <v>43.17</v>
      </c>
      <c r="BH4524" s="9">
        <f t="shared" si="630"/>
        <v>832.1</v>
      </c>
      <c r="BI4524" s="9">
        <f t="shared" si="631"/>
        <v>2.4900000000000002</v>
      </c>
      <c r="BJ4524" s="9">
        <f t="shared" si="632"/>
        <v>3.91</v>
      </c>
      <c r="BK4524" s="9">
        <f t="shared" si="633"/>
        <v>12.49</v>
      </c>
      <c r="BL4524" s="9">
        <f t="shared" si="634"/>
        <v>0</v>
      </c>
      <c r="BM4524" s="9">
        <f t="shared" si="635"/>
        <v>3.33</v>
      </c>
      <c r="BN4524" s="9">
        <f t="shared" si="636"/>
        <v>545.01</v>
      </c>
      <c r="BO4524" s="9">
        <f t="shared" si="637"/>
        <v>26.89</v>
      </c>
      <c r="BP4524" s="9">
        <f t="shared" si="638"/>
        <v>58.25</v>
      </c>
    </row>
    <row r="4525" spans="1:68">
      <c r="A4525" s="6">
        <v>45406</v>
      </c>
      <c r="B4525" s="7">
        <v>3703</v>
      </c>
      <c r="C4525" s="8">
        <v>509.41</v>
      </c>
      <c r="D4525" s="8">
        <v>339.34</v>
      </c>
      <c r="E4525" s="8"/>
      <c r="F4525" s="8"/>
      <c r="G4525" s="8"/>
      <c r="H4525" s="8"/>
      <c r="I4525" s="8"/>
      <c r="J4525" s="8"/>
      <c r="K4525" s="8"/>
      <c r="L4525" s="8"/>
      <c r="M4525" s="8">
        <v>1.7</v>
      </c>
      <c r="N4525" s="8"/>
      <c r="O4525" s="8"/>
      <c r="P4525" s="8"/>
      <c r="Q4525" s="11"/>
      <c r="R4525" s="11"/>
      <c r="S4525" s="8">
        <v>4.16</v>
      </c>
      <c r="T4525" s="8"/>
      <c r="U4525" s="8">
        <v>6.8</v>
      </c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>
        <v>8.4499999999999993</v>
      </c>
      <c r="AN4525" s="8"/>
      <c r="AO4525" s="8"/>
      <c r="AP4525" s="11"/>
      <c r="AQ4525" s="8"/>
      <c r="AR4525" s="8"/>
      <c r="AS4525" s="8"/>
      <c r="AT4525" s="8">
        <v>205.78</v>
      </c>
      <c r="AU4525" s="8">
        <v>102.98</v>
      </c>
      <c r="AV4525" s="8"/>
      <c r="AW4525" s="8"/>
      <c r="AX4525" s="8"/>
      <c r="AY4525" s="8"/>
      <c r="AZ4525" s="8"/>
      <c r="BA4525" s="8"/>
      <c r="BB4525" s="8"/>
      <c r="BC4525" s="8"/>
      <c r="BD4525" s="8"/>
      <c r="BE4525" s="8"/>
      <c r="BF4525" s="8"/>
      <c r="BG4525" s="8">
        <v>21.7</v>
      </c>
      <c r="BH4525" s="9">
        <f t="shared" si="630"/>
        <v>848.75</v>
      </c>
      <c r="BI4525" s="9">
        <f t="shared" si="631"/>
        <v>1.7</v>
      </c>
      <c r="BJ4525" s="9">
        <f t="shared" si="632"/>
        <v>4.16</v>
      </c>
      <c r="BK4525" s="9">
        <f t="shared" si="633"/>
        <v>6.8</v>
      </c>
      <c r="BL4525" s="9">
        <f t="shared" si="634"/>
        <v>0</v>
      </c>
      <c r="BM4525" s="9">
        <f t="shared" si="635"/>
        <v>8.4499999999999993</v>
      </c>
      <c r="BN4525" s="9">
        <f t="shared" si="636"/>
        <v>308.76</v>
      </c>
      <c r="BO4525" s="9">
        <f t="shared" si="637"/>
        <v>0</v>
      </c>
      <c r="BP4525" s="9">
        <f t="shared" si="638"/>
        <v>0</v>
      </c>
    </row>
    <row r="4526" spans="1:68">
      <c r="A4526" s="6">
        <v>45406</v>
      </c>
      <c r="B4526" s="7">
        <v>3602</v>
      </c>
      <c r="C4526" s="8">
        <v>557.83000000000004</v>
      </c>
      <c r="D4526" s="8"/>
      <c r="E4526" s="8"/>
      <c r="F4526" s="8"/>
      <c r="G4526" s="8">
        <v>836.09</v>
      </c>
      <c r="H4526" s="8"/>
      <c r="I4526" s="8"/>
      <c r="J4526" s="8"/>
      <c r="K4526" s="8"/>
      <c r="L4526" s="8"/>
      <c r="M4526" s="8">
        <v>1.68</v>
      </c>
      <c r="N4526" s="8"/>
      <c r="O4526" s="8"/>
      <c r="P4526" s="8"/>
      <c r="Q4526" s="11"/>
      <c r="R4526" s="11"/>
      <c r="S4526" s="8">
        <v>6.27</v>
      </c>
      <c r="T4526" s="8"/>
      <c r="U4526" s="8">
        <v>11.15</v>
      </c>
      <c r="V4526" s="8">
        <v>13.77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11"/>
      <c r="AQ4526" s="8"/>
      <c r="AR4526" s="8"/>
      <c r="AS4526" s="8"/>
      <c r="AT4526" s="8">
        <v>562.55999999999995</v>
      </c>
      <c r="AU4526" s="8"/>
      <c r="AV4526" s="8"/>
      <c r="AW4526" s="8">
        <v>36.07</v>
      </c>
      <c r="AX4526" s="8"/>
      <c r="AY4526" s="8"/>
      <c r="AZ4526" s="8"/>
      <c r="BA4526" s="8"/>
      <c r="BB4526" s="8"/>
      <c r="BC4526" s="8"/>
      <c r="BD4526" s="8"/>
      <c r="BE4526" s="8"/>
      <c r="BF4526" s="8">
        <v>44.61</v>
      </c>
      <c r="BG4526" s="8">
        <v>41.89</v>
      </c>
      <c r="BH4526" s="9">
        <f t="shared" si="630"/>
        <v>1393.92</v>
      </c>
      <c r="BI4526" s="9">
        <f t="shared" si="631"/>
        <v>1.68</v>
      </c>
      <c r="BJ4526" s="9">
        <f t="shared" si="632"/>
        <v>6.27</v>
      </c>
      <c r="BK4526" s="9">
        <f t="shared" si="633"/>
        <v>24.92</v>
      </c>
      <c r="BL4526" s="9">
        <f t="shared" si="634"/>
        <v>0</v>
      </c>
      <c r="BM4526" s="9">
        <f t="shared" si="635"/>
        <v>0</v>
      </c>
      <c r="BN4526" s="9">
        <f t="shared" si="636"/>
        <v>562.55999999999995</v>
      </c>
      <c r="BO4526" s="9">
        <f t="shared" si="637"/>
        <v>36.07</v>
      </c>
      <c r="BP4526" s="9">
        <f t="shared" si="638"/>
        <v>44.61</v>
      </c>
    </row>
    <row r="4527" spans="1:68">
      <c r="A4527" s="6">
        <v>45406</v>
      </c>
      <c r="B4527" s="7">
        <v>3204</v>
      </c>
      <c r="C4527" s="8"/>
      <c r="D4527" s="8">
        <v>1002.71</v>
      </c>
      <c r="E4527" s="8">
        <v>429.43</v>
      </c>
      <c r="F4527" s="8"/>
      <c r="G4527" s="8"/>
      <c r="H4527" s="8"/>
      <c r="I4527" s="8"/>
      <c r="J4527" s="8"/>
      <c r="K4527" s="8"/>
      <c r="L4527" s="8"/>
      <c r="M4527" s="8"/>
      <c r="N4527" s="8"/>
      <c r="O4527" s="8">
        <v>7.16</v>
      </c>
      <c r="P4527" s="8"/>
      <c r="Q4527" s="11"/>
      <c r="R4527" s="11"/>
      <c r="S4527" s="8">
        <v>4.87</v>
      </c>
      <c r="T4527" s="8"/>
      <c r="U4527" s="8">
        <v>15.76</v>
      </c>
      <c r="V4527" s="8"/>
      <c r="W4527" s="8"/>
      <c r="X4527" s="8"/>
      <c r="Y4527" s="8"/>
      <c r="Z4527" s="8">
        <v>214.97</v>
      </c>
      <c r="AA4527" s="8"/>
      <c r="AB4527" s="8">
        <v>7.34</v>
      </c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11"/>
      <c r="AQ4527" s="8"/>
      <c r="AR4527" s="8"/>
      <c r="AS4527" s="8"/>
      <c r="AT4527" s="8">
        <v>631.52</v>
      </c>
      <c r="AU4527" s="8"/>
      <c r="AV4527" s="8"/>
      <c r="AW4527" s="8">
        <v>4.54</v>
      </c>
      <c r="AX4527" s="8"/>
      <c r="AY4527" s="8"/>
      <c r="AZ4527" s="8"/>
      <c r="BA4527" s="8"/>
      <c r="BB4527" s="8"/>
      <c r="BC4527" s="8"/>
      <c r="BD4527" s="8"/>
      <c r="BE4527" s="8"/>
      <c r="BF4527" s="8"/>
      <c r="BG4527" s="8">
        <v>46.57</v>
      </c>
      <c r="BH4527" s="9">
        <f t="shared" si="630"/>
        <v>1432.14</v>
      </c>
      <c r="BI4527" s="9">
        <f t="shared" si="631"/>
        <v>7.16</v>
      </c>
      <c r="BJ4527" s="9">
        <f t="shared" si="632"/>
        <v>4.87</v>
      </c>
      <c r="BK4527" s="9">
        <f t="shared" si="633"/>
        <v>15.76</v>
      </c>
      <c r="BL4527" s="9">
        <f t="shared" si="634"/>
        <v>214.97</v>
      </c>
      <c r="BM4527" s="9">
        <f t="shared" si="635"/>
        <v>7.34</v>
      </c>
      <c r="BN4527" s="9">
        <f t="shared" si="636"/>
        <v>631.52</v>
      </c>
      <c r="BO4527" s="9">
        <f t="shared" si="637"/>
        <v>4.54</v>
      </c>
      <c r="BP4527" s="9">
        <f t="shared" si="638"/>
        <v>0</v>
      </c>
    </row>
    <row r="4528" spans="1:68">
      <c r="A4528" s="6">
        <v>45406</v>
      </c>
      <c r="B4528" s="7">
        <v>3081</v>
      </c>
      <c r="C4528" s="8"/>
      <c r="D4528" s="8">
        <v>298.33999999999997</v>
      </c>
      <c r="E4528" s="8"/>
      <c r="F4528" s="8">
        <v>336.12</v>
      </c>
      <c r="G4528" s="8"/>
      <c r="H4528" s="8"/>
      <c r="I4528" s="8">
        <v>1226.01</v>
      </c>
      <c r="J4528" s="8"/>
      <c r="K4528" s="8"/>
      <c r="L4528" s="8"/>
      <c r="M4528" s="8"/>
      <c r="N4528" s="8">
        <v>13.66</v>
      </c>
      <c r="O4528" s="8"/>
      <c r="P4528" s="8">
        <v>7.61</v>
      </c>
      <c r="Q4528" s="11"/>
      <c r="R4528" s="11"/>
      <c r="S4528" s="8">
        <v>1.31</v>
      </c>
      <c r="T4528" s="8"/>
      <c r="U4528" s="8"/>
      <c r="V4528" s="8"/>
      <c r="W4528" s="8">
        <v>18.71</v>
      </c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11"/>
      <c r="AQ4528" s="8">
        <v>18.79</v>
      </c>
      <c r="AR4528" s="8">
        <v>65.86</v>
      </c>
      <c r="AS4528" s="8"/>
      <c r="AT4528" s="8">
        <v>585.95000000000005</v>
      </c>
      <c r="AU4528" s="8"/>
      <c r="AV4528" s="8"/>
      <c r="AW4528" s="8"/>
      <c r="AX4528" s="8"/>
      <c r="AY4528" s="8"/>
      <c r="AZ4528" s="8"/>
      <c r="BA4528" s="8"/>
      <c r="BB4528" s="8"/>
      <c r="BC4528" s="8"/>
      <c r="BD4528" s="8"/>
      <c r="BE4528" s="8"/>
      <c r="BF4528" s="8"/>
      <c r="BG4528" s="8">
        <v>39.1</v>
      </c>
      <c r="BH4528" s="9">
        <f t="shared" si="630"/>
        <v>1860.47</v>
      </c>
      <c r="BI4528" s="9">
        <f t="shared" si="631"/>
        <v>21.27</v>
      </c>
      <c r="BJ4528" s="9">
        <f t="shared" si="632"/>
        <v>1.31</v>
      </c>
      <c r="BK4528" s="9">
        <f t="shared" si="633"/>
        <v>18.71</v>
      </c>
      <c r="BL4528" s="9">
        <f t="shared" si="634"/>
        <v>0</v>
      </c>
      <c r="BM4528" s="9">
        <f t="shared" si="635"/>
        <v>84.65</v>
      </c>
      <c r="BN4528" s="9">
        <f t="shared" si="636"/>
        <v>585.95000000000005</v>
      </c>
      <c r="BO4528" s="9">
        <f t="shared" si="637"/>
        <v>0</v>
      </c>
      <c r="BP4528" s="9">
        <f t="shared" si="638"/>
        <v>0</v>
      </c>
    </row>
    <row r="4529" spans="1:68">
      <c r="A4529" s="6">
        <v>45406</v>
      </c>
      <c r="B4529" s="7">
        <v>3147</v>
      </c>
      <c r="C4529" s="8">
        <v>396.02</v>
      </c>
      <c r="D4529" s="8">
        <v>70.849999999999994</v>
      </c>
      <c r="E4529" s="8"/>
      <c r="F4529" s="8"/>
      <c r="G4529" s="8"/>
      <c r="H4529" s="8"/>
      <c r="I4529" s="8"/>
      <c r="J4529" s="8"/>
      <c r="K4529" s="8"/>
      <c r="L4529" s="8"/>
      <c r="M4529" s="8">
        <v>1.41</v>
      </c>
      <c r="N4529" s="8"/>
      <c r="O4529" s="8"/>
      <c r="P4529" s="8"/>
      <c r="Q4529" s="11"/>
      <c r="R4529" s="11"/>
      <c r="S4529" s="8">
        <v>2.2000000000000002</v>
      </c>
      <c r="T4529" s="8"/>
      <c r="U4529" s="8">
        <v>7.05</v>
      </c>
      <c r="V4529" s="8"/>
      <c r="W4529" s="8"/>
      <c r="X4529" s="8"/>
      <c r="Y4529" s="8"/>
      <c r="Z4529" s="8"/>
      <c r="AA4529" s="8"/>
      <c r="AB4529" s="8"/>
      <c r="AC4529" s="8">
        <v>1.88</v>
      </c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11">
        <v>3.81</v>
      </c>
      <c r="AQ4529" s="8"/>
      <c r="AR4529" s="8"/>
      <c r="AS4529" s="8"/>
      <c r="AT4529" s="8">
        <v>307.54000000000002</v>
      </c>
      <c r="AU4529" s="8"/>
      <c r="AV4529" s="8"/>
      <c r="AW4529" s="8"/>
      <c r="AX4529" s="8"/>
      <c r="AY4529" s="8"/>
      <c r="AZ4529" s="8"/>
      <c r="BA4529" s="8"/>
      <c r="BB4529" s="8"/>
      <c r="BC4529" s="8"/>
      <c r="BD4529" s="8"/>
      <c r="BE4529" s="8"/>
      <c r="BF4529" s="8">
        <v>32.86</v>
      </c>
      <c r="BG4529" s="8">
        <v>24.49</v>
      </c>
      <c r="BH4529" s="9">
        <f t="shared" si="630"/>
        <v>466.87</v>
      </c>
      <c r="BI4529" s="9">
        <f t="shared" si="631"/>
        <v>1.41</v>
      </c>
      <c r="BJ4529" s="9">
        <f t="shared" si="632"/>
        <v>2.2000000000000002</v>
      </c>
      <c r="BK4529" s="9">
        <f t="shared" si="633"/>
        <v>7.05</v>
      </c>
      <c r="BL4529" s="9">
        <f t="shared" si="634"/>
        <v>0</v>
      </c>
      <c r="BM4529" s="9">
        <f t="shared" si="635"/>
        <v>5.6899999999999995</v>
      </c>
      <c r="BN4529" s="9">
        <f t="shared" si="636"/>
        <v>307.54000000000002</v>
      </c>
      <c r="BO4529" s="9">
        <f t="shared" si="637"/>
        <v>0</v>
      </c>
      <c r="BP4529" s="9">
        <f t="shared" si="638"/>
        <v>32.86</v>
      </c>
    </row>
    <row r="4530" spans="1:68">
      <c r="A4530" s="6">
        <v>45407</v>
      </c>
      <c r="B4530" s="7">
        <v>3016</v>
      </c>
      <c r="C4530" s="8"/>
      <c r="D4530" s="8">
        <v>1644.31</v>
      </c>
      <c r="E4530" s="8"/>
      <c r="F4530" s="8"/>
      <c r="G4530" s="8"/>
      <c r="H4530" s="8"/>
      <c r="I4530" s="8">
        <v>1514.67</v>
      </c>
      <c r="J4530" s="8"/>
      <c r="K4530" s="8"/>
      <c r="L4530" s="8"/>
      <c r="M4530" s="8"/>
      <c r="N4530" s="8">
        <v>20.22</v>
      </c>
      <c r="O4530" s="8"/>
      <c r="P4530" s="8"/>
      <c r="Q4530" s="11"/>
      <c r="R4530" s="11"/>
      <c r="S4530" s="8">
        <v>2.2000000000000002</v>
      </c>
      <c r="T4530" s="8"/>
      <c r="U4530" s="8"/>
      <c r="V4530" s="8"/>
      <c r="W4530" s="8">
        <v>31.61</v>
      </c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>
        <v>12.59</v>
      </c>
      <c r="AN4530" s="8">
        <v>38.1</v>
      </c>
      <c r="AO4530" s="8"/>
      <c r="AP4530" s="11"/>
      <c r="AQ4530" s="8"/>
      <c r="AR4530" s="8">
        <v>79.290000000000006</v>
      </c>
      <c r="AS4530" s="8"/>
      <c r="AT4530" s="8">
        <v>1174.6400000000001</v>
      </c>
      <c r="AU4530" s="8"/>
      <c r="AV4530" s="8"/>
      <c r="AW4530" s="8"/>
      <c r="AX4530" s="8"/>
      <c r="AY4530" s="8"/>
      <c r="AZ4530" s="8"/>
      <c r="BA4530" s="8"/>
      <c r="BB4530" s="8"/>
      <c r="BC4530" s="8"/>
      <c r="BD4530" s="8"/>
      <c r="BE4530" s="8"/>
      <c r="BF4530" s="8"/>
      <c r="BG4530" s="8">
        <v>86.1</v>
      </c>
      <c r="BH4530" s="9">
        <f t="shared" si="630"/>
        <v>3158.98</v>
      </c>
      <c r="BI4530" s="9">
        <f t="shared" si="631"/>
        <v>20.22</v>
      </c>
      <c r="BJ4530" s="9">
        <f t="shared" si="632"/>
        <v>2.2000000000000002</v>
      </c>
      <c r="BK4530" s="9">
        <f t="shared" si="633"/>
        <v>31.61</v>
      </c>
      <c r="BL4530" s="9">
        <f t="shared" si="634"/>
        <v>0</v>
      </c>
      <c r="BM4530" s="9">
        <f t="shared" si="635"/>
        <v>129.98000000000002</v>
      </c>
      <c r="BN4530" s="9">
        <f t="shared" si="636"/>
        <v>1174.6400000000001</v>
      </c>
      <c r="BO4530" s="9">
        <f t="shared" si="637"/>
        <v>0</v>
      </c>
      <c r="BP4530" s="9">
        <f t="shared" si="638"/>
        <v>0</v>
      </c>
    </row>
    <row r="4531" spans="1:68">
      <c r="A4531" s="6">
        <v>45407</v>
      </c>
      <c r="B4531" s="7">
        <v>3079</v>
      </c>
      <c r="C4531" s="8"/>
      <c r="D4531" s="8"/>
      <c r="E4531" s="8"/>
      <c r="F4531" s="8">
        <v>343.55</v>
      </c>
      <c r="G4531" s="8"/>
      <c r="H4531" s="8"/>
      <c r="I4531" s="8">
        <v>2775.34</v>
      </c>
      <c r="J4531" s="8"/>
      <c r="K4531" s="8"/>
      <c r="L4531" s="8"/>
      <c r="M4531" s="8"/>
      <c r="N4531" s="8">
        <v>22.8</v>
      </c>
      <c r="O4531" s="8"/>
      <c r="P4531" s="8"/>
      <c r="Q4531" s="11"/>
      <c r="R4531" s="11"/>
      <c r="S4531" s="8">
        <v>1.25</v>
      </c>
      <c r="T4531" s="8"/>
      <c r="U4531" s="8"/>
      <c r="V4531" s="8"/>
      <c r="W4531" s="8">
        <v>31.25</v>
      </c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>
        <v>12.5</v>
      </c>
      <c r="AN4531" s="8">
        <v>31.3</v>
      </c>
      <c r="AO4531" s="8"/>
      <c r="AP4531" s="11"/>
      <c r="AQ4531" s="8"/>
      <c r="AR4531" s="8">
        <v>78.400000000000006</v>
      </c>
      <c r="AS4531" s="8"/>
      <c r="AT4531" s="8">
        <v>1203.56</v>
      </c>
      <c r="AU4531" s="8"/>
      <c r="AV4531" s="8"/>
      <c r="AW4531" s="8"/>
      <c r="AX4531" s="8"/>
      <c r="AY4531" s="8"/>
      <c r="AZ4531" s="8"/>
      <c r="BA4531" s="8"/>
      <c r="BB4531" s="8"/>
      <c r="BC4531" s="8"/>
      <c r="BD4531" s="8"/>
      <c r="BE4531" s="8"/>
      <c r="BF4531" s="8"/>
      <c r="BG4531" s="8">
        <v>87.53</v>
      </c>
      <c r="BH4531" s="9">
        <f t="shared" si="630"/>
        <v>3118.8900000000003</v>
      </c>
      <c r="BI4531" s="9">
        <f t="shared" si="631"/>
        <v>22.8</v>
      </c>
      <c r="BJ4531" s="9">
        <f t="shared" si="632"/>
        <v>1.25</v>
      </c>
      <c r="BK4531" s="9">
        <f t="shared" si="633"/>
        <v>31.25</v>
      </c>
      <c r="BL4531" s="9">
        <f t="shared" si="634"/>
        <v>0</v>
      </c>
      <c r="BM4531" s="9">
        <f t="shared" si="635"/>
        <v>122.2</v>
      </c>
      <c r="BN4531" s="9">
        <f t="shared" si="636"/>
        <v>1203.56</v>
      </c>
      <c r="BO4531" s="9">
        <f t="shared" si="637"/>
        <v>0</v>
      </c>
      <c r="BP4531" s="9">
        <f t="shared" si="638"/>
        <v>0</v>
      </c>
    </row>
    <row r="4532" spans="1:68">
      <c r="A4532" s="6">
        <v>45407</v>
      </c>
      <c r="B4532" s="7">
        <v>8151</v>
      </c>
      <c r="C4532" s="8"/>
      <c r="D4532" s="8"/>
      <c r="E4532" s="8"/>
      <c r="F4532" s="8">
        <v>345.21</v>
      </c>
      <c r="G4532" s="8"/>
      <c r="H4532" s="8"/>
      <c r="I4532" s="8"/>
      <c r="J4532" s="8"/>
      <c r="K4532" s="8">
        <v>655.30999999999995</v>
      </c>
      <c r="L4532" s="8"/>
      <c r="M4532" s="8"/>
      <c r="N4532" s="8">
        <v>6.35</v>
      </c>
      <c r="O4532" s="8"/>
      <c r="P4532" s="8"/>
      <c r="Q4532" s="11"/>
      <c r="R4532" s="11"/>
      <c r="S4532" s="8"/>
      <c r="T4532" s="8"/>
      <c r="U4532" s="8"/>
      <c r="V4532" s="8"/>
      <c r="W4532" s="8">
        <v>8.94</v>
      </c>
      <c r="X4532" s="8"/>
      <c r="Y4532" s="8">
        <f>195*8.27/1000</f>
        <v>1.6126499999999999</v>
      </c>
      <c r="Z4532" s="8"/>
      <c r="AA4532" s="8"/>
      <c r="AB4532" s="8"/>
      <c r="AC4532" s="8"/>
      <c r="AD4532" s="8"/>
      <c r="AE4532" s="8"/>
      <c r="AF4532" s="8"/>
      <c r="AG4532" s="8"/>
      <c r="AH4532" s="8">
        <v>12.06</v>
      </c>
      <c r="AI4532" s="8"/>
      <c r="AJ4532" s="8"/>
      <c r="AK4532" s="8"/>
      <c r="AL4532" s="8"/>
      <c r="AM4532" s="8"/>
      <c r="AN4532" s="8"/>
      <c r="AO4532" s="8"/>
      <c r="AP4532" s="11"/>
      <c r="AQ4532" s="8"/>
      <c r="AR4532" s="8"/>
      <c r="AS4532" s="8"/>
      <c r="AT4532" s="8">
        <v>136.44</v>
      </c>
      <c r="AU4532" s="8">
        <v>368.78</v>
      </c>
      <c r="AV4532" s="8"/>
      <c r="AW4532" s="8"/>
      <c r="AX4532" s="8"/>
      <c r="AY4532" s="8"/>
      <c r="AZ4532" s="8"/>
      <c r="BA4532" s="8"/>
      <c r="BB4532" s="8"/>
      <c r="BC4532" s="8"/>
      <c r="BD4532" s="8"/>
      <c r="BE4532" s="8"/>
      <c r="BF4532" s="8"/>
      <c r="BG4532" s="8">
        <v>23.41</v>
      </c>
      <c r="BH4532" s="9">
        <f t="shared" si="630"/>
        <v>1000.52</v>
      </c>
      <c r="BI4532" s="9">
        <f t="shared" si="631"/>
        <v>6.35</v>
      </c>
      <c r="BJ4532" s="9">
        <f t="shared" si="632"/>
        <v>0</v>
      </c>
      <c r="BK4532" s="9">
        <f t="shared" si="633"/>
        <v>10.55265</v>
      </c>
      <c r="BL4532" s="9">
        <f t="shared" si="634"/>
        <v>0</v>
      </c>
      <c r="BM4532" s="9">
        <f t="shared" si="635"/>
        <v>12.06</v>
      </c>
      <c r="BN4532" s="9">
        <f t="shared" si="636"/>
        <v>505.21999999999997</v>
      </c>
      <c r="BO4532" s="9">
        <f t="shared" si="637"/>
        <v>0</v>
      </c>
      <c r="BP4532" s="9">
        <f t="shared" si="638"/>
        <v>0</v>
      </c>
    </row>
    <row r="4533" spans="1:68">
      <c r="A4533" s="6">
        <v>45407</v>
      </c>
      <c r="B4533" s="7">
        <v>3200</v>
      </c>
      <c r="C4533" s="8">
        <v>2373.44</v>
      </c>
      <c r="D4533" s="8"/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>
        <v>5.94</v>
      </c>
      <c r="P4533" s="8"/>
      <c r="Q4533" s="11"/>
      <c r="R4533" s="11"/>
      <c r="S4533" s="8">
        <v>9.25</v>
      </c>
      <c r="T4533" s="8"/>
      <c r="U4533" s="8">
        <v>35.6</v>
      </c>
      <c r="V4533" s="8"/>
      <c r="W4533" s="8"/>
      <c r="X4533" s="8"/>
      <c r="Y4533" s="8"/>
      <c r="Z4533" s="8">
        <v>498.87</v>
      </c>
      <c r="AA4533" s="8"/>
      <c r="AB4533" s="8"/>
      <c r="AC4533" s="8"/>
      <c r="AD4533" s="8"/>
      <c r="AE4533" s="8"/>
      <c r="AF4533" s="8">
        <v>119.01</v>
      </c>
      <c r="AG4533" s="8"/>
      <c r="AH4533" s="8"/>
      <c r="AI4533" s="8"/>
      <c r="AJ4533" s="8"/>
      <c r="AK4533" s="8"/>
      <c r="AL4533" s="8"/>
      <c r="AM4533" s="8"/>
      <c r="AN4533" s="8"/>
      <c r="AO4533" s="8"/>
      <c r="AP4533" s="11"/>
      <c r="AQ4533" s="8">
        <v>36.18</v>
      </c>
      <c r="AR4533" s="8"/>
      <c r="AS4533" s="8"/>
      <c r="AT4533" s="8">
        <v>1625.17</v>
      </c>
      <c r="AU4533" s="8"/>
      <c r="AV4533" s="8"/>
      <c r="AW4533" s="8">
        <v>6.98</v>
      </c>
      <c r="AX4533" s="8"/>
      <c r="AY4533" s="8"/>
      <c r="AZ4533" s="8"/>
      <c r="BA4533" s="8"/>
      <c r="BB4533" s="8"/>
      <c r="BC4533" s="8"/>
      <c r="BD4533" s="8"/>
      <c r="BE4533" s="8"/>
      <c r="BF4533" s="8">
        <v>114.06</v>
      </c>
      <c r="BG4533" s="8">
        <v>117.84</v>
      </c>
      <c r="BH4533" s="9">
        <f t="shared" si="630"/>
        <v>2373.44</v>
      </c>
      <c r="BI4533" s="9">
        <f t="shared" si="631"/>
        <v>5.94</v>
      </c>
      <c r="BJ4533" s="9">
        <f t="shared" si="632"/>
        <v>9.25</v>
      </c>
      <c r="BK4533" s="9">
        <f t="shared" si="633"/>
        <v>35.6</v>
      </c>
      <c r="BL4533" s="9">
        <f t="shared" si="634"/>
        <v>498.87</v>
      </c>
      <c r="BM4533" s="9">
        <f t="shared" si="635"/>
        <v>155.19</v>
      </c>
      <c r="BN4533" s="9">
        <f t="shared" si="636"/>
        <v>1625.17</v>
      </c>
      <c r="BO4533" s="9">
        <f t="shared" si="637"/>
        <v>6.98</v>
      </c>
      <c r="BP4533" s="9">
        <f t="shared" si="638"/>
        <v>114.06</v>
      </c>
    </row>
    <row r="4534" spans="1:68">
      <c r="A4534" s="6">
        <v>45407</v>
      </c>
      <c r="B4534" s="7">
        <v>3206</v>
      </c>
      <c r="C4534" s="8">
        <v>317.39999999999998</v>
      </c>
      <c r="D4534" s="8">
        <v>574.54</v>
      </c>
      <c r="E4534" s="8">
        <v>381.59</v>
      </c>
      <c r="F4534" s="8"/>
      <c r="G4534" s="8"/>
      <c r="H4534" s="8"/>
      <c r="I4534" s="8"/>
      <c r="J4534" s="8"/>
      <c r="K4534" s="8"/>
      <c r="L4534" s="8"/>
      <c r="M4534" s="8"/>
      <c r="N4534" s="8"/>
      <c r="O4534" s="8">
        <v>2.54</v>
      </c>
      <c r="P4534" s="8"/>
      <c r="Q4534" s="11"/>
      <c r="R4534" s="11"/>
      <c r="S4534" s="8">
        <v>6.37</v>
      </c>
      <c r="T4534" s="8"/>
      <c r="U4534" s="8">
        <v>4.45</v>
      </c>
      <c r="V4534" s="8"/>
      <c r="W4534" s="8"/>
      <c r="X4534" s="8"/>
      <c r="Y4534" s="8"/>
      <c r="Z4534" s="8">
        <v>76.41</v>
      </c>
      <c r="AA4534" s="8"/>
      <c r="AB4534" s="8">
        <v>6.53</v>
      </c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11"/>
      <c r="AQ4534" s="8"/>
      <c r="AR4534" s="8"/>
      <c r="AS4534" s="8"/>
      <c r="AT4534" s="8">
        <v>222.14</v>
      </c>
      <c r="AU4534" s="8">
        <v>111.05</v>
      </c>
      <c r="AV4534" s="8"/>
      <c r="AW4534" s="8">
        <v>4.8499999999999996</v>
      </c>
      <c r="AX4534" s="8"/>
      <c r="AY4534" s="8"/>
      <c r="AZ4534" s="8"/>
      <c r="BA4534" s="8"/>
      <c r="BB4534" s="8"/>
      <c r="BC4534" s="8"/>
      <c r="BD4534" s="8"/>
      <c r="BE4534" s="8"/>
      <c r="BF4534" s="8"/>
      <c r="BG4534" s="8">
        <v>22.46</v>
      </c>
      <c r="BH4534" s="9">
        <f t="shared" si="630"/>
        <v>1273.53</v>
      </c>
      <c r="BI4534" s="9">
        <f t="shared" si="631"/>
        <v>2.54</v>
      </c>
      <c r="BJ4534" s="9">
        <f t="shared" si="632"/>
        <v>6.37</v>
      </c>
      <c r="BK4534" s="9">
        <f t="shared" si="633"/>
        <v>4.45</v>
      </c>
      <c r="BL4534" s="9">
        <f t="shared" si="634"/>
        <v>76.41</v>
      </c>
      <c r="BM4534" s="9">
        <f t="shared" si="635"/>
        <v>6.53</v>
      </c>
      <c r="BN4534" s="9">
        <f t="shared" si="636"/>
        <v>333.19</v>
      </c>
      <c r="BO4534" s="9">
        <f t="shared" si="637"/>
        <v>4.8499999999999996</v>
      </c>
      <c r="BP4534" s="9">
        <f t="shared" si="638"/>
        <v>0</v>
      </c>
    </row>
    <row r="4535" spans="1:68">
      <c r="A4535" s="6">
        <v>45407</v>
      </c>
      <c r="B4535" s="7">
        <v>3145</v>
      </c>
      <c r="C4535" s="8">
        <v>1265.01</v>
      </c>
      <c r="D4535" s="8">
        <v>223.19</v>
      </c>
      <c r="E4535" s="8"/>
      <c r="F4535" s="8"/>
      <c r="G4535" s="8"/>
      <c r="H4535" s="8"/>
      <c r="I4535" s="8"/>
      <c r="J4535" s="8"/>
      <c r="K4535" s="8"/>
      <c r="L4535" s="8"/>
      <c r="M4535" s="8">
        <v>4.32</v>
      </c>
      <c r="N4535" s="8"/>
      <c r="O4535" s="8"/>
      <c r="P4535" s="8"/>
      <c r="Q4535" s="11"/>
      <c r="R4535" s="11"/>
      <c r="S4535" s="8">
        <v>7</v>
      </c>
      <c r="T4535" s="8"/>
      <c r="U4535" s="8">
        <v>22.33</v>
      </c>
      <c r="V4535" s="8"/>
      <c r="W4535" s="8"/>
      <c r="X4535" s="8"/>
      <c r="Y4535" s="8"/>
      <c r="Z4535" s="8"/>
      <c r="AA4535" s="8"/>
      <c r="AB4535" s="8"/>
      <c r="AC4535" s="8">
        <v>5.96</v>
      </c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11"/>
      <c r="AQ4535" s="8"/>
      <c r="AR4535" s="8"/>
      <c r="AS4535" s="8"/>
      <c r="AT4535" s="8">
        <v>986.5</v>
      </c>
      <c r="AU4535" s="8"/>
      <c r="AV4535" s="8"/>
      <c r="AW4535" s="8"/>
      <c r="AX4535" s="8"/>
      <c r="AY4535" s="8"/>
      <c r="AZ4535" s="8"/>
      <c r="BA4535" s="8"/>
      <c r="BB4535" s="8"/>
      <c r="BC4535" s="8"/>
      <c r="BD4535" s="8">
        <v>3.72</v>
      </c>
      <c r="BE4535" s="8">
        <v>13.58</v>
      </c>
      <c r="BF4535" s="8">
        <v>104.26</v>
      </c>
      <c r="BG4535" s="8">
        <v>77.52</v>
      </c>
      <c r="BH4535" s="9">
        <f t="shared" si="630"/>
        <v>1488.2</v>
      </c>
      <c r="BI4535" s="9">
        <f t="shared" si="631"/>
        <v>4.32</v>
      </c>
      <c r="BJ4535" s="9">
        <f t="shared" si="632"/>
        <v>7</v>
      </c>
      <c r="BK4535" s="9">
        <f t="shared" si="633"/>
        <v>22.33</v>
      </c>
      <c r="BL4535" s="9">
        <f t="shared" si="634"/>
        <v>0</v>
      </c>
      <c r="BM4535" s="9">
        <f t="shared" si="635"/>
        <v>5.96</v>
      </c>
      <c r="BN4535" s="9">
        <f t="shared" si="636"/>
        <v>986.5</v>
      </c>
      <c r="BO4535" s="9">
        <f t="shared" si="637"/>
        <v>17.3</v>
      </c>
      <c r="BP4535" s="9">
        <f t="shared" si="638"/>
        <v>104.26</v>
      </c>
    </row>
    <row r="4536" spans="1:68">
      <c r="A4536" s="6">
        <v>45407</v>
      </c>
      <c r="B4536" s="7">
        <v>3141</v>
      </c>
      <c r="C4536" s="8">
        <v>2409.02</v>
      </c>
      <c r="D4536" s="8">
        <v>425.12</v>
      </c>
      <c r="E4536" s="8"/>
      <c r="F4536" s="8"/>
      <c r="G4536" s="8"/>
      <c r="H4536" s="8"/>
      <c r="I4536" s="8"/>
      <c r="J4536" s="8"/>
      <c r="K4536" s="8"/>
      <c r="L4536" s="8"/>
      <c r="M4536" s="8">
        <v>8.18</v>
      </c>
      <c r="N4536" s="8"/>
      <c r="O4536" s="8"/>
      <c r="P4536" s="8"/>
      <c r="Q4536" s="11"/>
      <c r="R4536" s="11"/>
      <c r="S4536" s="8">
        <v>13.33</v>
      </c>
      <c r="T4536" s="8"/>
      <c r="U4536" s="8">
        <v>45.53</v>
      </c>
      <c r="V4536" s="8"/>
      <c r="W4536" s="8"/>
      <c r="X4536" s="8"/>
      <c r="Y4536" s="8"/>
      <c r="Z4536" s="8"/>
      <c r="AA4536" s="8"/>
      <c r="AB4536" s="8"/>
      <c r="AC4536" s="8">
        <v>11.34</v>
      </c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11"/>
      <c r="AQ4536" s="8"/>
      <c r="AR4536" s="8"/>
      <c r="AS4536" s="8"/>
      <c r="AT4536" s="8">
        <v>1871.04</v>
      </c>
      <c r="AU4536" s="8"/>
      <c r="AV4536" s="8"/>
      <c r="AW4536" s="8"/>
      <c r="AX4536" s="8"/>
      <c r="AY4536" s="8"/>
      <c r="AZ4536" s="8"/>
      <c r="BA4536" s="8">
        <v>64.989999999999995</v>
      </c>
      <c r="BB4536" s="8"/>
      <c r="BC4536" s="8"/>
      <c r="BD4536" s="8"/>
      <c r="BE4536" s="8"/>
      <c r="BF4536" s="8">
        <v>198.51</v>
      </c>
      <c r="BG4536" s="8">
        <v>147.66</v>
      </c>
      <c r="BH4536" s="9">
        <f t="shared" si="630"/>
        <v>2834.14</v>
      </c>
      <c r="BI4536" s="9">
        <f t="shared" si="631"/>
        <v>8.18</v>
      </c>
      <c r="BJ4536" s="9">
        <f t="shared" si="632"/>
        <v>13.33</v>
      </c>
      <c r="BK4536" s="9">
        <f t="shared" si="633"/>
        <v>45.53</v>
      </c>
      <c r="BL4536" s="9">
        <f t="shared" si="634"/>
        <v>0</v>
      </c>
      <c r="BM4536" s="9">
        <f t="shared" si="635"/>
        <v>11.34</v>
      </c>
      <c r="BN4536" s="9">
        <f t="shared" si="636"/>
        <v>1871.04</v>
      </c>
      <c r="BO4536" s="9">
        <f t="shared" si="637"/>
        <v>64.989999999999995</v>
      </c>
      <c r="BP4536" s="9">
        <f t="shared" si="638"/>
        <v>198.51</v>
      </c>
    </row>
    <row r="4537" spans="1:68">
      <c r="A4537" s="6">
        <v>45407</v>
      </c>
      <c r="B4537" s="7">
        <v>3106</v>
      </c>
      <c r="C4537" s="8">
        <v>4098.93</v>
      </c>
      <c r="D4537" s="8"/>
      <c r="E4537" s="8"/>
      <c r="F4537" s="8"/>
      <c r="G4537" s="8"/>
      <c r="H4537" s="8"/>
      <c r="I4537" s="8"/>
      <c r="J4537" s="8"/>
      <c r="K4537" s="8"/>
      <c r="L4537" s="8"/>
      <c r="M4537" s="8">
        <v>10.36</v>
      </c>
      <c r="N4537" s="8"/>
      <c r="O4537" s="8"/>
      <c r="P4537" s="8"/>
      <c r="Q4537" s="11"/>
      <c r="R4537" s="11"/>
      <c r="S4537" s="8">
        <v>11.92</v>
      </c>
      <c r="T4537" s="8"/>
      <c r="U4537" s="8">
        <v>52.14</v>
      </c>
      <c r="V4537" s="8"/>
      <c r="W4537" s="8"/>
      <c r="X4537" s="8"/>
      <c r="Y4537" s="8"/>
      <c r="Z4537" s="8"/>
      <c r="AA4537" s="8"/>
      <c r="AB4537" s="8"/>
      <c r="AC4537" s="8">
        <v>10.25</v>
      </c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11"/>
      <c r="AQ4537" s="8"/>
      <c r="AR4537" s="8"/>
      <c r="AS4537" s="8"/>
      <c r="AT4537" s="8">
        <v>2338.0300000000002</v>
      </c>
      <c r="AU4537" s="8"/>
      <c r="AV4537" s="8"/>
      <c r="AW4537" s="8"/>
      <c r="AX4537" s="8">
        <v>5.13</v>
      </c>
      <c r="AY4537" s="8"/>
      <c r="AZ4537" s="8"/>
      <c r="BA4537" s="8"/>
      <c r="BB4537" s="8"/>
      <c r="BC4537" s="8"/>
      <c r="BD4537" s="8"/>
      <c r="BE4537" s="8"/>
      <c r="BF4537" s="8"/>
      <c r="BG4537" s="8">
        <v>176.37</v>
      </c>
      <c r="BH4537" s="9">
        <f t="shared" si="630"/>
        <v>4098.93</v>
      </c>
      <c r="BI4537" s="9">
        <f t="shared" si="631"/>
        <v>10.36</v>
      </c>
      <c r="BJ4537" s="9">
        <f t="shared" si="632"/>
        <v>11.92</v>
      </c>
      <c r="BK4537" s="9">
        <f t="shared" si="633"/>
        <v>52.14</v>
      </c>
      <c r="BL4537" s="9">
        <f t="shared" si="634"/>
        <v>0</v>
      </c>
      <c r="BM4537" s="9">
        <f t="shared" si="635"/>
        <v>10.25</v>
      </c>
      <c r="BN4537" s="9">
        <f t="shared" si="636"/>
        <v>2338.0300000000002</v>
      </c>
      <c r="BO4537" s="9">
        <f t="shared" si="637"/>
        <v>5.13</v>
      </c>
      <c r="BP4537" s="9">
        <f t="shared" si="638"/>
        <v>0</v>
      </c>
    </row>
    <row r="4538" spans="1:68">
      <c r="A4538" s="6">
        <v>45411</v>
      </c>
      <c r="B4538" s="7">
        <v>3203</v>
      </c>
      <c r="C4538" s="8">
        <v>879.48</v>
      </c>
      <c r="D4538" s="8"/>
      <c r="E4538" s="8">
        <v>379.74</v>
      </c>
      <c r="F4538" s="8"/>
      <c r="G4538" s="8"/>
      <c r="H4538" s="8"/>
      <c r="I4538" s="8"/>
      <c r="J4538" s="8"/>
      <c r="K4538" s="8"/>
      <c r="L4538" s="8"/>
      <c r="M4538" s="8"/>
      <c r="N4538" s="8"/>
      <c r="O4538" s="8">
        <v>3.84</v>
      </c>
      <c r="P4538" s="8"/>
      <c r="Q4538" s="11"/>
      <c r="R4538" s="11"/>
      <c r="S4538" s="8">
        <v>5.23</v>
      </c>
      <c r="T4538" s="8"/>
      <c r="U4538" s="8">
        <v>15.88</v>
      </c>
      <c r="V4538" s="8"/>
      <c r="W4538" s="8"/>
      <c r="X4538" s="8"/>
      <c r="Y4538" s="8"/>
      <c r="Z4538" s="8">
        <v>201.32</v>
      </c>
      <c r="AA4538" s="8">
        <f>10467*15.03/1000</f>
        <v>157.31900999999999</v>
      </c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11"/>
      <c r="AQ4538" s="8"/>
      <c r="AR4538" s="8"/>
      <c r="AS4538" s="8"/>
      <c r="AT4538" s="8">
        <v>476.12</v>
      </c>
      <c r="AU4538" s="8">
        <v>238.1</v>
      </c>
      <c r="AV4538" s="8"/>
      <c r="AW4538" s="8"/>
      <c r="AX4538" s="8"/>
      <c r="AY4538" s="8"/>
      <c r="AZ4538" s="8"/>
      <c r="BA4538" s="8"/>
      <c r="BB4538" s="8"/>
      <c r="BC4538" s="8">
        <v>3.33</v>
      </c>
      <c r="BD4538" s="8"/>
      <c r="BE4538" s="8"/>
      <c r="BF4538" s="8"/>
      <c r="BG4538" s="8">
        <v>46.08</v>
      </c>
      <c r="BH4538" s="9">
        <f t="shared" si="630"/>
        <v>1259.22</v>
      </c>
      <c r="BI4538" s="9">
        <f t="shared" si="631"/>
        <v>3.84</v>
      </c>
      <c r="BJ4538" s="9">
        <f t="shared" si="632"/>
        <v>5.23</v>
      </c>
      <c r="BK4538" s="9">
        <f t="shared" si="633"/>
        <v>15.88</v>
      </c>
      <c r="BL4538" s="9">
        <f t="shared" si="634"/>
        <v>358.63900999999998</v>
      </c>
      <c r="BM4538" s="9">
        <f t="shared" si="635"/>
        <v>0</v>
      </c>
      <c r="BN4538" s="9">
        <f t="shared" si="636"/>
        <v>714.22</v>
      </c>
      <c r="BO4538" s="9">
        <f t="shared" si="637"/>
        <v>3.33</v>
      </c>
      <c r="BP4538" s="9">
        <f t="shared" si="638"/>
        <v>0</v>
      </c>
    </row>
    <row r="4539" spans="1:68">
      <c r="A4539" s="6">
        <v>45411</v>
      </c>
      <c r="B4539" s="7">
        <v>3200</v>
      </c>
      <c r="C4539" s="8">
        <v>2376.89</v>
      </c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>
        <v>5.96</v>
      </c>
      <c r="P4539" s="8"/>
      <c r="Q4539" s="11"/>
      <c r="R4539" s="11"/>
      <c r="S4539" s="8">
        <v>9.26</v>
      </c>
      <c r="T4539" s="8"/>
      <c r="U4539" s="8">
        <v>35.65</v>
      </c>
      <c r="V4539" s="8"/>
      <c r="W4539" s="8"/>
      <c r="X4539" s="8"/>
      <c r="Y4539" s="8"/>
      <c r="Z4539" s="8">
        <v>499.55</v>
      </c>
      <c r="AA4539" s="8"/>
      <c r="AB4539" s="8"/>
      <c r="AC4539" s="8"/>
      <c r="AD4539" s="8"/>
      <c r="AE4539" s="8"/>
      <c r="AF4539" s="8">
        <v>118.23</v>
      </c>
      <c r="AG4539" s="8"/>
      <c r="AH4539" s="8"/>
      <c r="AI4539" s="8"/>
      <c r="AJ4539" s="8"/>
      <c r="AK4539" s="8"/>
      <c r="AL4539" s="8"/>
      <c r="AM4539" s="8"/>
      <c r="AN4539" s="8"/>
      <c r="AO4539" s="8"/>
      <c r="AP4539" s="11"/>
      <c r="AQ4539" s="8">
        <f>1529*23.77/1000</f>
        <v>36.344329999999999</v>
      </c>
      <c r="AR4539" s="8"/>
      <c r="AS4539" s="8"/>
      <c r="AT4539" s="8">
        <v>1627.66</v>
      </c>
      <c r="AU4539" s="8"/>
      <c r="AV4539" s="8"/>
      <c r="AW4539" s="8">
        <v>6.97</v>
      </c>
      <c r="AX4539" s="8"/>
      <c r="AY4539" s="8"/>
      <c r="AZ4539" s="8"/>
      <c r="BA4539" s="8"/>
      <c r="BB4539" s="8"/>
      <c r="BC4539" s="8"/>
      <c r="BD4539" s="8"/>
      <c r="BE4539" s="8"/>
      <c r="BF4539" s="8">
        <v>114.09</v>
      </c>
      <c r="BG4539" s="8">
        <v>117.8</v>
      </c>
      <c r="BH4539" s="9">
        <f t="shared" si="630"/>
        <v>2376.89</v>
      </c>
      <c r="BI4539" s="9">
        <f t="shared" si="631"/>
        <v>5.96</v>
      </c>
      <c r="BJ4539" s="9">
        <f t="shared" si="632"/>
        <v>9.26</v>
      </c>
      <c r="BK4539" s="9">
        <f t="shared" si="633"/>
        <v>35.65</v>
      </c>
      <c r="BL4539" s="9">
        <f t="shared" si="634"/>
        <v>499.55</v>
      </c>
      <c r="BM4539" s="9">
        <f t="shared" si="635"/>
        <v>154.57433</v>
      </c>
      <c r="BN4539" s="9">
        <f t="shared" si="636"/>
        <v>1627.66</v>
      </c>
      <c r="BO4539" s="9">
        <f t="shared" si="637"/>
        <v>6.97</v>
      </c>
      <c r="BP4539" s="9">
        <f t="shared" si="638"/>
        <v>114.09</v>
      </c>
    </row>
    <row r="4540" spans="1:68">
      <c r="A4540" s="6">
        <v>45411</v>
      </c>
      <c r="B4540" s="7">
        <v>3141</v>
      </c>
      <c r="C4540" s="8">
        <v>2375.63</v>
      </c>
      <c r="D4540" s="8">
        <v>415.93</v>
      </c>
      <c r="E4540" s="8"/>
      <c r="F4540" s="8"/>
      <c r="G4540" s="8"/>
      <c r="H4540" s="8"/>
      <c r="I4540" s="8"/>
      <c r="J4540" s="8"/>
      <c r="K4540" s="8"/>
      <c r="L4540" s="8"/>
      <c r="M4540" s="8">
        <v>8.15</v>
      </c>
      <c r="N4540" s="8"/>
      <c r="O4540" s="8"/>
      <c r="P4540" s="8"/>
      <c r="Q4540" s="11"/>
      <c r="R4540" s="11"/>
      <c r="S4540" s="8">
        <v>13.23</v>
      </c>
      <c r="T4540" s="8"/>
      <c r="U4540" s="8">
        <v>42.24</v>
      </c>
      <c r="V4540" s="8"/>
      <c r="W4540" s="8"/>
      <c r="X4540" s="8"/>
      <c r="Y4540" s="8"/>
      <c r="Z4540" s="8"/>
      <c r="AA4540" s="8"/>
      <c r="AB4540" s="8"/>
      <c r="AC4540" s="8">
        <v>11.25</v>
      </c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11"/>
      <c r="AQ4540" s="8"/>
      <c r="AR4540" s="8"/>
      <c r="AS4540" s="8"/>
      <c r="AT4540" s="8">
        <v>1857.8</v>
      </c>
      <c r="AU4540" s="8"/>
      <c r="AV4540" s="8"/>
      <c r="AW4540" s="8"/>
      <c r="AX4540" s="8"/>
      <c r="AY4540" s="8"/>
      <c r="AZ4540" s="8"/>
      <c r="BA4540" s="8">
        <v>64.47</v>
      </c>
      <c r="BB4540" s="8"/>
      <c r="BC4540" s="8"/>
      <c r="BD4540" s="8"/>
      <c r="BE4540" s="8"/>
      <c r="BF4540" s="8">
        <v>197.13</v>
      </c>
      <c r="BG4540" s="8">
        <v>145.87</v>
      </c>
      <c r="BH4540" s="9">
        <f t="shared" si="630"/>
        <v>2791.56</v>
      </c>
      <c r="BI4540" s="9">
        <f t="shared" si="631"/>
        <v>8.15</v>
      </c>
      <c r="BJ4540" s="9">
        <f t="shared" si="632"/>
        <v>13.23</v>
      </c>
      <c r="BK4540" s="9">
        <f t="shared" si="633"/>
        <v>42.24</v>
      </c>
      <c r="BL4540" s="9">
        <f t="shared" si="634"/>
        <v>0</v>
      </c>
      <c r="BM4540" s="9">
        <f t="shared" si="635"/>
        <v>11.25</v>
      </c>
      <c r="BN4540" s="9">
        <f t="shared" si="636"/>
        <v>1857.8</v>
      </c>
      <c r="BO4540" s="9">
        <f t="shared" si="637"/>
        <v>64.47</v>
      </c>
      <c r="BP4540" s="9">
        <f t="shared" si="638"/>
        <v>197.13</v>
      </c>
    </row>
    <row r="4541" spans="1:68">
      <c r="A4541" s="6">
        <v>45411</v>
      </c>
      <c r="B4541" s="7">
        <v>3104</v>
      </c>
      <c r="C4541" s="8">
        <v>1483.7</v>
      </c>
      <c r="D4541" s="8"/>
      <c r="E4541" s="8"/>
      <c r="F4541" s="8"/>
      <c r="G4541" s="8"/>
      <c r="H4541" s="8">
        <v>381.85</v>
      </c>
      <c r="I4541" s="8"/>
      <c r="J4541" s="8"/>
      <c r="K4541" s="8"/>
      <c r="L4541" s="8"/>
      <c r="M4541" s="8">
        <v>4.24</v>
      </c>
      <c r="N4541" s="8"/>
      <c r="O4541" s="8"/>
      <c r="P4541" s="8"/>
      <c r="Q4541" s="11"/>
      <c r="R4541" s="11"/>
      <c r="S4541" s="8">
        <v>7.3</v>
      </c>
      <c r="T4541" s="8"/>
      <c r="U4541" s="8">
        <v>19.48</v>
      </c>
      <c r="V4541" s="8"/>
      <c r="W4541" s="8"/>
      <c r="X4541" s="8"/>
      <c r="Y4541" s="8"/>
      <c r="Z4541" s="8"/>
      <c r="AA4541" s="8"/>
      <c r="AB4541" s="8"/>
      <c r="AC4541" s="8">
        <v>6.78</v>
      </c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11"/>
      <c r="AQ4541" s="8"/>
      <c r="AR4541" s="8"/>
      <c r="AS4541" s="8"/>
      <c r="AT4541" s="8">
        <v>1075.9100000000001</v>
      </c>
      <c r="AU4541" s="8"/>
      <c r="AV4541" s="8"/>
      <c r="AW4541" s="8"/>
      <c r="AX4541" s="8"/>
      <c r="AY4541" s="8"/>
      <c r="AZ4541" s="8"/>
      <c r="BA4541" s="8">
        <v>38.67</v>
      </c>
      <c r="BB4541" s="8"/>
      <c r="BC4541" s="8"/>
      <c r="BD4541" s="8"/>
      <c r="BE4541" s="8"/>
      <c r="BF4541" s="8">
        <v>34.01</v>
      </c>
      <c r="BG4541" s="8">
        <v>83.81</v>
      </c>
      <c r="BH4541" s="9">
        <f t="shared" si="630"/>
        <v>1865.5500000000002</v>
      </c>
      <c r="BI4541" s="9">
        <f t="shared" si="631"/>
        <v>4.24</v>
      </c>
      <c r="BJ4541" s="9">
        <f t="shared" si="632"/>
        <v>7.3</v>
      </c>
      <c r="BK4541" s="9">
        <f t="shared" si="633"/>
        <v>19.48</v>
      </c>
      <c r="BL4541" s="9">
        <f t="shared" si="634"/>
        <v>0</v>
      </c>
      <c r="BM4541" s="9">
        <f t="shared" si="635"/>
        <v>6.78</v>
      </c>
      <c r="BN4541" s="9">
        <f t="shared" si="636"/>
        <v>1075.9100000000001</v>
      </c>
      <c r="BO4541" s="9">
        <f t="shared" si="637"/>
        <v>38.67</v>
      </c>
      <c r="BP4541" s="9">
        <f t="shared" si="638"/>
        <v>34.01</v>
      </c>
    </row>
    <row r="4542" spans="1:68">
      <c r="A4542" s="6">
        <v>45411</v>
      </c>
      <c r="B4542" s="7">
        <v>3106</v>
      </c>
      <c r="C4542" s="8">
        <v>6052.41</v>
      </c>
      <c r="D4542" s="8"/>
      <c r="E4542" s="8"/>
      <c r="F4542" s="8"/>
      <c r="G4542" s="8"/>
      <c r="H4542" s="8"/>
      <c r="I4542" s="8"/>
      <c r="J4542" s="8"/>
      <c r="K4542" s="8"/>
      <c r="L4542" s="8"/>
      <c r="M4542" s="8">
        <v>15.14</v>
      </c>
      <c r="N4542" s="8"/>
      <c r="O4542" s="8"/>
      <c r="P4542" s="8"/>
      <c r="Q4542" s="11"/>
      <c r="R4542" s="11"/>
      <c r="S4542" s="8">
        <v>17.579999999999998</v>
      </c>
      <c r="T4542" s="8"/>
      <c r="U4542" s="8">
        <v>76.94</v>
      </c>
      <c r="V4542" s="8"/>
      <c r="W4542" s="8"/>
      <c r="X4542" s="8"/>
      <c r="Y4542" s="8"/>
      <c r="Z4542" s="8"/>
      <c r="AA4542" s="8"/>
      <c r="AB4542" s="8"/>
      <c r="AC4542" s="8">
        <v>15.13</v>
      </c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11"/>
      <c r="AQ4542" s="8"/>
      <c r="AR4542" s="8"/>
      <c r="AS4542" s="8"/>
      <c r="AT4542" s="8">
        <v>3446.58</v>
      </c>
      <c r="AU4542" s="8"/>
      <c r="AV4542" s="8"/>
      <c r="AW4542" s="8"/>
      <c r="AX4542" s="8">
        <v>7.57</v>
      </c>
      <c r="AY4542" s="8"/>
      <c r="AZ4542" s="8"/>
      <c r="BA4542" s="8"/>
      <c r="BB4542" s="8"/>
      <c r="BC4542" s="8"/>
      <c r="BD4542" s="8"/>
      <c r="BE4542" s="8"/>
      <c r="BF4542" s="8"/>
      <c r="BG4542" s="8">
        <v>260.07</v>
      </c>
      <c r="BH4542" s="9">
        <f t="shared" si="630"/>
        <v>6052.41</v>
      </c>
      <c r="BI4542" s="9">
        <f t="shared" si="631"/>
        <v>15.14</v>
      </c>
      <c r="BJ4542" s="9">
        <f t="shared" si="632"/>
        <v>17.579999999999998</v>
      </c>
      <c r="BK4542" s="9">
        <f t="shared" si="633"/>
        <v>76.94</v>
      </c>
      <c r="BL4542" s="9">
        <f t="shared" si="634"/>
        <v>0</v>
      </c>
      <c r="BM4542" s="9">
        <f t="shared" si="635"/>
        <v>15.13</v>
      </c>
      <c r="BN4542" s="9">
        <f t="shared" si="636"/>
        <v>3446.58</v>
      </c>
      <c r="BO4542" s="9">
        <f t="shared" si="637"/>
        <v>7.57</v>
      </c>
      <c r="BP4542" s="9">
        <f t="shared" si="638"/>
        <v>0</v>
      </c>
    </row>
    <row r="4543" spans="1:68">
      <c r="A4543" s="6">
        <v>45411</v>
      </c>
      <c r="B4543" s="7">
        <v>3079</v>
      </c>
      <c r="C4543" s="8"/>
      <c r="D4543" s="8"/>
      <c r="E4543" s="8"/>
      <c r="F4543" s="8">
        <v>511</v>
      </c>
      <c r="G4543" s="8"/>
      <c r="H4543" s="8"/>
      <c r="I4543" s="8">
        <v>4136.74</v>
      </c>
      <c r="J4543" s="8"/>
      <c r="K4543" s="8"/>
      <c r="L4543" s="8"/>
      <c r="M4543" s="8"/>
      <c r="N4543" s="8">
        <v>33.96</v>
      </c>
      <c r="O4543" s="8"/>
      <c r="P4543" s="8"/>
      <c r="Q4543" s="11"/>
      <c r="R4543" s="11"/>
      <c r="S4543" s="8">
        <v>1.86</v>
      </c>
      <c r="T4543" s="8"/>
      <c r="U4543" s="8"/>
      <c r="V4543" s="8"/>
      <c r="W4543" s="8">
        <v>46.55</v>
      </c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>
        <v>18.5</v>
      </c>
      <c r="AN4543" s="8">
        <f>1709*27.37/1000</f>
        <v>46.775330000000004</v>
      </c>
      <c r="AO4543" s="8"/>
      <c r="AP4543" s="11"/>
      <c r="AQ4543" s="8"/>
      <c r="AR4543" s="8">
        <f>4285*27.37/1000</f>
        <v>117.28045</v>
      </c>
      <c r="AS4543" s="8"/>
      <c r="AT4543" s="8">
        <v>1793.74</v>
      </c>
      <c r="AU4543" s="8"/>
      <c r="AV4543" s="8"/>
      <c r="AW4543" s="8"/>
      <c r="AX4543" s="8"/>
      <c r="AY4543" s="8"/>
      <c r="AZ4543" s="8"/>
      <c r="BA4543" s="8"/>
      <c r="BB4543" s="8"/>
      <c r="BC4543" s="8"/>
      <c r="BD4543" s="8"/>
      <c r="BE4543" s="8"/>
      <c r="BF4543" s="8"/>
      <c r="BG4543" s="8">
        <v>130.18</v>
      </c>
      <c r="BH4543" s="9">
        <f t="shared" si="630"/>
        <v>4647.74</v>
      </c>
      <c r="BI4543" s="9">
        <f t="shared" si="631"/>
        <v>33.96</v>
      </c>
      <c r="BJ4543" s="9">
        <f t="shared" si="632"/>
        <v>1.86</v>
      </c>
      <c r="BK4543" s="9">
        <f t="shared" si="633"/>
        <v>46.55</v>
      </c>
      <c r="BL4543" s="9">
        <f t="shared" si="634"/>
        <v>0</v>
      </c>
      <c r="BM4543" s="9">
        <f t="shared" si="635"/>
        <v>182.55578</v>
      </c>
      <c r="BN4543" s="9">
        <f t="shared" si="636"/>
        <v>1793.74</v>
      </c>
      <c r="BO4543" s="9">
        <f t="shared" si="637"/>
        <v>0</v>
      </c>
      <c r="BP4543" s="9">
        <f t="shared" si="638"/>
        <v>0</v>
      </c>
    </row>
    <row r="4544" spans="1:68">
      <c r="A4544" s="6">
        <v>45411</v>
      </c>
      <c r="B4544" s="7">
        <v>3602</v>
      </c>
      <c r="C4544" s="8">
        <v>556.32000000000005</v>
      </c>
      <c r="D4544" s="8"/>
      <c r="E4544" s="8"/>
      <c r="F4544" s="8"/>
      <c r="G4544" s="8">
        <v>833.37</v>
      </c>
      <c r="H4544" s="8"/>
      <c r="I4544" s="8"/>
      <c r="J4544" s="8"/>
      <c r="K4544" s="8"/>
      <c r="L4544" s="8"/>
      <c r="M4544" s="8">
        <v>1.69</v>
      </c>
      <c r="N4544" s="8"/>
      <c r="O4544" s="8"/>
      <c r="P4544" s="8"/>
      <c r="Q4544" s="11"/>
      <c r="R4544" s="11"/>
      <c r="S4544" s="8">
        <v>6.13</v>
      </c>
      <c r="T4544" s="8"/>
      <c r="U4544" s="8">
        <v>11.17</v>
      </c>
      <c r="V4544" s="8">
        <f>862*15.93/1000</f>
        <v>13.73166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11"/>
      <c r="AQ4544" s="8"/>
      <c r="AR4544" s="8"/>
      <c r="AS4544" s="8"/>
      <c r="AT4544" s="8">
        <v>562.27</v>
      </c>
      <c r="AU4544" s="8"/>
      <c r="AV4544" s="8"/>
      <c r="AW4544" s="8">
        <v>36.04</v>
      </c>
      <c r="AX4544" s="8"/>
      <c r="AY4544" s="8"/>
      <c r="AZ4544" s="8"/>
      <c r="BA4544" s="8"/>
      <c r="BB4544" s="8"/>
      <c r="BC4544" s="8"/>
      <c r="BD4544" s="8"/>
      <c r="BE4544" s="8"/>
      <c r="BF4544" s="8">
        <v>44.66</v>
      </c>
      <c r="BG4544" s="8">
        <v>42</v>
      </c>
      <c r="BH4544" s="9">
        <f t="shared" si="630"/>
        <v>1389.69</v>
      </c>
      <c r="BI4544" s="9">
        <f t="shared" si="631"/>
        <v>1.69</v>
      </c>
      <c r="BJ4544" s="9">
        <f t="shared" si="632"/>
        <v>6.13</v>
      </c>
      <c r="BK4544" s="9">
        <f t="shared" si="633"/>
        <v>24.90166</v>
      </c>
      <c r="BL4544" s="9">
        <f t="shared" si="634"/>
        <v>0</v>
      </c>
      <c r="BM4544" s="9">
        <f t="shared" si="635"/>
        <v>0</v>
      </c>
      <c r="BN4544" s="9">
        <f t="shared" si="636"/>
        <v>562.27</v>
      </c>
      <c r="BO4544" s="9">
        <f t="shared" si="637"/>
        <v>36.04</v>
      </c>
      <c r="BP4544" s="9">
        <f t="shared" si="638"/>
        <v>44.66</v>
      </c>
    </row>
    <row r="4545" spans="1:68">
      <c r="A4545" s="6">
        <v>45411</v>
      </c>
      <c r="B4545" s="7">
        <v>3159</v>
      </c>
      <c r="C4545" s="8"/>
      <c r="D4545" s="8">
        <f>1798.58+273.26</f>
        <v>2071.84</v>
      </c>
      <c r="E4545" s="8"/>
      <c r="F4545" s="8"/>
      <c r="G4545" s="8"/>
      <c r="H4545" s="8"/>
      <c r="I4545" s="8"/>
      <c r="J4545" s="8"/>
      <c r="K4545" s="8"/>
      <c r="L4545" s="8"/>
      <c r="M4545" s="8">
        <f>5.06+0.76</f>
        <v>5.8199999999999994</v>
      </c>
      <c r="N4545" s="8"/>
      <c r="O4545" s="8"/>
      <c r="P4545" s="8"/>
      <c r="Q4545" s="11"/>
      <c r="R4545" s="11"/>
      <c r="S4545" s="8">
        <f>1.01+6.67</f>
        <v>7.68</v>
      </c>
      <c r="T4545" s="8"/>
      <c r="U4545" s="8">
        <f>2.05+13.53</f>
        <v>15.579999999999998</v>
      </c>
      <c r="V4545" s="8"/>
      <c r="W4545" s="8"/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11"/>
      <c r="AQ4545" s="8"/>
      <c r="AR4545" s="8"/>
      <c r="AS4545" s="8"/>
      <c r="AT4545" s="8">
        <f>296.36+44.28</f>
        <v>340.64</v>
      </c>
      <c r="AU4545" s="8">
        <f>22.55+148.54</f>
        <v>171.09</v>
      </c>
      <c r="AV4545" s="8"/>
      <c r="AW4545" s="8"/>
      <c r="AX4545" s="8"/>
      <c r="AY4545" s="8"/>
      <c r="AZ4545" s="8"/>
      <c r="BA4545" s="8"/>
      <c r="BB4545" s="8"/>
      <c r="BC4545" s="8">
        <f>0.41+2.7</f>
        <v>3.1100000000000003</v>
      </c>
      <c r="BD4545" s="8"/>
      <c r="BE4545" s="8"/>
      <c r="BF4545" s="8"/>
      <c r="BG4545" s="8">
        <f>4.51+29.8</f>
        <v>34.31</v>
      </c>
      <c r="BH4545" s="9">
        <f t="shared" si="630"/>
        <v>2071.84</v>
      </c>
      <c r="BI4545" s="9">
        <f t="shared" si="631"/>
        <v>5.8199999999999994</v>
      </c>
      <c r="BJ4545" s="9">
        <f t="shared" si="632"/>
        <v>7.68</v>
      </c>
      <c r="BK4545" s="9">
        <f t="shared" si="633"/>
        <v>15.579999999999998</v>
      </c>
      <c r="BL4545" s="9">
        <f t="shared" si="634"/>
        <v>0</v>
      </c>
      <c r="BM4545" s="9">
        <f t="shared" si="635"/>
        <v>0</v>
      </c>
      <c r="BN4545" s="9">
        <f t="shared" si="636"/>
        <v>511.73</v>
      </c>
      <c r="BO4545" s="9">
        <f t="shared" si="637"/>
        <v>3.1100000000000003</v>
      </c>
      <c r="BP4545" s="9">
        <f t="shared" si="638"/>
        <v>0</v>
      </c>
    </row>
    <row r="4546" spans="1:68">
      <c r="A4546" s="6">
        <v>45412</v>
      </c>
      <c r="B4546" s="7">
        <v>3304</v>
      </c>
      <c r="C4546" s="8"/>
      <c r="D4546" s="8">
        <v>1140.17</v>
      </c>
      <c r="E4546" s="8"/>
      <c r="F4546" s="8"/>
      <c r="G4546" s="8"/>
      <c r="H4546" s="8"/>
      <c r="I4546" s="8"/>
      <c r="J4546" s="8"/>
      <c r="K4546" s="8"/>
      <c r="L4546" s="8"/>
      <c r="M4546" s="8">
        <v>2.27</v>
      </c>
      <c r="N4546" s="8"/>
      <c r="O4546" s="8"/>
      <c r="P4546" s="8"/>
      <c r="Q4546" s="11"/>
      <c r="R4546" s="11"/>
      <c r="S4546" s="8">
        <v>1.71</v>
      </c>
      <c r="T4546" s="8"/>
      <c r="U4546" s="8">
        <v>10.24</v>
      </c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>
        <v>11.38</v>
      </c>
      <c r="AH4546" s="8"/>
      <c r="AI4546" s="8"/>
      <c r="AJ4546" s="8"/>
      <c r="AK4546" s="8"/>
      <c r="AL4546" s="8"/>
      <c r="AM4546" s="8"/>
      <c r="AN4546" s="8"/>
      <c r="AO4546" s="8"/>
      <c r="AP4546" s="11"/>
      <c r="AQ4546" s="8"/>
      <c r="AR4546" s="8"/>
      <c r="AS4546" s="8"/>
      <c r="AT4546" s="8">
        <v>303.33</v>
      </c>
      <c r="AU4546" s="8">
        <v>152.61000000000001</v>
      </c>
      <c r="AV4546" s="8"/>
      <c r="AW4546" s="8"/>
      <c r="AX4546" s="8"/>
      <c r="AY4546" s="8"/>
      <c r="AZ4546" s="8"/>
      <c r="BA4546" s="8"/>
      <c r="BB4546" s="8"/>
      <c r="BC4546" s="8"/>
      <c r="BD4546" s="8"/>
      <c r="BE4546" s="8"/>
      <c r="BF4546" s="8"/>
      <c r="BG4546" s="8">
        <v>31.27</v>
      </c>
      <c r="BH4546" s="9">
        <f t="shared" si="630"/>
        <v>1140.17</v>
      </c>
      <c r="BI4546" s="9">
        <f t="shared" si="631"/>
        <v>2.27</v>
      </c>
      <c r="BJ4546" s="9">
        <f t="shared" si="632"/>
        <v>1.71</v>
      </c>
      <c r="BK4546" s="9">
        <f t="shared" si="633"/>
        <v>10.24</v>
      </c>
      <c r="BL4546" s="9">
        <f t="shared" si="634"/>
        <v>0</v>
      </c>
      <c r="BM4546" s="9">
        <f t="shared" si="635"/>
        <v>11.38</v>
      </c>
      <c r="BN4546" s="9">
        <f t="shared" si="636"/>
        <v>455.94</v>
      </c>
      <c r="BO4546" s="9">
        <f t="shared" si="637"/>
        <v>0</v>
      </c>
      <c r="BP4546" s="9">
        <f t="shared" si="638"/>
        <v>0</v>
      </c>
    </row>
    <row r="4547" spans="1:68">
      <c r="A4547" s="6">
        <v>45412</v>
      </c>
      <c r="B4547" s="7">
        <v>3100</v>
      </c>
      <c r="C4547" s="8">
        <v>699.14</v>
      </c>
      <c r="D4547" s="8"/>
      <c r="E4547" s="8"/>
      <c r="F4547" s="8"/>
      <c r="G4547" s="8"/>
      <c r="H4547" s="8"/>
      <c r="I4547" s="8"/>
      <c r="J4547" s="8"/>
      <c r="K4547" s="8"/>
      <c r="L4547" s="8"/>
      <c r="M4547" s="8">
        <v>1.58</v>
      </c>
      <c r="N4547" s="8"/>
      <c r="O4547" s="8"/>
      <c r="P4547" s="8"/>
      <c r="Q4547" s="11"/>
      <c r="R4547" s="11"/>
      <c r="S4547" s="8">
        <v>4.05</v>
      </c>
      <c r="T4547" s="8"/>
      <c r="U4547" s="8">
        <v>11.22</v>
      </c>
      <c r="V4547" s="8"/>
      <c r="W4547" s="8"/>
      <c r="X4547" s="8"/>
      <c r="Y4547" s="8"/>
      <c r="Z4547" s="8"/>
      <c r="AA4547" s="8"/>
      <c r="AB4547" s="8"/>
      <c r="AC4547" s="8">
        <v>2.8</v>
      </c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11"/>
      <c r="AQ4547" s="8"/>
      <c r="AR4547" s="8"/>
      <c r="AS4547" s="8"/>
      <c r="AT4547" s="8">
        <v>471.49</v>
      </c>
      <c r="AU4547" s="8"/>
      <c r="AV4547" s="8"/>
      <c r="AW4547" s="8"/>
      <c r="AX4547" s="8"/>
      <c r="AY4547" s="8"/>
      <c r="AZ4547" s="8"/>
      <c r="BA4547" s="8"/>
      <c r="BB4547" s="8"/>
      <c r="BC4547" s="8"/>
      <c r="BD4547" s="8"/>
      <c r="BE4547" s="8"/>
      <c r="BF4547" s="8">
        <v>91.07</v>
      </c>
      <c r="BG4547" s="8">
        <v>36.03</v>
      </c>
      <c r="BH4547" s="9">
        <f t="shared" si="630"/>
        <v>699.14</v>
      </c>
      <c r="BI4547" s="9">
        <f t="shared" si="631"/>
        <v>1.58</v>
      </c>
      <c r="BJ4547" s="9">
        <f t="shared" si="632"/>
        <v>4.05</v>
      </c>
      <c r="BK4547" s="9">
        <f t="shared" si="633"/>
        <v>11.22</v>
      </c>
      <c r="BL4547" s="9">
        <f t="shared" si="634"/>
        <v>0</v>
      </c>
      <c r="BM4547" s="9">
        <f t="shared" si="635"/>
        <v>2.8</v>
      </c>
      <c r="BN4547" s="9">
        <f t="shared" si="636"/>
        <v>471.49</v>
      </c>
      <c r="BO4547" s="9">
        <f t="shared" si="637"/>
        <v>0</v>
      </c>
      <c r="BP4547" s="9">
        <f t="shared" si="638"/>
        <v>91.07</v>
      </c>
    </row>
    <row r="4548" spans="1:68">
      <c r="A4548" s="6">
        <v>45412</v>
      </c>
      <c r="B4548" s="7">
        <v>3023</v>
      </c>
      <c r="C4548" s="8"/>
      <c r="D4548" s="8">
        <v>912.81</v>
      </c>
      <c r="E4548" s="8"/>
      <c r="F4548" s="8"/>
      <c r="G4548" s="8"/>
      <c r="H4548" s="8"/>
      <c r="I4548" s="8">
        <v>493.54</v>
      </c>
      <c r="J4548" s="8"/>
      <c r="K4548" s="8"/>
      <c r="L4548" s="8"/>
      <c r="M4548" s="8"/>
      <c r="N4548" s="8">
        <v>7.99</v>
      </c>
      <c r="O4548" s="8"/>
      <c r="P4548" s="8"/>
      <c r="Q4548" s="11"/>
      <c r="R4548" s="11"/>
      <c r="S4548" s="8">
        <v>2.2400000000000002</v>
      </c>
      <c r="T4548" s="8"/>
      <c r="U4548" s="8"/>
      <c r="V4548" s="8"/>
      <c r="W4548" s="8">
        <v>12.64</v>
      </c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>
        <v>14.01</v>
      </c>
      <c r="AN4548" s="8">
        <f>1037*9.67/1000</f>
        <v>10.02779</v>
      </c>
      <c r="AO4548" s="8"/>
      <c r="AP4548" s="11"/>
      <c r="AQ4548" s="8"/>
      <c r="AR4548" s="8"/>
      <c r="AS4548" s="8">
        <f>4798*9.67/1000</f>
        <v>46.396659999999997</v>
      </c>
      <c r="AT4548" s="8">
        <v>575.54</v>
      </c>
      <c r="AU4548" s="8"/>
      <c r="AV4548" s="8"/>
      <c r="AW4548" s="8"/>
      <c r="AX4548" s="8"/>
      <c r="AY4548" s="8"/>
      <c r="AZ4548" s="8"/>
      <c r="BA4548" s="8"/>
      <c r="BB4548" s="8"/>
      <c r="BC4548" s="8"/>
      <c r="BD4548" s="8"/>
      <c r="BE4548" s="8"/>
      <c r="BF4548" s="8"/>
      <c r="BG4548" s="8">
        <v>43.46</v>
      </c>
      <c r="BH4548" s="9">
        <f t="shared" ref="BH4548:BH4611" si="639">SUM(C4548:L4548)</f>
        <v>1406.35</v>
      </c>
      <c r="BI4548" s="9">
        <f t="shared" ref="BI4548:BI4611" si="640">SUM(M4548:R4548)</f>
        <v>7.99</v>
      </c>
      <c r="BJ4548" s="9">
        <f t="shared" ref="BJ4548:BJ4611" si="641">SUM(S4548)</f>
        <v>2.2400000000000002</v>
      </c>
      <c r="BK4548" s="9">
        <f t="shared" ref="BK4548:BK4611" si="642">SUM(T4548:Y4548)</f>
        <v>12.64</v>
      </c>
      <c r="BL4548" s="9">
        <f t="shared" ref="BL4548:BL4611" si="643">SUM(Z4548:AA4548)</f>
        <v>0</v>
      </c>
      <c r="BM4548" s="9">
        <f t="shared" ref="BM4548:BM4611" si="644">SUM(AB4548:AS4548)</f>
        <v>70.434449999999998</v>
      </c>
      <c r="BN4548" s="9">
        <f t="shared" ref="BN4548:BN4611" si="645">SUM(AT4548:AU4548)</f>
        <v>575.54</v>
      </c>
      <c r="BO4548" s="9">
        <f t="shared" ref="BO4548:BO4611" si="646">SUM(AV4548:BE4548)</f>
        <v>0</v>
      </c>
      <c r="BP4548" s="9">
        <f t="shared" ref="BP4548:BP4611" si="647">SUM(BF4548)</f>
        <v>0</v>
      </c>
    </row>
    <row r="4549" spans="1:68">
      <c r="A4549" s="6">
        <v>45412</v>
      </c>
      <c r="B4549" s="7">
        <v>3025</v>
      </c>
      <c r="C4549" s="8"/>
      <c r="D4549" s="8">
        <v>214.06</v>
      </c>
      <c r="E4549" s="8"/>
      <c r="F4549" s="8"/>
      <c r="G4549" s="8"/>
      <c r="H4549" s="8"/>
      <c r="I4549" s="8">
        <v>1191.72</v>
      </c>
      <c r="J4549" s="8"/>
      <c r="K4549" s="8"/>
      <c r="L4549" s="8"/>
      <c r="M4549" s="8"/>
      <c r="N4549" s="8">
        <v>7.86</v>
      </c>
      <c r="O4549" s="8"/>
      <c r="P4549" s="8"/>
      <c r="Q4549" s="11"/>
      <c r="R4549" s="11"/>
      <c r="S4549" s="8">
        <v>2.25</v>
      </c>
      <c r="T4549" s="8"/>
      <c r="U4549" s="8"/>
      <c r="V4549" s="8"/>
      <c r="W4549" s="8">
        <v>12.65</v>
      </c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>
        <v>14.05</v>
      </c>
      <c r="AN4549" s="8">
        <f>714*14.05/1000</f>
        <v>10.031700000000001</v>
      </c>
      <c r="AO4549" s="8"/>
      <c r="AP4549" s="11"/>
      <c r="AQ4549" s="8"/>
      <c r="AR4549" s="8"/>
      <c r="AS4549" s="8">
        <f>3329*14.05/1000</f>
        <v>46.772450000000006</v>
      </c>
      <c r="AT4549" s="8">
        <v>486.44</v>
      </c>
      <c r="AU4549" s="8"/>
      <c r="AV4549" s="8"/>
      <c r="AW4549" s="8"/>
      <c r="AX4549" s="8"/>
      <c r="AY4549" s="8"/>
      <c r="AZ4549" s="8"/>
      <c r="BA4549" s="8"/>
      <c r="BB4549" s="8"/>
      <c r="BC4549" s="8"/>
      <c r="BD4549" s="8"/>
      <c r="BE4549" s="8"/>
      <c r="BF4549" s="8"/>
      <c r="BG4549" s="8">
        <v>32.229999999999997</v>
      </c>
      <c r="BH4549" s="9">
        <f t="shared" si="639"/>
        <v>1405.78</v>
      </c>
      <c r="BI4549" s="9">
        <f t="shared" si="640"/>
        <v>7.86</v>
      </c>
      <c r="BJ4549" s="9">
        <f t="shared" si="641"/>
        <v>2.25</v>
      </c>
      <c r="BK4549" s="9">
        <f t="shared" si="642"/>
        <v>12.65</v>
      </c>
      <c r="BL4549" s="9">
        <f t="shared" si="643"/>
        <v>0</v>
      </c>
      <c r="BM4549" s="9">
        <f t="shared" si="644"/>
        <v>70.854150000000004</v>
      </c>
      <c r="BN4549" s="9">
        <f t="shared" si="645"/>
        <v>486.44</v>
      </c>
      <c r="BO4549" s="9">
        <f t="shared" si="646"/>
        <v>0</v>
      </c>
      <c r="BP4549" s="9">
        <f t="shared" si="647"/>
        <v>0</v>
      </c>
    </row>
    <row r="4550" spans="1:68">
      <c r="A4550" s="6">
        <v>45412</v>
      </c>
      <c r="B4550" s="7">
        <v>3024</v>
      </c>
      <c r="C4550" s="8"/>
      <c r="D4550" s="8">
        <v>343.53</v>
      </c>
      <c r="E4550" s="8"/>
      <c r="F4550" s="8"/>
      <c r="G4550" s="8"/>
      <c r="H4550" s="8"/>
      <c r="I4550" s="8">
        <v>346.25</v>
      </c>
      <c r="J4550" s="8"/>
      <c r="K4550" s="8"/>
      <c r="L4550" s="8"/>
      <c r="M4550" s="8"/>
      <c r="N4550" s="8">
        <v>4.33</v>
      </c>
      <c r="O4550" s="8"/>
      <c r="P4550" s="8"/>
      <c r="Q4550" s="11"/>
      <c r="R4550" s="11"/>
      <c r="S4550" s="8">
        <v>1.1000000000000001</v>
      </c>
      <c r="T4550" s="8"/>
      <c r="U4550" s="8"/>
      <c r="V4550" s="8"/>
      <c r="W4550" s="8">
        <v>5.52</v>
      </c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>
        <v>6.89</v>
      </c>
      <c r="AN4550" s="8">
        <f>859*5.73/1000</f>
        <v>4.9220700000000006</v>
      </c>
      <c r="AO4550" s="8"/>
      <c r="AP4550" s="11"/>
      <c r="AQ4550" s="8"/>
      <c r="AR4550" s="8"/>
      <c r="AS4550" s="8">
        <f>397*5.73/1000</f>
        <v>2.27481</v>
      </c>
      <c r="AT4550" s="8">
        <v>264.99</v>
      </c>
      <c r="AU4550" s="8"/>
      <c r="AV4550" s="8"/>
      <c r="AW4550" s="8"/>
      <c r="AX4550" s="8"/>
      <c r="AY4550" s="8"/>
      <c r="AZ4550" s="8"/>
      <c r="BA4550" s="8"/>
      <c r="BB4550" s="8"/>
      <c r="BC4550" s="8"/>
      <c r="BD4550" s="8"/>
      <c r="BE4550" s="8"/>
      <c r="BF4550" s="8"/>
      <c r="BG4550" s="8">
        <v>19.28</v>
      </c>
      <c r="BH4550" s="9">
        <f t="shared" si="639"/>
        <v>689.78</v>
      </c>
      <c r="BI4550" s="9">
        <f t="shared" si="640"/>
        <v>4.33</v>
      </c>
      <c r="BJ4550" s="9">
        <f t="shared" si="641"/>
        <v>1.1000000000000001</v>
      </c>
      <c r="BK4550" s="9">
        <f t="shared" si="642"/>
        <v>5.52</v>
      </c>
      <c r="BL4550" s="9">
        <f t="shared" si="643"/>
        <v>0</v>
      </c>
      <c r="BM4550" s="9">
        <f t="shared" si="644"/>
        <v>14.086880000000001</v>
      </c>
      <c r="BN4550" s="9">
        <f t="shared" si="645"/>
        <v>264.99</v>
      </c>
      <c r="BO4550" s="9">
        <f t="shared" si="646"/>
        <v>0</v>
      </c>
      <c r="BP4550" s="9">
        <f t="shared" si="647"/>
        <v>0</v>
      </c>
    </row>
    <row r="4551" spans="1:68">
      <c r="A4551" s="6">
        <v>45414</v>
      </c>
      <c r="B4551" s="7">
        <v>3605</v>
      </c>
      <c r="C4551" s="8">
        <v>1503.53</v>
      </c>
      <c r="D4551" s="8">
        <v>264.95999999999998</v>
      </c>
      <c r="E4551" s="8"/>
      <c r="F4551" s="8"/>
      <c r="G4551" s="8"/>
      <c r="H4551" s="8"/>
      <c r="I4551" s="8"/>
      <c r="J4551" s="8"/>
      <c r="K4551" s="8"/>
      <c r="L4551" s="8"/>
      <c r="M4551" s="8">
        <v>1.22</v>
      </c>
      <c r="N4551" s="8">
        <v>1.24</v>
      </c>
      <c r="O4551" s="8"/>
      <c r="P4551" s="8"/>
      <c r="Q4551" s="11"/>
      <c r="R4551" s="11"/>
      <c r="S4551" s="8">
        <v>5.67</v>
      </c>
      <c r="T4551" s="8"/>
      <c r="U4551" s="8">
        <v>17.75</v>
      </c>
      <c r="V4551" s="8"/>
      <c r="W4551" s="8"/>
      <c r="X4551" s="8"/>
      <c r="Y4551" s="8"/>
      <c r="Z4551" s="8"/>
      <c r="AA4551" s="8"/>
      <c r="AB4551" s="8"/>
      <c r="AC4551" s="8">
        <v>7.1</v>
      </c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11"/>
      <c r="AQ4551" s="8"/>
      <c r="AR4551" s="8"/>
      <c r="AS4551" s="8"/>
      <c r="AT4551" s="8">
        <v>729.33</v>
      </c>
      <c r="AU4551" s="8"/>
      <c r="AV4551" s="8"/>
      <c r="AW4551" s="8"/>
      <c r="AX4551" s="8"/>
      <c r="AY4551" s="8"/>
      <c r="AZ4551" s="8"/>
      <c r="BA4551" s="8">
        <v>10.63</v>
      </c>
      <c r="BB4551" s="8"/>
      <c r="BC4551" s="8"/>
      <c r="BD4551" s="8"/>
      <c r="BE4551" s="8"/>
      <c r="BF4551" s="8"/>
      <c r="BG4551" s="8">
        <v>53.21</v>
      </c>
      <c r="BH4551" s="9">
        <f t="shared" si="639"/>
        <v>1768.49</v>
      </c>
      <c r="BI4551" s="9">
        <f t="shared" si="640"/>
        <v>2.46</v>
      </c>
      <c r="BJ4551" s="9">
        <f t="shared" si="641"/>
        <v>5.67</v>
      </c>
      <c r="BK4551" s="9">
        <f t="shared" si="642"/>
        <v>17.75</v>
      </c>
      <c r="BL4551" s="9">
        <f t="shared" si="643"/>
        <v>0</v>
      </c>
      <c r="BM4551" s="9">
        <f t="shared" si="644"/>
        <v>7.1</v>
      </c>
      <c r="BN4551" s="9">
        <f t="shared" si="645"/>
        <v>729.33</v>
      </c>
      <c r="BO4551" s="9">
        <f t="shared" si="646"/>
        <v>10.63</v>
      </c>
      <c r="BP4551" s="9">
        <f t="shared" si="647"/>
        <v>0</v>
      </c>
    </row>
    <row r="4552" spans="1:68">
      <c r="A4552" s="6">
        <v>45414</v>
      </c>
      <c r="B4552" s="7">
        <v>3141</v>
      </c>
      <c r="C4552" s="8">
        <v>2358.5300000000002</v>
      </c>
      <c r="D4552" s="8">
        <v>416.24</v>
      </c>
      <c r="E4552" s="8"/>
      <c r="F4552" s="8"/>
      <c r="G4552" s="8"/>
      <c r="H4552" s="8"/>
      <c r="I4552" s="8"/>
      <c r="J4552" s="8"/>
      <c r="K4552" s="8"/>
      <c r="L4552" s="8"/>
      <c r="M4552" s="8">
        <v>7.69</v>
      </c>
      <c r="N4552" s="8"/>
      <c r="O4552" s="8"/>
      <c r="P4552" s="8"/>
      <c r="Q4552" s="11"/>
      <c r="R4552" s="11"/>
      <c r="S4552" s="8">
        <v>13.05</v>
      </c>
      <c r="T4552" s="8"/>
      <c r="U4552" s="8">
        <v>41.64</v>
      </c>
      <c r="V4552" s="8"/>
      <c r="W4552" s="8"/>
      <c r="X4552" s="8"/>
      <c r="Y4552" s="8"/>
      <c r="Z4552" s="8"/>
      <c r="AA4552" s="8"/>
      <c r="AB4552" s="8"/>
      <c r="AC4552" s="8">
        <v>11.12</v>
      </c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11"/>
      <c r="AQ4552" s="8"/>
      <c r="AR4552" s="8"/>
      <c r="AS4552" s="8"/>
      <c r="AT4552" s="8">
        <v>1833.9</v>
      </c>
      <c r="AU4552" s="8"/>
      <c r="AV4552" s="8"/>
      <c r="AW4552" s="8"/>
      <c r="AX4552" s="8"/>
      <c r="AY4552" s="8"/>
      <c r="AZ4552" s="8"/>
      <c r="BA4552" s="8">
        <v>63.58</v>
      </c>
      <c r="BB4552" s="8"/>
      <c r="BC4552" s="8"/>
      <c r="BD4552" s="8"/>
      <c r="BE4552" s="8"/>
      <c r="BF4552" s="8">
        <v>194.42</v>
      </c>
      <c r="BG4552" s="8">
        <v>143.83000000000001</v>
      </c>
      <c r="BH4552" s="9">
        <f t="shared" si="639"/>
        <v>2774.7700000000004</v>
      </c>
      <c r="BI4552" s="9">
        <f t="shared" si="640"/>
        <v>7.69</v>
      </c>
      <c r="BJ4552" s="9">
        <f t="shared" si="641"/>
        <v>13.05</v>
      </c>
      <c r="BK4552" s="9">
        <f t="shared" si="642"/>
        <v>41.64</v>
      </c>
      <c r="BL4552" s="9">
        <f t="shared" si="643"/>
        <v>0</v>
      </c>
      <c r="BM4552" s="9">
        <f t="shared" si="644"/>
        <v>11.12</v>
      </c>
      <c r="BN4552" s="9">
        <f t="shared" si="645"/>
        <v>1833.9</v>
      </c>
      <c r="BO4552" s="9">
        <f t="shared" si="646"/>
        <v>63.58</v>
      </c>
      <c r="BP4552" s="9">
        <f t="shared" si="647"/>
        <v>194.42</v>
      </c>
    </row>
    <row r="4553" spans="1:68">
      <c r="A4553" s="6">
        <v>45414</v>
      </c>
      <c r="B4553" s="7">
        <v>3156</v>
      </c>
      <c r="C4553" s="8">
        <v>989.03</v>
      </c>
      <c r="D4553" s="8"/>
      <c r="E4553" s="8"/>
      <c r="F4553" s="8"/>
      <c r="G4553" s="8"/>
      <c r="H4553" s="8"/>
      <c r="I4553" s="8"/>
      <c r="J4553" s="8"/>
      <c r="K4553" s="8"/>
      <c r="L4553" s="8"/>
      <c r="M4553" s="8">
        <v>1.35</v>
      </c>
      <c r="N4553" s="8"/>
      <c r="O4553" s="8"/>
      <c r="P4553" s="8"/>
      <c r="Q4553" s="11"/>
      <c r="R4553" s="11"/>
      <c r="S4553" s="8">
        <v>3.96</v>
      </c>
      <c r="T4553" s="8"/>
      <c r="U4553" s="8">
        <v>9.93</v>
      </c>
      <c r="V4553" s="8"/>
      <c r="W4553" s="8"/>
      <c r="X4553" s="8"/>
      <c r="Y4553" s="8"/>
      <c r="Z4553" s="8"/>
      <c r="AA4553" s="8"/>
      <c r="AB4553" s="8"/>
      <c r="AC4553" s="8">
        <v>2.48</v>
      </c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11"/>
      <c r="AQ4553" s="8"/>
      <c r="AR4553" s="8"/>
      <c r="AS4553" s="8"/>
      <c r="AT4553" s="8">
        <v>466.61</v>
      </c>
      <c r="AU4553" s="8"/>
      <c r="AV4553" s="8"/>
      <c r="AW4553" s="8"/>
      <c r="AX4553" s="8">
        <v>2.15</v>
      </c>
      <c r="AY4553" s="8"/>
      <c r="AZ4553" s="8"/>
      <c r="BA4553" s="8"/>
      <c r="BB4553" s="8"/>
      <c r="BC4553" s="8"/>
      <c r="BD4553" s="8"/>
      <c r="BE4553" s="8"/>
      <c r="BF4553" s="8"/>
      <c r="BG4553" s="8">
        <v>36.39</v>
      </c>
      <c r="BH4553" s="9">
        <f t="shared" si="639"/>
        <v>989.03</v>
      </c>
      <c r="BI4553" s="9">
        <f t="shared" si="640"/>
        <v>1.35</v>
      </c>
      <c r="BJ4553" s="9">
        <f t="shared" si="641"/>
        <v>3.96</v>
      </c>
      <c r="BK4553" s="9">
        <f t="shared" si="642"/>
        <v>9.93</v>
      </c>
      <c r="BL4553" s="9">
        <f t="shared" si="643"/>
        <v>0</v>
      </c>
      <c r="BM4553" s="9">
        <f t="shared" si="644"/>
        <v>2.48</v>
      </c>
      <c r="BN4553" s="9">
        <f t="shared" si="645"/>
        <v>466.61</v>
      </c>
      <c r="BO4553" s="9">
        <f t="shared" si="646"/>
        <v>2.15</v>
      </c>
      <c r="BP4553" s="9">
        <f t="shared" si="647"/>
        <v>0</v>
      </c>
    </row>
    <row r="4554" spans="1:68">
      <c r="A4554" s="6">
        <v>45414</v>
      </c>
      <c r="B4554" s="7">
        <v>3106</v>
      </c>
      <c r="C4554" s="8">
        <v>7131.02</v>
      </c>
      <c r="D4554" s="8"/>
      <c r="E4554" s="8"/>
      <c r="F4554" s="8"/>
      <c r="G4554" s="8"/>
      <c r="H4554" s="8"/>
      <c r="I4554" s="8"/>
      <c r="J4554" s="8"/>
      <c r="K4554" s="8"/>
      <c r="L4554" s="8"/>
      <c r="M4554" s="8">
        <v>17.78</v>
      </c>
      <c r="N4554" s="8"/>
      <c r="O4554" s="8"/>
      <c r="P4554" s="8"/>
      <c r="Q4554" s="11"/>
      <c r="R4554" s="11"/>
      <c r="S4554" s="8">
        <v>20.74</v>
      </c>
      <c r="T4554" s="8"/>
      <c r="U4554" s="8">
        <v>90.94</v>
      </c>
      <c r="V4554" s="8"/>
      <c r="W4554" s="8"/>
      <c r="X4554" s="8"/>
      <c r="Y4554" s="8"/>
      <c r="Z4554" s="8"/>
      <c r="AA4554" s="8"/>
      <c r="AB4554" s="8"/>
      <c r="AC4554" s="8">
        <v>17.809999999999999</v>
      </c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11"/>
      <c r="AQ4554" s="8"/>
      <c r="AR4554" s="8"/>
      <c r="AS4554" s="8"/>
      <c r="AT4554" s="8">
        <v>4062.78</v>
      </c>
      <c r="AU4554" s="8"/>
      <c r="AV4554" s="8"/>
      <c r="AW4554" s="8"/>
      <c r="AX4554" s="8">
        <v>8.92</v>
      </c>
      <c r="AY4554" s="8"/>
      <c r="AZ4554" s="8"/>
      <c r="BA4554" s="8"/>
      <c r="BB4554" s="8"/>
      <c r="BC4554" s="8"/>
      <c r="BD4554" s="8"/>
      <c r="BE4554" s="8"/>
      <c r="BF4554" s="8"/>
      <c r="BG4554" s="8">
        <v>306.33999999999997</v>
      </c>
      <c r="BH4554" s="9">
        <f t="shared" si="639"/>
        <v>7131.02</v>
      </c>
      <c r="BI4554" s="9">
        <f t="shared" si="640"/>
        <v>17.78</v>
      </c>
      <c r="BJ4554" s="9">
        <f t="shared" si="641"/>
        <v>20.74</v>
      </c>
      <c r="BK4554" s="9">
        <f t="shared" si="642"/>
        <v>90.94</v>
      </c>
      <c r="BL4554" s="9">
        <f t="shared" si="643"/>
        <v>0</v>
      </c>
      <c r="BM4554" s="9">
        <f t="shared" si="644"/>
        <v>17.809999999999999</v>
      </c>
      <c r="BN4554" s="9">
        <f t="shared" si="645"/>
        <v>4062.78</v>
      </c>
      <c r="BO4554" s="9">
        <f t="shared" si="646"/>
        <v>8.92</v>
      </c>
      <c r="BP4554" s="9">
        <f t="shared" si="647"/>
        <v>0</v>
      </c>
    </row>
    <row r="4555" spans="1:68">
      <c r="A4555" s="6">
        <v>45414</v>
      </c>
      <c r="B4555" s="7">
        <v>8336</v>
      </c>
      <c r="C4555" s="8">
        <v>1224.6300000000001</v>
      </c>
      <c r="D4555" s="8"/>
      <c r="E4555" s="8"/>
      <c r="F4555" s="8"/>
      <c r="G4555" s="8"/>
      <c r="H4555" s="8"/>
      <c r="I4555" s="8"/>
      <c r="J4555" s="8"/>
      <c r="K4555" s="8"/>
      <c r="L4555" s="8"/>
      <c r="M4555" s="8">
        <v>2.11</v>
      </c>
      <c r="N4555" s="8"/>
      <c r="O4555" s="8"/>
      <c r="P4555" s="8"/>
      <c r="Q4555" s="11"/>
      <c r="R4555" s="11"/>
      <c r="S4555" s="8">
        <v>4.41</v>
      </c>
      <c r="T4555" s="8"/>
      <c r="U4555" s="8">
        <v>14.24</v>
      </c>
      <c r="V4555" s="8"/>
      <c r="W4555" s="8"/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11"/>
      <c r="AQ4555" s="8"/>
      <c r="AR4555" s="8"/>
      <c r="AS4555" s="8"/>
      <c r="AT4555" s="8">
        <v>685.59</v>
      </c>
      <c r="AU4555" s="8"/>
      <c r="AV4555" s="8">
        <v>24.5</v>
      </c>
      <c r="AW4555" s="8"/>
      <c r="AX4555" s="8"/>
      <c r="AY4555" s="8"/>
      <c r="AZ4555" s="8"/>
      <c r="BA4555" s="8"/>
      <c r="BB4555" s="8"/>
      <c r="BC4555" s="8"/>
      <c r="BD4555" s="8"/>
      <c r="BE4555" s="8"/>
      <c r="BF4555" s="8">
        <v>30.65</v>
      </c>
      <c r="BG4555" s="8">
        <v>48.99</v>
      </c>
      <c r="BH4555" s="9">
        <f t="shared" si="639"/>
        <v>1224.6300000000001</v>
      </c>
      <c r="BI4555" s="9">
        <f t="shared" si="640"/>
        <v>2.11</v>
      </c>
      <c r="BJ4555" s="9">
        <f t="shared" si="641"/>
        <v>4.41</v>
      </c>
      <c r="BK4555" s="9">
        <f t="shared" si="642"/>
        <v>14.24</v>
      </c>
      <c r="BL4555" s="9">
        <f t="shared" si="643"/>
        <v>0</v>
      </c>
      <c r="BM4555" s="9">
        <f t="shared" si="644"/>
        <v>0</v>
      </c>
      <c r="BN4555" s="9">
        <f t="shared" si="645"/>
        <v>685.59</v>
      </c>
      <c r="BO4555" s="9">
        <f t="shared" si="646"/>
        <v>24.5</v>
      </c>
      <c r="BP4555" s="9">
        <f t="shared" si="647"/>
        <v>30.65</v>
      </c>
    </row>
    <row r="4556" spans="1:68">
      <c r="A4556" s="6">
        <v>45414</v>
      </c>
      <c r="B4556" s="7">
        <v>3083</v>
      </c>
      <c r="C4556" s="8"/>
      <c r="D4556" s="8">
        <v>1078.21</v>
      </c>
      <c r="E4556" s="8"/>
      <c r="F4556" s="8"/>
      <c r="G4556" s="8"/>
      <c r="H4556" s="8"/>
      <c r="I4556" s="8">
        <v>2501.71</v>
      </c>
      <c r="J4556" s="8"/>
      <c r="K4556" s="8"/>
      <c r="L4556" s="8"/>
      <c r="M4556" s="8"/>
      <c r="N4556" s="8">
        <v>23.31</v>
      </c>
      <c r="O4556" s="8"/>
      <c r="P4556" s="8"/>
      <c r="Q4556" s="11"/>
      <c r="R4556" s="11"/>
      <c r="S4556" s="8">
        <v>2.5099999999999998</v>
      </c>
      <c r="T4556" s="8"/>
      <c r="U4556" s="8"/>
      <c r="V4556" s="8"/>
      <c r="W4556" s="8">
        <v>28.73</v>
      </c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>
        <v>14.31</v>
      </c>
      <c r="AN4556" s="8">
        <f>1909*26.57/1000</f>
        <v>50.72213</v>
      </c>
      <c r="AO4556" s="8"/>
      <c r="AP4556" s="11"/>
      <c r="AQ4556" s="8"/>
      <c r="AR4556" s="8">
        <f>3406*26.57/1000</f>
        <v>90.497420000000005</v>
      </c>
      <c r="AS4556" s="8"/>
      <c r="AT4556" s="8">
        <v>1685.78</v>
      </c>
      <c r="AU4556" s="8"/>
      <c r="AV4556" s="8"/>
      <c r="AW4556" s="8"/>
      <c r="AX4556" s="8"/>
      <c r="AY4556" s="8"/>
      <c r="AZ4556" s="8"/>
      <c r="BA4556" s="8"/>
      <c r="BB4556" s="8"/>
      <c r="BC4556" s="8"/>
      <c r="BD4556" s="8"/>
      <c r="BE4556" s="8"/>
      <c r="BF4556" s="8"/>
      <c r="BG4556" s="8">
        <v>133.63999999999999</v>
      </c>
      <c r="BH4556" s="9">
        <f t="shared" si="639"/>
        <v>3579.92</v>
      </c>
      <c r="BI4556" s="9">
        <f t="shared" si="640"/>
        <v>23.31</v>
      </c>
      <c r="BJ4556" s="9">
        <f t="shared" si="641"/>
        <v>2.5099999999999998</v>
      </c>
      <c r="BK4556" s="9">
        <f t="shared" si="642"/>
        <v>28.73</v>
      </c>
      <c r="BL4556" s="9">
        <f t="shared" si="643"/>
        <v>0</v>
      </c>
      <c r="BM4556" s="9">
        <f t="shared" si="644"/>
        <v>155.52955</v>
      </c>
      <c r="BN4556" s="9">
        <f t="shared" si="645"/>
        <v>1685.78</v>
      </c>
      <c r="BO4556" s="9">
        <f t="shared" si="646"/>
        <v>0</v>
      </c>
      <c r="BP4556" s="9">
        <f t="shared" si="647"/>
        <v>0</v>
      </c>
    </row>
    <row r="4557" spans="1:68">
      <c r="A4557" s="6">
        <v>45414</v>
      </c>
      <c r="B4557" s="7">
        <v>3020</v>
      </c>
      <c r="C4557" s="8"/>
      <c r="D4557" s="8">
        <v>172.86</v>
      </c>
      <c r="E4557" s="8"/>
      <c r="F4557" s="8"/>
      <c r="G4557" s="8"/>
      <c r="H4557" s="8"/>
      <c r="I4557" s="8">
        <v>977.78</v>
      </c>
      <c r="J4557" s="8"/>
      <c r="K4557" s="8"/>
      <c r="L4557" s="8"/>
      <c r="M4557" s="8"/>
      <c r="N4557" s="8">
        <v>7.02</v>
      </c>
      <c r="O4557" s="8"/>
      <c r="P4557" s="8"/>
      <c r="Q4557" s="11"/>
      <c r="R4557" s="11"/>
      <c r="S4557" s="8">
        <v>2.0699999999999998</v>
      </c>
      <c r="T4557" s="8"/>
      <c r="U4557" s="8"/>
      <c r="V4557" s="8"/>
      <c r="W4557" s="8">
        <v>11.5</v>
      </c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>
        <v>11.48</v>
      </c>
      <c r="AN4557" s="8"/>
      <c r="AO4557" s="8"/>
      <c r="AP4557" s="11"/>
      <c r="AQ4557" s="8"/>
      <c r="AR4557" s="8"/>
      <c r="AS4557" s="8">
        <f>3022*9.57/1000</f>
        <v>28.920540000000003</v>
      </c>
      <c r="AT4557" s="8">
        <v>564.98</v>
      </c>
      <c r="AU4557" s="8"/>
      <c r="AV4557" s="8"/>
      <c r="AW4557" s="8"/>
      <c r="AX4557" s="8"/>
      <c r="AY4557" s="8"/>
      <c r="AZ4557" s="8"/>
      <c r="BA4557" s="8"/>
      <c r="BB4557" s="8"/>
      <c r="BC4557" s="8"/>
      <c r="BD4557" s="8"/>
      <c r="BE4557" s="8"/>
      <c r="BF4557" s="8"/>
      <c r="BG4557" s="8">
        <v>41.35</v>
      </c>
      <c r="BH4557" s="9">
        <f t="shared" si="639"/>
        <v>1150.6399999999999</v>
      </c>
      <c r="BI4557" s="9">
        <f t="shared" si="640"/>
        <v>7.02</v>
      </c>
      <c r="BJ4557" s="9">
        <f t="shared" si="641"/>
        <v>2.0699999999999998</v>
      </c>
      <c r="BK4557" s="9">
        <f t="shared" si="642"/>
        <v>11.5</v>
      </c>
      <c r="BL4557" s="9">
        <f t="shared" si="643"/>
        <v>0</v>
      </c>
      <c r="BM4557" s="9">
        <f t="shared" si="644"/>
        <v>40.400540000000007</v>
      </c>
      <c r="BN4557" s="9">
        <f t="shared" si="645"/>
        <v>564.98</v>
      </c>
      <c r="BO4557" s="9">
        <f t="shared" si="646"/>
        <v>0</v>
      </c>
      <c r="BP4557" s="9">
        <f t="shared" si="647"/>
        <v>0</v>
      </c>
    </row>
    <row r="4558" spans="1:68">
      <c r="A4558" s="6">
        <v>45414</v>
      </c>
      <c r="B4558" s="7">
        <v>3022</v>
      </c>
      <c r="C4558" s="8"/>
      <c r="D4558" s="8">
        <v>583.26</v>
      </c>
      <c r="E4558" s="8"/>
      <c r="F4558" s="8"/>
      <c r="G4558" s="8"/>
      <c r="H4558" s="8"/>
      <c r="I4558" s="8">
        <v>477.84</v>
      </c>
      <c r="J4558" s="8"/>
      <c r="K4558" s="8"/>
      <c r="L4558" s="8"/>
      <c r="M4558" s="8"/>
      <c r="N4558" s="8">
        <v>5.3</v>
      </c>
      <c r="O4558" s="8"/>
      <c r="P4558" s="8"/>
      <c r="Q4558" s="11"/>
      <c r="R4558" s="11"/>
      <c r="S4558" s="8">
        <v>1.9</v>
      </c>
      <c r="T4558" s="8"/>
      <c r="U4558" s="8"/>
      <c r="V4558" s="8"/>
      <c r="W4558" s="8">
        <v>10.59</v>
      </c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>
        <v>13.72</v>
      </c>
      <c r="AN4558" s="8"/>
      <c r="AO4558" s="8"/>
      <c r="AP4558" s="11"/>
      <c r="AQ4558" s="8"/>
      <c r="AR4558" s="8"/>
      <c r="AS4558" s="8">
        <f>3864*9.63/1000</f>
        <v>37.210320000000003</v>
      </c>
      <c r="AT4558" s="8">
        <v>497.14</v>
      </c>
      <c r="AU4558" s="8"/>
      <c r="AV4558" s="8"/>
      <c r="AW4558" s="8"/>
      <c r="AX4558" s="8"/>
      <c r="AY4558" s="8"/>
      <c r="AZ4558" s="8"/>
      <c r="BA4558" s="8"/>
      <c r="BB4558" s="8"/>
      <c r="BC4558" s="8"/>
      <c r="BD4558" s="8"/>
      <c r="BE4558" s="8"/>
      <c r="BF4558" s="8"/>
      <c r="BG4558" s="8">
        <v>38.15</v>
      </c>
      <c r="BH4558" s="9">
        <f t="shared" si="639"/>
        <v>1061.0999999999999</v>
      </c>
      <c r="BI4558" s="9">
        <f t="shared" si="640"/>
        <v>5.3</v>
      </c>
      <c r="BJ4558" s="9">
        <f t="shared" si="641"/>
        <v>1.9</v>
      </c>
      <c r="BK4558" s="9">
        <f t="shared" si="642"/>
        <v>10.59</v>
      </c>
      <c r="BL4558" s="9">
        <f t="shared" si="643"/>
        <v>0</v>
      </c>
      <c r="BM4558" s="9">
        <f t="shared" si="644"/>
        <v>50.930320000000002</v>
      </c>
      <c r="BN4558" s="9">
        <f t="shared" si="645"/>
        <v>497.14</v>
      </c>
      <c r="BO4558" s="9">
        <f t="shared" si="646"/>
        <v>0</v>
      </c>
      <c r="BP4558" s="9">
        <f t="shared" si="647"/>
        <v>0</v>
      </c>
    </row>
    <row r="4559" spans="1:68">
      <c r="A4559" s="6">
        <v>45414</v>
      </c>
      <c r="B4559" s="7">
        <v>3028</v>
      </c>
      <c r="C4559" s="8"/>
      <c r="D4559" s="8">
        <v>723.36</v>
      </c>
      <c r="E4559" s="8"/>
      <c r="F4559" s="8">
        <v>667.93</v>
      </c>
      <c r="G4559" s="8"/>
      <c r="H4559" s="8"/>
      <c r="I4559" s="8">
        <v>1510.97</v>
      </c>
      <c r="J4559" s="8"/>
      <c r="K4559" s="8"/>
      <c r="L4559" s="8"/>
      <c r="M4559" s="8"/>
      <c r="N4559" s="8">
        <v>22.29</v>
      </c>
      <c r="O4559" s="8"/>
      <c r="P4559" s="8"/>
      <c r="Q4559" s="11"/>
      <c r="R4559" s="11"/>
      <c r="S4559" s="8">
        <v>4.05</v>
      </c>
      <c r="T4559" s="8"/>
      <c r="U4559" s="8"/>
      <c r="V4559" s="8"/>
      <c r="W4559" s="8">
        <v>21.78</v>
      </c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>
        <v>28.99</v>
      </c>
      <c r="AN4559" s="8">
        <f>1078*19.35/1000</f>
        <v>20.859300000000005</v>
      </c>
      <c r="AO4559" s="8"/>
      <c r="AP4559" s="11"/>
      <c r="AQ4559" s="8"/>
      <c r="AR4559" s="8"/>
      <c r="AS4559" s="8">
        <f>5005*19.35/1000</f>
        <v>96.84675</v>
      </c>
      <c r="AT4559" s="8">
        <v>963.85</v>
      </c>
      <c r="AU4559" s="8"/>
      <c r="AV4559" s="8"/>
      <c r="AW4559" s="8"/>
      <c r="AX4559" s="8"/>
      <c r="AY4559" s="8"/>
      <c r="AZ4559" s="8"/>
      <c r="BA4559" s="8"/>
      <c r="BB4559" s="8"/>
      <c r="BC4559" s="8"/>
      <c r="BD4559" s="8"/>
      <c r="BE4559" s="8"/>
      <c r="BF4559" s="8"/>
      <c r="BG4559" s="8">
        <v>65.989999999999995</v>
      </c>
      <c r="BH4559" s="9">
        <f t="shared" si="639"/>
        <v>2902.26</v>
      </c>
      <c r="BI4559" s="9">
        <f t="shared" si="640"/>
        <v>22.29</v>
      </c>
      <c r="BJ4559" s="9">
        <f t="shared" si="641"/>
        <v>4.05</v>
      </c>
      <c r="BK4559" s="9">
        <f t="shared" si="642"/>
        <v>21.78</v>
      </c>
      <c r="BL4559" s="9">
        <f t="shared" si="643"/>
        <v>0</v>
      </c>
      <c r="BM4559" s="9">
        <f t="shared" si="644"/>
        <v>146.69605000000001</v>
      </c>
      <c r="BN4559" s="9">
        <f t="shared" si="645"/>
        <v>963.85</v>
      </c>
      <c r="BO4559" s="9">
        <f t="shared" si="646"/>
        <v>0</v>
      </c>
      <c r="BP4559" s="9">
        <f t="shared" si="647"/>
        <v>0</v>
      </c>
    </row>
    <row r="4560" spans="1:68">
      <c r="A4560" s="6">
        <v>45414</v>
      </c>
      <c r="B4560" s="7">
        <v>3155</v>
      </c>
      <c r="C4560" s="8">
        <v>427.18</v>
      </c>
      <c r="D4560" s="8">
        <v>426.74</v>
      </c>
      <c r="E4560" s="8"/>
      <c r="F4560" s="8"/>
      <c r="G4560" s="8"/>
      <c r="H4560" s="8"/>
      <c r="I4560" s="8"/>
      <c r="J4560" s="8"/>
      <c r="K4560" s="8"/>
      <c r="L4560" s="8"/>
      <c r="M4560" s="8">
        <v>2.4700000000000002</v>
      </c>
      <c r="N4560" s="8"/>
      <c r="O4560" s="8"/>
      <c r="P4560" s="8"/>
      <c r="Q4560" s="11"/>
      <c r="R4560" s="11"/>
      <c r="S4560" s="8">
        <v>4.26</v>
      </c>
      <c r="T4560" s="8"/>
      <c r="U4560" s="8">
        <v>13.63</v>
      </c>
      <c r="V4560" s="8"/>
      <c r="W4560" s="8"/>
      <c r="X4560" s="8"/>
      <c r="Y4560" s="8"/>
      <c r="Z4560" s="8"/>
      <c r="AA4560" s="8"/>
      <c r="AB4560" s="8"/>
      <c r="AC4560" s="8">
        <v>3.41</v>
      </c>
      <c r="AD4560" s="8"/>
      <c r="AE4560" s="8"/>
      <c r="AF4560" s="8"/>
      <c r="AG4560" s="8">
        <v>4.28</v>
      </c>
      <c r="AH4560" s="8"/>
      <c r="AI4560" s="8"/>
      <c r="AJ4560" s="8"/>
      <c r="AK4560" s="8"/>
      <c r="AL4560" s="8"/>
      <c r="AM4560" s="8"/>
      <c r="AN4560" s="8"/>
      <c r="AO4560" s="8"/>
      <c r="AP4560" s="11"/>
      <c r="AQ4560" s="8"/>
      <c r="AR4560" s="8"/>
      <c r="AS4560" s="8"/>
      <c r="AT4560" s="8">
        <v>548.24</v>
      </c>
      <c r="AU4560" s="8"/>
      <c r="AV4560" s="8"/>
      <c r="AW4560" s="8"/>
      <c r="AX4560" s="8"/>
      <c r="AY4560" s="8"/>
      <c r="AZ4560" s="8"/>
      <c r="BA4560" s="8"/>
      <c r="BB4560" s="8"/>
      <c r="BC4560" s="8"/>
      <c r="BD4560" s="8"/>
      <c r="BE4560" s="8"/>
      <c r="BF4560" s="8">
        <v>110.69</v>
      </c>
      <c r="BG4560" s="8">
        <v>44.23</v>
      </c>
      <c r="BH4560" s="9">
        <f t="shared" si="639"/>
        <v>853.92000000000007</v>
      </c>
      <c r="BI4560" s="9">
        <f t="shared" si="640"/>
        <v>2.4700000000000002</v>
      </c>
      <c r="BJ4560" s="9">
        <f t="shared" si="641"/>
        <v>4.26</v>
      </c>
      <c r="BK4560" s="9">
        <f t="shared" si="642"/>
        <v>13.63</v>
      </c>
      <c r="BL4560" s="9">
        <f t="shared" si="643"/>
        <v>0</v>
      </c>
      <c r="BM4560" s="9">
        <f t="shared" si="644"/>
        <v>7.69</v>
      </c>
      <c r="BN4560" s="9">
        <f t="shared" si="645"/>
        <v>548.24</v>
      </c>
      <c r="BO4560" s="9">
        <f t="shared" si="646"/>
        <v>0</v>
      </c>
      <c r="BP4560" s="9">
        <f t="shared" si="647"/>
        <v>110.69</v>
      </c>
    </row>
    <row r="4561" spans="1:68">
      <c r="A4561" s="6">
        <v>45415</v>
      </c>
      <c r="B4561" s="7">
        <v>3601</v>
      </c>
      <c r="C4561" s="8">
        <v>570.48</v>
      </c>
      <c r="D4561" s="8"/>
      <c r="E4561" s="8"/>
      <c r="F4561" s="8"/>
      <c r="G4561" s="8">
        <v>853.99</v>
      </c>
      <c r="H4561" s="8"/>
      <c r="I4561" s="8"/>
      <c r="J4561" s="8"/>
      <c r="K4561" s="8"/>
      <c r="L4561" s="8"/>
      <c r="M4561" s="8">
        <v>1.71</v>
      </c>
      <c r="N4561" s="8"/>
      <c r="O4561" s="8"/>
      <c r="P4561" s="8"/>
      <c r="Q4561" s="11"/>
      <c r="R4561" s="11"/>
      <c r="S4561" s="8">
        <v>6.62</v>
      </c>
      <c r="T4561" s="8"/>
      <c r="U4561" s="8">
        <v>8.5500000000000007</v>
      </c>
      <c r="V4561" s="8"/>
      <c r="W4561" s="8"/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11"/>
      <c r="AQ4561" s="8"/>
      <c r="AR4561" s="8"/>
      <c r="AS4561" s="8"/>
      <c r="AT4561" s="8">
        <v>698.47</v>
      </c>
      <c r="AU4561" s="8"/>
      <c r="AV4561" s="8"/>
      <c r="AW4561" s="8">
        <v>43.35</v>
      </c>
      <c r="AX4561" s="8"/>
      <c r="AY4561" s="8"/>
      <c r="AZ4561" s="8"/>
      <c r="BA4561" s="8"/>
      <c r="BB4561" s="8"/>
      <c r="BC4561" s="8"/>
      <c r="BD4561" s="8"/>
      <c r="BE4561" s="8"/>
      <c r="BF4561" s="8">
        <v>79.849999999999994</v>
      </c>
      <c r="BG4561" s="8">
        <v>50.86</v>
      </c>
      <c r="BH4561" s="9">
        <f t="shared" si="639"/>
        <v>1424.47</v>
      </c>
      <c r="BI4561" s="9">
        <f t="shared" si="640"/>
        <v>1.71</v>
      </c>
      <c r="BJ4561" s="9">
        <f t="shared" si="641"/>
        <v>6.62</v>
      </c>
      <c r="BK4561" s="9">
        <f t="shared" si="642"/>
        <v>8.5500000000000007</v>
      </c>
      <c r="BL4561" s="9">
        <f t="shared" si="643"/>
        <v>0</v>
      </c>
      <c r="BM4561" s="9">
        <f t="shared" si="644"/>
        <v>0</v>
      </c>
      <c r="BN4561" s="9">
        <f t="shared" si="645"/>
        <v>698.47</v>
      </c>
      <c r="BO4561" s="9">
        <f t="shared" si="646"/>
        <v>43.35</v>
      </c>
      <c r="BP4561" s="9">
        <f t="shared" si="647"/>
        <v>79.849999999999994</v>
      </c>
    </row>
    <row r="4562" spans="1:68">
      <c r="A4562" s="6">
        <v>45415</v>
      </c>
      <c r="B4562" s="7">
        <v>3602</v>
      </c>
      <c r="C4562" s="8">
        <v>556</v>
      </c>
      <c r="D4562" s="8"/>
      <c r="E4562" s="8"/>
      <c r="F4562" s="8"/>
      <c r="G4562" s="8">
        <v>832.69</v>
      </c>
      <c r="H4562" s="8"/>
      <c r="I4562" s="8"/>
      <c r="J4562" s="8"/>
      <c r="K4562" s="8"/>
      <c r="L4562" s="8"/>
      <c r="M4562" s="8">
        <v>1.65</v>
      </c>
      <c r="N4562" s="8"/>
      <c r="O4562" s="8"/>
      <c r="P4562" s="8"/>
      <c r="Q4562" s="11"/>
      <c r="R4562" s="11"/>
      <c r="S4562" s="8">
        <v>6.34</v>
      </c>
      <c r="T4562" s="8"/>
      <c r="U4562" s="8">
        <v>11.1</v>
      </c>
      <c r="V4562" s="8">
        <f>849*15.87/1000</f>
        <v>13.47363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11"/>
      <c r="AQ4562" s="8"/>
      <c r="AR4562" s="8"/>
      <c r="AS4562" s="8"/>
      <c r="AT4562" s="8">
        <v>559.96</v>
      </c>
      <c r="AU4562" s="8"/>
      <c r="AV4562" s="8"/>
      <c r="AW4562" s="8">
        <v>35.909999999999997</v>
      </c>
      <c r="AX4562" s="8"/>
      <c r="AY4562" s="8"/>
      <c r="AZ4562" s="8"/>
      <c r="BA4562" s="8"/>
      <c r="BB4562" s="8"/>
      <c r="BC4562" s="8"/>
      <c r="BD4562" s="8"/>
      <c r="BE4562" s="8"/>
      <c r="BF4562" s="8">
        <v>44.49</v>
      </c>
      <c r="BG4562" s="8">
        <v>41.99</v>
      </c>
      <c r="BH4562" s="9">
        <f t="shared" si="639"/>
        <v>1388.69</v>
      </c>
      <c r="BI4562" s="9">
        <f t="shared" si="640"/>
        <v>1.65</v>
      </c>
      <c r="BJ4562" s="9">
        <f t="shared" si="641"/>
        <v>6.34</v>
      </c>
      <c r="BK4562" s="9">
        <f t="shared" si="642"/>
        <v>24.573630000000001</v>
      </c>
      <c r="BL4562" s="9">
        <f t="shared" si="643"/>
        <v>0</v>
      </c>
      <c r="BM4562" s="9">
        <f t="shared" si="644"/>
        <v>0</v>
      </c>
      <c r="BN4562" s="9">
        <f t="shared" si="645"/>
        <v>559.96</v>
      </c>
      <c r="BO4562" s="9">
        <f t="shared" si="646"/>
        <v>35.909999999999997</v>
      </c>
      <c r="BP4562" s="9">
        <f t="shared" si="647"/>
        <v>44.49</v>
      </c>
    </row>
    <row r="4563" spans="1:68">
      <c r="A4563" s="6">
        <v>45415</v>
      </c>
      <c r="B4563" s="7">
        <v>3310</v>
      </c>
      <c r="C4563" s="8"/>
      <c r="D4563" s="8">
        <v>579.70000000000005</v>
      </c>
      <c r="E4563" s="8"/>
      <c r="F4563" s="8"/>
      <c r="G4563" s="8"/>
      <c r="H4563" s="8"/>
      <c r="I4563" s="8"/>
      <c r="J4563" s="8"/>
      <c r="K4563" s="8"/>
      <c r="L4563" s="8"/>
      <c r="M4563" s="8">
        <v>1.1599999999999999</v>
      </c>
      <c r="N4563" s="8"/>
      <c r="O4563" s="8"/>
      <c r="P4563" s="8"/>
      <c r="Q4563" s="11"/>
      <c r="R4563" s="11"/>
      <c r="S4563" s="8">
        <v>0.87</v>
      </c>
      <c r="T4563" s="8"/>
      <c r="U4563" s="8">
        <v>5.22</v>
      </c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>
        <v>5.8</v>
      </c>
      <c r="AH4563" s="8"/>
      <c r="AI4563" s="8"/>
      <c r="AJ4563" s="8"/>
      <c r="AK4563" s="8"/>
      <c r="AL4563" s="8"/>
      <c r="AM4563" s="8"/>
      <c r="AN4563" s="8"/>
      <c r="AO4563" s="8"/>
      <c r="AP4563" s="11"/>
      <c r="AQ4563" s="8"/>
      <c r="AR4563" s="8"/>
      <c r="AS4563" s="8"/>
      <c r="AT4563" s="8">
        <v>155.83000000000001</v>
      </c>
      <c r="AU4563" s="8">
        <v>77.44</v>
      </c>
      <c r="AV4563" s="8"/>
      <c r="AW4563" s="8"/>
      <c r="AX4563" s="8"/>
      <c r="AY4563" s="8"/>
      <c r="AZ4563" s="8"/>
      <c r="BA4563" s="8"/>
      <c r="BB4563" s="8"/>
      <c r="BC4563" s="8"/>
      <c r="BD4563" s="8"/>
      <c r="BE4563" s="8"/>
      <c r="BF4563" s="8"/>
      <c r="BG4563" s="8">
        <v>16.079999999999998</v>
      </c>
      <c r="BH4563" s="9">
        <f t="shared" si="639"/>
        <v>579.70000000000005</v>
      </c>
      <c r="BI4563" s="9">
        <f t="shared" si="640"/>
        <v>1.1599999999999999</v>
      </c>
      <c r="BJ4563" s="9">
        <f t="shared" si="641"/>
        <v>0.87</v>
      </c>
      <c r="BK4563" s="9">
        <f t="shared" si="642"/>
        <v>5.22</v>
      </c>
      <c r="BL4563" s="9">
        <f t="shared" si="643"/>
        <v>0</v>
      </c>
      <c r="BM4563" s="9">
        <f t="shared" si="644"/>
        <v>5.8</v>
      </c>
      <c r="BN4563" s="9">
        <f t="shared" si="645"/>
        <v>233.27</v>
      </c>
      <c r="BO4563" s="9">
        <f t="shared" si="646"/>
        <v>0</v>
      </c>
      <c r="BP4563" s="9">
        <f t="shared" si="647"/>
        <v>0</v>
      </c>
    </row>
    <row r="4564" spans="1:68">
      <c r="A4564" s="6">
        <v>45415</v>
      </c>
      <c r="B4564" s="7">
        <v>3101</v>
      </c>
      <c r="C4564" s="8">
        <v>662.13</v>
      </c>
      <c r="D4564" s="8"/>
      <c r="E4564" s="8"/>
      <c r="F4564" s="8"/>
      <c r="G4564" s="8"/>
      <c r="H4564" s="8"/>
      <c r="I4564" s="8"/>
      <c r="J4564" s="8"/>
      <c r="K4564" s="8"/>
      <c r="L4564" s="8"/>
      <c r="M4564" s="8">
        <v>1.66</v>
      </c>
      <c r="N4564" s="8"/>
      <c r="O4564" s="8"/>
      <c r="P4564" s="8"/>
      <c r="Q4564" s="11"/>
      <c r="R4564" s="11"/>
      <c r="S4564" s="8">
        <v>3.85</v>
      </c>
      <c r="T4564" s="8"/>
      <c r="U4564" s="8">
        <v>10.62</v>
      </c>
      <c r="V4564" s="8"/>
      <c r="W4564" s="8"/>
      <c r="X4564" s="8"/>
      <c r="Y4564" s="8"/>
      <c r="Z4564" s="8"/>
      <c r="AA4564" s="8"/>
      <c r="AB4564" s="8"/>
      <c r="AC4564" s="8">
        <v>2.66</v>
      </c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11"/>
      <c r="AQ4564" s="8"/>
      <c r="AR4564" s="8"/>
      <c r="AS4564" s="8"/>
      <c r="AT4564" s="8">
        <v>446.56</v>
      </c>
      <c r="AU4564" s="8"/>
      <c r="AV4564" s="8"/>
      <c r="AW4564" s="8">
        <v>14.14</v>
      </c>
      <c r="AX4564" s="8"/>
      <c r="AY4564" s="8"/>
      <c r="AZ4564" s="8"/>
      <c r="BA4564" s="8"/>
      <c r="BB4564" s="8"/>
      <c r="BC4564" s="8"/>
      <c r="BD4564" s="8"/>
      <c r="BE4564" s="8"/>
      <c r="BF4564" s="8">
        <v>86.36</v>
      </c>
      <c r="BG4564" s="8">
        <v>34.130000000000003</v>
      </c>
      <c r="BH4564" s="9">
        <f t="shared" si="639"/>
        <v>662.13</v>
      </c>
      <c r="BI4564" s="9">
        <f t="shared" si="640"/>
        <v>1.66</v>
      </c>
      <c r="BJ4564" s="9">
        <f t="shared" si="641"/>
        <v>3.85</v>
      </c>
      <c r="BK4564" s="9">
        <f t="shared" si="642"/>
        <v>10.62</v>
      </c>
      <c r="BL4564" s="9">
        <f t="shared" si="643"/>
        <v>0</v>
      </c>
      <c r="BM4564" s="9">
        <f t="shared" si="644"/>
        <v>2.66</v>
      </c>
      <c r="BN4564" s="9">
        <f t="shared" si="645"/>
        <v>446.56</v>
      </c>
      <c r="BO4564" s="9">
        <f t="shared" si="646"/>
        <v>14.14</v>
      </c>
      <c r="BP4564" s="9">
        <f t="shared" si="647"/>
        <v>86.36</v>
      </c>
    </row>
    <row r="4565" spans="1:68">
      <c r="A4565" s="6">
        <v>45415</v>
      </c>
      <c r="B4565" s="7">
        <v>3201</v>
      </c>
      <c r="C4565" s="8">
        <v>1195.24</v>
      </c>
      <c r="D4565" s="8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>
        <v>3</v>
      </c>
      <c r="P4565" s="8"/>
      <c r="Q4565" s="11"/>
      <c r="R4565" s="11"/>
      <c r="S4565" s="8">
        <v>4.67</v>
      </c>
      <c r="T4565" s="8"/>
      <c r="U4565" s="8">
        <v>17.940000000000001</v>
      </c>
      <c r="V4565" s="8"/>
      <c r="W4565" s="8"/>
      <c r="X4565" s="8"/>
      <c r="Y4565" s="8"/>
      <c r="Z4565" s="8">
        <v>251.49</v>
      </c>
      <c r="AA4565" s="8"/>
      <c r="AB4565" s="8"/>
      <c r="AC4565" s="8"/>
      <c r="AD4565" s="8"/>
      <c r="AE4565" s="8"/>
      <c r="AF4565" s="8">
        <v>60.09</v>
      </c>
      <c r="AG4565" s="8"/>
      <c r="AH4565" s="8"/>
      <c r="AI4565" s="8"/>
      <c r="AJ4565" s="8"/>
      <c r="AK4565" s="8"/>
      <c r="AL4565" s="8"/>
      <c r="AM4565" s="8"/>
      <c r="AN4565" s="8"/>
      <c r="AO4565" s="8"/>
      <c r="AP4565" s="11"/>
      <c r="AQ4565" s="8">
        <f>1521*11.95/1000</f>
        <v>18.17595</v>
      </c>
      <c r="AR4565" s="8"/>
      <c r="AS4565" s="8"/>
      <c r="AT4565" s="8">
        <v>821.11</v>
      </c>
      <c r="AU4565" s="8"/>
      <c r="AV4565" s="8"/>
      <c r="AW4565" s="8"/>
      <c r="AX4565" s="8"/>
      <c r="AY4565" s="8"/>
      <c r="AZ4565" s="8"/>
      <c r="BA4565" s="8"/>
      <c r="BB4565" s="8"/>
      <c r="BC4565" s="8">
        <v>3.11</v>
      </c>
      <c r="BD4565" s="8"/>
      <c r="BE4565" s="8"/>
      <c r="BF4565" s="8">
        <v>57.46</v>
      </c>
      <c r="BG4565" s="8">
        <v>58.99</v>
      </c>
      <c r="BH4565" s="9">
        <f t="shared" si="639"/>
        <v>1195.24</v>
      </c>
      <c r="BI4565" s="9">
        <f t="shared" si="640"/>
        <v>3</v>
      </c>
      <c r="BJ4565" s="9">
        <f t="shared" si="641"/>
        <v>4.67</v>
      </c>
      <c r="BK4565" s="9">
        <f t="shared" si="642"/>
        <v>17.940000000000001</v>
      </c>
      <c r="BL4565" s="9">
        <f t="shared" si="643"/>
        <v>251.49</v>
      </c>
      <c r="BM4565" s="9">
        <f t="shared" si="644"/>
        <v>78.265950000000004</v>
      </c>
      <c r="BN4565" s="9">
        <f t="shared" si="645"/>
        <v>821.11</v>
      </c>
      <c r="BO4565" s="9">
        <f t="shared" si="646"/>
        <v>3.11</v>
      </c>
      <c r="BP4565" s="9">
        <f t="shared" si="647"/>
        <v>57.46</v>
      </c>
    </row>
    <row r="4566" spans="1:68">
      <c r="A4566" s="6">
        <v>45415</v>
      </c>
      <c r="B4566" s="7">
        <v>3145</v>
      </c>
      <c r="C4566" s="8">
        <v>1242.58</v>
      </c>
      <c r="D4566" s="8">
        <v>219.24</v>
      </c>
      <c r="E4566" s="8"/>
      <c r="F4566" s="8"/>
      <c r="G4566" s="8"/>
      <c r="H4566" s="8"/>
      <c r="I4566" s="8"/>
      <c r="J4566" s="8"/>
      <c r="K4566" s="8"/>
      <c r="L4566" s="8"/>
      <c r="M4566" s="8">
        <v>4.2300000000000004</v>
      </c>
      <c r="N4566" s="8"/>
      <c r="O4566" s="8"/>
      <c r="P4566" s="8"/>
      <c r="Q4566" s="11"/>
      <c r="R4566" s="11"/>
      <c r="S4566" s="8">
        <v>6.88</v>
      </c>
      <c r="T4566" s="8"/>
      <c r="U4566" s="8">
        <v>21.94</v>
      </c>
      <c r="V4566" s="8"/>
      <c r="W4566" s="8"/>
      <c r="X4566" s="8"/>
      <c r="Y4566" s="8"/>
      <c r="Z4566" s="8"/>
      <c r="AA4566" s="8"/>
      <c r="AB4566" s="8"/>
      <c r="AC4566" s="8">
        <v>5.86</v>
      </c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11"/>
      <c r="AQ4566" s="8"/>
      <c r="AR4566" s="8"/>
      <c r="AS4566" s="8"/>
      <c r="AT4566" s="8">
        <v>970.37</v>
      </c>
      <c r="AU4566" s="8"/>
      <c r="AV4566" s="8"/>
      <c r="AW4566" s="8"/>
      <c r="AX4566" s="8"/>
      <c r="AY4566" s="8"/>
      <c r="AZ4566" s="8"/>
      <c r="BA4566" s="8"/>
      <c r="BB4566" s="8"/>
      <c r="BC4566" s="8"/>
      <c r="BD4566" s="8">
        <v>3.66</v>
      </c>
      <c r="BE4566" s="8">
        <f>1373*9.75/1000</f>
        <v>13.386749999999999</v>
      </c>
      <c r="BF4566" s="8">
        <v>102.35</v>
      </c>
      <c r="BG4566" s="8">
        <v>76.25</v>
      </c>
      <c r="BH4566" s="9">
        <f t="shared" si="639"/>
        <v>1461.82</v>
      </c>
      <c r="BI4566" s="9">
        <f t="shared" si="640"/>
        <v>4.2300000000000004</v>
      </c>
      <c r="BJ4566" s="9">
        <f t="shared" si="641"/>
        <v>6.88</v>
      </c>
      <c r="BK4566" s="9">
        <f t="shared" si="642"/>
        <v>21.94</v>
      </c>
      <c r="BL4566" s="9">
        <f t="shared" si="643"/>
        <v>0</v>
      </c>
      <c r="BM4566" s="9">
        <f t="shared" si="644"/>
        <v>5.86</v>
      </c>
      <c r="BN4566" s="9">
        <f t="shared" si="645"/>
        <v>970.37</v>
      </c>
      <c r="BO4566" s="9">
        <f t="shared" si="646"/>
        <v>17.046749999999999</v>
      </c>
      <c r="BP4566" s="9">
        <f t="shared" si="647"/>
        <v>102.35</v>
      </c>
    </row>
    <row r="4567" spans="1:68">
      <c r="A4567" s="6">
        <v>45415</v>
      </c>
      <c r="B4567" s="7">
        <v>3108</v>
      </c>
      <c r="C4567" s="8">
        <v>2209.5300000000002</v>
      </c>
      <c r="D4567" s="8"/>
      <c r="E4567" s="8"/>
      <c r="F4567" s="8"/>
      <c r="G4567" s="8"/>
      <c r="H4567" s="8"/>
      <c r="I4567" s="8"/>
      <c r="J4567" s="8"/>
      <c r="K4567" s="8"/>
      <c r="L4567" s="8"/>
      <c r="M4567" s="8">
        <v>4.8899999999999997</v>
      </c>
      <c r="N4567" s="8"/>
      <c r="O4567" s="8"/>
      <c r="P4567" s="8"/>
      <c r="Q4567" s="11"/>
      <c r="R4567" s="11"/>
      <c r="S4567" s="8">
        <v>7.09</v>
      </c>
      <c r="T4567" s="8"/>
      <c r="U4567" s="8">
        <v>28.14</v>
      </c>
      <c r="V4567" s="8"/>
      <c r="W4567" s="8"/>
      <c r="X4567" s="8"/>
      <c r="Y4567" s="8"/>
      <c r="Z4567" s="8"/>
      <c r="AA4567" s="8"/>
      <c r="AB4567" s="8"/>
      <c r="AC4567" s="8">
        <v>8.85</v>
      </c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11"/>
      <c r="AQ4567" s="8"/>
      <c r="AR4567" s="8"/>
      <c r="AS4567" s="8"/>
      <c r="AT4567" s="8">
        <v>1204.06</v>
      </c>
      <c r="AU4567" s="8"/>
      <c r="AV4567" s="8"/>
      <c r="AW4567" s="8"/>
      <c r="AX4567" s="8"/>
      <c r="AY4567" s="8"/>
      <c r="AZ4567" s="8"/>
      <c r="BA4567" s="8">
        <v>82.4</v>
      </c>
      <c r="BB4567" s="8"/>
      <c r="BC4567" s="8"/>
      <c r="BD4567" s="8"/>
      <c r="BE4567" s="8"/>
      <c r="BF4567" s="8"/>
      <c r="BG4567" s="8">
        <v>89.55</v>
      </c>
      <c r="BH4567" s="9">
        <f t="shared" si="639"/>
        <v>2209.5300000000002</v>
      </c>
      <c r="BI4567" s="9">
        <f t="shared" si="640"/>
        <v>4.8899999999999997</v>
      </c>
      <c r="BJ4567" s="9">
        <f t="shared" si="641"/>
        <v>7.09</v>
      </c>
      <c r="BK4567" s="9">
        <f t="shared" si="642"/>
        <v>28.14</v>
      </c>
      <c r="BL4567" s="9">
        <f t="shared" si="643"/>
        <v>0</v>
      </c>
      <c r="BM4567" s="9">
        <f t="shared" si="644"/>
        <v>8.85</v>
      </c>
      <c r="BN4567" s="9">
        <f t="shared" si="645"/>
        <v>1204.06</v>
      </c>
      <c r="BO4567" s="9">
        <f t="shared" si="646"/>
        <v>82.4</v>
      </c>
      <c r="BP4567" s="9">
        <f t="shared" si="647"/>
        <v>0</v>
      </c>
    </row>
    <row r="4568" spans="1:68">
      <c r="A4568" s="6">
        <v>45415</v>
      </c>
      <c r="B4568" s="7">
        <v>3106</v>
      </c>
      <c r="C4568" s="8">
        <v>14234.41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31.23</v>
      </c>
      <c r="N4568" s="8">
        <v>0</v>
      </c>
      <c r="O4568" s="8">
        <v>0</v>
      </c>
      <c r="P4568" s="8">
        <v>0</v>
      </c>
      <c r="Q4568" s="11">
        <v>0</v>
      </c>
      <c r="R4568" s="11">
        <v>0</v>
      </c>
      <c r="S4568" s="8">
        <v>42.589999999999996</v>
      </c>
      <c r="T4568" s="8">
        <v>0</v>
      </c>
      <c r="U4568" s="8">
        <v>180.99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35.58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11">
        <v>0</v>
      </c>
      <c r="AQ4568" s="8">
        <v>0</v>
      </c>
      <c r="AR4568" s="8">
        <v>0</v>
      </c>
      <c r="AS4568" s="8">
        <v>0</v>
      </c>
      <c r="AT4568" s="8">
        <v>8110.55</v>
      </c>
      <c r="AU4568" s="8">
        <v>0</v>
      </c>
      <c r="AV4568" s="8">
        <v>0</v>
      </c>
      <c r="AW4568" s="8">
        <v>0</v>
      </c>
      <c r="AX4568" s="8">
        <v>17.8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612.43000000000006</v>
      </c>
      <c r="BH4568" s="9">
        <f t="shared" si="639"/>
        <v>14234.41</v>
      </c>
      <c r="BI4568" s="9">
        <f t="shared" si="640"/>
        <v>31.23</v>
      </c>
      <c r="BJ4568" s="9">
        <f t="shared" si="641"/>
        <v>42.589999999999996</v>
      </c>
      <c r="BK4568" s="9">
        <f t="shared" si="642"/>
        <v>180.99</v>
      </c>
      <c r="BL4568" s="9">
        <f t="shared" si="643"/>
        <v>0</v>
      </c>
      <c r="BM4568" s="9">
        <f t="shared" si="644"/>
        <v>35.58</v>
      </c>
      <c r="BN4568" s="9">
        <f t="shared" si="645"/>
        <v>8110.55</v>
      </c>
      <c r="BO4568" s="9">
        <f t="shared" si="646"/>
        <v>17.8</v>
      </c>
      <c r="BP4568" s="9">
        <f t="shared" si="647"/>
        <v>0</v>
      </c>
    </row>
    <row r="4569" spans="1:68">
      <c r="A4569" s="6">
        <v>45415</v>
      </c>
      <c r="B4569" s="7">
        <v>3200</v>
      </c>
      <c r="C4569" s="8">
        <v>2242.86</v>
      </c>
      <c r="D4569" s="8"/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>
        <v>5.61</v>
      </c>
      <c r="P4569" s="8"/>
      <c r="Q4569" s="11"/>
      <c r="R4569" s="11"/>
      <c r="S4569" s="8">
        <v>8.75</v>
      </c>
      <c r="T4569" s="8"/>
      <c r="U4569" s="8">
        <v>33.65</v>
      </c>
      <c r="V4569" s="8"/>
      <c r="W4569" s="8"/>
      <c r="X4569" s="8"/>
      <c r="Y4569" s="8"/>
      <c r="Z4569" s="8">
        <v>471.63</v>
      </c>
      <c r="AA4569" s="8"/>
      <c r="AB4569" s="8"/>
      <c r="AC4569" s="8"/>
      <c r="AD4569" s="8"/>
      <c r="AE4569" s="8"/>
      <c r="AF4569" s="8">
        <v>111.94</v>
      </c>
      <c r="AG4569" s="8"/>
      <c r="AH4569" s="8"/>
      <c r="AI4569" s="8"/>
      <c r="AJ4569" s="8"/>
      <c r="AK4569" s="8"/>
      <c r="AL4569" s="8"/>
      <c r="AM4569" s="8"/>
      <c r="AN4569" s="8"/>
      <c r="AO4569" s="8"/>
      <c r="AP4569" s="11"/>
      <c r="AQ4569" s="8">
        <f>1521*22.43/1000</f>
        <v>34.116030000000002</v>
      </c>
      <c r="AR4569" s="8"/>
      <c r="AS4569" s="8"/>
      <c r="AT4569" s="8">
        <v>1537</v>
      </c>
      <c r="AU4569" s="8"/>
      <c r="AV4569" s="8"/>
      <c r="AW4569" s="8">
        <v>6.48</v>
      </c>
      <c r="AX4569" s="8"/>
      <c r="AY4569" s="8"/>
      <c r="AZ4569" s="8"/>
      <c r="BA4569" s="8"/>
      <c r="BB4569" s="8"/>
      <c r="BC4569" s="8"/>
      <c r="BD4569" s="8"/>
      <c r="BE4569" s="8"/>
      <c r="BF4569" s="8">
        <v>107.77</v>
      </c>
      <c r="BG4569" s="8">
        <v>110.95</v>
      </c>
      <c r="BH4569" s="9">
        <f t="shared" si="639"/>
        <v>2242.86</v>
      </c>
      <c r="BI4569" s="9">
        <f t="shared" si="640"/>
        <v>5.61</v>
      </c>
      <c r="BJ4569" s="9">
        <f t="shared" si="641"/>
        <v>8.75</v>
      </c>
      <c r="BK4569" s="9">
        <f t="shared" si="642"/>
        <v>33.65</v>
      </c>
      <c r="BL4569" s="9">
        <f t="shared" si="643"/>
        <v>471.63</v>
      </c>
      <c r="BM4569" s="9">
        <f t="shared" si="644"/>
        <v>146.05602999999999</v>
      </c>
      <c r="BN4569" s="9">
        <f t="shared" si="645"/>
        <v>1537</v>
      </c>
      <c r="BO4569" s="9">
        <f t="shared" si="646"/>
        <v>6.48</v>
      </c>
      <c r="BP4569" s="9">
        <f t="shared" si="647"/>
        <v>107.77</v>
      </c>
    </row>
    <row r="4570" spans="1:68">
      <c r="A4570" s="6">
        <v>45418</v>
      </c>
      <c r="B4570" s="7">
        <v>3200</v>
      </c>
      <c r="C4570" s="8">
        <v>2377.86</v>
      </c>
      <c r="D4570" s="8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>
        <v>5.96</v>
      </c>
      <c r="P4570" s="8"/>
      <c r="Q4570" s="11"/>
      <c r="R4570" s="11"/>
      <c r="S4570" s="8">
        <v>9.2799999999999994</v>
      </c>
      <c r="T4570" s="8"/>
      <c r="U4570" s="8">
        <v>35.72</v>
      </c>
      <c r="V4570" s="8"/>
      <c r="W4570" s="8"/>
      <c r="X4570" s="8"/>
      <c r="Y4570" s="8"/>
      <c r="Z4570" s="8">
        <v>500.74</v>
      </c>
      <c r="AA4570" s="8"/>
      <c r="AB4570" s="8"/>
      <c r="AC4570" s="8"/>
      <c r="AD4570" s="8"/>
      <c r="AE4570" s="8"/>
      <c r="AF4570" s="8">
        <v>119.14</v>
      </c>
      <c r="AG4570" s="8"/>
      <c r="AH4570" s="8"/>
      <c r="AI4570" s="8"/>
      <c r="AJ4570" s="8"/>
      <c r="AK4570" s="8"/>
      <c r="AL4570" s="8"/>
      <c r="AM4570" s="8"/>
      <c r="AN4570" s="8"/>
      <c r="AO4570" s="8"/>
      <c r="AP4570" s="11"/>
      <c r="AQ4570" s="8">
        <f>1507*23.82/1000</f>
        <v>35.896740000000001</v>
      </c>
      <c r="AR4570" s="8"/>
      <c r="AS4570" s="8"/>
      <c r="AT4570" s="8">
        <v>1629.89</v>
      </c>
      <c r="AU4570" s="8"/>
      <c r="AV4570" s="8"/>
      <c r="AW4570" s="8">
        <v>7</v>
      </c>
      <c r="AX4570" s="8"/>
      <c r="AY4570" s="8"/>
      <c r="AZ4570" s="8"/>
      <c r="BA4570" s="8"/>
      <c r="BB4570" s="8"/>
      <c r="BC4570" s="8"/>
      <c r="BD4570" s="8"/>
      <c r="BE4570" s="8"/>
      <c r="BF4570" s="8">
        <v>114.38</v>
      </c>
      <c r="BG4570" s="8">
        <v>118.11</v>
      </c>
      <c r="BH4570" s="9">
        <f t="shared" si="639"/>
        <v>2377.86</v>
      </c>
      <c r="BI4570" s="9">
        <f t="shared" si="640"/>
        <v>5.96</v>
      </c>
      <c r="BJ4570" s="9">
        <f t="shared" si="641"/>
        <v>9.2799999999999994</v>
      </c>
      <c r="BK4570" s="9">
        <f t="shared" si="642"/>
        <v>35.72</v>
      </c>
      <c r="BL4570" s="9">
        <f t="shared" si="643"/>
        <v>500.74</v>
      </c>
      <c r="BM4570" s="9">
        <f t="shared" si="644"/>
        <v>155.03674000000001</v>
      </c>
      <c r="BN4570" s="9">
        <f t="shared" si="645"/>
        <v>1629.89</v>
      </c>
      <c r="BO4570" s="9">
        <f t="shared" si="646"/>
        <v>7</v>
      </c>
      <c r="BP4570" s="9">
        <f t="shared" si="647"/>
        <v>114.38</v>
      </c>
    </row>
    <row r="4571" spans="1:68">
      <c r="A4571" s="6">
        <v>45418</v>
      </c>
      <c r="B4571" s="7">
        <v>3020</v>
      </c>
      <c r="C4571" s="8"/>
      <c r="D4571" s="8">
        <v>325.25</v>
      </c>
      <c r="E4571" s="8"/>
      <c r="F4571" s="8"/>
      <c r="G4571" s="8"/>
      <c r="H4571" s="8"/>
      <c r="I4571" s="8">
        <v>1864.02</v>
      </c>
      <c r="J4571" s="8"/>
      <c r="K4571" s="8"/>
      <c r="L4571" s="8"/>
      <c r="M4571" s="8"/>
      <c r="N4571" s="8">
        <v>13.4</v>
      </c>
      <c r="O4571" s="8"/>
      <c r="P4571" s="8"/>
      <c r="Q4571" s="11"/>
      <c r="R4571" s="11"/>
      <c r="S4571" s="8">
        <v>3.95</v>
      </c>
      <c r="T4571" s="8"/>
      <c r="U4571" s="8"/>
      <c r="V4571" s="8"/>
      <c r="W4571" s="8">
        <v>21.94</v>
      </c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>
        <v>21.71</v>
      </c>
      <c r="AN4571" s="8"/>
      <c r="AO4571" s="8"/>
      <c r="AP4571" s="11"/>
      <c r="AQ4571" s="8"/>
      <c r="AR4571" s="8"/>
      <c r="AS4571" s="8">
        <f>3003*18.27/1000</f>
        <v>54.864809999999999</v>
      </c>
      <c r="AT4571" s="8">
        <v>1077.18</v>
      </c>
      <c r="AU4571" s="8"/>
      <c r="AV4571" s="8"/>
      <c r="AW4571" s="8"/>
      <c r="AX4571" s="8"/>
      <c r="AY4571" s="8"/>
      <c r="AZ4571" s="8"/>
      <c r="BA4571" s="8"/>
      <c r="BB4571" s="8"/>
      <c r="BC4571" s="8"/>
      <c r="BD4571" s="8"/>
      <c r="BE4571" s="8"/>
      <c r="BF4571" s="8"/>
      <c r="BG4571" s="8">
        <v>78.83</v>
      </c>
      <c r="BH4571" s="9">
        <f t="shared" si="639"/>
        <v>2189.27</v>
      </c>
      <c r="BI4571" s="9">
        <f t="shared" si="640"/>
        <v>13.4</v>
      </c>
      <c r="BJ4571" s="9">
        <f t="shared" si="641"/>
        <v>3.95</v>
      </c>
      <c r="BK4571" s="9">
        <f t="shared" si="642"/>
        <v>21.94</v>
      </c>
      <c r="BL4571" s="9">
        <f t="shared" si="643"/>
        <v>0</v>
      </c>
      <c r="BM4571" s="9">
        <f t="shared" si="644"/>
        <v>76.574809999999999</v>
      </c>
      <c r="BN4571" s="9">
        <f t="shared" si="645"/>
        <v>1077.18</v>
      </c>
      <c r="BO4571" s="9">
        <f t="shared" si="646"/>
        <v>0</v>
      </c>
      <c r="BP4571" s="9">
        <f t="shared" si="647"/>
        <v>0</v>
      </c>
    </row>
    <row r="4572" spans="1:68">
      <c r="A4572" s="6">
        <v>45418</v>
      </c>
      <c r="B4572" s="7">
        <v>3023</v>
      </c>
      <c r="C4572" s="8"/>
      <c r="D4572" s="8">
        <v>888.76</v>
      </c>
      <c r="E4572" s="8"/>
      <c r="F4572" s="8"/>
      <c r="G4572" s="8"/>
      <c r="H4572" s="8"/>
      <c r="I4572" s="8">
        <v>481.83</v>
      </c>
      <c r="J4572" s="8"/>
      <c r="K4572" s="8"/>
      <c r="L4572" s="8"/>
      <c r="M4572" s="8"/>
      <c r="N4572" s="8">
        <v>7.83</v>
      </c>
      <c r="O4572" s="8"/>
      <c r="P4572" s="8"/>
      <c r="Q4572" s="11"/>
      <c r="R4572" s="11"/>
      <c r="S4572" s="8">
        <v>2.2000000000000002</v>
      </c>
      <c r="T4572" s="8"/>
      <c r="U4572" s="8"/>
      <c r="V4572" s="8"/>
      <c r="W4572" s="8">
        <v>12.36</v>
      </c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>
        <v>13.67</v>
      </c>
      <c r="AN4572" s="8">
        <f>1040*9.47/1000</f>
        <v>9.8488000000000007</v>
      </c>
      <c r="AO4572" s="8"/>
      <c r="AP4572" s="11"/>
      <c r="AQ4572" s="8"/>
      <c r="AR4572" s="8"/>
      <c r="AS4572" s="8">
        <f>4822*9.47/1000</f>
        <v>45.664340000000003</v>
      </c>
      <c r="AT4572" s="8">
        <v>563.33000000000004</v>
      </c>
      <c r="AU4572" s="8"/>
      <c r="AV4572" s="8"/>
      <c r="AW4572" s="8"/>
      <c r="AX4572" s="8"/>
      <c r="AY4572" s="8"/>
      <c r="AZ4572" s="8"/>
      <c r="BA4572" s="8"/>
      <c r="BB4572" s="8"/>
      <c r="BC4572" s="8"/>
      <c r="BD4572" s="8"/>
      <c r="BE4572" s="8"/>
      <c r="BF4572" s="8"/>
      <c r="BG4572" s="8">
        <v>42.52</v>
      </c>
      <c r="BH4572" s="9">
        <f t="shared" si="639"/>
        <v>1370.59</v>
      </c>
      <c r="BI4572" s="9">
        <f t="shared" si="640"/>
        <v>7.83</v>
      </c>
      <c r="BJ4572" s="9">
        <f t="shared" si="641"/>
        <v>2.2000000000000002</v>
      </c>
      <c r="BK4572" s="9">
        <f t="shared" si="642"/>
        <v>12.36</v>
      </c>
      <c r="BL4572" s="9">
        <f t="shared" si="643"/>
        <v>0</v>
      </c>
      <c r="BM4572" s="9">
        <f t="shared" si="644"/>
        <v>69.183140000000009</v>
      </c>
      <c r="BN4572" s="9">
        <f t="shared" si="645"/>
        <v>563.33000000000004</v>
      </c>
      <c r="BO4572" s="9">
        <f t="shared" si="646"/>
        <v>0</v>
      </c>
      <c r="BP4572" s="9">
        <f t="shared" si="647"/>
        <v>0</v>
      </c>
    </row>
    <row r="4573" spans="1:68">
      <c r="A4573" s="6">
        <v>45418</v>
      </c>
      <c r="B4573" s="7">
        <v>3081</v>
      </c>
      <c r="C4573" s="8"/>
      <c r="D4573" s="8">
        <v>296.27999999999997</v>
      </c>
      <c r="E4573" s="8"/>
      <c r="F4573" s="8">
        <v>332.98</v>
      </c>
      <c r="G4573" s="8"/>
      <c r="H4573" s="8"/>
      <c r="I4573" s="8">
        <v>1215.4100000000001</v>
      </c>
      <c r="J4573" s="8"/>
      <c r="K4573" s="8"/>
      <c r="L4573" s="8"/>
      <c r="M4573" s="8"/>
      <c r="N4573" s="8">
        <v>13.52</v>
      </c>
      <c r="O4573" s="8"/>
      <c r="P4573" s="8">
        <f>628*11.95/1000</f>
        <v>7.504599999999999</v>
      </c>
      <c r="Q4573" s="11"/>
      <c r="R4573" s="11"/>
      <c r="S4573" s="8">
        <v>1.3</v>
      </c>
      <c r="T4573" s="8"/>
      <c r="U4573" s="8"/>
      <c r="V4573" s="8"/>
      <c r="W4573" s="8">
        <v>18.53</v>
      </c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11"/>
      <c r="AQ4573" s="8">
        <f>1557*11.95/1000</f>
        <v>18.60615</v>
      </c>
      <c r="AR4573" s="8">
        <f>5428*11.95/1000</f>
        <v>64.864599999999996</v>
      </c>
      <c r="AS4573" s="8"/>
      <c r="AT4573" s="8">
        <v>579.26</v>
      </c>
      <c r="AU4573" s="8"/>
      <c r="AV4573" s="8"/>
      <c r="AW4573" s="8"/>
      <c r="AX4573" s="8"/>
      <c r="AY4573" s="8"/>
      <c r="AZ4573" s="8"/>
      <c r="BA4573" s="8"/>
      <c r="BB4573" s="8"/>
      <c r="BC4573" s="8"/>
      <c r="BD4573" s="8"/>
      <c r="BE4573" s="8"/>
      <c r="BF4573" s="8"/>
      <c r="BG4573" s="8">
        <v>38.130000000000003</v>
      </c>
      <c r="BH4573" s="9">
        <f t="shared" si="639"/>
        <v>1844.67</v>
      </c>
      <c r="BI4573" s="9">
        <f t="shared" si="640"/>
        <v>21.0246</v>
      </c>
      <c r="BJ4573" s="9">
        <f t="shared" si="641"/>
        <v>1.3</v>
      </c>
      <c r="BK4573" s="9">
        <f t="shared" si="642"/>
        <v>18.53</v>
      </c>
      <c r="BL4573" s="9">
        <f t="shared" si="643"/>
        <v>0</v>
      </c>
      <c r="BM4573" s="9">
        <f t="shared" si="644"/>
        <v>83.470749999999995</v>
      </c>
      <c r="BN4573" s="9">
        <f t="shared" si="645"/>
        <v>579.26</v>
      </c>
      <c r="BO4573" s="9">
        <f t="shared" si="646"/>
        <v>0</v>
      </c>
      <c r="BP4573" s="9">
        <f t="shared" si="647"/>
        <v>0</v>
      </c>
    </row>
    <row r="4574" spans="1:68">
      <c r="A4574" s="6">
        <v>45418</v>
      </c>
      <c r="B4574" s="7">
        <v>3139</v>
      </c>
      <c r="C4574" s="8">
        <v>1083.71</v>
      </c>
      <c r="D4574" s="8"/>
      <c r="E4574" s="8"/>
      <c r="F4574" s="8"/>
      <c r="G4574" s="8"/>
      <c r="H4574" s="8">
        <v>450.27</v>
      </c>
      <c r="I4574" s="8"/>
      <c r="J4574" s="8"/>
      <c r="K4574" s="8"/>
      <c r="L4574" s="8"/>
      <c r="M4574" s="8">
        <v>2.52</v>
      </c>
      <c r="N4574" s="8"/>
      <c r="O4574" s="8"/>
      <c r="P4574" s="8"/>
      <c r="Q4574" s="11"/>
      <c r="R4574" s="11"/>
      <c r="S4574" s="8">
        <v>4.8</v>
      </c>
      <c r="T4574" s="8"/>
      <c r="U4574" s="8">
        <v>16</v>
      </c>
      <c r="V4574" s="8"/>
      <c r="W4574" s="8"/>
      <c r="X4574" s="8"/>
      <c r="Y4574" s="8"/>
      <c r="Z4574" s="8"/>
      <c r="AA4574" s="8"/>
      <c r="AB4574" s="8"/>
      <c r="AC4574" s="8">
        <v>5.34</v>
      </c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11"/>
      <c r="AQ4574" s="8"/>
      <c r="AR4574" s="8"/>
      <c r="AS4574" s="8"/>
      <c r="AT4574" s="8">
        <v>789.61</v>
      </c>
      <c r="AU4574" s="8"/>
      <c r="AV4574" s="8">
        <v>26.75</v>
      </c>
      <c r="AW4574" s="8"/>
      <c r="AX4574" s="8"/>
      <c r="AY4574" s="8"/>
      <c r="AZ4574" s="8"/>
      <c r="BA4574" s="8"/>
      <c r="BB4574" s="8"/>
      <c r="BC4574" s="8"/>
      <c r="BD4574" s="8"/>
      <c r="BE4574" s="8"/>
      <c r="BF4574" s="8"/>
      <c r="BG4574" s="8">
        <v>57.35</v>
      </c>
      <c r="BH4574" s="9">
        <f t="shared" si="639"/>
        <v>1533.98</v>
      </c>
      <c r="BI4574" s="9">
        <f t="shared" si="640"/>
        <v>2.52</v>
      </c>
      <c r="BJ4574" s="9">
        <f t="shared" si="641"/>
        <v>4.8</v>
      </c>
      <c r="BK4574" s="9">
        <f t="shared" si="642"/>
        <v>16</v>
      </c>
      <c r="BL4574" s="9">
        <f t="shared" si="643"/>
        <v>0</v>
      </c>
      <c r="BM4574" s="9">
        <f t="shared" si="644"/>
        <v>5.34</v>
      </c>
      <c r="BN4574" s="9">
        <f t="shared" si="645"/>
        <v>789.61</v>
      </c>
      <c r="BO4574" s="9">
        <f t="shared" si="646"/>
        <v>26.75</v>
      </c>
      <c r="BP4574" s="9">
        <f t="shared" si="647"/>
        <v>0</v>
      </c>
    </row>
    <row r="4575" spans="1:68">
      <c r="A4575" s="6">
        <v>45418</v>
      </c>
      <c r="B4575" s="7">
        <v>3204</v>
      </c>
      <c r="C4575" s="8"/>
      <c r="D4575" s="8">
        <v>1748.38</v>
      </c>
      <c r="E4575" s="8">
        <v>749.43</v>
      </c>
      <c r="F4575" s="8"/>
      <c r="G4575" s="8"/>
      <c r="H4575" s="8"/>
      <c r="I4575" s="8"/>
      <c r="J4575" s="8"/>
      <c r="K4575" s="8"/>
      <c r="L4575" s="8"/>
      <c r="M4575" s="8"/>
      <c r="N4575" s="8"/>
      <c r="O4575" s="8">
        <v>11.99</v>
      </c>
      <c r="P4575" s="8"/>
      <c r="Q4575" s="11"/>
      <c r="R4575" s="11"/>
      <c r="S4575" s="8">
        <v>8.49</v>
      </c>
      <c r="T4575" s="8"/>
      <c r="U4575" s="8">
        <v>27.52</v>
      </c>
      <c r="V4575" s="8"/>
      <c r="W4575" s="8"/>
      <c r="X4575" s="8"/>
      <c r="Y4575" s="8"/>
      <c r="Z4575" s="8">
        <v>375.21</v>
      </c>
      <c r="AA4575" s="8"/>
      <c r="AB4575" s="8">
        <f>718*17.85/1000</f>
        <v>12.816300000000002</v>
      </c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11"/>
      <c r="AQ4575" s="8"/>
      <c r="AR4575" s="8"/>
      <c r="AS4575" s="8"/>
      <c r="AT4575" s="8">
        <v>1103.44</v>
      </c>
      <c r="AU4575" s="8"/>
      <c r="AV4575" s="8"/>
      <c r="AW4575" s="8">
        <v>7.97</v>
      </c>
      <c r="AX4575" s="8"/>
      <c r="AY4575" s="8"/>
      <c r="AZ4575" s="8"/>
      <c r="BA4575" s="8"/>
      <c r="BB4575" s="8"/>
      <c r="BC4575" s="8"/>
      <c r="BD4575" s="8"/>
      <c r="BE4575" s="8"/>
      <c r="BF4575" s="8"/>
      <c r="BG4575" s="8">
        <v>81.28</v>
      </c>
      <c r="BH4575" s="9">
        <f t="shared" si="639"/>
        <v>2497.81</v>
      </c>
      <c r="BI4575" s="9">
        <f t="shared" si="640"/>
        <v>11.99</v>
      </c>
      <c r="BJ4575" s="9">
        <f t="shared" si="641"/>
        <v>8.49</v>
      </c>
      <c r="BK4575" s="9">
        <f t="shared" si="642"/>
        <v>27.52</v>
      </c>
      <c r="BL4575" s="9">
        <f t="shared" si="643"/>
        <v>375.21</v>
      </c>
      <c r="BM4575" s="9">
        <f t="shared" si="644"/>
        <v>12.816300000000002</v>
      </c>
      <c r="BN4575" s="9">
        <f t="shared" si="645"/>
        <v>1103.44</v>
      </c>
      <c r="BO4575" s="9">
        <f t="shared" si="646"/>
        <v>7.97</v>
      </c>
      <c r="BP4575" s="9">
        <f t="shared" si="647"/>
        <v>0</v>
      </c>
    </row>
    <row r="4576" spans="1:68">
      <c r="A4576" s="6">
        <v>45418</v>
      </c>
      <c r="B4576" s="7">
        <v>3139</v>
      </c>
      <c r="C4576" s="8">
        <v>927.84</v>
      </c>
      <c r="D4576" s="8"/>
      <c r="E4576" s="8"/>
      <c r="F4576" s="8"/>
      <c r="G4576" s="8"/>
      <c r="H4576" s="8">
        <v>384.9</v>
      </c>
      <c r="I4576" s="8"/>
      <c r="J4576" s="8"/>
      <c r="K4576" s="8"/>
      <c r="L4576" s="8"/>
      <c r="M4576" s="8">
        <v>2.17</v>
      </c>
      <c r="N4576" s="8"/>
      <c r="O4576" s="8"/>
      <c r="P4576" s="8"/>
      <c r="Q4576" s="11"/>
      <c r="R4576" s="11"/>
      <c r="S4576" s="8">
        <v>4.1100000000000003</v>
      </c>
      <c r="T4576" s="8"/>
      <c r="U4576" s="8">
        <v>13.7</v>
      </c>
      <c r="V4576" s="8"/>
      <c r="W4576" s="8"/>
      <c r="X4576" s="8"/>
      <c r="Y4576" s="8"/>
      <c r="Z4576" s="8"/>
      <c r="AA4576" s="8"/>
      <c r="AB4576" s="8"/>
      <c r="AC4576" s="8">
        <v>4.57</v>
      </c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11"/>
      <c r="AQ4576" s="8"/>
      <c r="AR4576" s="8"/>
      <c r="AS4576" s="8"/>
      <c r="AT4576" s="8">
        <v>675.88</v>
      </c>
      <c r="AU4576" s="8"/>
      <c r="AV4576" s="8">
        <v>22.91</v>
      </c>
      <c r="AW4576" s="8"/>
      <c r="AX4576" s="8"/>
      <c r="AY4576" s="8"/>
      <c r="AZ4576" s="8"/>
      <c r="BA4576" s="8"/>
      <c r="BB4576" s="8"/>
      <c r="BC4576" s="8"/>
      <c r="BD4576" s="8"/>
      <c r="BE4576" s="8"/>
      <c r="BF4576" s="8"/>
      <c r="BG4576" s="8">
        <v>49.11</v>
      </c>
      <c r="BH4576" s="9">
        <f t="shared" si="639"/>
        <v>1312.74</v>
      </c>
      <c r="BI4576" s="9">
        <f t="shared" si="640"/>
        <v>2.17</v>
      </c>
      <c r="BJ4576" s="9">
        <f t="shared" si="641"/>
        <v>4.1100000000000003</v>
      </c>
      <c r="BK4576" s="9">
        <f t="shared" si="642"/>
        <v>13.7</v>
      </c>
      <c r="BL4576" s="9">
        <f t="shared" si="643"/>
        <v>0</v>
      </c>
      <c r="BM4576" s="9">
        <f t="shared" si="644"/>
        <v>4.57</v>
      </c>
      <c r="BN4576" s="9">
        <f t="shared" si="645"/>
        <v>675.88</v>
      </c>
      <c r="BO4576" s="9">
        <f t="shared" si="646"/>
        <v>22.91</v>
      </c>
      <c r="BP4576" s="9">
        <f t="shared" si="647"/>
        <v>0</v>
      </c>
    </row>
    <row r="4577" spans="1:68">
      <c r="A4577" s="6">
        <v>45419</v>
      </c>
      <c r="B4577" s="7">
        <v>3147</v>
      </c>
      <c r="C4577" s="8">
        <v>747.87</v>
      </c>
      <c r="D4577" s="8">
        <v>132.18</v>
      </c>
      <c r="E4577" s="8"/>
      <c r="F4577" s="8"/>
      <c r="G4577" s="8"/>
      <c r="H4577" s="8"/>
      <c r="I4577" s="8"/>
      <c r="J4577" s="8"/>
      <c r="K4577" s="8"/>
      <c r="L4577" s="8"/>
      <c r="M4577" s="8">
        <v>2.65</v>
      </c>
      <c r="N4577" s="8"/>
      <c r="O4577" s="8"/>
      <c r="P4577" s="8"/>
      <c r="Q4577" s="11"/>
      <c r="R4577" s="11"/>
      <c r="S4577" s="8">
        <v>4.1399999999999997</v>
      </c>
      <c r="T4577" s="8"/>
      <c r="U4577" s="8">
        <v>13.21</v>
      </c>
      <c r="V4577" s="8"/>
      <c r="W4577" s="8"/>
      <c r="X4577" s="8"/>
      <c r="Y4577" s="8"/>
      <c r="Z4577" s="8"/>
      <c r="AA4577" s="8"/>
      <c r="AB4577" s="8"/>
      <c r="AC4577" s="8">
        <v>3.52</v>
      </c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11">
        <f>651*0.011</f>
        <v>7.1609999999999996</v>
      </c>
      <c r="AQ4577" s="8"/>
      <c r="AR4577" s="8"/>
      <c r="AS4577" s="8"/>
      <c r="AT4577" s="8">
        <v>578.69000000000005</v>
      </c>
      <c r="AU4577" s="8"/>
      <c r="AV4577" s="8"/>
      <c r="AW4577" s="8"/>
      <c r="AX4577" s="8"/>
      <c r="AY4577" s="8"/>
      <c r="AZ4577" s="8"/>
      <c r="BA4577" s="8"/>
      <c r="BB4577" s="8"/>
      <c r="BC4577" s="8"/>
      <c r="BD4577" s="8"/>
      <c r="BE4577" s="8"/>
      <c r="BF4577" s="8">
        <v>61.67</v>
      </c>
      <c r="BG4577" s="8">
        <v>45.86</v>
      </c>
      <c r="BH4577" s="9">
        <f t="shared" si="639"/>
        <v>880.05</v>
      </c>
      <c r="BI4577" s="9">
        <f t="shared" si="640"/>
        <v>2.65</v>
      </c>
      <c r="BJ4577" s="9">
        <f t="shared" si="641"/>
        <v>4.1399999999999997</v>
      </c>
      <c r="BK4577" s="9">
        <f t="shared" si="642"/>
        <v>13.21</v>
      </c>
      <c r="BL4577" s="9">
        <f t="shared" si="643"/>
        <v>0</v>
      </c>
      <c r="BM4577" s="9">
        <f t="shared" si="644"/>
        <v>10.680999999999999</v>
      </c>
      <c r="BN4577" s="9">
        <f t="shared" si="645"/>
        <v>578.69000000000005</v>
      </c>
      <c r="BO4577" s="9">
        <f t="shared" si="646"/>
        <v>0</v>
      </c>
      <c r="BP4577" s="9">
        <f t="shared" si="647"/>
        <v>61.67</v>
      </c>
    </row>
    <row r="4578" spans="1:68">
      <c r="A4578" s="6">
        <v>45419</v>
      </c>
      <c r="B4578" s="7">
        <v>3602</v>
      </c>
      <c r="C4578" s="8">
        <v>555.86</v>
      </c>
      <c r="D4578" s="8"/>
      <c r="E4578" s="8"/>
      <c r="F4578" s="8"/>
      <c r="G4578" s="8">
        <v>833.4</v>
      </c>
      <c r="H4578" s="8"/>
      <c r="I4578" s="8"/>
      <c r="J4578" s="8"/>
      <c r="K4578" s="8"/>
      <c r="L4578" s="8"/>
      <c r="M4578" s="8">
        <v>1.69</v>
      </c>
      <c r="N4578" s="8"/>
      <c r="O4578" s="8"/>
      <c r="P4578" s="8"/>
      <c r="Q4578" s="11"/>
      <c r="R4578" s="11"/>
      <c r="S4578" s="8">
        <v>6.34</v>
      </c>
      <c r="T4578" s="8"/>
      <c r="U4578" s="8">
        <v>11.13</v>
      </c>
      <c r="V4578" s="8">
        <f>855*15.87/1000</f>
        <v>13.568849999999999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11"/>
      <c r="AQ4578" s="8"/>
      <c r="AR4578" s="8"/>
      <c r="AS4578" s="8"/>
      <c r="AT4578" s="8">
        <v>560.66</v>
      </c>
      <c r="AU4578" s="8"/>
      <c r="AV4578" s="8"/>
      <c r="AW4578" s="8">
        <v>35.94</v>
      </c>
      <c r="AX4578" s="8"/>
      <c r="AY4578" s="8"/>
      <c r="AZ4578" s="8"/>
      <c r="BA4578" s="8"/>
      <c r="BB4578" s="8"/>
      <c r="BC4578" s="8"/>
      <c r="BD4578" s="8"/>
      <c r="BE4578" s="8"/>
      <c r="BF4578" s="8">
        <v>44.48</v>
      </c>
      <c r="BG4578" s="8">
        <v>41.8</v>
      </c>
      <c r="BH4578" s="9">
        <f t="shared" si="639"/>
        <v>1389.26</v>
      </c>
      <c r="BI4578" s="9">
        <f t="shared" si="640"/>
        <v>1.69</v>
      </c>
      <c r="BJ4578" s="9">
        <f t="shared" si="641"/>
        <v>6.34</v>
      </c>
      <c r="BK4578" s="9">
        <f t="shared" si="642"/>
        <v>24.69885</v>
      </c>
      <c r="BL4578" s="9">
        <f t="shared" si="643"/>
        <v>0</v>
      </c>
      <c r="BM4578" s="9">
        <f t="shared" si="644"/>
        <v>0</v>
      </c>
      <c r="BN4578" s="9">
        <f t="shared" si="645"/>
        <v>560.66</v>
      </c>
      <c r="BO4578" s="9">
        <f t="shared" si="646"/>
        <v>35.94</v>
      </c>
      <c r="BP4578" s="9">
        <f t="shared" si="647"/>
        <v>44.48</v>
      </c>
    </row>
    <row r="4579" spans="1:68">
      <c r="A4579" s="6">
        <v>45419</v>
      </c>
      <c r="B4579" s="7">
        <v>3106</v>
      </c>
      <c r="C4579" s="8">
        <v>8319.98</v>
      </c>
      <c r="D4579" s="8"/>
      <c r="E4579" s="8"/>
      <c r="F4579" s="8"/>
      <c r="G4579" s="8"/>
      <c r="H4579" s="8"/>
      <c r="I4579" s="8"/>
      <c r="J4579" s="8"/>
      <c r="K4579" s="8"/>
      <c r="L4579" s="8"/>
      <c r="M4579" s="8">
        <v>20.5</v>
      </c>
      <c r="N4579" s="8"/>
      <c r="O4579" s="8"/>
      <c r="P4579" s="8"/>
      <c r="Q4579" s="11"/>
      <c r="R4579" s="11"/>
      <c r="S4579" s="8">
        <v>24.13</v>
      </c>
      <c r="T4579" s="8"/>
      <c r="U4579" s="8">
        <v>105.7</v>
      </c>
      <c r="V4579" s="8"/>
      <c r="W4579" s="8"/>
      <c r="X4579" s="8"/>
      <c r="Y4579" s="8"/>
      <c r="Z4579" s="8"/>
      <c r="AA4579" s="8"/>
      <c r="AB4579" s="8"/>
      <c r="AC4579" s="8">
        <v>20.76</v>
      </c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11"/>
      <c r="AQ4579" s="8"/>
      <c r="AR4579" s="8"/>
      <c r="AS4579" s="8"/>
      <c r="AT4579" s="8">
        <v>4738.1400000000003</v>
      </c>
      <c r="AU4579" s="8"/>
      <c r="AV4579" s="8"/>
      <c r="AW4579" s="8"/>
      <c r="AX4579" s="8">
        <v>10.4</v>
      </c>
      <c r="AY4579" s="8"/>
      <c r="AZ4579" s="8"/>
      <c r="BA4579" s="8"/>
      <c r="BB4579" s="8"/>
      <c r="BC4579" s="8"/>
      <c r="BD4579" s="8"/>
      <c r="BE4579" s="8"/>
      <c r="BF4579" s="8"/>
      <c r="BG4579" s="8">
        <v>357.15</v>
      </c>
      <c r="BH4579" s="9">
        <f t="shared" si="639"/>
        <v>8319.98</v>
      </c>
      <c r="BI4579" s="9">
        <f t="shared" si="640"/>
        <v>20.5</v>
      </c>
      <c r="BJ4579" s="9">
        <f t="shared" si="641"/>
        <v>24.13</v>
      </c>
      <c r="BK4579" s="9">
        <f t="shared" si="642"/>
        <v>105.7</v>
      </c>
      <c r="BL4579" s="9">
        <f t="shared" si="643"/>
        <v>0</v>
      </c>
      <c r="BM4579" s="9">
        <f t="shared" si="644"/>
        <v>20.76</v>
      </c>
      <c r="BN4579" s="9">
        <f t="shared" si="645"/>
        <v>4738.1400000000003</v>
      </c>
      <c r="BO4579" s="9">
        <f t="shared" si="646"/>
        <v>10.4</v>
      </c>
      <c r="BP4579" s="9">
        <f t="shared" si="647"/>
        <v>0</v>
      </c>
    </row>
    <row r="4580" spans="1:68">
      <c r="A4580" s="6">
        <v>45419</v>
      </c>
      <c r="B4580" s="7">
        <v>3016</v>
      </c>
      <c r="C4580" s="8"/>
      <c r="D4580" s="8">
        <v>1639.98</v>
      </c>
      <c r="E4580" s="8"/>
      <c r="F4580" s="8"/>
      <c r="G4580" s="8"/>
      <c r="H4580" s="8"/>
      <c r="I4580" s="8">
        <v>1513.08</v>
      </c>
      <c r="J4580" s="8"/>
      <c r="K4580" s="8"/>
      <c r="L4580" s="8"/>
      <c r="M4580" s="8"/>
      <c r="N4580" s="8">
        <v>20.22</v>
      </c>
      <c r="O4580" s="8"/>
      <c r="P4580" s="8"/>
      <c r="Q4580" s="11"/>
      <c r="R4580" s="11"/>
      <c r="S4580" s="8">
        <v>2.19</v>
      </c>
      <c r="T4580" s="8"/>
      <c r="U4580" s="8"/>
      <c r="V4580" s="8"/>
      <c r="W4580" s="8">
        <v>31.56</v>
      </c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>
        <v>12.51</v>
      </c>
      <c r="AN4580" s="8">
        <f>2048*18.55/1000</f>
        <v>37.990400000000001</v>
      </c>
      <c r="AO4580" s="8"/>
      <c r="AP4580" s="11"/>
      <c r="AQ4580" s="8"/>
      <c r="AR4580" s="8">
        <f>4326*18.55/1000</f>
        <v>80.24730000000001</v>
      </c>
      <c r="AS4580" s="8"/>
      <c r="AT4580" s="8">
        <v>1173.04</v>
      </c>
      <c r="AU4580" s="8"/>
      <c r="AV4580" s="8"/>
      <c r="AW4580" s="8"/>
      <c r="AX4580" s="8"/>
      <c r="AY4580" s="8"/>
      <c r="AZ4580" s="8"/>
      <c r="BA4580" s="8"/>
      <c r="BB4580" s="8"/>
      <c r="BC4580" s="8"/>
      <c r="BD4580" s="8"/>
      <c r="BE4580" s="8"/>
      <c r="BF4580" s="8"/>
      <c r="BG4580" s="8">
        <v>85.99</v>
      </c>
      <c r="BH4580" s="9">
        <f t="shared" si="639"/>
        <v>3153.06</v>
      </c>
      <c r="BI4580" s="9">
        <f t="shared" si="640"/>
        <v>20.22</v>
      </c>
      <c r="BJ4580" s="9">
        <f t="shared" si="641"/>
        <v>2.19</v>
      </c>
      <c r="BK4580" s="9">
        <f t="shared" si="642"/>
        <v>31.56</v>
      </c>
      <c r="BL4580" s="9">
        <f t="shared" si="643"/>
        <v>0</v>
      </c>
      <c r="BM4580" s="9">
        <f t="shared" si="644"/>
        <v>130.74770000000001</v>
      </c>
      <c r="BN4580" s="9">
        <f t="shared" si="645"/>
        <v>1173.04</v>
      </c>
      <c r="BO4580" s="9">
        <f t="shared" si="646"/>
        <v>0</v>
      </c>
      <c r="BP4580" s="9">
        <f t="shared" si="647"/>
        <v>0</v>
      </c>
    </row>
    <row r="4581" spans="1:68">
      <c r="A4581" s="6">
        <v>45419</v>
      </c>
      <c r="B4581" s="7">
        <v>3079</v>
      </c>
      <c r="C4581" s="8"/>
      <c r="D4581" s="8"/>
      <c r="E4581" s="8"/>
      <c r="F4581" s="8">
        <v>518</v>
      </c>
      <c r="G4581" s="8"/>
      <c r="H4581" s="8"/>
      <c r="I4581" s="8">
        <v>4192.32</v>
      </c>
      <c r="J4581" s="8"/>
      <c r="K4581" s="8"/>
      <c r="L4581" s="8"/>
      <c r="M4581" s="8"/>
      <c r="N4581" s="8">
        <v>34.42</v>
      </c>
      <c r="O4581" s="8"/>
      <c r="P4581" s="8"/>
      <c r="Q4581" s="11"/>
      <c r="R4581" s="11"/>
      <c r="S4581" s="8">
        <v>1.87</v>
      </c>
      <c r="T4581" s="8"/>
      <c r="U4581" s="8"/>
      <c r="V4581" s="8"/>
      <c r="W4581" s="8">
        <v>47.17</v>
      </c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>
        <v>18.760000000000002</v>
      </c>
      <c r="AN4581" s="8">
        <f>1724*27.72/1000</f>
        <v>47.789279999999998</v>
      </c>
      <c r="AO4581" s="8"/>
      <c r="AP4581" s="11"/>
      <c r="AQ4581" s="8"/>
      <c r="AR4581" s="8">
        <f>4326*27.72/1000</f>
        <v>119.91672</v>
      </c>
      <c r="AS4581" s="8"/>
      <c r="AT4581" s="8">
        <v>1817.64</v>
      </c>
      <c r="AU4581" s="8"/>
      <c r="AV4581" s="8"/>
      <c r="AW4581" s="8"/>
      <c r="AX4581" s="8"/>
      <c r="AY4581" s="8"/>
      <c r="AZ4581" s="8"/>
      <c r="BA4581" s="8"/>
      <c r="BB4581" s="8"/>
      <c r="BC4581" s="8"/>
      <c r="BD4581" s="8"/>
      <c r="BE4581" s="8"/>
      <c r="BF4581" s="8"/>
      <c r="BG4581" s="8">
        <v>131.99</v>
      </c>
      <c r="BH4581" s="9">
        <f t="shared" si="639"/>
        <v>4710.32</v>
      </c>
      <c r="BI4581" s="9">
        <f t="shared" si="640"/>
        <v>34.42</v>
      </c>
      <c r="BJ4581" s="9">
        <f t="shared" si="641"/>
        <v>1.87</v>
      </c>
      <c r="BK4581" s="9">
        <f t="shared" si="642"/>
        <v>47.17</v>
      </c>
      <c r="BL4581" s="9">
        <f t="shared" si="643"/>
        <v>0</v>
      </c>
      <c r="BM4581" s="9">
        <f t="shared" si="644"/>
        <v>186.46600000000001</v>
      </c>
      <c r="BN4581" s="9">
        <f t="shared" si="645"/>
        <v>1817.64</v>
      </c>
      <c r="BO4581" s="9">
        <f t="shared" si="646"/>
        <v>0</v>
      </c>
      <c r="BP4581" s="9">
        <f t="shared" si="647"/>
        <v>0</v>
      </c>
    </row>
    <row r="4582" spans="1:68">
      <c r="A4582" s="6">
        <v>45419</v>
      </c>
      <c r="B4582" s="7">
        <v>3028</v>
      </c>
      <c r="C4582" s="8"/>
      <c r="D4582" s="8">
        <v>732.17</v>
      </c>
      <c r="E4582" s="8"/>
      <c r="F4582" s="8">
        <v>673.55</v>
      </c>
      <c r="G4582" s="8"/>
      <c r="H4582" s="8"/>
      <c r="I4582" s="8">
        <v>1521.8</v>
      </c>
      <c r="J4582" s="8"/>
      <c r="K4582" s="8"/>
      <c r="L4582" s="8"/>
      <c r="M4582" s="8"/>
      <c r="N4582" s="8">
        <v>22.53</v>
      </c>
      <c r="O4582" s="8"/>
      <c r="P4582" s="8"/>
      <c r="Q4582" s="11"/>
      <c r="R4582" s="11"/>
      <c r="S4582" s="8">
        <v>4.0999999999999996</v>
      </c>
      <c r="T4582" s="8"/>
      <c r="U4582" s="8"/>
      <c r="V4582" s="8"/>
      <c r="W4582" s="8">
        <v>21.97</v>
      </c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>
        <v>29.18</v>
      </c>
      <c r="AN4582" s="8">
        <f>1052*19.5/1000</f>
        <v>20.513999999999999</v>
      </c>
      <c r="AO4582" s="8"/>
      <c r="AP4582" s="11"/>
      <c r="AQ4582" s="8"/>
      <c r="AR4582" s="8"/>
      <c r="AS4582" s="8">
        <f>4963*19.5/1000</f>
        <v>96.778499999999994</v>
      </c>
      <c r="AT4582" s="8">
        <v>976.73</v>
      </c>
      <c r="AU4582" s="8"/>
      <c r="AV4582" s="8"/>
      <c r="AW4582" s="8"/>
      <c r="AX4582" s="8"/>
      <c r="AY4582" s="8"/>
      <c r="AZ4582" s="8"/>
      <c r="BA4582" s="8"/>
      <c r="BB4582" s="8"/>
      <c r="BC4582" s="8"/>
      <c r="BD4582" s="8"/>
      <c r="BE4582" s="8"/>
      <c r="BF4582" s="8"/>
      <c r="BG4582" s="8">
        <v>66.239999999999995</v>
      </c>
      <c r="BH4582" s="9">
        <f t="shared" si="639"/>
        <v>2927.5199999999995</v>
      </c>
      <c r="BI4582" s="9">
        <f t="shared" si="640"/>
        <v>22.53</v>
      </c>
      <c r="BJ4582" s="9">
        <f t="shared" si="641"/>
        <v>4.0999999999999996</v>
      </c>
      <c r="BK4582" s="9">
        <f t="shared" si="642"/>
        <v>21.97</v>
      </c>
      <c r="BL4582" s="9">
        <f t="shared" si="643"/>
        <v>0</v>
      </c>
      <c r="BM4582" s="9">
        <f t="shared" si="644"/>
        <v>146.4725</v>
      </c>
      <c r="BN4582" s="9">
        <f t="shared" si="645"/>
        <v>976.73</v>
      </c>
      <c r="BO4582" s="9">
        <f t="shared" si="646"/>
        <v>0</v>
      </c>
      <c r="BP4582" s="9">
        <f t="shared" si="647"/>
        <v>0</v>
      </c>
    </row>
    <row r="4583" spans="1:68">
      <c r="A4583" s="6">
        <v>45419</v>
      </c>
      <c r="B4583" s="7">
        <v>3025</v>
      </c>
      <c r="C4583" s="8"/>
      <c r="D4583" s="8">
        <v>208.2</v>
      </c>
      <c r="E4583" s="8"/>
      <c r="F4583" s="8"/>
      <c r="G4583" s="8"/>
      <c r="H4583" s="8"/>
      <c r="I4583" s="8">
        <v>1180.54</v>
      </c>
      <c r="J4583" s="8"/>
      <c r="K4583" s="8"/>
      <c r="L4583" s="8"/>
      <c r="M4583" s="8"/>
      <c r="N4583" s="8">
        <v>7.82</v>
      </c>
      <c r="O4583" s="8"/>
      <c r="P4583" s="8"/>
      <c r="Q4583" s="11"/>
      <c r="R4583" s="11"/>
      <c r="S4583" s="8">
        <v>2.2200000000000002</v>
      </c>
      <c r="T4583" s="8"/>
      <c r="U4583" s="8"/>
      <c r="V4583" s="8"/>
      <c r="W4583" s="8">
        <v>12.53</v>
      </c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>
        <v>13.8</v>
      </c>
      <c r="AN4583" s="8">
        <f>714*13.93/1000</f>
        <v>9.9460200000000007</v>
      </c>
      <c r="AO4583" s="8"/>
      <c r="AP4583" s="11"/>
      <c r="AQ4583" s="8"/>
      <c r="AR4583" s="8"/>
      <c r="AS4583" s="8">
        <f>3340*13.93/1000</f>
        <v>46.526199999999996</v>
      </c>
      <c r="AT4583" s="8">
        <v>479.78</v>
      </c>
      <c r="AU4583" s="8"/>
      <c r="AV4583" s="8"/>
      <c r="AW4583" s="8"/>
      <c r="AX4583" s="8"/>
      <c r="AY4583" s="8"/>
      <c r="AZ4583" s="8"/>
      <c r="BA4583" s="8"/>
      <c r="BB4583" s="8"/>
      <c r="BC4583" s="8"/>
      <c r="BD4583" s="8"/>
      <c r="BE4583" s="8"/>
      <c r="BF4583" s="8"/>
      <c r="BG4583" s="8">
        <v>31.92</v>
      </c>
      <c r="BH4583" s="9">
        <f t="shared" si="639"/>
        <v>1388.74</v>
      </c>
      <c r="BI4583" s="9">
        <f t="shared" si="640"/>
        <v>7.82</v>
      </c>
      <c r="BJ4583" s="9">
        <f t="shared" si="641"/>
        <v>2.2200000000000002</v>
      </c>
      <c r="BK4583" s="9">
        <f t="shared" si="642"/>
        <v>12.53</v>
      </c>
      <c r="BL4583" s="9">
        <f t="shared" si="643"/>
        <v>0</v>
      </c>
      <c r="BM4583" s="9">
        <f t="shared" si="644"/>
        <v>70.272220000000004</v>
      </c>
      <c r="BN4583" s="9">
        <f t="shared" si="645"/>
        <v>479.78</v>
      </c>
      <c r="BO4583" s="9">
        <f t="shared" si="646"/>
        <v>0</v>
      </c>
      <c r="BP4583" s="9">
        <f t="shared" si="647"/>
        <v>0</v>
      </c>
    </row>
    <row r="4584" spans="1:68">
      <c r="A4584" s="6">
        <v>45420</v>
      </c>
      <c r="B4584" s="7">
        <v>3157</v>
      </c>
      <c r="C4584" s="8">
        <v>369.54</v>
      </c>
      <c r="D4584" s="8">
        <v>370.6</v>
      </c>
      <c r="E4584" s="8"/>
      <c r="F4584" s="8"/>
      <c r="G4584" s="8"/>
      <c r="H4584" s="8"/>
      <c r="I4584" s="8"/>
      <c r="J4584" s="8"/>
      <c r="K4584" s="8"/>
      <c r="L4584" s="8"/>
      <c r="M4584" s="8">
        <v>2.97</v>
      </c>
      <c r="N4584" s="8"/>
      <c r="O4584" s="8"/>
      <c r="P4584" s="8"/>
      <c r="Q4584" s="11"/>
      <c r="R4584" s="11"/>
      <c r="S4584" s="8">
        <v>3.71</v>
      </c>
      <c r="T4584" s="8"/>
      <c r="U4584" s="8">
        <v>11.87</v>
      </c>
      <c r="V4584" s="8"/>
      <c r="W4584" s="8"/>
      <c r="X4584" s="8"/>
      <c r="Y4584" s="8"/>
      <c r="Z4584" s="8"/>
      <c r="AA4584" s="8"/>
      <c r="AB4584" s="8"/>
      <c r="AC4584" s="8">
        <v>2.97</v>
      </c>
      <c r="AD4584" s="8"/>
      <c r="AE4584" s="8"/>
      <c r="AF4584" s="8"/>
      <c r="AG4584" s="8">
        <v>3.7</v>
      </c>
      <c r="AH4584" s="8"/>
      <c r="AI4584" s="8"/>
      <c r="AJ4584" s="8"/>
      <c r="AK4584" s="8"/>
      <c r="AL4584" s="8"/>
      <c r="AM4584" s="8"/>
      <c r="AN4584" s="8"/>
      <c r="AO4584" s="8"/>
      <c r="AP4584" s="11"/>
      <c r="AQ4584" s="8"/>
      <c r="AR4584" s="8"/>
      <c r="AS4584" s="8"/>
      <c r="AT4584" s="8">
        <v>476.6</v>
      </c>
      <c r="AU4584" s="8"/>
      <c r="AV4584" s="8"/>
      <c r="AW4584" s="8"/>
      <c r="AX4584" s="8"/>
      <c r="AY4584" s="8"/>
      <c r="AZ4584" s="8"/>
      <c r="BA4584" s="8"/>
      <c r="BB4584" s="8"/>
      <c r="BC4584" s="8"/>
      <c r="BD4584" s="8"/>
      <c r="BE4584" s="8"/>
      <c r="BF4584" s="8">
        <v>96.4</v>
      </c>
      <c r="BG4584" s="8">
        <v>38.39</v>
      </c>
      <c r="BH4584" s="9">
        <f t="shared" si="639"/>
        <v>740.1400000000001</v>
      </c>
      <c r="BI4584" s="9">
        <f t="shared" si="640"/>
        <v>2.97</v>
      </c>
      <c r="BJ4584" s="9">
        <f t="shared" si="641"/>
        <v>3.71</v>
      </c>
      <c r="BK4584" s="9">
        <f t="shared" si="642"/>
        <v>11.87</v>
      </c>
      <c r="BL4584" s="9">
        <f t="shared" si="643"/>
        <v>0</v>
      </c>
      <c r="BM4584" s="9">
        <f t="shared" si="644"/>
        <v>6.67</v>
      </c>
      <c r="BN4584" s="9">
        <f t="shared" si="645"/>
        <v>476.6</v>
      </c>
      <c r="BO4584" s="9">
        <f t="shared" si="646"/>
        <v>0</v>
      </c>
      <c r="BP4584" s="9">
        <f t="shared" si="647"/>
        <v>96.4</v>
      </c>
    </row>
    <row r="4585" spans="1:68">
      <c r="A4585" s="6">
        <v>45420</v>
      </c>
      <c r="B4585" s="7">
        <v>3118</v>
      </c>
      <c r="C4585" s="8">
        <v>383.07</v>
      </c>
      <c r="D4585" s="8"/>
      <c r="E4585" s="8"/>
      <c r="F4585" s="8"/>
      <c r="G4585" s="8"/>
      <c r="H4585" s="8"/>
      <c r="I4585" s="8"/>
      <c r="J4585" s="8"/>
      <c r="K4585" s="8"/>
      <c r="L4585" s="8"/>
      <c r="M4585" s="8">
        <v>1.25</v>
      </c>
      <c r="N4585" s="8"/>
      <c r="O4585" s="8"/>
      <c r="P4585" s="8"/>
      <c r="Q4585" s="11"/>
      <c r="R4585" s="11"/>
      <c r="S4585" s="8">
        <v>2.11</v>
      </c>
      <c r="T4585" s="8"/>
      <c r="U4585" s="8">
        <v>4.59</v>
      </c>
      <c r="V4585" s="8"/>
      <c r="W4585" s="8"/>
      <c r="X4585" s="8"/>
      <c r="Y4585" s="8"/>
      <c r="Z4585" s="8"/>
      <c r="AA4585" s="8"/>
      <c r="AB4585" s="8"/>
      <c r="AC4585" s="8">
        <v>1.53</v>
      </c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11"/>
      <c r="AQ4585" s="8">
        <f>709*5.45/1000</f>
        <v>3.8640500000000002</v>
      </c>
      <c r="AR4585" s="8"/>
      <c r="AS4585" s="8"/>
      <c r="AT4585" s="8">
        <v>247.88</v>
      </c>
      <c r="AU4585" s="8"/>
      <c r="AV4585" s="8"/>
      <c r="AW4585" s="8"/>
      <c r="AX4585" s="8"/>
      <c r="AY4585" s="8"/>
      <c r="AZ4585" s="8"/>
      <c r="BA4585" s="8"/>
      <c r="BB4585" s="8"/>
      <c r="BC4585" s="8"/>
      <c r="BD4585" s="8"/>
      <c r="BE4585" s="8"/>
      <c r="BF4585" s="8">
        <v>26.8</v>
      </c>
      <c r="BG4585" s="8">
        <v>19.010000000000002</v>
      </c>
      <c r="BH4585" s="9">
        <f t="shared" si="639"/>
        <v>383.07</v>
      </c>
      <c r="BI4585" s="9">
        <f t="shared" si="640"/>
        <v>1.25</v>
      </c>
      <c r="BJ4585" s="9">
        <f t="shared" si="641"/>
        <v>2.11</v>
      </c>
      <c r="BK4585" s="9">
        <f t="shared" si="642"/>
        <v>4.59</v>
      </c>
      <c r="BL4585" s="9">
        <f t="shared" si="643"/>
        <v>0</v>
      </c>
      <c r="BM4585" s="9">
        <f t="shared" si="644"/>
        <v>5.39405</v>
      </c>
      <c r="BN4585" s="9">
        <f t="shared" si="645"/>
        <v>247.88</v>
      </c>
      <c r="BO4585" s="9">
        <f t="shared" si="646"/>
        <v>0</v>
      </c>
      <c r="BP4585" s="9">
        <f t="shared" si="647"/>
        <v>26.8</v>
      </c>
    </row>
    <row r="4586" spans="1:68">
      <c r="A4586" s="6">
        <v>45420</v>
      </c>
      <c r="B4586" s="7">
        <v>3139</v>
      </c>
      <c r="C4586" s="8">
        <v>1076.1500000000001</v>
      </c>
      <c r="D4586" s="8"/>
      <c r="E4586" s="8"/>
      <c r="F4586" s="8"/>
      <c r="G4586" s="8"/>
      <c r="H4586" s="8">
        <v>446.72</v>
      </c>
      <c r="I4586" s="8"/>
      <c r="J4586" s="8"/>
      <c r="K4586" s="8"/>
      <c r="L4586" s="8"/>
      <c r="M4586" s="8">
        <v>2.52</v>
      </c>
      <c r="N4586" s="8"/>
      <c r="O4586" s="8"/>
      <c r="P4586" s="8"/>
      <c r="Q4586" s="11"/>
      <c r="R4586" s="11"/>
      <c r="S4586" s="8">
        <v>4.7699999999999996</v>
      </c>
      <c r="T4586" s="8"/>
      <c r="U4586" s="8">
        <v>15.9</v>
      </c>
      <c r="V4586" s="8"/>
      <c r="W4586" s="8"/>
      <c r="X4586" s="8"/>
      <c r="Y4586" s="8"/>
      <c r="Z4586" s="8"/>
      <c r="AA4586" s="8"/>
      <c r="AB4586" s="8"/>
      <c r="AC4586" s="8">
        <v>5.3</v>
      </c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11"/>
      <c r="AQ4586" s="8"/>
      <c r="AR4586" s="8"/>
      <c r="AS4586" s="8"/>
      <c r="AT4586" s="8">
        <v>784.87</v>
      </c>
      <c r="AU4586" s="8"/>
      <c r="AV4586" s="8">
        <v>26.55</v>
      </c>
      <c r="AW4586" s="8"/>
      <c r="AX4586" s="8"/>
      <c r="AY4586" s="8"/>
      <c r="AZ4586" s="8"/>
      <c r="BA4586" s="8"/>
      <c r="BB4586" s="8"/>
      <c r="BC4586" s="8"/>
      <c r="BD4586" s="8"/>
      <c r="BE4586" s="8"/>
      <c r="BF4586" s="8"/>
      <c r="BG4586" s="8">
        <v>56.99</v>
      </c>
      <c r="BH4586" s="9">
        <f t="shared" si="639"/>
        <v>1522.8700000000001</v>
      </c>
      <c r="BI4586" s="9">
        <f t="shared" si="640"/>
        <v>2.52</v>
      </c>
      <c r="BJ4586" s="9">
        <f t="shared" si="641"/>
        <v>4.7699999999999996</v>
      </c>
      <c r="BK4586" s="9">
        <f t="shared" si="642"/>
        <v>15.9</v>
      </c>
      <c r="BL4586" s="9">
        <f t="shared" si="643"/>
        <v>0</v>
      </c>
      <c r="BM4586" s="9">
        <f t="shared" si="644"/>
        <v>5.3</v>
      </c>
      <c r="BN4586" s="9">
        <f t="shared" si="645"/>
        <v>784.87</v>
      </c>
      <c r="BO4586" s="9">
        <f t="shared" si="646"/>
        <v>26.55</v>
      </c>
      <c r="BP4586" s="9">
        <f t="shared" si="647"/>
        <v>0</v>
      </c>
    </row>
    <row r="4587" spans="1:68">
      <c r="A4587" s="6">
        <v>45420</v>
      </c>
      <c r="B4587" s="7">
        <v>3206</v>
      </c>
      <c r="C4587" s="8">
        <v>611.66</v>
      </c>
      <c r="D4587" s="8">
        <v>1106.79</v>
      </c>
      <c r="E4587" s="8">
        <v>736.99</v>
      </c>
      <c r="F4587" s="8"/>
      <c r="G4587" s="8"/>
      <c r="H4587" s="8"/>
      <c r="I4587" s="8"/>
      <c r="J4587" s="8"/>
      <c r="K4587" s="8"/>
      <c r="L4587" s="8"/>
      <c r="M4587" s="8"/>
      <c r="N4587" s="8"/>
      <c r="O4587" s="8">
        <v>4.93</v>
      </c>
      <c r="P4587" s="8"/>
      <c r="Q4587" s="11"/>
      <c r="R4587" s="11"/>
      <c r="S4587" s="8">
        <v>12.31</v>
      </c>
      <c r="T4587" s="8"/>
      <c r="U4587" s="8">
        <v>8.6300000000000008</v>
      </c>
      <c r="V4587" s="8"/>
      <c r="W4587" s="8"/>
      <c r="X4587" s="8"/>
      <c r="Y4587" s="8"/>
      <c r="Z4587" s="8">
        <v>147.69999999999999</v>
      </c>
      <c r="AA4587" s="8"/>
      <c r="AB4587" s="8">
        <f>807*15.37/1000</f>
        <v>12.403589999999999</v>
      </c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11"/>
      <c r="AQ4587" s="8"/>
      <c r="AR4587" s="8"/>
      <c r="AS4587" s="8"/>
      <c r="AT4587" s="8">
        <v>429.89</v>
      </c>
      <c r="AU4587" s="8">
        <v>214.81</v>
      </c>
      <c r="AV4587" s="8"/>
      <c r="AW4587" s="8">
        <v>9.35</v>
      </c>
      <c r="AX4587" s="8"/>
      <c r="AY4587" s="8"/>
      <c r="AZ4587" s="8"/>
      <c r="BA4587" s="8"/>
      <c r="BB4587" s="8"/>
      <c r="BC4587" s="8"/>
      <c r="BD4587" s="8"/>
      <c r="BE4587" s="8"/>
      <c r="BF4587" s="8"/>
      <c r="BG4587" s="8">
        <v>43.18</v>
      </c>
      <c r="BH4587" s="9">
        <f t="shared" si="639"/>
        <v>2455.4399999999996</v>
      </c>
      <c r="BI4587" s="9">
        <f t="shared" si="640"/>
        <v>4.93</v>
      </c>
      <c r="BJ4587" s="9">
        <f t="shared" si="641"/>
        <v>12.31</v>
      </c>
      <c r="BK4587" s="9">
        <f t="shared" si="642"/>
        <v>8.6300000000000008</v>
      </c>
      <c r="BL4587" s="9">
        <f t="shared" si="643"/>
        <v>147.69999999999999</v>
      </c>
      <c r="BM4587" s="9">
        <f t="shared" si="644"/>
        <v>12.403589999999999</v>
      </c>
      <c r="BN4587" s="9">
        <f t="shared" si="645"/>
        <v>644.70000000000005</v>
      </c>
      <c r="BO4587" s="9">
        <f t="shared" si="646"/>
        <v>9.35</v>
      </c>
      <c r="BP4587" s="9">
        <f t="shared" si="647"/>
        <v>0</v>
      </c>
    </row>
    <row r="4588" spans="1:68">
      <c r="A4588" s="6">
        <v>45420</v>
      </c>
      <c r="B4588" s="7">
        <v>3203</v>
      </c>
      <c r="C4588" s="8">
        <v>1731.34</v>
      </c>
      <c r="D4588" s="8"/>
      <c r="E4588" s="8">
        <v>741.43</v>
      </c>
      <c r="F4588" s="8"/>
      <c r="G4588" s="8"/>
      <c r="H4588" s="8"/>
      <c r="I4588" s="8"/>
      <c r="J4588" s="8"/>
      <c r="K4588" s="8"/>
      <c r="L4588" s="8"/>
      <c r="M4588" s="8"/>
      <c r="N4588" s="8"/>
      <c r="O4588" s="8">
        <v>7.44</v>
      </c>
      <c r="P4588" s="8"/>
      <c r="Q4588" s="11"/>
      <c r="R4588" s="11"/>
      <c r="S4588" s="8">
        <v>10.15</v>
      </c>
      <c r="T4588" s="8"/>
      <c r="U4588" s="8">
        <v>30.68</v>
      </c>
      <c r="V4588" s="8"/>
      <c r="W4588" s="8"/>
      <c r="X4588" s="8"/>
      <c r="Y4588" s="8"/>
      <c r="Z4588" s="8">
        <v>389.71</v>
      </c>
      <c r="AA4588" s="8">
        <f>10522*29.1/1000</f>
        <v>306.1902</v>
      </c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11"/>
      <c r="AQ4588" s="8"/>
      <c r="AR4588" s="8"/>
      <c r="AS4588" s="8"/>
      <c r="AT4588" s="8">
        <v>925.47</v>
      </c>
      <c r="AU4588" s="8">
        <v>462.51</v>
      </c>
      <c r="AV4588" s="8"/>
      <c r="AW4588" s="8"/>
      <c r="AX4588" s="8"/>
      <c r="AY4588" s="8"/>
      <c r="AZ4588" s="8"/>
      <c r="BA4588" s="8"/>
      <c r="BB4588" s="8"/>
      <c r="BC4588" s="8">
        <v>6.43</v>
      </c>
      <c r="BD4588" s="8"/>
      <c r="BE4588" s="8"/>
      <c r="BF4588" s="8"/>
      <c r="BG4588" s="8">
        <v>90.63</v>
      </c>
      <c r="BH4588" s="9">
        <f t="shared" si="639"/>
        <v>2472.77</v>
      </c>
      <c r="BI4588" s="9">
        <f t="shared" si="640"/>
        <v>7.44</v>
      </c>
      <c r="BJ4588" s="9">
        <f t="shared" si="641"/>
        <v>10.15</v>
      </c>
      <c r="BK4588" s="9">
        <f t="shared" si="642"/>
        <v>30.68</v>
      </c>
      <c r="BL4588" s="9">
        <f t="shared" si="643"/>
        <v>695.90020000000004</v>
      </c>
      <c r="BM4588" s="9">
        <f t="shared" si="644"/>
        <v>0</v>
      </c>
      <c r="BN4588" s="9">
        <f t="shared" si="645"/>
        <v>1387.98</v>
      </c>
      <c r="BO4588" s="9">
        <f t="shared" si="646"/>
        <v>6.43</v>
      </c>
      <c r="BP4588" s="9">
        <f t="shared" si="647"/>
        <v>0</v>
      </c>
    </row>
    <row r="4589" spans="1:68">
      <c r="A4589" s="6">
        <v>45420</v>
      </c>
      <c r="B4589" s="7">
        <v>3145</v>
      </c>
      <c r="C4589" s="8">
        <v>1237.78</v>
      </c>
      <c r="D4589" s="8">
        <v>219.03</v>
      </c>
      <c r="E4589" s="8"/>
      <c r="F4589" s="8"/>
      <c r="G4589" s="8"/>
      <c r="H4589" s="8"/>
      <c r="I4589" s="8"/>
      <c r="J4589" s="8"/>
      <c r="K4589" s="8"/>
      <c r="L4589" s="8"/>
      <c r="M4589" s="8">
        <v>4.2300000000000004</v>
      </c>
      <c r="N4589" s="8"/>
      <c r="O4589" s="8"/>
      <c r="P4589" s="8"/>
      <c r="Q4589" s="11"/>
      <c r="R4589" s="11"/>
      <c r="S4589" s="8">
        <v>6.87</v>
      </c>
      <c r="T4589" s="8"/>
      <c r="U4589" s="8">
        <v>21.93</v>
      </c>
      <c r="V4589" s="8"/>
      <c r="W4589" s="8"/>
      <c r="X4589" s="8"/>
      <c r="Y4589" s="8"/>
      <c r="Z4589" s="8"/>
      <c r="AA4589" s="8"/>
      <c r="AB4589" s="8"/>
      <c r="AC4589" s="8">
        <v>5.85</v>
      </c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11"/>
      <c r="AQ4589" s="8"/>
      <c r="AR4589" s="8"/>
      <c r="AS4589" s="8"/>
      <c r="AT4589" s="8">
        <v>965.12</v>
      </c>
      <c r="AU4589" s="8"/>
      <c r="AV4589" s="8"/>
      <c r="AW4589" s="8"/>
      <c r="AX4589" s="8"/>
      <c r="AY4589" s="8"/>
      <c r="AZ4589" s="8"/>
      <c r="BA4589" s="8"/>
      <c r="BB4589" s="8"/>
      <c r="BC4589" s="8"/>
      <c r="BD4589" s="8">
        <v>3.65</v>
      </c>
      <c r="BE4589" s="8">
        <f>1377*9.73/1000</f>
        <v>13.398210000000001</v>
      </c>
      <c r="BF4589" s="8">
        <v>102.46</v>
      </c>
      <c r="BG4589" s="8">
        <v>76.11</v>
      </c>
      <c r="BH4589" s="9">
        <f t="shared" si="639"/>
        <v>1456.81</v>
      </c>
      <c r="BI4589" s="9">
        <f t="shared" si="640"/>
        <v>4.2300000000000004</v>
      </c>
      <c r="BJ4589" s="9">
        <f t="shared" si="641"/>
        <v>6.87</v>
      </c>
      <c r="BK4589" s="9">
        <f t="shared" si="642"/>
        <v>21.93</v>
      </c>
      <c r="BL4589" s="9">
        <f t="shared" si="643"/>
        <v>0</v>
      </c>
      <c r="BM4589" s="9">
        <f t="shared" si="644"/>
        <v>5.85</v>
      </c>
      <c r="BN4589" s="9">
        <f t="shared" si="645"/>
        <v>965.12</v>
      </c>
      <c r="BO4589" s="9">
        <f t="shared" si="646"/>
        <v>17.048210000000001</v>
      </c>
      <c r="BP4589" s="9">
        <f t="shared" si="647"/>
        <v>102.46</v>
      </c>
    </row>
    <row r="4590" spans="1:68">
      <c r="A4590" s="6">
        <v>45420</v>
      </c>
      <c r="B4590" s="7">
        <v>3141</v>
      </c>
      <c r="C4590" s="8">
        <v>3533.25</v>
      </c>
      <c r="D4590" s="8">
        <v>623.53</v>
      </c>
      <c r="E4590" s="8"/>
      <c r="F4590" s="8"/>
      <c r="G4590" s="8"/>
      <c r="H4590" s="8"/>
      <c r="I4590" s="8"/>
      <c r="J4590" s="8"/>
      <c r="K4590" s="8"/>
      <c r="L4590" s="8"/>
      <c r="M4590" s="8">
        <v>11.91</v>
      </c>
      <c r="N4590" s="8"/>
      <c r="O4590" s="8"/>
      <c r="P4590" s="8"/>
      <c r="Q4590" s="11"/>
      <c r="R4590" s="11"/>
      <c r="S4590" s="8">
        <v>19.559999999999999</v>
      </c>
      <c r="T4590" s="8"/>
      <c r="U4590" s="8">
        <v>62.38</v>
      </c>
      <c r="V4590" s="8"/>
      <c r="W4590" s="8"/>
      <c r="X4590" s="8"/>
      <c r="Y4590" s="8"/>
      <c r="Z4590" s="8"/>
      <c r="AA4590" s="8"/>
      <c r="AB4590" s="8"/>
      <c r="AC4590" s="8">
        <v>16.63</v>
      </c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11"/>
      <c r="AQ4590" s="8"/>
      <c r="AR4590" s="8"/>
      <c r="AS4590" s="8"/>
      <c r="AT4590" s="8">
        <v>2743.38</v>
      </c>
      <c r="AU4590" s="8"/>
      <c r="AV4590" s="8"/>
      <c r="AW4590" s="8"/>
      <c r="AX4590" s="8"/>
      <c r="AY4590" s="8"/>
      <c r="AZ4590" s="8"/>
      <c r="BA4590" s="8">
        <v>95.28</v>
      </c>
      <c r="BB4590" s="8"/>
      <c r="BC4590" s="8"/>
      <c r="BD4590" s="8"/>
      <c r="BE4590" s="8"/>
      <c r="BF4590" s="8">
        <v>290.93</v>
      </c>
      <c r="BG4590" s="8">
        <v>216.23</v>
      </c>
      <c r="BH4590" s="9">
        <f t="shared" si="639"/>
        <v>4156.78</v>
      </c>
      <c r="BI4590" s="9">
        <f t="shared" si="640"/>
        <v>11.91</v>
      </c>
      <c r="BJ4590" s="9">
        <f t="shared" si="641"/>
        <v>19.559999999999999</v>
      </c>
      <c r="BK4590" s="9">
        <f t="shared" si="642"/>
        <v>62.38</v>
      </c>
      <c r="BL4590" s="9">
        <f t="shared" si="643"/>
        <v>0</v>
      </c>
      <c r="BM4590" s="9">
        <f t="shared" si="644"/>
        <v>16.63</v>
      </c>
      <c r="BN4590" s="9">
        <f t="shared" si="645"/>
        <v>2743.38</v>
      </c>
      <c r="BO4590" s="9">
        <f t="shared" si="646"/>
        <v>95.28</v>
      </c>
      <c r="BP4590" s="9">
        <f t="shared" si="647"/>
        <v>290.93</v>
      </c>
    </row>
    <row r="4591" spans="1:68">
      <c r="A4591" s="6">
        <v>45420</v>
      </c>
      <c r="B4591" s="7">
        <v>3110</v>
      </c>
      <c r="C4591" s="8">
        <v>1210.8800000000001</v>
      </c>
      <c r="D4591" s="8"/>
      <c r="E4591" s="8"/>
      <c r="F4591" s="8"/>
      <c r="G4591" s="8"/>
      <c r="H4591" s="8"/>
      <c r="I4591" s="8"/>
      <c r="J4591" s="8"/>
      <c r="K4591" s="8"/>
      <c r="L4591" s="8"/>
      <c r="M4591" s="8">
        <v>2.4300000000000002</v>
      </c>
      <c r="N4591" s="8"/>
      <c r="O4591" s="8"/>
      <c r="P4591" s="8"/>
      <c r="Q4591" s="11"/>
      <c r="R4591" s="11"/>
      <c r="S4591" s="8">
        <v>4.13</v>
      </c>
      <c r="T4591" s="8"/>
      <c r="U4591" s="8">
        <v>12.14</v>
      </c>
      <c r="V4591" s="8"/>
      <c r="W4591" s="8"/>
      <c r="X4591" s="8"/>
      <c r="Y4591" s="8"/>
      <c r="Z4591" s="8"/>
      <c r="AA4591" s="8"/>
      <c r="AB4591" s="8"/>
      <c r="AC4591" s="8">
        <v>4.8499999999999996</v>
      </c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11"/>
      <c r="AQ4591" s="8"/>
      <c r="AR4591" s="8"/>
      <c r="AS4591" s="8"/>
      <c r="AT4591" s="8">
        <v>630.98</v>
      </c>
      <c r="AU4591" s="8"/>
      <c r="AV4591" s="8">
        <v>20.67</v>
      </c>
      <c r="AW4591" s="8"/>
      <c r="AX4591" s="8"/>
      <c r="AY4591" s="8"/>
      <c r="AZ4591" s="8"/>
      <c r="BA4591" s="8"/>
      <c r="BB4591" s="8"/>
      <c r="BC4591" s="8"/>
      <c r="BD4591" s="8"/>
      <c r="BE4591" s="8"/>
      <c r="BF4591" s="8"/>
      <c r="BG4591" s="8">
        <v>46.52</v>
      </c>
      <c r="BH4591" s="9">
        <f t="shared" si="639"/>
        <v>1210.8800000000001</v>
      </c>
      <c r="BI4591" s="9">
        <f t="shared" si="640"/>
        <v>2.4300000000000002</v>
      </c>
      <c r="BJ4591" s="9">
        <f t="shared" si="641"/>
        <v>4.13</v>
      </c>
      <c r="BK4591" s="9">
        <f t="shared" si="642"/>
        <v>12.14</v>
      </c>
      <c r="BL4591" s="9">
        <f t="shared" si="643"/>
        <v>0</v>
      </c>
      <c r="BM4591" s="9">
        <f t="shared" si="644"/>
        <v>4.8499999999999996</v>
      </c>
      <c r="BN4591" s="9">
        <f t="shared" si="645"/>
        <v>630.98</v>
      </c>
      <c r="BO4591" s="9">
        <f t="shared" si="646"/>
        <v>20.67</v>
      </c>
      <c r="BP4591" s="9">
        <f t="shared" si="647"/>
        <v>0</v>
      </c>
    </row>
    <row r="4592" spans="1:68">
      <c r="A4592" s="6">
        <v>45420</v>
      </c>
      <c r="B4592" s="7">
        <v>3404</v>
      </c>
      <c r="C4592" s="8">
        <v>1641.62</v>
      </c>
      <c r="D4592" s="8">
        <v>410.49</v>
      </c>
      <c r="E4592" s="8"/>
      <c r="F4592" s="8"/>
      <c r="G4592" s="8"/>
      <c r="H4592" s="8"/>
      <c r="I4592" s="8"/>
      <c r="J4592" s="8"/>
      <c r="K4592" s="8"/>
      <c r="L4592" s="8"/>
      <c r="M4592" s="8">
        <v>4.53</v>
      </c>
      <c r="N4592" s="8"/>
      <c r="O4592" s="8"/>
      <c r="P4592" s="8"/>
      <c r="Q4592" s="11"/>
      <c r="R4592" s="11"/>
      <c r="S4592" s="8">
        <v>4.7300000000000004</v>
      </c>
      <c r="T4592" s="8"/>
      <c r="U4592" s="8"/>
      <c r="V4592" s="8"/>
      <c r="W4592" s="8"/>
      <c r="X4592" s="8">
        <f>1226*20.55/1000</f>
        <v>25.194299999999998</v>
      </c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11"/>
      <c r="AQ4592" s="8"/>
      <c r="AR4592" s="8"/>
      <c r="AS4592" s="8"/>
      <c r="AT4592" s="8">
        <v>1033.43</v>
      </c>
      <c r="AU4592" s="8"/>
      <c r="AV4592" s="8"/>
      <c r="AW4592" s="8"/>
      <c r="AX4592" s="8"/>
      <c r="AY4592" s="8"/>
      <c r="AZ4592" s="8"/>
      <c r="BA4592" s="8"/>
      <c r="BB4592" s="8"/>
      <c r="BC4592" s="8"/>
      <c r="BD4592" s="8"/>
      <c r="BE4592" s="8"/>
      <c r="BF4592" s="8"/>
      <c r="BG4592" s="8">
        <v>70.08</v>
      </c>
      <c r="BH4592" s="9">
        <f t="shared" si="639"/>
        <v>2052.1099999999997</v>
      </c>
      <c r="BI4592" s="9">
        <f t="shared" si="640"/>
        <v>4.53</v>
      </c>
      <c r="BJ4592" s="9">
        <f t="shared" si="641"/>
        <v>4.7300000000000004</v>
      </c>
      <c r="BK4592" s="9">
        <f t="shared" si="642"/>
        <v>25.194299999999998</v>
      </c>
      <c r="BL4592" s="9">
        <f t="shared" si="643"/>
        <v>0</v>
      </c>
      <c r="BM4592" s="9">
        <f t="shared" si="644"/>
        <v>0</v>
      </c>
      <c r="BN4592" s="9">
        <f t="shared" si="645"/>
        <v>1033.43</v>
      </c>
      <c r="BO4592" s="9">
        <f t="shared" si="646"/>
        <v>0</v>
      </c>
      <c r="BP4592" s="9">
        <f t="shared" si="647"/>
        <v>0</v>
      </c>
    </row>
    <row r="4593" spans="1:68">
      <c r="A4593" s="6">
        <v>45422</v>
      </c>
      <c r="B4593" s="7">
        <v>3200</v>
      </c>
      <c r="C4593" s="8">
        <v>2354.65</v>
      </c>
      <c r="D4593" s="8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>
        <v>5.89</v>
      </c>
      <c r="P4593" s="8"/>
      <c r="Q4593" s="11"/>
      <c r="R4593" s="11"/>
      <c r="S4593" s="8">
        <v>9.26</v>
      </c>
      <c r="T4593" s="8"/>
      <c r="U4593" s="8">
        <v>35.299999999999997</v>
      </c>
      <c r="V4593" s="8"/>
      <c r="W4593" s="8"/>
      <c r="X4593" s="8"/>
      <c r="Y4593" s="8"/>
      <c r="Z4593" s="8">
        <v>494.93</v>
      </c>
      <c r="AA4593" s="8"/>
      <c r="AB4593" s="8"/>
      <c r="AC4593" s="8"/>
      <c r="AD4593" s="8"/>
      <c r="AE4593" s="8"/>
      <c r="AF4593" s="8">
        <v>117.94</v>
      </c>
      <c r="AG4593" s="8"/>
      <c r="AH4593" s="8"/>
      <c r="AI4593" s="8"/>
      <c r="AJ4593" s="8"/>
      <c r="AK4593" s="8"/>
      <c r="AL4593" s="8"/>
      <c r="AM4593" s="8"/>
      <c r="AN4593" s="8"/>
      <c r="AO4593" s="8"/>
      <c r="AP4593" s="11"/>
      <c r="AQ4593" s="8">
        <f>1511*23.55/1000</f>
        <v>35.584050000000005</v>
      </c>
      <c r="AR4593" s="8"/>
      <c r="AS4593" s="8"/>
      <c r="AT4593" s="8">
        <v>1612.42</v>
      </c>
      <c r="AU4593" s="8"/>
      <c r="AV4593" s="8"/>
      <c r="AW4593" s="8">
        <v>6.84</v>
      </c>
      <c r="AX4593" s="8"/>
      <c r="AY4593" s="8"/>
      <c r="AZ4593" s="8"/>
      <c r="BA4593" s="8"/>
      <c r="BB4593" s="8"/>
      <c r="BC4593" s="8"/>
      <c r="BD4593" s="8"/>
      <c r="BE4593" s="8"/>
      <c r="BF4593" s="8">
        <v>113.11</v>
      </c>
      <c r="BG4593" s="8">
        <v>116.71</v>
      </c>
      <c r="BH4593" s="9">
        <f t="shared" si="639"/>
        <v>2354.65</v>
      </c>
      <c r="BI4593" s="9">
        <f t="shared" si="640"/>
        <v>5.89</v>
      </c>
      <c r="BJ4593" s="9">
        <f t="shared" si="641"/>
        <v>9.26</v>
      </c>
      <c r="BK4593" s="9">
        <f t="shared" si="642"/>
        <v>35.299999999999997</v>
      </c>
      <c r="BL4593" s="9">
        <f t="shared" si="643"/>
        <v>494.93</v>
      </c>
      <c r="BM4593" s="9">
        <f t="shared" si="644"/>
        <v>153.52404999999999</v>
      </c>
      <c r="BN4593" s="9">
        <f t="shared" si="645"/>
        <v>1612.42</v>
      </c>
      <c r="BO4593" s="9">
        <f t="shared" si="646"/>
        <v>6.84</v>
      </c>
      <c r="BP4593" s="9">
        <f t="shared" si="647"/>
        <v>113.11</v>
      </c>
    </row>
    <row r="4594" spans="1:68">
      <c r="A4594" s="6">
        <v>45422</v>
      </c>
      <c r="B4594" s="7">
        <v>3106</v>
      </c>
      <c r="C4594" s="8">
        <v>10094.08</v>
      </c>
      <c r="D4594" s="8"/>
      <c r="E4594" s="8"/>
      <c r="F4594" s="8"/>
      <c r="G4594" s="8"/>
      <c r="H4594" s="8"/>
      <c r="I4594" s="8"/>
      <c r="J4594" s="8"/>
      <c r="K4594" s="8"/>
      <c r="L4594" s="8"/>
      <c r="M4594" s="8">
        <v>25.84</v>
      </c>
      <c r="N4594" s="8"/>
      <c r="O4594" s="8"/>
      <c r="P4594" s="8"/>
      <c r="Q4594" s="11"/>
      <c r="R4594" s="11"/>
      <c r="S4594" s="8">
        <v>29.29</v>
      </c>
      <c r="T4594" s="8"/>
      <c r="U4594" s="8">
        <v>128.31</v>
      </c>
      <c r="V4594" s="8"/>
      <c r="W4594" s="8"/>
      <c r="X4594" s="8"/>
      <c r="Y4594" s="8"/>
      <c r="Z4594" s="8"/>
      <c r="AA4594" s="8"/>
      <c r="AB4594" s="8"/>
      <c r="AC4594" s="8">
        <v>25.22</v>
      </c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11"/>
      <c r="AQ4594" s="8"/>
      <c r="AR4594" s="8"/>
      <c r="AS4594" s="8"/>
      <c r="AT4594" s="8">
        <v>5751.45</v>
      </c>
      <c r="AU4594" s="8"/>
      <c r="AV4594" s="8"/>
      <c r="AW4594" s="8"/>
      <c r="AX4594" s="8">
        <v>12.62</v>
      </c>
      <c r="AY4594" s="8"/>
      <c r="AZ4594" s="8"/>
      <c r="BA4594" s="8"/>
      <c r="BB4594" s="8"/>
      <c r="BC4594" s="8"/>
      <c r="BD4594" s="8"/>
      <c r="BE4594" s="8"/>
      <c r="BF4594" s="8"/>
      <c r="BG4594" s="8">
        <v>433.8</v>
      </c>
      <c r="BH4594" s="9">
        <f t="shared" si="639"/>
        <v>10094.08</v>
      </c>
      <c r="BI4594" s="9">
        <f t="shared" si="640"/>
        <v>25.84</v>
      </c>
      <c r="BJ4594" s="9">
        <f t="shared" si="641"/>
        <v>29.29</v>
      </c>
      <c r="BK4594" s="9">
        <f t="shared" si="642"/>
        <v>128.31</v>
      </c>
      <c r="BL4594" s="9">
        <f t="shared" si="643"/>
        <v>0</v>
      </c>
      <c r="BM4594" s="9">
        <f t="shared" si="644"/>
        <v>25.22</v>
      </c>
      <c r="BN4594" s="9">
        <f t="shared" si="645"/>
        <v>5751.45</v>
      </c>
      <c r="BO4594" s="9">
        <f t="shared" si="646"/>
        <v>12.62</v>
      </c>
      <c r="BP4594" s="9">
        <f t="shared" si="647"/>
        <v>0</v>
      </c>
    </row>
    <row r="4595" spans="1:68">
      <c r="A4595" s="6">
        <v>45422</v>
      </c>
      <c r="B4595" s="7">
        <v>3021</v>
      </c>
      <c r="C4595" s="8"/>
      <c r="D4595" s="8">
        <v>222.22</v>
      </c>
      <c r="E4595" s="8"/>
      <c r="F4595" s="8"/>
      <c r="G4595" s="8"/>
      <c r="H4595" s="8"/>
      <c r="I4595" s="8">
        <v>413.92</v>
      </c>
      <c r="J4595" s="8"/>
      <c r="K4595" s="8"/>
      <c r="L4595" s="8"/>
      <c r="M4595" s="8"/>
      <c r="N4595" s="8">
        <v>3.38</v>
      </c>
      <c r="O4595" s="8"/>
      <c r="P4595" s="8"/>
      <c r="Q4595" s="11"/>
      <c r="R4595" s="11"/>
      <c r="S4595" s="8">
        <v>1.1499999999999999</v>
      </c>
      <c r="T4595" s="8"/>
      <c r="U4595" s="8"/>
      <c r="V4595" s="8"/>
      <c r="W4595" s="8">
        <v>6.37</v>
      </c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>
        <v>6.33</v>
      </c>
      <c r="AN4595" s="8"/>
      <c r="AO4595" s="8"/>
      <c r="AP4595" s="11"/>
      <c r="AQ4595" s="8"/>
      <c r="AR4595" s="8"/>
      <c r="AS4595" s="8">
        <f>2634*6.07/1000</f>
        <v>15.988380000000001</v>
      </c>
      <c r="AT4595" s="8">
        <v>300.18</v>
      </c>
      <c r="AU4595" s="8"/>
      <c r="AV4595" s="8"/>
      <c r="AW4595" s="8"/>
      <c r="AX4595" s="8"/>
      <c r="AY4595" s="8"/>
      <c r="AZ4595" s="8"/>
      <c r="BA4595" s="8"/>
      <c r="BB4595" s="8"/>
      <c r="BC4595" s="8"/>
      <c r="BD4595" s="8"/>
      <c r="BE4595" s="8"/>
      <c r="BF4595" s="8"/>
      <c r="BG4595" s="8">
        <v>22.57</v>
      </c>
      <c r="BH4595" s="9">
        <f t="shared" si="639"/>
        <v>636.14</v>
      </c>
      <c r="BI4595" s="9">
        <f t="shared" si="640"/>
        <v>3.38</v>
      </c>
      <c r="BJ4595" s="9">
        <f t="shared" si="641"/>
        <v>1.1499999999999999</v>
      </c>
      <c r="BK4595" s="9">
        <f t="shared" si="642"/>
        <v>6.37</v>
      </c>
      <c r="BL4595" s="9">
        <f t="shared" si="643"/>
        <v>0</v>
      </c>
      <c r="BM4595" s="9">
        <f t="shared" si="644"/>
        <v>22.318380000000001</v>
      </c>
      <c r="BN4595" s="9">
        <f t="shared" si="645"/>
        <v>300.18</v>
      </c>
      <c r="BO4595" s="9">
        <f t="shared" si="646"/>
        <v>0</v>
      </c>
      <c r="BP4595" s="9">
        <f t="shared" si="647"/>
        <v>0</v>
      </c>
    </row>
    <row r="4596" spans="1:68">
      <c r="A4596" s="6">
        <v>45422</v>
      </c>
      <c r="B4596" s="7">
        <v>3023</v>
      </c>
      <c r="C4596" s="8"/>
      <c r="D4596" s="8">
        <v>1705.37</v>
      </c>
      <c r="E4596" s="8"/>
      <c r="F4596" s="8"/>
      <c r="G4596" s="8"/>
      <c r="H4596" s="8"/>
      <c r="I4596" s="8">
        <v>919.51</v>
      </c>
      <c r="J4596" s="8"/>
      <c r="K4596" s="8"/>
      <c r="L4596" s="8"/>
      <c r="M4596" s="8"/>
      <c r="N4596" s="8">
        <v>14.99</v>
      </c>
      <c r="O4596" s="8"/>
      <c r="P4596" s="8"/>
      <c r="Q4596" s="11"/>
      <c r="R4596" s="11"/>
      <c r="S4596" s="8">
        <v>4.1900000000000004</v>
      </c>
      <c r="T4596" s="8"/>
      <c r="U4596" s="8"/>
      <c r="V4596" s="8"/>
      <c r="W4596" s="8">
        <v>23.64</v>
      </c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>
        <v>26.2</v>
      </c>
      <c r="AN4596" s="8">
        <f>1035*18.1/1000</f>
        <v>18.733499999999999</v>
      </c>
      <c r="AO4596" s="8"/>
      <c r="AP4596" s="11"/>
      <c r="AQ4596" s="8"/>
      <c r="AR4596" s="8"/>
      <c r="AS4596" s="8">
        <f>4798*18.1/1000</f>
        <v>86.843800000000002</v>
      </c>
      <c r="AT4596" s="8">
        <v>1076.21</v>
      </c>
      <c r="AU4596" s="8"/>
      <c r="AV4596" s="8"/>
      <c r="AW4596" s="8"/>
      <c r="AX4596" s="8"/>
      <c r="AY4596" s="8"/>
      <c r="AZ4596" s="8"/>
      <c r="BA4596" s="8"/>
      <c r="BB4596" s="8"/>
      <c r="BC4596" s="8"/>
      <c r="BD4596" s="8"/>
      <c r="BE4596" s="8"/>
      <c r="BF4596" s="8"/>
      <c r="BG4596" s="8">
        <v>81.33</v>
      </c>
      <c r="BH4596" s="9">
        <f t="shared" si="639"/>
        <v>2624.88</v>
      </c>
      <c r="BI4596" s="9">
        <f t="shared" si="640"/>
        <v>14.99</v>
      </c>
      <c r="BJ4596" s="9">
        <f t="shared" si="641"/>
        <v>4.1900000000000004</v>
      </c>
      <c r="BK4596" s="9">
        <f t="shared" si="642"/>
        <v>23.64</v>
      </c>
      <c r="BL4596" s="9">
        <f t="shared" si="643"/>
        <v>0</v>
      </c>
      <c r="BM4596" s="9">
        <f t="shared" si="644"/>
        <v>131.7773</v>
      </c>
      <c r="BN4596" s="9">
        <f t="shared" si="645"/>
        <v>1076.21</v>
      </c>
      <c r="BO4596" s="9">
        <f t="shared" si="646"/>
        <v>0</v>
      </c>
      <c r="BP4596" s="9">
        <f t="shared" si="647"/>
        <v>0</v>
      </c>
    </row>
    <row r="4597" spans="1:68">
      <c r="A4597" s="6">
        <v>45422</v>
      </c>
      <c r="B4597" s="7">
        <v>3309</v>
      </c>
      <c r="C4597" s="8"/>
      <c r="D4597" s="8">
        <v>1181.25</v>
      </c>
      <c r="E4597" s="8"/>
      <c r="F4597" s="8"/>
      <c r="G4597" s="8"/>
      <c r="H4597" s="8"/>
      <c r="I4597" s="8"/>
      <c r="J4597" s="8"/>
      <c r="K4597" s="8"/>
      <c r="L4597" s="8"/>
      <c r="M4597" s="8">
        <v>2.37</v>
      </c>
      <c r="N4597" s="8"/>
      <c r="O4597" s="8"/>
      <c r="P4597" s="8"/>
      <c r="Q4597" s="11"/>
      <c r="R4597" s="11"/>
      <c r="S4597" s="8">
        <v>1.78</v>
      </c>
      <c r="T4597" s="8"/>
      <c r="U4597" s="8">
        <v>10.64</v>
      </c>
      <c r="V4597" s="8"/>
      <c r="W4597" s="8"/>
      <c r="X4597" s="8"/>
      <c r="Y4597" s="8"/>
      <c r="Z4597" s="8"/>
      <c r="AA4597" s="8"/>
      <c r="AB4597" s="8"/>
      <c r="AC4597" s="8"/>
      <c r="AD4597" s="8"/>
      <c r="AE4597" s="8"/>
      <c r="AF4597" s="8"/>
      <c r="AG4597" s="8">
        <v>11.82</v>
      </c>
      <c r="AH4597" s="8"/>
      <c r="AI4597" s="8"/>
      <c r="AJ4597" s="8"/>
      <c r="AK4597" s="8"/>
      <c r="AL4597" s="8"/>
      <c r="AM4597" s="8"/>
      <c r="AN4597" s="8"/>
      <c r="AO4597" s="8"/>
      <c r="AP4597" s="11"/>
      <c r="AQ4597" s="8"/>
      <c r="AR4597" s="8"/>
      <c r="AS4597" s="8"/>
      <c r="AT4597" s="8">
        <v>316.02</v>
      </c>
      <c r="AU4597" s="8">
        <v>157.99</v>
      </c>
      <c r="AV4597" s="8"/>
      <c r="AW4597" s="8"/>
      <c r="AX4597" s="8"/>
      <c r="AY4597" s="8"/>
      <c r="AZ4597" s="8"/>
      <c r="BA4597" s="8"/>
      <c r="BB4597" s="8"/>
      <c r="BC4597" s="8">
        <v>1.1000000000000001</v>
      </c>
      <c r="BD4597" s="8"/>
      <c r="BE4597" s="8"/>
      <c r="BF4597" s="8"/>
      <c r="BG4597" s="8">
        <v>32.68</v>
      </c>
      <c r="BH4597" s="9">
        <f t="shared" si="639"/>
        <v>1181.25</v>
      </c>
      <c r="BI4597" s="9">
        <f t="shared" si="640"/>
        <v>2.37</v>
      </c>
      <c r="BJ4597" s="9">
        <f t="shared" si="641"/>
        <v>1.78</v>
      </c>
      <c r="BK4597" s="9">
        <f t="shared" si="642"/>
        <v>10.64</v>
      </c>
      <c r="BL4597" s="9">
        <f t="shared" si="643"/>
        <v>0</v>
      </c>
      <c r="BM4597" s="9">
        <f t="shared" si="644"/>
        <v>11.82</v>
      </c>
      <c r="BN4597" s="9">
        <f t="shared" si="645"/>
        <v>474.01</v>
      </c>
      <c r="BO4597" s="9">
        <f t="shared" si="646"/>
        <v>1.1000000000000001</v>
      </c>
      <c r="BP4597" s="9">
        <f t="shared" si="647"/>
        <v>0</v>
      </c>
    </row>
    <row r="4598" spans="1:68">
      <c r="A4598" s="6">
        <v>45425</v>
      </c>
      <c r="B4598" s="7">
        <v>3602</v>
      </c>
      <c r="C4598" s="8">
        <v>565.98</v>
      </c>
      <c r="D4598" s="8"/>
      <c r="E4598" s="8"/>
      <c r="F4598" s="8"/>
      <c r="G4598" s="8">
        <v>850.01</v>
      </c>
      <c r="H4598" s="8"/>
      <c r="I4598" s="8"/>
      <c r="J4598" s="8"/>
      <c r="K4598" s="8"/>
      <c r="L4598" s="8"/>
      <c r="M4598" s="8">
        <v>1.68</v>
      </c>
      <c r="N4598" s="8"/>
      <c r="O4598" s="8"/>
      <c r="P4598" s="8"/>
      <c r="Q4598" s="11"/>
      <c r="R4598" s="11"/>
      <c r="S4598" s="8">
        <v>6.23</v>
      </c>
      <c r="T4598" s="8"/>
      <c r="U4598" s="8">
        <v>11.38</v>
      </c>
      <c r="V4598" s="8">
        <f>857*16.27/1000</f>
        <v>13.943389999999999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11"/>
      <c r="AQ4598" s="8"/>
      <c r="AR4598" s="8"/>
      <c r="AS4598" s="8"/>
      <c r="AT4598" s="8">
        <v>573.70000000000005</v>
      </c>
      <c r="AU4598" s="8"/>
      <c r="AV4598" s="8"/>
      <c r="AW4598" s="8">
        <v>36.79</v>
      </c>
      <c r="AX4598" s="8"/>
      <c r="AY4598" s="8"/>
      <c r="AZ4598" s="8"/>
      <c r="BA4598" s="8"/>
      <c r="BB4598" s="8"/>
      <c r="BC4598" s="8"/>
      <c r="BD4598" s="8"/>
      <c r="BE4598" s="8"/>
      <c r="BF4598" s="8">
        <v>45.61</v>
      </c>
      <c r="BG4598" s="8">
        <v>42.53</v>
      </c>
      <c r="BH4598" s="9">
        <f t="shared" si="639"/>
        <v>1415.99</v>
      </c>
      <c r="BI4598" s="9">
        <f t="shared" si="640"/>
        <v>1.68</v>
      </c>
      <c r="BJ4598" s="9">
        <f t="shared" si="641"/>
        <v>6.23</v>
      </c>
      <c r="BK4598" s="9">
        <f t="shared" si="642"/>
        <v>25.32339</v>
      </c>
      <c r="BL4598" s="9">
        <f t="shared" si="643"/>
        <v>0</v>
      </c>
      <c r="BM4598" s="9">
        <f t="shared" si="644"/>
        <v>0</v>
      </c>
      <c r="BN4598" s="9">
        <f t="shared" si="645"/>
        <v>573.70000000000005</v>
      </c>
      <c r="BO4598" s="9">
        <f t="shared" si="646"/>
        <v>36.79</v>
      </c>
      <c r="BP4598" s="9">
        <f t="shared" si="647"/>
        <v>45.61</v>
      </c>
    </row>
    <row r="4599" spans="1:68">
      <c r="A4599" s="6">
        <v>45425</v>
      </c>
      <c r="B4599" s="7">
        <v>3147</v>
      </c>
      <c r="C4599" s="8">
        <v>795.9</v>
      </c>
      <c r="D4599" s="8">
        <v>141.69999999999999</v>
      </c>
      <c r="E4599" s="8"/>
      <c r="F4599" s="8"/>
      <c r="G4599" s="8"/>
      <c r="H4599" s="8"/>
      <c r="I4599" s="8"/>
      <c r="J4599" s="8"/>
      <c r="K4599" s="8"/>
      <c r="L4599" s="8"/>
      <c r="M4599" s="8">
        <v>2.57</v>
      </c>
      <c r="N4599" s="8"/>
      <c r="O4599" s="8"/>
      <c r="P4599" s="8"/>
      <c r="Q4599" s="11"/>
      <c r="R4599" s="11"/>
      <c r="S4599" s="8">
        <v>4.4000000000000004</v>
      </c>
      <c r="T4599" s="8"/>
      <c r="U4599" s="8">
        <v>14.06</v>
      </c>
      <c r="V4599" s="8"/>
      <c r="W4599" s="8"/>
      <c r="X4599" s="8"/>
      <c r="Y4599" s="8"/>
      <c r="Z4599" s="8"/>
      <c r="AA4599" s="8"/>
      <c r="AB4599" s="8"/>
      <c r="AC4599" s="8">
        <v>3.75</v>
      </c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11">
        <f>658*11.7/1000</f>
        <v>7.6985999999999999</v>
      </c>
      <c r="AQ4599" s="8"/>
      <c r="AR4599" s="8"/>
      <c r="AS4599" s="8"/>
      <c r="AT4599" s="8">
        <v>616.87</v>
      </c>
      <c r="AU4599" s="8"/>
      <c r="AV4599" s="8"/>
      <c r="AW4599" s="8"/>
      <c r="AX4599" s="8"/>
      <c r="AY4599" s="8"/>
      <c r="AZ4599" s="8"/>
      <c r="BA4599" s="8"/>
      <c r="BB4599" s="8"/>
      <c r="BC4599" s="8"/>
      <c r="BD4599" s="8"/>
      <c r="BE4599" s="8"/>
      <c r="BF4599" s="8">
        <v>65.56</v>
      </c>
      <c r="BG4599" s="8">
        <v>48.66</v>
      </c>
      <c r="BH4599" s="9">
        <f t="shared" si="639"/>
        <v>937.59999999999991</v>
      </c>
      <c r="BI4599" s="9">
        <f t="shared" si="640"/>
        <v>2.57</v>
      </c>
      <c r="BJ4599" s="9">
        <f t="shared" si="641"/>
        <v>4.4000000000000004</v>
      </c>
      <c r="BK4599" s="9">
        <f t="shared" si="642"/>
        <v>14.06</v>
      </c>
      <c r="BL4599" s="9">
        <f t="shared" si="643"/>
        <v>0</v>
      </c>
      <c r="BM4599" s="9">
        <f t="shared" si="644"/>
        <v>11.448599999999999</v>
      </c>
      <c r="BN4599" s="9">
        <f t="shared" si="645"/>
        <v>616.87</v>
      </c>
      <c r="BO4599" s="9">
        <f t="shared" si="646"/>
        <v>0</v>
      </c>
      <c r="BP4599" s="9">
        <f t="shared" si="647"/>
        <v>65.56</v>
      </c>
    </row>
    <row r="4600" spans="1:68">
      <c r="A4600" s="6">
        <v>45425</v>
      </c>
      <c r="B4600" s="7">
        <v>3205</v>
      </c>
      <c r="C4600" s="8">
        <v>682.86</v>
      </c>
      <c r="D4600" s="8">
        <v>381.5</v>
      </c>
      <c r="E4600" s="8">
        <v>456.32</v>
      </c>
      <c r="F4600" s="8"/>
      <c r="G4600" s="8"/>
      <c r="H4600" s="8"/>
      <c r="I4600" s="8"/>
      <c r="J4600" s="8"/>
      <c r="K4600" s="8"/>
      <c r="L4600" s="8"/>
      <c r="M4600" s="8"/>
      <c r="N4600" s="8"/>
      <c r="O4600" s="8">
        <v>6.08</v>
      </c>
      <c r="P4600" s="8"/>
      <c r="Q4600" s="11"/>
      <c r="R4600" s="11"/>
      <c r="S4600" s="8">
        <v>5.63</v>
      </c>
      <c r="T4600" s="8"/>
      <c r="U4600" s="8">
        <v>18.260000000000002</v>
      </c>
      <c r="V4600" s="8"/>
      <c r="W4600" s="8"/>
      <c r="X4600" s="8"/>
      <c r="Y4600" s="8"/>
      <c r="Z4600" s="8">
        <v>152.22999999999999</v>
      </c>
      <c r="AA4600" s="8"/>
      <c r="AB4600" s="8">
        <f>1021*15.22/1000</f>
        <v>15.539620000000001</v>
      </c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11"/>
      <c r="AQ4600" s="8">
        <f>512*15.22/1000</f>
        <v>7.7926400000000005</v>
      </c>
      <c r="AR4600" s="8"/>
      <c r="AS4600" s="8"/>
      <c r="AT4600" s="8">
        <v>396.88</v>
      </c>
      <c r="AU4600" s="8">
        <v>197.91</v>
      </c>
      <c r="AV4600" s="8"/>
      <c r="AW4600" s="8">
        <v>6.56</v>
      </c>
      <c r="AX4600" s="8"/>
      <c r="AY4600" s="8"/>
      <c r="AZ4600" s="8"/>
      <c r="BA4600" s="8"/>
      <c r="BB4600" s="8"/>
      <c r="BC4600" s="8"/>
      <c r="BD4600" s="8"/>
      <c r="BE4600" s="8"/>
      <c r="BF4600" s="8"/>
      <c r="BG4600" s="8">
        <v>36.090000000000003</v>
      </c>
      <c r="BH4600" s="9">
        <f t="shared" si="639"/>
        <v>1520.68</v>
      </c>
      <c r="BI4600" s="9">
        <f t="shared" si="640"/>
        <v>6.08</v>
      </c>
      <c r="BJ4600" s="9">
        <f t="shared" si="641"/>
        <v>5.63</v>
      </c>
      <c r="BK4600" s="9">
        <f t="shared" si="642"/>
        <v>18.260000000000002</v>
      </c>
      <c r="BL4600" s="9">
        <f t="shared" si="643"/>
        <v>152.22999999999999</v>
      </c>
      <c r="BM4600" s="9">
        <f t="shared" si="644"/>
        <v>23.332260000000002</v>
      </c>
      <c r="BN4600" s="9">
        <f t="shared" si="645"/>
        <v>594.79</v>
      </c>
      <c r="BO4600" s="9">
        <f t="shared" si="646"/>
        <v>6.56</v>
      </c>
      <c r="BP4600" s="9">
        <f t="shared" si="647"/>
        <v>0</v>
      </c>
    </row>
    <row r="4601" spans="1:68">
      <c r="A4601" s="6">
        <v>45425</v>
      </c>
      <c r="B4601" s="7">
        <v>3141</v>
      </c>
      <c r="C4601" s="8">
        <v>4680.8</v>
      </c>
      <c r="D4601" s="8">
        <v>827.27</v>
      </c>
      <c r="E4601" s="8"/>
      <c r="F4601" s="8"/>
      <c r="G4601" s="8"/>
      <c r="H4601" s="8"/>
      <c r="I4601" s="8"/>
      <c r="J4601" s="8"/>
      <c r="K4601" s="8"/>
      <c r="L4601" s="8"/>
      <c r="M4601" s="8">
        <v>16.05</v>
      </c>
      <c r="N4601" s="8"/>
      <c r="O4601" s="8"/>
      <c r="P4601" s="8"/>
      <c r="Q4601" s="11"/>
      <c r="R4601" s="11"/>
      <c r="S4601" s="8">
        <v>25.95</v>
      </c>
      <c r="T4601" s="8"/>
      <c r="U4601" s="8">
        <v>82.79</v>
      </c>
      <c r="V4601" s="8"/>
      <c r="W4601" s="8"/>
      <c r="X4601" s="8"/>
      <c r="Y4601" s="8"/>
      <c r="Z4601" s="8"/>
      <c r="AA4601" s="8"/>
      <c r="AB4601" s="8"/>
      <c r="AC4601" s="8">
        <v>22.09</v>
      </c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11"/>
      <c r="AQ4601" s="8"/>
      <c r="AR4601" s="8"/>
      <c r="AS4601" s="8"/>
      <c r="AT4601" s="8">
        <v>3639.75</v>
      </c>
      <c r="AU4601" s="8"/>
      <c r="AV4601" s="8"/>
      <c r="AW4601" s="8"/>
      <c r="AX4601" s="8"/>
      <c r="AY4601" s="8"/>
      <c r="AZ4601" s="8"/>
      <c r="BA4601" s="8">
        <v>126.52</v>
      </c>
      <c r="BB4601" s="8"/>
      <c r="BC4601" s="8"/>
      <c r="BD4601" s="8"/>
      <c r="BE4601" s="8"/>
      <c r="BF4601" s="8">
        <v>386.21</v>
      </c>
      <c r="BG4601" s="8">
        <v>286.33999999999997</v>
      </c>
      <c r="BH4601" s="9">
        <f t="shared" si="639"/>
        <v>5508.07</v>
      </c>
      <c r="BI4601" s="9">
        <f t="shared" si="640"/>
        <v>16.05</v>
      </c>
      <c r="BJ4601" s="9">
        <f t="shared" si="641"/>
        <v>25.95</v>
      </c>
      <c r="BK4601" s="9">
        <f t="shared" si="642"/>
        <v>82.79</v>
      </c>
      <c r="BL4601" s="9">
        <f t="shared" si="643"/>
        <v>0</v>
      </c>
      <c r="BM4601" s="9">
        <f t="shared" si="644"/>
        <v>22.09</v>
      </c>
      <c r="BN4601" s="9">
        <f t="shared" si="645"/>
        <v>3639.75</v>
      </c>
      <c r="BO4601" s="9">
        <f t="shared" si="646"/>
        <v>126.52</v>
      </c>
      <c r="BP4601" s="9">
        <f t="shared" si="647"/>
        <v>386.21</v>
      </c>
    </row>
    <row r="4602" spans="1:68">
      <c r="A4602" s="6">
        <v>45425</v>
      </c>
      <c r="B4602" s="7">
        <v>3016</v>
      </c>
      <c r="C4602" s="8"/>
      <c r="D4602" s="8">
        <v>1634.56</v>
      </c>
      <c r="E4602" s="8"/>
      <c r="F4602" s="8"/>
      <c r="G4602" s="8"/>
      <c r="H4602" s="8"/>
      <c r="I4602" s="8">
        <v>1510.32</v>
      </c>
      <c r="J4602" s="8"/>
      <c r="K4602" s="8"/>
      <c r="L4602" s="8"/>
      <c r="M4602" s="8"/>
      <c r="N4602" s="8">
        <v>20.16</v>
      </c>
      <c r="O4602" s="8"/>
      <c r="P4602" s="8"/>
      <c r="Q4602" s="11"/>
      <c r="R4602" s="11"/>
      <c r="S4602" s="8">
        <v>2.19</v>
      </c>
      <c r="T4602" s="8"/>
      <c r="U4602" s="8"/>
      <c r="V4602" s="8"/>
      <c r="W4602" s="8">
        <v>31.46</v>
      </c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>
        <v>12.5</v>
      </c>
      <c r="AN4602" s="8">
        <f>2061*18.52/1000</f>
        <v>38.169719999999998</v>
      </c>
      <c r="AO4602" s="8"/>
      <c r="AP4602" s="11"/>
      <c r="AQ4602" s="8"/>
      <c r="AR4602" s="8">
        <f>4315*18.52/1000</f>
        <v>79.913800000000009</v>
      </c>
      <c r="AS4602" s="8"/>
      <c r="AT4602" s="8">
        <v>1169.9100000000001</v>
      </c>
      <c r="AU4602" s="8"/>
      <c r="AV4602" s="8"/>
      <c r="AW4602" s="8"/>
      <c r="AX4602" s="8"/>
      <c r="AY4602" s="8"/>
      <c r="AZ4602" s="8"/>
      <c r="BA4602" s="8"/>
      <c r="BB4602" s="8"/>
      <c r="BC4602" s="8"/>
      <c r="BD4602" s="8"/>
      <c r="BE4602" s="8"/>
      <c r="BF4602" s="8"/>
      <c r="BG4602" s="8">
        <v>85.43</v>
      </c>
      <c r="BH4602" s="9">
        <f t="shared" si="639"/>
        <v>3144.88</v>
      </c>
      <c r="BI4602" s="9">
        <f t="shared" si="640"/>
        <v>20.16</v>
      </c>
      <c r="BJ4602" s="9">
        <f t="shared" si="641"/>
        <v>2.19</v>
      </c>
      <c r="BK4602" s="9">
        <f t="shared" si="642"/>
        <v>31.46</v>
      </c>
      <c r="BL4602" s="9">
        <f t="shared" si="643"/>
        <v>0</v>
      </c>
      <c r="BM4602" s="9">
        <f t="shared" si="644"/>
        <v>130.58352000000002</v>
      </c>
      <c r="BN4602" s="9">
        <f t="shared" si="645"/>
        <v>1169.9100000000001</v>
      </c>
      <c r="BO4602" s="9">
        <f t="shared" si="646"/>
        <v>0</v>
      </c>
      <c r="BP4602" s="9">
        <f t="shared" si="647"/>
        <v>0</v>
      </c>
    </row>
    <row r="4603" spans="1:68">
      <c r="A4603" s="6">
        <v>45425</v>
      </c>
      <c r="B4603" s="7">
        <v>3079</v>
      </c>
      <c r="C4603" s="8"/>
      <c r="D4603" s="8"/>
      <c r="E4603" s="8"/>
      <c r="F4603" s="8">
        <v>520.37</v>
      </c>
      <c r="G4603" s="8"/>
      <c r="H4603" s="8"/>
      <c r="I4603" s="8">
        <v>4210.72</v>
      </c>
      <c r="J4603" s="8"/>
      <c r="K4603" s="8"/>
      <c r="L4603" s="8"/>
      <c r="M4603" s="8"/>
      <c r="N4603" s="8">
        <v>34.57</v>
      </c>
      <c r="O4603" s="8"/>
      <c r="P4603" s="8"/>
      <c r="Q4603" s="11"/>
      <c r="R4603" s="11"/>
      <c r="S4603" s="8">
        <v>1.89</v>
      </c>
      <c r="T4603" s="8"/>
      <c r="U4603" s="8"/>
      <c r="V4603" s="8"/>
      <c r="W4603" s="8">
        <v>47.37</v>
      </c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>
        <v>18.91</v>
      </c>
      <c r="AN4603" s="8">
        <f>1713*27.85/1000</f>
        <v>47.707050000000002</v>
      </c>
      <c r="AO4603" s="8"/>
      <c r="AP4603" s="11"/>
      <c r="AQ4603" s="8"/>
      <c r="AR4603" s="8">
        <f>4315*27.85/1000</f>
        <v>120.17274999999999</v>
      </c>
      <c r="AS4603" s="8"/>
      <c r="AT4603" s="8">
        <v>1827.23</v>
      </c>
      <c r="AU4603" s="8"/>
      <c r="AV4603" s="8"/>
      <c r="AW4603" s="8"/>
      <c r="AX4603" s="8"/>
      <c r="AY4603" s="8"/>
      <c r="AZ4603" s="8"/>
      <c r="BA4603" s="8"/>
      <c r="BB4603" s="8"/>
      <c r="BC4603" s="8"/>
      <c r="BD4603" s="8"/>
      <c r="BE4603" s="8"/>
      <c r="BF4603" s="8"/>
      <c r="BG4603" s="8">
        <v>132.36000000000001</v>
      </c>
      <c r="BH4603" s="9">
        <f t="shared" si="639"/>
        <v>4731.09</v>
      </c>
      <c r="BI4603" s="9">
        <f t="shared" si="640"/>
        <v>34.57</v>
      </c>
      <c r="BJ4603" s="9">
        <f t="shared" si="641"/>
        <v>1.89</v>
      </c>
      <c r="BK4603" s="9">
        <f t="shared" si="642"/>
        <v>47.37</v>
      </c>
      <c r="BL4603" s="9">
        <f t="shared" si="643"/>
        <v>0</v>
      </c>
      <c r="BM4603" s="9">
        <f t="shared" si="644"/>
        <v>186.78980000000001</v>
      </c>
      <c r="BN4603" s="9">
        <f t="shared" si="645"/>
        <v>1827.23</v>
      </c>
      <c r="BO4603" s="9">
        <f t="shared" si="646"/>
        <v>0</v>
      </c>
      <c r="BP4603" s="9">
        <f t="shared" si="647"/>
        <v>0</v>
      </c>
    </row>
    <row r="4604" spans="1:68">
      <c r="A4604" s="6">
        <v>45425</v>
      </c>
      <c r="B4604" s="7">
        <v>3148</v>
      </c>
      <c r="C4604" s="8">
        <v>690.28</v>
      </c>
      <c r="D4604" s="8"/>
      <c r="E4604" s="8"/>
      <c r="F4604" s="8"/>
      <c r="G4604" s="8"/>
      <c r="H4604" s="8"/>
      <c r="I4604" s="8"/>
      <c r="J4604" s="8"/>
      <c r="K4604" s="8"/>
      <c r="L4604" s="8"/>
      <c r="M4604" s="8">
        <v>1.73</v>
      </c>
      <c r="N4604" s="8"/>
      <c r="O4604" s="8"/>
      <c r="P4604" s="8"/>
      <c r="Q4604" s="11"/>
      <c r="R4604" s="11"/>
      <c r="S4604" s="8">
        <v>2.4900000000000002</v>
      </c>
      <c r="T4604" s="8"/>
      <c r="U4604" s="8">
        <v>6.92</v>
      </c>
      <c r="V4604" s="8"/>
      <c r="W4604" s="8"/>
      <c r="X4604" s="8"/>
      <c r="Y4604" s="8"/>
      <c r="Z4604" s="8"/>
      <c r="AA4604" s="8"/>
      <c r="AB4604" s="8"/>
      <c r="AC4604" s="8">
        <v>2.76</v>
      </c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11">
        <f>1214*5.75/1000</f>
        <v>6.9805000000000001</v>
      </c>
      <c r="AQ4604" s="8"/>
      <c r="AR4604" s="8"/>
      <c r="AS4604" s="8"/>
      <c r="AT4604" s="8">
        <v>365.25</v>
      </c>
      <c r="AU4604" s="8"/>
      <c r="AV4604" s="8"/>
      <c r="AW4604" s="8"/>
      <c r="AX4604" s="8"/>
      <c r="AY4604" s="8"/>
      <c r="AZ4604" s="8"/>
      <c r="BA4604" s="8"/>
      <c r="BB4604" s="8"/>
      <c r="BC4604" s="8"/>
      <c r="BD4604" s="8"/>
      <c r="BE4604" s="8"/>
      <c r="BF4604" s="8"/>
      <c r="BG4604" s="8">
        <v>26.92</v>
      </c>
      <c r="BH4604" s="9">
        <f t="shared" si="639"/>
        <v>690.28</v>
      </c>
      <c r="BI4604" s="9">
        <f t="shared" si="640"/>
        <v>1.73</v>
      </c>
      <c r="BJ4604" s="9">
        <f t="shared" si="641"/>
        <v>2.4900000000000002</v>
      </c>
      <c r="BK4604" s="9">
        <f t="shared" si="642"/>
        <v>6.92</v>
      </c>
      <c r="BL4604" s="9">
        <f t="shared" si="643"/>
        <v>0</v>
      </c>
      <c r="BM4604" s="9">
        <f t="shared" si="644"/>
        <v>9.7405000000000008</v>
      </c>
      <c r="BN4604" s="9">
        <f t="shared" si="645"/>
        <v>365.25</v>
      </c>
      <c r="BO4604" s="9">
        <f t="shared" si="646"/>
        <v>0</v>
      </c>
      <c r="BP4604" s="9">
        <f t="shared" si="647"/>
        <v>0</v>
      </c>
    </row>
    <row r="4605" spans="1:68">
      <c r="A4605" s="6">
        <v>45426</v>
      </c>
      <c r="B4605" s="7">
        <v>3703</v>
      </c>
      <c r="C4605" s="8">
        <v>497.59</v>
      </c>
      <c r="D4605" s="8">
        <v>332.34</v>
      </c>
      <c r="E4605" s="8"/>
      <c r="F4605" s="8"/>
      <c r="G4605" s="8"/>
      <c r="H4605" s="8"/>
      <c r="I4605" s="8"/>
      <c r="J4605" s="8"/>
      <c r="K4605" s="8"/>
      <c r="L4605" s="8"/>
      <c r="M4605" s="8">
        <v>1.66</v>
      </c>
      <c r="N4605" s="8"/>
      <c r="O4605" s="8"/>
      <c r="P4605" s="8"/>
      <c r="Q4605" s="11"/>
      <c r="R4605" s="11"/>
      <c r="S4605" s="8">
        <v>4.08</v>
      </c>
      <c r="T4605" s="8"/>
      <c r="U4605" s="8">
        <v>6.66</v>
      </c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>
        <v>8.25</v>
      </c>
      <c r="AN4605" s="8"/>
      <c r="AO4605" s="8"/>
      <c r="AP4605" s="11"/>
      <c r="AQ4605" s="8"/>
      <c r="AR4605" s="8"/>
      <c r="AS4605" s="8"/>
      <c r="AT4605" s="8">
        <v>201.71</v>
      </c>
      <c r="AU4605" s="8">
        <v>100.7</v>
      </c>
      <c r="AV4605" s="8"/>
      <c r="AW4605" s="8"/>
      <c r="AX4605" s="8"/>
      <c r="AY4605" s="8"/>
      <c r="AZ4605" s="8"/>
      <c r="BA4605" s="8"/>
      <c r="BB4605" s="8"/>
      <c r="BC4605" s="8"/>
      <c r="BD4605" s="8"/>
      <c r="BE4605" s="8"/>
      <c r="BF4605" s="8"/>
      <c r="BG4605" s="8">
        <v>21.27</v>
      </c>
      <c r="BH4605" s="9">
        <f t="shared" si="639"/>
        <v>829.93</v>
      </c>
      <c r="BI4605" s="9">
        <f t="shared" si="640"/>
        <v>1.66</v>
      </c>
      <c r="BJ4605" s="9">
        <f t="shared" si="641"/>
        <v>4.08</v>
      </c>
      <c r="BK4605" s="9">
        <f t="shared" si="642"/>
        <v>6.66</v>
      </c>
      <c r="BL4605" s="9">
        <f t="shared" si="643"/>
        <v>0</v>
      </c>
      <c r="BM4605" s="9">
        <f t="shared" si="644"/>
        <v>8.25</v>
      </c>
      <c r="BN4605" s="9">
        <f t="shared" si="645"/>
        <v>302.41000000000003</v>
      </c>
      <c r="BO4605" s="9">
        <f t="shared" si="646"/>
        <v>0</v>
      </c>
      <c r="BP4605" s="9">
        <f t="shared" si="647"/>
        <v>0</v>
      </c>
    </row>
    <row r="4606" spans="1:68">
      <c r="A4606" s="6">
        <v>45426</v>
      </c>
      <c r="B4606" s="7">
        <v>3200</v>
      </c>
      <c r="C4606" s="8">
        <v>2259.1</v>
      </c>
      <c r="D4606" s="8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>
        <v>5.64</v>
      </c>
      <c r="P4606" s="8"/>
      <c r="Q4606" s="11"/>
      <c r="R4606" s="11"/>
      <c r="S4606" s="8">
        <v>8.82</v>
      </c>
      <c r="T4606" s="8"/>
      <c r="U4606" s="8">
        <v>33.9</v>
      </c>
      <c r="V4606" s="8"/>
      <c r="W4606" s="8"/>
      <c r="X4606" s="8"/>
      <c r="Y4606" s="8"/>
      <c r="Z4606" s="8">
        <v>475.28</v>
      </c>
      <c r="AA4606" s="8"/>
      <c r="AB4606" s="8"/>
      <c r="AC4606" s="8"/>
      <c r="AD4606" s="8"/>
      <c r="AE4606" s="8"/>
      <c r="AF4606" s="8">
        <v>112.96</v>
      </c>
      <c r="AG4606" s="8"/>
      <c r="AH4606" s="8"/>
      <c r="AI4606" s="8"/>
      <c r="AJ4606" s="8"/>
      <c r="AK4606" s="8"/>
      <c r="AL4606" s="8"/>
      <c r="AM4606" s="8"/>
      <c r="AN4606" s="8"/>
      <c r="AO4606" s="8"/>
      <c r="AP4606" s="11"/>
      <c r="AQ4606" s="8">
        <f>1519*22.6/1000</f>
        <v>34.3294</v>
      </c>
      <c r="AR4606" s="8"/>
      <c r="AS4606" s="8"/>
      <c r="AT4606" s="8">
        <v>1548.29</v>
      </c>
      <c r="AU4606" s="8"/>
      <c r="AV4606" s="8"/>
      <c r="AW4606" s="8">
        <v>6.51</v>
      </c>
      <c r="AX4606" s="8"/>
      <c r="AY4606" s="8"/>
      <c r="AZ4606" s="8"/>
      <c r="BA4606" s="8"/>
      <c r="BB4606" s="8"/>
      <c r="BC4606" s="8"/>
      <c r="BD4606" s="8"/>
      <c r="BE4606" s="8"/>
      <c r="BF4606" s="8">
        <v>108.62</v>
      </c>
      <c r="BG4606" s="8">
        <v>111.81</v>
      </c>
      <c r="BH4606" s="9">
        <f t="shared" si="639"/>
        <v>2259.1</v>
      </c>
      <c r="BI4606" s="9">
        <f t="shared" si="640"/>
        <v>5.64</v>
      </c>
      <c r="BJ4606" s="9">
        <f t="shared" si="641"/>
        <v>8.82</v>
      </c>
      <c r="BK4606" s="9">
        <f t="shared" si="642"/>
        <v>33.9</v>
      </c>
      <c r="BL4606" s="9">
        <f t="shared" si="643"/>
        <v>475.28</v>
      </c>
      <c r="BM4606" s="9">
        <f t="shared" si="644"/>
        <v>147.2894</v>
      </c>
      <c r="BN4606" s="9">
        <f t="shared" si="645"/>
        <v>1548.29</v>
      </c>
      <c r="BO4606" s="9">
        <f t="shared" si="646"/>
        <v>6.51</v>
      </c>
      <c r="BP4606" s="9">
        <f t="shared" si="647"/>
        <v>108.62</v>
      </c>
    </row>
    <row r="4607" spans="1:68">
      <c r="A4607" s="6">
        <v>45426</v>
      </c>
      <c r="B4607" s="7">
        <v>3005</v>
      </c>
      <c r="C4607" s="8">
        <v>418.42</v>
      </c>
      <c r="D4607" s="8">
        <v>279.52999999999997</v>
      </c>
      <c r="E4607" s="8"/>
      <c r="F4607" s="8"/>
      <c r="G4607" s="8"/>
      <c r="H4607" s="8"/>
      <c r="I4607" s="8"/>
      <c r="J4607" s="8"/>
      <c r="K4607" s="8"/>
      <c r="L4607" s="8"/>
      <c r="M4607" s="8"/>
      <c r="N4607" s="8">
        <v>0.7</v>
      </c>
      <c r="O4607" s="8"/>
      <c r="P4607" s="8"/>
      <c r="Q4607" s="11"/>
      <c r="R4607" s="11"/>
      <c r="S4607" s="8">
        <v>2.44</v>
      </c>
      <c r="T4607" s="8"/>
      <c r="U4607" s="8"/>
      <c r="V4607" s="8"/>
      <c r="W4607" s="8">
        <v>7.68</v>
      </c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11"/>
      <c r="AQ4607" s="8"/>
      <c r="AR4607" s="8"/>
      <c r="AS4607" s="8"/>
      <c r="AT4607" s="8">
        <v>341.63</v>
      </c>
      <c r="AU4607" s="8"/>
      <c r="AV4607" s="8"/>
      <c r="AW4607" s="8">
        <v>7.75</v>
      </c>
      <c r="AX4607" s="8"/>
      <c r="AY4607" s="8"/>
      <c r="AZ4607" s="8"/>
      <c r="BA4607" s="8"/>
      <c r="BB4607" s="8"/>
      <c r="BC4607" s="8"/>
      <c r="BD4607" s="8"/>
      <c r="BE4607" s="8"/>
      <c r="BF4607" s="8"/>
      <c r="BG4607" s="8">
        <v>25.44</v>
      </c>
      <c r="BH4607" s="9">
        <f t="shared" si="639"/>
        <v>697.95</v>
      </c>
      <c r="BI4607" s="9">
        <f t="shared" si="640"/>
        <v>0.7</v>
      </c>
      <c r="BJ4607" s="9">
        <f t="shared" si="641"/>
        <v>2.44</v>
      </c>
      <c r="BK4607" s="9">
        <f t="shared" si="642"/>
        <v>7.68</v>
      </c>
      <c r="BL4607" s="9">
        <f t="shared" si="643"/>
        <v>0</v>
      </c>
      <c r="BM4607" s="9">
        <f t="shared" si="644"/>
        <v>0</v>
      </c>
      <c r="BN4607" s="9">
        <f t="shared" si="645"/>
        <v>341.63</v>
      </c>
      <c r="BO4607" s="9">
        <f t="shared" si="646"/>
        <v>7.75</v>
      </c>
      <c r="BP4607" s="9">
        <f t="shared" si="647"/>
        <v>0</v>
      </c>
    </row>
    <row r="4608" spans="1:68">
      <c r="A4608" s="6">
        <v>45426</v>
      </c>
      <c r="B4608" s="7">
        <v>3010</v>
      </c>
      <c r="C4608" s="8">
        <v>624.29</v>
      </c>
      <c r="D4608" s="8">
        <v>416.19</v>
      </c>
      <c r="E4608" s="8"/>
      <c r="F4608" s="8"/>
      <c r="G4608" s="8"/>
      <c r="H4608" s="8"/>
      <c r="I4608" s="8"/>
      <c r="J4608" s="8"/>
      <c r="K4608" s="8"/>
      <c r="L4608" s="8"/>
      <c r="M4608" s="8"/>
      <c r="N4608" s="8">
        <v>2.08</v>
      </c>
      <c r="O4608" s="8"/>
      <c r="P4608" s="8"/>
      <c r="Q4608" s="11"/>
      <c r="R4608" s="11"/>
      <c r="S4608" s="8">
        <v>2.91</v>
      </c>
      <c r="T4608" s="8"/>
      <c r="U4608" s="8"/>
      <c r="V4608" s="8"/>
      <c r="W4608" s="8">
        <v>10.39</v>
      </c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11"/>
      <c r="AQ4608" s="8"/>
      <c r="AR4608" s="8"/>
      <c r="AS4608" s="8"/>
      <c r="AT4608" s="8">
        <v>348.64</v>
      </c>
      <c r="AU4608" s="8"/>
      <c r="AV4608" s="8"/>
      <c r="AW4608" s="8">
        <v>11.54</v>
      </c>
      <c r="AX4608" s="8"/>
      <c r="AY4608" s="8"/>
      <c r="AZ4608" s="8"/>
      <c r="BA4608" s="8"/>
      <c r="BB4608" s="8"/>
      <c r="BC4608" s="8"/>
      <c r="BD4608" s="8"/>
      <c r="BE4608" s="8"/>
      <c r="BF4608" s="8"/>
      <c r="BG4608" s="8">
        <v>22.96</v>
      </c>
      <c r="BH4608" s="9">
        <f t="shared" si="639"/>
        <v>1040.48</v>
      </c>
      <c r="BI4608" s="9">
        <f t="shared" si="640"/>
        <v>2.08</v>
      </c>
      <c r="BJ4608" s="9">
        <f t="shared" si="641"/>
        <v>2.91</v>
      </c>
      <c r="BK4608" s="9">
        <f t="shared" si="642"/>
        <v>10.39</v>
      </c>
      <c r="BL4608" s="9">
        <f t="shared" si="643"/>
        <v>0</v>
      </c>
      <c r="BM4608" s="9">
        <f t="shared" si="644"/>
        <v>0</v>
      </c>
      <c r="BN4608" s="9">
        <f t="shared" si="645"/>
        <v>348.64</v>
      </c>
      <c r="BO4608" s="9">
        <f t="shared" si="646"/>
        <v>11.54</v>
      </c>
      <c r="BP4608" s="9">
        <f t="shared" si="647"/>
        <v>0</v>
      </c>
    </row>
    <row r="4609" spans="1:68">
      <c r="A4609" s="6">
        <v>45426</v>
      </c>
      <c r="B4609" s="7">
        <v>3020</v>
      </c>
      <c r="C4609" s="8"/>
      <c r="D4609" s="8">
        <v>329.53</v>
      </c>
      <c r="E4609" s="8"/>
      <c r="F4609" s="8"/>
      <c r="G4609" s="8"/>
      <c r="H4609" s="8"/>
      <c r="I4609" s="8">
        <v>1866.95</v>
      </c>
      <c r="J4609" s="8"/>
      <c r="K4609" s="8"/>
      <c r="L4609" s="8"/>
      <c r="M4609" s="8"/>
      <c r="N4609" s="8">
        <v>13.41</v>
      </c>
      <c r="O4609" s="8"/>
      <c r="P4609" s="8"/>
      <c r="Q4609" s="11"/>
      <c r="R4609" s="11"/>
      <c r="S4609" s="8">
        <v>3.95</v>
      </c>
      <c r="T4609" s="8"/>
      <c r="U4609" s="8"/>
      <c r="V4609" s="8"/>
      <c r="W4609" s="8">
        <v>21.97</v>
      </c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>
        <v>21.91</v>
      </c>
      <c r="AN4609" s="8"/>
      <c r="AO4609" s="8"/>
      <c r="AP4609" s="11"/>
      <c r="AQ4609" s="8"/>
      <c r="AR4609" s="8"/>
      <c r="AS4609" s="8">
        <f>3026*18.3/1000</f>
        <v>55.375800000000005</v>
      </c>
      <c r="AT4609" s="8">
        <v>1079.57</v>
      </c>
      <c r="AU4609" s="8"/>
      <c r="AV4609" s="8"/>
      <c r="AW4609" s="8"/>
      <c r="AX4609" s="8"/>
      <c r="AY4609" s="8"/>
      <c r="AZ4609" s="8"/>
      <c r="BA4609" s="8"/>
      <c r="BB4609" s="8"/>
      <c r="BC4609" s="8"/>
      <c r="BD4609" s="8"/>
      <c r="BE4609" s="8"/>
      <c r="BF4609" s="8"/>
      <c r="BG4609" s="8">
        <v>79.069999999999993</v>
      </c>
      <c r="BH4609" s="9">
        <f t="shared" si="639"/>
        <v>2196.48</v>
      </c>
      <c r="BI4609" s="9">
        <f t="shared" si="640"/>
        <v>13.41</v>
      </c>
      <c r="BJ4609" s="9">
        <f t="shared" si="641"/>
        <v>3.95</v>
      </c>
      <c r="BK4609" s="9">
        <f t="shared" si="642"/>
        <v>21.97</v>
      </c>
      <c r="BL4609" s="9">
        <f t="shared" si="643"/>
        <v>0</v>
      </c>
      <c r="BM4609" s="9">
        <f t="shared" si="644"/>
        <v>77.285800000000009</v>
      </c>
      <c r="BN4609" s="9">
        <f t="shared" si="645"/>
        <v>1079.57</v>
      </c>
      <c r="BO4609" s="9">
        <f t="shared" si="646"/>
        <v>0</v>
      </c>
      <c r="BP4609" s="9">
        <f t="shared" si="647"/>
        <v>0</v>
      </c>
    </row>
    <row r="4610" spans="1:68">
      <c r="A4610" s="6">
        <v>45426</v>
      </c>
      <c r="B4610" s="7">
        <v>3022</v>
      </c>
      <c r="C4610" s="8"/>
      <c r="D4610" s="8">
        <v>578.15</v>
      </c>
      <c r="E4610" s="8"/>
      <c r="F4610" s="8"/>
      <c r="G4610" s="8"/>
      <c r="H4610" s="8"/>
      <c r="I4610" s="8">
        <v>476.43</v>
      </c>
      <c r="J4610" s="8"/>
      <c r="K4610" s="8"/>
      <c r="L4610" s="8"/>
      <c r="M4610" s="8"/>
      <c r="N4610" s="8">
        <v>5.28</v>
      </c>
      <c r="O4610" s="8"/>
      <c r="P4610" s="8"/>
      <c r="Q4610" s="11"/>
      <c r="R4610" s="11"/>
      <c r="S4610" s="8">
        <v>1.9</v>
      </c>
      <c r="T4610" s="8"/>
      <c r="U4610" s="8"/>
      <c r="V4610" s="8"/>
      <c r="W4610" s="8">
        <v>10.55</v>
      </c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>
        <v>13.65</v>
      </c>
      <c r="AN4610" s="8"/>
      <c r="AO4610" s="8"/>
      <c r="AP4610" s="11"/>
      <c r="AQ4610" s="8"/>
      <c r="AR4610" s="8"/>
      <c r="AS4610" s="8">
        <f>3837*9.6/1000</f>
        <v>36.8352</v>
      </c>
      <c r="AT4610" s="8">
        <v>493.98</v>
      </c>
      <c r="AU4610" s="8"/>
      <c r="AV4610" s="8"/>
      <c r="AW4610" s="8"/>
      <c r="AX4610" s="8"/>
      <c r="AY4610" s="8"/>
      <c r="AZ4610" s="8"/>
      <c r="BA4610" s="8"/>
      <c r="BB4610" s="8"/>
      <c r="BC4610" s="8"/>
      <c r="BD4610" s="8"/>
      <c r="BE4610" s="8"/>
      <c r="BF4610" s="8"/>
      <c r="BG4610" s="8">
        <v>37.97</v>
      </c>
      <c r="BH4610" s="9">
        <f t="shared" si="639"/>
        <v>1054.58</v>
      </c>
      <c r="BI4610" s="9">
        <f t="shared" si="640"/>
        <v>5.28</v>
      </c>
      <c r="BJ4610" s="9">
        <f t="shared" si="641"/>
        <v>1.9</v>
      </c>
      <c r="BK4610" s="9">
        <f t="shared" si="642"/>
        <v>10.55</v>
      </c>
      <c r="BL4610" s="9">
        <f t="shared" si="643"/>
        <v>0</v>
      </c>
      <c r="BM4610" s="9">
        <f t="shared" si="644"/>
        <v>50.485199999999999</v>
      </c>
      <c r="BN4610" s="9">
        <f t="shared" si="645"/>
        <v>493.98</v>
      </c>
      <c r="BO4610" s="9">
        <f t="shared" si="646"/>
        <v>0</v>
      </c>
      <c r="BP4610" s="9">
        <f t="shared" si="647"/>
        <v>0</v>
      </c>
    </row>
    <row r="4611" spans="1:68">
      <c r="A4611" s="6">
        <v>45426</v>
      </c>
      <c r="B4611" s="7">
        <v>3203</v>
      </c>
      <c r="C4611" s="8">
        <v>1692.47</v>
      </c>
      <c r="D4611" s="8"/>
      <c r="E4611" s="8">
        <v>724.72</v>
      </c>
      <c r="F4611" s="8"/>
      <c r="G4611" s="8"/>
      <c r="H4611" s="8"/>
      <c r="I4611" s="8"/>
      <c r="J4611" s="8"/>
      <c r="K4611" s="8"/>
      <c r="L4611" s="8"/>
      <c r="M4611" s="8"/>
      <c r="N4611" s="8"/>
      <c r="O4611" s="8">
        <v>7.26</v>
      </c>
      <c r="P4611" s="8"/>
      <c r="Q4611" s="11"/>
      <c r="R4611" s="11"/>
      <c r="S4611" s="8">
        <v>9.92</v>
      </c>
      <c r="T4611" s="8"/>
      <c r="U4611" s="8">
        <v>29.98</v>
      </c>
      <c r="V4611" s="8"/>
      <c r="W4611" s="8"/>
      <c r="X4611" s="8"/>
      <c r="Y4611" s="8"/>
      <c r="Z4611" s="8">
        <v>381.05</v>
      </c>
      <c r="AA4611" s="8">
        <f>10533*28.43/1000</f>
        <v>299.45319000000001</v>
      </c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11"/>
      <c r="AQ4611" s="8"/>
      <c r="AR4611" s="8"/>
      <c r="AS4611" s="8"/>
      <c r="AT4611" s="8">
        <v>905.21</v>
      </c>
      <c r="AU4611" s="8">
        <v>452.12</v>
      </c>
      <c r="AV4611" s="8"/>
      <c r="AW4611" s="8"/>
      <c r="AX4611" s="8"/>
      <c r="AY4611" s="8"/>
      <c r="AZ4611" s="8"/>
      <c r="BA4611" s="8"/>
      <c r="BB4611" s="8"/>
      <c r="BC4611" s="8">
        <v>6.29</v>
      </c>
      <c r="BD4611" s="8"/>
      <c r="BE4611" s="8"/>
      <c r="BF4611" s="8"/>
      <c r="BG4611" s="8">
        <v>88.15</v>
      </c>
      <c r="BH4611" s="9">
        <f t="shared" si="639"/>
        <v>2417.19</v>
      </c>
      <c r="BI4611" s="9">
        <f t="shared" si="640"/>
        <v>7.26</v>
      </c>
      <c r="BJ4611" s="9">
        <f t="shared" si="641"/>
        <v>9.92</v>
      </c>
      <c r="BK4611" s="9">
        <f t="shared" si="642"/>
        <v>29.98</v>
      </c>
      <c r="BL4611" s="9">
        <f t="shared" si="643"/>
        <v>680.50319000000002</v>
      </c>
      <c r="BM4611" s="9">
        <f t="shared" si="644"/>
        <v>0</v>
      </c>
      <c r="BN4611" s="9">
        <f t="shared" si="645"/>
        <v>1357.33</v>
      </c>
      <c r="BO4611" s="9">
        <f t="shared" si="646"/>
        <v>6.29</v>
      </c>
      <c r="BP4611" s="9">
        <f t="shared" si="647"/>
        <v>0</v>
      </c>
    </row>
    <row r="4612" spans="1:68">
      <c r="A4612" s="6">
        <v>45426</v>
      </c>
      <c r="B4612" s="7">
        <v>3404</v>
      </c>
      <c r="C4612" s="8">
        <v>397.23</v>
      </c>
      <c r="D4612" s="8">
        <v>99.72</v>
      </c>
      <c r="E4612" s="8"/>
      <c r="F4612" s="8"/>
      <c r="G4612" s="8"/>
      <c r="H4612" s="8"/>
      <c r="I4612" s="8"/>
      <c r="J4612" s="8"/>
      <c r="K4612" s="8"/>
      <c r="L4612" s="8"/>
      <c r="M4612" s="8">
        <v>1.28</v>
      </c>
      <c r="N4612" s="8"/>
      <c r="O4612" s="8"/>
      <c r="P4612" s="8"/>
      <c r="Q4612" s="11"/>
      <c r="R4612" s="11"/>
      <c r="S4612" s="8">
        <v>1.1499999999999999</v>
      </c>
      <c r="T4612" s="8"/>
      <c r="U4612" s="8"/>
      <c r="V4612" s="8"/>
      <c r="W4612" s="8"/>
      <c r="X4612" s="8">
        <f>1224*5.02/1000</f>
        <v>6.1444799999999997</v>
      </c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11"/>
      <c r="AQ4612" s="8"/>
      <c r="AR4612" s="8"/>
      <c r="AS4612" s="8"/>
      <c r="AT4612" s="8">
        <v>252.16</v>
      </c>
      <c r="AU4612" s="8"/>
      <c r="AV4612" s="8"/>
      <c r="AW4612" s="8"/>
      <c r="AX4612" s="8"/>
      <c r="AY4612" s="8"/>
      <c r="AZ4612" s="8"/>
      <c r="BA4612" s="8"/>
      <c r="BB4612" s="8"/>
      <c r="BC4612" s="8"/>
      <c r="BD4612" s="8"/>
      <c r="BE4612" s="8"/>
      <c r="BF4612" s="8"/>
      <c r="BG4612" s="8">
        <v>17.14</v>
      </c>
      <c r="BH4612" s="9">
        <f t="shared" ref="BH4612:BH4675" si="648">SUM(C4612:L4612)</f>
        <v>496.95000000000005</v>
      </c>
      <c r="BI4612" s="9">
        <f t="shared" ref="BI4612:BI4675" si="649">SUM(M4612:R4612)</f>
        <v>1.28</v>
      </c>
      <c r="BJ4612" s="9">
        <f t="shared" ref="BJ4612:BJ4675" si="650">SUM(S4612)</f>
        <v>1.1499999999999999</v>
      </c>
      <c r="BK4612" s="9">
        <f t="shared" ref="BK4612:BK4675" si="651">SUM(T4612:Y4612)</f>
        <v>6.1444799999999997</v>
      </c>
      <c r="BL4612" s="9">
        <f t="shared" ref="BL4612:BL4675" si="652">SUM(Z4612:AA4612)</f>
        <v>0</v>
      </c>
      <c r="BM4612" s="9">
        <f t="shared" ref="BM4612:BM4675" si="653">SUM(AB4612:AS4612)</f>
        <v>0</v>
      </c>
      <c r="BN4612" s="9">
        <f t="shared" ref="BN4612:BN4675" si="654">SUM(AT4612:AU4612)</f>
        <v>252.16</v>
      </c>
      <c r="BO4612" s="9">
        <f t="shared" ref="BO4612:BO4675" si="655">SUM(AV4612:BE4612)</f>
        <v>0</v>
      </c>
      <c r="BP4612" s="9">
        <f t="shared" ref="BP4612:BP4675" si="656">SUM(BF4612)</f>
        <v>0</v>
      </c>
    </row>
    <row r="4613" spans="1:68">
      <c r="A4613" s="6">
        <v>45426</v>
      </c>
      <c r="B4613" s="7">
        <v>8354</v>
      </c>
      <c r="C4613" s="8"/>
      <c r="D4613" s="8"/>
      <c r="E4613" s="8"/>
      <c r="F4613" s="8"/>
      <c r="G4613" s="8"/>
      <c r="H4613" s="8"/>
      <c r="I4613" s="8">
        <f>228.4+200.61</f>
        <v>429.01</v>
      </c>
      <c r="J4613" s="8">
        <f>51214*13.65/1000</f>
        <v>699.0711</v>
      </c>
      <c r="K4613" s="8"/>
      <c r="L4613" s="8"/>
      <c r="M4613" s="8"/>
      <c r="N4613" s="8">
        <f>517*13.55/1000</f>
        <v>7.00535</v>
      </c>
      <c r="O4613" s="8"/>
      <c r="P4613" s="8"/>
      <c r="Q4613" s="11"/>
      <c r="R4613" s="11"/>
      <c r="S4613" s="8">
        <f>1.85+1.64</f>
        <v>3.49</v>
      </c>
      <c r="T4613" s="8"/>
      <c r="U4613" s="8">
        <f>3.69+3.27</f>
        <v>6.96</v>
      </c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>
        <f>12.37+10.92</f>
        <v>23.29</v>
      </c>
      <c r="AH4613" s="8"/>
      <c r="AI4613" s="8"/>
      <c r="AJ4613" s="8">
        <f>2558*13.65/1000</f>
        <v>34.916700000000006</v>
      </c>
      <c r="AK4613" s="8"/>
      <c r="AL4613" s="8"/>
      <c r="AM4613" s="8"/>
      <c r="AN4613" s="8"/>
      <c r="AO4613" s="8"/>
      <c r="AP4613" s="11"/>
      <c r="AQ4613" s="8"/>
      <c r="AR4613" s="8"/>
      <c r="AS4613" s="8"/>
      <c r="AT4613" s="8"/>
      <c r="AU4613" s="8">
        <f>217.75+192.87</f>
        <v>410.62</v>
      </c>
      <c r="AV4613" s="8"/>
      <c r="AW4613" s="8"/>
      <c r="AX4613" s="8"/>
      <c r="AY4613" s="8"/>
      <c r="AZ4613" s="8"/>
      <c r="BA4613" s="8"/>
      <c r="BB4613" s="8"/>
      <c r="BC4613" s="8"/>
      <c r="BD4613" s="8"/>
      <c r="BE4613" s="8"/>
      <c r="BF4613" s="8"/>
      <c r="BG4613" s="8">
        <f>14.86+13.16</f>
        <v>28.02</v>
      </c>
      <c r="BH4613" s="9">
        <f t="shared" si="648"/>
        <v>1128.0810999999999</v>
      </c>
      <c r="BI4613" s="9">
        <f t="shared" si="649"/>
        <v>7.00535</v>
      </c>
      <c r="BJ4613" s="9">
        <f t="shared" si="650"/>
        <v>3.49</v>
      </c>
      <c r="BK4613" s="9">
        <f t="shared" si="651"/>
        <v>6.96</v>
      </c>
      <c r="BL4613" s="9">
        <f t="shared" si="652"/>
        <v>0</v>
      </c>
      <c r="BM4613" s="9">
        <f t="shared" si="653"/>
        <v>58.206700000000005</v>
      </c>
      <c r="BN4613" s="9">
        <f t="shared" si="654"/>
        <v>410.62</v>
      </c>
      <c r="BO4613" s="9">
        <f t="shared" si="655"/>
        <v>0</v>
      </c>
      <c r="BP4613" s="9">
        <f t="shared" si="656"/>
        <v>0</v>
      </c>
    </row>
    <row r="4614" spans="1:68">
      <c r="A4614" s="6">
        <v>45427</v>
      </c>
      <c r="B4614" s="7">
        <v>3149</v>
      </c>
      <c r="C4614" s="8">
        <v>781.39</v>
      </c>
      <c r="D4614" s="8">
        <v>138.93</v>
      </c>
      <c r="E4614" s="8"/>
      <c r="F4614" s="8"/>
      <c r="G4614" s="8"/>
      <c r="H4614" s="8"/>
      <c r="I4614" s="8"/>
      <c r="J4614" s="8"/>
      <c r="K4614" s="8"/>
      <c r="L4614" s="8"/>
      <c r="M4614" s="8">
        <v>2.69</v>
      </c>
      <c r="N4614" s="8"/>
      <c r="O4614" s="8"/>
      <c r="P4614" s="8"/>
      <c r="Q4614" s="11"/>
      <c r="R4614" s="11"/>
      <c r="S4614" s="8">
        <v>4.32</v>
      </c>
      <c r="T4614" s="8"/>
      <c r="U4614" s="8">
        <v>13.8</v>
      </c>
      <c r="V4614" s="8"/>
      <c r="W4614" s="8"/>
      <c r="X4614" s="8"/>
      <c r="Y4614" s="8"/>
      <c r="Z4614" s="8"/>
      <c r="AA4614" s="8"/>
      <c r="AB4614" s="8"/>
      <c r="AC4614" s="8">
        <v>3.67</v>
      </c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11"/>
      <c r="AQ4614" s="8"/>
      <c r="AR4614" s="8"/>
      <c r="AS4614" s="8"/>
      <c r="AT4614" s="8">
        <v>601.66999999999996</v>
      </c>
      <c r="AU4614" s="8"/>
      <c r="AV4614" s="8"/>
      <c r="AW4614" s="8">
        <v>29.71</v>
      </c>
      <c r="AX4614" s="8"/>
      <c r="AY4614" s="8"/>
      <c r="AZ4614" s="8"/>
      <c r="BA4614" s="8"/>
      <c r="BB4614" s="8"/>
      <c r="BC4614" s="8"/>
      <c r="BD4614" s="8"/>
      <c r="BE4614" s="8"/>
      <c r="BF4614" s="8">
        <v>64.38</v>
      </c>
      <c r="BG4614" s="8">
        <v>48.03</v>
      </c>
      <c r="BH4614" s="9">
        <f t="shared" si="648"/>
        <v>920.31999999999994</v>
      </c>
      <c r="BI4614" s="9">
        <f t="shared" si="649"/>
        <v>2.69</v>
      </c>
      <c r="BJ4614" s="9">
        <f t="shared" si="650"/>
        <v>4.32</v>
      </c>
      <c r="BK4614" s="9">
        <f t="shared" si="651"/>
        <v>13.8</v>
      </c>
      <c r="BL4614" s="9">
        <f t="shared" si="652"/>
        <v>0</v>
      </c>
      <c r="BM4614" s="9">
        <f t="shared" si="653"/>
        <v>3.67</v>
      </c>
      <c r="BN4614" s="9">
        <f t="shared" si="654"/>
        <v>601.66999999999996</v>
      </c>
      <c r="BO4614" s="9">
        <f t="shared" si="655"/>
        <v>29.71</v>
      </c>
      <c r="BP4614" s="9">
        <f t="shared" si="656"/>
        <v>64.38</v>
      </c>
    </row>
    <row r="4615" spans="1:68">
      <c r="A4615" s="6">
        <v>45427</v>
      </c>
      <c r="B4615" s="7">
        <v>3149</v>
      </c>
      <c r="C4615" s="8">
        <v>745.74</v>
      </c>
      <c r="D4615" s="8">
        <v>132.56</v>
      </c>
      <c r="E4615" s="8"/>
      <c r="F4615" s="8"/>
      <c r="G4615" s="8"/>
      <c r="H4615" s="8"/>
      <c r="I4615" s="8"/>
      <c r="J4615" s="8"/>
      <c r="K4615" s="8"/>
      <c r="L4615" s="8"/>
      <c r="M4615" s="8">
        <v>2.5499999999999998</v>
      </c>
      <c r="N4615" s="8"/>
      <c r="O4615" s="8"/>
      <c r="P4615" s="8"/>
      <c r="Q4615" s="11"/>
      <c r="R4615" s="11"/>
      <c r="S4615" s="8">
        <v>4.13</v>
      </c>
      <c r="T4615" s="8"/>
      <c r="U4615" s="8">
        <v>13.2</v>
      </c>
      <c r="V4615" s="8"/>
      <c r="W4615" s="8"/>
      <c r="X4615" s="8"/>
      <c r="Y4615" s="8"/>
      <c r="Z4615" s="8"/>
      <c r="AA4615" s="8"/>
      <c r="AB4615" s="8"/>
      <c r="AC4615" s="8">
        <v>3.52</v>
      </c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11"/>
      <c r="AQ4615" s="8"/>
      <c r="AR4615" s="8"/>
      <c r="AS4615" s="8"/>
      <c r="AT4615" s="8">
        <v>575.66999999999996</v>
      </c>
      <c r="AU4615" s="8"/>
      <c r="AV4615" s="8"/>
      <c r="AW4615" s="8">
        <v>28.38</v>
      </c>
      <c r="AX4615" s="8"/>
      <c r="AY4615" s="8"/>
      <c r="AZ4615" s="8"/>
      <c r="BA4615" s="8"/>
      <c r="BB4615" s="8"/>
      <c r="BC4615" s="8"/>
      <c r="BD4615" s="8"/>
      <c r="BE4615" s="8"/>
      <c r="BF4615" s="8">
        <v>61.48</v>
      </c>
      <c r="BG4615" s="8">
        <v>45.7</v>
      </c>
      <c r="BH4615" s="9">
        <f t="shared" si="648"/>
        <v>878.3</v>
      </c>
      <c r="BI4615" s="9">
        <f t="shared" si="649"/>
        <v>2.5499999999999998</v>
      </c>
      <c r="BJ4615" s="9">
        <f t="shared" si="650"/>
        <v>4.13</v>
      </c>
      <c r="BK4615" s="9">
        <f t="shared" si="651"/>
        <v>13.2</v>
      </c>
      <c r="BL4615" s="9">
        <f t="shared" si="652"/>
        <v>0</v>
      </c>
      <c r="BM4615" s="9">
        <f t="shared" si="653"/>
        <v>3.52</v>
      </c>
      <c r="BN4615" s="9">
        <f t="shared" si="654"/>
        <v>575.66999999999996</v>
      </c>
      <c r="BO4615" s="9">
        <f t="shared" si="655"/>
        <v>28.38</v>
      </c>
      <c r="BP4615" s="9">
        <f t="shared" si="656"/>
        <v>61.48</v>
      </c>
    </row>
    <row r="4616" spans="1:68">
      <c r="A4616" s="6">
        <v>45427</v>
      </c>
      <c r="B4616" s="7">
        <v>3602</v>
      </c>
      <c r="C4616" s="8">
        <v>565.03</v>
      </c>
      <c r="D4616" s="8"/>
      <c r="E4616" s="8"/>
      <c r="F4616" s="8"/>
      <c r="G4616" s="8">
        <v>847.05</v>
      </c>
      <c r="H4616" s="8"/>
      <c r="I4616" s="8"/>
      <c r="J4616" s="8"/>
      <c r="K4616" s="8"/>
      <c r="L4616" s="8"/>
      <c r="M4616" s="8">
        <v>1.7</v>
      </c>
      <c r="N4616" s="8"/>
      <c r="O4616" s="8"/>
      <c r="P4616" s="8"/>
      <c r="Q4616" s="11"/>
      <c r="R4616" s="11"/>
      <c r="S4616" s="8">
        <v>6.21</v>
      </c>
      <c r="T4616" s="8"/>
      <c r="U4616" s="8">
        <v>11.32</v>
      </c>
      <c r="V4616" s="8">
        <f>857*16.13/1000</f>
        <v>13.823409999999999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11"/>
      <c r="AQ4616" s="8"/>
      <c r="AR4616" s="8"/>
      <c r="AS4616" s="8"/>
      <c r="AT4616" s="8">
        <v>569.78</v>
      </c>
      <c r="AU4616" s="8"/>
      <c r="AV4616" s="8"/>
      <c r="AW4616" s="8">
        <v>36.54</v>
      </c>
      <c r="AX4616" s="8"/>
      <c r="AY4616" s="8"/>
      <c r="AZ4616" s="8"/>
      <c r="BA4616" s="8"/>
      <c r="BB4616" s="8"/>
      <c r="BC4616" s="8"/>
      <c r="BD4616" s="8"/>
      <c r="BE4616" s="8"/>
      <c r="BF4616" s="8">
        <v>45.27</v>
      </c>
      <c r="BG4616" s="8">
        <v>42.66</v>
      </c>
      <c r="BH4616" s="9">
        <f t="shared" si="648"/>
        <v>1412.08</v>
      </c>
      <c r="BI4616" s="9">
        <f t="shared" si="649"/>
        <v>1.7</v>
      </c>
      <c r="BJ4616" s="9">
        <f t="shared" si="650"/>
        <v>6.21</v>
      </c>
      <c r="BK4616" s="9">
        <f t="shared" si="651"/>
        <v>25.143409999999999</v>
      </c>
      <c r="BL4616" s="9">
        <f t="shared" si="652"/>
        <v>0</v>
      </c>
      <c r="BM4616" s="9">
        <f t="shared" si="653"/>
        <v>0</v>
      </c>
      <c r="BN4616" s="9">
        <f t="shared" si="654"/>
        <v>569.78</v>
      </c>
      <c r="BO4616" s="9">
        <f t="shared" si="655"/>
        <v>36.54</v>
      </c>
      <c r="BP4616" s="9">
        <f t="shared" si="656"/>
        <v>45.27</v>
      </c>
    </row>
    <row r="4617" spans="1:68">
      <c r="A4617" s="6">
        <v>45427</v>
      </c>
      <c r="B4617" s="7">
        <v>3145</v>
      </c>
      <c r="C4617" s="8">
        <v>743.91</v>
      </c>
      <c r="D4617" s="8">
        <v>131.33000000000001</v>
      </c>
      <c r="E4617" s="8"/>
      <c r="F4617" s="8"/>
      <c r="G4617" s="8"/>
      <c r="H4617" s="8"/>
      <c r="I4617" s="8"/>
      <c r="J4617" s="8"/>
      <c r="K4617" s="8"/>
      <c r="L4617" s="8"/>
      <c r="M4617" s="8">
        <v>2.5499999999999998</v>
      </c>
      <c r="N4617" s="8"/>
      <c r="O4617" s="8"/>
      <c r="P4617" s="8"/>
      <c r="Q4617" s="11"/>
      <c r="R4617" s="11"/>
      <c r="S4617" s="8">
        <v>4.12</v>
      </c>
      <c r="T4617" s="8"/>
      <c r="U4617" s="8">
        <v>13.16</v>
      </c>
      <c r="V4617" s="8"/>
      <c r="W4617" s="8"/>
      <c r="X4617" s="8"/>
      <c r="Y4617" s="8"/>
      <c r="Z4617" s="8"/>
      <c r="AA4617" s="8"/>
      <c r="AB4617" s="8"/>
      <c r="AC4617" s="8">
        <v>3.5</v>
      </c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11"/>
      <c r="AQ4617" s="8"/>
      <c r="AR4617" s="8"/>
      <c r="AS4617" s="8"/>
      <c r="AT4617" s="8">
        <v>579</v>
      </c>
      <c r="AU4617" s="8"/>
      <c r="AV4617" s="8"/>
      <c r="AW4617" s="8"/>
      <c r="AX4617" s="8"/>
      <c r="AY4617" s="8"/>
      <c r="AZ4617" s="8"/>
      <c r="BA4617" s="8"/>
      <c r="BB4617" s="8"/>
      <c r="BC4617" s="8"/>
      <c r="BD4617" s="8">
        <v>2.19</v>
      </c>
      <c r="BE4617" s="8">
        <f>1356*5.83/1000</f>
        <v>7.9054800000000007</v>
      </c>
      <c r="BF4617" s="8">
        <v>61.37</v>
      </c>
      <c r="BG4617" s="8">
        <v>45.71</v>
      </c>
      <c r="BH4617" s="9">
        <f t="shared" si="648"/>
        <v>875.24</v>
      </c>
      <c r="BI4617" s="9">
        <f t="shared" si="649"/>
        <v>2.5499999999999998</v>
      </c>
      <c r="BJ4617" s="9">
        <f t="shared" si="650"/>
        <v>4.12</v>
      </c>
      <c r="BK4617" s="9">
        <f t="shared" si="651"/>
        <v>13.16</v>
      </c>
      <c r="BL4617" s="9">
        <f t="shared" si="652"/>
        <v>0</v>
      </c>
      <c r="BM4617" s="9">
        <f t="shared" si="653"/>
        <v>3.5</v>
      </c>
      <c r="BN4617" s="9">
        <f t="shared" si="654"/>
        <v>579</v>
      </c>
      <c r="BO4617" s="9">
        <f t="shared" si="655"/>
        <v>10.09548</v>
      </c>
      <c r="BP4617" s="9">
        <f t="shared" si="656"/>
        <v>61.37</v>
      </c>
    </row>
    <row r="4618" spans="1:68">
      <c r="A4618" s="6">
        <v>45427</v>
      </c>
      <c r="B4618" s="7">
        <v>3141</v>
      </c>
      <c r="C4618" s="8">
        <v>2368.39</v>
      </c>
      <c r="D4618" s="8">
        <v>417.5</v>
      </c>
      <c r="E4618" s="8"/>
      <c r="F4618" s="8"/>
      <c r="G4618" s="8"/>
      <c r="H4618" s="8"/>
      <c r="I4618" s="8"/>
      <c r="J4618" s="8"/>
      <c r="K4618" s="8"/>
      <c r="L4618" s="8"/>
      <c r="M4618" s="8">
        <v>8.07</v>
      </c>
      <c r="N4618" s="8"/>
      <c r="O4618" s="8"/>
      <c r="P4618" s="8"/>
      <c r="Q4618" s="11"/>
      <c r="R4618" s="11"/>
      <c r="S4618" s="8">
        <v>13.09</v>
      </c>
      <c r="T4618" s="8"/>
      <c r="U4618" s="8">
        <v>41.77</v>
      </c>
      <c r="V4618" s="8"/>
      <c r="W4618" s="8"/>
      <c r="X4618" s="8"/>
      <c r="Y4618" s="8"/>
      <c r="Z4618" s="8"/>
      <c r="AA4618" s="8"/>
      <c r="AB4618" s="8"/>
      <c r="AC4618" s="8">
        <v>11.14</v>
      </c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11"/>
      <c r="AQ4618" s="8"/>
      <c r="AR4618" s="8"/>
      <c r="AS4618" s="8"/>
      <c r="AT4618" s="8">
        <v>1837.27</v>
      </c>
      <c r="AU4618" s="8"/>
      <c r="AV4618" s="8"/>
      <c r="AW4618" s="8"/>
      <c r="AX4618" s="8"/>
      <c r="AY4618" s="8"/>
      <c r="AZ4618" s="8"/>
      <c r="BA4618" s="8">
        <v>63.81</v>
      </c>
      <c r="BB4618" s="8"/>
      <c r="BC4618" s="8"/>
      <c r="BD4618" s="8"/>
      <c r="BE4618" s="8"/>
      <c r="BF4618" s="8">
        <v>194.87</v>
      </c>
      <c r="BG4618" s="8">
        <v>144.83000000000001</v>
      </c>
      <c r="BH4618" s="9">
        <f t="shared" si="648"/>
        <v>2785.89</v>
      </c>
      <c r="BI4618" s="9">
        <f t="shared" si="649"/>
        <v>8.07</v>
      </c>
      <c r="BJ4618" s="9">
        <f t="shared" si="650"/>
        <v>13.09</v>
      </c>
      <c r="BK4618" s="9">
        <f t="shared" si="651"/>
        <v>41.77</v>
      </c>
      <c r="BL4618" s="9">
        <f t="shared" si="652"/>
        <v>0</v>
      </c>
      <c r="BM4618" s="9">
        <f t="shared" si="653"/>
        <v>11.14</v>
      </c>
      <c r="BN4618" s="9">
        <f t="shared" si="654"/>
        <v>1837.27</v>
      </c>
      <c r="BO4618" s="9">
        <f t="shared" si="655"/>
        <v>63.81</v>
      </c>
      <c r="BP4618" s="9">
        <f t="shared" si="656"/>
        <v>194.87</v>
      </c>
    </row>
    <row r="4619" spans="1:68">
      <c r="A4619" s="6">
        <v>45427</v>
      </c>
      <c r="B4619" s="7">
        <v>3106</v>
      </c>
      <c r="C4619" s="8">
        <v>6239.84</v>
      </c>
      <c r="D4619" s="8"/>
      <c r="E4619" s="8"/>
      <c r="F4619" s="8"/>
      <c r="G4619" s="8"/>
      <c r="H4619" s="8"/>
      <c r="I4619" s="8"/>
      <c r="J4619" s="8"/>
      <c r="K4619" s="8"/>
      <c r="L4619" s="8"/>
      <c r="M4619" s="8">
        <v>14.72</v>
      </c>
      <c r="N4619" s="8"/>
      <c r="O4619" s="8"/>
      <c r="P4619" s="8"/>
      <c r="Q4619" s="11"/>
      <c r="R4619" s="11"/>
      <c r="S4619" s="8">
        <v>18.14</v>
      </c>
      <c r="T4619" s="8"/>
      <c r="U4619" s="8">
        <v>79.39</v>
      </c>
      <c r="V4619" s="8"/>
      <c r="W4619" s="8"/>
      <c r="X4619" s="8"/>
      <c r="Y4619" s="8"/>
      <c r="Z4619" s="8"/>
      <c r="AA4619" s="8"/>
      <c r="AB4619" s="8"/>
      <c r="AC4619" s="8">
        <v>15.61</v>
      </c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11"/>
      <c r="AQ4619" s="8"/>
      <c r="AR4619" s="8"/>
      <c r="AS4619" s="8"/>
      <c r="AT4619" s="8">
        <v>3558.16</v>
      </c>
      <c r="AU4619" s="8"/>
      <c r="AV4619" s="8"/>
      <c r="AW4619" s="8"/>
      <c r="AX4619" s="8">
        <v>7.81</v>
      </c>
      <c r="AY4619" s="8"/>
      <c r="AZ4619" s="8"/>
      <c r="BA4619" s="8"/>
      <c r="BB4619" s="8"/>
      <c r="BC4619" s="8"/>
      <c r="BD4619" s="8"/>
      <c r="BE4619" s="8"/>
      <c r="BF4619" s="8"/>
      <c r="BG4619" s="8">
        <v>268.57</v>
      </c>
      <c r="BH4619" s="9">
        <f t="shared" si="648"/>
        <v>6239.84</v>
      </c>
      <c r="BI4619" s="9">
        <f t="shared" si="649"/>
        <v>14.72</v>
      </c>
      <c r="BJ4619" s="9">
        <f t="shared" si="650"/>
        <v>18.14</v>
      </c>
      <c r="BK4619" s="9">
        <f t="shared" si="651"/>
        <v>79.39</v>
      </c>
      <c r="BL4619" s="9">
        <f t="shared" si="652"/>
        <v>0</v>
      </c>
      <c r="BM4619" s="9">
        <f t="shared" si="653"/>
        <v>15.61</v>
      </c>
      <c r="BN4619" s="9">
        <f t="shared" si="654"/>
        <v>3558.16</v>
      </c>
      <c r="BO4619" s="9">
        <f t="shared" si="655"/>
        <v>7.81</v>
      </c>
      <c r="BP4619" s="9">
        <f t="shared" si="656"/>
        <v>0</v>
      </c>
    </row>
    <row r="4620" spans="1:68">
      <c r="A4620" s="6">
        <v>45427</v>
      </c>
      <c r="B4620" s="7">
        <v>3125</v>
      </c>
      <c r="C4620" s="8">
        <v>1127.73</v>
      </c>
      <c r="D4620" s="8"/>
      <c r="E4620" s="8"/>
      <c r="F4620" s="8"/>
      <c r="G4620" s="8"/>
      <c r="H4620" s="8"/>
      <c r="I4620" s="8"/>
      <c r="J4620" s="8"/>
      <c r="K4620" s="8"/>
      <c r="L4620" s="8"/>
      <c r="M4620" s="8">
        <v>3</v>
      </c>
      <c r="N4620" s="8"/>
      <c r="O4620" s="8"/>
      <c r="P4620" s="8"/>
      <c r="Q4620" s="11"/>
      <c r="R4620" s="11"/>
      <c r="S4620" s="8">
        <v>3.42</v>
      </c>
      <c r="T4620" s="8"/>
      <c r="U4620" s="8">
        <v>14.34</v>
      </c>
      <c r="V4620" s="8"/>
      <c r="W4620" s="8"/>
      <c r="X4620" s="8"/>
      <c r="Y4620" s="8"/>
      <c r="Z4620" s="8"/>
      <c r="AA4620" s="8"/>
      <c r="AB4620" s="8"/>
      <c r="AC4620" s="8">
        <v>4.5</v>
      </c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11"/>
      <c r="AQ4620" s="8"/>
      <c r="AR4620" s="8"/>
      <c r="AS4620" s="8"/>
      <c r="AT4620" s="8">
        <v>644.82000000000005</v>
      </c>
      <c r="AU4620" s="8"/>
      <c r="AV4620" s="8">
        <v>16.91</v>
      </c>
      <c r="AW4620" s="8"/>
      <c r="AX4620" s="8"/>
      <c r="AY4620" s="8"/>
      <c r="AZ4620" s="8"/>
      <c r="BA4620" s="8"/>
      <c r="BB4620" s="8"/>
      <c r="BC4620" s="8"/>
      <c r="BD4620" s="8"/>
      <c r="BE4620" s="8"/>
      <c r="BF4620" s="8"/>
      <c r="BG4620" s="8">
        <v>48.47</v>
      </c>
      <c r="BH4620" s="9">
        <f t="shared" si="648"/>
        <v>1127.73</v>
      </c>
      <c r="BI4620" s="9">
        <f t="shared" si="649"/>
        <v>3</v>
      </c>
      <c r="BJ4620" s="9">
        <f t="shared" si="650"/>
        <v>3.42</v>
      </c>
      <c r="BK4620" s="9">
        <f t="shared" si="651"/>
        <v>14.34</v>
      </c>
      <c r="BL4620" s="9">
        <f t="shared" si="652"/>
        <v>0</v>
      </c>
      <c r="BM4620" s="9">
        <f t="shared" si="653"/>
        <v>4.5</v>
      </c>
      <c r="BN4620" s="9">
        <f t="shared" si="654"/>
        <v>644.82000000000005</v>
      </c>
      <c r="BO4620" s="9">
        <f t="shared" si="655"/>
        <v>16.91</v>
      </c>
      <c r="BP4620" s="9">
        <f t="shared" si="656"/>
        <v>0</v>
      </c>
    </row>
    <row r="4621" spans="1:68">
      <c r="A4621" s="6">
        <v>45427</v>
      </c>
      <c r="B4621" s="7">
        <v>3127</v>
      </c>
      <c r="C4621" s="8">
        <v>1071.98</v>
      </c>
      <c r="D4621" s="8"/>
      <c r="E4621" s="8"/>
      <c r="F4621" s="8"/>
      <c r="G4621" s="8"/>
      <c r="H4621" s="8"/>
      <c r="I4621" s="8"/>
      <c r="J4621" s="8"/>
      <c r="K4621" s="8"/>
      <c r="L4621" s="8"/>
      <c r="M4621" s="8">
        <v>3.08</v>
      </c>
      <c r="N4621" s="8"/>
      <c r="O4621" s="8"/>
      <c r="P4621" s="8"/>
      <c r="Q4621" s="11"/>
      <c r="R4621" s="11"/>
      <c r="S4621" s="8">
        <v>5.14</v>
      </c>
      <c r="T4621" s="8"/>
      <c r="U4621" s="8">
        <v>10.72</v>
      </c>
      <c r="V4621" s="8"/>
      <c r="W4621" s="8"/>
      <c r="X4621" s="8"/>
      <c r="Y4621" s="8"/>
      <c r="Z4621" s="8">
        <v>160.74</v>
      </c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11"/>
      <c r="AQ4621" s="8"/>
      <c r="AR4621" s="8"/>
      <c r="AS4621" s="8"/>
      <c r="AT4621" s="8">
        <v>526.33000000000004</v>
      </c>
      <c r="AU4621" s="8"/>
      <c r="AV4621" s="8">
        <v>21.41</v>
      </c>
      <c r="AW4621" s="8"/>
      <c r="AX4621" s="8"/>
      <c r="AY4621" s="8"/>
      <c r="AZ4621" s="8"/>
      <c r="BA4621" s="8"/>
      <c r="BB4621" s="8"/>
      <c r="BC4621" s="8"/>
      <c r="BD4621" s="8"/>
      <c r="BE4621" s="8"/>
      <c r="BF4621" s="8">
        <v>53.61</v>
      </c>
      <c r="BG4621" s="8">
        <v>37.549999999999997</v>
      </c>
      <c r="BH4621" s="9">
        <f t="shared" si="648"/>
        <v>1071.98</v>
      </c>
      <c r="BI4621" s="9">
        <f t="shared" si="649"/>
        <v>3.08</v>
      </c>
      <c r="BJ4621" s="9">
        <f t="shared" si="650"/>
        <v>5.14</v>
      </c>
      <c r="BK4621" s="9">
        <f t="shared" si="651"/>
        <v>10.72</v>
      </c>
      <c r="BL4621" s="9">
        <f t="shared" si="652"/>
        <v>160.74</v>
      </c>
      <c r="BM4621" s="9">
        <f t="shared" si="653"/>
        <v>0</v>
      </c>
      <c r="BN4621" s="9">
        <f t="shared" si="654"/>
        <v>526.33000000000004</v>
      </c>
      <c r="BO4621" s="9">
        <f t="shared" si="655"/>
        <v>21.41</v>
      </c>
      <c r="BP4621" s="9">
        <f t="shared" si="656"/>
        <v>53.61</v>
      </c>
    </row>
    <row r="4622" spans="1:68">
      <c r="A4622" s="6">
        <v>45427</v>
      </c>
      <c r="B4622" s="7">
        <v>3113</v>
      </c>
      <c r="C4622" s="8">
        <v>1576.8</v>
      </c>
      <c r="D4622" s="8"/>
      <c r="E4622" s="8"/>
      <c r="F4622" s="8"/>
      <c r="G4622" s="8"/>
      <c r="H4622" s="8"/>
      <c r="I4622" s="8"/>
      <c r="J4622" s="8"/>
      <c r="K4622" s="8"/>
      <c r="L4622" s="8"/>
      <c r="M4622" s="8">
        <v>1.43</v>
      </c>
      <c r="N4622" s="8">
        <v>1.42</v>
      </c>
      <c r="O4622" s="8"/>
      <c r="P4622" s="8"/>
      <c r="Q4622" s="11"/>
      <c r="R4622" s="11"/>
      <c r="S4622" s="8">
        <v>4.74</v>
      </c>
      <c r="T4622" s="8"/>
      <c r="U4622" s="8">
        <v>15.78</v>
      </c>
      <c r="V4622" s="8"/>
      <c r="W4622" s="8"/>
      <c r="X4622" s="8"/>
      <c r="Y4622" s="8"/>
      <c r="Z4622" s="8"/>
      <c r="AA4622" s="8"/>
      <c r="AB4622" s="8"/>
      <c r="AC4622" s="8">
        <v>6.31</v>
      </c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11"/>
      <c r="AQ4622" s="8"/>
      <c r="AR4622" s="8"/>
      <c r="AS4622" s="8"/>
      <c r="AT4622" s="8">
        <v>661.54</v>
      </c>
      <c r="AU4622" s="8"/>
      <c r="AV4622" s="8">
        <v>53.66</v>
      </c>
      <c r="AW4622" s="8"/>
      <c r="AX4622" s="8"/>
      <c r="AY4622" s="8"/>
      <c r="AZ4622" s="8"/>
      <c r="BA4622" s="8"/>
      <c r="BB4622" s="8"/>
      <c r="BC4622" s="8"/>
      <c r="BD4622" s="8"/>
      <c r="BE4622" s="8"/>
      <c r="BF4622" s="8"/>
      <c r="BG4622" s="8">
        <v>47.18</v>
      </c>
      <c r="BH4622" s="9">
        <f t="shared" si="648"/>
        <v>1576.8</v>
      </c>
      <c r="BI4622" s="9">
        <f t="shared" si="649"/>
        <v>2.8499999999999996</v>
      </c>
      <c r="BJ4622" s="9">
        <f t="shared" si="650"/>
        <v>4.74</v>
      </c>
      <c r="BK4622" s="9">
        <f t="shared" si="651"/>
        <v>15.78</v>
      </c>
      <c r="BL4622" s="9">
        <f t="shared" si="652"/>
        <v>0</v>
      </c>
      <c r="BM4622" s="9">
        <f t="shared" si="653"/>
        <v>6.31</v>
      </c>
      <c r="BN4622" s="9">
        <f t="shared" si="654"/>
        <v>661.54</v>
      </c>
      <c r="BO4622" s="9">
        <f t="shared" si="655"/>
        <v>53.66</v>
      </c>
      <c r="BP4622" s="9">
        <f t="shared" si="656"/>
        <v>0</v>
      </c>
    </row>
    <row r="4623" spans="1:68">
      <c r="A4623" s="6">
        <v>45427</v>
      </c>
      <c r="B4623" s="7">
        <v>3404</v>
      </c>
      <c r="C4623" s="8">
        <v>427.1</v>
      </c>
      <c r="D4623" s="8">
        <v>108.44</v>
      </c>
      <c r="E4623" s="8"/>
      <c r="F4623" s="8"/>
      <c r="G4623" s="8"/>
      <c r="H4623" s="8"/>
      <c r="I4623" s="8"/>
      <c r="J4623" s="8"/>
      <c r="K4623" s="8"/>
      <c r="L4623" s="8"/>
      <c r="M4623" s="8">
        <v>1.37</v>
      </c>
      <c r="N4623" s="8"/>
      <c r="O4623" s="8"/>
      <c r="P4623" s="8"/>
      <c r="Q4623" s="11"/>
      <c r="R4623" s="11"/>
      <c r="S4623" s="8">
        <v>1.25</v>
      </c>
      <c r="T4623" s="8"/>
      <c r="U4623" s="8"/>
      <c r="V4623" s="8"/>
      <c r="W4623" s="8"/>
      <c r="X4623" s="8">
        <f>1223*5.43/1000</f>
        <v>6.6408899999999997</v>
      </c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11"/>
      <c r="AQ4623" s="8"/>
      <c r="AR4623" s="8"/>
      <c r="AS4623" s="8"/>
      <c r="AT4623" s="8">
        <v>273.73</v>
      </c>
      <c r="AU4623" s="8"/>
      <c r="AV4623" s="8"/>
      <c r="AW4623" s="8"/>
      <c r="AX4623" s="8"/>
      <c r="AY4623" s="8"/>
      <c r="AZ4623" s="8"/>
      <c r="BA4623" s="8"/>
      <c r="BB4623" s="8"/>
      <c r="BC4623" s="8"/>
      <c r="BD4623" s="8"/>
      <c r="BE4623" s="8"/>
      <c r="BF4623" s="8"/>
      <c r="BG4623" s="8">
        <v>18.600000000000001</v>
      </c>
      <c r="BH4623" s="9">
        <f t="shared" si="648"/>
        <v>535.54</v>
      </c>
      <c r="BI4623" s="9">
        <f t="shared" si="649"/>
        <v>1.37</v>
      </c>
      <c r="BJ4623" s="9">
        <f t="shared" si="650"/>
        <v>1.25</v>
      </c>
      <c r="BK4623" s="9">
        <f t="shared" si="651"/>
        <v>6.6408899999999997</v>
      </c>
      <c r="BL4623" s="9">
        <f t="shared" si="652"/>
        <v>0</v>
      </c>
      <c r="BM4623" s="9">
        <f t="shared" si="653"/>
        <v>0</v>
      </c>
      <c r="BN4623" s="9">
        <f t="shared" si="654"/>
        <v>273.73</v>
      </c>
      <c r="BO4623" s="9">
        <f t="shared" si="655"/>
        <v>0</v>
      </c>
      <c r="BP4623" s="9">
        <f t="shared" si="656"/>
        <v>0</v>
      </c>
    </row>
    <row r="4624" spans="1:68">
      <c r="A4624" s="6">
        <v>45427</v>
      </c>
      <c r="B4624" s="7">
        <v>3205</v>
      </c>
      <c r="C4624" s="8">
        <v>395.86</v>
      </c>
      <c r="D4624" s="8">
        <v>220.36</v>
      </c>
      <c r="E4624" s="8">
        <v>263.99</v>
      </c>
      <c r="F4624" s="8"/>
      <c r="G4624" s="8"/>
      <c r="H4624" s="8"/>
      <c r="I4624" s="8"/>
      <c r="J4624" s="8"/>
      <c r="K4624" s="8"/>
      <c r="L4624" s="8"/>
      <c r="M4624" s="8"/>
      <c r="N4624" s="8"/>
      <c r="O4624" s="8">
        <v>3.53</v>
      </c>
      <c r="P4624" s="8"/>
      <c r="Q4624" s="11"/>
      <c r="R4624" s="11"/>
      <c r="S4624" s="8">
        <v>3.27</v>
      </c>
      <c r="T4624" s="8"/>
      <c r="U4624" s="8">
        <v>10.58</v>
      </c>
      <c r="V4624" s="8"/>
      <c r="W4624" s="8"/>
      <c r="X4624" s="8"/>
      <c r="Y4624" s="8"/>
      <c r="Z4624" s="8">
        <v>88.26</v>
      </c>
      <c r="AA4624" s="8"/>
      <c r="AB4624" s="8">
        <f>1011*8.82/1000</f>
        <v>8.9170200000000008</v>
      </c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11"/>
      <c r="AQ4624" s="8">
        <f>506*8.82/1000</f>
        <v>4.4629200000000004</v>
      </c>
      <c r="AR4624" s="8"/>
      <c r="AS4624" s="8"/>
      <c r="AT4624" s="8">
        <v>229.67</v>
      </c>
      <c r="AU4624" s="8">
        <v>115.05</v>
      </c>
      <c r="AV4624" s="8"/>
      <c r="AW4624" s="8">
        <v>3.8</v>
      </c>
      <c r="AX4624" s="8"/>
      <c r="AY4624" s="8"/>
      <c r="AZ4624" s="8"/>
      <c r="BA4624" s="8"/>
      <c r="BB4624" s="8"/>
      <c r="BC4624" s="8"/>
      <c r="BD4624" s="8"/>
      <c r="BE4624" s="8"/>
      <c r="BF4624" s="8"/>
      <c r="BG4624" s="8">
        <v>20.72</v>
      </c>
      <c r="BH4624" s="9">
        <f t="shared" si="648"/>
        <v>880.21</v>
      </c>
      <c r="BI4624" s="9">
        <f t="shared" si="649"/>
        <v>3.53</v>
      </c>
      <c r="BJ4624" s="9">
        <f t="shared" si="650"/>
        <v>3.27</v>
      </c>
      <c r="BK4624" s="9">
        <f t="shared" si="651"/>
        <v>10.58</v>
      </c>
      <c r="BL4624" s="9">
        <f t="shared" si="652"/>
        <v>88.26</v>
      </c>
      <c r="BM4624" s="9">
        <f t="shared" si="653"/>
        <v>13.379940000000001</v>
      </c>
      <c r="BN4624" s="9">
        <f t="shared" si="654"/>
        <v>344.71999999999997</v>
      </c>
      <c r="BO4624" s="9">
        <f t="shared" si="655"/>
        <v>3.8</v>
      </c>
      <c r="BP4624" s="9">
        <f t="shared" si="656"/>
        <v>0</v>
      </c>
    </row>
    <row r="4625" spans="1:68">
      <c r="A4625" s="6">
        <v>45427</v>
      </c>
      <c r="B4625" s="7">
        <v>3200</v>
      </c>
      <c r="C4625" s="8">
        <v>2275.4</v>
      </c>
      <c r="D4625" s="8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>
        <v>5.68</v>
      </c>
      <c r="P4625" s="8"/>
      <c r="Q4625" s="11"/>
      <c r="R4625" s="11"/>
      <c r="S4625" s="8">
        <v>8.89</v>
      </c>
      <c r="T4625" s="8"/>
      <c r="U4625" s="8">
        <v>34.14</v>
      </c>
      <c r="V4625" s="8"/>
      <c r="W4625" s="8"/>
      <c r="X4625" s="8"/>
      <c r="Y4625" s="8"/>
      <c r="Z4625" s="8">
        <v>478.37</v>
      </c>
      <c r="AA4625" s="8"/>
      <c r="AB4625" s="8"/>
      <c r="AC4625" s="8"/>
      <c r="AD4625" s="8"/>
      <c r="AE4625" s="8"/>
      <c r="AF4625" s="8">
        <v>113.52</v>
      </c>
      <c r="AG4625" s="8"/>
      <c r="AH4625" s="8"/>
      <c r="AI4625" s="8"/>
      <c r="AJ4625" s="8"/>
      <c r="AK4625" s="8"/>
      <c r="AL4625" s="8"/>
      <c r="AM4625" s="8"/>
      <c r="AN4625" s="8"/>
      <c r="AO4625" s="8"/>
      <c r="AP4625" s="11"/>
      <c r="AQ4625" s="8">
        <f>1524*22.77/1000</f>
        <v>34.701479999999997</v>
      </c>
      <c r="AR4625" s="8"/>
      <c r="AS4625" s="8"/>
      <c r="AT4625" s="8">
        <v>1558.99</v>
      </c>
      <c r="AU4625" s="8"/>
      <c r="AV4625" s="8"/>
      <c r="AW4625" s="8">
        <v>6.74</v>
      </c>
      <c r="AX4625" s="8"/>
      <c r="AY4625" s="8"/>
      <c r="AZ4625" s="8"/>
      <c r="BA4625" s="8"/>
      <c r="BB4625" s="8"/>
      <c r="BC4625" s="8"/>
      <c r="BD4625" s="8"/>
      <c r="BE4625" s="8"/>
      <c r="BF4625" s="8">
        <v>109.29</v>
      </c>
      <c r="BG4625" s="8">
        <v>112.68</v>
      </c>
      <c r="BH4625" s="9">
        <f t="shared" si="648"/>
        <v>2275.4</v>
      </c>
      <c r="BI4625" s="9">
        <f t="shared" si="649"/>
        <v>5.68</v>
      </c>
      <c r="BJ4625" s="9">
        <f t="shared" si="650"/>
        <v>8.89</v>
      </c>
      <c r="BK4625" s="9">
        <f t="shared" si="651"/>
        <v>34.14</v>
      </c>
      <c r="BL4625" s="9">
        <f t="shared" si="652"/>
        <v>478.37</v>
      </c>
      <c r="BM4625" s="9">
        <f t="shared" si="653"/>
        <v>148.22147999999999</v>
      </c>
      <c r="BN4625" s="9">
        <f t="shared" si="654"/>
        <v>1558.99</v>
      </c>
      <c r="BO4625" s="9">
        <f t="shared" si="655"/>
        <v>6.74</v>
      </c>
      <c r="BP4625" s="9">
        <f t="shared" si="656"/>
        <v>109.29</v>
      </c>
    </row>
    <row r="4626" spans="1:68">
      <c r="A4626" s="6">
        <v>45428</v>
      </c>
      <c r="B4626" s="7">
        <v>3204</v>
      </c>
      <c r="C4626" s="8"/>
      <c r="D4626" s="8">
        <v>995.3</v>
      </c>
      <c r="E4626" s="8">
        <v>424.41</v>
      </c>
      <c r="F4626" s="8"/>
      <c r="G4626" s="8"/>
      <c r="H4626" s="8"/>
      <c r="I4626" s="8"/>
      <c r="J4626" s="8"/>
      <c r="K4626" s="8"/>
      <c r="L4626" s="8"/>
      <c r="M4626" s="8"/>
      <c r="N4626" s="8"/>
      <c r="O4626" s="8">
        <v>7.14</v>
      </c>
      <c r="P4626" s="8"/>
      <c r="Q4626" s="11"/>
      <c r="R4626" s="11"/>
      <c r="S4626" s="8">
        <v>4.8499999999999996</v>
      </c>
      <c r="T4626" s="8"/>
      <c r="U4626" s="8">
        <v>15.73</v>
      </c>
      <c r="V4626" s="8"/>
      <c r="W4626" s="8"/>
      <c r="X4626" s="8"/>
      <c r="Y4626" s="8"/>
      <c r="Z4626" s="8">
        <v>214.44</v>
      </c>
      <c r="AA4626" s="8"/>
      <c r="AB4626" s="8">
        <f>719*10.2/1000</f>
        <v>7.3337999999999992</v>
      </c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11"/>
      <c r="AQ4626" s="8"/>
      <c r="AR4626" s="8"/>
      <c r="AS4626" s="8"/>
      <c r="AT4626" s="8">
        <v>639.34</v>
      </c>
      <c r="AU4626" s="8"/>
      <c r="AV4626" s="8"/>
      <c r="AW4626" s="8">
        <v>4.5999999999999996</v>
      </c>
      <c r="AX4626" s="8"/>
      <c r="AY4626" s="8"/>
      <c r="AZ4626" s="8"/>
      <c r="BA4626" s="8"/>
      <c r="BB4626" s="8"/>
      <c r="BC4626" s="8"/>
      <c r="BD4626" s="8"/>
      <c r="BE4626" s="8"/>
      <c r="BF4626" s="8"/>
      <c r="BG4626" s="8">
        <v>46.46</v>
      </c>
      <c r="BH4626" s="9">
        <f t="shared" si="648"/>
        <v>1419.71</v>
      </c>
      <c r="BI4626" s="9">
        <f t="shared" si="649"/>
        <v>7.14</v>
      </c>
      <c r="BJ4626" s="9">
        <f t="shared" si="650"/>
        <v>4.8499999999999996</v>
      </c>
      <c r="BK4626" s="9">
        <f t="shared" si="651"/>
        <v>15.73</v>
      </c>
      <c r="BL4626" s="9">
        <f t="shared" si="652"/>
        <v>214.44</v>
      </c>
      <c r="BM4626" s="9">
        <f t="shared" si="653"/>
        <v>7.3337999999999992</v>
      </c>
      <c r="BN4626" s="9">
        <f t="shared" si="654"/>
        <v>639.34</v>
      </c>
      <c r="BO4626" s="9">
        <f t="shared" si="655"/>
        <v>4.5999999999999996</v>
      </c>
      <c r="BP4626" s="9">
        <f t="shared" si="656"/>
        <v>0</v>
      </c>
    </row>
    <row r="4627" spans="1:68">
      <c r="A4627" s="6">
        <v>45428</v>
      </c>
      <c r="B4627" s="7">
        <v>3406</v>
      </c>
      <c r="C4627" s="8">
        <v>451.66</v>
      </c>
      <c r="D4627" s="8">
        <v>114.56</v>
      </c>
      <c r="E4627" s="8"/>
      <c r="F4627" s="8"/>
      <c r="G4627" s="8"/>
      <c r="H4627" s="8"/>
      <c r="I4627" s="8"/>
      <c r="J4627" s="8"/>
      <c r="K4627" s="8"/>
      <c r="L4627" s="8"/>
      <c r="M4627" s="8">
        <v>1.34</v>
      </c>
      <c r="N4627" s="8"/>
      <c r="O4627" s="8"/>
      <c r="P4627" s="8"/>
      <c r="Q4627" s="11"/>
      <c r="R4627" s="11"/>
      <c r="S4627" s="8">
        <v>1.32</v>
      </c>
      <c r="T4627" s="8"/>
      <c r="U4627" s="8"/>
      <c r="V4627" s="8"/>
      <c r="W4627" s="8"/>
      <c r="X4627" s="8">
        <f>1199*5.75/1000</f>
        <v>6.8942500000000004</v>
      </c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11"/>
      <c r="AQ4627" s="8"/>
      <c r="AR4627" s="8"/>
      <c r="AS4627" s="8"/>
      <c r="AT4627" s="8">
        <v>289.8</v>
      </c>
      <c r="AU4627" s="8"/>
      <c r="AV4627" s="8">
        <v>17.29</v>
      </c>
      <c r="AW4627" s="8"/>
      <c r="AX4627" s="8"/>
      <c r="AY4627" s="8"/>
      <c r="AZ4627" s="8"/>
      <c r="BA4627" s="8"/>
      <c r="BB4627" s="8"/>
      <c r="BC4627" s="8"/>
      <c r="BD4627" s="8"/>
      <c r="BE4627" s="8"/>
      <c r="BF4627" s="8"/>
      <c r="BG4627" s="8">
        <v>19.7</v>
      </c>
      <c r="BH4627" s="9">
        <f t="shared" si="648"/>
        <v>566.22</v>
      </c>
      <c r="BI4627" s="9">
        <f t="shared" si="649"/>
        <v>1.34</v>
      </c>
      <c r="BJ4627" s="9">
        <f t="shared" si="650"/>
        <v>1.32</v>
      </c>
      <c r="BK4627" s="9">
        <f t="shared" si="651"/>
        <v>6.8942500000000004</v>
      </c>
      <c r="BL4627" s="9">
        <f t="shared" si="652"/>
        <v>0</v>
      </c>
      <c r="BM4627" s="9">
        <f t="shared" si="653"/>
        <v>0</v>
      </c>
      <c r="BN4627" s="9">
        <f t="shared" si="654"/>
        <v>289.8</v>
      </c>
      <c r="BO4627" s="9">
        <f t="shared" si="655"/>
        <v>17.29</v>
      </c>
      <c r="BP4627" s="9">
        <f t="shared" si="656"/>
        <v>0</v>
      </c>
    </row>
    <row r="4628" spans="1:68">
      <c r="A4628" s="6">
        <v>45428</v>
      </c>
      <c r="B4628" s="7">
        <v>3028</v>
      </c>
      <c r="C4628" s="8"/>
      <c r="D4628" s="8">
        <v>742.58</v>
      </c>
      <c r="E4628" s="8"/>
      <c r="F4628" s="8"/>
      <c r="G4628" s="8"/>
      <c r="H4628" s="8"/>
      <c r="I4628" s="8">
        <v>1543.35</v>
      </c>
      <c r="J4628" s="8"/>
      <c r="K4628" s="8"/>
      <c r="L4628" s="8"/>
      <c r="M4628" s="8"/>
      <c r="N4628" s="8">
        <v>22.86</v>
      </c>
      <c r="O4628" s="8"/>
      <c r="P4628" s="8"/>
      <c r="Q4628" s="11"/>
      <c r="R4628" s="11"/>
      <c r="S4628" s="8">
        <v>4.1500000000000004</v>
      </c>
      <c r="T4628" s="8"/>
      <c r="U4628" s="8"/>
      <c r="V4628" s="8"/>
      <c r="W4628" s="8">
        <v>22.29</v>
      </c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>
        <v>29.53</v>
      </c>
      <c r="AN4628" s="8">
        <f>1066*19.78/1000</f>
        <v>21.08548</v>
      </c>
      <c r="AO4628" s="8"/>
      <c r="AP4628" s="11"/>
      <c r="AQ4628" s="8"/>
      <c r="AR4628" s="8"/>
      <c r="AS4628" s="8">
        <f>1066*19.78/1000</f>
        <v>21.08548</v>
      </c>
      <c r="AT4628" s="8">
        <v>990.98</v>
      </c>
      <c r="AU4628" s="8"/>
      <c r="AV4628" s="8"/>
      <c r="AW4628" s="8"/>
      <c r="AX4628" s="8"/>
      <c r="AY4628" s="8"/>
      <c r="AZ4628" s="8"/>
      <c r="BA4628" s="8"/>
      <c r="BB4628" s="8"/>
      <c r="BC4628" s="8"/>
      <c r="BD4628" s="8"/>
      <c r="BE4628" s="8"/>
      <c r="BF4628" s="8"/>
      <c r="BG4628" s="8">
        <v>67.69</v>
      </c>
      <c r="BH4628" s="9">
        <f t="shared" si="648"/>
        <v>2285.9299999999998</v>
      </c>
      <c r="BI4628" s="9">
        <f t="shared" si="649"/>
        <v>22.86</v>
      </c>
      <c r="BJ4628" s="9">
        <f t="shared" si="650"/>
        <v>4.1500000000000004</v>
      </c>
      <c r="BK4628" s="9">
        <f t="shared" si="651"/>
        <v>22.29</v>
      </c>
      <c r="BL4628" s="9">
        <f t="shared" si="652"/>
        <v>0</v>
      </c>
      <c r="BM4628" s="9">
        <f t="shared" si="653"/>
        <v>71.700960000000009</v>
      </c>
      <c r="BN4628" s="9">
        <f t="shared" si="654"/>
        <v>990.98</v>
      </c>
      <c r="BO4628" s="9">
        <f t="shared" si="655"/>
        <v>0</v>
      </c>
      <c r="BP4628" s="9">
        <f t="shared" si="656"/>
        <v>0</v>
      </c>
    </row>
    <row r="4629" spans="1:68">
      <c r="A4629" s="6">
        <v>45428</v>
      </c>
      <c r="B4629" s="7">
        <v>3024</v>
      </c>
      <c r="C4629" s="8"/>
      <c r="D4629" s="8">
        <v>624.63</v>
      </c>
      <c r="E4629" s="8"/>
      <c r="F4629" s="8"/>
      <c r="G4629" s="8"/>
      <c r="H4629" s="8"/>
      <c r="I4629" s="8">
        <v>624.09</v>
      </c>
      <c r="J4629" s="8"/>
      <c r="K4629" s="8"/>
      <c r="L4629" s="8"/>
      <c r="M4629" s="8"/>
      <c r="N4629" s="8">
        <v>7.89</v>
      </c>
      <c r="O4629" s="8"/>
      <c r="P4629" s="8"/>
      <c r="Q4629" s="11"/>
      <c r="R4629" s="11"/>
      <c r="S4629" s="8">
        <v>2</v>
      </c>
      <c r="T4629" s="8"/>
      <c r="U4629" s="8"/>
      <c r="V4629" s="8"/>
      <c r="W4629" s="8">
        <v>10</v>
      </c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>
        <v>12.55</v>
      </c>
      <c r="AN4629" s="8">
        <f>847*10.42/1000</f>
        <v>8.8257399999999997</v>
      </c>
      <c r="AO4629" s="8"/>
      <c r="AP4629" s="11"/>
      <c r="AQ4629" s="8"/>
      <c r="AR4629" s="8"/>
      <c r="AS4629" s="8">
        <f>3978*10.42/1000</f>
        <v>41.450760000000002</v>
      </c>
      <c r="AT4629" s="8">
        <v>481.5</v>
      </c>
      <c r="AU4629" s="8"/>
      <c r="AV4629" s="8"/>
      <c r="AW4629" s="8"/>
      <c r="AX4629" s="8"/>
      <c r="AY4629" s="8"/>
      <c r="AZ4629" s="8"/>
      <c r="BA4629" s="8"/>
      <c r="BB4629" s="8"/>
      <c r="BC4629" s="8"/>
      <c r="BD4629" s="8"/>
      <c r="BE4629" s="8"/>
      <c r="BF4629" s="8"/>
      <c r="BG4629" s="8">
        <v>35.049999999999997</v>
      </c>
      <c r="BH4629" s="9">
        <f t="shared" si="648"/>
        <v>1248.72</v>
      </c>
      <c r="BI4629" s="9">
        <f t="shared" si="649"/>
        <v>7.89</v>
      </c>
      <c r="BJ4629" s="9">
        <f t="shared" si="650"/>
        <v>2</v>
      </c>
      <c r="BK4629" s="9">
        <f t="shared" si="651"/>
        <v>10</v>
      </c>
      <c r="BL4629" s="9">
        <f t="shared" si="652"/>
        <v>0</v>
      </c>
      <c r="BM4629" s="9">
        <f t="shared" si="653"/>
        <v>62.826500000000003</v>
      </c>
      <c r="BN4629" s="9">
        <f t="shared" si="654"/>
        <v>481.5</v>
      </c>
      <c r="BO4629" s="9">
        <f t="shared" si="655"/>
        <v>0</v>
      </c>
      <c r="BP4629" s="9">
        <f t="shared" si="656"/>
        <v>0</v>
      </c>
    </row>
    <row r="4630" spans="1:68">
      <c r="A4630" s="6">
        <v>45428</v>
      </c>
      <c r="B4630" s="7">
        <v>3016</v>
      </c>
      <c r="C4630" s="8"/>
      <c r="D4630" s="8">
        <v>1632.04</v>
      </c>
      <c r="E4630" s="8"/>
      <c r="F4630" s="8"/>
      <c r="G4630" s="8"/>
      <c r="H4630" s="8"/>
      <c r="I4630" s="8">
        <v>1503.29</v>
      </c>
      <c r="J4630" s="8"/>
      <c r="K4630" s="8"/>
      <c r="L4630" s="8"/>
      <c r="M4630" s="8"/>
      <c r="N4630" s="8">
        <v>20.100000000000001</v>
      </c>
      <c r="O4630" s="8"/>
      <c r="P4630" s="8"/>
      <c r="Q4630" s="11"/>
      <c r="R4630" s="11"/>
      <c r="S4630" s="8">
        <v>2.1800000000000002</v>
      </c>
      <c r="T4630" s="8"/>
      <c r="U4630" s="8"/>
      <c r="V4630" s="8"/>
      <c r="W4630" s="8">
        <v>31.42</v>
      </c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>
        <v>12.41</v>
      </c>
      <c r="AN4630" s="8">
        <f>2056*18.47/1000</f>
        <v>37.974319999999999</v>
      </c>
      <c r="AO4630" s="8"/>
      <c r="AP4630" s="11"/>
      <c r="AQ4630" s="8"/>
      <c r="AR4630" s="8">
        <f>4264*18.47/1000</f>
        <v>78.756079999999997</v>
      </c>
      <c r="AS4630" s="8"/>
      <c r="AT4630" s="8">
        <v>1167.82</v>
      </c>
      <c r="AU4630" s="8"/>
      <c r="AV4630" s="8"/>
      <c r="AW4630" s="8"/>
      <c r="AX4630" s="8"/>
      <c r="AY4630" s="8"/>
      <c r="AZ4630" s="8"/>
      <c r="BA4630" s="8"/>
      <c r="BB4630" s="8"/>
      <c r="BC4630" s="8"/>
      <c r="BD4630" s="8"/>
      <c r="BE4630" s="8"/>
      <c r="BF4630" s="8"/>
      <c r="BG4630" s="8">
        <v>85.3</v>
      </c>
      <c r="BH4630" s="9">
        <f t="shared" si="648"/>
        <v>3135.33</v>
      </c>
      <c r="BI4630" s="9">
        <f t="shared" si="649"/>
        <v>20.100000000000001</v>
      </c>
      <c r="BJ4630" s="9">
        <f t="shared" si="650"/>
        <v>2.1800000000000002</v>
      </c>
      <c r="BK4630" s="9">
        <f t="shared" si="651"/>
        <v>31.42</v>
      </c>
      <c r="BL4630" s="9">
        <f t="shared" si="652"/>
        <v>0</v>
      </c>
      <c r="BM4630" s="9">
        <f t="shared" si="653"/>
        <v>129.1404</v>
      </c>
      <c r="BN4630" s="9">
        <f t="shared" si="654"/>
        <v>1167.82</v>
      </c>
      <c r="BO4630" s="9">
        <f t="shared" si="655"/>
        <v>0</v>
      </c>
      <c r="BP4630" s="9">
        <f t="shared" si="656"/>
        <v>0</v>
      </c>
    </row>
    <row r="4631" spans="1:68">
      <c r="A4631" s="6">
        <v>45428</v>
      </c>
      <c r="B4631" s="7">
        <v>3079</v>
      </c>
      <c r="C4631" s="8"/>
      <c r="D4631" s="8"/>
      <c r="E4631" s="8"/>
      <c r="F4631" s="8">
        <v>510.44</v>
      </c>
      <c r="G4631" s="8"/>
      <c r="H4631" s="8"/>
      <c r="I4631" s="8">
        <v>4127.5</v>
      </c>
      <c r="J4631" s="8"/>
      <c r="K4631" s="8"/>
      <c r="L4631" s="8"/>
      <c r="M4631" s="8"/>
      <c r="N4631" s="8">
        <v>33.869999999999997</v>
      </c>
      <c r="O4631" s="8"/>
      <c r="P4631" s="8"/>
      <c r="Q4631" s="11"/>
      <c r="R4631" s="11"/>
      <c r="S4631" s="8">
        <v>1.82</v>
      </c>
      <c r="T4631" s="8"/>
      <c r="U4631" s="8"/>
      <c r="V4631" s="8"/>
      <c r="W4631" s="8">
        <v>46.45</v>
      </c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>
        <v>18.489999999999998</v>
      </c>
      <c r="AN4631" s="8">
        <f>1724*27.32/1000</f>
        <v>47.099679999999999</v>
      </c>
      <c r="AO4631" s="8"/>
      <c r="AP4631" s="11"/>
      <c r="AQ4631" s="8"/>
      <c r="AR4631" s="8">
        <f>4264*27.32/1000</f>
        <v>116.49248</v>
      </c>
      <c r="AS4631" s="8"/>
      <c r="AT4631" s="8">
        <v>1788.98</v>
      </c>
      <c r="AU4631" s="8"/>
      <c r="AV4631" s="8"/>
      <c r="AW4631" s="8"/>
      <c r="AX4631" s="8"/>
      <c r="AY4631" s="8"/>
      <c r="AZ4631" s="8"/>
      <c r="BA4631" s="8"/>
      <c r="BB4631" s="8"/>
      <c r="BC4631" s="8"/>
      <c r="BD4631" s="8"/>
      <c r="BE4631" s="8"/>
      <c r="BF4631" s="8"/>
      <c r="BG4631" s="8">
        <v>129.36000000000001</v>
      </c>
      <c r="BH4631" s="9">
        <f t="shared" si="648"/>
        <v>4637.9399999999996</v>
      </c>
      <c r="BI4631" s="9">
        <f t="shared" si="649"/>
        <v>33.869999999999997</v>
      </c>
      <c r="BJ4631" s="9">
        <f t="shared" si="650"/>
        <v>1.82</v>
      </c>
      <c r="BK4631" s="9">
        <f t="shared" si="651"/>
        <v>46.45</v>
      </c>
      <c r="BL4631" s="9">
        <f t="shared" si="652"/>
        <v>0</v>
      </c>
      <c r="BM4631" s="9">
        <f t="shared" si="653"/>
        <v>182.08215999999999</v>
      </c>
      <c r="BN4631" s="9">
        <f t="shared" si="654"/>
        <v>1788.98</v>
      </c>
      <c r="BO4631" s="9">
        <f t="shared" si="655"/>
        <v>0</v>
      </c>
      <c r="BP4631" s="9">
        <f t="shared" si="656"/>
        <v>0</v>
      </c>
    </row>
    <row r="4632" spans="1:68">
      <c r="A4632" s="6">
        <v>45428</v>
      </c>
      <c r="B4632" s="7">
        <v>3802</v>
      </c>
      <c r="C4632" s="8">
        <v>261.33999999999997</v>
      </c>
      <c r="D4632" s="8"/>
      <c r="E4632" s="8"/>
      <c r="F4632" s="8"/>
      <c r="G4632" s="8"/>
      <c r="H4632" s="8"/>
      <c r="I4632" s="8"/>
      <c r="J4632" s="8"/>
      <c r="K4632" s="8"/>
      <c r="L4632" s="8">
        <f>45339*5.42/1000</f>
        <v>245.73738</v>
      </c>
      <c r="M4632" s="8"/>
      <c r="N4632" s="8">
        <v>0.67</v>
      </c>
      <c r="O4632" s="8"/>
      <c r="P4632" s="8"/>
      <c r="Q4632" s="11"/>
      <c r="R4632" s="11"/>
      <c r="S4632" s="8">
        <v>1.98</v>
      </c>
      <c r="T4632" s="8"/>
      <c r="U4632" s="8">
        <v>3.82</v>
      </c>
      <c r="V4632" s="8"/>
      <c r="W4632" s="8"/>
      <c r="X4632" s="8"/>
      <c r="Y4632" s="8"/>
      <c r="Z4632" s="8">
        <v>57.13</v>
      </c>
      <c r="AA4632" s="8">
        <f>3359*5.42/1000</f>
        <v>18.205779999999997</v>
      </c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11"/>
      <c r="AQ4632" s="8"/>
      <c r="AR4632" s="8"/>
      <c r="AS4632" s="8">
        <f>977*5.42/1000</f>
        <v>5.2953400000000004</v>
      </c>
      <c r="AT4632" s="8">
        <v>231.18</v>
      </c>
      <c r="AU4632" s="8"/>
      <c r="AV4632" s="8"/>
      <c r="AW4632" s="8"/>
      <c r="AX4632" s="8"/>
      <c r="AY4632" s="8"/>
      <c r="AZ4632" s="8"/>
      <c r="BA4632" s="8"/>
      <c r="BB4632" s="8"/>
      <c r="BC4632" s="8"/>
      <c r="BD4632" s="8"/>
      <c r="BE4632" s="8"/>
      <c r="BF4632" s="8"/>
      <c r="BG4632" s="8">
        <v>17.829999999999998</v>
      </c>
      <c r="BH4632" s="9">
        <f t="shared" si="648"/>
        <v>507.07737999999995</v>
      </c>
      <c r="BI4632" s="9">
        <f t="shared" si="649"/>
        <v>0.67</v>
      </c>
      <c r="BJ4632" s="9">
        <f t="shared" si="650"/>
        <v>1.98</v>
      </c>
      <c r="BK4632" s="9">
        <f t="shared" si="651"/>
        <v>3.82</v>
      </c>
      <c r="BL4632" s="9">
        <f t="shared" si="652"/>
        <v>75.33578</v>
      </c>
      <c r="BM4632" s="9">
        <f t="shared" si="653"/>
        <v>5.2953400000000004</v>
      </c>
      <c r="BN4632" s="9">
        <f t="shared" si="654"/>
        <v>231.18</v>
      </c>
      <c r="BO4632" s="9">
        <f t="shared" si="655"/>
        <v>0</v>
      </c>
      <c r="BP4632" s="9">
        <f t="shared" si="656"/>
        <v>0</v>
      </c>
    </row>
    <row r="4633" spans="1:68">
      <c r="A4633" s="6">
        <v>45428</v>
      </c>
      <c r="B4633" s="7">
        <v>3801</v>
      </c>
      <c r="C4633" s="8">
        <v>357.66</v>
      </c>
      <c r="D4633" s="8"/>
      <c r="E4633" s="8"/>
      <c r="F4633" s="8"/>
      <c r="G4633" s="8"/>
      <c r="H4633" s="8"/>
      <c r="I4633" s="8"/>
      <c r="J4633" s="8"/>
      <c r="K4633" s="8"/>
      <c r="L4633" s="8">
        <f>43145*6.93/1000</f>
        <v>298.99484999999999</v>
      </c>
      <c r="M4633" s="8"/>
      <c r="N4633" s="8">
        <v>0.72</v>
      </c>
      <c r="O4633" s="8"/>
      <c r="P4633" s="8"/>
      <c r="Q4633" s="11"/>
      <c r="R4633" s="11"/>
      <c r="S4633" s="8">
        <v>2.83</v>
      </c>
      <c r="T4633" s="8"/>
      <c r="U4633" s="8">
        <v>3.13</v>
      </c>
      <c r="V4633" s="8"/>
      <c r="W4633" s="8"/>
      <c r="X4633" s="8"/>
      <c r="Y4633" s="8"/>
      <c r="Z4633" s="8">
        <v>52.06</v>
      </c>
      <c r="AA4633" s="8">
        <f>2974*6.93/1000</f>
        <v>20.609819999999999</v>
      </c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11"/>
      <c r="AQ4633" s="8">
        <f>272*6.93/1000</f>
        <v>1.88496</v>
      </c>
      <c r="AR4633" s="8"/>
      <c r="AS4633" s="8"/>
      <c r="AT4633" s="8">
        <v>254.01</v>
      </c>
      <c r="AU4633" s="8"/>
      <c r="AV4633" s="8"/>
      <c r="AW4633" s="8"/>
      <c r="AX4633" s="8"/>
      <c r="AY4633" s="8"/>
      <c r="AZ4633" s="8"/>
      <c r="BA4633" s="8"/>
      <c r="BB4633" s="8"/>
      <c r="BC4633" s="8"/>
      <c r="BD4633" s="8"/>
      <c r="BE4633" s="8"/>
      <c r="BF4633" s="8"/>
      <c r="BG4633" s="8">
        <v>19.190000000000001</v>
      </c>
      <c r="BH4633" s="9">
        <f t="shared" si="648"/>
        <v>656.65485000000001</v>
      </c>
      <c r="BI4633" s="9">
        <f t="shared" si="649"/>
        <v>0.72</v>
      </c>
      <c r="BJ4633" s="9">
        <f t="shared" si="650"/>
        <v>2.83</v>
      </c>
      <c r="BK4633" s="9">
        <f t="shared" si="651"/>
        <v>3.13</v>
      </c>
      <c r="BL4633" s="9">
        <f t="shared" si="652"/>
        <v>72.669820000000001</v>
      </c>
      <c r="BM4633" s="9">
        <f t="shared" si="653"/>
        <v>1.88496</v>
      </c>
      <c r="BN4633" s="9">
        <f t="shared" si="654"/>
        <v>254.01</v>
      </c>
      <c r="BO4633" s="9">
        <f t="shared" si="655"/>
        <v>0</v>
      </c>
      <c r="BP4633" s="9">
        <f t="shared" si="656"/>
        <v>0</v>
      </c>
    </row>
    <row r="4634" spans="1:68">
      <c r="A4634" s="6">
        <v>45428</v>
      </c>
      <c r="B4634" s="7">
        <v>3705</v>
      </c>
      <c r="C4634" s="8"/>
      <c r="D4634" s="8">
        <v>319.33999999999997</v>
      </c>
      <c r="E4634" s="8"/>
      <c r="F4634" s="8"/>
      <c r="G4634" s="8"/>
      <c r="H4634" s="8"/>
      <c r="I4634" s="8">
        <v>70.78</v>
      </c>
      <c r="J4634" s="8"/>
      <c r="K4634" s="8"/>
      <c r="L4634" s="8"/>
      <c r="M4634" s="8">
        <v>1.17</v>
      </c>
      <c r="N4634" s="8"/>
      <c r="O4634" s="8"/>
      <c r="P4634" s="8"/>
      <c r="Q4634" s="11"/>
      <c r="R4634" s="11"/>
      <c r="S4634" s="8">
        <v>1.36</v>
      </c>
      <c r="T4634" s="8"/>
      <c r="U4634" s="8">
        <v>2.73</v>
      </c>
      <c r="V4634" s="8"/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11"/>
      <c r="AQ4634" s="8"/>
      <c r="AR4634" s="8"/>
      <c r="AS4634" s="8"/>
      <c r="AT4634" s="8">
        <v>22.97</v>
      </c>
      <c r="AU4634" s="8">
        <v>46.39</v>
      </c>
      <c r="AV4634" s="8">
        <v>0.78</v>
      </c>
      <c r="AW4634" s="8"/>
      <c r="AX4634" s="8"/>
      <c r="AY4634" s="8"/>
      <c r="AZ4634" s="8"/>
      <c r="BA4634" s="8"/>
      <c r="BB4634" s="8"/>
      <c r="BC4634" s="8"/>
      <c r="BD4634" s="8"/>
      <c r="BE4634" s="8"/>
      <c r="BF4634" s="8"/>
      <c r="BG4634" s="8">
        <v>3.82</v>
      </c>
      <c r="BH4634" s="9">
        <f t="shared" si="648"/>
        <v>390.12</v>
      </c>
      <c r="BI4634" s="9">
        <f t="shared" si="649"/>
        <v>1.17</v>
      </c>
      <c r="BJ4634" s="9">
        <f t="shared" si="650"/>
        <v>1.36</v>
      </c>
      <c r="BK4634" s="9">
        <f t="shared" si="651"/>
        <v>2.73</v>
      </c>
      <c r="BL4634" s="9">
        <f t="shared" si="652"/>
        <v>0</v>
      </c>
      <c r="BM4634" s="9">
        <f t="shared" si="653"/>
        <v>0</v>
      </c>
      <c r="BN4634" s="9">
        <f t="shared" si="654"/>
        <v>69.36</v>
      </c>
      <c r="BO4634" s="9">
        <f t="shared" si="655"/>
        <v>0.78</v>
      </c>
      <c r="BP4634" s="9">
        <f t="shared" si="656"/>
        <v>0</v>
      </c>
    </row>
    <row r="4635" spans="1:68">
      <c r="A4635" s="6">
        <v>45428</v>
      </c>
      <c r="B4635" s="7">
        <v>3430</v>
      </c>
      <c r="C4635" s="8">
        <v>135.13</v>
      </c>
      <c r="D4635" s="8">
        <v>206.96</v>
      </c>
      <c r="E4635" s="8"/>
      <c r="F4635" s="8"/>
      <c r="G4635" s="8"/>
      <c r="H4635" s="8"/>
      <c r="I4635" s="8"/>
      <c r="J4635" s="8"/>
      <c r="K4635" s="8"/>
      <c r="L4635" s="8"/>
      <c r="M4635" s="8"/>
      <c r="N4635" s="8">
        <v>0.62</v>
      </c>
      <c r="O4635" s="8"/>
      <c r="P4635" s="8"/>
      <c r="Q4635" s="11"/>
      <c r="R4635" s="11"/>
      <c r="S4635" s="8">
        <v>1.03</v>
      </c>
      <c r="T4635" s="8"/>
      <c r="U4635" s="8"/>
      <c r="V4635" s="8"/>
      <c r="W4635" s="8"/>
      <c r="X4635" s="8">
        <f>1089*3.83/1000</f>
        <v>4.1708699999999999</v>
      </c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11"/>
      <c r="AQ4635" s="8"/>
      <c r="AR4635" s="8"/>
      <c r="AS4635" s="8"/>
      <c r="AT4635" s="8">
        <v>139.58000000000001</v>
      </c>
      <c r="AU4635" s="8"/>
      <c r="AV4635" s="8"/>
      <c r="AW4635" s="8">
        <v>6.73</v>
      </c>
      <c r="AX4635" s="8"/>
      <c r="AY4635" s="8"/>
      <c r="AZ4635" s="8"/>
      <c r="BA4635" s="8"/>
      <c r="BB4635" s="8"/>
      <c r="BC4635" s="8"/>
      <c r="BD4635" s="8"/>
      <c r="BE4635" s="8"/>
      <c r="BF4635" s="8"/>
      <c r="BG4635" s="8">
        <v>10.82</v>
      </c>
      <c r="BH4635" s="9">
        <f t="shared" si="648"/>
        <v>342.09000000000003</v>
      </c>
      <c r="BI4635" s="9">
        <f t="shared" si="649"/>
        <v>0.62</v>
      </c>
      <c r="BJ4635" s="9">
        <f t="shared" si="650"/>
        <v>1.03</v>
      </c>
      <c r="BK4635" s="9">
        <f t="shared" si="651"/>
        <v>4.1708699999999999</v>
      </c>
      <c r="BL4635" s="9">
        <f t="shared" si="652"/>
        <v>0</v>
      </c>
      <c r="BM4635" s="9">
        <f t="shared" si="653"/>
        <v>0</v>
      </c>
      <c r="BN4635" s="9">
        <f t="shared" si="654"/>
        <v>139.58000000000001</v>
      </c>
      <c r="BO4635" s="9">
        <f t="shared" si="655"/>
        <v>6.73</v>
      </c>
      <c r="BP4635" s="9">
        <f t="shared" si="656"/>
        <v>0</v>
      </c>
    </row>
    <row r="4636" spans="1:68">
      <c r="A4636" s="6">
        <v>45429</v>
      </c>
      <c r="B4636" s="7">
        <v>3101</v>
      </c>
      <c r="C4636" s="8">
        <v>640.78</v>
      </c>
      <c r="D4636" s="8"/>
      <c r="E4636" s="8"/>
      <c r="F4636" s="8"/>
      <c r="G4636" s="8"/>
      <c r="H4636" s="8"/>
      <c r="I4636" s="8"/>
      <c r="J4636" s="8"/>
      <c r="K4636" s="8"/>
      <c r="L4636" s="8"/>
      <c r="M4636" s="8">
        <v>1.61</v>
      </c>
      <c r="N4636" s="8"/>
      <c r="O4636" s="8"/>
      <c r="P4636" s="8"/>
      <c r="Q4636" s="11"/>
      <c r="R4636" s="11"/>
      <c r="S4636" s="8">
        <v>3.73</v>
      </c>
      <c r="T4636" s="8"/>
      <c r="U4636" s="8">
        <v>10.3</v>
      </c>
      <c r="V4636" s="8"/>
      <c r="W4636" s="8"/>
      <c r="X4636" s="8"/>
      <c r="Y4636" s="8"/>
      <c r="Z4636" s="8"/>
      <c r="AA4636" s="8"/>
      <c r="AB4636" s="8"/>
      <c r="AC4636" s="8">
        <v>2.57</v>
      </c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11"/>
      <c r="AQ4636" s="8"/>
      <c r="AR4636" s="8"/>
      <c r="AS4636" s="8"/>
      <c r="AT4636" s="8">
        <v>431.76</v>
      </c>
      <c r="AU4636" s="8"/>
      <c r="AV4636" s="8"/>
      <c r="AW4636" s="8"/>
      <c r="AX4636" s="8"/>
      <c r="AY4636" s="8"/>
      <c r="AZ4636" s="8"/>
      <c r="BA4636" s="8"/>
      <c r="BB4636" s="8"/>
      <c r="BC4636" s="8"/>
      <c r="BD4636" s="8"/>
      <c r="BE4636" s="8"/>
      <c r="BF4636" s="8">
        <v>83.7</v>
      </c>
      <c r="BG4636" s="8">
        <v>33.07</v>
      </c>
      <c r="BH4636" s="9">
        <f t="shared" si="648"/>
        <v>640.78</v>
      </c>
      <c r="BI4636" s="9">
        <f t="shared" si="649"/>
        <v>1.61</v>
      </c>
      <c r="BJ4636" s="9">
        <f t="shared" si="650"/>
        <v>3.73</v>
      </c>
      <c r="BK4636" s="9">
        <f t="shared" si="651"/>
        <v>10.3</v>
      </c>
      <c r="BL4636" s="9">
        <f t="shared" si="652"/>
        <v>0</v>
      </c>
      <c r="BM4636" s="9">
        <f t="shared" si="653"/>
        <v>2.57</v>
      </c>
      <c r="BN4636" s="9">
        <f t="shared" si="654"/>
        <v>431.76</v>
      </c>
      <c r="BO4636" s="9">
        <f t="shared" si="655"/>
        <v>0</v>
      </c>
      <c r="BP4636" s="9">
        <f t="shared" si="656"/>
        <v>83.7</v>
      </c>
    </row>
    <row r="4637" spans="1:68">
      <c r="A4637" s="6">
        <v>45429</v>
      </c>
      <c r="B4637" s="7">
        <v>3602</v>
      </c>
      <c r="C4637" s="8">
        <v>569.15</v>
      </c>
      <c r="D4637" s="8"/>
      <c r="E4637" s="8"/>
      <c r="F4637" s="8"/>
      <c r="G4637" s="8">
        <v>853.07</v>
      </c>
      <c r="H4637" s="8"/>
      <c r="I4637" s="8"/>
      <c r="J4637" s="8"/>
      <c r="K4637" s="8"/>
      <c r="L4637" s="8"/>
      <c r="M4637" s="8">
        <v>1.69</v>
      </c>
      <c r="N4637" s="8"/>
      <c r="O4637" s="8"/>
      <c r="P4637" s="8"/>
      <c r="Q4637" s="11"/>
      <c r="R4637" s="11"/>
      <c r="S4637" s="8">
        <v>6.04</v>
      </c>
      <c r="T4637" s="8"/>
      <c r="U4637" s="8">
        <v>11.4</v>
      </c>
      <c r="V4637" s="8">
        <f>844*16.27/1000</f>
        <v>13.731879999999999</v>
      </c>
      <c r="W4637" s="8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11"/>
      <c r="AQ4637" s="8"/>
      <c r="AR4637" s="8"/>
      <c r="AS4637" s="8"/>
      <c r="AT4637" s="8">
        <v>574.14</v>
      </c>
      <c r="AU4637" s="8"/>
      <c r="AV4637" s="8"/>
      <c r="AW4637" s="8">
        <v>36.81</v>
      </c>
      <c r="AX4637" s="8"/>
      <c r="AY4637" s="8"/>
      <c r="AZ4637" s="8"/>
      <c r="BA4637" s="8"/>
      <c r="BB4637" s="8"/>
      <c r="BC4637" s="8"/>
      <c r="BD4637" s="8"/>
      <c r="BE4637" s="8"/>
      <c r="BF4637" s="8">
        <v>45.57</v>
      </c>
      <c r="BG4637" s="8">
        <v>42.63</v>
      </c>
      <c r="BH4637" s="9">
        <f t="shared" si="648"/>
        <v>1422.22</v>
      </c>
      <c r="BI4637" s="9">
        <f t="shared" si="649"/>
        <v>1.69</v>
      </c>
      <c r="BJ4637" s="9">
        <f t="shared" si="650"/>
        <v>6.04</v>
      </c>
      <c r="BK4637" s="9">
        <f t="shared" si="651"/>
        <v>25.131879999999999</v>
      </c>
      <c r="BL4637" s="9">
        <f t="shared" si="652"/>
        <v>0</v>
      </c>
      <c r="BM4637" s="9">
        <f t="shared" si="653"/>
        <v>0</v>
      </c>
      <c r="BN4637" s="9">
        <f t="shared" si="654"/>
        <v>574.14</v>
      </c>
      <c r="BO4637" s="9">
        <f t="shared" si="655"/>
        <v>36.81</v>
      </c>
      <c r="BP4637" s="9">
        <f t="shared" si="656"/>
        <v>45.57</v>
      </c>
    </row>
    <row r="4638" spans="1:68">
      <c r="A4638" s="6">
        <v>45429</v>
      </c>
      <c r="B4638" s="7">
        <v>3155</v>
      </c>
      <c r="C4638" s="8">
        <v>414.37</v>
      </c>
      <c r="D4638" s="8">
        <v>415.16</v>
      </c>
      <c r="E4638" s="8"/>
      <c r="F4638" s="8"/>
      <c r="G4638" s="8"/>
      <c r="H4638" s="8"/>
      <c r="I4638" s="8"/>
      <c r="J4638" s="8"/>
      <c r="K4638" s="8"/>
      <c r="L4638" s="8"/>
      <c r="M4638" s="8">
        <v>2.41</v>
      </c>
      <c r="N4638" s="8"/>
      <c r="O4638" s="8"/>
      <c r="P4638" s="8"/>
      <c r="Q4638" s="11"/>
      <c r="R4638" s="11"/>
      <c r="S4638" s="8">
        <v>4.1500000000000004</v>
      </c>
      <c r="T4638" s="8"/>
      <c r="U4638" s="8">
        <v>13.27</v>
      </c>
      <c r="V4638" s="8"/>
      <c r="W4638" s="8"/>
      <c r="X4638" s="8"/>
      <c r="Y4638" s="8"/>
      <c r="Z4638" s="8"/>
      <c r="AA4638" s="8"/>
      <c r="AB4638" s="8"/>
      <c r="AC4638" s="8">
        <v>3.32</v>
      </c>
      <c r="AD4638" s="8"/>
      <c r="AE4638" s="8"/>
      <c r="AF4638" s="8"/>
      <c r="AG4638" s="8">
        <v>4.1500000000000004</v>
      </c>
      <c r="AH4638" s="8"/>
      <c r="AI4638" s="8"/>
      <c r="AJ4638" s="8"/>
      <c r="AK4638" s="8"/>
      <c r="AL4638" s="8"/>
      <c r="AM4638" s="8"/>
      <c r="AN4638" s="8"/>
      <c r="AO4638" s="8"/>
      <c r="AP4638" s="11"/>
      <c r="AQ4638" s="8"/>
      <c r="AR4638" s="8"/>
      <c r="AS4638" s="8"/>
      <c r="AT4638" s="8">
        <v>533.47</v>
      </c>
      <c r="AU4638" s="8"/>
      <c r="AV4638" s="8"/>
      <c r="AW4638" s="8"/>
      <c r="AX4638" s="8"/>
      <c r="AY4638" s="8"/>
      <c r="AZ4638" s="8"/>
      <c r="BA4638" s="8"/>
      <c r="BB4638" s="8"/>
      <c r="BC4638" s="8"/>
      <c r="BD4638" s="8"/>
      <c r="BE4638" s="8"/>
      <c r="BF4638" s="8">
        <v>107.8</v>
      </c>
      <c r="BG4638" s="8">
        <v>43.17</v>
      </c>
      <c r="BH4638" s="9">
        <f t="shared" si="648"/>
        <v>829.53</v>
      </c>
      <c r="BI4638" s="9">
        <f t="shared" si="649"/>
        <v>2.41</v>
      </c>
      <c r="BJ4638" s="9">
        <f t="shared" si="650"/>
        <v>4.1500000000000004</v>
      </c>
      <c r="BK4638" s="9">
        <f t="shared" si="651"/>
        <v>13.27</v>
      </c>
      <c r="BL4638" s="9">
        <f t="shared" si="652"/>
        <v>0</v>
      </c>
      <c r="BM4638" s="9">
        <f t="shared" si="653"/>
        <v>7.4700000000000006</v>
      </c>
      <c r="BN4638" s="9">
        <f t="shared" si="654"/>
        <v>533.47</v>
      </c>
      <c r="BO4638" s="9">
        <f t="shared" si="655"/>
        <v>0</v>
      </c>
      <c r="BP4638" s="9">
        <f t="shared" si="656"/>
        <v>107.8</v>
      </c>
    </row>
    <row r="4639" spans="1:68">
      <c r="A4639" s="6">
        <v>45429</v>
      </c>
      <c r="B4639" s="7">
        <v>3023</v>
      </c>
      <c r="C4639" s="8"/>
      <c r="D4639" s="8">
        <v>1717.82</v>
      </c>
      <c r="E4639" s="8"/>
      <c r="F4639" s="8"/>
      <c r="G4639" s="8"/>
      <c r="H4639" s="8"/>
      <c r="I4639" s="8">
        <v>923.46</v>
      </c>
      <c r="J4639" s="8"/>
      <c r="K4639" s="8"/>
      <c r="L4639" s="8"/>
      <c r="M4639" s="8"/>
      <c r="N4639" s="8">
        <v>15.08</v>
      </c>
      <c r="O4639" s="8"/>
      <c r="P4639" s="8"/>
      <c r="Q4639" s="11"/>
      <c r="R4639" s="11"/>
      <c r="S4639" s="8">
        <v>4.2300000000000004</v>
      </c>
      <c r="T4639" s="8"/>
      <c r="U4639" s="8"/>
      <c r="V4639" s="8"/>
      <c r="W4639" s="8">
        <v>23.83</v>
      </c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>
        <v>26.31</v>
      </c>
      <c r="AN4639" s="8">
        <f>1018*18.23/1000</f>
        <v>18.558139999999998</v>
      </c>
      <c r="AO4639" s="8"/>
      <c r="AP4639" s="11"/>
      <c r="AQ4639" s="8"/>
      <c r="AR4639" s="8"/>
      <c r="AS4639" s="8">
        <f>4811*18.23/1000</f>
        <v>87.704530000000005</v>
      </c>
      <c r="AT4639" s="8">
        <v>1085.22</v>
      </c>
      <c r="AU4639" s="8"/>
      <c r="AV4639" s="8"/>
      <c r="AW4639" s="8"/>
      <c r="AX4639" s="8"/>
      <c r="AY4639" s="8"/>
      <c r="AZ4639" s="8"/>
      <c r="BA4639" s="8"/>
      <c r="BB4639" s="8"/>
      <c r="BC4639" s="8"/>
      <c r="BD4639" s="8"/>
      <c r="BE4639" s="8"/>
      <c r="BF4639" s="8"/>
      <c r="BG4639" s="8">
        <v>81.97</v>
      </c>
      <c r="BH4639" s="9">
        <f t="shared" si="648"/>
        <v>2641.2799999999997</v>
      </c>
      <c r="BI4639" s="9">
        <f t="shared" si="649"/>
        <v>15.08</v>
      </c>
      <c r="BJ4639" s="9">
        <f t="shared" si="650"/>
        <v>4.2300000000000004</v>
      </c>
      <c r="BK4639" s="9">
        <f t="shared" si="651"/>
        <v>23.83</v>
      </c>
      <c r="BL4639" s="9">
        <f t="shared" si="652"/>
        <v>0</v>
      </c>
      <c r="BM4639" s="9">
        <f t="shared" si="653"/>
        <v>132.57267000000002</v>
      </c>
      <c r="BN4639" s="9">
        <f t="shared" si="654"/>
        <v>1085.22</v>
      </c>
      <c r="BO4639" s="9">
        <f t="shared" si="655"/>
        <v>0</v>
      </c>
      <c r="BP4639" s="9">
        <f t="shared" si="656"/>
        <v>0</v>
      </c>
    </row>
    <row r="4640" spans="1:68">
      <c r="A4640" s="6">
        <v>45429</v>
      </c>
      <c r="B4640" s="7">
        <v>3027</v>
      </c>
      <c r="C4640" s="8"/>
      <c r="D4640" s="8">
        <v>968.87</v>
      </c>
      <c r="E4640" s="8"/>
      <c r="F4640" s="8"/>
      <c r="G4640" s="8"/>
      <c r="H4640" s="8"/>
      <c r="I4640" s="8">
        <v>791.99</v>
      </c>
      <c r="J4640" s="8"/>
      <c r="K4640" s="8"/>
      <c r="L4640" s="8"/>
      <c r="M4640" s="8"/>
      <c r="N4640" s="8">
        <v>10.050000000000001</v>
      </c>
      <c r="O4640" s="8"/>
      <c r="P4640" s="8"/>
      <c r="Q4640" s="11"/>
      <c r="R4640" s="11"/>
      <c r="S4640" s="8">
        <v>2.82</v>
      </c>
      <c r="T4640" s="8"/>
      <c r="U4640" s="8"/>
      <c r="V4640" s="8"/>
      <c r="W4640" s="8">
        <v>13.22</v>
      </c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>
        <v>17.55</v>
      </c>
      <c r="AN4640" s="8">
        <f>1226*10.07/1000</f>
        <v>12.34582</v>
      </c>
      <c r="AO4640" s="8"/>
      <c r="AP4640" s="11"/>
      <c r="AQ4640" s="8"/>
      <c r="AR4640" s="8"/>
      <c r="AS4640" s="8">
        <f>5746*10.07/1000</f>
        <v>57.862220000000001</v>
      </c>
      <c r="AT4640" s="8">
        <v>586.57000000000005</v>
      </c>
      <c r="AU4640" s="8"/>
      <c r="AV4640" s="8"/>
      <c r="AW4640" s="8"/>
      <c r="AX4640" s="8"/>
      <c r="AY4640" s="8"/>
      <c r="AZ4640" s="8"/>
      <c r="BA4640" s="8"/>
      <c r="BB4640" s="8"/>
      <c r="BC4640" s="8"/>
      <c r="BD4640" s="8"/>
      <c r="BE4640" s="8"/>
      <c r="BF4640" s="8"/>
      <c r="BG4640" s="8">
        <v>41.47</v>
      </c>
      <c r="BH4640" s="9">
        <f t="shared" si="648"/>
        <v>1760.8600000000001</v>
      </c>
      <c r="BI4640" s="9">
        <f t="shared" si="649"/>
        <v>10.050000000000001</v>
      </c>
      <c r="BJ4640" s="9">
        <f t="shared" si="650"/>
        <v>2.82</v>
      </c>
      <c r="BK4640" s="9">
        <f t="shared" si="651"/>
        <v>13.22</v>
      </c>
      <c r="BL4640" s="9">
        <f t="shared" si="652"/>
        <v>0</v>
      </c>
      <c r="BM4640" s="9">
        <f t="shared" si="653"/>
        <v>87.758039999999994</v>
      </c>
      <c r="BN4640" s="9">
        <f t="shared" si="654"/>
        <v>586.57000000000005</v>
      </c>
      <c r="BO4640" s="9">
        <f t="shared" si="655"/>
        <v>0</v>
      </c>
      <c r="BP4640" s="9">
        <f t="shared" si="656"/>
        <v>0</v>
      </c>
    </row>
    <row r="4641" spans="1:68">
      <c r="A4641" s="6">
        <v>45429</v>
      </c>
      <c r="B4641" s="7">
        <v>3141</v>
      </c>
      <c r="C4641" s="8">
        <v>2352.1999999999998</v>
      </c>
      <c r="D4641" s="8">
        <v>414.78</v>
      </c>
      <c r="E4641" s="8"/>
      <c r="F4641" s="8"/>
      <c r="G4641" s="8"/>
      <c r="H4641" s="8"/>
      <c r="I4641" s="8"/>
      <c r="J4641" s="8"/>
      <c r="K4641" s="8"/>
      <c r="L4641" s="8"/>
      <c r="M4641" s="8">
        <v>8.09</v>
      </c>
      <c r="N4641" s="8"/>
      <c r="O4641" s="8"/>
      <c r="P4641" s="8"/>
      <c r="Q4641" s="11"/>
      <c r="R4641" s="11"/>
      <c r="S4641" s="8">
        <v>13.02</v>
      </c>
      <c r="T4641" s="8"/>
      <c r="U4641" s="8">
        <v>41.57</v>
      </c>
      <c r="V4641" s="8"/>
      <c r="W4641" s="8"/>
      <c r="X4641" s="8"/>
      <c r="Y4641" s="8"/>
      <c r="Z4641" s="8"/>
      <c r="AA4641" s="8"/>
      <c r="AB4641" s="8"/>
      <c r="AC4641" s="8">
        <v>11.08</v>
      </c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11"/>
      <c r="AQ4641" s="8"/>
      <c r="AR4641" s="8"/>
      <c r="AS4641" s="8"/>
      <c r="AT4641" s="8">
        <v>1827.42</v>
      </c>
      <c r="AU4641" s="8"/>
      <c r="AV4641" s="8"/>
      <c r="AW4641" s="8"/>
      <c r="AX4641" s="8"/>
      <c r="AY4641" s="8"/>
      <c r="AZ4641" s="8"/>
      <c r="BA4641" s="8">
        <v>63.5</v>
      </c>
      <c r="BB4641" s="8"/>
      <c r="BC4641" s="8"/>
      <c r="BD4641" s="8"/>
      <c r="BE4641" s="8"/>
      <c r="BF4641" s="8">
        <v>193.94</v>
      </c>
      <c r="BG4641" s="8">
        <v>144.21</v>
      </c>
      <c r="BH4641" s="9">
        <f t="shared" si="648"/>
        <v>2766.9799999999996</v>
      </c>
      <c r="BI4641" s="9">
        <f t="shared" si="649"/>
        <v>8.09</v>
      </c>
      <c r="BJ4641" s="9">
        <f t="shared" si="650"/>
        <v>13.02</v>
      </c>
      <c r="BK4641" s="9">
        <f t="shared" si="651"/>
        <v>41.57</v>
      </c>
      <c r="BL4641" s="9">
        <f t="shared" si="652"/>
        <v>0</v>
      </c>
      <c r="BM4641" s="9">
        <f t="shared" si="653"/>
        <v>11.08</v>
      </c>
      <c r="BN4641" s="9">
        <f t="shared" si="654"/>
        <v>1827.42</v>
      </c>
      <c r="BO4641" s="9">
        <f t="shared" si="655"/>
        <v>63.5</v>
      </c>
      <c r="BP4641" s="9">
        <f t="shared" si="656"/>
        <v>193.94</v>
      </c>
    </row>
    <row r="4642" spans="1:68">
      <c r="A4642" s="6">
        <v>45429</v>
      </c>
      <c r="B4642" s="7">
        <v>3106</v>
      </c>
      <c r="C4642" s="8">
        <v>5973.93</v>
      </c>
      <c r="D4642" s="8"/>
      <c r="E4642" s="8"/>
      <c r="F4642" s="8"/>
      <c r="G4642" s="8"/>
      <c r="H4642" s="8"/>
      <c r="I4642" s="8"/>
      <c r="J4642" s="8"/>
      <c r="K4642" s="8"/>
      <c r="L4642" s="8"/>
      <c r="M4642" s="8">
        <v>16.12</v>
      </c>
      <c r="N4642" s="8"/>
      <c r="O4642" s="8"/>
      <c r="P4642" s="8"/>
      <c r="Q4642" s="11"/>
      <c r="R4642" s="11"/>
      <c r="S4642" s="8">
        <v>17.940000000000001</v>
      </c>
      <c r="T4642" s="8"/>
      <c r="U4642" s="8">
        <v>76.03</v>
      </c>
      <c r="V4642" s="8"/>
      <c r="W4642" s="8"/>
      <c r="X4642" s="8"/>
      <c r="Y4642" s="8"/>
      <c r="Z4642" s="8"/>
      <c r="AA4642" s="8"/>
      <c r="AB4642" s="8"/>
      <c r="AC4642" s="8">
        <v>14.95</v>
      </c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11"/>
      <c r="AQ4642" s="8"/>
      <c r="AR4642" s="8"/>
      <c r="AS4642" s="8"/>
      <c r="AT4642" s="8">
        <v>3408.09</v>
      </c>
      <c r="AU4642" s="8"/>
      <c r="AV4642" s="8"/>
      <c r="AW4642" s="8"/>
      <c r="AX4642" s="8">
        <v>7.48</v>
      </c>
      <c r="AY4642" s="8"/>
      <c r="AZ4642" s="8"/>
      <c r="BA4642" s="8"/>
      <c r="BB4642" s="8"/>
      <c r="BC4642" s="8"/>
      <c r="BD4642" s="8"/>
      <c r="BE4642" s="8"/>
      <c r="BF4642" s="8"/>
      <c r="BG4642" s="8">
        <v>256.95999999999998</v>
      </c>
      <c r="BH4642" s="9">
        <f t="shared" si="648"/>
        <v>5973.93</v>
      </c>
      <c r="BI4642" s="9">
        <f t="shared" si="649"/>
        <v>16.12</v>
      </c>
      <c r="BJ4642" s="9">
        <f t="shared" si="650"/>
        <v>17.940000000000001</v>
      </c>
      <c r="BK4642" s="9">
        <f t="shared" si="651"/>
        <v>76.03</v>
      </c>
      <c r="BL4642" s="9">
        <f t="shared" si="652"/>
        <v>0</v>
      </c>
      <c r="BM4642" s="9">
        <f t="shared" si="653"/>
        <v>14.95</v>
      </c>
      <c r="BN4642" s="9">
        <f t="shared" si="654"/>
        <v>3408.09</v>
      </c>
      <c r="BO4642" s="9">
        <f t="shared" si="655"/>
        <v>7.48</v>
      </c>
      <c r="BP4642" s="9">
        <f t="shared" si="656"/>
        <v>0</v>
      </c>
    </row>
    <row r="4643" spans="1:68">
      <c r="A4643" s="6">
        <v>45432</v>
      </c>
      <c r="B4643" s="7">
        <v>3139</v>
      </c>
      <c r="C4643" s="8">
        <v>1064.02</v>
      </c>
      <c r="D4643" s="8"/>
      <c r="E4643" s="8"/>
      <c r="F4643" s="8"/>
      <c r="G4643" s="8"/>
      <c r="H4643" s="8">
        <v>439.42</v>
      </c>
      <c r="I4643" s="8"/>
      <c r="J4643" s="8"/>
      <c r="K4643" s="8"/>
      <c r="L4643" s="8"/>
      <c r="M4643" s="8">
        <v>2.52</v>
      </c>
      <c r="N4643" s="8"/>
      <c r="O4643" s="8"/>
      <c r="P4643" s="8"/>
      <c r="Q4643" s="11"/>
      <c r="R4643" s="11"/>
      <c r="S4643" s="8">
        <v>4.74</v>
      </c>
      <c r="T4643" s="8"/>
      <c r="U4643" s="8">
        <v>15.84</v>
      </c>
      <c r="V4643" s="8"/>
      <c r="W4643" s="8"/>
      <c r="X4643" s="8"/>
      <c r="Y4643" s="8"/>
      <c r="Z4643" s="8"/>
      <c r="AA4643" s="8"/>
      <c r="AB4643" s="8"/>
      <c r="AC4643" s="8">
        <v>5.28</v>
      </c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11"/>
      <c r="AQ4643" s="8"/>
      <c r="AR4643" s="8"/>
      <c r="AS4643" s="8"/>
      <c r="AT4643" s="8">
        <v>780.21</v>
      </c>
      <c r="AU4643" s="8"/>
      <c r="AV4643" s="8">
        <v>26.34</v>
      </c>
      <c r="AW4643" s="8"/>
      <c r="AX4643" s="8"/>
      <c r="AY4643" s="8"/>
      <c r="AZ4643" s="8"/>
      <c r="BA4643" s="8"/>
      <c r="BB4643" s="8"/>
      <c r="BC4643" s="8"/>
      <c r="BD4643" s="8"/>
      <c r="BE4643" s="8"/>
      <c r="BF4643" s="8"/>
      <c r="BG4643" s="8">
        <v>56.71</v>
      </c>
      <c r="BH4643" s="9">
        <f t="shared" si="648"/>
        <v>1503.44</v>
      </c>
      <c r="BI4643" s="9">
        <f t="shared" si="649"/>
        <v>2.52</v>
      </c>
      <c r="BJ4643" s="9">
        <f t="shared" si="650"/>
        <v>4.74</v>
      </c>
      <c r="BK4643" s="9">
        <f t="shared" si="651"/>
        <v>15.84</v>
      </c>
      <c r="BL4643" s="9">
        <f t="shared" si="652"/>
        <v>0</v>
      </c>
      <c r="BM4643" s="9">
        <f t="shared" si="653"/>
        <v>5.28</v>
      </c>
      <c r="BN4643" s="9">
        <f t="shared" si="654"/>
        <v>780.21</v>
      </c>
      <c r="BO4643" s="9">
        <f t="shared" si="655"/>
        <v>26.34</v>
      </c>
      <c r="BP4643" s="9">
        <f t="shared" si="656"/>
        <v>0</v>
      </c>
    </row>
    <row r="4644" spans="1:68">
      <c r="A4644" s="6">
        <v>45432</v>
      </c>
      <c r="B4644" s="7">
        <v>3079</v>
      </c>
      <c r="C4644" s="8"/>
      <c r="D4644" s="8"/>
      <c r="E4644" s="8"/>
      <c r="F4644" s="8">
        <v>508.73</v>
      </c>
      <c r="G4644" s="8"/>
      <c r="H4644" s="8"/>
      <c r="I4644" s="8">
        <v>4116.29</v>
      </c>
      <c r="J4644" s="8"/>
      <c r="K4644" s="8"/>
      <c r="L4644" s="8"/>
      <c r="M4644" s="8"/>
      <c r="N4644" s="8">
        <v>33.869999999999997</v>
      </c>
      <c r="O4644" s="8"/>
      <c r="P4644" s="8"/>
      <c r="Q4644" s="11"/>
      <c r="R4644" s="11"/>
      <c r="S4644" s="8">
        <v>1.84</v>
      </c>
      <c r="T4644" s="8"/>
      <c r="U4644" s="8"/>
      <c r="V4644" s="8"/>
      <c r="W4644" s="8">
        <v>46.24</v>
      </c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>
        <v>18.309999999999999</v>
      </c>
      <c r="AN4644" s="8">
        <f>1734*27.18/1000</f>
        <v>47.130120000000005</v>
      </c>
      <c r="AO4644" s="8"/>
      <c r="AP4644" s="11"/>
      <c r="AQ4644" s="8"/>
      <c r="AR4644" s="8">
        <f>4296*27.18/1000</f>
        <v>116.76528</v>
      </c>
      <c r="AS4644" s="8"/>
      <c r="AT4644" s="8">
        <v>1783.47</v>
      </c>
      <c r="AU4644" s="8"/>
      <c r="AV4644" s="8"/>
      <c r="AW4644" s="8"/>
      <c r="AX4644" s="8"/>
      <c r="AY4644" s="8"/>
      <c r="AZ4644" s="8"/>
      <c r="BA4644" s="8"/>
      <c r="BB4644" s="8"/>
      <c r="BC4644" s="8"/>
      <c r="BD4644" s="8"/>
      <c r="BE4644" s="8"/>
      <c r="BF4644" s="8"/>
      <c r="BG4644" s="8">
        <v>129.43</v>
      </c>
      <c r="BH4644" s="9">
        <f t="shared" si="648"/>
        <v>4625.0200000000004</v>
      </c>
      <c r="BI4644" s="9">
        <f t="shared" si="649"/>
        <v>33.869999999999997</v>
      </c>
      <c r="BJ4644" s="9">
        <f t="shared" si="650"/>
        <v>1.84</v>
      </c>
      <c r="BK4644" s="9">
        <f t="shared" si="651"/>
        <v>46.24</v>
      </c>
      <c r="BL4644" s="9">
        <f t="shared" si="652"/>
        <v>0</v>
      </c>
      <c r="BM4644" s="9">
        <f t="shared" si="653"/>
        <v>182.2054</v>
      </c>
      <c r="BN4644" s="9">
        <f t="shared" si="654"/>
        <v>1783.47</v>
      </c>
      <c r="BO4644" s="9">
        <f t="shared" si="655"/>
        <v>0</v>
      </c>
      <c r="BP4644" s="9">
        <f t="shared" si="656"/>
        <v>0</v>
      </c>
    </row>
    <row r="4645" spans="1:68">
      <c r="A4645" s="6">
        <v>45432</v>
      </c>
      <c r="B4645" s="7">
        <v>3016</v>
      </c>
      <c r="C4645" s="8"/>
      <c r="D4645" s="8">
        <v>1600.73</v>
      </c>
      <c r="E4645" s="8"/>
      <c r="F4645" s="8"/>
      <c r="G4645" s="8"/>
      <c r="H4645" s="8"/>
      <c r="I4645" s="8">
        <v>1480.68</v>
      </c>
      <c r="J4645" s="8"/>
      <c r="K4645" s="8"/>
      <c r="L4645" s="8"/>
      <c r="M4645" s="8"/>
      <c r="N4645" s="8">
        <v>19.71</v>
      </c>
      <c r="O4645" s="8"/>
      <c r="P4645" s="8"/>
      <c r="Q4645" s="11"/>
      <c r="R4645" s="11"/>
      <c r="S4645" s="8">
        <v>2.16</v>
      </c>
      <c r="T4645" s="8"/>
      <c r="U4645" s="8"/>
      <c r="V4645" s="8"/>
      <c r="W4645" s="8">
        <v>30.82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>
        <v>12.26</v>
      </c>
      <c r="AN4645" s="8">
        <f>2053*18.13/1000</f>
        <v>37.220889999999997</v>
      </c>
      <c r="AO4645" s="8"/>
      <c r="AP4645" s="11"/>
      <c r="AQ4645" s="8"/>
      <c r="AR4645" s="8">
        <f>4296*18.13/1000</f>
        <v>77.886479999999992</v>
      </c>
      <c r="AS4645" s="8"/>
      <c r="AT4645" s="8">
        <v>1145.6199999999999</v>
      </c>
      <c r="AU4645" s="8"/>
      <c r="AV4645" s="8"/>
      <c r="AW4645" s="8"/>
      <c r="AX4645" s="8"/>
      <c r="AY4645" s="8"/>
      <c r="AZ4645" s="8"/>
      <c r="BA4645" s="8"/>
      <c r="BB4645" s="8"/>
      <c r="BC4645" s="8"/>
      <c r="BD4645" s="8"/>
      <c r="BE4645" s="8"/>
      <c r="BF4645" s="8"/>
      <c r="BG4645" s="8">
        <v>83.67</v>
      </c>
      <c r="BH4645" s="9">
        <f t="shared" si="648"/>
        <v>3081.41</v>
      </c>
      <c r="BI4645" s="9">
        <f t="shared" si="649"/>
        <v>19.71</v>
      </c>
      <c r="BJ4645" s="9">
        <f t="shared" si="650"/>
        <v>2.16</v>
      </c>
      <c r="BK4645" s="9">
        <f t="shared" si="651"/>
        <v>30.82</v>
      </c>
      <c r="BL4645" s="9">
        <f t="shared" si="652"/>
        <v>0</v>
      </c>
      <c r="BM4645" s="9">
        <f t="shared" si="653"/>
        <v>127.36736999999999</v>
      </c>
      <c r="BN4645" s="9">
        <f t="shared" si="654"/>
        <v>1145.6199999999999</v>
      </c>
      <c r="BO4645" s="9">
        <f t="shared" si="655"/>
        <v>0</v>
      </c>
      <c r="BP4645" s="9">
        <f t="shared" si="656"/>
        <v>0</v>
      </c>
    </row>
    <row r="4646" spans="1:68">
      <c r="A4646" s="6">
        <v>45432</v>
      </c>
      <c r="B4646" s="7">
        <v>3139</v>
      </c>
      <c r="C4646" s="8">
        <v>932.43</v>
      </c>
      <c r="D4646" s="8"/>
      <c r="E4646" s="8"/>
      <c r="F4646" s="8"/>
      <c r="G4646" s="8"/>
      <c r="H4646" s="8">
        <v>388.18</v>
      </c>
      <c r="I4646" s="8"/>
      <c r="J4646" s="8"/>
      <c r="K4646" s="8"/>
      <c r="L4646" s="8"/>
      <c r="M4646" s="8">
        <v>2.17</v>
      </c>
      <c r="N4646" s="8"/>
      <c r="O4646" s="8"/>
      <c r="P4646" s="8"/>
      <c r="Q4646" s="11"/>
      <c r="R4646" s="11"/>
      <c r="S4646" s="8">
        <v>4.13</v>
      </c>
      <c r="T4646" s="8"/>
      <c r="U4646" s="8">
        <v>13.77</v>
      </c>
      <c r="V4646" s="8"/>
      <c r="W4646" s="8"/>
      <c r="X4646" s="8"/>
      <c r="Y4646" s="8"/>
      <c r="Z4646" s="8"/>
      <c r="AA4646" s="8"/>
      <c r="AB4646" s="8"/>
      <c r="AC4646" s="8">
        <v>4.59</v>
      </c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11"/>
      <c r="AQ4646" s="8"/>
      <c r="AR4646" s="8"/>
      <c r="AS4646" s="8"/>
      <c r="AT4646" s="8">
        <v>678.15</v>
      </c>
      <c r="AU4646" s="8"/>
      <c r="AV4646" s="8">
        <v>22.97</v>
      </c>
      <c r="AW4646" s="8"/>
      <c r="AX4646" s="8"/>
      <c r="AY4646" s="8"/>
      <c r="AZ4646" s="8"/>
      <c r="BA4646" s="8"/>
      <c r="BB4646" s="8"/>
      <c r="BC4646" s="8"/>
      <c r="BD4646" s="8"/>
      <c r="BE4646" s="8"/>
      <c r="BF4646" s="8"/>
      <c r="BG4646" s="8">
        <v>49.38</v>
      </c>
      <c r="BH4646" s="9">
        <f t="shared" si="648"/>
        <v>1320.61</v>
      </c>
      <c r="BI4646" s="9">
        <f t="shared" si="649"/>
        <v>2.17</v>
      </c>
      <c r="BJ4646" s="9">
        <f t="shared" si="650"/>
        <v>4.13</v>
      </c>
      <c r="BK4646" s="9">
        <f t="shared" si="651"/>
        <v>13.77</v>
      </c>
      <c r="BL4646" s="9">
        <f t="shared" si="652"/>
        <v>0</v>
      </c>
      <c r="BM4646" s="9">
        <f t="shared" si="653"/>
        <v>4.59</v>
      </c>
      <c r="BN4646" s="9">
        <f t="shared" si="654"/>
        <v>678.15</v>
      </c>
      <c r="BO4646" s="9">
        <f t="shared" si="655"/>
        <v>22.97</v>
      </c>
      <c r="BP4646" s="9">
        <f t="shared" si="656"/>
        <v>0</v>
      </c>
    </row>
    <row r="4647" spans="1:68">
      <c r="A4647" s="6">
        <v>45432</v>
      </c>
      <c r="B4647" s="7">
        <v>3154</v>
      </c>
      <c r="C4647" s="8">
        <v>694.65</v>
      </c>
      <c r="D4647" s="8"/>
      <c r="E4647" s="8"/>
      <c r="F4647" s="8"/>
      <c r="G4647" s="8"/>
      <c r="H4647" s="8"/>
      <c r="I4647" s="8"/>
      <c r="J4647" s="8"/>
      <c r="K4647" s="8"/>
      <c r="L4647" s="8"/>
      <c r="M4647" s="8">
        <v>1.75</v>
      </c>
      <c r="N4647" s="8"/>
      <c r="O4647" s="8"/>
      <c r="P4647" s="8"/>
      <c r="Q4647" s="11"/>
      <c r="R4647" s="11"/>
      <c r="S4647" s="8">
        <v>2.52</v>
      </c>
      <c r="T4647" s="8"/>
      <c r="U4647" s="8">
        <v>8.8800000000000008</v>
      </c>
      <c r="V4647" s="8"/>
      <c r="W4647" s="8"/>
      <c r="X4647" s="8"/>
      <c r="Y4647" s="8"/>
      <c r="Z4647" s="8"/>
      <c r="AA4647" s="8"/>
      <c r="AB4647" s="8"/>
      <c r="AC4647" s="8">
        <v>2.79</v>
      </c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11"/>
      <c r="AQ4647" s="8"/>
      <c r="AR4647" s="8"/>
      <c r="AS4647" s="8"/>
      <c r="AT4647" s="8">
        <v>378.23</v>
      </c>
      <c r="AU4647" s="8"/>
      <c r="AV4647" s="8"/>
      <c r="AW4647" s="8"/>
      <c r="AX4647" s="8"/>
      <c r="AY4647" s="8"/>
      <c r="AZ4647" s="8"/>
      <c r="BA4647" s="8"/>
      <c r="BB4647" s="8"/>
      <c r="BC4647" s="8">
        <v>0.84</v>
      </c>
      <c r="BD4647" s="8"/>
      <c r="BE4647" s="8"/>
      <c r="BF4647" s="8"/>
      <c r="BG4647" s="8">
        <v>28.21</v>
      </c>
      <c r="BH4647" s="9">
        <f t="shared" si="648"/>
        <v>694.65</v>
      </c>
      <c r="BI4647" s="9">
        <f t="shared" si="649"/>
        <v>1.75</v>
      </c>
      <c r="BJ4647" s="9">
        <f t="shared" si="650"/>
        <v>2.52</v>
      </c>
      <c r="BK4647" s="9">
        <f t="shared" si="651"/>
        <v>8.8800000000000008</v>
      </c>
      <c r="BL4647" s="9">
        <f t="shared" si="652"/>
        <v>0</v>
      </c>
      <c r="BM4647" s="9">
        <f t="shared" si="653"/>
        <v>2.79</v>
      </c>
      <c r="BN4647" s="9">
        <f t="shared" si="654"/>
        <v>378.23</v>
      </c>
      <c r="BO4647" s="9">
        <f t="shared" si="655"/>
        <v>0.84</v>
      </c>
      <c r="BP4647" s="9">
        <f t="shared" si="656"/>
        <v>0</v>
      </c>
    </row>
    <row r="4648" spans="1:68">
      <c r="A4648" s="6">
        <v>45432</v>
      </c>
      <c r="B4648" s="7">
        <v>3602</v>
      </c>
      <c r="C4648" s="8">
        <v>838.6</v>
      </c>
      <c r="D4648" s="8"/>
      <c r="E4648" s="8"/>
      <c r="F4648" s="8"/>
      <c r="G4648" s="8">
        <v>1257.43</v>
      </c>
      <c r="H4648" s="8"/>
      <c r="I4648" s="8"/>
      <c r="J4648" s="8"/>
      <c r="K4648" s="8"/>
      <c r="L4648" s="8"/>
      <c r="M4648" s="8">
        <v>2.52</v>
      </c>
      <c r="N4648" s="8"/>
      <c r="O4648" s="8"/>
      <c r="P4648" s="8"/>
      <c r="Q4648" s="11"/>
      <c r="R4648" s="11"/>
      <c r="S4648" s="8">
        <v>8.7200000000000006</v>
      </c>
      <c r="T4648" s="8"/>
      <c r="U4648" s="8">
        <v>16.8</v>
      </c>
      <c r="V4648" s="8">
        <f>862*23.97/1000</f>
        <v>20.662140000000001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11"/>
      <c r="AQ4648" s="8"/>
      <c r="AR4648" s="8"/>
      <c r="AS4648" s="8"/>
      <c r="AT4648" s="8">
        <v>845.78</v>
      </c>
      <c r="AU4648" s="8"/>
      <c r="AV4648" s="8"/>
      <c r="AW4648" s="8">
        <v>54.19</v>
      </c>
      <c r="AX4648" s="8"/>
      <c r="AY4648" s="8"/>
      <c r="AZ4648" s="8"/>
      <c r="BA4648" s="8"/>
      <c r="BB4648" s="8"/>
      <c r="BC4648" s="8"/>
      <c r="BD4648" s="8"/>
      <c r="BE4648" s="8"/>
      <c r="BF4648" s="8">
        <v>67.25</v>
      </c>
      <c r="BG4648" s="8">
        <v>62.71</v>
      </c>
      <c r="BH4648" s="9">
        <f t="shared" si="648"/>
        <v>2096.0300000000002</v>
      </c>
      <c r="BI4648" s="9">
        <f t="shared" si="649"/>
        <v>2.52</v>
      </c>
      <c r="BJ4648" s="9">
        <f t="shared" si="650"/>
        <v>8.7200000000000006</v>
      </c>
      <c r="BK4648" s="9">
        <f t="shared" si="651"/>
        <v>37.462140000000005</v>
      </c>
      <c r="BL4648" s="9">
        <f t="shared" si="652"/>
        <v>0</v>
      </c>
      <c r="BM4648" s="9">
        <f t="shared" si="653"/>
        <v>0</v>
      </c>
      <c r="BN4648" s="9">
        <f t="shared" si="654"/>
        <v>845.78</v>
      </c>
      <c r="BO4648" s="9">
        <f t="shared" si="655"/>
        <v>54.19</v>
      </c>
      <c r="BP4648" s="9">
        <f t="shared" si="656"/>
        <v>67.25</v>
      </c>
    </row>
    <row r="4649" spans="1:68">
      <c r="A4649" s="6">
        <v>45422</v>
      </c>
      <c r="B4649" s="7">
        <v>8326</v>
      </c>
      <c r="C4649" s="8"/>
      <c r="D4649" s="8">
        <v>222.73</v>
      </c>
      <c r="E4649" s="8"/>
      <c r="F4649" s="8"/>
      <c r="G4649" s="8"/>
      <c r="H4649" s="8"/>
      <c r="I4649" s="8">
        <v>120.02</v>
      </c>
      <c r="J4649" s="8"/>
      <c r="K4649" s="8"/>
      <c r="L4649" s="8"/>
      <c r="M4649" s="8"/>
      <c r="N4649" s="8">
        <v>2.2200000000000002</v>
      </c>
      <c r="O4649" s="8"/>
      <c r="P4649" s="8"/>
      <c r="Q4649" s="11"/>
      <c r="R4649" s="11"/>
      <c r="S4649" s="8">
        <v>0.24</v>
      </c>
      <c r="T4649" s="8"/>
      <c r="U4649" s="8"/>
      <c r="V4649" s="8"/>
      <c r="W4649" s="8">
        <v>2.58</v>
      </c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11"/>
      <c r="AQ4649" s="8"/>
      <c r="AR4649" s="8">
        <f>3550*2.02/1000</f>
        <v>7.1710000000000003</v>
      </c>
      <c r="AS4649" s="8"/>
      <c r="AT4649" s="8">
        <v>96.09</v>
      </c>
      <c r="AU4649" s="8"/>
      <c r="AV4649" s="8"/>
      <c r="AW4649" s="8"/>
      <c r="AX4649" s="8"/>
      <c r="AY4649" s="8"/>
      <c r="AZ4649" s="8"/>
      <c r="BA4649" s="8"/>
      <c r="BB4649" s="8"/>
      <c r="BC4649" s="8"/>
      <c r="BD4649" s="8"/>
      <c r="BE4649" s="8"/>
      <c r="BF4649" s="8"/>
      <c r="BG4649" s="8">
        <v>6.49</v>
      </c>
      <c r="BH4649" s="9">
        <f t="shared" si="648"/>
        <v>342.75</v>
      </c>
      <c r="BI4649" s="9">
        <f t="shared" si="649"/>
        <v>2.2200000000000002</v>
      </c>
      <c r="BJ4649" s="9">
        <f t="shared" si="650"/>
        <v>0.24</v>
      </c>
      <c r="BK4649" s="9">
        <f t="shared" si="651"/>
        <v>2.58</v>
      </c>
      <c r="BL4649" s="9">
        <f t="shared" si="652"/>
        <v>0</v>
      </c>
      <c r="BM4649" s="9">
        <f t="shared" si="653"/>
        <v>7.1710000000000003</v>
      </c>
      <c r="BN4649" s="9">
        <f t="shared" si="654"/>
        <v>96.09</v>
      </c>
      <c r="BO4649" s="9">
        <f t="shared" si="655"/>
        <v>0</v>
      </c>
      <c r="BP4649" s="9">
        <f t="shared" si="656"/>
        <v>0</v>
      </c>
    </row>
    <row r="4650" spans="1:68">
      <c r="A4650" s="6">
        <v>45433</v>
      </c>
      <c r="B4650" s="7">
        <v>3310</v>
      </c>
      <c r="C4650" s="8"/>
      <c r="D4650" s="8">
        <v>517.61</v>
      </c>
      <c r="E4650" s="8"/>
      <c r="F4650" s="8"/>
      <c r="G4650" s="8"/>
      <c r="H4650" s="8"/>
      <c r="I4650" s="8"/>
      <c r="J4650" s="8"/>
      <c r="K4650" s="8"/>
      <c r="L4650" s="8"/>
      <c r="M4650" s="8">
        <v>1.03</v>
      </c>
      <c r="N4650" s="8"/>
      <c r="O4650" s="8"/>
      <c r="P4650" s="8"/>
      <c r="Q4650" s="11"/>
      <c r="R4650" s="11"/>
      <c r="S4650" s="8">
        <v>0.77</v>
      </c>
      <c r="T4650" s="8"/>
      <c r="U4650" s="8">
        <v>4.66</v>
      </c>
      <c r="V4650" s="8"/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>
        <v>5.17</v>
      </c>
      <c r="AH4650" s="8"/>
      <c r="AI4650" s="8"/>
      <c r="AJ4650" s="8"/>
      <c r="AK4650" s="8"/>
      <c r="AL4650" s="8"/>
      <c r="AM4650" s="8"/>
      <c r="AN4650" s="8"/>
      <c r="AO4650" s="8"/>
      <c r="AP4650" s="11"/>
      <c r="AQ4650" s="8"/>
      <c r="AR4650" s="8"/>
      <c r="AS4650" s="8"/>
      <c r="AT4650" s="8">
        <v>138.41999999999999</v>
      </c>
      <c r="AU4650" s="8">
        <v>69.239999999999995</v>
      </c>
      <c r="AV4650" s="8"/>
      <c r="AW4650" s="8"/>
      <c r="AX4650" s="8"/>
      <c r="AY4650" s="8"/>
      <c r="AZ4650" s="8"/>
      <c r="BA4650" s="8"/>
      <c r="BB4650" s="8"/>
      <c r="BC4650" s="8"/>
      <c r="BD4650" s="8"/>
      <c r="BE4650" s="8"/>
      <c r="BF4650" s="8"/>
      <c r="BG4650" s="8">
        <v>14.35</v>
      </c>
      <c r="BH4650" s="9">
        <f t="shared" si="648"/>
        <v>517.61</v>
      </c>
      <c r="BI4650" s="9">
        <f t="shared" si="649"/>
        <v>1.03</v>
      </c>
      <c r="BJ4650" s="9">
        <f t="shared" si="650"/>
        <v>0.77</v>
      </c>
      <c r="BK4650" s="9">
        <f t="shared" si="651"/>
        <v>4.66</v>
      </c>
      <c r="BL4650" s="9">
        <f t="shared" si="652"/>
        <v>0</v>
      </c>
      <c r="BM4650" s="9">
        <f t="shared" si="653"/>
        <v>5.17</v>
      </c>
      <c r="BN4650" s="9">
        <f t="shared" si="654"/>
        <v>207.65999999999997</v>
      </c>
      <c r="BO4650" s="9">
        <f t="shared" si="655"/>
        <v>0</v>
      </c>
      <c r="BP4650" s="9">
        <f t="shared" si="656"/>
        <v>0</v>
      </c>
    </row>
    <row r="4651" spans="1:68">
      <c r="A4651" s="6">
        <v>45433</v>
      </c>
      <c r="B4651" s="7">
        <v>3304</v>
      </c>
      <c r="C4651" s="8"/>
      <c r="D4651" s="8">
        <v>1229.3399999999999</v>
      </c>
      <c r="E4651" s="8"/>
      <c r="F4651" s="8"/>
      <c r="G4651" s="8"/>
      <c r="H4651" s="8"/>
      <c r="I4651" s="8"/>
      <c r="J4651" s="8"/>
      <c r="K4651" s="8"/>
      <c r="L4651" s="8"/>
      <c r="M4651" s="8">
        <v>2.4500000000000002</v>
      </c>
      <c r="N4651" s="8"/>
      <c r="O4651" s="8"/>
      <c r="P4651" s="8"/>
      <c r="Q4651" s="11"/>
      <c r="R4651" s="11"/>
      <c r="S4651" s="8">
        <v>1.85</v>
      </c>
      <c r="T4651" s="8"/>
      <c r="U4651" s="8">
        <v>11.07</v>
      </c>
      <c r="V4651" s="8"/>
      <c r="W4651" s="8"/>
      <c r="X4651" s="8"/>
      <c r="Y4651" s="8"/>
      <c r="Z4651" s="8"/>
      <c r="AA4651" s="8"/>
      <c r="AB4651" s="8"/>
      <c r="AC4651" s="8"/>
      <c r="AD4651" s="8"/>
      <c r="AE4651" s="8"/>
      <c r="AF4651" s="8"/>
      <c r="AG4651" s="8">
        <v>12.3</v>
      </c>
      <c r="AH4651" s="8"/>
      <c r="AI4651" s="8"/>
      <c r="AJ4651" s="8"/>
      <c r="AK4651" s="8"/>
      <c r="AL4651" s="8"/>
      <c r="AM4651" s="8"/>
      <c r="AN4651" s="8"/>
      <c r="AO4651" s="8"/>
      <c r="AP4651" s="11"/>
      <c r="AQ4651" s="8"/>
      <c r="AR4651" s="8"/>
      <c r="AS4651" s="8"/>
      <c r="AT4651" s="8">
        <v>328.65</v>
      </c>
      <c r="AU4651" s="8">
        <v>164.29</v>
      </c>
      <c r="AV4651" s="8"/>
      <c r="AW4651" s="8"/>
      <c r="AX4651" s="8"/>
      <c r="AY4651" s="8"/>
      <c r="AZ4651" s="8"/>
      <c r="BA4651" s="8"/>
      <c r="BB4651" s="8"/>
      <c r="BC4651" s="8"/>
      <c r="BD4651" s="8"/>
      <c r="BE4651" s="8"/>
      <c r="BF4651" s="8"/>
      <c r="BG4651" s="8">
        <v>34.19</v>
      </c>
      <c r="BH4651" s="9">
        <f t="shared" si="648"/>
        <v>1229.3399999999999</v>
      </c>
      <c r="BI4651" s="9">
        <f t="shared" si="649"/>
        <v>2.4500000000000002</v>
      </c>
      <c r="BJ4651" s="9">
        <f t="shared" si="650"/>
        <v>1.85</v>
      </c>
      <c r="BK4651" s="9">
        <f t="shared" si="651"/>
        <v>11.07</v>
      </c>
      <c r="BL4651" s="9">
        <f t="shared" si="652"/>
        <v>0</v>
      </c>
      <c r="BM4651" s="9">
        <f t="shared" si="653"/>
        <v>12.3</v>
      </c>
      <c r="BN4651" s="9">
        <f t="shared" si="654"/>
        <v>492.93999999999994</v>
      </c>
      <c r="BO4651" s="9">
        <f t="shared" si="655"/>
        <v>0</v>
      </c>
      <c r="BP4651" s="9">
        <f t="shared" si="656"/>
        <v>0</v>
      </c>
    </row>
    <row r="4652" spans="1:68">
      <c r="A4652" s="6">
        <v>45433</v>
      </c>
      <c r="B4652" s="7">
        <v>8354</v>
      </c>
      <c r="C4652" s="8"/>
      <c r="D4652" s="8"/>
      <c r="E4652" s="8"/>
      <c r="F4652" s="8"/>
      <c r="G4652" s="8"/>
      <c r="H4652" s="8"/>
      <c r="I4652" s="8">
        <v>214.66</v>
      </c>
      <c r="J4652" s="8">
        <f>51218*6.88/1000</f>
        <v>352.37983999999994</v>
      </c>
      <c r="K4652" s="8"/>
      <c r="L4652" s="8"/>
      <c r="M4652" s="8"/>
      <c r="N4652" s="8">
        <f>507*6.88/1000</f>
        <v>3.4881599999999997</v>
      </c>
      <c r="O4652" s="8"/>
      <c r="P4652" s="8"/>
      <c r="Q4652" s="11"/>
      <c r="R4652" s="11"/>
      <c r="S4652" s="8">
        <v>1.76</v>
      </c>
      <c r="T4652" s="8"/>
      <c r="U4652" s="8">
        <v>3.52</v>
      </c>
      <c r="V4652" s="8"/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>
        <v>11.76</v>
      </c>
      <c r="AH4652" s="8"/>
      <c r="AI4652" s="8"/>
      <c r="AJ4652" s="8">
        <f>2570*6.88/1000</f>
        <v>17.6816</v>
      </c>
      <c r="AK4652" s="8"/>
      <c r="AL4652" s="8"/>
      <c r="AM4652" s="8"/>
      <c r="AN4652" s="8"/>
      <c r="AO4652" s="8"/>
      <c r="AP4652" s="11"/>
      <c r="AQ4652" s="8"/>
      <c r="AR4652" s="8"/>
      <c r="AS4652" s="8"/>
      <c r="AT4652" s="8"/>
      <c r="AU4652" s="8">
        <v>207.27</v>
      </c>
      <c r="AV4652" s="8"/>
      <c r="AW4652" s="8"/>
      <c r="AX4652" s="8"/>
      <c r="AY4652" s="8"/>
      <c r="AZ4652" s="8"/>
      <c r="BA4652" s="8"/>
      <c r="BB4652" s="8"/>
      <c r="BC4652" s="8"/>
      <c r="BD4652" s="8"/>
      <c r="BE4652" s="8"/>
      <c r="BF4652" s="8"/>
      <c r="BG4652" s="8">
        <v>14.12</v>
      </c>
      <c r="BH4652" s="9">
        <f t="shared" si="648"/>
        <v>567.03983999999991</v>
      </c>
      <c r="BI4652" s="9">
        <f t="shared" si="649"/>
        <v>3.4881599999999997</v>
      </c>
      <c r="BJ4652" s="9">
        <f t="shared" si="650"/>
        <v>1.76</v>
      </c>
      <c r="BK4652" s="9">
        <f t="shared" si="651"/>
        <v>3.52</v>
      </c>
      <c r="BL4652" s="9">
        <f t="shared" si="652"/>
        <v>0</v>
      </c>
      <c r="BM4652" s="9">
        <f t="shared" si="653"/>
        <v>29.441600000000001</v>
      </c>
      <c r="BN4652" s="9">
        <f t="shared" si="654"/>
        <v>207.27</v>
      </c>
      <c r="BO4652" s="9">
        <f t="shared" si="655"/>
        <v>0</v>
      </c>
      <c r="BP4652" s="9">
        <f t="shared" si="656"/>
        <v>0</v>
      </c>
    </row>
    <row r="4653" spans="1:68">
      <c r="A4653" s="6">
        <v>45433</v>
      </c>
      <c r="B4653" s="7">
        <v>3151</v>
      </c>
      <c r="C4653" s="8">
        <v>1357.69</v>
      </c>
      <c r="D4653" s="8"/>
      <c r="E4653" s="8"/>
      <c r="F4653" s="8"/>
      <c r="G4653" s="8"/>
      <c r="H4653" s="8"/>
      <c r="I4653" s="8"/>
      <c r="J4653" s="8"/>
      <c r="K4653" s="8"/>
      <c r="L4653" s="8"/>
      <c r="M4653" s="8">
        <v>4.07</v>
      </c>
      <c r="N4653" s="8"/>
      <c r="O4653" s="8"/>
      <c r="P4653" s="8"/>
      <c r="Q4653" s="11"/>
      <c r="R4653" s="11"/>
      <c r="S4653" s="8">
        <v>5.16</v>
      </c>
      <c r="T4653" s="8"/>
      <c r="U4653" s="8">
        <v>17.25</v>
      </c>
      <c r="V4653" s="8"/>
      <c r="W4653" s="8"/>
      <c r="X4653" s="8"/>
      <c r="Y4653" s="8"/>
      <c r="Z4653" s="8"/>
      <c r="AA4653" s="8"/>
      <c r="AB4653" s="8"/>
      <c r="AC4653" s="8">
        <v>3.39</v>
      </c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11"/>
      <c r="AQ4653" s="8"/>
      <c r="AR4653" s="8"/>
      <c r="AS4653" s="8"/>
      <c r="AT4653" s="8">
        <v>610.12</v>
      </c>
      <c r="AU4653" s="8"/>
      <c r="AV4653" s="8">
        <v>13.5</v>
      </c>
      <c r="AW4653" s="8"/>
      <c r="AX4653" s="8"/>
      <c r="AY4653" s="8"/>
      <c r="AZ4653" s="8"/>
      <c r="BA4653" s="8"/>
      <c r="BB4653" s="8"/>
      <c r="BC4653" s="8"/>
      <c r="BD4653" s="8"/>
      <c r="BE4653" s="8"/>
      <c r="BF4653" s="8">
        <v>54.3</v>
      </c>
      <c r="BG4653" s="8">
        <v>43.55</v>
      </c>
      <c r="BH4653" s="9">
        <f t="shared" si="648"/>
        <v>1357.69</v>
      </c>
      <c r="BI4653" s="9">
        <f t="shared" si="649"/>
        <v>4.07</v>
      </c>
      <c r="BJ4653" s="9">
        <f t="shared" si="650"/>
        <v>5.16</v>
      </c>
      <c r="BK4653" s="9">
        <f t="shared" si="651"/>
        <v>17.25</v>
      </c>
      <c r="BL4653" s="9">
        <f t="shared" si="652"/>
        <v>0</v>
      </c>
      <c r="BM4653" s="9">
        <f t="shared" si="653"/>
        <v>3.39</v>
      </c>
      <c r="BN4653" s="9">
        <f t="shared" si="654"/>
        <v>610.12</v>
      </c>
      <c r="BO4653" s="9">
        <f t="shared" si="655"/>
        <v>13.5</v>
      </c>
      <c r="BP4653" s="9">
        <f t="shared" si="656"/>
        <v>54.3</v>
      </c>
    </row>
    <row r="4654" spans="1:68">
      <c r="A4654" s="6">
        <v>45433</v>
      </c>
      <c r="B4654" s="7">
        <v>3200</v>
      </c>
      <c r="C4654" s="8">
        <v>2295.34</v>
      </c>
      <c r="D4654" s="8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>
        <v>5.74</v>
      </c>
      <c r="P4654" s="8"/>
      <c r="Q4654" s="11"/>
      <c r="R4654" s="11"/>
      <c r="S4654" s="8">
        <v>8.9499999999999993</v>
      </c>
      <c r="T4654" s="8"/>
      <c r="U4654" s="8">
        <v>34.43</v>
      </c>
      <c r="V4654" s="8"/>
      <c r="W4654" s="8"/>
      <c r="X4654" s="8"/>
      <c r="Y4654" s="8"/>
      <c r="Z4654" s="8">
        <v>482.34</v>
      </c>
      <c r="AA4654" s="8"/>
      <c r="AB4654" s="8"/>
      <c r="AC4654" s="8"/>
      <c r="AD4654" s="8"/>
      <c r="AE4654" s="8"/>
      <c r="AF4654" s="8">
        <v>114.89</v>
      </c>
      <c r="AG4654" s="8"/>
      <c r="AH4654" s="8"/>
      <c r="AI4654" s="8"/>
      <c r="AJ4654" s="8"/>
      <c r="AK4654" s="8"/>
      <c r="AL4654" s="8"/>
      <c r="AM4654" s="8"/>
      <c r="AN4654" s="8"/>
      <c r="AO4654" s="8"/>
      <c r="AP4654" s="11"/>
      <c r="AQ4654" s="8">
        <f>1516*22.95/1000</f>
        <v>34.792199999999994</v>
      </c>
      <c r="AR4654" s="8"/>
      <c r="AS4654" s="8"/>
      <c r="AT4654" s="8">
        <v>1572.18</v>
      </c>
      <c r="AU4654" s="8"/>
      <c r="AV4654" s="8"/>
      <c r="AW4654" s="8">
        <v>6.66</v>
      </c>
      <c r="AX4654" s="8"/>
      <c r="AY4654" s="8"/>
      <c r="AZ4654" s="8"/>
      <c r="BA4654" s="8"/>
      <c r="BB4654" s="8"/>
      <c r="BC4654" s="8"/>
      <c r="BD4654" s="8"/>
      <c r="BE4654" s="8"/>
      <c r="BF4654" s="8">
        <v>110.19</v>
      </c>
      <c r="BG4654" s="8">
        <v>113.85</v>
      </c>
      <c r="BH4654" s="9">
        <f t="shared" si="648"/>
        <v>2295.34</v>
      </c>
      <c r="BI4654" s="9">
        <f t="shared" si="649"/>
        <v>5.74</v>
      </c>
      <c r="BJ4654" s="9">
        <f t="shared" si="650"/>
        <v>8.9499999999999993</v>
      </c>
      <c r="BK4654" s="9">
        <f t="shared" si="651"/>
        <v>34.43</v>
      </c>
      <c r="BL4654" s="9">
        <f t="shared" si="652"/>
        <v>482.34</v>
      </c>
      <c r="BM4654" s="9">
        <f t="shared" si="653"/>
        <v>149.68219999999999</v>
      </c>
      <c r="BN4654" s="9">
        <f t="shared" si="654"/>
        <v>1572.18</v>
      </c>
      <c r="BO4654" s="9">
        <f t="shared" si="655"/>
        <v>6.66</v>
      </c>
      <c r="BP4654" s="9">
        <f t="shared" si="656"/>
        <v>110.19</v>
      </c>
    </row>
    <row r="4655" spans="1:68">
      <c r="A4655" s="6">
        <v>45433</v>
      </c>
      <c r="B4655" s="7">
        <v>3129</v>
      </c>
      <c r="C4655" s="8">
        <v>1771.02</v>
      </c>
      <c r="D4655" s="8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11"/>
      <c r="R4655" s="11">
        <f>1216*8.05/1000</f>
        <v>9.7888000000000019</v>
      </c>
      <c r="S4655" s="8">
        <f>8.02+6.56</f>
        <v>14.579999999999998</v>
      </c>
      <c r="T4655" s="8"/>
      <c r="U4655" s="8"/>
      <c r="V4655" s="8"/>
      <c r="W4655" s="8"/>
      <c r="X4655" s="8">
        <f>1988*8.05/1000</f>
        <v>16.003400000000003</v>
      </c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11"/>
      <c r="AQ4655" s="8"/>
      <c r="AR4655" s="8"/>
      <c r="AS4655" s="8"/>
      <c r="AT4655" s="8">
        <v>242.75</v>
      </c>
      <c r="AU4655" s="8">
        <v>487.78</v>
      </c>
      <c r="AV4655" s="8"/>
      <c r="AW4655" s="8"/>
      <c r="AX4655" s="8"/>
      <c r="AY4655" s="8"/>
      <c r="AZ4655" s="8"/>
      <c r="BA4655" s="8"/>
      <c r="BB4655" s="8"/>
      <c r="BC4655" s="8"/>
      <c r="BD4655" s="8">
        <v>4.4400000000000004</v>
      </c>
      <c r="BE4655" s="8">
        <f>2004*8.05/1000</f>
        <v>16.132200000000001</v>
      </c>
      <c r="BF4655" s="8"/>
      <c r="BG4655" s="8">
        <v>53.04</v>
      </c>
      <c r="BH4655" s="9">
        <f t="shared" si="648"/>
        <v>1771.02</v>
      </c>
      <c r="BI4655" s="9">
        <f t="shared" si="649"/>
        <v>9.7888000000000019</v>
      </c>
      <c r="BJ4655" s="9">
        <f t="shared" si="650"/>
        <v>14.579999999999998</v>
      </c>
      <c r="BK4655" s="9">
        <f t="shared" si="651"/>
        <v>16.003400000000003</v>
      </c>
      <c r="BL4655" s="9">
        <f t="shared" si="652"/>
        <v>0</v>
      </c>
      <c r="BM4655" s="9">
        <f t="shared" si="653"/>
        <v>0</v>
      </c>
      <c r="BN4655" s="9">
        <f t="shared" si="654"/>
        <v>730.53</v>
      </c>
      <c r="BO4655" s="9">
        <f t="shared" si="655"/>
        <v>20.572200000000002</v>
      </c>
      <c r="BP4655" s="9">
        <f t="shared" si="656"/>
        <v>0</v>
      </c>
    </row>
    <row r="4656" spans="1:68">
      <c r="A4656" s="6">
        <v>45433</v>
      </c>
      <c r="B4656" s="7">
        <v>3145</v>
      </c>
      <c r="C4656" s="8">
        <v>1233.8800000000001</v>
      </c>
      <c r="D4656" s="8">
        <v>218.04</v>
      </c>
      <c r="E4656" s="8"/>
      <c r="F4656" s="8"/>
      <c r="G4656" s="8"/>
      <c r="H4656" s="8"/>
      <c r="I4656" s="8"/>
      <c r="J4656" s="8"/>
      <c r="K4656" s="8"/>
      <c r="L4656" s="8"/>
      <c r="M4656" s="8">
        <v>4.2300000000000004</v>
      </c>
      <c r="N4656" s="8"/>
      <c r="O4656" s="8"/>
      <c r="P4656" s="8"/>
      <c r="Q4656" s="11"/>
      <c r="R4656" s="11"/>
      <c r="S4656" s="8">
        <v>6.84</v>
      </c>
      <c r="T4656" s="8"/>
      <c r="U4656" s="8">
        <v>21.84</v>
      </c>
      <c r="V4656" s="8"/>
      <c r="W4656" s="8"/>
      <c r="X4656" s="8"/>
      <c r="Y4656" s="8"/>
      <c r="Z4656" s="8"/>
      <c r="AA4656" s="8"/>
      <c r="AB4656" s="8"/>
      <c r="AC4656" s="8">
        <v>5.82</v>
      </c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11"/>
      <c r="AQ4656" s="8"/>
      <c r="AR4656" s="8"/>
      <c r="AS4656" s="8"/>
      <c r="AT4656" s="8">
        <v>964.27</v>
      </c>
      <c r="AU4656" s="8"/>
      <c r="AV4656" s="8"/>
      <c r="AW4656" s="8"/>
      <c r="AX4656" s="8"/>
      <c r="AY4656" s="8"/>
      <c r="AZ4656" s="8"/>
      <c r="BA4656" s="8"/>
      <c r="BB4656" s="8"/>
      <c r="BC4656" s="8"/>
      <c r="BD4656" s="8">
        <v>3.64</v>
      </c>
      <c r="BE4656" s="8">
        <f>1362*9.7/1000</f>
        <v>13.211399999999999</v>
      </c>
      <c r="BF4656" s="8">
        <v>101.87</v>
      </c>
      <c r="BG4656" s="8">
        <v>75.38</v>
      </c>
      <c r="BH4656" s="9">
        <f t="shared" si="648"/>
        <v>1451.92</v>
      </c>
      <c r="BI4656" s="9">
        <f t="shared" si="649"/>
        <v>4.2300000000000004</v>
      </c>
      <c r="BJ4656" s="9">
        <f t="shared" si="650"/>
        <v>6.84</v>
      </c>
      <c r="BK4656" s="9">
        <f t="shared" si="651"/>
        <v>21.84</v>
      </c>
      <c r="BL4656" s="9">
        <f t="shared" si="652"/>
        <v>0</v>
      </c>
      <c r="BM4656" s="9">
        <f t="shared" si="653"/>
        <v>5.82</v>
      </c>
      <c r="BN4656" s="9">
        <f t="shared" si="654"/>
        <v>964.27</v>
      </c>
      <c r="BO4656" s="9">
        <f t="shared" si="655"/>
        <v>16.851399999999998</v>
      </c>
      <c r="BP4656" s="9">
        <f t="shared" si="656"/>
        <v>101.87</v>
      </c>
    </row>
    <row r="4657" spans="1:68">
      <c r="A4657" s="6">
        <v>45433</v>
      </c>
      <c r="B4657" s="7">
        <v>3141</v>
      </c>
      <c r="C4657" s="8">
        <v>1212.0899999999999</v>
      </c>
      <c r="D4657" s="8">
        <v>213.9</v>
      </c>
      <c r="E4657" s="8"/>
      <c r="F4657" s="8"/>
      <c r="G4657" s="8"/>
      <c r="H4657" s="8"/>
      <c r="I4657" s="8"/>
      <c r="J4657" s="8"/>
      <c r="K4657" s="8"/>
      <c r="L4657" s="8"/>
      <c r="M4657" s="8">
        <v>4.1500000000000004</v>
      </c>
      <c r="N4657" s="8"/>
      <c r="O4657" s="8"/>
      <c r="P4657" s="8"/>
      <c r="Q4657" s="11"/>
      <c r="R4657" s="11"/>
      <c r="S4657" s="8">
        <v>6.71</v>
      </c>
      <c r="T4657" s="8"/>
      <c r="U4657" s="8">
        <v>21.4</v>
      </c>
      <c r="V4657" s="8"/>
      <c r="W4657" s="8"/>
      <c r="X4657" s="8"/>
      <c r="Y4657" s="8"/>
      <c r="Z4657" s="8"/>
      <c r="AA4657" s="8"/>
      <c r="AB4657" s="8"/>
      <c r="AC4657" s="8">
        <v>5.7</v>
      </c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11"/>
      <c r="AQ4657" s="8"/>
      <c r="AR4657" s="8"/>
      <c r="AS4657" s="8"/>
      <c r="AT4657" s="8">
        <v>940.68</v>
      </c>
      <c r="AU4657" s="8"/>
      <c r="AV4657" s="8"/>
      <c r="AW4657" s="8"/>
      <c r="AX4657" s="8"/>
      <c r="AY4657" s="8"/>
      <c r="AZ4657" s="8"/>
      <c r="BA4657" s="8">
        <v>32.69</v>
      </c>
      <c r="BB4657" s="8"/>
      <c r="BC4657" s="8"/>
      <c r="BD4657" s="8"/>
      <c r="BE4657" s="8"/>
      <c r="BF4657" s="8">
        <v>99.82</v>
      </c>
      <c r="BG4657" s="8">
        <v>73.959999999999994</v>
      </c>
      <c r="BH4657" s="9">
        <f t="shared" si="648"/>
        <v>1425.99</v>
      </c>
      <c r="BI4657" s="9">
        <f t="shared" si="649"/>
        <v>4.1500000000000004</v>
      </c>
      <c r="BJ4657" s="9">
        <f t="shared" si="650"/>
        <v>6.71</v>
      </c>
      <c r="BK4657" s="9">
        <f t="shared" si="651"/>
        <v>21.4</v>
      </c>
      <c r="BL4657" s="9">
        <f t="shared" si="652"/>
        <v>0</v>
      </c>
      <c r="BM4657" s="9">
        <f t="shared" si="653"/>
        <v>5.7</v>
      </c>
      <c r="BN4657" s="9">
        <f t="shared" si="654"/>
        <v>940.68</v>
      </c>
      <c r="BO4657" s="9">
        <f t="shared" si="655"/>
        <v>32.69</v>
      </c>
      <c r="BP4657" s="9">
        <f t="shared" si="656"/>
        <v>99.82</v>
      </c>
    </row>
    <row r="4658" spans="1:68">
      <c r="A4658" s="6">
        <v>45433</v>
      </c>
      <c r="B4658" s="7">
        <v>3108</v>
      </c>
      <c r="C4658" s="8">
        <v>2216.9499999999998</v>
      </c>
      <c r="D4658" s="8"/>
      <c r="E4658" s="8"/>
      <c r="F4658" s="8"/>
      <c r="G4658" s="8"/>
      <c r="H4658" s="8"/>
      <c r="I4658" s="8"/>
      <c r="J4658" s="8"/>
      <c r="K4658" s="8"/>
      <c r="L4658" s="8"/>
      <c r="M4658" s="8">
        <v>5.0599999999999996</v>
      </c>
      <c r="N4658" s="8"/>
      <c r="O4658" s="8"/>
      <c r="P4658" s="8"/>
      <c r="Q4658" s="11"/>
      <c r="R4658" s="11"/>
      <c r="S4658" s="8">
        <v>7.12</v>
      </c>
      <c r="T4658" s="8"/>
      <c r="U4658" s="8">
        <v>28.26</v>
      </c>
      <c r="V4658" s="8"/>
      <c r="W4658" s="8"/>
      <c r="X4658" s="8"/>
      <c r="Y4658" s="8"/>
      <c r="Z4658" s="8"/>
      <c r="AA4658" s="8"/>
      <c r="AB4658" s="8"/>
      <c r="AC4658" s="8">
        <v>8.8800000000000008</v>
      </c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11"/>
      <c r="AQ4658" s="8"/>
      <c r="AR4658" s="8"/>
      <c r="AS4658" s="8"/>
      <c r="AT4658" s="8">
        <v>1209.1099999999999</v>
      </c>
      <c r="AU4658" s="8"/>
      <c r="AV4658" s="8"/>
      <c r="AW4658" s="8"/>
      <c r="AX4658" s="8"/>
      <c r="AY4658" s="8"/>
      <c r="AZ4658" s="8"/>
      <c r="BA4658" s="8">
        <v>82.58</v>
      </c>
      <c r="BB4658" s="8"/>
      <c r="BC4658" s="8"/>
      <c r="BD4658" s="8"/>
      <c r="BE4658" s="8"/>
      <c r="BF4658" s="8"/>
      <c r="BG4658" s="8">
        <v>89.88</v>
      </c>
      <c r="BH4658" s="9">
        <f t="shared" si="648"/>
        <v>2216.9499999999998</v>
      </c>
      <c r="BI4658" s="9">
        <f t="shared" si="649"/>
        <v>5.0599999999999996</v>
      </c>
      <c r="BJ4658" s="9">
        <f t="shared" si="650"/>
        <v>7.12</v>
      </c>
      <c r="BK4658" s="9">
        <f t="shared" si="651"/>
        <v>28.26</v>
      </c>
      <c r="BL4658" s="9">
        <f t="shared" si="652"/>
        <v>0</v>
      </c>
      <c r="BM4658" s="9">
        <f t="shared" si="653"/>
        <v>8.8800000000000008</v>
      </c>
      <c r="BN4658" s="9">
        <f t="shared" si="654"/>
        <v>1209.1099999999999</v>
      </c>
      <c r="BO4658" s="9">
        <f t="shared" si="655"/>
        <v>82.58</v>
      </c>
      <c r="BP4658" s="9">
        <f t="shared" si="656"/>
        <v>0</v>
      </c>
    </row>
    <row r="4659" spans="1:68">
      <c r="A4659" s="6">
        <v>45433</v>
      </c>
      <c r="B4659" s="7">
        <v>3106</v>
      </c>
      <c r="C4659" s="8">
        <v>6050.21</v>
      </c>
      <c r="D4659" s="8"/>
      <c r="E4659" s="8"/>
      <c r="F4659" s="8"/>
      <c r="G4659" s="8"/>
      <c r="H4659" s="8"/>
      <c r="I4659" s="8"/>
      <c r="J4659" s="8"/>
      <c r="K4659" s="8"/>
      <c r="L4659" s="8"/>
      <c r="M4659" s="8">
        <v>16.28</v>
      </c>
      <c r="N4659" s="8"/>
      <c r="O4659" s="8"/>
      <c r="P4659" s="8"/>
      <c r="Q4659" s="11"/>
      <c r="R4659" s="11"/>
      <c r="S4659" s="8">
        <v>18.16</v>
      </c>
      <c r="T4659" s="8"/>
      <c r="U4659" s="8">
        <v>76.81</v>
      </c>
      <c r="V4659" s="8"/>
      <c r="W4659" s="8"/>
      <c r="X4659" s="8"/>
      <c r="Y4659" s="8"/>
      <c r="Z4659" s="8"/>
      <c r="AA4659" s="8"/>
      <c r="AB4659" s="8"/>
      <c r="AC4659" s="8">
        <v>15.11</v>
      </c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11"/>
      <c r="AQ4659" s="8"/>
      <c r="AR4659" s="8"/>
      <c r="AS4659" s="8"/>
      <c r="AT4659" s="8">
        <v>3445.33</v>
      </c>
      <c r="AU4659" s="8"/>
      <c r="AV4659" s="8"/>
      <c r="AW4659" s="8"/>
      <c r="AX4659" s="8">
        <v>7.56</v>
      </c>
      <c r="AY4659" s="8"/>
      <c r="AZ4659" s="8"/>
      <c r="BA4659" s="8"/>
      <c r="BB4659" s="8"/>
      <c r="BC4659" s="8"/>
      <c r="BD4659" s="8"/>
      <c r="BE4659" s="8"/>
      <c r="BF4659" s="8"/>
      <c r="BG4659" s="8">
        <v>260.61</v>
      </c>
      <c r="BH4659" s="9">
        <f t="shared" si="648"/>
        <v>6050.21</v>
      </c>
      <c r="BI4659" s="9">
        <f t="shared" si="649"/>
        <v>16.28</v>
      </c>
      <c r="BJ4659" s="9">
        <f t="shared" si="650"/>
        <v>18.16</v>
      </c>
      <c r="BK4659" s="9">
        <f t="shared" si="651"/>
        <v>76.81</v>
      </c>
      <c r="BL4659" s="9">
        <f t="shared" si="652"/>
        <v>0</v>
      </c>
      <c r="BM4659" s="9">
        <f t="shared" si="653"/>
        <v>15.11</v>
      </c>
      <c r="BN4659" s="9">
        <f t="shared" si="654"/>
        <v>3445.33</v>
      </c>
      <c r="BO4659" s="9">
        <f t="shared" si="655"/>
        <v>7.56</v>
      </c>
      <c r="BP4659" s="9">
        <f t="shared" si="656"/>
        <v>0</v>
      </c>
    </row>
    <row r="4660" spans="1:68">
      <c r="A4660" s="6">
        <v>45433</v>
      </c>
      <c r="B4660" s="7">
        <v>3083</v>
      </c>
      <c r="C4660" s="8"/>
      <c r="D4660" s="8">
        <v>1083.18</v>
      </c>
      <c r="E4660" s="8"/>
      <c r="F4660" s="8"/>
      <c r="G4660" s="8"/>
      <c r="H4660" s="8"/>
      <c r="I4660" s="8">
        <v>2525.9299999999998</v>
      </c>
      <c r="J4660" s="8"/>
      <c r="K4660" s="8"/>
      <c r="L4660" s="8"/>
      <c r="M4660" s="8"/>
      <c r="N4660" s="8">
        <v>23.46</v>
      </c>
      <c r="O4660" s="8"/>
      <c r="P4660" s="8"/>
      <c r="Q4660" s="11"/>
      <c r="R4660" s="11"/>
      <c r="S4660" s="8">
        <v>2.52</v>
      </c>
      <c r="T4660" s="8"/>
      <c r="U4660" s="8"/>
      <c r="V4660" s="8"/>
      <c r="W4660" s="8">
        <v>28.88</v>
      </c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>
        <v>14.4</v>
      </c>
      <c r="AN4660" s="8">
        <f>1933*26.72/1000</f>
        <v>51.649759999999993</v>
      </c>
      <c r="AO4660" s="8"/>
      <c r="AP4660" s="11"/>
      <c r="AQ4660" s="8"/>
      <c r="AR4660" s="8">
        <f>3445*26.72/1000</f>
        <v>92.050399999999996</v>
      </c>
      <c r="AS4660" s="8"/>
      <c r="AT4660" s="8">
        <v>1696.5</v>
      </c>
      <c r="AU4660" s="8"/>
      <c r="AV4660" s="8"/>
      <c r="AW4660" s="8"/>
      <c r="AX4660" s="8"/>
      <c r="AY4660" s="8"/>
      <c r="AZ4660" s="8"/>
      <c r="BA4660" s="8"/>
      <c r="BB4660" s="8"/>
      <c r="BC4660" s="8"/>
      <c r="BD4660" s="8"/>
      <c r="BE4660" s="8"/>
      <c r="BF4660" s="8"/>
      <c r="BG4660" s="8">
        <v>134.72</v>
      </c>
      <c r="BH4660" s="9">
        <f t="shared" si="648"/>
        <v>3609.1099999999997</v>
      </c>
      <c r="BI4660" s="9">
        <f t="shared" si="649"/>
        <v>23.46</v>
      </c>
      <c r="BJ4660" s="9">
        <f t="shared" si="650"/>
        <v>2.52</v>
      </c>
      <c r="BK4660" s="9">
        <f t="shared" si="651"/>
        <v>28.88</v>
      </c>
      <c r="BL4660" s="9">
        <f t="shared" si="652"/>
        <v>0</v>
      </c>
      <c r="BM4660" s="9">
        <f t="shared" si="653"/>
        <v>158.10015999999999</v>
      </c>
      <c r="BN4660" s="9">
        <f t="shared" si="654"/>
        <v>1696.5</v>
      </c>
      <c r="BO4660" s="9">
        <f t="shared" si="655"/>
        <v>0</v>
      </c>
      <c r="BP4660" s="9">
        <f t="shared" si="656"/>
        <v>0</v>
      </c>
    </row>
    <row r="4661" spans="1:68">
      <c r="A4661" s="6">
        <v>45434</v>
      </c>
      <c r="B4661" s="7">
        <v>3203</v>
      </c>
      <c r="C4661" s="8">
        <v>877.88</v>
      </c>
      <c r="D4661" s="8"/>
      <c r="E4661" s="8">
        <v>377.14</v>
      </c>
      <c r="F4661" s="8"/>
      <c r="G4661" s="8"/>
      <c r="H4661" s="8"/>
      <c r="I4661" s="8"/>
      <c r="J4661" s="8"/>
      <c r="K4661" s="8"/>
      <c r="L4661" s="8"/>
      <c r="M4661" s="8"/>
      <c r="N4661" s="8"/>
      <c r="O4661" s="8">
        <v>3.79</v>
      </c>
      <c r="P4661" s="8"/>
      <c r="Q4661" s="11"/>
      <c r="R4661" s="11"/>
      <c r="S4661" s="8">
        <v>5.17</v>
      </c>
      <c r="T4661" s="8"/>
      <c r="U4661" s="8">
        <v>15.66</v>
      </c>
      <c r="V4661" s="8"/>
      <c r="W4661" s="8"/>
      <c r="X4661" s="8"/>
      <c r="Y4661" s="8"/>
      <c r="Z4661" s="8">
        <v>198.55</v>
      </c>
      <c r="AA4661" s="8">
        <f>10523*14.82/1000</f>
        <v>155.95086000000001</v>
      </c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11"/>
      <c r="AQ4661" s="8"/>
      <c r="AR4661" s="8"/>
      <c r="AS4661" s="8"/>
      <c r="AT4661" s="8">
        <v>469.45</v>
      </c>
      <c r="AU4661" s="8">
        <v>235.09</v>
      </c>
      <c r="AV4661" s="8"/>
      <c r="AW4661" s="8"/>
      <c r="AX4661" s="8"/>
      <c r="AY4661" s="8"/>
      <c r="AZ4661" s="8"/>
      <c r="BA4661" s="8"/>
      <c r="BB4661" s="8"/>
      <c r="BC4661" s="8">
        <v>3.28</v>
      </c>
      <c r="BD4661" s="8"/>
      <c r="BE4661" s="8"/>
      <c r="BF4661" s="8"/>
      <c r="BG4661" s="8">
        <v>46.25</v>
      </c>
      <c r="BH4661" s="9">
        <f t="shared" si="648"/>
        <v>1255.02</v>
      </c>
      <c r="BI4661" s="9">
        <f t="shared" si="649"/>
        <v>3.79</v>
      </c>
      <c r="BJ4661" s="9">
        <f t="shared" si="650"/>
        <v>5.17</v>
      </c>
      <c r="BK4661" s="9">
        <f t="shared" si="651"/>
        <v>15.66</v>
      </c>
      <c r="BL4661" s="9">
        <f t="shared" si="652"/>
        <v>354.50085999999999</v>
      </c>
      <c r="BM4661" s="9">
        <f t="shared" si="653"/>
        <v>0</v>
      </c>
      <c r="BN4661" s="9">
        <f t="shared" si="654"/>
        <v>704.54</v>
      </c>
      <c r="BO4661" s="9">
        <f t="shared" si="655"/>
        <v>3.28</v>
      </c>
      <c r="BP4661" s="9">
        <f t="shared" si="656"/>
        <v>0</v>
      </c>
    </row>
    <row r="4662" spans="1:68">
      <c r="A4662" s="6">
        <v>45434</v>
      </c>
      <c r="B4662" s="7">
        <v>3104</v>
      </c>
      <c r="C4662" s="8">
        <v>1492.48</v>
      </c>
      <c r="D4662" s="8"/>
      <c r="E4662" s="8"/>
      <c r="F4662" s="8"/>
      <c r="G4662" s="8"/>
      <c r="H4662" s="8">
        <v>382.89</v>
      </c>
      <c r="I4662" s="8"/>
      <c r="J4662" s="8"/>
      <c r="K4662" s="8"/>
      <c r="L4662" s="8"/>
      <c r="M4662" s="8">
        <v>4.26</v>
      </c>
      <c r="N4662" s="8"/>
      <c r="O4662" s="8"/>
      <c r="P4662" s="8"/>
      <c r="Q4662" s="11"/>
      <c r="R4662" s="11"/>
      <c r="S4662" s="8">
        <v>7.34</v>
      </c>
      <c r="T4662" s="8"/>
      <c r="U4662" s="8">
        <v>19.63</v>
      </c>
      <c r="V4662" s="8"/>
      <c r="W4662" s="8"/>
      <c r="X4662" s="8"/>
      <c r="Y4662" s="8"/>
      <c r="Z4662" s="8"/>
      <c r="AA4662" s="8"/>
      <c r="AB4662" s="8"/>
      <c r="AC4662" s="8">
        <v>6.83</v>
      </c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11"/>
      <c r="AQ4662" s="8"/>
      <c r="AR4662" s="8"/>
      <c r="AS4662" s="8"/>
      <c r="AT4662" s="8">
        <v>1075.8800000000001</v>
      </c>
      <c r="AU4662" s="8"/>
      <c r="AV4662" s="8"/>
      <c r="AW4662" s="8"/>
      <c r="AX4662" s="8"/>
      <c r="AY4662" s="8"/>
      <c r="AZ4662" s="8"/>
      <c r="BA4662" s="8">
        <v>38.96</v>
      </c>
      <c r="BB4662" s="8"/>
      <c r="BC4662" s="8"/>
      <c r="BD4662" s="8"/>
      <c r="BE4662" s="8"/>
      <c r="BF4662" s="8">
        <v>34.1</v>
      </c>
      <c r="BG4662" s="8">
        <v>84.42</v>
      </c>
      <c r="BH4662" s="9">
        <f t="shared" si="648"/>
        <v>1875.37</v>
      </c>
      <c r="BI4662" s="9">
        <f t="shared" si="649"/>
        <v>4.26</v>
      </c>
      <c r="BJ4662" s="9">
        <f t="shared" si="650"/>
        <v>7.34</v>
      </c>
      <c r="BK4662" s="9">
        <f t="shared" si="651"/>
        <v>19.63</v>
      </c>
      <c r="BL4662" s="9">
        <f t="shared" si="652"/>
        <v>0</v>
      </c>
      <c r="BM4662" s="9">
        <f t="shared" si="653"/>
        <v>6.83</v>
      </c>
      <c r="BN4662" s="9">
        <f t="shared" si="654"/>
        <v>1075.8800000000001</v>
      </c>
      <c r="BO4662" s="9">
        <f t="shared" si="655"/>
        <v>38.96</v>
      </c>
      <c r="BP4662" s="9">
        <f t="shared" si="656"/>
        <v>34.1</v>
      </c>
    </row>
    <row r="4663" spans="1:68">
      <c r="A4663" s="6">
        <v>45434</v>
      </c>
      <c r="B4663" s="7">
        <v>3106</v>
      </c>
      <c r="C4663" s="8">
        <v>6042.45</v>
      </c>
      <c r="D4663" s="8"/>
      <c r="E4663" s="8"/>
      <c r="F4663" s="8"/>
      <c r="G4663" s="8"/>
      <c r="H4663" s="8"/>
      <c r="I4663" s="8"/>
      <c r="J4663" s="8"/>
      <c r="K4663" s="8"/>
      <c r="L4663" s="8"/>
      <c r="M4663" s="8">
        <v>15.48</v>
      </c>
      <c r="N4663" s="8"/>
      <c r="O4663" s="8"/>
      <c r="P4663" s="8"/>
      <c r="Q4663" s="11"/>
      <c r="R4663" s="11"/>
      <c r="S4663" s="8">
        <v>18.16</v>
      </c>
      <c r="T4663" s="8"/>
      <c r="U4663" s="8">
        <v>76.84</v>
      </c>
      <c r="V4663" s="8"/>
      <c r="W4663" s="8"/>
      <c r="X4663" s="8"/>
      <c r="Y4663" s="8"/>
      <c r="Z4663" s="8"/>
      <c r="AA4663" s="8"/>
      <c r="AB4663" s="8"/>
      <c r="AC4663" s="8">
        <v>15.1</v>
      </c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11"/>
      <c r="AQ4663" s="8"/>
      <c r="AR4663" s="8"/>
      <c r="AS4663" s="8"/>
      <c r="AT4663" s="8">
        <v>3443.09</v>
      </c>
      <c r="AU4663" s="8"/>
      <c r="AV4663" s="8"/>
      <c r="AW4663" s="8"/>
      <c r="AX4663" s="8">
        <v>7.56</v>
      </c>
      <c r="AY4663" s="8"/>
      <c r="AZ4663" s="8"/>
      <c r="BA4663" s="8"/>
      <c r="BB4663" s="8"/>
      <c r="BC4663" s="8"/>
      <c r="BD4663" s="8"/>
      <c r="BE4663" s="8"/>
      <c r="BF4663" s="8"/>
      <c r="BG4663" s="8">
        <v>260.22000000000003</v>
      </c>
      <c r="BH4663" s="9">
        <f t="shared" si="648"/>
        <v>6042.45</v>
      </c>
      <c r="BI4663" s="9">
        <f t="shared" si="649"/>
        <v>15.48</v>
      </c>
      <c r="BJ4663" s="9">
        <f t="shared" si="650"/>
        <v>18.16</v>
      </c>
      <c r="BK4663" s="9">
        <f t="shared" si="651"/>
        <v>76.84</v>
      </c>
      <c r="BL4663" s="9">
        <f t="shared" si="652"/>
        <v>0</v>
      </c>
      <c r="BM4663" s="9">
        <f t="shared" si="653"/>
        <v>15.1</v>
      </c>
      <c r="BN4663" s="9">
        <f t="shared" si="654"/>
        <v>3443.09</v>
      </c>
      <c r="BO4663" s="9">
        <f t="shared" si="655"/>
        <v>7.56</v>
      </c>
      <c r="BP4663" s="9">
        <f t="shared" si="656"/>
        <v>0</v>
      </c>
    </row>
    <row r="4664" spans="1:68">
      <c r="A4664" s="6">
        <v>45434</v>
      </c>
      <c r="B4664" s="7">
        <v>3703</v>
      </c>
      <c r="C4664" s="8">
        <v>896.54</v>
      </c>
      <c r="D4664" s="8">
        <v>597.87</v>
      </c>
      <c r="E4664" s="8"/>
      <c r="F4664" s="8"/>
      <c r="G4664" s="8"/>
      <c r="H4664" s="8"/>
      <c r="I4664" s="8"/>
      <c r="J4664" s="8"/>
      <c r="K4664" s="8"/>
      <c r="L4664" s="8"/>
      <c r="M4664" s="8">
        <v>2.99</v>
      </c>
      <c r="N4664" s="8"/>
      <c r="O4664" s="8"/>
      <c r="P4664" s="8"/>
      <c r="Q4664" s="11"/>
      <c r="R4664" s="11"/>
      <c r="S4664" s="8">
        <v>7.34</v>
      </c>
      <c r="T4664" s="8"/>
      <c r="U4664" s="8">
        <v>11.97</v>
      </c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>
        <v>14.88</v>
      </c>
      <c r="AN4664" s="8"/>
      <c r="AO4664" s="8"/>
      <c r="AP4664" s="11"/>
      <c r="AQ4664" s="8"/>
      <c r="AR4664" s="8"/>
      <c r="AS4664" s="8"/>
      <c r="AT4664" s="8">
        <v>362.87</v>
      </c>
      <c r="AU4664" s="8">
        <v>181.32</v>
      </c>
      <c r="AV4664" s="8"/>
      <c r="AW4664" s="8"/>
      <c r="AX4664" s="8"/>
      <c r="AY4664" s="8"/>
      <c r="AZ4664" s="8"/>
      <c r="BA4664" s="8"/>
      <c r="BB4664" s="8"/>
      <c r="BC4664" s="8"/>
      <c r="BD4664" s="8"/>
      <c r="BE4664" s="8"/>
      <c r="BF4664" s="8"/>
      <c r="BG4664" s="8">
        <v>38.130000000000003</v>
      </c>
      <c r="BH4664" s="9">
        <f t="shared" si="648"/>
        <v>1494.4099999999999</v>
      </c>
      <c r="BI4664" s="9">
        <f t="shared" si="649"/>
        <v>2.99</v>
      </c>
      <c r="BJ4664" s="9">
        <f t="shared" si="650"/>
        <v>7.34</v>
      </c>
      <c r="BK4664" s="9">
        <f t="shared" si="651"/>
        <v>11.97</v>
      </c>
      <c r="BL4664" s="9">
        <f t="shared" si="652"/>
        <v>0</v>
      </c>
      <c r="BM4664" s="9">
        <f t="shared" si="653"/>
        <v>14.88</v>
      </c>
      <c r="BN4664" s="9">
        <f t="shared" si="654"/>
        <v>544.19000000000005</v>
      </c>
      <c r="BO4664" s="9">
        <f t="shared" si="655"/>
        <v>0</v>
      </c>
      <c r="BP4664" s="9">
        <f t="shared" si="656"/>
        <v>0</v>
      </c>
    </row>
    <row r="4665" spans="1:68">
      <c r="A4665" s="6">
        <v>45434</v>
      </c>
      <c r="B4665" s="7">
        <v>3158</v>
      </c>
      <c r="C4665" s="8">
        <v>369.73</v>
      </c>
      <c r="D4665" s="8">
        <v>66.11</v>
      </c>
      <c r="E4665" s="8"/>
      <c r="F4665" s="8"/>
      <c r="G4665" s="8"/>
      <c r="H4665" s="8"/>
      <c r="I4665" s="8"/>
      <c r="J4665" s="8"/>
      <c r="K4665" s="8"/>
      <c r="L4665" s="8"/>
      <c r="M4665" s="8">
        <v>1.31</v>
      </c>
      <c r="N4665" s="8"/>
      <c r="O4665" s="8"/>
      <c r="P4665" s="8"/>
      <c r="Q4665" s="11"/>
      <c r="R4665" s="11"/>
      <c r="S4665" s="8">
        <v>2.06</v>
      </c>
      <c r="T4665" s="8"/>
      <c r="U4665" s="8">
        <v>6.55</v>
      </c>
      <c r="V4665" s="8"/>
      <c r="W4665" s="8"/>
      <c r="X4665" s="8"/>
      <c r="Y4665" s="8"/>
      <c r="Z4665" s="8"/>
      <c r="AA4665" s="8"/>
      <c r="AB4665" s="8"/>
      <c r="AC4665" s="8">
        <v>1.74</v>
      </c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11"/>
      <c r="AQ4665" s="8"/>
      <c r="AR4665" s="8"/>
      <c r="AS4665" s="8"/>
      <c r="AT4665" s="8">
        <v>287.32</v>
      </c>
      <c r="AU4665" s="8"/>
      <c r="AV4665" s="8"/>
      <c r="AW4665" s="8"/>
      <c r="AX4665" s="8"/>
      <c r="AY4665" s="8"/>
      <c r="AZ4665" s="8"/>
      <c r="BA4665" s="8"/>
      <c r="BB4665" s="8"/>
      <c r="BC4665" s="8">
        <v>0.76</v>
      </c>
      <c r="BD4665" s="8"/>
      <c r="BE4665" s="8"/>
      <c r="BF4665" s="8">
        <v>30.63</v>
      </c>
      <c r="BG4665" s="8">
        <v>22.86</v>
      </c>
      <c r="BH4665" s="9">
        <f t="shared" si="648"/>
        <v>435.84000000000003</v>
      </c>
      <c r="BI4665" s="9">
        <f t="shared" si="649"/>
        <v>1.31</v>
      </c>
      <c r="BJ4665" s="9">
        <f t="shared" si="650"/>
        <v>2.06</v>
      </c>
      <c r="BK4665" s="9">
        <f t="shared" si="651"/>
        <v>6.55</v>
      </c>
      <c r="BL4665" s="9">
        <f t="shared" si="652"/>
        <v>0</v>
      </c>
      <c r="BM4665" s="9">
        <f t="shared" si="653"/>
        <v>1.74</v>
      </c>
      <c r="BN4665" s="9">
        <f t="shared" si="654"/>
        <v>287.32</v>
      </c>
      <c r="BO4665" s="9">
        <f t="shared" si="655"/>
        <v>0.76</v>
      </c>
      <c r="BP4665" s="9">
        <f t="shared" si="656"/>
        <v>30.63</v>
      </c>
    </row>
    <row r="4666" spans="1:68">
      <c r="A4666" s="6">
        <v>45435</v>
      </c>
      <c r="B4666" s="7">
        <v>3020</v>
      </c>
      <c r="C4666" s="8"/>
      <c r="D4666" s="8">
        <f>481.52+15.93</f>
        <v>497.45</v>
      </c>
      <c r="E4666" s="8"/>
      <c r="F4666" s="8"/>
      <c r="G4666" s="8"/>
      <c r="H4666" s="8"/>
      <c r="I4666" s="8">
        <f>90.08+2726.5</f>
        <v>2816.58</v>
      </c>
      <c r="J4666" s="8"/>
      <c r="K4666" s="8"/>
      <c r="L4666" s="8"/>
      <c r="M4666" s="8"/>
      <c r="N4666" s="8">
        <f>0.65+19.57</f>
        <v>20.22</v>
      </c>
      <c r="O4666" s="8"/>
      <c r="P4666" s="8"/>
      <c r="Q4666" s="11"/>
      <c r="R4666" s="11"/>
      <c r="S4666" s="8">
        <f>5.77+0.19</f>
        <v>5.96</v>
      </c>
      <c r="T4666" s="8"/>
      <c r="U4666" s="8"/>
      <c r="V4666" s="8"/>
      <c r="W4666" s="8">
        <f>1.06+32.06</f>
        <v>33.120000000000005</v>
      </c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>
        <f>31.87+1.05</f>
        <v>32.92</v>
      </c>
      <c r="AN4666" s="8"/>
      <c r="AO4666" s="8"/>
      <c r="AP4666" s="11"/>
      <c r="AQ4666" s="8"/>
      <c r="AR4666" s="8"/>
      <c r="AS4666" s="8">
        <f>3010*27.6/1000</f>
        <v>83.075999999999993</v>
      </c>
      <c r="AT4666" s="8">
        <f>1575.81+52.08</f>
        <v>1627.8899999999999</v>
      </c>
      <c r="AU4666" s="8"/>
      <c r="AV4666" s="8"/>
      <c r="AW4666" s="8"/>
      <c r="AX4666" s="8"/>
      <c r="AY4666" s="8"/>
      <c r="AZ4666" s="8"/>
      <c r="BA4666" s="8"/>
      <c r="BB4666" s="8"/>
      <c r="BC4666" s="8"/>
      <c r="BD4666" s="8"/>
      <c r="BE4666" s="8"/>
      <c r="BF4666" s="8"/>
      <c r="BG4666" s="8">
        <f>115.4+3.82</f>
        <v>119.22</v>
      </c>
      <c r="BH4666" s="9">
        <f t="shared" si="648"/>
        <v>3314.0299999999997</v>
      </c>
      <c r="BI4666" s="9">
        <f t="shared" si="649"/>
        <v>20.22</v>
      </c>
      <c r="BJ4666" s="9">
        <f t="shared" si="650"/>
        <v>5.96</v>
      </c>
      <c r="BK4666" s="9">
        <f t="shared" si="651"/>
        <v>33.120000000000005</v>
      </c>
      <c r="BL4666" s="9">
        <f t="shared" si="652"/>
        <v>0</v>
      </c>
      <c r="BM4666" s="9">
        <f t="shared" si="653"/>
        <v>115.996</v>
      </c>
      <c r="BN4666" s="9">
        <f t="shared" si="654"/>
        <v>1627.8899999999999</v>
      </c>
      <c r="BO4666" s="9">
        <f t="shared" si="655"/>
        <v>0</v>
      </c>
      <c r="BP4666" s="9">
        <f t="shared" si="656"/>
        <v>0</v>
      </c>
    </row>
    <row r="4667" spans="1:68">
      <c r="A4667" s="6">
        <v>45435</v>
      </c>
      <c r="B4667" s="7">
        <v>3028</v>
      </c>
      <c r="C4667" s="8"/>
      <c r="D4667" s="8">
        <v>725.99</v>
      </c>
      <c r="E4667" s="8"/>
      <c r="F4667" s="8">
        <v>669.69</v>
      </c>
      <c r="G4667" s="8"/>
      <c r="H4667" s="8"/>
      <c r="I4667" s="8">
        <v>1514.7</v>
      </c>
      <c r="J4667" s="8"/>
      <c r="K4667" s="8"/>
      <c r="L4667" s="8"/>
      <c r="M4667" s="8"/>
      <c r="N4667" s="8">
        <v>22.36</v>
      </c>
      <c r="O4667" s="8"/>
      <c r="P4667" s="8"/>
      <c r="Q4667" s="11"/>
      <c r="R4667" s="11"/>
      <c r="S4667" s="8">
        <v>4.08</v>
      </c>
      <c r="T4667" s="8"/>
      <c r="U4667" s="8"/>
      <c r="V4667" s="8"/>
      <c r="W4667" s="8">
        <v>21.81</v>
      </c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>
        <v>29.1</v>
      </c>
      <c r="AN4667" s="8">
        <f>1066*19.4/1000</f>
        <v>20.680399999999999</v>
      </c>
      <c r="AO4667" s="8"/>
      <c r="AP4667" s="11"/>
      <c r="AQ4667" s="8"/>
      <c r="AR4667" s="8"/>
      <c r="AS4667" s="8">
        <f>4953*19.4/1000</f>
        <v>96.088200000000001</v>
      </c>
      <c r="AT4667" s="8">
        <v>971.33</v>
      </c>
      <c r="AU4667" s="8"/>
      <c r="AV4667" s="8"/>
      <c r="AW4667" s="8"/>
      <c r="AX4667" s="8"/>
      <c r="AY4667" s="8"/>
      <c r="AZ4667" s="8"/>
      <c r="BA4667" s="8"/>
      <c r="BB4667" s="8"/>
      <c r="BC4667" s="8"/>
      <c r="BD4667" s="8"/>
      <c r="BE4667" s="8"/>
      <c r="BF4667" s="8"/>
      <c r="BG4667" s="8">
        <v>66.25</v>
      </c>
      <c r="BH4667" s="9">
        <f t="shared" si="648"/>
        <v>2910.38</v>
      </c>
      <c r="BI4667" s="9">
        <f t="shared" si="649"/>
        <v>22.36</v>
      </c>
      <c r="BJ4667" s="9">
        <f t="shared" si="650"/>
        <v>4.08</v>
      </c>
      <c r="BK4667" s="9">
        <f t="shared" si="651"/>
        <v>21.81</v>
      </c>
      <c r="BL4667" s="9">
        <f t="shared" si="652"/>
        <v>0</v>
      </c>
      <c r="BM4667" s="9">
        <f t="shared" si="653"/>
        <v>145.86860000000001</v>
      </c>
      <c r="BN4667" s="9">
        <f t="shared" si="654"/>
        <v>971.33</v>
      </c>
      <c r="BO4667" s="9">
        <f t="shared" si="655"/>
        <v>0</v>
      </c>
      <c r="BP4667" s="9">
        <f t="shared" si="656"/>
        <v>0</v>
      </c>
    </row>
    <row r="4668" spans="1:68">
      <c r="A4668" s="6">
        <v>45435</v>
      </c>
      <c r="B4668" s="7">
        <v>3025</v>
      </c>
      <c r="C4668" s="8"/>
      <c r="D4668" s="8">
        <v>214.02</v>
      </c>
      <c r="E4668" s="8"/>
      <c r="F4668" s="8"/>
      <c r="G4668" s="8"/>
      <c r="H4668" s="8"/>
      <c r="I4668" s="8">
        <v>1207.3599999999999</v>
      </c>
      <c r="J4668" s="8"/>
      <c r="K4668" s="8"/>
      <c r="L4668" s="8"/>
      <c r="M4668" s="8"/>
      <c r="N4668" s="8">
        <v>7.97</v>
      </c>
      <c r="O4668" s="8"/>
      <c r="P4668" s="8"/>
      <c r="Q4668" s="11"/>
      <c r="R4668" s="11"/>
      <c r="S4668" s="8">
        <v>2.27</v>
      </c>
      <c r="T4668" s="8"/>
      <c r="U4668" s="8"/>
      <c r="V4668" s="8"/>
      <c r="W4668" s="8">
        <v>12.78</v>
      </c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>
        <v>14.21</v>
      </c>
      <c r="AN4668" s="8">
        <f>716*14.22/1000</f>
        <v>10.181520000000001</v>
      </c>
      <c r="AO4668" s="8"/>
      <c r="AP4668" s="11"/>
      <c r="AQ4668" s="8"/>
      <c r="AR4668" s="8"/>
      <c r="AS4668" s="8">
        <f>3349*14.22/1000</f>
        <v>47.622779999999999</v>
      </c>
      <c r="AT4668" s="8">
        <v>492.71</v>
      </c>
      <c r="AU4668" s="8"/>
      <c r="AV4668" s="8"/>
      <c r="AW4668" s="8"/>
      <c r="AX4668" s="8"/>
      <c r="AY4668" s="8"/>
      <c r="AZ4668" s="8"/>
      <c r="BA4668" s="8"/>
      <c r="BB4668" s="8"/>
      <c r="BC4668" s="8"/>
      <c r="BD4668" s="8"/>
      <c r="BE4668" s="8"/>
      <c r="BF4668" s="8"/>
      <c r="BG4668" s="8">
        <v>32.57</v>
      </c>
      <c r="BH4668" s="9">
        <f t="shared" si="648"/>
        <v>1421.3799999999999</v>
      </c>
      <c r="BI4668" s="9">
        <f t="shared" si="649"/>
        <v>7.97</v>
      </c>
      <c r="BJ4668" s="9">
        <f t="shared" si="650"/>
        <v>2.27</v>
      </c>
      <c r="BK4668" s="9">
        <f t="shared" si="651"/>
        <v>12.78</v>
      </c>
      <c r="BL4668" s="9">
        <f t="shared" si="652"/>
        <v>0</v>
      </c>
      <c r="BM4668" s="9">
        <f t="shared" si="653"/>
        <v>72.014299999999992</v>
      </c>
      <c r="BN4668" s="9">
        <f t="shared" si="654"/>
        <v>492.71</v>
      </c>
      <c r="BO4668" s="9">
        <f t="shared" si="655"/>
        <v>0</v>
      </c>
      <c r="BP4668" s="9">
        <f t="shared" si="656"/>
        <v>0</v>
      </c>
    </row>
    <row r="4669" spans="1:68">
      <c r="A4669" s="6">
        <v>45435</v>
      </c>
      <c r="B4669" s="7">
        <v>3029</v>
      </c>
      <c r="C4669" s="8"/>
      <c r="D4669" s="8">
        <v>689.56</v>
      </c>
      <c r="E4669" s="8"/>
      <c r="F4669" s="8">
        <v>487.11</v>
      </c>
      <c r="G4669" s="8"/>
      <c r="H4669" s="8"/>
      <c r="I4669" s="8">
        <v>2880.52</v>
      </c>
      <c r="J4669" s="8"/>
      <c r="K4669" s="8"/>
      <c r="L4669" s="8"/>
      <c r="M4669" s="8"/>
      <c r="N4669" s="8">
        <v>32.49</v>
      </c>
      <c r="O4669" s="8"/>
      <c r="P4669" s="8"/>
      <c r="Q4669" s="11"/>
      <c r="R4669" s="11"/>
      <c r="S4669" s="8">
        <v>2.42</v>
      </c>
      <c r="T4669" s="8"/>
      <c r="U4669" s="8"/>
      <c r="V4669" s="8"/>
      <c r="W4669" s="8">
        <v>40.630000000000003</v>
      </c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>
        <v>14.21</v>
      </c>
      <c r="AN4669" s="8">
        <f>757*27.07/1000</f>
        <v>20.491990000000001</v>
      </c>
      <c r="AO4669" s="8"/>
      <c r="AP4669" s="11"/>
      <c r="AQ4669" s="8"/>
      <c r="AR4669" s="8">
        <f>4565*27.07/1000</f>
        <v>123.57455</v>
      </c>
      <c r="AS4669" s="8"/>
      <c r="AT4669" s="8">
        <v>1541.74</v>
      </c>
      <c r="AU4669" s="8"/>
      <c r="AV4669" s="8"/>
      <c r="AW4669" s="8"/>
      <c r="AX4669" s="8"/>
      <c r="AY4669" s="8"/>
      <c r="AZ4669" s="8"/>
      <c r="BA4669" s="8"/>
      <c r="BB4669" s="8"/>
      <c r="BC4669" s="8"/>
      <c r="BD4669" s="8"/>
      <c r="BE4669" s="8"/>
      <c r="BF4669" s="8"/>
      <c r="BG4669" s="8">
        <v>107.22</v>
      </c>
      <c r="BH4669" s="9">
        <f t="shared" si="648"/>
        <v>4057.19</v>
      </c>
      <c r="BI4669" s="9">
        <f t="shared" si="649"/>
        <v>32.49</v>
      </c>
      <c r="BJ4669" s="9">
        <f t="shared" si="650"/>
        <v>2.42</v>
      </c>
      <c r="BK4669" s="9">
        <f t="shared" si="651"/>
        <v>40.630000000000003</v>
      </c>
      <c r="BL4669" s="9">
        <f t="shared" si="652"/>
        <v>0</v>
      </c>
      <c r="BM4669" s="9">
        <f t="shared" si="653"/>
        <v>158.27654000000001</v>
      </c>
      <c r="BN4669" s="9">
        <f t="shared" si="654"/>
        <v>1541.74</v>
      </c>
      <c r="BO4669" s="9">
        <f t="shared" si="655"/>
        <v>0</v>
      </c>
      <c r="BP4669" s="9">
        <f t="shared" si="656"/>
        <v>0</v>
      </c>
    </row>
    <row r="4670" spans="1:68">
      <c r="A4670" s="6">
        <v>45436</v>
      </c>
      <c r="B4670" s="7">
        <v>3141</v>
      </c>
      <c r="C4670" s="8">
        <v>3514.27</v>
      </c>
      <c r="D4670" s="8">
        <v>621.58000000000004</v>
      </c>
      <c r="E4670" s="8"/>
      <c r="F4670" s="8"/>
      <c r="G4670" s="8"/>
      <c r="H4670" s="8"/>
      <c r="I4670" s="8"/>
      <c r="J4670" s="8"/>
      <c r="K4670" s="8"/>
      <c r="L4670" s="8"/>
      <c r="M4670" s="8">
        <v>12.05</v>
      </c>
      <c r="N4670" s="8"/>
      <c r="O4670" s="8"/>
      <c r="P4670" s="8"/>
      <c r="Q4670" s="11"/>
      <c r="R4670" s="11"/>
      <c r="S4670" s="8">
        <v>19.489999999999998</v>
      </c>
      <c r="T4670" s="8"/>
      <c r="U4670" s="8">
        <v>62.19</v>
      </c>
      <c r="V4670" s="8"/>
      <c r="W4670" s="8"/>
      <c r="X4670" s="8"/>
      <c r="Y4670" s="8"/>
      <c r="Z4670" s="8"/>
      <c r="AA4670" s="8"/>
      <c r="AB4670" s="8"/>
      <c r="AC4670" s="8">
        <v>16.579999999999998</v>
      </c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11"/>
      <c r="AQ4670" s="8"/>
      <c r="AR4670" s="8"/>
      <c r="AS4670" s="8"/>
      <c r="AT4670" s="8">
        <v>2734.5</v>
      </c>
      <c r="AU4670" s="8"/>
      <c r="AV4670" s="8"/>
      <c r="AW4670" s="8"/>
      <c r="AX4670" s="8"/>
      <c r="AY4670" s="8"/>
      <c r="AZ4670" s="8"/>
      <c r="BA4670" s="8">
        <v>95.08</v>
      </c>
      <c r="BB4670" s="8"/>
      <c r="BC4670" s="8"/>
      <c r="BD4670" s="8"/>
      <c r="BE4670" s="8"/>
      <c r="BF4670" s="8">
        <v>215.31</v>
      </c>
      <c r="BG4670" s="8">
        <v>215.31</v>
      </c>
      <c r="BH4670" s="9">
        <f t="shared" si="648"/>
        <v>4135.8500000000004</v>
      </c>
      <c r="BI4670" s="9">
        <f t="shared" si="649"/>
        <v>12.05</v>
      </c>
      <c r="BJ4670" s="9">
        <f t="shared" si="650"/>
        <v>19.489999999999998</v>
      </c>
      <c r="BK4670" s="9">
        <f t="shared" si="651"/>
        <v>62.19</v>
      </c>
      <c r="BL4670" s="9">
        <f t="shared" si="652"/>
        <v>0</v>
      </c>
      <c r="BM4670" s="9">
        <f t="shared" si="653"/>
        <v>16.579999999999998</v>
      </c>
      <c r="BN4670" s="9">
        <f t="shared" si="654"/>
        <v>2734.5</v>
      </c>
      <c r="BO4670" s="9">
        <f t="shared" si="655"/>
        <v>95.08</v>
      </c>
      <c r="BP4670" s="9">
        <f t="shared" si="656"/>
        <v>215.31</v>
      </c>
    </row>
    <row r="4671" spans="1:68">
      <c r="A4671" s="6">
        <v>45436</v>
      </c>
      <c r="B4671" s="7">
        <v>3121</v>
      </c>
      <c r="C4671" s="8">
        <v>2277.06</v>
      </c>
      <c r="D4671" s="8"/>
      <c r="E4671" s="8"/>
      <c r="F4671" s="8"/>
      <c r="G4671" s="8"/>
      <c r="H4671" s="8"/>
      <c r="I4671" s="8"/>
      <c r="J4671" s="8"/>
      <c r="K4671" s="8"/>
      <c r="L4671" s="8"/>
      <c r="M4671" s="8">
        <v>5.67</v>
      </c>
      <c r="N4671" s="8"/>
      <c r="O4671" s="8"/>
      <c r="P4671" s="8"/>
      <c r="Q4671" s="11"/>
      <c r="R4671" s="11"/>
      <c r="S4671" s="8">
        <v>7.28</v>
      </c>
      <c r="T4671" s="8"/>
      <c r="U4671" s="8">
        <v>22.78</v>
      </c>
      <c r="V4671" s="8"/>
      <c r="W4671" s="8"/>
      <c r="X4671" s="8"/>
      <c r="Y4671" s="8"/>
      <c r="Z4671" s="8"/>
      <c r="AA4671" s="8"/>
      <c r="AB4671" s="8"/>
      <c r="AC4671" s="8">
        <v>9.1</v>
      </c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11">
        <f>2208*10.33/1000</f>
        <v>22.80864</v>
      </c>
      <c r="AQ4671" s="8"/>
      <c r="AR4671" s="8"/>
      <c r="AS4671" s="8"/>
      <c r="AT4671" s="8">
        <v>1201.92</v>
      </c>
      <c r="AU4671" s="8"/>
      <c r="AV4671" s="8"/>
      <c r="AW4671" s="8"/>
      <c r="AX4671" s="8"/>
      <c r="AY4671" s="8"/>
      <c r="AZ4671" s="8"/>
      <c r="BA4671" s="8"/>
      <c r="BB4671" s="8"/>
      <c r="BC4671" s="8"/>
      <c r="BD4671" s="8"/>
      <c r="BE4671" s="8"/>
      <c r="BF4671" s="8"/>
      <c r="BG4671" s="8">
        <v>88.56</v>
      </c>
      <c r="BH4671" s="9">
        <f t="shared" si="648"/>
        <v>2277.06</v>
      </c>
      <c r="BI4671" s="9">
        <f t="shared" si="649"/>
        <v>5.67</v>
      </c>
      <c r="BJ4671" s="9">
        <f t="shared" si="650"/>
        <v>7.28</v>
      </c>
      <c r="BK4671" s="9">
        <f t="shared" si="651"/>
        <v>22.78</v>
      </c>
      <c r="BL4671" s="9">
        <f t="shared" si="652"/>
        <v>0</v>
      </c>
      <c r="BM4671" s="9">
        <f t="shared" si="653"/>
        <v>31.908639999999998</v>
      </c>
      <c r="BN4671" s="9">
        <f t="shared" si="654"/>
        <v>1201.92</v>
      </c>
      <c r="BO4671" s="9">
        <f t="shared" si="655"/>
        <v>0</v>
      </c>
      <c r="BP4671" s="9">
        <f t="shared" si="656"/>
        <v>0</v>
      </c>
    </row>
    <row r="4672" spans="1:68">
      <c r="A4672" s="6">
        <v>45436</v>
      </c>
      <c r="B4672" s="7">
        <v>3016</v>
      </c>
      <c r="C4672" s="8"/>
      <c r="D4672" s="8">
        <v>2406.04</v>
      </c>
      <c r="E4672" s="8"/>
      <c r="F4672" s="8"/>
      <c r="G4672" s="8"/>
      <c r="H4672" s="8"/>
      <c r="I4672" s="8">
        <v>2215.3200000000002</v>
      </c>
      <c r="J4672" s="8"/>
      <c r="K4672" s="8"/>
      <c r="L4672" s="8"/>
      <c r="M4672" s="8"/>
      <c r="N4672" s="8">
        <v>29.59</v>
      </c>
      <c r="O4672" s="8"/>
      <c r="P4672" s="8"/>
      <c r="Q4672" s="11"/>
      <c r="R4672" s="11"/>
      <c r="S4672" s="8">
        <v>3.22</v>
      </c>
      <c r="T4672" s="8"/>
      <c r="U4672" s="8"/>
      <c r="V4672" s="8"/>
      <c r="W4672" s="8">
        <v>46.27</v>
      </c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>
        <v>18.5</v>
      </c>
      <c r="AN4672" s="8">
        <f>2055*27.2/1000</f>
        <v>55.896000000000001</v>
      </c>
      <c r="AO4672" s="8"/>
      <c r="AP4672" s="11"/>
      <c r="AQ4672" s="8"/>
      <c r="AR4672" s="8">
        <f>4316*27.2/1000</f>
        <v>117.3952</v>
      </c>
      <c r="AS4672" s="8"/>
      <c r="AT4672" s="8">
        <v>1719.98</v>
      </c>
      <c r="AU4672" s="8"/>
      <c r="AV4672" s="8"/>
      <c r="AW4672" s="8"/>
      <c r="AX4672" s="8"/>
      <c r="AY4672" s="8"/>
      <c r="AZ4672" s="8"/>
      <c r="BA4672" s="8"/>
      <c r="BB4672" s="8"/>
      <c r="BC4672" s="8"/>
      <c r="BD4672" s="8"/>
      <c r="BE4672" s="8"/>
      <c r="BF4672" s="8"/>
      <c r="BG4672" s="8">
        <v>126.03</v>
      </c>
      <c r="BH4672" s="9">
        <f t="shared" si="648"/>
        <v>4621.3600000000006</v>
      </c>
      <c r="BI4672" s="9">
        <f t="shared" si="649"/>
        <v>29.59</v>
      </c>
      <c r="BJ4672" s="9">
        <f t="shared" si="650"/>
        <v>3.22</v>
      </c>
      <c r="BK4672" s="9">
        <f t="shared" si="651"/>
        <v>46.27</v>
      </c>
      <c r="BL4672" s="9">
        <f t="shared" si="652"/>
        <v>0</v>
      </c>
      <c r="BM4672" s="9">
        <f t="shared" si="653"/>
        <v>191.7912</v>
      </c>
      <c r="BN4672" s="9">
        <f t="shared" si="654"/>
        <v>1719.98</v>
      </c>
      <c r="BO4672" s="9">
        <f t="shared" si="655"/>
        <v>0</v>
      </c>
      <c r="BP4672" s="9">
        <f t="shared" si="656"/>
        <v>0</v>
      </c>
    </row>
    <row r="4673" spans="1:68">
      <c r="A4673" s="6">
        <v>45436</v>
      </c>
      <c r="B4673" s="7">
        <v>3079</v>
      </c>
      <c r="C4673" s="8"/>
      <c r="D4673" s="8"/>
      <c r="E4673" s="8"/>
      <c r="F4673" s="8"/>
      <c r="G4673" s="8"/>
      <c r="H4673" s="8"/>
      <c r="I4673" s="8">
        <v>4078.95</v>
      </c>
      <c r="J4673" s="8"/>
      <c r="K4673" s="8"/>
      <c r="L4673" s="8"/>
      <c r="M4673" s="8"/>
      <c r="N4673" s="8">
        <v>33.950000000000003</v>
      </c>
      <c r="O4673" s="8"/>
      <c r="P4673" s="8"/>
      <c r="Q4673" s="11"/>
      <c r="R4673" s="11"/>
      <c r="S4673" s="8">
        <v>1.82</v>
      </c>
      <c r="T4673" s="8"/>
      <c r="U4673" s="8"/>
      <c r="V4673" s="8"/>
      <c r="W4673" s="8">
        <v>45.86</v>
      </c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>
        <v>18.34</v>
      </c>
      <c r="AN4673" s="8">
        <f>1739*26.97/1000</f>
        <v>46.900829999999992</v>
      </c>
      <c r="AO4673" s="8"/>
      <c r="AP4673" s="11"/>
      <c r="AQ4673" s="8"/>
      <c r="AR4673" s="8">
        <f>4304*26.97/1000</f>
        <v>116.07887999999998</v>
      </c>
      <c r="AS4673" s="8"/>
      <c r="AT4673" s="8">
        <v>1768.92</v>
      </c>
      <c r="AU4673" s="8"/>
      <c r="AV4673" s="8"/>
      <c r="AW4673" s="8"/>
      <c r="AX4673" s="8"/>
      <c r="AY4673" s="8"/>
      <c r="AZ4673" s="8"/>
      <c r="BA4673" s="8"/>
      <c r="BB4673" s="8"/>
      <c r="BC4673" s="8"/>
      <c r="BD4673" s="8"/>
      <c r="BE4673" s="8"/>
      <c r="BF4673" s="8"/>
      <c r="BG4673" s="8">
        <v>128.36000000000001</v>
      </c>
      <c r="BH4673" s="9">
        <f t="shared" si="648"/>
        <v>4078.95</v>
      </c>
      <c r="BI4673" s="9">
        <f t="shared" si="649"/>
        <v>33.950000000000003</v>
      </c>
      <c r="BJ4673" s="9">
        <f t="shared" si="650"/>
        <v>1.82</v>
      </c>
      <c r="BK4673" s="9">
        <f t="shared" si="651"/>
        <v>45.86</v>
      </c>
      <c r="BL4673" s="9">
        <f t="shared" si="652"/>
        <v>0</v>
      </c>
      <c r="BM4673" s="9">
        <f t="shared" si="653"/>
        <v>181.31970999999999</v>
      </c>
      <c r="BN4673" s="9">
        <f t="shared" si="654"/>
        <v>1768.92</v>
      </c>
      <c r="BO4673" s="9">
        <f t="shared" si="655"/>
        <v>0</v>
      </c>
      <c r="BP4673" s="9">
        <f t="shared" si="656"/>
        <v>0</v>
      </c>
    </row>
    <row r="4674" spans="1:68">
      <c r="A4674" s="6">
        <v>45436</v>
      </c>
      <c r="B4674" s="7">
        <v>3083</v>
      </c>
      <c r="C4674" s="8"/>
      <c r="D4674" s="8">
        <v>1087.1500000000001</v>
      </c>
      <c r="E4674" s="8"/>
      <c r="F4674" s="8"/>
      <c r="G4674" s="8"/>
      <c r="H4674" s="8"/>
      <c r="I4674" s="8">
        <v>2532.86</v>
      </c>
      <c r="J4674" s="8"/>
      <c r="K4674" s="8"/>
      <c r="L4674" s="8"/>
      <c r="M4674" s="8"/>
      <c r="N4674" s="8">
        <v>23.49</v>
      </c>
      <c r="O4674" s="8"/>
      <c r="P4674" s="8"/>
      <c r="Q4674" s="11"/>
      <c r="R4674" s="11"/>
      <c r="S4674" s="8">
        <v>2.52</v>
      </c>
      <c r="T4674" s="8"/>
      <c r="U4674" s="8"/>
      <c r="V4674" s="8"/>
      <c r="W4674" s="8">
        <v>28.94</v>
      </c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>
        <v>14.46</v>
      </c>
      <c r="AN4674" s="8">
        <f>1893*26.8/1000</f>
        <v>50.732399999999998</v>
      </c>
      <c r="AO4674" s="8"/>
      <c r="AP4674" s="11"/>
      <c r="AQ4674" s="8"/>
      <c r="AR4674" s="8">
        <f>3437*26.8/1000</f>
        <v>92.11160000000001</v>
      </c>
      <c r="AS4674" s="8"/>
      <c r="AT4674" s="8">
        <v>1701.16</v>
      </c>
      <c r="AU4674" s="8"/>
      <c r="AV4674" s="8"/>
      <c r="AW4674" s="8"/>
      <c r="AX4674" s="8"/>
      <c r="AY4674" s="8"/>
      <c r="AZ4674" s="8"/>
      <c r="BA4674" s="8"/>
      <c r="BB4674" s="8"/>
      <c r="BC4674" s="8"/>
      <c r="BD4674" s="8"/>
      <c r="BE4674" s="8"/>
      <c r="BF4674" s="8"/>
      <c r="BG4674" s="8">
        <v>134.85</v>
      </c>
      <c r="BH4674" s="9">
        <f t="shared" si="648"/>
        <v>3620.01</v>
      </c>
      <c r="BI4674" s="9">
        <f t="shared" si="649"/>
        <v>23.49</v>
      </c>
      <c r="BJ4674" s="9">
        <f t="shared" si="650"/>
        <v>2.52</v>
      </c>
      <c r="BK4674" s="9">
        <f t="shared" si="651"/>
        <v>28.94</v>
      </c>
      <c r="BL4674" s="9">
        <f t="shared" si="652"/>
        <v>0</v>
      </c>
      <c r="BM4674" s="9">
        <f t="shared" si="653"/>
        <v>157.304</v>
      </c>
      <c r="BN4674" s="9">
        <f t="shared" si="654"/>
        <v>1701.16</v>
      </c>
      <c r="BO4674" s="9">
        <f t="shared" si="655"/>
        <v>0</v>
      </c>
      <c r="BP4674" s="9">
        <f t="shared" si="656"/>
        <v>0</v>
      </c>
    </row>
    <row r="4675" spans="1:68">
      <c r="A4675" s="6">
        <v>45436</v>
      </c>
      <c r="B4675" s="7">
        <v>3117</v>
      </c>
      <c r="C4675" s="8">
        <v>812.37</v>
      </c>
      <c r="D4675" s="8"/>
      <c r="E4675" s="8"/>
      <c r="F4675" s="8"/>
      <c r="G4675" s="8"/>
      <c r="H4675" s="8"/>
      <c r="I4675" s="8"/>
      <c r="J4675" s="8"/>
      <c r="K4675" s="8"/>
      <c r="L4675" s="8"/>
      <c r="M4675" s="8">
        <v>2.38</v>
      </c>
      <c r="N4675" s="8"/>
      <c r="O4675" s="8"/>
      <c r="P4675" s="8"/>
      <c r="Q4675" s="11"/>
      <c r="R4675" s="11"/>
      <c r="S4675" s="8">
        <v>3.25</v>
      </c>
      <c r="T4675" s="8"/>
      <c r="U4675" s="8">
        <v>8.15</v>
      </c>
      <c r="V4675" s="8"/>
      <c r="W4675" s="8"/>
      <c r="X4675" s="8"/>
      <c r="Y4675" s="8"/>
      <c r="Z4675" s="8"/>
      <c r="AA4675" s="8"/>
      <c r="AB4675" s="8"/>
      <c r="AC4675" s="8">
        <v>3.27</v>
      </c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11"/>
      <c r="AQ4675" s="8"/>
      <c r="AR4675" s="8"/>
      <c r="AS4675" s="8"/>
      <c r="AT4675" s="8">
        <v>513.37</v>
      </c>
      <c r="AU4675" s="8"/>
      <c r="AV4675" s="8">
        <v>20.440000000000001</v>
      </c>
      <c r="AW4675" s="8"/>
      <c r="AX4675" s="8"/>
      <c r="AY4675" s="8"/>
      <c r="AZ4675" s="8"/>
      <c r="BA4675" s="8"/>
      <c r="BB4675" s="8"/>
      <c r="BC4675" s="8"/>
      <c r="BD4675" s="8"/>
      <c r="BE4675" s="8"/>
      <c r="BF4675" s="8">
        <v>40.770000000000003</v>
      </c>
      <c r="BG4675" s="8">
        <v>39.11</v>
      </c>
      <c r="BH4675" s="9">
        <f t="shared" si="648"/>
        <v>812.37</v>
      </c>
      <c r="BI4675" s="9">
        <f t="shared" si="649"/>
        <v>2.38</v>
      </c>
      <c r="BJ4675" s="9">
        <f t="shared" si="650"/>
        <v>3.25</v>
      </c>
      <c r="BK4675" s="9">
        <f t="shared" si="651"/>
        <v>8.15</v>
      </c>
      <c r="BL4675" s="9">
        <f t="shared" si="652"/>
        <v>0</v>
      </c>
      <c r="BM4675" s="9">
        <f t="shared" si="653"/>
        <v>3.27</v>
      </c>
      <c r="BN4675" s="9">
        <f t="shared" si="654"/>
        <v>513.37</v>
      </c>
      <c r="BO4675" s="9">
        <f t="shared" si="655"/>
        <v>20.440000000000001</v>
      </c>
      <c r="BP4675" s="9">
        <f t="shared" si="656"/>
        <v>40.770000000000003</v>
      </c>
    </row>
    <row r="4676" spans="1:68">
      <c r="A4676" s="6">
        <v>45439</v>
      </c>
      <c r="B4676" s="7">
        <v>3304</v>
      </c>
      <c r="C4676" s="8"/>
      <c r="D4676" s="8">
        <v>1244.93</v>
      </c>
      <c r="E4676" s="8"/>
      <c r="F4676" s="8"/>
      <c r="G4676" s="8"/>
      <c r="H4676" s="8"/>
      <c r="I4676" s="8"/>
      <c r="J4676" s="8"/>
      <c r="K4676" s="8"/>
      <c r="L4676" s="8"/>
      <c r="M4676" s="8">
        <v>2.5099999999999998</v>
      </c>
      <c r="N4676" s="8"/>
      <c r="O4676" s="8"/>
      <c r="P4676" s="8"/>
      <c r="Q4676" s="11"/>
      <c r="R4676" s="11"/>
      <c r="S4676" s="8">
        <v>1.87</v>
      </c>
      <c r="T4676" s="8"/>
      <c r="U4676" s="8">
        <v>11.24</v>
      </c>
      <c r="V4676" s="8"/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>
        <v>12.48</v>
      </c>
      <c r="AH4676" s="8"/>
      <c r="AI4676" s="8"/>
      <c r="AJ4676" s="8"/>
      <c r="AK4676" s="8"/>
      <c r="AL4676" s="8"/>
      <c r="AM4676" s="8"/>
      <c r="AN4676" s="8"/>
      <c r="AO4676" s="8"/>
      <c r="AP4676" s="11"/>
      <c r="AQ4676" s="8"/>
      <c r="AR4676" s="8"/>
      <c r="AS4676" s="8"/>
      <c r="AT4676" s="8">
        <v>332.15</v>
      </c>
      <c r="AU4676" s="8">
        <v>166.32</v>
      </c>
      <c r="AV4676" s="8"/>
      <c r="AW4676" s="8"/>
      <c r="AX4676" s="8"/>
      <c r="AY4676" s="8"/>
      <c r="AZ4676" s="8"/>
      <c r="BA4676" s="8"/>
      <c r="BB4676" s="8"/>
      <c r="BC4676" s="8"/>
      <c r="BD4676" s="8"/>
      <c r="BE4676" s="8"/>
      <c r="BF4676" s="8"/>
      <c r="BG4676" s="8">
        <v>34.869999999999997</v>
      </c>
      <c r="BH4676" s="9">
        <f t="shared" ref="BH4676:BH4739" si="657">SUM(C4676:L4676)</f>
        <v>1244.93</v>
      </c>
      <c r="BI4676" s="9">
        <f t="shared" ref="BI4676:BI4739" si="658">SUM(M4676:R4676)</f>
        <v>2.5099999999999998</v>
      </c>
      <c r="BJ4676" s="9">
        <f t="shared" ref="BJ4676:BJ4739" si="659">SUM(S4676)</f>
        <v>1.87</v>
      </c>
      <c r="BK4676" s="9">
        <f t="shared" ref="BK4676:BK4739" si="660">SUM(T4676:Y4676)</f>
        <v>11.24</v>
      </c>
      <c r="BL4676" s="9">
        <f t="shared" ref="BL4676:BL4739" si="661">SUM(Z4676:AA4676)</f>
        <v>0</v>
      </c>
      <c r="BM4676" s="9">
        <f t="shared" ref="BM4676:BM4739" si="662">SUM(AB4676:AS4676)</f>
        <v>12.48</v>
      </c>
      <c r="BN4676" s="9">
        <f t="shared" ref="BN4676:BN4739" si="663">SUM(AT4676:AU4676)</f>
        <v>498.46999999999997</v>
      </c>
      <c r="BO4676" s="9">
        <f t="shared" ref="BO4676:BO4739" si="664">SUM(AV4676:BE4676)</f>
        <v>0</v>
      </c>
      <c r="BP4676" s="9">
        <f t="shared" ref="BP4676:BP4739" si="665">SUM(BF4676)</f>
        <v>0</v>
      </c>
    </row>
    <row r="4677" spans="1:68">
      <c r="A4677" s="6">
        <v>45439</v>
      </c>
      <c r="B4677" s="7">
        <v>3149</v>
      </c>
      <c r="C4677" s="8">
        <v>699.05</v>
      </c>
      <c r="D4677" s="8">
        <v>123.95</v>
      </c>
      <c r="E4677" s="8"/>
      <c r="F4677" s="8"/>
      <c r="G4677" s="8"/>
      <c r="H4677" s="8"/>
      <c r="I4677" s="8"/>
      <c r="J4677" s="8"/>
      <c r="K4677" s="8"/>
      <c r="L4677" s="8"/>
      <c r="M4677" s="8">
        <v>2.4700000000000002</v>
      </c>
      <c r="N4677" s="8"/>
      <c r="O4677" s="8"/>
      <c r="P4677" s="8"/>
      <c r="Q4677" s="11"/>
      <c r="R4677" s="11"/>
      <c r="S4677" s="8">
        <v>3.87</v>
      </c>
      <c r="T4677" s="8"/>
      <c r="U4677" s="8">
        <v>12.34</v>
      </c>
      <c r="V4677" s="8"/>
      <c r="W4677" s="8"/>
      <c r="X4677" s="8"/>
      <c r="Y4677" s="8"/>
      <c r="Z4677" s="8"/>
      <c r="AA4677" s="8"/>
      <c r="AB4677" s="8"/>
      <c r="AC4677" s="8">
        <v>3.29</v>
      </c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11"/>
      <c r="AQ4677" s="8"/>
      <c r="AR4677" s="8"/>
      <c r="AS4677" s="8"/>
      <c r="AT4677" s="8">
        <v>539.04999999999995</v>
      </c>
      <c r="AU4677" s="8"/>
      <c r="AV4677" s="8"/>
      <c r="AW4677" s="8">
        <v>26.58</v>
      </c>
      <c r="AX4677" s="8"/>
      <c r="AY4677" s="8"/>
      <c r="AZ4677" s="8"/>
      <c r="BA4677" s="8"/>
      <c r="BB4677" s="8"/>
      <c r="BC4677" s="8"/>
      <c r="BD4677" s="8"/>
      <c r="BE4677" s="8"/>
      <c r="BF4677" s="8">
        <v>57.68</v>
      </c>
      <c r="BG4677" s="8">
        <v>42.82</v>
      </c>
      <c r="BH4677" s="9">
        <f t="shared" si="657"/>
        <v>823</v>
      </c>
      <c r="BI4677" s="9">
        <f t="shared" si="658"/>
        <v>2.4700000000000002</v>
      </c>
      <c r="BJ4677" s="9">
        <f t="shared" si="659"/>
        <v>3.87</v>
      </c>
      <c r="BK4677" s="9">
        <f t="shared" si="660"/>
        <v>12.34</v>
      </c>
      <c r="BL4677" s="9">
        <f t="shared" si="661"/>
        <v>0</v>
      </c>
      <c r="BM4677" s="9">
        <f t="shared" si="662"/>
        <v>3.29</v>
      </c>
      <c r="BN4677" s="9">
        <f t="shared" si="663"/>
        <v>539.04999999999995</v>
      </c>
      <c r="BO4677" s="9">
        <f t="shared" si="664"/>
        <v>26.58</v>
      </c>
      <c r="BP4677" s="9">
        <f t="shared" si="665"/>
        <v>57.68</v>
      </c>
    </row>
    <row r="4678" spans="1:68">
      <c r="A4678" s="6">
        <v>45439</v>
      </c>
      <c r="B4678" s="7">
        <v>3204</v>
      </c>
      <c r="C4678" s="8"/>
      <c r="D4678" s="8">
        <v>1754.56</v>
      </c>
      <c r="E4678" s="8">
        <v>751.46</v>
      </c>
      <c r="F4678" s="8"/>
      <c r="G4678" s="8"/>
      <c r="H4678" s="8"/>
      <c r="I4678" s="8"/>
      <c r="J4678" s="8"/>
      <c r="K4678" s="8"/>
      <c r="L4678" s="8"/>
      <c r="M4678" s="8"/>
      <c r="N4678" s="8"/>
      <c r="O4678" s="8">
        <v>12.48</v>
      </c>
      <c r="P4678" s="8"/>
      <c r="Q4678" s="11"/>
      <c r="R4678" s="11"/>
      <c r="S4678" s="8">
        <v>8.51</v>
      </c>
      <c r="T4678" s="8"/>
      <c r="U4678" s="8">
        <v>27.58</v>
      </c>
      <c r="V4678" s="8"/>
      <c r="W4678" s="8"/>
      <c r="X4678" s="8"/>
      <c r="Y4678" s="8"/>
      <c r="Z4678" s="8">
        <v>376.1</v>
      </c>
      <c r="AA4678" s="8"/>
      <c r="AB4678" s="8">
        <f>708*17.88/1000</f>
        <v>12.659039999999999</v>
      </c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11"/>
      <c r="AQ4678" s="8"/>
      <c r="AR4678" s="8"/>
      <c r="AS4678" s="8"/>
      <c r="AT4678" s="8">
        <v>1104.54</v>
      </c>
      <c r="AU4678" s="8"/>
      <c r="AV4678" s="8"/>
      <c r="AW4678" s="8">
        <v>8.0299999999999994</v>
      </c>
      <c r="AX4678" s="8"/>
      <c r="AY4678" s="8"/>
      <c r="AZ4678" s="8"/>
      <c r="BA4678" s="8"/>
      <c r="BB4678" s="8"/>
      <c r="BC4678" s="8"/>
      <c r="BD4678" s="8"/>
      <c r="BE4678" s="8"/>
      <c r="BF4678" s="8"/>
      <c r="BG4678" s="8">
        <v>81.48</v>
      </c>
      <c r="BH4678" s="9">
        <f t="shared" si="657"/>
        <v>2506.02</v>
      </c>
      <c r="BI4678" s="9">
        <f t="shared" si="658"/>
        <v>12.48</v>
      </c>
      <c r="BJ4678" s="9">
        <f t="shared" si="659"/>
        <v>8.51</v>
      </c>
      <c r="BK4678" s="9">
        <f t="shared" si="660"/>
        <v>27.58</v>
      </c>
      <c r="BL4678" s="9">
        <f t="shared" si="661"/>
        <v>376.1</v>
      </c>
      <c r="BM4678" s="9">
        <f t="shared" si="662"/>
        <v>12.659039999999999</v>
      </c>
      <c r="BN4678" s="9">
        <f t="shared" si="663"/>
        <v>1104.54</v>
      </c>
      <c r="BO4678" s="9">
        <f t="shared" si="664"/>
        <v>8.0299999999999994</v>
      </c>
      <c r="BP4678" s="9">
        <f t="shared" si="665"/>
        <v>0</v>
      </c>
    </row>
    <row r="4679" spans="1:68">
      <c r="A4679" s="6">
        <v>45439</v>
      </c>
      <c r="B4679" s="7">
        <v>3200</v>
      </c>
      <c r="C4679" s="8">
        <v>2297.5500000000002</v>
      </c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>
        <v>5.76</v>
      </c>
      <c r="P4679" s="8"/>
      <c r="Q4679" s="11"/>
      <c r="R4679" s="11"/>
      <c r="S4679" s="8">
        <v>8.9700000000000006</v>
      </c>
      <c r="T4679" s="8"/>
      <c r="U4679" s="8">
        <v>34.479999999999997</v>
      </c>
      <c r="V4679" s="8"/>
      <c r="W4679" s="8"/>
      <c r="X4679" s="8"/>
      <c r="Y4679" s="8"/>
      <c r="Z4679" s="8">
        <v>482.97</v>
      </c>
      <c r="AA4679" s="8"/>
      <c r="AB4679" s="8"/>
      <c r="AC4679" s="8"/>
      <c r="AD4679" s="8"/>
      <c r="AE4679" s="8"/>
      <c r="AF4679" s="8">
        <v>115.01</v>
      </c>
      <c r="AG4679" s="8"/>
      <c r="AH4679" s="8"/>
      <c r="AI4679" s="8"/>
      <c r="AJ4679" s="8"/>
      <c r="AK4679" s="8"/>
      <c r="AL4679" s="8"/>
      <c r="AM4679" s="8"/>
      <c r="AN4679" s="8"/>
      <c r="AO4679" s="8"/>
      <c r="AP4679" s="11"/>
      <c r="AQ4679" s="8">
        <f>1508*22.98/1000</f>
        <v>34.653840000000002</v>
      </c>
      <c r="AR4679" s="8"/>
      <c r="AS4679" s="8"/>
      <c r="AT4679" s="8">
        <v>1574.39</v>
      </c>
      <c r="AU4679" s="8"/>
      <c r="AV4679" s="8"/>
      <c r="AW4679" s="8">
        <v>6.52</v>
      </c>
      <c r="AX4679" s="8"/>
      <c r="AY4679" s="8"/>
      <c r="AZ4679" s="8"/>
      <c r="BA4679" s="8"/>
      <c r="BB4679" s="8"/>
      <c r="BC4679" s="8"/>
      <c r="BD4679" s="8"/>
      <c r="BE4679" s="8"/>
      <c r="BF4679" s="8">
        <v>110.44</v>
      </c>
      <c r="BG4679" s="8">
        <v>114.08</v>
      </c>
      <c r="BH4679" s="9">
        <f t="shared" si="657"/>
        <v>2297.5500000000002</v>
      </c>
      <c r="BI4679" s="9">
        <f t="shared" si="658"/>
        <v>5.76</v>
      </c>
      <c r="BJ4679" s="9">
        <f t="shared" si="659"/>
        <v>8.9700000000000006</v>
      </c>
      <c r="BK4679" s="9">
        <f t="shared" si="660"/>
        <v>34.479999999999997</v>
      </c>
      <c r="BL4679" s="9">
        <f t="shared" si="661"/>
        <v>482.97</v>
      </c>
      <c r="BM4679" s="9">
        <f t="shared" si="662"/>
        <v>149.66383999999999</v>
      </c>
      <c r="BN4679" s="9">
        <f t="shared" si="663"/>
        <v>1574.39</v>
      </c>
      <c r="BO4679" s="9">
        <f t="shared" si="664"/>
        <v>6.52</v>
      </c>
      <c r="BP4679" s="9">
        <f t="shared" si="665"/>
        <v>110.44</v>
      </c>
    </row>
    <row r="4680" spans="1:68">
      <c r="A4680" s="6">
        <v>45439</v>
      </c>
      <c r="B4680" s="7">
        <v>3113</v>
      </c>
      <c r="C4680" s="8">
        <v>1635.9</v>
      </c>
      <c r="D4680" s="8"/>
      <c r="E4680" s="8"/>
      <c r="F4680" s="8"/>
      <c r="G4680" s="8"/>
      <c r="H4680" s="8"/>
      <c r="I4680" s="8"/>
      <c r="J4680" s="8"/>
      <c r="K4680" s="8"/>
      <c r="L4680" s="8"/>
      <c r="M4680" s="8">
        <v>1.61</v>
      </c>
      <c r="N4680" s="8">
        <v>1.64</v>
      </c>
      <c r="O4680" s="8"/>
      <c r="P4680" s="8"/>
      <c r="Q4680" s="11"/>
      <c r="R4680" s="11"/>
      <c r="S4680" s="8">
        <v>4.91</v>
      </c>
      <c r="T4680" s="8"/>
      <c r="U4680" s="8">
        <v>16.41</v>
      </c>
      <c r="V4680" s="8"/>
      <c r="W4680" s="8"/>
      <c r="X4680" s="8"/>
      <c r="Y4680" s="8"/>
      <c r="Z4680" s="8"/>
      <c r="AA4680" s="8"/>
      <c r="AB4680" s="8"/>
      <c r="AC4680" s="8">
        <v>6.55</v>
      </c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11"/>
      <c r="AQ4680" s="8"/>
      <c r="AR4680" s="8"/>
      <c r="AS4680" s="8"/>
      <c r="AT4680" s="8">
        <v>686.47</v>
      </c>
      <c r="AU4680" s="8"/>
      <c r="AV4680" s="8">
        <v>55.74</v>
      </c>
      <c r="AW4680" s="8"/>
      <c r="AX4680" s="8"/>
      <c r="AY4680" s="8"/>
      <c r="AZ4680" s="8"/>
      <c r="BA4680" s="8"/>
      <c r="BB4680" s="8"/>
      <c r="BC4680" s="8"/>
      <c r="BD4680" s="8"/>
      <c r="BE4680" s="8"/>
      <c r="BF4680" s="8"/>
      <c r="BG4680" s="8">
        <v>49.02</v>
      </c>
      <c r="BH4680" s="9">
        <f t="shared" si="657"/>
        <v>1635.9</v>
      </c>
      <c r="BI4680" s="9">
        <f t="shared" si="658"/>
        <v>3.25</v>
      </c>
      <c r="BJ4680" s="9">
        <f t="shared" si="659"/>
        <v>4.91</v>
      </c>
      <c r="BK4680" s="9">
        <f t="shared" si="660"/>
        <v>16.41</v>
      </c>
      <c r="BL4680" s="9">
        <f t="shared" si="661"/>
        <v>0</v>
      </c>
      <c r="BM4680" s="9">
        <f t="shared" si="662"/>
        <v>6.55</v>
      </c>
      <c r="BN4680" s="9">
        <f t="shared" si="663"/>
        <v>686.47</v>
      </c>
      <c r="BO4680" s="9">
        <f t="shared" si="664"/>
        <v>55.74</v>
      </c>
      <c r="BP4680" s="9">
        <f t="shared" si="665"/>
        <v>0</v>
      </c>
    </row>
    <row r="4681" spans="1:68">
      <c r="A4681" s="6">
        <v>45439</v>
      </c>
      <c r="B4681" s="7">
        <v>3116</v>
      </c>
      <c r="C4681" s="8">
        <v>1406.43</v>
      </c>
      <c r="D4681" s="8"/>
      <c r="E4681" s="8"/>
      <c r="F4681" s="8"/>
      <c r="G4681" s="8"/>
      <c r="H4681" s="8"/>
      <c r="I4681" s="8"/>
      <c r="J4681" s="8"/>
      <c r="K4681" s="8"/>
      <c r="L4681" s="8"/>
      <c r="M4681" s="8">
        <v>3.54</v>
      </c>
      <c r="N4681" s="8"/>
      <c r="O4681" s="8"/>
      <c r="P4681" s="8"/>
      <c r="Q4681" s="11"/>
      <c r="R4681" s="11"/>
      <c r="S4681" s="8">
        <v>5.64</v>
      </c>
      <c r="T4681" s="8"/>
      <c r="U4681" s="8">
        <v>20.76</v>
      </c>
      <c r="V4681" s="8"/>
      <c r="W4681" s="8"/>
      <c r="X4681" s="8"/>
      <c r="Y4681" s="8"/>
      <c r="Z4681" s="8"/>
      <c r="AA4681" s="8"/>
      <c r="AB4681" s="8"/>
      <c r="AC4681" s="8">
        <v>5.64</v>
      </c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11"/>
      <c r="AQ4681" s="8"/>
      <c r="AR4681" s="8"/>
      <c r="AS4681" s="8"/>
      <c r="AT4681" s="8">
        <v>862.21</v>
      </c>
      <c r="AU4681" s="8"/>
      <c r="AV4681" s="8"/>
      <c r="AW4681" s="8"/>
      <c r="AX4681" s="8"/>
      <c r="AY4681" s="8"/>
      <c r="AZ4681" s="8"/>
      <c r="BA4681" s="8"/>
      <c r="BB4681" s="8"/>
      <c r="BC4681" s="8"/>
      <c r="BD4681" s="8"/>
      <c r="BE4681" s="8"/>
      <c r="BF4681" s="8">
        <v>56.49</v>
      </c>
      <c r="BG4681" s="8">
        <v>64.39</v>
      </c>
      <c r="BH4681" s="9">
        <f t="shared" si="657"/>
        <v>1406.43</v>
      </c>
      <c r="BI4681" s="9">
        <f t="shared" si="658"/>
        <v>3.54</v>
      </c>
      <c r="BJ4681" s="9">
        <f t="shared" si="659"/>
        <v>5.64</v>
      </c>
      <c r="BK4681" s="9">
        <f t="shared" si="660"/>
        <v>20.76</v>
      </c>
      <c r="BL4681" s="9">
        <f t="shared" si="661"/>
        <v>0</v>
      </c>
      <c r="BM4681" s="9">
        <f t="shared" si="662"/>
        <v>5.64</v>
      </c>
      <c r="BN4681" s="9">
        <f t="shared" si="663"/>
        <v>862.21</v>
      </c>
      <c r="BO4681" s="9">
        <f t="shared" si="664"/>
        <v>0</v>
      </c>
      <c r="BP4681" s="9">
        <f t="shared" si="665"/>
        <v>56.49</v>
      </c>
    </row>
    <row r="4682" spans="1:68">
      <c r="A4682" s="6">
        <v>45439</v>
      </c>
      <c r="B4682" s="7">
        <v>3119</v>
      </c>
      <c r="C4682" s="8">
        <v>2522.66</v>
      </c>
      <c r="D4682" s="8"/>
      <c r="E4682" s="8"/>
      <c r="F4682" s="8"/>
      <c r="G4682" s="8"/>
      <c r="H4682" s="8"/>
      <c r="I4682" s="8"/>
      <c r="J4682" s="8"/>
      <c r="K4682" s="8"/>
      <c r="L4682" s="8"/>
      <c r="M4682" s="8">
        <v>8.0299999999999994</v>
      </c>
      <c r="N4682" s="8"/>
      <c r="O4682" s="8"/>
      <c r="P4682" s="8"/>
      <c r="Q4682" s="11"/>
      <c r="R4682" s="11"/>
      <c r="S4682" s="8">
        <v>11.58</v>
      </c>
      <c r="T4682" s="8"/>
      <c r="U4682" s="8">
        <v>25.25</v>
      </c>
      <c r="V4682" s="8"/>
      <c r="W4682" s="8"/>
      <c r="X4682" s="8"/>
      <c r="Y4682" s="8"/>
      <c r="Z4682" s="8"/>
      <c r="AA4682" s="8"/>
      <c r="AB4682" s="8"/>
      <c r="AC4682" s="8">
        <v>6.31</v>
      </c>
      <c r="AD4682" s="8"/>
      <c r="AE4682" s="8"/>
      <c r="AF4682" s="8"/>
      <c r="AG4682" s="8">
        <v>7.57</v>
      </c>
      <c r="AH4682" s="8"/>
      <c r="AI4682" s="8"/>
      <c r="AJ4682" s="8"/>
      <c r="AK4682" s="8"/>
      <c r="AL4682" s="8"/>
      <c r="AM4682" s="8"/>
      <c r="AN4682" s="8"/>
      <c r="AO4682" s="8"/>
      <c r="AP4682" s="11"/>
      <c r="AQ4682" s="8">
        <f>1432*10.52/1000</f>
        <v>15.064639999999999</v>
      </c>
      <c r="AR4682" s="8"/>
      <c r="AS4682" s="8"/>
      <c r="AT4682" s="8">
        <v>945.23</v>
      </c>
      <c r="AU4682" s="8"/>
      <c r="AV4682" s="8"/>
      <c r="AW4682" s="8"/>
      <c r="AX4682" s="8"/>
      <c r="AY4682" s="8"/>
      <c r="AZ4682" s="8"/>
      <c r="BA4682" s="8"/>
      <c r="BB4682" s="8"/>
      <c r="BC4682" s="8"/>
      <c r="BD4682" s="8"/>
      <c r="BE4682" s="8"/>
      <c r="BF4682" s="8">
        <v>176.26</v>
      </c>
      <c r="BG4682" s="8">
        <v>67.03</v>
      </c>
      <c r="BH4682" s="9">
        <f t="shared" si="657"/>
        <v>2522.66</v>
      </c>
      <c r="BI4682" s="9">
        <f t="shared" si="658"/>
        <v>8.0299999999999994</v>
      </c>
      <c r="BJ4682" s="9">
        <f t="shared" si="659"/>
        <v>11.58</v>
      </c>
      <c r="BK4682" s="9">
        <f t="shared" si="660"/>
        <v>25.25</v>
      </c>
      <c r="BL4682" s="9">
        <f t="shared" si="661"/>
        <v>0</v>
      </c>
      <c r="BM4682" s="9">
        <f t="shared" si="662"/>
        <v>28.94464</v>
      </c>
      <c r="BN4682" s="9">
        <f t="shared" si="663"/>
        <v>945.23</v>
      </c>
      <c r="BO4682" s="9">
        <f t="shared" si="664"/>
        <v>0</v>
      </c>
      <c r="BP4682" s="9">
        <f t="shared" si="665"/>
        <v>176.26</v>
      </c>
    </row>
    <row r="4683" spans="1:68">
      <c r="A4683" s="6">
        <v>45440</v>
      </c>
      <c r="B4683" s="7">
        <v>3145</v>
      </c>
      <c r="C4683" s="8">
        <v>1234.94</v>
      </c>
      <c r="D4683" s="8">
        <v>216.2</v>
      </c>
      <c r="E4683" s="8"/>
      <c r="F4683" s="8"/>
      <c r="G4683" s="8"/>
      <c r="H4683" s="8"/>
      <c r="I4683" s="8"/>
      <c r="J4683" s="8"/>
      <c r="K4683" s="8"/>
      <c r="L4683" s="8"/>
      <c r="M4683" s="8">
        <v>4.4800000000000004</v>
      </c>
      <c r="N4683" s="8"/>
      <c r="O4683" s="8"/>
      <c r="P4683" s="8"/>
      <c r="Q4683" s="11"/>
      <c r="R4683" s="11"/>
      <c r="S4683" s="8">
        <v>6.89</v>
      </c>
      <c r="T4683" s="8"/>
      <c r="U4683" s="8">
        <v>22.02</v>
      </c>
      <c r="V4683" s="8"/>
      <c r="W4683" s="8"/>
      <c r="X4683" s="8"/>
      <c r="Y4683" s="8"/>
      <c r="Z4683" s="8"/>
      <c r="AA4683" s="8"/>
      <c r="AB4683" s="8"/>
      <c r="AC4683" s="8">
        <v>5.86</v>
      </c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11"/>
      <c r="AQ4683" s="8"/>
      <c r="AR4683" s="8"/>
      <c r="AS4683" s="8"/>
      <c r="AT4683" s="8">
        <v>971</v>
      </c>
      <c r="AU4683" s="8"/>
      <c r="AV4683" s="8"/>
      <c r="AW4683" s="8"/>
      <c r="AX4683" s="8"/>
      <c r="AY4683" s="8"/>
      <c r="AZ4683" s="8"/>
      <c r="BA4683" s="8"/>
      <c r="BB4683" s="8"/>
      <c r="BC4683" s="8"/>
      <c r="BD4683" s="8">
        <v>3.67</v>
      </c>
      <c r="BE4683" s="8">
        <f>1373*9.77/1000</f>
        <v>13.414209999999999</v>
      </c>
      <c r="BF4683" s="8">
        <v>102.71</v>
      </c>
      <c r="BG4683" s="8">
        <v>75.97</v>
      </c>
      <c r="BH4683" s="9">
        <f t="shared" si="657"/>
        <v>1451.14</v>
      </c>
      <c r="BI4683" s="9">
        <f t="shared" si="658"/>
        <v>4.4800000000000004</v>
      </c>
      <c r="BJ4683" s="9">
        <f t="shared" si="659"/>
        <v>6.89</v>
      </c>
      <c r="BK4683" s="9">
        <f t="shared" si="660"/>
        <v>22.02</v>
      </c>
      <c r="BL4683" s="9">
        <f t="shared" si="661"/>
        <v>0</v>
      </c>
      <c r="BM4683" s="9">
        <f t="shared" si="662"/>
        <v>5.86</v>
      </c>
      <c r="BN4683" s="9">
        <f t="shared" si="663"/>
        <v>971</v>
      </c>
      <c r="BO4683" s="9">
        <f t="shared" si="664"/>
        <v>17.084209999999999</v>
      </c>
      <c r="BP4683" s="9">
        <f t="shared" si="665"/>
        <v>102.71</v>
      </c>
    </row>
    <row r="4684" spans="1:68">
      <c r="A4684" s="6">
        <v>45440</v>
      </c>
      <c r="B4684" s="7">
        <v>3106</v>
      </c>
      <c r="C4684" s="8">
        <v>8062.66</v>
      </c>
      <c r="D4684" s="8"/>
      <c r="E4684" s="8"/>
      <c r="F4684" s="8"/>
      <c r="G4684" s="8"/>
      <c r="H4684" s="8"/>
      <c r="I4684" s="8"/>
      <c r="J4684" s="8"/>
      <c r="K4684" s="8"/>
      <c r="L4684" s="8"/>
      <c r="M4684" s="8">
        <v>21.67</v>
      </c>
      <c r="N4684" s="8"/>
      <c r="O4684" s="8"/>
      <c r="P4684" s="8"/>
      <c r="Q4684" s="11"/>
      <c r="R4684" s="11"/>
      <c r="S4684" s="8">
        <v>24.24</v>
      </c>
      <c r="T4684" s="8"/>
      <c r="U4684" s="8">
        <v>102.55</v>
      </c>
      <c r="V4684" s="8"/>
      <c r="W4684" s="8"/>
      <c r="X4684" s="8"/>
      <c r="Y4684" s="8"/>
      <c r="Z4684" s="8"/>
      <c r="AA4684" s="8"/>
      <c r="AB4684" s="8"/>
      <c r="AC4684" s="8">
        <v>20.16</v>
      </c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11"/>
      <c r="AQ4684" s="8"/>
      <c r="AR4684" s="8"/>
      <c r="AS4684" s="8"/>
      <c r="AT4684" s="8">
        <v>4596.49</v>
      </c>
      <c r="AU4684" s="8"/>
      <c r="AV4684" s="8"/>
      <c r="AW4684" s="8"/>
      <c r="AX4684" s="8">
        <v>10.09</v>
      </c>
      <c r="AY4684" s="8"/>
      <c r="AZ4684" s="8"/>
      <c r="BA4684" s="8"/>
      <c r="BB4684" s="8"/>
      <c r="BC4684" s="8"/>
      <c r="BD4684" s="8"/>
      <c r="BE4684" s="8"/>
      <c r="BF4684" s="8"/>
      <c r="BG4684" s="8">
        <v>346.29</v>
      </c>
      <c r="BH4684" s="9">
        <f t="shared" si="657"/>
        <v>8062.66</v>
      </c>
      <c r="BI4684" s="9">
        <f t="shared" si="658"/>
        <v>21.67</v>
      </c>
      <c r="BJ4684" s="9">
        <f t="shared" si="659"/>
        <v>24.24</v>
      </c>
      <c r="BK4684" s="9">
        <f t="shared" si="660"/>
        <v>102.55</v>
      </c>
      <c r="BL4684" s="9">
        <f t="shared" si="661"/>
        <v>0</v>
      </c>
      <c r="BM4684" s="9">
        <f t="shared" si="662"/>
        <v>20.16</v>
      </c>
      <c r="BN4684" s="9">
        <f t="shared" si="663"/>
        <v>4596.49</v>
      </c>
      <c r="BO4684" s="9">
        <f t="shared" si="664"/>
        <v>10.09</v>
      </c>
      <c r="BP4684" s="9">
        <f t="shared" si="665"/>
        <v>0</v>
      </c>
    </row>
    <row r="4685" spans="1:68">
      <c r="A4685" s="6">
        <v>45440</v>
      </c>
      <c r="B4685" s="7">
        <v>3022</v>
      </c>
      <c r="C4685" s="8"/>
      <c r="D4685" s="8">
        <v>590.59</v>
      </c>
      <c r="E4685" s="8"/>
      <c r="F4685" s="8"/>
      <c r="G4685" s="8"/>
      <c r="H4685" s="8"/>
      <c r="I4685" s="8">
        <v>479.5</v>
      </c>
      <c r="J4685" s="8"/>
      <c r="K4685" s="8"/>
      <c r="L4685" s="8"/>
      <c r="M4685" s="8"/>
      <c r="N4685" s="8">
        <v>5.38</v>
      </c>
      <c r="O4685" s="8"/>
      <c r="P4685" s="8"/>
      <c r="Q4685" s="11"/>
      <c r="R4685" s="11"/>
      <c r="S4685" s="8">
        <v>1.94</v>
      </c>
      <c r="T4685" s="8"/>
      <c r="U4685" s="8"/>
      <c r="V4685" s="8"/>
      <c r="W4685" s="8">
        <v>10.77</v>
      </c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>
        <v>13.94</v>
      </c>
      <c r="AN4685" s="8"/>
      <c r="AO4685" s="8"/>
      <c r="AP4685" s="11"/>
      <c r="AQ4685" s="8"/>
      <c r="AR4685" s="8"/>
      <c r="AS4685" s="8">
        <f>3883*9.78/1000</f>
        <v>37.975739999999995</v>
      </c>
      <c r="AT4685" s="8">
        <v>503.37</v>
      </c>
      <c r="AU4685" s="8"/>
      <c r="AV4685" s="8"/>
      <c r="AW4685" s="8"/>
      <c r="AX4685" s="8"/>
      <c r="AY4685" s="8"/>
      <c r="AZ4685" s="8"/>
      <c r="BA4685" s="8"/>
      <c r="BB4685" s="8"/>
      <c r="BC4685" s="8"/>
      <c r="BD4685" s="8"/>
      <c r="BE4685" s="8"/>
      <c r="BF4685" s="8"/>
      <c r="BG4685" s="8">
        <v>38.74</v>
      </c>
      <c r="BH4685" s="9">
        <f t="shared" si="657"/>
        <v>1070.0900000000001</v>
      </c>
      <c r="BI4685" s="9">
        <f t="shared" si="658"/>
        <v>5.38</v>
      </c>
      <c r="BJ4685" s="9">
        <f t="shared" si="659"/>
        <v>1.94</v>
      </c>
      <c r="BK4685" s="9">
        <f t="shared" si="660"/>
        <v>10.77</v>
      </c>
      <c r="BL4685" s="9">
        <f t="shared" si="661"/>
        <v>0</v>
      </c>
      <c r="BM4685" s="9">
        <f t="shared" si="662"/>
        <v>51.915739999999992</v>
      </c>
      <c r="BN4685" s="9">
        <f t="shared" si="663"/>
        <v>503.37</v>
      </c>
      <c r="BO4685" s="9">
        <f t="shared" si="664"/>
        <v>0</v>
      </c>
      <c r="BP4685" s="9">
        <f t="shared" si="665"/>
        <v>0</v>
      </c>
    </row>
    <row r="4686" spans="1:68">
      <c r="A4686" s="6">
        <v>45440</v>
      </c>
      <c r="B4686" s="7">
        <v>3028</v>
      </c>
      <c r="C4686" s="8"/>
      <c r="D4686" s="8">
        <v>721.25</v>
      </c>
      <c r="E4686" s="8"/>
      <c r="F4686" s="8">
        <v>665.14</v>
      </c>
      <c r="G4686" s="8"/>
      <c r="H4686" s="8"/>
      <c r="I4686" s="8">
        <v>1501.5</v>
      </c>
      <c r="J4686" s="8"/>
      <c r="K4686" s="8"/>
      <c r="L4686" s="8"/>
      <c r="M4686" s="8"/>
      <c r="N4686" s="8">
        <v>22.26</v>
      </c>
      <c r="O4686" s="8"/>
      <c r="P4686" s="8"/>
      <c r="Q4686" s="11"/>
      <c r="R4686" s="11"/>
      <c r="S4686" s="8">
        <v>4.05</v>
      </c>
      <c r="T4686" s="8"/>
      <c r="U4686" s="8"/>
      <c r="V4686" s="8"/>
      <c r="W4686" s="8">
        <v>21.7</v>
      </c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>
        <v>28.9</v>
      </c>
      <c r="AN4686" s="8">
        <f>1074*19.28/1000</f>
        <v>20.706720000000001</v>
      </c>
      <c r="AO4686" s="8"/>
      <c r="AP4686" s="11"/>
      <c r="AQ4686" s="8"/>
      <c r="AR4686" s="8"/>
      <c r="AS4686" s="8">
        <f>4990*19.28/1000</f>
        <v>96.207200000000014</v>
      </c>
      <c r="AT4686" s="8">
        <v>965.07</v>
      </c>
      <c r="AU4686" s="8"/>
      <c r="AV4686" s="8"/>
      <c r="AW4686" s="8"/>
      <c r="AX4686" s="8"/>
      <c r="AY4686" s="8"/>
      <c r="AZ4686" s="8"/>
      <c r="BA4686" s="8"/>
      <c r="BB4686" s="8"/>
      <c r="BC4686" s="8"/>
      <c r="BD4686" s="8"/>
      <c r="BE4686" s="8"/>
      <c r="BF4686" s="8"/>
      <c r="BG4686" s="8">
        <v>65.569999999999993</v>
      </c>
      <c r="BH4686" s="9">
        <f t="shared" si="657"/>
        <v>2887.89</v>
      </c>
      <c r="BI4686" s="9">
        <f t="shared" si="658"/>
        <v>22.26</v>
      </c>
      <c r="BJ4686" s="9">
        <f t="shared" si="659"/>
        <v>4.05</v>
      </c>
      <c r="BK4686" s="9">
        <f t="shared" si="660"/>
        <v>21.7</v>
      </c>
      <c r="BL4686" s="9">
        <f t="shared" si="661"/>
        <v>0</v>
      </c>
      <c r="BM4686" s="9">
        <f t="shared" si="662"/>
        <v>145.81392</v>
      </c>
      <c r="BN4686" s="9">
        <f t="shared" si="663"/>
        <v>965.07</v>
      </c>
      <c r="BO4686" s="9">
        <f t="shared" si="664"/>
        <v>0</v>
      </c>
      <c r="BP4686" s="9">
        <f t="shared" si="665"/>
        <v>0</v>
      </c>
    </row>
    <row r="4687" spans="1:68">
      <c r="A4687" s="6">
        <v>45440</v>
      </c>
      <c r="B4687" s="7">
        <v>3200</v>
      </c>
      <c r="C4687" s="8">
        <v>1208.75</v>
      </c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>
        <v>3.06</v>
      </c>
      <c r="P4687" s="8"/>
      <c r="Q4687" s="11"/>
      <c r="R4687" s="11"/>
      <c r="S4687" s="8">
        <v>4.79</v>
      </c>
      <c r="T4687" s="8"/>
      <c r="U4687" s="8">
        <v>18.36</v>
      </c>
      <c r="V4687" s="8"/>
      <c r="W4687" s="8"/>
      <c r="X4687" s="8"/>
      <c r="Y4687" s="8"/>
      <c r="Z4687" s="8">
        <v>257.24</v>
      </c>
      <c r="AA4687" s="8"/>
      <c r="AB4687" s="8"/>
      <c r="AC4687" s="8"/>
      <c r="AD4687" s="8"/>
      <c r="AE4687" s="8"/>
      <c r="AF4687" s="8">
        <v>60.96</v>
      </c>
      <c r="AG4687" s="8"/>
      <c r="AH4687" s="8"/>
      <c r="AI4687" s="8"/>
      <c r="AJ4687" s="8"/>
      <c r="AK4687" s="8"/>
      <c r="AL4687" s="8"/>
      <c r="AM4687" s="8"/>
      <c r="AN4687" s="8"/>
      <c r="AO4687" s="8"/>
      <c r="AP4687" s="11"/>
      <c r="AQ4687" s="8">
        <f>1531*12.25/1000</f>
        <v>18.754750000000001</v>
      </c>
      <c r="AR4687" s="8"/>
      <c r="AS4687" s="8"/>
      <c r="AT4687" s="8">
        <v>837.15</v>
      </c>
      <c r="AU4687" s="8"/>
      <c r="AV4687" s="8"/>
      <c r="AW4687" s="8">
        <v>3.49</v>
      </c>
      <c r="AX4687" s="8"/>
      <c r="AY4687" s="8"/>
      <c r="AZ4687" s="8"/>
      <c r="BA4687" s="8"/>
      <c r="BB4687" s="8"/>
      <c r="BC4687" s="8"/>
      <c r="BD4687" s="8"/>
      <c r="BE4687" s="8"/>
      <c r="BF4687" s="8">
        <v>58.85</v>
      </c>
      <c r="BG4687" s="8">
        <v>60.54</v>
      </c>
      <c r="BH4687" s="9">
        <f t="shared" si="657"/>
        <v>1208.75</v>
      </c>
      <c r="BI4687" s="9">
        <f t="shared" si="658"/>
        <v>3.06</v>
      </c>
      <c r="BJ4687" s="9">
        <f t="shared" si="659"/>
        <v>4.79</v>
      </c>
      <c r="BK4687" s="9">
        <f t="shared" si="660"/>
        <v>18.36</v>
      </c>
      <c r="BL4687" s="9">
        <f t="shared" si="661"/>
        <v>257.24</v>
      </c>
      <c r="BM4687" s="9">
        <f t="shared" si="662"/>
        <v>79.714750000000009</v>
      </c>
      <c r="BN4687" s="9">
        <f t="shared" si="663"/>
        <v>837.15</v>
      </c>
      <c r="BO4687" s="9">
        <f t="shared" si="664"/>
        <v>3.49</v>
      </c>
      <c r="BP4687" s="9">
        <f t="shared" si="665"/>
        <v>58.85</v>
      </c>
    </row>
    <row r="4688" spans="1:68">
      <c r="A4688" s="6">
        <v>45441</v>
      </c>
      <c r="B4688" s="7">
        <v>3602</v>
      </c>
      <c r="C4688" s="8">
        <f>41.74+558.06</f>
        <v>599.79999999999995</v>
      </c>
      <c r="D4688" s="8"/>
      <c r="E4688" s="8"/>
      <c r="F4688" s="8"/>
      <c r="G4688" s="8">
        <f>62.59+835.92</f>
        <v>898.51</v>
      </c>
      <c r="H4688" s="8"/>
      <c r="I4688" s="8"/>
      <c r="J4688" s="8"/>
      <c r="K4688" s="8"/>
      <c r="L4688" s="8"/>
      <c r="M4688" s="8">
        <f>0.11+1.66</f>
        <v>1.77</v>
      </c>
      <c r="N4688" s="8"/>
      <c r="O4688" s="8"/>
      <c r="P4688" s="8"/>
      <c r="Q4688" s="11"/>
      <c r="R4688" s="11"/>
      <c r="S4688" s="8">
        <f>0.44+5.8</f>
        <v>6.24</v>
      </c>
      <c r="T4688" s="8"/>
      <c r="U4688" s="8">
        <f>0.85+11.16</f>
        <v>12.01</v>
      </c>
      <c r="V4688" s="8">
        <f>861*17.13/1000</f>
        <v>14.748929999999998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11"/>
      <c r="AQ4688" s="8"/>
      <c r="AR4688" s="8"/>
      <c r="AS4688" s="8"/>
      <c r="AT4688" s="8">
        <f>42.36+562.43</f>
        <v>604.79</v>
      </c>
      <c r="AU4688" s="8"/>
      <c r="AV4688" s="8"/>
      <c r="AW4688" s="8">
        <f>2.72+36.04</f>
        <v>38.76</v>
      </c>
      <c r="AX4688" s="8"/>
      <c r="AY4688" s="8"/>
      <c r="AZ4688" s="8"/>
      <c r="BA4688" s="8"/>
      <c r="BB4688" s="8"/>
      <c r="BC4688" s="8"/>
      <c r="BD4688" s="8"/>
      <c r="BE4688" s="8"/>
      <c r="BF4688" s="8">
        <f>3.41+44.66</f>
        <v>48.069999999999993</v>
      </c>
      <c r="BG4688" s="8">
        <f>3.19+41.81</f>
        <v>45</v>
      </c>
      <c r="BH4688" s="9">
        <f t="shared" si="657"/>
        <v>1498.31</v>
      </c>
      <c r="BI4688" s="9">
        <f t="shared" si="658"/>
        <v>1.77</v>
      </c>
      <c r="BJ4688" s="9">
        <f t="shared" si="659"/>
        <v>6.24</v>
      </c>
      <c r="BK4688" s="9">
        <f t="shared" si="660"/>
        <v>26.758929999999999</v>
      </c>
      <c r="BL4688" s="9">
        <f t="shared" si="661"/>
        <v>0</v>
      </c>
      <c r="BM4688" s="9">
        <f t="shared" si="662"/>
        <v>0</v>
      </c>
      <c r="BN4688" s="9">
        <f t="shared" si="663"/>
        <v>604.79</v>
      </c>
      <c r="BO4688" s="9">
        <f t="shared" si="664"/>
        <v>38.76</v>
      </c>
      <c r="BP4688" s="9">
        <f t="shared" si="665"/>
        <v>48.069999999999993</v>
      </c>
    </row>
    <row r="4689" spans="1:68">
      <c r="A4689" s="6">
        <v>45441</v>
      </c>
      <c r="B4689" s="7">
        <v>3601</v>
      </c>
      <c r="C4689" s="8">
        <v>554.70000000000005</v>
      </c>
      <c r="D4689" s="8"/>
      <c r="E4689" s="8"/>
      <c r="F4689" s="8"/>
      <c r="G4689" s="8">
        <v>830.35</v>
      </c>
      <c r="H4689" s="8"/>
      <c r="I4689" s="8"/>
      <c r="J4689" s="8"/>
      <c r="K4689" s="8"/>
      <c r="L4689" s="8"/>
      <c r="M4689" s="8">
        <v>1.65</v>
      </c>
      <c r="N4689" s="8"/>
      <c r="O4689" s="8"/>
      <c r="P4689" s="8"/>
      <c r="Q4689" s="11"/>
      <c r="R4689" s="11"/>
      <c r="S4689" s="8">
        <v>6.44</v>
      </c>
      <c r="T4689" s="8"/>
      <c r="U4689" s="8">
        <v>8.3000000000000007</v>
      </c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11"/>
      <c r="AQ4689" s="8"/>
      <c r="AR4689" s="8"/>
      <c r="AS4689" s="8"/>
      <c r="AT4689" s="8">
        <v>677.7</v>
      </c>
      <c r="AU4689" s="8"/>
      <c r="AV4689" s="8"/>
      <c r="AW4689" s="8">
        <v>42.08</v>
      </c>
      <c r="AX4689" s="8"/>
      <c r="AY4689" s="8"/>
      <c r="AZ4689" s="8"/>
      <c r="BA4689" s="8"/>
      <c r="BB4689" s="8"/>
      <c r="BC4689" s="8"/>
      <c r="BD4689" s="8"/>
      <c r="BE4689" s="8"/>
      <c r="BF4689" s="8">
        <v>77.489999999999995</v>
      </c>
      <c r="BG4689" s="8">
        <v>49.34</v>
      </c>
      <c r="BH4689" s="9">
        <f t="shared" si="657"/>
        <v>1385.0500000000002</v>
      </c>
      <c r="BI4689" s="9">
        <f t="shared" si="658"/>
        <v>1.65</v>
      </c>
      <c r="BJ4689" s="9">
        <f t="shared" si="659"/>
        <v>6.44</v>
      </c>
      <c r="BK4689" s="9">
        <f t="shared" si="660"/>
        <v>8.3000000000000007</v>
      </c>
      <c r="BL4689" s="9">
        <f t="shared" si="661"/>
        <v>0</v>
      </c>
      <c r="BM4689" s="9">
        <f t="shared" si="662"/>
        <v>0</v>
      </c>
      <c r="BN4689" s="9">
        <f t="shared" si="663"/>
        <v>677.7</v>
      </c>
      <c r="BO4689" s="9">
        <f t="shared" si="664"/>
        <v>42.08</v>
      </c>
      <c r="BP4689" s="9">
        <f t="shared" si="665"/>
        <v>77.489999999999995</v>
      </c>
    </row>
    <row r="4690" spans="1:68">
      <c r="A4690" s="6">
        <v>45441</v>
      </c>
      <c r="B4690" s="7">
        <v>3117</v>
      </c>
      <c r="C4690" s="8">
        <v>808.45</v>
      </c>
      <c r="D4690" s="8"/>
      <c r="E4690" s="8"/>
      <c r="F4690" s="8"/>
      <c r="G4690" s="8"/>
      <c r="H4690" s="8"/>
      <c r="I4690" s="8"/>
      <c r="J4690" s="8"/>
      <c r="K4690" s="8"/>
      <c r="L4690" s="8"/>
      <c r="M4690" s="8">
        <v>2.35</v>
      </c>
      <c r="N4690" s="8"/>
      <c r="O4690" s="8"/>
      <c r="P4690" s="8"/>
      <c r="Q4690" s="11"/>
      <c r="R4690" s="11"/>
      <c r="S4690" s="8">
        <v>3.24</v>
      </c>
      <c r="T4690" s="8"/>
      <c r="U4690" s="8">
        <v>8.09</v>
      </c>
      <c r="V4690" s="8"/>
      <c r="W4690" s="8"/>
      <c r="X4690" s="8"/>
      <c r="Y4690" s="8"/>
      <c r="Z4690" s="8"/>
      <c r="AA4690" s="8"/>
      <c r="AB4690" s="8"/>
      <c r="AC4690" s="8">
        <v>3.23</v>
      </c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11"/>
      <c r="AQ4690" s="8"/>
      <c r="AR4690" s="8"/>
      <c r="AS4690" s="8"/>
      <c r="AT4690" s="8">
        <v>510.13</v>
      </c>
      <c r="AU4690" s="8"/>
      <c r="AV4690" s="8">
        <v>20.3</v>
      </c>
      <c r="AW4690" s="8"/>
      <c r="AX4690" s="8"/>
      <c r="AY4690" s="8"/>
      <c r="AZ4690" s="8"/>
      <c r="BA4690" s="8"/>
      <c r="BB4690" s="8"/>
      <c r="BC4690" s="8"/>
      <c r="BD4690" s="8"/>
      <c r="BE4690" s="8"/>
      <c r="BF4690" s="8">
        <v>40.47</v>
      </c>
      <c r="BG4690" s="8">
        <v>38.909999999999997</v>
      </c>
      <c r="BH4690" s="9">
        <f t="shared" si="657"/>
        <v>808.45</v>
      </c>
      <c r="BI4690" s="9">
        <f t="shared" si="658"/>
        <v>2.35</v>
      </c>
      <c r="BJ4690" s="9">
        <f t="shared" si="659"/>
        <v>3.24</v>
      </c>
      <c r="BK4690" s="9">
        <f t="shared" si="660"/>
        <v>8.09</v>
      </c>
      <c r="BL4690" s="9">
        <f t="shared" si="661"/>
        <v>0</v>
      </c>
      <c r="BM4690" s="9">
        <f t="shared" si="662"/>
        <v>3.23</v>
      </c>
      <c r="BN4690" s="9">
        <f t="shared" si="663"/>
        <v>510.13</v>
      </c>
      <c r="BO4690" s="9">
        <f t="shared" si="664"/>
        <v>20.3</v>
      </c>
      <c r="BP4690" s="9">
        <f t="shared" si="665"/>
        <v>40.47</v>
      </c>
    </row>
    <row r="4691" spans="1:68">
      <c r="A4691" s="6">
        <v>45441</v>
      </c>
      <c r="B4691" s="7">
        <v>3139</v>
      </c>
      <c r="C4691" s="8">
        <v>1081.0999999999999</v>
      </c>
      <c r="D4691" s="8"/>
      <c r="E4691" s="8"/>
      <c r="F4691" s="8"/>
      <c r="G4691" s="8"/>
      <c r="H4691" s="8"/>
      <c r="I4691" s="8"/>
      <c r="J4691" s="8"/>
      <c r="K4691" s="8"/>
      <c r="L4691" s="8"/>
      <c r="M4691" s="8">
        <v>2.54</v>
      </c>
      <c r="N4691" s="8"/>
      <c r="O4691" s="8"/>
      <c r="P4691" s="8"/>
      <c r="Q4691" s="11"/>
      <c r="R4691" s="11"/>
      <c r="S4691" s="8">
        <v>4.79</v>
      </c>
      <c r="T4691" s="8"/>
      <c r="U4691" s="8">
        <v>15.96</v>
      </c>
      <c r="V4691" s="8"/>
      <c r="W4691" s="8"/>
      <c r="X4691" s="8"/>
      <c r="Y4691" s="8"/>
      <c r="Z4691" s="8"/>
      <c r="AA4691" s="8"/>
      <c r="AB4691" s="8"/>
      <c r="AC4691" s="8">
        <v>5.32</v>
      </c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11"/>
      <c r="AQ4691" s="8"/>
      <c r="AR4691" s="8"/>
      <c r="AS4691" s="8"/>
      <c r="AT4691" s="8">
        <v>787.53</v>
      </c>
      <c r="AU4691" s="8"/>
      <c r="AV4691" s="8">
        <v>26.64</v>
      </c>
      <c r="AW4691" s="8"/>
      <c r="AX4691" s="8"/>
      <c r="AY4691" s="8"/>
      <c r="AZ4691" s="8"/>
      <c r="BA4691" s="8"/>
      <c r="BB4691" s="8"/>
      <c r="BC4691" s="8"/>
      <c r="BD4691" s="8"/>
      <c r="BE4691" s="8"/>
      <c r="BF4691" s="8"/>
      <c r="BG4691" s="8">
        <v>57.22</v>
      </c>
      <c r="BH4691" s="9">
        <f t="shared" si="657"/>
        <v>1081.0999999999999</v>
      </c>
      <c r="BI4691" s="9">
        <f t="shared" si="658"/>
        <v>2.54</v>
      </c>
      <c r="BJ4691" s="9">
        <f t="shared" si="659"/>
        <v>4.79</v>
      </c>
      <c r="BK4691" s="9">
        <f t="shared" si="660"/>
        <v>15.96</v>
      </c>
      <c r="BL4691" s="9">
        <f t="shared" si="661"/>
        <v>0</v>
      </c>
      <c r="BM4691" s="9">
        <f t="shared" si="662"/>
        <v>5.32</v>
      </c>
      <c r="BN4691" s="9">
        <f t="shared" si="663"/>
        <v>787.53</v>
      </c>
      <c r="BO4691" s="9">
        <f t="shared" si="664"/>
        <v>26.64</v>
      </c>
      <c r="BP4691" s="9">
        <f t="shared" si="665"/>
        <v>0</v>
      </c>
    </row>
    <row r="4692" spans="1:68">
      <c r="A4692" s="6">
        <v>45441</v>
      </c>
      <c r="B4692" s="7">
        <v>3079</v>
      </c>
      <c r="C4692" s="8"/>
      <c r="D4692" s="8"/>
      <c r="E4692" s="8"/>
      <c r="F4692" s="8">
        <v>499.46</v>
      </c>
      <c r="G4692" s="8"/>
      <c r="H4692" s="8"/>
      <c r="I4692" s="8">
        <v>4040.84</v>
      </c>
      <c r="J4692" s="8"/>
      <c r="K4692" s="8"/>
      <c r="L4692" s="8"/>
      <c r="M4692" s="8"/>
      <c r="N4692" s="8">
        <v>33.64</v>
      </c>
      <c r="O4692" s="8"/>
      <c r="P4692" s="8"/>
      <c r="Q4692" s="11"/>
      <c r="R4692" s="11"/>
      <c r="S4692" s="8">
        <v>1.81</v>
      </c>
      <c r="T4692" s="8"/>
      <c r="U4692" s="8"/>
      <c r="V4692" s="8"/>
      <c r="W4692" s="8">
        <v>45.46</v>
      </c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>
        <v>18.03</v>
      </c>
      <c r="AN4692" s="8">
        <f>1742*26.72/1000</f>
        <v>46.546239999999997</v>
      </c>
      <c r="AO4692" s="8"/>
      <c r="AP4692" s="11"/>
      <c r="AQ4692" s="8"/>
      <c r="AR4692" s="8">
        <f>4312*26.72/1000</f>
        <v>115.21664</v>
      </c>
      <c r="AS4692" s="8"/>
      <c r="AT4692" s="8">
        <v>1752.13</v>
      </c>
      <c r="AU4692" s="8"/>
      <c r="AV4692" s="8"/>
      <c r="AW4692" s="8"/>
      <c r="AX4692" s="8"/>
      <c r="AY4692" s="8"/>
      <c r="AZ4692" s="8"/>
      <c r="BA4692" s="8"/>
      <c r="BB4692" s="8"/>
      <c r="BC4692" s="8"/>
      <c r="BD4692" s="8"/>
      <c r="BE4692" s="8"/>
      <c r="BF4692" s="8"/>
      <c r="BG4692" s="8">
        <v>127.33</v>
      </c>
      <c r="BH4692" s="9">
        <f t="shared" si="657"/>
        <v>4540.3</v>
      </c>
      <c r="BI4692" s="9">
        <f t="shared" si="658"/>
        <v>33.64</v>
      </c>
      <c r="BJ4692" s="9">
        <f t="shared" si="659"/>
        <v>1.81</v>
      </c>
      <c r="BK4692" s="9">
        <f t="shared" si="660"/>
        <v>45.46</v>
      </c>
      <c r="BL4692" s="9">
        <f t="shared" si="661"/>
        <v>0</v>
      </c>
      <c r="BM4692" s="9">
        <f t="shared" si="662"/>
        <v>179.79288</v>
      </c>
      <c r="BN4692" s="9">
        <f t="shared" si="663"/>
        <v>1752.13</v>
      </c>
      <c r="BO4692" s="9">
        <f t="shared" si="664"/>
        <v>0</v>
      </c>
      <c r="BP4692" s="9">
        <f t="shared" si="665"/>
        <v>0</v>
      </c>
    </row>
    <row r="4693" spans="1:68">
      <c r="A4693" s="6">
        <v>45441</v>
      </c>
      <c r="B4693" s="7">
        <v>3203</v>
      </c>
      <c r="C4693" s="8">
        <v>1674.38</v>
      </c>
      <c r="D4693" s="8"/>
      <c r="E4693" s="8">
        <v>719.04</v>
      </c>
      <c r="F4693" s="8"/>
      <c r="G4693" s="8"/>
      <c r="H4693" s="8"/>
      <c r="I4693" s="8"/>
      <c r="J4693" s="8"/>
      <c r="K4693" s="8"/>
      <c r="L4693" s="8"/>
      <c r="M4693" s="8"/>
      <c r="N4693" s="8"/>
      <c r="O4693" s="8">
        <v>7.19</v>
      </c>
      <c r="P4693" s="8"/>
      <c r="Q4693" s="11"/>
      <c r="R4693" s="11"/>
      <c r="S4693" s="8">
        <v>9.82</v>
      </c>
      <c r="T4693" s="8"/>
      <c r="U4693" s="8">
        <v>29.67</v>
      </c>
      <c r="V4693" s="8"/>
      <c r="W4693" s="8"/>
      <c r="X4693" s="8"/>
      <c r="Y4693" s="8"/>
      <c r="Z4693" s="8">
        <v>376.95</v>
      </c>
      <c r="AA4693" s="8">
        <f>10412*28.15/1000</f>
        <v>293.09780000000001</v>
      </c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11"/>
      <c r="AQ4693" s="8"/>
      <c r="AR4693" s="8"/>
      <c r="AS4693" s="8"/>
      <c r="AT4693" s="8">
        <v>894.24</v>
      </c>
      <c r="AU4693" s="8">
        <v>446.82</v>
      </c>
      <c r="AV4693" s="8"/>
      <c r="AW4693" s="8"/>
      <c r="AX4693" s="8"/>
      <c r="AY4693" s="8"/>
      <c r="AZ4693" s="8"/>
      <c r="BA4693" s="8"/>
      <c r="BB4693" s="8"/>
      <c r="BC4693" s="8">
        <v>6.22</v>
      </c>
      <c r="BD4693" s="8"/>
      <c r="BE4693" s="8"/>
      <c r="BF4693" s="8"/>
      <c r="BG4693" s="8">
        <v>86.83</v>
      </c>
      <c r="BH4693" s="9">
        <f t="shared" si="657"/>
        <v>2393.42</v>
      </c>
      <c r="BI4693" s="9">
        <f t="shared" si="658"/>
        <v>7.19</v>
      </c>
      <c r="BJ4693" s="9">
        <f t="shared" si="659"/>
        <v>9.82</v>
      </c>
      <c r="BK4693" s="9">
        <f t="shared" si="660"/>
        <v>29.67</v>
      </c>
      <c r="BL4693" s="9">
        <f t="shared" si="661"/>
        <v>670.04780000000005</v>
      </c>
      <c r="BM4693" s="9">
        <f t="shared" si="662"/>
        <v>0</v>
      </c>
      <c r="BN4693" s="9">
        <f t="shared" si="663"/>
        <v>1341.06</v>
      </c>
      <c r="BO4693" s="9">
        <f t="shared" si="664"/>
        <v>6.22</v>
      </c>
      <c r="BP4693" s="9">
        <f t="shared" si="665"/>
        <v>0</v>
      </c>
    </row>
    <row r="4694" spans="1:68">
      <c r="A4694" s="6">
        <v>45441</v>
      </c>
      <c r="B4694" s="7">
        <v>3200</v>
      </c>
      <c r="C4694" s="8">
        <v>2319.23</v>
      </c>
      <c r="D4694" s="8"/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>
        <v>5.78</v>
      </c>
      <c r="P4694" s="8"/>
      <c r="Q4694" s="11"/>
      <c r="R4694" s="11"/>
      <c r="S4694" s="8">
        <v>9.08</v>
      </c>
      <c r="T4694" s="8"/>
      <c r="U4694" s="8">
        <v>34.83</v>
      </c>
      <c r="V4694" s="8"/>
      <c r="W4694" s="8"/>
      <c r="X4694" s="8"/>
      <c r="Y4694" s="8"/>
      <c r="Z4694" s="8">
        <v>488.15</v>
      </c>
      <c r="AA4694" s="8"/>
      <c r="AB4694" s="8"/>
      <c r="AC4694" s="8"/>
      <c r="AD4694" s="8"/>
      <c r="AE4694" s="8"/>
      <c r="AF4694" s="8">
        <v>114.51</v>
      </c>
      <c r="AG4694" s="8"/>
      <c r="AH4694" s="8"/>
      <c r="AI4694" s="8"/>
      <c r="AJ4694" s="8"/>
      <c r="AK4694" s="8"/>
      <c r="AL4694" s="8"/>
      <c r="AM4694" s="8"/>
      <c r="AN4694" s="8"/>
      <c r="AO4694" s="8"/>
      <c r="AP4694" s="11"/>
      <c r="AQ4694" s="8">
        <f>1524*23.23/1000</f>
        <v>35.402520000000003</v>
      </c>
      <c r="AR4694" s="8"/>
      <c r="AS4694" s="8"/>
      <c r="AT4694" s="8">
        <v>1590.67</v>
      </c>
      <c r="AU4694" s="8"/>
      <c r="AV4694" s="8"/>
      <c r="AW4694" s="8">
        <v>6.65</v>
      </c>
      <c r="AX4694" s="8"/>
      <c r="AY4694" s="8"/>
      <c r="AZ4694" s="8"/>
      <c r="BA4694" s="8"/>
      <c r="BB4694" s="8"/>
      <c r="BC4694" s="8"/>
      <c r="BD4694" s="8"/>
      <c r="BE4694" s="8"/>
      <c r="BF4694" s="8">
        <v>111.51</v>
      </c>
      <c r="BG4694" s="8">
        <v>114.92</v>
      </c>
      <c r="BH4694" s="9">
        <f t="shared" si="657"/>
        <v>2319.23</v>
      </c>
      <c r="BI4694" s="9">
        <f t="shared" si="658"/>
        <v>5.78</v>
      </c>
      <c r="BJ4694" s="9">
        <f t="shared" si="659"/>
        <v>9.08</v>
      </c>
      <c r="BK4694" s="9">
        <f t="shared" si="660"/>
        <v>34.83</v>
      </c>
      <c r="BL4694" s="9">
        <f t="shared" si="661"/>
        <v>488.15</v>
      </c>
      <c r="BM4694" s="9">
        <f t="shared" si="662"/>
        <v>149.91252</v>
      </c>
      <c r="BN4694" s="9">
        <f t="shared" si="663"/>
        <v>1590.67</v>
      </c>
      <c r="BO4694" s="9">
        <f t="shared" si="664"/>
        <v>6.65</v>
      </c>
      <c r="BP4694" s="9">
        <f t="shared" si="665"/>
        <v>111.51</v>
      </c>
    </row>
    <row r="4695" spans="1:68">
      <c r="A4695" s="6">
        <v>45442</v>
      </c>
      <c r="B4695" s="7">
        <v>3221</v>
      </c>
      <c r="C4695" s="8">
        <v>603.92999999999995</v>
      </c>
      <c r="D4695" s="8">
        <v>101</v>
      </c>
      <c r="E4695" s="8">
        <v>303.08</v>
      </c>
      <c r="F4695" s="8"/>
      <c r="G4695" s="8"/>
      <c r="H4695" s="8"/>
      <c r="I4695" s="8"/>
      <c r="J4695" s="8"/>
      <c r="K4695" s="8"/>
      <c r="L4695" s="8"/>
      <c r="M4695" s="8"/>
      <c r="N4695" s="8"/>
      <c r="O4695" s="8">
        <v>2.0099999999999998</v>
      </c>
      <c r="P4695" s="8"/>
      <c r="Q4695" s="11"/>
      <c r="R4695" s="11"/>
      <c r="S4695" s="8">
        <v>4.5199999999999996</v>
      </c>
      <c r="T4695" s="8"/>
      <c r="U4695" s="8">
        <v>15.12</v>
      </c>
      <c r="V4695" s="8"/>
      <c r="W4695" s="8"/>
      <c r="X4695" s="8"/>
      <c r="Y4695" s="8"/>
      <c r="Z4695" s="8"/>
      <c r="AA4695" s="8"/>
      <c r="AB4695" s="8">
        <f>407*12.58/1000</f>
        <v>5.1200600000000005</v>
      </c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11"/>
      <c r="AQ4695" s="8">
        <f>1229*12.58/1000</f>
        <v>15.46082</v>
      </c>
      <c r="AR4695" s="8"/>
      <c r="AS4695" s="8"/>
      <c r="AT4695" s="8">
        <v>571.96</v>
      </c>
      <c r="AU4695" s="8"/>
      <c r="AV4695" s="8"/>
      <c r="AW4695" s="8">
        <v>34.24</v>
      </c>
      <c r="AX4695" s="8"/>
      <c r="AY4695" s="8"/>
      <c r="AZ4695" s="8"/>
      <c r="BA4695" s="8"/>
      <c r="BB4695" s="8"/>
      <c r="BC4695" s="8"/>
      <c r="BD4695" s="8"/>
      <c r="BE4695" s="8"/>
      <c r="BF4695" s="8">
        <v>45.3</v>
      </c>
      <c r="BG4695" s="8">
        <v>42.3</v>
      </c>
      <c r="BH4695" s="9">
        <f t="shared" si="657"/>
        <v>1008.01</v>
      </c>
      <c r="BI4695" s="9">
        <f t="shared" si="658"/>
        <v>2.0099999999999998</v>
      </c>
      <c r="BJ4695" s="9">
        <f t="shared" si="659"/>
        <v>4.5199999999999996</v>
      </c>
      <c r="BK4695" s="9">
        <f t="shared" si="660"/>
        <v>15.12</v>
      </c>
      <c r="BL4695" s="9">
        <f t="shared" si="661"/>
        <v>0</v>
      </c>
      <c r="BM4695" s="9">
        <f t="shared" si="662"/>
        <v>20.580880000000001</v>
      </c>
      <c r="BN4695" s="9">
        <f t="shared" si="663"/>
        <v>571.96</v>
      </c>
      <c r="BO4695" s="9">
        <f t="shared" si="664"/>
        <v>34.24</v>
      </c>
      <c r="BP4695" s="9">
        <f t="shared" si="665"/>
        <v>45.3</v>
      </c>
    </row>
    <row r="4696" spans="1:68">
      <c r="A4696" s="6">
        <v>45442</v>
      </c>
      <c r="B4696" s="7">
        <v>3204</v>
      </c>
      <c r="C4696" s="8"/>
      <c r="D4696" s="8">
        <v>1025.94</v>
      </c>
      <c r="E4696" s="8">
        <v>438.5</v>
      </c>
      <c r="F4696" s="8"/>
      <c r="G4696" s="8"/>
      <c r="H4696" s="8"/>
      <c r="I4696" s="8"/>
      <c r="J4696" s="8"/>
      <c r="K4696" s="8"/>
      <c r="L4696" s="8"/>
      <c r="M4696" s="8"/>
      <c r="N4696" s="8"/>
      <c r="O4696" s="8">
        <v>7.32</v>
      </c>
      <c r="P4696" s="8"/>
      <c r="Q4696" s="11"/>
      <c r="R4696" s="11"/>
      <c r="S4696" s="8">
        <v>4.9800000000000004</v>
      </c>
      <c r="T4696" s="8"/>
      <c r="U4696" s="8">
        <v>16.13</v>
      </c>
      <c r="V4696" s="8"/>
      <c r="W4696" s="8"/>
      <c r="X4696" s="8"/>
      <c r="Y4696" s="8"/>
      <c r="Z4696" s="8">
        <v>219.88</v>
      </c>
      <c r="AA4696" s="8"/>
      <c r="AB4696" s="8">
        <f>720*10.47/1000</f>
        <v>7.5384000000000002</v>
      </c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11"/>
      <c r="AQ4696" s="8"/>
      <c r="AR4696" s="8"/>
      <c r="AS4696" s="8"/>
      <c r="AT4696" s="8">
        <v>644.78</v>
      </c>
      <c r="AU4696" s="8"/>
      <c r="AV4696" s="8"/>
      <c r="AW4696" s="8">
        <v>4.6900000000000004</v>
      </c>
      <c r="AX4696" s="8"/>
      <c r="AY4696" s="8"/>
      <c r="AZ4696" s="8"/>
      <c r="BA4696" s="8"/>
      <c r="BB4696" s="8"/>
      <c r="BC4696" s="8"/>
      <c r="BD4696" s="8"/>
      <c r="BE4696" s="8"/>
      <c r="BF4696" s="8"/>
      <c r="BG4696" s="8">
        <v>47.64</v>
      </c>
      <c r="BH4696" s="9">
        <f t="shared" si="657"/>
        <v>1464.44</v>
      </c>
      <c r="BI4696" s="9">
        <f t="shared" si="658"/>
        <v>7.32</v>
      </c>
      <c r="BJ4696" s="9">
        <f t="shared" si="659"/>
        <v>4.9800000000000004</v>
      </c>
      <c r="BK4696" s="9">
        <f t="shared" si="660"/>
        <v>16.13</v>
      </c>
      <c r="BL4696" s="9">
        <f t="shared" si="661"/>
        <v>219.88</v>
      </c>
      <c r="BM4696" s="9">
        <f t="shared" si="662"/>
        <v>7.5384000000000002</v>
      </c>
      <c r="BN4696" s="9">
        <f t="shared" si="663"/>
        <v>644.78</v>
      </c>
      <c r="BO4696" s="9">
        <f t="shared" si="664"/>
        <v>4.6900000000000004</v>
      </c>
      <c r="BP4696" s="9">
        <f t="shared" si="665"/>
        <v>0</v>
      </c>
    </row>
    <row r="4697" spans="1:68">
      <c r="A4697" s="6">
        <v>45442</v>
      </c>
      <c r="B4697" s="7">
        <v>3102</v>
      </c>
      <c r="C4697" s="8">
        <v>807.8</v>
      </c>
      <c r="D4697" s="8"/>
      <c r="E4697" s="8"/>
      <c r="F4697" s="8"/>
      <c r="G4697" s="8"/>
      <c r="H4697" s="8"/>
      <c r="I4697" s="8"/>
      <c r="J4697" s="8"/>
      <c r="K4697" s="8"/>
      <c r="L4697" s="8"/>
      <c r="M4697" s="8">
        <v>2.17</v>
      </c>
      <c r="N4697" s="8"/>
      <c r="O4697" s="8"/>
      <c r="P4697" s="8"/>
      <c r="Q4697" s="11"/>
      <c r="R4697" s="11"/>
      <c r="S4697" s="8">
        <v>3.64</v>
      </c>
      <c r="T4697" s="8"/>
      <c r="U4697" s="8">
        <v>9.6999999999999993</v>
      </c>
      <c r="V4697" s="8"/>
      <c r="W4697" s="8"/>
      <c r="X4697" s="8"/>
      <c r="Y4697" s="8"/>
      <c r="Z4697" s="8"/>
      <c r="AA4697" s="8"/>
      <c r="AB4697" s="8"/>
      <c r="AC4697" s="8">
        <v>3.24</v>
      </c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11"/>
      <c r="AQ4697" s="8"/>
      <c r="AR4697" s="8"/>
      <c r="AS4697" s="8"/>
      <c r="AT4697" s="8">
        <v>40.06</v>
      </c>
      <c r="AU4697" s="8"/>
      <c r="AV4697" s="8"/>
      <c r="AW4697" s="8"/>
      <c r="AX4697" s="8"/>
      <c r="AY4697" s="8"/>
      <c r="AZ4697" s="8"/>
      <c r="BA4697" s="8">
        <v>18.43</v>
      </c>
      <c r="BB4697" s="8"/>
      <c r="BC4697" s="8"/>
      <c r="BD4697" s="8"/>
      <c r="BE4697" s="8"/>
      <c r="BF4697" s="8">
        <v>56.58</v>
      </c>
      <c r="BG4697" s="8">
        <v>40.06</v>
      </c>
      <c r="BH4697" s="9">
        <f t="shared" si="657"/>
        <v>807.8</v>
      </c>
      <c r="BI4697" s="9">
        <f t="shared" si="658"/>
        <v>2.17</v>
      </c>
      <c r="BJ4697" s="9">
        <f t="shared" si="659"/>
        <v>3.64</v>
      </c>
      <c r="BK4697" s="9">
        <f t="shared" si="660"/>
        <v>9.6999999999999993</v>
      </c>
      <c r="BL4697" s="9">
        <f t="shared" si="661"/>
        <v>0</v>
      </c>
      <c r="BM4697" s="9">
        <f t="shared" si="662"/>
        <v>3.24</v>
      </c>
      <c r="BN4697" s="9">
        <f t="shared" si="663"/>
        <v>40.06</v>
      </c>
      <c r="BO4697" s="9">
        <f t="shared" si="664"/>
        <v>18.43</v>
      </c>
      <c r="BP4697" s="9">
        <f t="shared" si="665"/>
        <v>56.58</v>
      </c>
    </row>
    <row r="4698" spans="1:68">
      <c r="A4698" s="6">
        <v>45442</v>
      </c>
      <c r="B4698" s="7">
        <v>3016</v>
      </c>
      <c r="C4698" s="8"/>
      <c r="D4698" s="8">
        <v>2390.1999999999998</v>
      </c>
      <c r="E4698" s="8"/>
      <c r="F4698" s="8"/>
      <c r="G4698" s="8"/>
      <c r="H4698" s="8"/>
      <c r="I4698" s="8">
        <v>2207.5700000000002</v>
      </c>
      <c r="J4698" s="8"/>
      <c r="K4698" s="8"/>
      <c r="L4698" s="8"/>
      <c r="M4698" s="8"/>
      <c r="N4698" s="8">
        <v>29.43</v>
      </c>
      <c r="O4698" s="8"/>
      <c r="P4698" s="8"/>
      <c r="Q4698" s="11"/>
      <c r="R4698" s="11"/>
      <c r="S4698" s="8">
        <v>3.21</v>
      </c>
      <c r="T4698" s="8"/>
      <c r="U4698" s="8"/>
      <c r="V4698" s="8"/>
      <c r="W4698" s="8">
        <v>46</v>
      </c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>
        <v>18.18</v>
      </c>
      <c r="AN4698" s="8">
        <f>2055*27.05/1000</f>
        <v>55.58775</v>
      </c>
      <c r="AO4698" s="8"/>
      <c r="AP4698" s="11"/>
      <c r="AQ4698" s="8"/>
      <c r="AR4698" s="8">
        <f>4309*27.05/1000</f>
        <v>116.55844999999999</v>
      </c>
      <c r="AS4698" s="8"/>
      <c r="AT4698" s="8">
        <v>1711.01</v>
      </c>
      <c r="AU4698" s="8"/>
      <c r="AV4698" s="8"/>
      <c r="AW4698" s="8"/>
      <c r="AX4698" s="8"/>
      <c r="AY4698" s="8"/>
      <c r="AZ4698" s="8"/>
      <c r="BA4698" s="8"/>
      <c r="BB4698" s="8"/>
      <c r="BC4698" s="8"/>
      <c r="BD4698" s="8"/>
      <c r="BE4698" s="8"/>
      <c r="BF4698" s="8"/>
      <c r="BG4698" s="8">
        <v>124.99</v>
      </c>
      <c r="BH4698" s="9">
        <f t="shared" si="657"/>
        <v>4597.7700000000004</v>
      </c>
      <c r="BI4698" s="9">
        <f t="shared" si="658"/>
        <v>29.43</v>
      </c>
      <c r="BJ4698" s="9">
        <f t="shared" si="659"/>
        <v>3.21</v>
      </c>
      <c r="BK4698" s="9">
        <f t="shared" si="660"/>
        <v>46</v>
      </c>
      <c r="BL4698" s="9">
        <f t="shared" si="661"/>
        <v>0</v>
      </c>
      <c r="BM4698" s="9">
        <f t="shared" si="662"/>
        <v>190.3262</v>
      </c>
      <c r="BN4698" s="9">
        <f t="shared" si="663"/>
        <v>1711.01</v>
      </c>
      <c r="BO4698" s="9">
        <f t="shared" si="664"/>
        <v>0</v>
      </c>
      <c r="BP4698" s="9">
        <f t="shared" si="665"/>
        <v>0</v>
      </c>
    </row>
    <row r="4699" spans="1:68">
      <c r="A4699" s="6">
        <v>45442</v>
      </c>
      <c r="B4699" s="7">
        <v>3157</v>
      </c>
      <c r="C4699" s="8">
        <v>371.23</v>
      </c>
      <c r="D4699" s="8">
        <v>371.89</v>
      </c>
      <c r="E4699" s="8"/>
      <c r="F4699" s="8"/>
      <c r="G4699" s="8"/>
      <c r="H4699" s="8"/>
      <c r="I4699" s="8"/>
      <c r="J4699" s="8"/>
      <c r="K4699" s="8"/>
      <c r="L4699" s="8"/>
      <c r="M4699" s="8">
        <v>2.98</v>
      </c>
      <c r="N4699" s="8"/>
      <c r="O4699" s="8"/>
      <c r="P4699" s="8"/>
      <c r="Q4699" s="11"/>
      <c r="R4699" s="11"/>
      <c r="S4699" s="8">
        <v>3.72</v>
      </c>
      <c r="T4699" s="8"/>
      <c r="U4699" s="8">
        <v>11.91</v>
      </c>
      <c r="V4699" s="8"/>
      <c r="W4699" s="8"/>
      <c r="X4699" s="8"/>
      <c r="Y4699" s="8"/>
      <c r="Z4699" s="8"/>
      <c r="AA4699" s="8"/>
      <c r="AB4699" s="8"/>
      <c r="AC4699" s="8">
        <v>2.98</v>
      </c>
      <c r="AD4699" s="8"/>
      <c r="AE4699" s="8"/>
      <c r="AF4699" s="8"/>
      <c r="AG4699" s="8">
        <v>3.73</v>
      </c>
      <c r="AH4699" s="8"/>
      <c r="AI4699" s="8"/>
      <c r="AJ4699" s="8"/>
      <c r="AK4699" s="8"/>
      <c r="AL4699" s="8"/>
      <c r="AM4699" s="8"/>
      <c r="AN4699" s="8"/>
      <c r="AO4699" s="8"/>
      <c r="AP4699" s="11"/>
      <c r="AQ4699" s="8"/>
      <c r="AR4699" s="8"/>
      <c r="AS4699" s="8"/>
      <c r="AT4699" s="8">
        <v>478.51</v>
      </c>
      <c r="AU4699" s="8"/>
      <c r="AV4699" s="8"/>
      <c r="AW4699" s="8"/>
      <c r="AX4699" s="8"/>
      <c r="AY4699" s="8"/>
      <c r="AZ4699" s="8"/>
      <c r="BA4699" s="8"/>
      <c r="BB4699" s="8"/>
      <c r="BC4699" s="8"/>
      <c r="BD4699" s="8"/>
      <c r="BE4699" s="8"/>
      <c r="BF4699" s="8">
        <v>96.75</v>
      </c>
      <c r="BG4699" s="8">
        <v>38.65</v>
      </c>
      <c r="BH4699" s="9">
        <f t="shared" si="657"/>
        <v>743.12</v>
      </c>
      <c r="BI4699" s="9">
        <f t="shared" si="658"/>
        <v>2.98</v>
      </c>
      <c r="BJ4699" s="9">
        <f t="shared" si="659"/>
        <v>3.72</v>
      </c>
      <c r="BK4699" s="9">
        <f t="shared" si="660"/>
        <v>11.91</v>
      </c>
      <c r="BL4699" s="9">
        <f t="shared" si="661"/>
        <v>0</v>
      </c>
      <c r="BM4699" s="9">
        <f t="shared" si="662"/>
        <v>6.71</v>
      </c>
      <c r="BN4699" s="9">
        <f t="shared" si="663"/>
        <v>478.51</v>
      </c>
      <c r="BO4699" s="9">
        <f t="shared" si="664"/>
        <v>0</v>
      </c>
      <c r="BP4699" s="9">
        <f t="shared" si="665"/>
        <v>96.75</v>
      </c>
    </row>
    <row r="4700" spans="1:68">
      <c r="A4700" s="6">
        <v>45443</v>
      </c>
      <c r="B4700" s="7">
        <v>3101</v>
      </c>
      <c r="C4700" s="8">
        <v>648.85</v>
      </c>
      <c r="D4700" s="8"/>
      <c r="E4700" s="8"/>
      <c r="F4700" s="8"/>
      <c r="G4700" s="8"/>
      <c r="H4700" s="8"/>
      <c r="I4700" s="8"/>
      <c r="J4700" s="8"/>
      <c r="K4700" s="8"/>
      <c r="L4700" s="8"/>
      <c r="M4700" s="8">
        <v>1.62</v>
      </c>
      <c r="N4700" s="8"/>
      <c r="O4700" s="8"/>
      <c r="P4700" s="8"/>
      <c r="Q4700" s="11"/>
      <c r="R4700" s="11"/>
      <c r="S4700" s="8">
        <v>3.77</v>
      </c>
      <c r="T4700" s="8"/>
      <c r="U4700" s="8">
        <v>10.39</v>
      </c>
      <c r="V4700" s="8"/>
      <c r="W4700" s="8"/>
      <c r="X4700" s="8"/>
      <c r="Y4700" s="8"/>
      <c r="Z4700" s="8"/>
      <c r="AA4700" s="8"/>
      <c r="AB4700" s="8"/>
      <c r="AC4700" s="8">
        <v>2.59</v>
      </c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11"/>
      <c r="AQ4700" s="8"/>
      <c r="AR4700" s="8"/>
      <c r="AS4700" s="8"/>
      <c r="AT4700" s="8">
        <v>435.87</v>
      </c>
      <c r="AU4700" s="8"/>
      <c r="AV4700" s="8"/>
      <c r="AW4700" s="8">
        <v>13.83</v>
      </c>
      <c r="AX4700" s="8"/>
      <c r="AY4700" s="8"/>
      <c r="AZ4700" s="8"/>
      <c r="BA4700" s="8"/>
      <c r="BB4700" s="8"/>
      <c r="BC4700" s="8"/>
      <c r="BD4700" s="8"/>
      <c r="BE4700" s="8"/>
      <c r="BF4700" s="8">
        <v>84.53</v>
      </c>
      <c r="BG4700" s="8">
        <v>33.409999999999997</v>
      </c>
      <c r="BH4700" s="9">
        <f t="shared" si="657"/>
        <v>648.85</v>
      </c>
      <c r="BI4700" s="9">
        <f t="shared" si="658"/>
        <v>1.62</v>
      </c>
      <c r="BJ4700" s="9">
        <f t="shared" si="659"/>
        <v>3.77</v>
      </c>
      <c r="BK4700" s="9">
        <f t="shared" si="660"/>
        <v>10.39</v>
      </c>
      <c r="BL4700" s="9">
        <f t="shared" si="661"/>
        <v>0</v>
      </c>
      <c r="BM4700" s="9">
        <f t="shared" si="662"/>
        <v>2.59</v>
      </c>
      <c r="BN4700" s="9">
        <f t="shared" si="663"/>
        <v>435.87</v>
      </c>
      <c r="BO4700" s="9">
        <f t="shared" si="664"/>
        <v>13.83</v>
      </c>
      <c r="BP4700" s="9">
        <f t="shared" si="665"/>
        <v>84.53</v>
      </c>
    </row>
    <row r="4701" spans="1:68">
      <c r="A4701" s="6">
        <v>45443</v>
      </c>
      <c r="B4701" s="7">
        <v>3602</v>
      </c>
      <c r="C4701" s="8">
        <f>24.77+571.16</f>
        <v>595.92999999999995</v>
      </c>
      <c r="D4701" s="8"/>
      <c r="E4701" s="8"/>
      <c r="F4701" s="8"/>
      <c r="G4701" s="8">
        <f>37.18+855.43</f>
        <v>892.6099999999999</v>
      </c>
      <c r="H4701" s="8"/>
      <c r="I4701" s="8"/>
      <c r="J4701" s="8"/>
      <c r="K4701" s="8"/>
      <c r="L4701" s="8"/>
      <c r="M4701" s="8">
        <f>0.08+1.73</f>
        <v>1.81</v>
      </c>
      <c r="N4701" s="8"/>
      <c r="O4701" s="8"/>
      <c r="P4701" s="8"/>
      <c r="Q4701" s="11"/>
      <c r="R4701" s="11"/>
      <c r="S4701" s="8">
        <f>0.26+5.93</f>
        <v>6.1899999999999995</v>
      </c>
      <c r="T4701" s="8"/>
      <c r="U4701" s="8">
        <f>0.5+11.42</f>
        <v>11.92</v>
      </c>
      <c r="V4701" s="8">
        <f>862*0.017</f>
        <v>14.654000000000002</v>
      </c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11"/>
      <c r="AQ4701" s="8"/>
      <c r="AR4701" s="8"/>
      <c r="AS4701" s="8"/>
      <c r="AT4701" s="8">
        <f>25.02+574.98</f>
        <v>600</v>
      </c>
      <c r="AU4701" s="8"/>
      <c r="AV4701" s="8"/>
      <c r="AW4701" s="8">
        <f>1.6+36.86</f>
        <v>38.46</v>
      </c>
      <c r="AX4701" s="8"/>
      <c r="AY4701" s="8"/>
      <c r="AZ4701" s="8"/>
      <c r="BA4701" s="8"/>
      <c r="BB4701" s="8"/>
      <c r="BC4701" s="8"/>
      <c r="BD4701" s="8"/>
      <c r="BE4701" s="8"/>
      <c r="BF4701" s="8">
        <f>1.99+45.67</f>
        <v>47.660000000000004</v>
      </c>
      <c r="BG4701" s="8">
        <f>1.88+42.93</f>
        <v>44.81</v>
      </c>
      <c r="BH4701" s="9">
        <f t="shared" si="657"/>
        <v>1488.54</v>
      </c>
      <c r="BI4701" s="9">
        <f t="shared" si="658"/>
        <v>1.81</v>
      </c>
      <c r="BJ4701" s="9">
        <f t="shared" si="659"/>
        <v>6.1899999999999995</v>
      </c>
      <c r="BK4701" s="9">
        <f t="shared" si="660"/>
        <v>26.574000000000002</v>
      </c>
      <c r="BL4701" s="9">
        <f t="shared" si="661"/>
        <v>0</v>
      </c>
      <c r="BM4701" s="9">
        <f t="shared" si="662"/>
        <v>0</v>
      </c>
      <c r="BN4701" s="9">
        <f t="shared" si="663"/>
        <v>600</v>
      </c>
      <c r="BO4701" s="9">
        <f t="shared" si="664"/>
        <v>38.46</v>
      </c>
      <c r="BP4701" s="9">
        <f t="shared" si="665"/>
        <v>47.660000000000004</v>
      </c>
    </row>
    <row r="4702" spans="1:68">
      <c r="A4702" s="6">
        <v>45443</v>
      </c>
      <c r="B4702" s="7">
        <v>3029</v>
      </c>
      <c r="C4702" s="8"/>
      <c r="D4702" s="8">
        <v>687.39</v>
      </c>
      <c r="E4702" s="8"/>
      <c r="F4702" s="8">
        <v>483.58</v>
      </c>
      <c r="G4702" s="8"/>
      <c r="H4702" s="8"/>
      <c r="I4702" s="8">
        <v>2861.09</v>
      </c>
      <c r="J4702" s="8"/>
      <c r="K4702" s="8"/>
      <c r="L4702" s="8"/>
      <c r="M4702" s="8"/>
      <c r="N4702" s="8">
        <v>32.21</v>
      </c>
      <c r="O4702" s="8"/>
      <c r="P4702" s="8"/>
      <c r="Q4702" s="11"/>
      <c r="R4702" s="11"/>
      <c r="S4702" s="8">
        <v>2.4</v>
      </c>
      <c r="T4702" s="8"/>
      <c r="U4702" s="8"/>
      <c r="V4702" s="8"/>
      <c r="W4702" s="8">
        <v>40.299999999999997</v>
      </c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>
        <v>14.02</v>
      </c>
      <c r="AN4702" s="8">
        <f>766*26.83/1000</f>
        <v>20.551779999999997</v>
      </c>
      <c r="AO4702" s="8"/>
      <c r="AP4702" s="11"/>
      <c r="AQ4702" s="8"/>
      <c r="AR4702" s="8">
        <f>4584*26.83/1000</f>
        <v>122.98871999999999</v>
      </c>
      <c r="AS4702" s="8"/>
      <c r="AT4702" s="8">
        <v>1531.8</v>
      </c>
      <c r="AU4702" s="8"/>
      <c r="AV4702" s="8"/>
      <c r="AW4702" s="8"/>
      <c r="AX4702" s="8"/>
      <c r="AY4702" s="8"/>
      <c r="AZ4702" s="8"/>
      <c r="BA4702" s="8"/>
      <c r="BB4702" s="8"/>
      <c r="BC4702" s="8"/>
      <c r="BD4702" s="8"/>
      <c r="BE4702" s="8"/>
      <c r="BF4702" s="8"/>
      <c r="BG4702" s="8">
        <v>106.59</v>
      </c>
      <c r="BH4702" s="9">
        <f t="shared" si="657"/>
        <v>4032.0600000000004</v>
      </c>
      <c r="BI4702" s="9">
        <f t="shared" si="658"/>
        <v>32.21</v>
      </c>
      <c r="BJ4702" s="9">
        <f t="shared" si="659"/>
        <v>2.4</v>
      </c>
      <c r="BK4702" s="9">
        <f t="shared" si="660"/>
        <v>40.299999999999997</v>
      </c>
      <c r="BL4702" s="9">
        <f t="shared" si="661"/>
        <v>0</v>
      </c>
      <c r="BM4702" s="9">
        <f t="shared" si="662"/>
        <v>157.56049999999999</v>
      </c>
      <c r="BN4702" s="9">
        <f t="shared" si="663"/>
        <v>1531.8</v>
      </c>
      <c r="BO4702" s="9">
        <f t="shared" si="664"/>
        <v>0</v>
      </c>
      <c r="BP4702" s="9">
        <f t="shared" si="665"/>
        <v>0</v>
      </c>
    </row>
    <row r="4703" spans="1:68">
      <c r="A4703" s="6">
        <v>45446</v>
      </c>
      <c r="B4703" s="7">
        <v>3801</v>
      </c>
      <c r="C4703" s="8">
        <v>291.87</v>
      </c>
      <c r="D4703" s="8"/>
      <c r="E4703" s="8"/>
      <c r="F4703" s="8"/>
      <c r="G4703" s="8"/>
      <c r="H4703" s="8"/>
      <c r="I4703" s="8"/>
      <c r="J4703" s="8"/>
      <c r="K4703" s="8"/>
      <c r="L4703" s="8">
        <f>42318*5.67/1000</f>
        <v>239.94306</v>
      </c>
      <c r="M4703" s="8"/>
      <c r="N4703" s="8">
        <v>0.59</v>
      </c>
      <c r="O4703" s="8"/>
      <c r="P4703" s="8"/>
      <c r="Q4703" s="11"/>
      <c r="R4703" s="11"/>
      <c r="S4703" s="8">
        <v>2.34</v>
      </c>
      <c r="T4703" s="8"/>
      <c r="U4703" s="8">
        <v>2.5499999999999998</v>
      </c>
      <c r="V4703" s="8"/>
      <c r="W4703" s="8"/>
      <c r="X4703" s="8"/>
      <c r="Y4703" s="8"/>
      <c r="Z4703" s="8">
        <v>42.52</v>
      </c>
      <c r="AA4703" s="8">
        <f>3012*5.67/1000</f>
        <v>17.078040000000001</v>
      </c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11"/>
      <c r="AQ4703" s="8">
        <f>274*5.67/1000</f>
        <v>1.55358</v>
      </c>
      <c r="AR4703" s="8"/>
      <c r="AS4703" s="8"/>
      <c r="AT4703" s="8">
        <v>207.27</v>
      </c>
      <c r="AU4703" s="8"/>
      <c r="AV4703" s="8"/>
      <c r="AW4703" s="8"/>
      <c r="AX4703" s="8"/>
      <c r="AY4703" s="8"/>
      <c r="AZ4703" s="8"/>
      <c r="BA4703" s="8"/>
      <c r="BB4703" s="8"/>
      <c r="BC4703" s="8"/>
      <c r="BD4703" s="8"/>
      <c r="BE4703" s="8"/>
      <c r="BF4703" s="8"/>
      <c r="BG4703" s="8">
        <v>15.72</v>
      </c>
      <c r="BH4703" s="9">
        <f t="shared" si="657"/>
        <v>531.81305999999995</v>
      </c>
      <c r="BI4703" s="9">
        <f t="shared" si="658"/>
        <v>0.59</v>
      </c>
      <c r="BJ4703" s="9">
        <f t="shared" si="659"/>
        <v>2.34</v>
      </c>
      <c r="BK4703" s="9">
        <f t="shared" si="660"/>
        <v>2.5499999999999998</v>
      </c>
      <c r="BL4703" s="9">
        <f t="shared" si="661"/>
        <v>59.598040000000005</v>
      </c>
      <c r="BM4703" s="9">
        <f t="shared" si="662"/>
        <v>1.55358</v>
      </c>
      <c r="BN4703" s="9">
        <f t="shared" si="663"/>
        <v>207.27</v>
      </c>
      <c r="BO4703" s="9">
        <f t="shared" si="664"/>
        <v>0</v>
      </c>
      <c r="BP4703" s="9">
        <f t="shared" si="665"/>
        <v>0</v>
      </c>
    </row>
    <row r="4704" spans="1:68">
      <c r="A4704" s="6">
        <v>45446</v>
      </c>
      <c r="B4704" s="7">
        <v>3112</v>
      </c>
      <c r="C4704" s="8">
        <v>3153.26</v>
      </c>
      <c r="D4704" s="8"/>
      <c r="E4704" s="8"/>
      <c r="F4704" s="8"/>
      <c r="G4704" s="8"/>
      <c r="H4704" s="8"/>
      <c r="I4704" s="8"/>
      <c r="J4704" s="8"/>
      <c r="K4704" s="8"/>
      <c r="L4704" s="8"/>
      <c r="M4704" s="8">
        <v>3.18</v>
      </c>
      <c r="N4704" s="8">
        <v>3.16</v>
      </c>
      <c r="O4704" s="8"/>
      <c r="P4704" s="8"/>
      <c r="Q4704" s="11"/>
      <c r="R4704" s="11"/>
      <c r="S4704" s="8">
        <v>9.48</v>
      </c>
      <c r="T4704" s="8"/>
      <c r="U4704" s="8">
        <v>31.67</v>
      </c>
      <c r="V4704" s="8"/>
      <c r="W4704" s="8"/>
      <c r="X4704" s="8"/>
      <c r="Y4704" s="8"/>
      <c r="Z4704" s="8"/>
      <c r="AA4704" s="8"/>
      <c r="AB4704" s="8"/>
      <c r="AC4704" s="8">
        <v>12.65</v>
      </c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11"/>
      <c r="AQ4704" s="8"/>
      <c r="AR4704" s="8"/>
      <c r="AS4704" s="8"/>
      <c r="AT4704" s="8">
        <v>1326.09</v>
      </c>
      <c r="AU4704" s="8"/>
      <c r="AV4704" s="8"/>
      <c r="AW4704" s="8"/>
      <c r="AX4704" s="8"/>
      <c r="AY4704" s="8"/>
      <c r="AZ4704" s="8"/>
      <c r="BA4704" s="8">
        <v>41.8</v>
      </c>
      <c r="BB4704" s="8"/>
      <c r="BC4704" s="8"/>
      <c r="BD4704" s="8"/>
      <c r="BE4704" s="8"/>
      <c r="BF4704" s="8"/>
      <c r="BG4704" s="8">
        <v>94.62</v>
      </c>
      <c r="BH4704" s="9">
        <f t="shared" si="657"/>
        <v>3153.26</v>
      </c>
      <c r="BI4704" s="9">
        <f t="shared" si="658"/>
        <v>6.34</v>
      </c>
      <c r="BJ4704" s="9">
        <f t="shared" si="659"/>
        <v>9.48</v>
      </c>
      <c r="BK4704" s="9">
        <f t="shared" si="660"/>
        <v>31.67</v>
      </c>
      <c r="BL4704" s="9">
        <f t="shared" si="661"/>
        <v>0</v>
      </c>
      <c r="BM4704" s="9">
        <f t="shared" si="662"/>
        <v>12.65</v>
      </c>
      <c r="BN4704" s="9">
        <f t="shared" si="663"/>
        <v>1326.09</v>
      </c>
      <c r="BO4704" s="9">
        <f t="shared" si="664"/>
        <v>41.8</v>
      </c>
      <c r="BP4704" s="9">
        <f t="shared" si="665"/>
        <v>0</v>
      </c>
    </row>
    <row r="4705" spans="1:68">
      <c r="A4705" s="6">
        <v>45446</v>
      </c>
      <c r="B4705" s="7">
        <v>3106</v>
      </c>
      <c r="C4705" s="8">
        <v>8033.77</v>
      </c>
      <c r="D4705" s="8"/>
      <c r="E4705" s="8"/>
      <c r="F4705" s="8"/>
      <c r="G4705" s="8"/>
      <c r="H4705" s="8"/>
      <c r="I4705" s="8"/>
      <c r="J4705" s="8"/>
      <c r="K4705" s="8"/>
      <c r="L4705" s="8"/>
      <c r="M4705" s="8">
        <v>22.49</v>
      </c>
      <c r="N4705" s="8"/>
      <c r="O4705" s="8"/>
      <c r="P4705" s="8"/>
      <c r="Q4705" s="11"/>
      <c r="R4705" s="11"/>
      <c r="S4705" s="8">
        <v>24.15</v>
      </c>
      <c r="T4705" s="8"/>
      <c r="U4705" s="8">
        <v>102.18</v>
      </c>
      <c r="V4705" s="8"/>
      <c r="W4705" s="8"/>
      <c r="X4705" s="8"/>
      <c r="Y4705" s="8"/>
      <c r="Z4705" s="8"/>
      <c r="AA4705" s="8"/>
      <c r="AB4705" s="8"/>
      <c r="AC4705" s="8">
        <v>20.09</v>
      </c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11"/>
      <c r="AQ4705" s="8"/>
      <c r="AR4705" s="8"/>
      <c r="AS4705" s="8"/>
      <c r="AT4705" s="8">
        <v>4577.04</v>
      </c>
      <c r="AU4705" s="8"/>
      <c r="AV4705" s="8"/>
      <c r="AW4705" s="8"/>
      <c r="AX4705" s="8">
        <v>10.050000000000001</v>
      </c>
      <c r="AY4705" s="8"/>
      <c r="AZ4705" s="8"/>
      <c r="BA4705" s="8"/>
      <c r="BB4705" s="8"/>
      <c r="BC4705" s="8"/>
      <c r="BD4705" s="8"/>
      <c r="BE4705" s="8"/>
      <c r="BF4705" s="8"/>
      <c r="BG4705" s="8">
        <v>345.41</v>
      </c>
      <c r="BH4705" s="9">
        <f t="shared" si="657"/>
        <v>8033.77</v>
      </c>
      <c r="BI4705" s="9">
        <f t="shared" si="658"/>
        <v>22.49</v>
      </c>
      <c r="BJ4705" s="9">
        <f t="shared" si="659"/>
        <v>24.15</v>
      </c>
      <c r="BK4705" s="9">
        <f t="shared" si="660"/>
        <v>102.18</v>
      </c>
      <c r="BL4705" s="9">
        <f t="shared" si="661"/>
        <v>0</v>
      </c>
      <c r="BM4705" s="9">
        <f t="shared" si="662"/>
        <v>20.09</v>
      </c>
      <c r="BN4705" s="9">
        <f t="shared" si="663"/>
        <v>4577.04</v>
      </c>
      <c r="BO4705" s="9">
        <f t="shared" si="664"/>
        <v>10.050000000000001</v>
      </c>
      <c r="BP4705" s="9">
        <f t="shared" si="665"/>
        <v>0</v>
      </c>
    </row>
    <row r="4706" spans="1:68">
      <c r="A4706" s="6">
        <v>45446</v>
      </c>
      <c r="B4706" s="7">
        <v>3083</v>
      </c>
      <c r="C4706" s="8"/>
      <c r="D4706" s="8">
        <v>1089.94</v>
      </c>
      <c r="E4706" s="8"/>
      <c r="F4706" s="8"/>
      <c r="G4706" s="8"/>
      <c r="H4706" s="8"/>
      <c r="I4706" s="8">
        <v>2537.9299999999998</v>
      </c>
      <c r="J4706" s="8"/>
      <c r="K4706" s="8"/>
      <c r="L4706" s="8"/>
      <c r="M4706" s="8"/>
      <c r="N4706" s="8">
        <v>23.57</v>
      </c>
      <c r="O4706" s="8"/>
      <c r="P4706" s="8"/>
      <c r="Q4706" s="11"/>
      <c r="R4706" s="11"/>
      <c r="S4706" s="8">
        <v>2.5299999999999998</v>
      </c>
      <c r="T4706" s="8"/>
      <c r="U4706" s="8"/>
      <c r="V4706" s="8"/>
      <c r="W4706" s="8">
        <v>29.01</v>
      </c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>
        <v>14.54</v>
      </c>
      <c r="AN4706" s="8">
        <f>1899*26.85/1000</f>
        <v>50.988150000000005</v>
      </c>
      <c r="AO4706" s="8"/>
      <c r="AP4706" s="11"/>
      <c r="AQ4706" s="8"/>
      <c r="AR4706" s="8">
        <f>3394*26.85/1000</f>
        <v>91.128900000000016</v>
      </c>
      <c r="AS4706" s="8"/>
      <c r="AT4706" s="8">
        <v>1704.92</v>
      </c>
      <c r="AU4706" s="8"/>
      <c r="AV4706" s="8"/>
      <c r="AW4706" s="8"/>
      <c r="AX4706" s="8"/>
      <c r="AY4706" s="8"/>
      <c r="AZ4706" s="8"/>
      <c r="BA4706" s="8"/>
      <c r="BB4706" s="8"/>
      <c r="BC4706" s="8"/>
      <c r="BD4706" s="8"/>
      <c r="BE4706" s="8"/>
      <c r="BF4706" s="8"/>
      <c r="BG4706" s="8">
        <v>135.26</v>
      </c>
      <c r="BH4706" s="9">
        <f t="shared" si="657"/>
        <v>3627.87</v>
      </c>
      <c r="BI4706" s="9">
        <f t="shared" si="658"/>
        <v>23.57</v>
      </c>
      <c r="BJ4706" s="9">
        <f t="shared" si="659"/>
        <v>2.5299999999999998</v>
      </c>
      <c r="BK4706" s="9">
        <f t="shared" si="660"/>
        <v>29.01</v>
      </c>
      <c r="BL4706" s="9">
        <f t="shared" si="661"/>
        <v>0</v>
      </c>
      <c r="BM4706" s="9">
        <f t="shared" si="662"/>
        <v>156.65705000000003</v>
      </c>
      <c r="BN4706" s="9">
        <f t="shared" si="663"/>
        <v>1704.92</v>
      </c>
      <c r="BO4706" s="9">
        <f t="shared" si="664"/>
        <v>0</v>
      </c>
      <c r="BP4706" s="9">
        <f t="shared" si="665"/>
        <v>0</v>
      </c>
    </row>
    <row r="4707" spans="1:68">
      <c r="A4707" s="6">
        <v>45446</v>
      </c>
      <c r="B4707" s="7">
        <v>3023</v>
      </c>
      <c r="C4707" s="8"/>
      <c r="D4707" s="8">
        <v>1715.17</v>
      </c>
      <c r="E4707" s="8"/>
      <c r="F4707" s="8"/>
      <c r="G4707" s="8"/>
      <c r="H4707" s="8"/>
      <c r="I4707" s="8">
        <v>924.57</v>
      </c>
      <c r="J4707" s="8"/>
      <c r="K4707" s="8"/>
      <c r="L4707" s="8"/>
      <c r="M4707" s="8"/>
      <c r="N4707" s="8">
        <v>15.05</v>
      </c>
      <c r="O4707" s="8"/>
      <c r="P4707" s="8"/>
      <c r="Q4707" s="11"/>
      <c r="R4707" s="11"/>
      <c r="S4707" s="8">
        <v>4.21</v>
      </c>
      <c r="T4707" s="8"/>
      <c r="U4707" s="8"/>
      <c r="V4707" s="8"/>
      <c r="W4707" s="8">
        <v>23.78</v>
      </c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>
        <v>26.32</v>
      </c>
      <c r="AN4707" s="8">
        <f>1021*18.2/1000</f>
        <v>18.5822</v>
      </c>
      <c r="AO4707" s="8"/>
      <c r="AP4707" s="11"/>
      <c r="AQ4707" s="8"/>
      <c r="AR4707" s="8"/>
      <c r="AS4707" s="8">
        <f>4787*18.2/1000</f>
        <v>87.12339999999999</v>
      </c>
      <c r="AT4707" s="8">
        <v>1083.32</v>
      </c>
      <c r="AU4707" s="8"/>
      <c r="AV4707" s="8"/>
      <c r="AW4707" s="8"/>
      <c r="AX4707" s="8"/>
      <c r="AY4707" s="8"/>
      <c r="AZ4707" s="8"/>
      <c r="BA4707" s="8"/>
      <c r="BB4707" s="8"/>
      <c r="BC4707" s="8"/>
      <c r="BD4707" s="8"/>
      <c r="BE4707" s="8"/>
      <c r="BF4707" s="8"/>
      <c r="BG4707" s="8">
        <v>81.81</v>
      </c>
      <c r="BH4707" s="9">
        <f t="shared" si="657"/>
        <v>2639.7400000000002</v>
      </c>
      <c r="BI4707" s="9">
        <f t="shared" si="658"/>
        <v>15.05</v>
      </c>
      <c r="BJ4707" s="9">
        <f t="shared" si="659"/>
        <v>4.21</v>
      </c>
      <c r="BK4707" s="9">
        <f t="shared" si="660"/>
        <v>23.78</v>
      </c>
      <c r="BL4707" s="9">
        <f t="shared" si="661"/>
        <v>0</v>
      </c>
      <c r="BM4707" s="9">
        <f t="shared" si="662"/>
        <v>132.0256</v>
      </c>
      <c r="BN4707" s="9">
        <f t="shared" si="663"/>
        <v>1083.32</v>
      </c>
      <c r="BO4707" s="9">
        <f t="shared" si="664"/>
        <v>0</v>
      </c>
      <c r="BP4707" s="9">
        <f t="shared" si="665"/>
        <v>0</v>
      </c>
    </row>
    <row r="4708" spans="1:68">
      <c r="A4708" s="6">
        <v>45446</v>
      </c>
      <c r="B4708" s="7">
        <v>3025</v>
      </c>
      <c r="C4708" s="8"/>
      <c r="D4708" s="8">
        <v>212.56</v>
      </c>
      <c r="E4708" s="8"/>
      <c r="F4708" s="8"/>
      <c r="G4708" s="8"/>
      <c r="H4708" s="8"/>
      <c r="I4708" s="8">
        <v>1181.54</v>
      </c>
      <c r="J4708" s="8"/>
      <c r="K4708" s="8"/>
      <c r="L4708" s="8"/>
      <c r="M4708" s="8"/>
      <c r="N4708" s="8">
        <v>7.82</v>
      </c>
      <c r="O4708" s="8"/>
      <c r="P4708" s="8"/>
      <c r="Q4708" s="11"/>
      <c r="R4708" s="11"/>
      <c r="S4708" s="8">
        <v>2.23</v>
      </c>
      <c r="T4708" s="8"/>
      <c r="U4708" s="8"/>
      <c r="V4708" s="8"/>
      <c r="W4708" s="8">
        <v>12.54</v>
      </c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>
        <v>13.91</v>
      </c>
      <c r="AN4708" s="8">
        <f>702*13.93/1000</f>
        <v>9.7788599999999999</v>
      </c>
      <c r="AO4708" s="8"/>
      <c r="AP4708" s="11"/>
      <c r="AQ4708" s="8"/>
      <c r="AR4708" s="8"/>
      <c r="AS4708" s="8">
        <f>3321*13.93/1000</f>
        <v>46.26153</v>
      </c>
      <c r="AT4708" s="8">
        <v>481.6</v>
      </c>
      <c r="AU4708" s="8"/>
      <c r="AV4708" s="8"/>
      <c r="AW4708" s="8"/>
      <c r="AX4708" s="8"/>
      <c r="AY4708" s="8"/>
      <c r="AZ4708" s="8"/>
      <c r="BA4708" s="8"/>
      <c r="BB4708" s="8"/>
      <c r="BC4708" s="8"/>
      <c r="BD4708" s="8"/>
      <c r="BE4708" s="8"/>
      <c r="BF4708" s="8"/>
      <c r="BG4708" s="8">
        <v>31.94</v>
      </c>
      <c r="BH4708" s="9">
        <f t="shared" si="657"/>
        <v>1394.1</v>
      </c>
      <c r="BI4708" s="9">
        <f t="shared" si="658"/>
        <v>7.82</v>
      </c>
      <c r="BJ4708" s="9">
        <f t="shared" si="659"/>
        <v>2.23</v>
      </c>
      <c r="BK4708" s="9">
        <f t="shared" si="660"/>
        <v>12.54</v>
      </c>
      <c r="BL4708" s="9">
        <f t="shared" si="661"/>
        <v>0</v>
      </c>
      <c r="BM4708" s="9">
        <f t="shared" si="662"/>
        <v>69.950389999999999</v>
      </c>
      <c r="BN4708" s="9">
        <f t="shared" si="663"/>
        <v>481.6</v>
      </c>
      <c r="BO4708" s="9">
        <f t="shared" si="664"/>
        <v>0</v>
      </c>
      <c r="BP4708" s="9">
        <f t="shared" si="665"/>
        <v>0</v>
      </c>
    </row>
    <row r="4709" spans="1:68">
      <c r="A4709" s="6">
        <v>45446</v>
      </c>
      <c r="B4709" s="7">
        <v>3005</v>
      </c>
      <c r="C4709" s="8">
        <v>411.44</v>
      </c>
      <c r="D4709" s="8">
        <v>275.56</v>
      </c>
      <c r="E4709" s="8"/>
      <c r="F4709" s="8"/>
      <c r="G4709" s="8"/>
      <c r="H4709" s="8"/>
      <c r="I4709" s="8"/>
      <c r="J4709" s="8"/>
      <c r="K4709" s="8"/>
      <c r="L4709" s="8"/>
      <c r="M4709" s="8"/>
      <c r="N4709" s="8">
        <v>0.68</v>
      </c>
      <c r="O4709" s="8"/>
      <c r="P4709" s="8"/>
      <c r="Q4709" s="11"/>
      <c r="R4709" s="11"/>
      <c r="S4709" s="8">
        <v>2.41</v>
      </c>
      <c r="T4709" s="8"/>
      <c r="U4709" s="8"/>
      <c r="V4709" s="8"/>
      <c r="W4709" s="8">
        <v>7.58</v>
      </c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11"/>
      <c r="AQ4709" s="8"/>
      <c r="AR4709" s="8"/>
      <c r="AS4709" s="8"/>
      <c r="AT4709" s="8">
        <v>336.65</v>
      </c>
      <c r="AU4709" s="8"/>
      <c r="AV4709" s="8"/>
      <c r="AW4709" s="8">
        <v>7.63</v>
      </c>
      <c r="AX4709" s="8"/>
      <c r="AY4709" s="8"/>
      <c r="AZ4709" s="8"/>
      <c r="BA4709" s="8"/>
      <c r="BB4709" s="8"/>
      <c r="BC4709" s="8"/>
      <c r="BD4709" s="8"/>
      <c r="BE4709" s="8"/>
      <c r="BF4709" s="8"/>
      <c r="BG4709" s="8">
        <v>25.07</v>
      </c>
      <c r="BH4709" s="9">
        <f t="shared" si="657"/>
        <v>687</v>
      </c>
      <c r="BI4709" s="9">
        <f t="shared" si="658"/>
        <v>0.68</v>
      </c>
      <c r="BJ4709" s="9">
        <f t="shared" si="659"/>
        <v>2.41</v>
      </c>
      <c r="BK4709" s="9">
        <f t="shared" si="660"/>
        <v>7.58</v>
      </c>
      <c r="BL4709" s="9">
        <f t="shared" si="661"/>
        <v>0</v>
      </c>
      <c r="BM4709" s="9">
        <f t="shared" si="662"/>
        <v>0</v>
      </c>
      <c r="BN4709" s="9">
        <f t="shared" si="663"/>
        <v>336.65</v>
      </c>
      <c r="BO4709" s="9">
        <f t="shared" si="664"/>
        <v>7.63</v>
      </c>
      <c r="BP4709" s="9">
        <f t="shared" si="665"/>
        <v>0</v>
      </c>
    </row>
    <row r="4710" spans="1:68">
      <c r="A4710" s="6">
        <v>45446</v>
      </c>
      <c r="B4710" s="7">
        <v>8355</v>
      </c>
      <c r="C4710" s="8">
        <v>2289.5500000000002</v>
      </c>
      <c r="D4710" s="8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>
        <v>5.74</v>
      </c>
      <c r="P4710" s="8"/>
      <c r="Q4710" s="11"/>
      <c r="R4710" s="11"/>
      <c r="S4710" s="8">
        <v>8.94</v>
      </c>
      <c r="T4710" s="8"/>
      <c r="U4710" s="8">
        <f>1514*22.93/1000</f>
        <v>34.71602</v>
      </c>
      <c r="V4710" s="8"/>
      <c r="W4710" s="8"/>
      <c r="X4710" s="8"/>
      <c r="Y4710" s="8"/>
      <c r="Z4710" s="8">
        <v>481.7</v>
      </c>
      <c r="AA4710" s="8"/>
      <c r="AB4710" s="8"/>
      <c r="AC4710" s="8"/>
      <c r="AD4710" s="8"/>
      <c r="AE4710" s="8"/>
      <c r="AF4710" s="8">
        <v>114.46</v>
      </c>
      <c r="AG4710" s="8"/>
      <c r="AH4710" s="8"/>
      <c r="AI4710" s="8"/>
      <c r="AJ4710" s="8"/>
      <c r="AK4710" s="8"/>
      <c r="AL4710" s="8"/>
      <c r="AM4710" s="8"/>
      <c r="AN4710" s="8"/>
      <c r="AO4710" s="8"/>
      <c r="AP4710" s="11"/>
      <c r="AQ4710" s="8">
        <f>1521*22.93/1000</f>
        <v>34.876529999999995</v>
      </c>
      <c r="AR4710" s="8"/>
      <c r="AS4710" s="8"/>
      <c r="AT4710" s="8">
        <v>1569.67</v>
      </c>
      <c r="AU4710" s="8"/>
      <c r="AV4710" s="8"/>
      <c r="AW4710" s="8">
        <f>292*22.93/1000</f>
        <v>6.6955599999999995</v>
      </c>
      <c r="AX4710" s="8"/>
      <c r="AY4710" s="8"/>
      <c r="AZ4710" s="8"/>
      <c r="BA4710" s="8"/>
      <c r="BB4710" s="8"/>
      <c r="BC4710" s="8"/>
      <c r="BD4710" s="8"/>
      <c r="BE4710" s="8"/>
      <c r="BF4710" s="8">
        <v>110.09</v>
      </c>
      <c r="BG4710" s="8">
        <v>113.41</v>
      </c>
      <c r="BH4710" s="9">
        <f t="shared" si="657"/>
        <v>2289.5500000000002</v>
      </c>
      <c r="BI4710" s="9">
        <f t="shared" si="658"/>
        <v>5.74</v>
      </c>
      <c r="BJ4710" s="9">
        <f t="shared" si="659"/>
        <v>8.94</v>
      </c>
      <c r="BK4710" s="9">
        <f t="shared" si="660"/>
        <v>34.71602</v>
      </c>
      <c r="BL4710" s="9">
        <f t="shared" si="661"/>
        <v>481.7</v>
      </c>
      <c r="BM4710" s="9">
        <f t="shared" si="662"/>
        <v>149.33652999999998</v>
      </c>
      <c r="BN4710" s="9">
        <f t="shared" si="663"/>
        <v>1569.67</v>
      </c>
      <c r="BO4710" s="9">
        <f t="shared" si="664"/>
        <v>6.6955599999999995</v>
      </c>
      <c r="BP4710" s="9">
        <f t="shared" si="665"/>
        <v>110.09</v>
      </c>
    </row>
    <row r="4711" spans="1:68">
      <c r="A4711" s="6">
        <v>45446</v>
      </c>
      <c r="B4711" s="7">
        <v>3602</v>
      </c>
      <c r="C4711" s="8">
        <v>304.64</v>
      </c>
      <c r="D4711" s="8"/>
      <c r="E4711" s="8"/>
      <c r="F4711" s="8"/>
      <c r="G4711" s="8">
        <v>455.77</v>
      </c>
      <c r="H4711" s="8"/>
      <c r="I4711" s="8"/>
      <c r="J4711" s="8"/>
      <c r="K4711" s="8"/>
      <c r="L4711" s="8"/>
      <c r="M4711" s="8">
        <v>0.92</v>
      </c>
      <c r="N4711" s="8"/>
      <c r="O4711" s="8"/>
      <c r="P4711" s="8"/>
      <c r="Q4711" s="11"/>
      <c r="R4711" s="11"/>
      <c r="S4711" s="8">
        <v>3.19</v>
      </c>
      <c r="T4711" s="8"/>
      <c r="U4711" s="8">
        <v>6.14</v>
      </c>
      <c r="V4711" s="8">
        <f>864*8.73/1000</f>
        <v>7.5427200000000001</v>
      </c>
      <c r="W4711" s="8"/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11"/>
      <c r="AQ4711" s="8"/>
      <c r="AR4711" s="8"/>
      <c r="AS4711" s="8"/>
      <c r="AT4711" s="8">
        <v>308.70999999999998</v>
      </c>
      <c r="AU4711" s="8"/>
      <c r="AV4711" s="8"/>
      <c r="AW4711" s="8">
        <v>19.8</v>
      </c>
      <c r="AX4711" s="8"/>
      <c r="AY4711" s="8"/>
      <c r="AZ4711" s="8"/>
      <c r="BA4711" s="8"/>
      <c r="BB4711" s="8"/>
      <c r="BC4711" s="8"/>
      <c r="BD4711" s="8"/>
      <c r="BE4711" s="8"/>
      <c r="BF4711" s="8">
        <v>24.66</v>
      </c>
      <c r="BG4711" s="8">
        <v>23.08</v>
      </c>
      <c r="BH4711" s="9">
        <f t="shared" si="657"/>
        <v>760.41</v>
      </c>
      <c r="BI4711" s="9">
        <f t="shared" si="658"/>
        <v>0.92</v>
      </c>
      <c r="BJ4711" s="9">
        <f t="shared" si="659"/>
        <v>3.19</v>
      </c>
      <c r="BK4711" s="9">
        <f t="shared" si="660"/>
        <v>13.68272</v>
      </c>
      <c r="BL4711" s="9">
        <f t="shared" si="661"/>
        <v>0</v>
      </c>
      <c r="BM4711" s="9">
        <f t="shared" si="662"/>
        <v>0</v>
      </c>
      <c r="BN4711" s="9">
        <f t="shared" si="663"/>
        <v>308.70999999999998</v>
      </c>
      <c r="BO4711" s="9">
        <f t="shared" si="664"/>
        <v>19.8</v>
      </c>
      <c r="BP4711" s="9">
        <f t="shared" si="665"/>
        <v>24.66</v>
      </c>
    </row>
    <row r="4712" spans="1:68">
      <c r="A4712" s="6">
        <v>45447</v>
      </c>
      <c r="B4712" s="7">
        <v>3704</v>
      </c>
      <c r="C4712" s="8">
        <v>346.68</v>
      </c>
      <c r="D4712" s="8">
        <v>519.71</v>
      </c>
      <c r="E4712" s="8"/>
      <c r="F4712" s="8"/>
      <c r="G4712" s="8"/>
      <c r="H4712" s="8"/>
      <c r="I4712" s="8"/>
      <c r="J4712" s="8"/>
      <c r="K4712" s="8"/>
      <c r="L4712" s="8"/>
      <c r="M4712" s="8">
        <v>2.6</v>
      </c>
      <c r="N4712" s="8"/>
      <c r="O4712" s="8"/>
      <c r="P4712" s="8"/>
      <c r="Q4712" s="11"/>
      <c r="R4712" s="11"/>
      <c r="S4712" s="8">
        <v>3.04</v>
      </c>
      <c r="T4712" s="8"/>
      <c r="U4712" s="8">
        <v>6.54</v>
      </c>
      <c r="V4712" s="8"/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>
        <v>10.31</v>
      </c>
      <c r="AN4712" s="8"/>
      <c r="AO4712" s="8"/>
      <c r="AP4712" s="11"/>
      <c r="AQ4712" s="8"/>
      <c r="AR4712" s="8"/>
      <c r="AS4712" s="8"/>
      <c r="AT4712" s="8">
        <v>150.93</v>
      </c>
      <c r="AU4712" s="8">
        <v>75.39</v>
      </c>
      <c r="AV4712" s="8"/>
      <c r="AW4712" s="8"/>
      <c r="AX4712" s="8"/>
      <c r="AY4712" s="8"/>
      <c r="AZ4712" s="8"/>
      <c r="BA4712" s="8"/>
      <c r="BB4712" s="8"/>
      <c r="BC4712" s="8"/>
      <c r="BD4712" s="8"/>
      <c r="BE4712" s="8"/>
      <c r="BF4712" s="8"/>
      <c r="BG4712" s="8">
        <v>13.93</v>
      </c>
      <c r="BH4712" s="9">
        <f t="shared" si="657"/>
        <v>866.3900000000001</v>
      </c>
      <c r="BI4712" s="9">
        <f t="shared" si="658"/>
        <v>2.6</v>
      </c>
      <c r="BJ4712" s="9">
        <f t="shared" si="659"/>
        <v>3.04</v>
      </c>
      <c r="BK4712" s="9">
        <f t="shared" si="660"/>
        <v>6.54</v>
      </c>
      <c r="BL4712" s="9">
        <f t="shared" si="661"/>
        <v>0</v>
      </c>
      <c r="BM4712" s="9">
        <f t="shared" si="662"/>
        <v>10.31</v>
      </c>
      <c r="BN4712" s="9">
        <f t="shared" si="663"/>
        <v>226.32</v>
      </c>
      <c r="BO4712" s="9">
        <f t="shared" si="664"/>
        <v>0</v>
      </c>
      <c r="BP4712" s="9">
        <f t="shared" si="665"/>
        <v>0</v>
      </c>
    </row>
    <row r="4713" spans="1:68">
      <c r="A4713" s="6">
        <v>45447</v>
      </c>
      <c r="B4713" s="7">
        <v>3702</v>
      </c>
      <c r="C4713" s="8">
        <v>533.99</v>
      </c>
      <c r="D4713" s="8">
        <v>356.47</v>
      </c>
      <c r="E4713" s="8"/>
      <c r="F4713" s="8"/>
      <c r="G4713" s="8"/>
      <c r="H4713" s="8"/>
      <c r="I4713" s="8"/>
      <c r="J4713" s="8"/>
      <c r="K4713" s="8"/>
      <c r="L4713" s="8"/>
      <c r="M4713" s="8">
        <v>1.79</v>
      </c>
      <c r="N4713" s="8"/>
      <c r="O4713" s="8"/>
      <c r="P4713" s="8"/>
      <c r="Q4713" s="11"/>
      <c r="R4713" s="11"/>
      <c r="S4713" s="8">
        <v>4.2</v>
      </c>
      <c r="T4713" s="8"/>
      <c r="U4713" s="8">
        <v>6.71</v>
      </c>
      <c r="V4713" s="8"/>
      <c r="W4713" s="8"/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11"/>
      <c r="AQ4713" s="8"/>
      <c r="AR4713" s="8"/>
      <c r="AS4713" s="8"/>
      <c r="AT4713" s="8">
        <v>216.94</v>
      </c>
      <c r="AU4713" s="8">
        <v>108.5</v>
      </c>
      <c r="AV4713" s="8"/>
      <c r="AW4713" s="8">
        <v>1.95</v>
      </c>
      <c r="AX4713" s="8"/>
      <c r="AY4713" s="8"/>
      <c r="AZ4713" s="8"/>
      <c r="BA4713" s="8"/>
      <c r="BB4713" s="8"/>
      <c r="BC4713" s="8"/>
      <c r="BD4713" s="8"/>
      <c r="BE4713" s="8"/>
      <c r="BF4713" s="8"/>
      <c r="BG4713" s="8">
        <v>22.82</v>
      </c>
      <c r="BH4713" s="9">
        <f t="shared" si="657"/>
        <v>890.46</v>
      </c>
      <c r="BI4713" s="9">
        <f t="shared" si="658"/>
        <v>1.79</v>
      </c>
      <c r="BJ4713" s="9">
        <f t="shared" si="659"/>
        <v>4.2</v>
      </c>
      <c r="BK4713" s="9">
        <f t="shared" si="660"/>
        <v>6.71</v>
      </c>
      <c r="BL4713" s="9">
        <f t="shared" si="661"/>
        <v>0</v>
      </c>
      <c r="BM4713" s="9">
        <f t="shared" si="662"/>
        <v>0</v>
      </c>
      <c r="BN4713" s="9">
        <f t="shared" si="663"/>
        <v>325.44</v>
      </c>
      <c r="BO4713" s="9">
        <f t="shared" si="664"/>
        <v>1.95</v>
      </c>
      <c r="BP4713" s="9">
        <f t="shared" si="665"/>
        <v>0</v>
      </c>
    </row>
    <row r="4714" spans="1:68">
      <c r="A4714" s="6">
        <v>45447</v>
      </c>
      <c r="B4714" s="7">
        <v>3304</v>
      </c>
      <c r="C4714" s="8"/>
      <c r="D4714" s="8">
        <v>1145.93</v>
      </c>
      <c r="E4714" s="8"/>
      <c r="F4714" s="8"/>
      <c r="G4714" s="8"/>
      <c r="H4714" s="8"/>
      <c r="I4714" s="8"/>
      <c r="J4714" s="8"/>
      <c r="K4714" s="8"/>
      <c r="L4714" s="8"/>
      <c r="M4714" s="8">
        <v>2.31</v>
      </c>
      <c r="N4714" s="8"/>
      <c r="O4714" s="8"/>
      <c r="P4714" s="8"/>
      <c r="Q4714" s="11"/>
      <c r="R4714" s="11"/>
      <c r="S4714" s="8">
        <v>1.72</v>
      </c>
      <c r="T4714" s="8"/>
      <c r="U4714" s="8">
        <v>10.34</v>
      </c>
      <c r="V4714" s="8"/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>
        <v>11.52</v>
      </c>
      <c r="AH4714" s="8"/>
      <c r="AI4714" s="8"/>
      <c r="AJ4714" s="8"/>
      <c r="AK4714" s="8"/>
      <c r="AL4714" s="8"/>
      <c r="AM4714" s="8"/>
      <c r="AN4714" s="8"/>
      <c r="AO4714" s="8"/>
      <c r="AP4714" s="11"/>
      <c r="AQ4714" s="8"/>
      <c r="AR4714" s="8"/>
      <c r="AS4714" s="8"/>
      <c r="AT4714" s="8">
        <v>306.54000000000002</v>
      </c>
      <c r="AU4714" s="8">
        <v>153.06</v>
      </c>
      <c r="AV4714" s="8"/>
      <c r="AW4714" s="8"/>
      <c r="AX4714" s="8"/>
      <c r="AY4714" s="8"/>
      <c r="AZ4714" s="8"/>
      <c r="BA4714" s="8"/>
      <c r="BB4714" s="8"/>
      <c r="BC4714" s="8"/>
      <c r="BD4714" s="8"/>
      <c r="BE4714" s="8"/>
      <c r="BF4714" s="8"/>
      <c r="BG4714" s="8">
        <v>31.92</v>
      </c>
      <c r="BH4714" s="9">
        <f t="shared" si="657"/>
        <v>1145.93</v>
      </c>
      <c r="BI4714" s="9">
        <f t="shared" si="658"/>
        <v>2.31</v>
      </c>
      <c r="BJ4714" s="9">
        <f t="shared" si="659"/>
        <v>1.72</v>
      </c>
      <c r="BK4714" s="9">
        <f t="shared" si="660"/>
        <v>10.34</v>
      </c>
      <c r="BL4714" s="9">
        <f t="shared" si="661"/>
        <v>0</v>
      </c>
      <c r="BM4714" s="9">
        <f t="shared" si="662"/>
        <v>11.52</v>
      </c>
      <c r="BN4714" s="9">
        <f t="shared" si="663"/>
        <v>459.6</v>
      </c>
      <c r="BO4714" s="9">
        <f t="shared" si="664"/>
        <v>0</v>
      </c>
      <c r="BP4714" s="9">
        <f t="shared" si="665"/>
        <v>0</v>
      </c>
    </row>
    <row r="4715" spans="1:68">
      <c r="A4715" s="6">
        <v>45447</v>
      </c>
      <c r="B4715" s="7">
        <v>3602</v>
      </c>
      <c r="C4715" s="8">
        <v>584.9</v>
      </c>
      <c r="D4715" s="8"/>
      <c r="E4715" s="8"/>
      <c r="F4715" s="8"/>
      <c r="G4715" s="8">
        <v>876.3</v>
      </c>
      <c r="H4715" s="8"/>
      <c r="I4715" s="8"/>
      <c r="J4715" s="8"/>
      <c r="K4715" s="8"/>
      <c r="L4715" s="8"/>
      <c r="M4715" s="8">
        <v>1.76</v>
      </c>
      <c r="N4715" s="8"/>
      <c r="O4715" s="8"/>
      <c r="P4715" s="8"/>
      <c r="Q4715" s="11"/>
      <c r="R4715" s="11"/>
      <c r="S4715" s="8">
        <v>6.09</v>
      </c>
      <c r="T4715" s="8"/>
      <c r="U4715" s="8">
        <v>11.7</v>
      </c>
      <c r="V4715" s="8">
        <f>866*16.72/1000</f>
        <v>14.479519999999999</v>
      </c>
      <c r="W4715" s="8"/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11"/>
      <c r="AQ4715" s="8"/>
      <c r="AR4715" s="8"/>
      <c r="AS4715" s="8"/>
      <c r="AT4715" s="8">
        <v>589.65</v>
      </c>
      <c r="AU4715" s="8"/>
      <c r="AV4715" s="8"/>
      <c r="AW4715" s="8">
        <v>37.82</v>
      </c>
      <c r="AX4715" s="8"/>
      <c r="AY4715" s="8"/>
      <c r="AZ4715" s="8"/>
      <c r="BA4715" s="8"/>
      <c r="BB4715" s="8"/>
      <c r="BC4715" s="8"/>
      <c r="BD4715" s="8"/>
      <c r="BE4715" s="8"/>
      <c r="BF4715" s="8">
        <v>46.85</v>
      </c>
      <c r="BG4715" s="8">
        <v>43.78</v>
      </c>
      <c r="BH4715" s="9">
        <f t="shared" si="657"/>
        <v>1461.1999999999998</v>
      </c>
      <c r="BI4715" s="9">
        <f t="shared" si="658"/>
        <v>1.76</v>
      </c>
      <c r="BJ4715" s="9">
        <f t="shared" si="659"/>
        <v>6.09</v>
      </c>
      <c r="BK4715" s="9">
        <f t="shared" si="660"/>
        <v>26.179519999999997</v>
      </c>
      <c r="BL4715" s="9">
        <f t="shared" si="661"/>
        <v>0</v>
      </c>
      <c r="BM4715" s="9">
        <f t="shared" si="662"/>
        <v>0</v>
      </c>
      <c r="BN4715" s="9">
        <f t="shared" si="663"/>
        <v>589.65</v>
      </c>
      <c r="BO4715" s="9">
        <f t="shared" si="664"/>
        <v>37.82</v>
      </c>
      <c r="BP4715" s="9">
        <f t="shared" si="665"/>
        <v>46.85</v>
      </c>
    </row>
    <row r="4716" spans="1:68">
      <c r="A4716" s="6">
        <v>45447</v>
      </c>
      <c r="B4716" s="7">
        <v>3139</v>
      </c>
      <c r="C4716" s="8">
        <v>952.85</v>
      </c>
      <c r="D4716" s="8"/>
      <c r="E4716" s="8"/>
      <c r="F4716" s="8"/>
      <c r="G4716" s="8"/>
      <c r="H4716" s="8">
        <v>397.67</v>
      </c>
      <c r="I4716" s="8"/>
      <c r="J4716" s="8"/>
      <c r="K4716" s="8"/>
      <c r="L4716" s="8"/>
      <c r="M4716" s="8">
        <v>2.23</v>
      </c>
      <c r="N4716" s="8"/>
      <c r="O4716" s="8"/>
      <c r="P4716" s="8"/>
      <c r="Q4716" s="11"/>
      <c r="R4716" s="11"/>
      <c r="S4716" s="8">
        <v>4.22</v>
      </c>
      <c r="T4716" s="8"/>
      <c r="U4716" s="8">
        <v>14.08</v>
      </c>
      <c r="V4716" s="8"/>
      <c r="W4716" s="8"/>
      <c r="X4716" s="8"/>
      <c r="Y4716" s="8"/>
      <c r="Z4716" s="8"/>
      <c r="AA4716" s="8"/>
      <c r="AB4716" s="8"/>
      <c r="AC4716" s="8">
        <v>4.7</v>
      </c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11"/>
      <c r="AQ4716" s="8"/>
      <c r="AR4716" s="8"/>
      <c r="AS4716" s="8"/>
      <c r="AT4716" s="8">
        <v>695.31</v>
      </c>
      <c r="AU4716" s="8"/>
      <c r="AV4716" s="8">
        <v>23.48</v>
      </c>
      <c r="AW4716" s="8"/>
      <c r="AX4716" s="8"/>
      <c r="AY4716" s="8"/>
      <c r="AZ4716" s="8"/>
      <c r="BA4716" s="8"/>
      <c r="BB4716" s="8"/>
      <c r="BC4716" s="8"/>
      <c r="BD4716" s="8"/>
      <c r="BE4716" s="8"/>
      <c r="BF4716" s="8"/>
      <c r="BG4716" s="8">
        <v>50.49</v>
      </c>
      <c r="BH4716" s="9">
        <f t="shared" si="657"/>
        <v>1350.52</v>
      </c>
      <c r="BI4716" s="9">
        <f t="shared" si="658"/>
        <v>2.23</v>
      </c>
      <c r="BJ4716" s="9">
        <f t="shared" si="659"/>
        <v>4.22</v>
      </c>
      <c r="BK4716" s="9">
        <f t="shared" si="660"/>
        <v>14.08</v>
      </c>
      <c r="BL4716" s="9">
        <f t="shared" si="661"/>
        <v>0</v>
      </c>
      <c r="BM4716" s="9">
        <f t="shared" si="662"/>
        <v>4.7</v>
      </c>
      <c r="BN4716" s="9">
        <f t="shared" si="663"/>
        <v>695.31</v>
      </c>
      <c r="BO4716" s="9">
        <f t="shared" si="664"/>
        <v>23.48</v>
      </c>
      <c r="BP4716" s="9">
        <f t="shared" si="665"/>
        <v>0</v>
      </c>
    </row>
    <row r="4717" spans="1:68">
      <c r="A4717" s="6">
        <v>45447</v>
      </c>
      <c r="B4717" s="7">
        <v>3206</v>
      </c>
      <c r="C4717" s="8">
        <v>608.83000000000004</v>
      </c>
      <c r="D4717" s="8">
        <v>1099.6600000000001</v>
      </c>
      <c r="E4717" s="8">
        <v>731.29</v>
      </c>
      <c r="F4717" s="8"/>
      <c r="G4717" s="8"/>
      <c r="H4717" s="8"/>
      <c r="I4717" s="8"/>
      <c r="J4717" s="8"/>
      <c r="K4717" s="8"/>
      <c r="L4717" s="8"/>
      <c r="M4717" s="8"/>
      <c r="N4717" s="8"/>
      <c r="O4717" s="8">
        <v>4.88</v>
      </c>
      <c r="P4717" s="8"/>
      <c r="Q4717" s="11"/>
      <c r="R4717" s="11"/>
      <c r="S4717" s="8">
        <v>12.2</v>
      </c>
      <c r="T4717" s="8"/>
      <c r="U4717" s="8">
        <v>8.5500000000000007</v>
      </c>
      <c r="V4717" s="8"/>
      <c r="W4717" s="8"/>
      <c r="X4717" s="8"/>
      <c r="Y4717" s="8"/>
      <c r="Z4717" s="8">
        <v>146.53</v>
      </c>
      <c r="AA4717" s="8"/>
      <c r="AB4717" s="8">
        <f>819*15.27/1000</f>
        <v>12.506129999999999</v>
      </c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11"/>
      <c r="AQ4717" s="8"/>
      <c r="AR4717" s="8"/>
      <c r="AS4717" s="8"/>
      <c r="AT4717" s="8">
        <v>427.57</v>
      </c>
      <c r="AU4717" s="8">
        <v>213.17</v>
      </c>
      <c r="AV4717" s="8"/>
      <c r="AW4717" s="8">
        <v>9.2799999999999994</v>
      </c>
      <c r="AX4717" s="8"/>
      <c r="AY4717" s="8"/>
      <c r="AZ4717" s="8"/>
      <c r="BA4717" s="8"/>
      <c r="BB4717" s="8"/>
      <c r="BC4717" s="8"/>
      <c r="BD4717" s="8"/>
      <c r="BE4717" s="8"/>
      <c r="BF4717" s="8"/>
      <c r="BG4717" s="8">
        <v>42.57</v>
      </c>
      <c r="BH4717" s="9">
        <f t="shared" si="657"/>
        <v>2439.7800000000002</v>
      </c>
      <c r="BI4717" s="9">
        <f t="shared" si="658"/>
        <v>4.88</v>
      </c>
      <c r="BJ4717" s="9">
        <f t="shared" si="659"/>
        <v>12.2</v>
      </c>
      <c r="BK4717" s="9">
        <f t="shared" si="660"/>
        <v>8.5500000000000007</v>
      </c>
      <c r="BL4717" s="9">
        <f t="shared" si="661"/>
        <v>146.53</v>
      </c>
      <c r="BM4717" s="9">
        <f t="shared" si="662"/>
        <v>12.506129999999999</v>
      </c>
      <c r="BN4717" s="9">
        <f t="shared" si="663"/>
        <v>640.74</v>
      </c>
      <c r="BO4717" s="9">
        <f t="shared" si="664"/>
        <v>9.2799999999999994</v>
      </c>
      <c r="BP4717" s="9">
        <f t="shared" si="665"/>
        <v>0</v>
      </c>
    </row>
    <row r="4718" spans="1:68">
      <c r="A4718" s="6">
        <v>45447</v>
      </c>
      <c r="B4718" s="7">
        <v>3016</v>
      </c>
      <c r="C4718" s="8"/>
      <c r="D4718" s="8">
        <v>2374.63</v>
      </c>
      <c r="E4718" s="8"/>
      <c r="F4718" s="8"/>
      <c r="G4718" s="8"/>
      <c r="H4718" s="8"/>
      <c r="I4718" s="8">
        <v>2186.84</v>
      </c>
      <c r="J4718" s="8"/>
      <c r="K4718" s="8"/>
      <c r="L4718" s="8"/>
      <c r="M4718" s="8"/>
      <c r="N4718" s="8">
        <v>29.21</v>
      </c>
      <c r="O4718" s="8"/>
      <c r="P4718" s="8"/>
      <c r="Q4718" s="11"/>
      <c r="R4718" s="11"/>
      <c r="S4718" s="8">
        <v>3.2</v>
      </c>
      <c r="T4718" s="8"/>
      <c r="U4718" s="8"/>
      <c r="V4718" s="8"/>
      <c r="W4718" s="8">
        <v>45.67</v>
      </c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>
        <v>18.170000000000002</v>
      </c>
      <c r="AN4718" s="8">
        <f>2052*26.85/1000</f>
        <v>55.096200000000003</v>
      </c>
      <c r="AO4718" s="8"/>
      <c r="AP4718" s="11"/>
      <c r="AQ4718" s="8"/>
      <c r="AR4718" s="8">
        <f>4317*26.85/1000</f>
        <v>115.91145000000002</v>
      </c>
      <c r="AS4718" s="8"/>
      <c r="AT4718" s="8">
        <v>1696.79</v>
      </c>
      <c r="AU4718" s="8"/>
      <c r="AV4718" s="8"/>
      <c r="AW4718" s="8"/>
      <c r="AX4718" s="8"/>
      <c r="AY4718" s="8"/>
      <c r="AZ4718" s="8"/>
      <c r="BA4718" s="8"/>
      <c r="BB4718" s="8"/>
      <c r="BC4718" s="8"/>
      <c r="BD4718" s="8"/>
      <c r="BE4718" s="8"/>
      <c r="BF4718" s="8"/>
      <c r="BG4718" s="8">
        <v>124.07</v>
      </c>
      <c r="BH4718" s="9">
        <f t="shared" si="657"/>
        <v>4561.47</v>
      </c>
      <c r="BI4718" s="9">
        <f t="shared" si="658"/>
        <v>29.21</v>
      </c>
      <c r="BJ4718" s="9">
        <f t="shared" si="659"/>
        <v>3.2</v>
      </c>
      <c r="BK4718" s="9">
        <f t="shared" si="660"/>
        <v>45.67</v>
      </c>
      <c r="BL4718" s="9">
        <f t="shared" si="661"/>
        <v>0</v>
      </c>
      <c r="BM4718" s="9">
        <f t="shared" si="662"/>
        <v>189.17765000000003</v>
      </c>
      <c r="BN4718" s="9">
        <f t="shared" si="663"/>
        <v>1696.79</v>
      </c>
      <c r="BO4718" s="9">
        <f t="shared" si="664"/>
        <v>0</v>
      </c>
      <c r="BP4718" s="9">
        <f t="shared" si="665"/>
        <v>0</v>
      </c>
    </row>
    <row r="4719" spans="1:68">
      <c r="A4719" s="6">
        <v>45447</v>
      </c>
      <c r="B4719" s="7">
        <v>8356</v>
      </c>
      <c r="C4719" s="8">
        <v>1044.7329999999999</v>
      </c>
      <c r="D4719" s="8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>
        <v>2.62</v>
      </c>
      <c r="P4719" s="8"/>
      <c r="Q4719" s="11"/>
      <c r="R4719" s="11"/>
      <c r="S4719" s="8">
        <v>4.08</v>
      </c>
      <c r="T4719" s="8"/>
      <c r="U4719" s="8">
        <f>1352*11.62/1000</f>
        <v>15.710240000000001</v>
      </c>
      <c r="V4719" s="8"/>
      <c r="W4719" s="8"/>
      <c r="X4719" s="8"/>
      <c r="Y4719" s="8"/>
      <c r="Z4719" s="8">
        <v>219.84</v>
      </c>
      <c r="AA4719" s="8"/>
      <c r="AB4719" s="8"/>
      <c r="AC4719" s="8"/>
      <c r="AD4719" s="8"/>
      <c r="AE4719" s="8"/>
      <c r="AF4719" s="8">
        <v>52.54</v>
      </c>
      <c r="AG4719" s="8"/>
      <c r="AH4719" s="8"/>
      <c r="AI4719" s="8"/>
      <c r="AJ4719" s="8"/>
      <c r="AK4719" s="8"/>
      <c r="AL4719" s="8"/>
      <c r="AM4719" s="8"/>
      <c r="AN4719" s="8"/>
      <c r="AO4719" s="8"/>
      <c r="AP4719" s="11"/>
      <c r="AQ4719" s="8">
        <f>1357*11.62/1000</f>
        <v>15.768339999999998</v>
      </c>
      <c r="AR4719" s="8"/>
      <c r="AS4719" s="8"/>
      <c r="AT4719" s="8">
        <v>712.55</v>
      </c>
      <c r="AU4719" s="8"/>
      <c r="AV4719" s="8"/>
      <c r="AW4719" s="8"/>
      <c r="AX4719" s="8"/>
      <c r="AY4719" s="8"/>
      <c r="AZ4719" s="8"/>
      <c r="BA4719" s="8"/>
      <c r="BB4719" s="8"/>
      <c r="BC4719" s="8"/>
      <c r="BD4719" s="8"/>
      <c r="BE4719" s="8"/>
      <c r="BF4719" s="8">
        <v>50.25</v>
      </c>
      <c r="BG4719" s="8">
        <v>51.67</v>
      </c>
      <c r="BH4719" s="9">
        <f t="shared" si="657"/>
        <v>1044.7329999999999</v>
      </c>
      <c r="BI4719" s="9">
        <f t="shared" si="658"/>
        <v>2.62</v>
      </c>
      <c r="BJ4719" s="9">
        <f t="shared" si="659"/>
        <v>4.08</v>
      </c>
      <c r="BK4719" s="9">
        <f t="shared" si="660"/>
        <v>15.710240000000001</v>
      </c>
      <c r="BL4719" s="9">
        <f t="shared" si="661"/>
        <v>219.84</v>
      </c>
      <c r="BM4719" s="9">
        <f t="shared" si="662"/>
        <v>68.308340000000001</v>
      </c>
      <c r="BN4719" s="9">
        <f t="shared" si="663"/>
        <v>712.55</v>
      </c>
      <c r="BO4719" s="9">
        <f t="shared" si="664"/>
        <v>0</v>
      </c>
      <c r="BP4719" s="9">
        <f t="shared" si="665"/>
        <v>50.25</v>
      </c>
    </row>
    <row r="4720" spans="1:68">
      <c r="A4720" s="6">
        <v>45448</v>
      </c>
      <c r="B4720" s="7">
        <v>3203</v>
      </c>
      <c r="C4720" s="8">
        <v>881.74</v>
      </c>
      <c r="D4720" s="8"/>
      <c r="E4720" s="8">
        <v>379.47</v>
      </c>
      <c r="F4720" s="8"/>
      <c r="G4720" s="8"/>
      <c r="H4720" s="8"/>
      <c r="I4720" s="8"/>
      <c r="J4720" s="8"/>
      <c r="K4720" s="8"/>
      <c r="L4720" s="8"/>
      <c r="M4720" s="8"/>
      <c r="N4720" s="8"/>
      <c r="O4720" s="8">
        <v>3.8</v>
      </c>
      <c r="P4720" s="8"/>
      <c r="Q4720" s="11"/>
      <c r="R4720" s="11"/>
      <c r="S4720" s="8">
        <v>5.17</v>
      </c>
      <c r="T4720" s="8"/>
      <c r="U4720" s="8">
        <v>15.65</v>
      </c>
      <c r="V4720" s="8"/>
      <c r="W4720" s="8"/>
      <c r="X4720" s="8"/>
      <c r="Y4720" s="8"/>
      <c r="Z4720" s="8">
        <v>198.95</v>
      </c>
      <c r="AA4720" s="8">
        <f>10482*14.85/1000</f>
        <v>155.65769999999998</v>
      </c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11"/>
      <c r="AQ4720" s="8"/>
      <c r="AR4720" s="8"/>
      <c r="AS4720" s="8"/>
      <c r="AT4720" s="8">
        <v>471.75</v>
      </c>
      <c r="AU4720" s="8">
        <v>235.77</v>
      </c>
      <c r="AV4720" s="8"/>
      <c r="AW4720" s="8"/>
      <c r="AX4720" s="8"/>
      <c r="AY4720" s="8"/>
      <c r="AZ4720" s="8"/>
      <c r="BA4720" s="8"/>
      <c r="BB4720" s="8"/>
      <c r="BC4720" s="8">
        <v>3.29</v>
      </c>
      <c r="BD4720" s="8"/>
      <c r="BE4720" s="8"/>
      <c r="BF4720" s="8"/>
      <c r="BG4720" s="8">
        <v>45.6</v>
      </c>
      <c r="BH4720" s="9">
        <f t="shared" si="657"/>
        <v>1261.21</v>
      </c>
      <c r="BI4720" s="9">
        <f t="shared" si="658"/>
        <v>3.8</v>
      </c>
      <c r="BJ4720" s="9">
        <f t="shared" si="659"/>
        <v>5.17</v>
      </c>
      <c r="BK4720" s="9">
        <f t="shared" si="660"/>
        <v>15.65</v>
      </c>
      <c r="BL4720" s="9">
        <f t="shared" si="661"/>
        <v>354.60769999999997</v>
      </c>
      <c r="BM4720" s="9">
        <f t="shared" si="662"/>
        <v>0</v>
      </c>
      <c r="BN4720" s="9">
        <f t="shared" si="663"/>
        <v>707.52</v>
      </c>
      <c r="BO4720" s="9">
        <f t="shared" si="664"/>
        <v>3.29</v>
      </c>
      <c r="BP4720" s="9">
        <f t="shared" si="665"/>
        <v>0</v>
      </c>
    </row>
    <row r="4721" spans="1:68">
      <c r="A4721" s="6">
        <v>45448</v>
      </c>
      <c r="B4721" s="7">
        <v>3141</v>
      </c>
      <c r="C4721" s="8">
        <v>2403.37</v>
      </c>
      <c r="D4721" s="8">
        <v>424.14</v>
      </c>
      <c r="E4721" s="8"/>
      <c r="F4721" s="8"/>
      <c r="G4721" s="8"/>
      <c r="H4721" s="8"/>
      <c r="I4721" s="8"/>
      <c r="J4721" s="8"/>
      <c r="K4721" s="8"/>
      <c r="L4721" s="8"/>
      <c r="M4721" s="8">
        <v>8.4700000000000006</v>
      </c>
      <c r="N4721" s="8"/>
      <c r="O4721" s="8"/>
      <c r="P4721" s="8"/>
      <c r="Q4721" s="11"/>
      <c r="R4721" s="11"/>
      <c r="S4721" s="8">
        <v>13.31</v>
      </c>
      <c r="T4721" s="8"/>
      <c r="U4721" s="8">
        <v>42.45</v>
      </c>
      <c r="V4721" s="8"/>
      <c r="W4721" s="8"/>
      <c r="X4721" s="8"/>
      <c r="Y4721" s="8"/>
      <c r="Z4721" s="8"/>
      <c r="AA4721" s="8"/>
      <c r="AB4721" s="8"/>
      <c r="AC4721" s="8">
        <v>11.32</v>
      </c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11"/>
      <c r="AQ4721" s="8"/>
      <c r="AR4721" s="8"/>
      <c r="AS4721" s="8"/>
      <c r="AT4721" s="8">
        <v>1867.98</v>
      </c>
      <c r="AU4721" s="8"/>
      <c r="AV4721" s="8"/>
      <c r="AW4721" s="8"/>
      <c r="AX4721" s="8"/>
      <c r="AY4721" s="8"/>
      <c r="AZ4721" s="8"/>
      <c r="BA4721" s="8">
        <v>64.849999999999994</v>
      </c>
      <c r="BB4721" s="8"/>
      <c r="BC4721" s="8"/>
      <c r="BD4721" s="8"/>
      <c r="BE4721" s="8"/>
      <c r="BF4721" s="8">
        <v>198.04</v>
      </c>
      <c r="BG4721" s="8">
        <v>147.21</v>
      </c>
      <c r="BH4721" s="9">
        <f t="shared" si="657"/>
        <v>2827.5099999999998</v>
      </c>
      <c r="BI4721" s="9">
        <f t="shared" si="658"/>
        <v>8.4700000000000006</v>
      </c>
      <c r="BJ4721" s="9">
        <f t="shared" si="659"/>
        <v>13.31</v>
      </c>
      <c r="BK4721" s="9">
        <f t="shared" si="660"/>
        <v>42.45</v>
      </c>
      <c r="BL4721" s="9">
        <f t="shared" si="661"/>
        <v>0</v>
      </c>
      <c r="BM4721" s="9">
        <f t="shared" si="662"/>
        <v>11.32</v>
      </c>
      <c r="BN4721" s="9">
        <f t="shared" si="663"/>
        <v>1867.98</v>
      </c>
      <c r="BO4721" s="9">
        <f t="shared" si="664"/>
        <v>64.849999999999994</v>
      </c>
      <c r="BP4721" s="9">
        <f t="shared" si="665"/>
        <v>198.04</v>
      </c>
    </row>
    <row r="4722" spans="1:68">
      <c r="A4722" s="6">
        <v>45448</v>
      </c>
      <c r="B4722" s="7">
        <v>3106</v>
      </c>
      <c r="C4722" s="8">
        <v>6025.84</v>
      </c>
      <c r="D4722" s="8"/>
      <c r="E4722" s="8"/>
      <c r="F4722" s="8"/>
      <c r="G4722" s="8"/>
      <c r="H4722" s="8"/>
      <c r="I4722" s="8"/>
      <c r="J4722" s="8"/>
      <c r="K4722" s="8"/>
      <c r="L4722" s="8"/>
      <c r="M4722" s="8">
        <v>16.21</v>
      </c>
      <c r="N4722" s="8"/>
      <c r="O4722" s="8"/>
      <c r="P4722" s="8"/>
      <c r="Q4722" s="11"/>
      <c r="R4722" s="11"/>
      <c r="S4722" s="8">
        <v>18.11</v>
      </c>
      <c r="T4722" s="8"/>
      <c r="U4722" s="8">
        <v>76.930000000000007</v>
      </c>
      <c r="V4722" s="8"/>
      <c r="W4722" s="8"/>
      <c r="X4722" s="8"/>
      <c r="Y4722" s="8"/>
      <c r="Z4722" s="8"/>
      <c r="AA4722" s="8"/>
      <c r="AB4722" s="8"/>
      <c r="AC4722" s="8">
        <v>15.08</v>
      </c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11"/>
      <c r="AQ4722" s="8"/>
      <c r="AR4722" s="8"/>
      <c r="AS4722" s="8"/>
      <c r="AT4722" s="8">
        <v>3435.71</v>
      </c>
      <c r="AU4722" s="8"/>
      <c r="AV4722" s="8"/>
      <c r="AW4722" s="8"/>
      <c r="AX4722" s="8">
        <v>7.54</v>
      </c>
      <c r="AY4722" s="8"/>
      <c r="AZ4722" s="8"/>
      <c r="BA4722" s="8"/>
      <c r="BB4722" s="8"/>
      <c r="BC4722" s="8"/>
      <c r="BD4722" s="8"/>
      <c r="BE4722" s="8"/>
      <c r="BF4722" s="8"/>
      <c r="BG4722" s="8">
        <v>258.87</v>
      </c>
      <c r="BH4722" s="9">
        <f t="shared" si="657"/>
        <v>6025.84</v>
      </c>
      <c r="BI4722" s="9">
        <f t="shared" si="658"/>
        <v>16.21</v>
      </c>
      <c r="BJ4722" s="9">
        <f t="shared" si="659"/>
        <v>18.11</v>
      </c>
      <c r="BK4722" s="9">
        <f t="shared" si="660"/>
        <v>76.930000000000007</v>
      </c>
      <c r="BL4722" s="9">
        <f t="shared" si="661"/>
        <v>0</v>
      </c>
      <c r="BM4722" s="9">
        <f t="shared" si="662"/>
        <v>15.08</v>
      </c>
      <c r="BN4722" s="9">
        <f t="shared" si="663"/>
        <v>3435.71</v>
      </c>
      <c r="BO4722" s="9">
        <f t="shared" si="664"/>
        <v>7.54</v>
      </c>
      <c r="BP4722" s="9">
        <f t="shared" si="665"/>
        <v>0</v>
      </c>
    </row>
    <row r="4723" spans="1:68">
      <c r="A4723" s="6">
        <v>45448</v>
      </c>
      <c r="B4723" s="7">
        <v>3079</v>
      </c>
      <c r="C4723" s="8"/>
      <c r="D4723" s="8"/>
      <c r="E4723" s="8"/>
      <c r="F4723" s="8">
        <v>505.19</v>
      </c>
      <c r="G4723" s="8"/>
      <c r="H4723" s="8"/>
      <c r="I4723" s="8">
        <v>4092.14</v>
      </c>
      <c r="J4723" s="8"/>
      <c r="K4723" s="8"/>
      <c r="L4723" s="8"/>
      <c r="M4723" s="8"/>
      <c r="N4723" s="8">
        <v>34.090000000000003</v>
      </c>
      <c r="O4723" s="8"/>
      <c r="P4723" s="8"/>
      <c r="Q4723" s="11"/>
      <c r="R4723" s="11"/>
      <c r="S4723" s="8">
        <v>1.81</v>
      </c>
      <c r="T4723" s="8"/>
      <c r="U4723" s="8"/>
      <c r="V4723" s="8"/>
      <c r="W4723" s="8">
        <v>46.06</v>
      </c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>
        <v>18.29</v>
      </c>
      <c r="AN4723" s="8">
        <f>1725*27.08/1000</f>
        <v>46.713000000000001</v>
      </c>
      <c r="AO4723" s="8"/>
      <c r="AP4723" s="11"/>
      <c r="AQ4723" s="8"/>
      <c r="AR4723" s="8">
        <f>4330*27.08/1000</f>
        <v>117.2564</v>
      </c>
      <c r="AS4723" s="8"/>
      <c r="AT4723" s="8">
        <v>1776.37</v>
      </c>
      <c r="AU4723" s="8"/>
      <c r="AV4723" s="8"/>
      <c r="AW4723" s="8"/>
      <c r="AX4723" s="8"/>
      <c r="AY4723" s="8"/>
      <c r="AZ4723" s="8"/>
      <c r="BA4723" s="8"/>
      <c r="BB4723" s="8"/>
      <c r="BC4723" s="8"/>
      <c r="BD4723" s="8"/>
      <c r="BE4723" s="8"/>
      <c r="BF4723" s="8"/>
      <c r="BG4723" s="8">
        <v>129.43</v>
      </c>
      <c r="BH4723" s="9">
        <f t="shared" si="657"/>
        <v>4597.33</v>
      </c>
      <c r="BI4723" s="9">
        <f t="shared" si="658"/>
        <v>34.090000000000003</v>
      </c>
      <c r="BJ4723" s="9">
        <f t="shared" si="659"/>
        <v>1.81</v>
      </c>
      <c r="BK4723" s="9">
        <f t="shared" si="660"/>
        <v>46.06</v>
      </c>
      <c r="BL4723" s="9">
        <f t="shared" si="661"/>
        <v>0</v>
      </c>
      <c r="BM4723" s="9">
        <f t="shared" si="662"/>
        <v>182.2594</v>
      </c>
      <c r="BN4723" s="9">
        <f t="shared" si="663"/>
        <v>1776.37</v>
      </c>
      <c r="BO4723" s="9">
        <f t="shared" si="664"/>
        <v>0</v>
      </c>
      <c r="BP4723" s="9">
        <f t="shared" si="665"/>
        <v>0</v>
      </c>
    </row>
    <row r="4724" spans="1:68">
      <c r="A4724" s="6">
        <v>45448</v>
      </c>
      <c r="B4724" s="7">
        <v>3020</v>
      </c>
      <c r="C4724" s="8"/>
      <c r="D4724" s="8">
        <v>252.66</v>
      </c>
      <c r="E4724" s="8"/>
      <c r="F4724" s="8"/>
      <c r="G4724" s="8"/>
      <c r="H4724" s="8"/>
      <c r="I4724" s="8">
        <v>1427.93</v>
      </c>
      <c r="J4724" s="8"/>
      <c r="K4724" s="8"/>
      <c r="L4724" s="8"/>
      <c r="M4724" s="8"/>
      <c r="N4724" s="8">
        <v>10.24</v>
      </c>
      <c r="O4724" s="8"/>
      <c r="P4724" s="8"/>
      <c r="Q4724" s="11"/>
      <c r="R4724" s="11"/>
      <c r="S4724" s="8">
        <v>3.02</v>
      </c>
      <c r="T4724" s="8"/>
      <c r="U4724" s="8"/>
      <c r="V4724" s="8"/>
      <c r="W4724" s="8">
        <v>16.82</v>
      </c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>
        <v>16.79</v>
      </c>
      <c r="AN4724" s="8"/>
      <c r="AO4724" s="8"/>
      <c r="AP4724" s="11"/>
      <c r="AQ4724" s="8"/>
      <c r="AR4724" s="8"/>
      <c r="AS4724" s="8">
        <f>3003*0.014</f>
        <v>42.042000000000002</v>
      </c>
      <c r="AT4724" s="8">
        <v>826.67</v>
      </c>
      <c r="AU4724" s="8"/>
      <c r="AV4724" s="8"/>
      <c r="AW4724" s="8"/>
      <c r="AX4724" s="8"/>
      <c r="AY4724" s="8"/>
      <c r="AZ4724" s="8"/>
      <c r="BA4724" s="8"/>
      <c r="BB4724" s="8"/>
      <c r="BC4724" s="8"/>
      <c r="BD4724" s="8"/>
      <c r="BE4724" s="8"/>
      <c r="BF4724" s="8"/>
      <c r="BG4724" s="8">
        <v>60.42</v>
      </c>
      <c r="BH4724" s="9">
        <f t="shared" si="657"/>
        <v>1680.5900000000001</v>
      </c>
      <c r="BI4724" s="9">
        <f t="shared" si="658"/>
        <v>10.24</v>
      </c>
      <c r="BJ4724" s="9">
        <f t="shared" si="659"/>
        <v>3.02</v>
      </c>
      <c r="BK4724" s="9">
        <f t="shared" si="660"/>
        <v>16.82</v>
      </c>
      <c r="BL4724" s="9">
        <f t="shared" si="661"/>
        <v>0</v>
      </c>
      <c r="BM4724" s="9">
        <f t="shared" si="662"/>
        <v>58.832000000000001</v>
      </c>
      <c r="BN4724" s="9">
        <f t="shared" si="663"/>
        <v>826.67</v>
      </c>
      <c r="BO4724" s="9">
        <f t="shared" si="664"/>
        <v>0</v>
      </c>
      <c r="BP4724" s="9">
        <f t="shared" si="665"/>
        <v>0</v>
      </c>
    </row>
    <row r="4725" spans="1:68">
      <c r="A4725" s="6">
        <v>45448</v>
      </c>
      <c r="B4725" s="7">
        <v>3028</v>
      </c>
      <c r="C4725" s="8"/>
      <c r="D4725" s="8">
        <v>730.75</v>
      </c>
      <c r="E4725" s="8"/>
      <c r="F4725" s="8">
        <v>673.66</v>
      </c>
      <c r="G4725" s="8"/>
      <c r="H4725" s="8"/>
      <c r="I4725" s="8">
        <v>1522.75</v>
      </c>
      <c r="J4725" s="8"/>
      <c r="K4725" s="8"/>
      <c r="L4725" s="8"/>
      <c r="M4725" s="8"/>
      <c r="N4725" s="8">
        <v>22.52</v>
      </c>
      <c r="O4725" s="8"/>
      <c r="P4725" s="8"/>
      <c r="Q4725" s="11"/>
      <c r="R4725" s="11"/>
      <c r="S4725" s="8">
        <v>4.0999999999999996</v>
      </c>
      <c r="T4725" s="8"/>
      <c r="U4725" s="8"/>
      <c r="V4725" s="8"/>
      <c r="W4725" s="8">
        <v>21.95</v>
      </c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>
        <v>29.24</v>
      </c>
      <c r="AN4725" s="8">
        <f>1068*19.52/1000</f>
        <v>20.847360000000002</v>
      </c>
      <c r="AO4725" s="8"/>
      <c r="AP4725" s="11"/>
      <c r="AQ4725" s="8"/>
      <c r="AR4725" s="8"/>
      <c r="AS4725" s="8">
        <f>4997*19.52/1000</f>
        <v>97.541440000000009</v>
      </c>
      <c r="AT4725" s="8">
        <v>977.51</v>
      </c>
      <c r="AU4725" s="8"/>
      <c r="AV4725" s="8"/>
      <c r="AW4725" s="8"/>
      <c r="AX4725" s="8"/>
      <c r="AY4725" s="8"/>
      <c r="AZ4725" s="8"/>
      <c r="BA4725" s="8"/>
      <c r="BB4725" s="8"/>
      <c r="BC4725" s="8"/>
      <c r="BD4725" s="8"/>
      <c r="BE4725" s="8"/>
      <c r="BF4725" s="8"/>
      <c r="BG4725" s="8">
        <v>66.47</v>
      </c>
      <c r="BH4725" s="9">
        <f t="shared" si="657"/>
        <v>2927.16</v>
      </c>
      <c r="BI4725" s="9">
        <f t="shared" si="658"/>
        <v>22.52</v>
      </c>
      <c r="BJ4725" s="9">
        <f t="shared" si="659"/>
        <v>4.0999999999999996</v>
      </c>
      <c r="BK4725" s="9">
        <f t="shared" si="660"/>
        <v>21.95</v>
      </c>
      <c r="BL4725" s="9">
        <f t="shared" si="661"/>
        <v>0</v>
      </c>
      <c r="BM4725" s="9">
        <f t="shared" si="662"/>
        <v>147.62880000000001</v>
      </c>
      <c r="BN4725" s="9">
        <f t="shared" si="663"/>
        <v>977.51</v>
      </c>
      <c r="BO4725" s="9">
        <f t="shared" si="664"/>
        <v>0</v>
      </c>
      <c r="BP4725" s="9">
        <f t="shared" si="665"/>
        <v>0</v>
      </c>
    </row>
    <row r="4726" spans="1:68">
      <c r="A4726" s="6">
        <v>45448</v>
      </c>
      <c r="B4726" s="7">
        <v>3024</v>
      </c>
      <c r="C4726" s="8"/>
      <c r="D4726" s="8">
        <v>339.97</v>
      </c>
      <c r="E4726" s="8"/>
      <c r="F4726" s="8"/>
      <c r="G4726" s="8"/>
      <c r="H4726" s="8"/>
      <c r="I4726" s="8">
        <v>340.55</v>
      </c>
      <c r="J4726" s="8"/>
      <c r="K4726" s="8"/>
      <c r="L4726" s="8"/>
      <c r="M4726" s="8"/>
      <c r="N4726" s="8">
        <v>4.29</v>
      </c>
      <c r="O4726" s="8"/>
      <c r="P4726" s="8"/>
      <c r="Q4726" s="11"/>
      <c r="R4726" s="11"/>
      <c r="S4726" s="8">
        <v>1.0900000000000001</v>
      </c>
      <c r="T4726" s="8"/>
      <c r="U4726" s="8"/>
      <c r="V4726" s="8"/>
      <c r="W4726" s="8">
        <v>5.45</v>
      </c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>
        <v>6.82</v>
      </c>
      <c r="AN4726" s="8">
        <f>858*5.68/1000</f>
        <v>4.8734399999999996</v>
      </c>
      <c r="AO4726" s="8"/>
      <c r="AP4726" s="11"/>
      <c r="AQ4726" s="8"/>
      <c r="AR4726" s="8"/>
      <c r="AS4726" s="8">
        <f>3940*5.68/1000</f>
        <v>22.379199999999997</v>
      </c>
      <c r="AT4726" s="8">
        <v>262.22000000000003</v>
      </c>
      <c r="AU4726" s="8"/>
      <c r="AV4726" s="8"/>
      <c r="AW4726" s="8"/>
      <c r="AX4726" s="8"/>
      <c r="AY4726" s="8"/>
      <c r="AZ4726" s="8"/>
      <c r="BA4726" s="8"/>
      <c r="BB4726" s="8"/>
      <c r="BC4726" s="8"/>
      <c r="BD4726" s="8"/>
      <c r="BE4726" s="8"/>
      <c r="BF4726" s="8"/>
      <c r="BG4726" s="8">
        <v>19.09</v>
      </c>
      <c r="BH4726" s="9">
        <f t="shared" si="657"/>
        <v>680.52</v>
      </c>
      <c r="BI4726" s="9">
        <f t="shared" si="658"/>
        <v>4.29</v>
      </c>
      <c r="BJ4726" s="9">
        <f t="shared" si="659"/>
        <v>1.0900000000000001</v>
      </c>
      <c r="BK4726" s="9">
        <f t="shared" si="660"/>
        <v>5.45</v>
      </c>
      <c r="BL4726" s="9">
        <f t="shared" si="661"/>
        <v>0</v>
      </c>
      <c r="BM4726" s="9">
        <f t="shared" si="662"/>
        <v>34.072639999999993</v>
      </c>
      <c r="BN4726" s="9">
        <f t="shared" si="663"/>
        <v>262.22000000000003</v>
      </c>
      <c r="BO4726" s="9">
        <f t="shared" si="664"/>
        <v>0</v>
      </c>
      <c r="BP4726" s="9">
        <f t="shared" si="665"/>
        <v>0</v>
      </c>
    </row>
    <row r="4727" spans="1:68">
      <c r="A4727" s="6">
        <v>45448</v>
      </c>
      <c r="B4727" s="7">
        <v>8354</v>
      </c>
      <c r="C4727" s="8"/>
      <c r="D4727" s="8"/>
      <c r="E4727" s="8"/>
      <c r="F4727" s="8"/>
      <c r="G4727" s="8"/>
      <c r="H4727" s="8"/>
      <c r="I4727" s="8">
        <v>381.31</v>
      </c>
      <c r="J4727" s="8">
        <f>51241*12.27/1000</f>
        <v>628.72706999999991</v>
      </c>
      <c r="K4727" s="8"/>
      <c r="L4727" s="8"/>
      <c r="M4727" s="8"/>
      <c r="N4727" s="8">
        <f>540*12.27/1000</f>
        <v>6.6257999999999999</v>
      </c>
      <c r="O4727" s="8"/>
      <c r="P4727" s="8"/>
      <c r="Q4727" s="11"/>
      <c r="R4727" s="11"/>
      <c r="S4727" s="8">
        <v>3.13</v>
      </c>
      <c r="T4727" s="8"/>
      <c r="U4727" s="8">
        <v>6.26</v>
      </c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>
        <v>20.9</v>
      </c>
      <c r="AH4727" s="8"/>
      <c r="AI4727" s="8"/>
      <c r="AJ4727" s="8">
        <f>2547*12.27/1000</f>
        <v>31.25169</v>
      </c>
      <c r="AK4727" s="8"/>
      <c r="AL4727" s="8"/>
      <c r="AM4727" s="8"/>
      <c r="AN4727" s="8"/>
      <c r="AO4727" s="8"/>
      <c r="AP4727" s="11"/>
      <c r="AQ4727" s="8"/>
      <c r="AR4727" s="8"/>
      <c r="AS4727" s="8"/>
      <c r="AT4727" s="8"/>
      <c r="AU4727" s="8">
        <v>368.51</v>
      </c>
      <c r="AV4727" s="8"/>
      <c r="AW4727" s="8"/>
      <c r="AX4727" s="8"/>
      <c r="AY4727" s="8"/>
      <c r="AZ4727" s="8"/>
      <c r="BA4727" s="8"/>
      <c r="BB4727" s="8"/>
      <c r="BC4727" s="8"/>
      <c r="BD4727" s="8"/>
      <c r="BE4727" s="8"/>
      <c r="BF4727" s="8"/>
      <c r="BG4727" s="8">
        <v>25.11</v>
      </c>
      <c r="BH4727" s="9">
        <f t="shared" si="657"/>
        <v>1010.0370699999999</v>
      </c>
      <c r="BI4727" s="9">
        <f t="shared" si="658"/>
        <v>6.6257999999999999</v>
      </c>
      <c r="BJ4727" s="9">
        <f t="shared" si="659"/>
        <v>3.13</v>
      </c>
      <c r="BK4727" s="9">
        <f t="shared" si="660"/>
        <v>6.26</v>
      </c>
      <c r="BL4727" s="9">
        <f t="shared" si="661"/>
        <v>0</v>
      </c>
      <c r="BM4727" s="9">
        <f t="shared" si="662"/>
        <v>52.151690000000002</v>
      </c>
      <c r="BN4727" s="9">
        <f t="shared" si="663"/>
        <v>368.51</v>
      </c>
      <c r="BO4727" s="9">
        <f t="shared" si="664"/>
        <v>0</v>
      </c>
      <c r="BP4727" s="9">
        <f t="shared" si="665"/>
        <v>0</v>
      </c>
    </row>
    <row r="4728" spans="1:68">
      <c r="A4728" s="6">
        <v>45448</v>
      </c>
      <c r="B4728" s="7">
        <v>3705</v>
      </c>
      <c r="C4728" s="8"/>
      <c r="D4728" s="8">
        <v>741.73</v>
      </c>
      <c r="E4728" s="8"/>
      <c r="F4728" s="8"/>
      <c r="G4728" s="8"/>
      <c r="H4728" s="8"/>
      <c r="I4728" s="8">
        <v>161.66999999999999</v>
      </c>
      <c r="J4728" s="8"/>
      <c r="K4728" s="8"/>
      <c r="L4728" s="8"/>
      <c r="M4728" s="8">
        <v>2.71</v>
      </c>
      <c r="N4728" s="8"/>
      <c r="O4728" s="8"/>
      <c r="P4728" s="8"/>
      <c r="Q4728" s="11"/>
      <c r="R4728" s="11"/>
      <c r="S4728" s="8">
        <v>3.16</v>
      </c>
      <c r="T4728" s="8"/>
      <c r="U4728" s="8">
        <v>6.33</v>
      </c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11"/>
      <c r="AQ4728" s="8"/>
      <c r="AR4728" s="8"/>
      <c r="AS4728" s="8"/>
      <c r="AT4728" s="8">
        <v>54.04</v>
      </c>
      <c r="AU4728" s="8">
        <v>107.45</v>
      </c>
      <c r="AV4728" s="8"/>
      <c r="AW4728" s="8"/>
      <c r="AX4728" s="8"/>
      <c r="AY4728" s="8"/>
      <c r="AZ4728" s="8"/>
      <c r="BA4728" s="8"/>
      <c r="BB4728" s="8"/>
      <c r="BC4728" s="8"/>
      <c r="BD4728" s="8">
        <v>1.81</v>
      </c>
      <c r="BE4728" s="8"/>
      <c r="BF4728" s="8"/>
      <c r="BG4728" s="8">
        <v>8.8800000000000008</v>
      </c>
      <c r="BH4728" s="9">
        <f t="shared" si="657"/>
        <v>903.4</v>
      </c>
      <c r="BI4728" s="9">
        <f t="shared" si="658"/>
        <v>2.71</v>
      </c>
      <c r="BJ4728" s="9">
        <f t="shared" si="659"/>
        <v>3.16</v>
      </c>
      <c r="BK4728" s="9">
        <f t="shared" si="660"/>
        <v>6.33</v>
      </c>
      <c r="BL4728" s="9">
        <f t="shared" si="661"/>
        <v>0</v>
      </c>
      <c r="BM4728" s="9">
        <f t="shared" si="662"/>
        <v>0</v>
      </c>
      <c r="BN4728" s="9">
        <f t="shared" si="663"/>
        <v>161.49</v>
      </c>
      <c r="BO4728" s="9">
        <f t="shared" si="664"/>
        <v>1.81</v>
      </c>
      <c r="BP4728" s="9">
        <f t="shared" si="665"/>
        <v>0</v>
      </c>
    </row>
    <row r="4729" spans="1:68">
      <c r="A4729" s="6">
        <v>45449</v>
      </c>
      <c r="B4729" s="7">
        <v>3117</v>
      </c>
      <c r="C4729" s="8">
        <v>1545.94</v>
      </c>
      <c r="D4729" s="8"/>
      <c r="E4729" s="8"/>
      <c r="F4729" s="8"/>
      <c r="G4729" s="8"/>
      <c r="H4729" s="8"/>
      <c r="I4729" s="8"/>
      <c r="J4729" s="8"/>
      <c r="K4729" s="8"/>
      <c r="L4729" s="8"/>
      <c r="M4729" s="8">
        <v>4.5199999999999996</v>
      </c>
      <c r="N4729" s="8"/>
      <c r="O4729" s="8"/>
      <c r="P4729" s="8"/>
      <c r="Q4729" s="11"/>
      <c r="R4729" s="11"/>
      <c r="S4729" s="8">
        <v>6.25</v>
      </c>
      <c r="T4729" s="8"/>
      <c r="U4729" s="8">
        <v>15.6</v>
      </c>
      <c r="V4729" s="8"/>
      <c r="W4729" s="8"/>
      <c r="X4729" s="8"/>
      <c r="Y4729" s="8"/>
      <c r="Z4729" s="8"/>
      <c r="AA4729" s="8"/>
      <c r="AB4729" s="8"/>
      <c r="AC4729" s="8">
        <v>6.24</v>
      </c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11"/>
      <c r="AQ4729" s="8"/>
      <c r="AR4729" s="8"/>
      <c r="AS4729" s="8"/>
      <c r="AT4729" s="8">
        <v>981.58</v>
      </c>
      <c r="AU4729" s="8"/>
      <c r="AV4729" s="8">
        <v>39.020000000000003</v>
      </c>
      <c r="AW4729" s="8"/>
      <c r="AX4729" s="8"/>
      <c r="AY4729" s="8"/>
      <c r="AZ4729" s="8"/>
      <c r="BA4729" s="8"/>
      <c r="BB4729" s="8"/>
      <c r="BC4729" s="8"/>
      <c r="BD4729" s="8"/>
      <c r="BE4729" s="8"/>
      <c r="BF4729" s="8">
        <v>78</v>
      </c>
      <c r="BG4729" s="8">
        <v>74.83</v>
      </c>
      <c r="BH4729" s="9">
        <f t="shared" si="657"/>
        <v>1545.94</v>
      </c>
      <c r="BI4729" s="9">
        <f t="shared" si="658"/>
        <v>4.5199999999999996</v>
      </c>
      <c r="BJ4729" s="9">
        <f t="shared" si="659"/>
        <v>6.25</v>
      </c>
      <c r="BK4729" s="9">
        <f t="shared" si="660"/>
        <v>15.6</v>
      </c>
      <c r="BL4729" s="9">
        <f t="shared" si="661"/>
        <v>0</v>
      </c>
      <c r="BM4729" s="9">
        <f t="shared" si="662"/>
        <v>6.24</v>
      </c>
      <c r="BN4729" s="9">
        <f t="shared" si="663"/>
        <v>981.58</v>
      </c>
      <c r="BO4729" s="9">
        <f t="shared" si="664"/>
        <v>39.020000000000003</v>
      </c>
      <c r="BP4729" s="9">
        <f t="shared" si="665"/>
        <v>78</v>
      </c>
    </row>
    <row r="4730" spans="1:68">
      <c r="A4730" s="6">
        <v>45449</v>
      </c>
      <c r="B4730" s="7">
        <v>3136</v>
      </c>
      <c r="C4730" s="8">
        <v>1262.32</v>
      </c>
      <c r="D4730" s="8"/>
      <c r="E4730" s="8"/>
      <c r="F4730" s="8"/>
      <c r="G4730" s="8"/>
      <c r="H4730" s="8">
        <v>522.54</v>
      </c>
      <c r="I4730" s="8"/>
      <c r="J4730" s="8"/>
      <c r="K4730" s="8"/>
      <c r="L4730" s="8"/>
      <c r="M4730" s="8">
        <v>2.66</v>
      </c>
      <c r="N4730" s="8"/>
      <c r="O4730" s="8"/>
      <c r="P4730" s="8"/>
      <c r="Q4730" s="11"/>
      <c r="R4730" s="11"/>
      <c r="S4730" s="8">
        <v>6.4</v>
      </c>
      <c r="T4730" s="8"/>
      <c r="U4730" s="8">
        <v>20.3</v>
      </c>
      <c r="V4730" s="8"/>
      <c r="W4730" s="8"/>
      <c r="X4730" s="8"/>
      <c r="Y4730" s="8"/>
      <c r="Z4730" s="8"/>
      <c r="AA4730" s="8"/>
      <c r="AB4730" s="8"/>
      <c r="AC4730" s="8">
        <v>6.24</v>
      </c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11"/>
      <c r="AQ4730" s="8"/>
      <c r="AR4730" s="8"/>
      <c r="AS4730" s="8"/>
      <c r="AT4730" s="8">
        <v>1012.47</v>
      </c>
      <c r="AU4730" s="8"/>
      <c r="AV4730" s="8"/>
      <c r="AW4730" s="8"/>
      <c r="AX4730" s="8"/>
      <c r="AY4730" s="8"/>
      <c r="AZ4730" s="8"/>
      <c r="BA4730" s="8">
        <v>15.44</v>
      </c>
      <c r="BB4730" s="8"/>
      <c r="BC4730" s="8"/>
      <c r="BD4730" s="8"/>
      <c r="BE4730" s="8"/>
      <c r="BF4730" s="8">
        <v>62.43</v>
      </c>
      <c r="BG4730" s="8">
        <v>76.459999999999994</v>
      </c>
      <c r="BH4730" s="9">
        <f t="shared" si="657"/>
        <v>1784.86</v>
      </c>
      <c r="BI4730" s="9">
        <f t="shared" si="658"/>
        <v>2.66</v>
      </c>
      <c r="BJ4730" s="9">
        <f t="shared" si="659"/>
        <v>6.4</v>
      </c>
      <c r="BK4730" s="9">
        <f t="shared" si="660"/>
        <v>20.3</v>
      </c>
      <c r="BL4730" s="9">
        <f t="shared" si="661"/>
        <v>0</v>
      </c>
      <c r="BM4730" s="9">
        <f t="shared" si="662"/>
        <v>6.24</v>
      </c>
      <c r="BN4730" s="9">
        <f t="shared" si="663"/>
        <v>1012.47</v>
      </c>
      <c r="BO4730" s="9">
        <f t="shared" si="664"/>
        <v>15.44</v>
      </c>
      <c r="BP4730" s="9">
        <f t="shared" si="665"/>
        <v>62.43</v>
      </c>
    </row>
    <row r="4731" spans="1:68">
      <c r="A4731" s="6">
        <v>45449</v>
      </c>
      <c r="B4731" s="7">
        <v>3203</v>
      </c>
      <c r="C4731" s="8">
        <v>1657.07</v>
      </c>
      <c r="D4731" s="8"/>
      <c r="E4731" s="8">
        <v>709.66</v>
      </c>
      <c r="F4731" s="8"/>
      <c r="G4731" s="8"/>
      <c r="H4731" s="8"/>
      <c r="I4731" s="8"/>
      <c r="J4731" s="8"/>
      <c r="K4731" s="8"/>
      <c r="L4731" s="8"/>
      <c r="M4731" s="8"/>
      <c r="N4731" s="8"/>
      <c r="O4731" s="8">
        <v>7.12</v>
      </c>
      <c r="P4731" s="8"/>
      <c r="Q4731" s="11"/>
      <c r="R4731" s="11"/>
      <c r="S4731" s="8">
        <v>9.7200000000000006</v>
      </c>
      <c r="T4731" s="8"/>
      <c r="U4731" s="8">
        <v>29.42</v>
      </c>
      <c r="V4731" s="8"/>
      <c r="W4731" s="8"/>
      <c r="X4731" s="8"/>
      <c r="Y4731" s="8"/>
      <c r="Z4731" s="8">
        <v>373.87</v>
      </c>
      <c r="AA4731" s="8">
        <f>10421*27.92/1000</f>
        <v>290.95432</v>
      </c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11"/>
      <c r="AQ4731" s="8"/>
      <c r="AR4731" s="8"/>
      <c r="AS4731" s="8"/>
      <c r="AT4731" s="8">
        <v>888.11</v>
      </c>
      <c r="AU4731" s="8">
        <v>443.92</v>
      </c>
      <c r="AV4731" s="8"/>
      <c r="AW4731" s="8"/>
      <c r="AX4731" s="8"/>
      <c r="AY4731" s="8"/>
      <c r="AZ4731" s="8"/>
      <c r="BA4731" s="8"/>
      <c r="BB4731" s="8"/>
      <c r="BC4731" s="8">
        <v>6.16</v>
      </c>
      <c r="BD4731" s="8"/>
      <c r="BE4731" s="8"/>
      <c r="BF4731" s="8"/>
      <c r="BG4731" s="8">
        <v>87.08</v>
      </c>
      <c r="BH4731" s="9">
        <f t="shared" si="657"/>
        <v>2366.73</v>
      </c>
      <c r="BI4731" s="9">
        <f t="shared" si="658"/>
        <v>7.12</v>
      </c>
      <c r="BJ4731" s="9">
        <f t="shared" si="659"/>
        <v>9.7200000000000006</v>
      </c>
      <c r="BK4731" s="9">
        <f t="shared" si="660"/>
        <v>29.42</v>
      </c>
      <c r="BL4731" s="9">
        <f t="shared" si="661"/>
        <v>664.82431999999994</v>
      </c>
      <c r="BM4731" s="9">
        <f t="shared" si="662"/>
        <v>0</v>
      </c>
      <c r="BN4731" s="9">
        <f t="shared" si="663"/>
        <v>1332.03</v>
      </c>
      <c r="BO4731" s="9">
        <f t="shared" si="664"/>
        <v>6.16</v>
      </c>
      <c r="BP4731" s="9">
        <f t="shared" si="665"/>
        <v>0</v>
      </c>
    </row>
    <row r="4732" spans="1:68">
      <c r="A4732" s="6">
        <v>45449</v>
      </c>
      <c r="B4732" s="7">
        <v>8356</v>
      </c>
      <c r="C4732" s="8">
        <v>1965.33</v>
      </c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>
        <v>4.96</v>
      </c>
      <c r="P4732" s="8"/>
      <c r="Q4732" s="11"/>
      <c r="R4732" s="11"/>
      <c r="S4732" s="8">
        <v>7.69</v>
      </c>
      <c r="T4732" s="8"/>
      <c r="U4732" s="8">
        <f>1359*21.9/1000</f>
        <v>29.7621</v>
      </c>
      <c r="V4732" s="8"/>
      <c r="W4732" s="8"/>
      <c r="X4732" s="8"/>
      <c r="Y4732" s="8"/>
      <c r="Z4732" s="8">
        <v>414.47</v>
      </c>
      <c r="AA4732" s="8"/>
      <c r="AB4732" s="8"/>
      <c r="AC4732" s="8"/>
      <c r="AD4732" s="8"/>
      <c r="AE4732" s="8"/>
      <c r="AF4732" s="8">
        <v>97.76</v>
      </c>
      <c r="AG4732" s="8"/>
      <c r="AH4732" s="8"/>
      <c r="AI4732" s="8"/>
      <c r="AJ4732" s="8"/>
      <c r="AK4732" s="8"/>
      <c r="AL4732" s="8"/>
      <c r="AM4732" s="8"/>
      <c r="AN4732" s="8"/>
      <c r="AO4732" s="8"/>
      <c r="AP4732" s="11"/>
      <c r="AQ4732" s="8">
        <f>1349*21.9/1000</f>
        <v>29.543099999999999</v>
      </c>
      <c r="AR4732" s="8"/>
      <c r="AS4732" s="8"/>
      <c r="AT4732" s="8">
        <v>1365.75</v>
      </c>
      <c r="AU4732" s="8"/>
      <c r="AV4732" s="8"/>
      <c r="AW4732" s="8">
        <f>265*21.9/1000</f>
        <v>5.8034999999999997</v>
      </c>
      <c r="AX4732" s="8"/>
      <c r="AY4732" s="8"/>
      <c r="AZ4732" s="8"/>
      <c r="BA4732" s="8"/>
      <c r="BB4732" s="8"/>
      <c r="BC4732" s="8"/>
      <c r="BD4732" s="8"/>
      <c r="BE4732" s="8"/>
      <c r="BF4732" s="8">
        <v>94.7</v>
      </c>
      <c r="BG4732" s="8">
        <v>98.26</v>
      </c>
      <c r="BH4732" s="9">
        <f t="shared" si="657"/>
        <v>1965.33</v>
      </c>
      <c r="BI4732" s="9">
        <f t="shared" si="658"/>
        <v>4.96</v>
      </c>
      <c r="BJ4732" s="9">
        <f t="shared" si="659"/>
        <v>7.69</v>
      </c>
      <c r="BK4732" s="9">
        <f t="shared" si="660"/>
        <v>29.7621</v>
      </c>
      <c r="BL4732" s="9">
        <f t="shared" si="661"/>
        <v>414.47</v>
      </c>
      <c r="BM4732" s="9">
        <f t="shared" si="662"/>
        <v>127.3031</v>
      </c>
      <c r="BN4732" s="9">
        <f t="shared" si="663"/>
        <v>1365.75</v>
      </c>
      <c r="BO4732" s="9">
        <f t="shared" si="664"/>
        <v>5.8034999999999997</v>
      </c>
      <c r="BP4732" s="9">
        <f t="shared" si="665"/>
        <v>94.7</v>
      </c>
    </row>
    <row r="4733" spans="1:68">
      <c r="A4733" s="6">
        <v>45450</v>
      </c>
      <c r="B4733" s="7">
        <v>3118</v>
      </c>
      <c r="C4733" s="8">
        <v>732.58</v>
      </c>
      <c r="D4733" s="8"/>
      <c r="E4733" s="8"/>
      <c r="F4733" s="8"/>
      <c r="G4733" s="8"/>
      <c r="H4733" s="8"/>
      <c r="I4733" s="8"/>
      <c r="J4733" s="8"/>
      <c r="K4733" s="8"/>
      <c r="L4733" s="8"/>
      <c r="M4733" s="8">
        <v>2.4300000000000002</v>
      </c>
      <c r="N4733" s="8"/>
      <c r="O4733" s="8"/>
      <c r="P4733" s="8"/>
      <c r="Q4733" s="11"/>
      <c r="R4733" s="11"/>
      <c r="S4733" s="8">
        <v>4.04</v>
      </c>
      <c r="T4733" s="8"/>
      <c r="U4733" s="8">
        <v>8.81</v>
      </c>
      <c r="V4733" s="8"/>
      <c r="W4733" s="8"/>
      <c r="X4733" s="8"/>
      <c r="Y4733" s="8"/>
      <c r="Z4733" s="8"/>
      <c r="AA4733" s="8"/>
      <c r="AB4733" s="8"/>
      <c r="AC4733" s="8">
        <v>2.94</v>
      </c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11"/>
      <c r="AQ4733" s="8">
        <f>714*10.48/1000</f>
        <v>7.4827200000000005</v>
      </c>
      <c r="AR4733" s="8"/>
      <c r="AS4733" s="8"/>
      <c r="AT4733" s="8">
        <v>474.3</v>
      </c>
      <c r="AU4733" s="8"/>
      <c r="AV4733" s="8"/>
      <c r="AW4733" s="8"/>
      <c r="AX4733" s="8"/>
      <c r="AY4733" s="8"/>
      <c r="AZ4733" s="8"/>
      <c r="BA4733" s="8"/>
      <c r="BB4733" s="8"/>
      <c r="BC4733" s="8"/>
      <c r="BD4733" s="8"/>
      <c r="BE4733" s="8"/>
      <c r="BF4733" s="8">
        <v>51.49</v>
      </c>
      <c r="BG4733" s="8">
        <v>36.18</v>
      </c>
      <c r="BH4733" s="9">
        <f t="shared" si="657"/>
        <v>732.58</v>
      </c>
      <c r="BI4733" s="9">
        <f t="shared" si="658"/>
        <v>2.4300000000000002</v>
      </c>
      <c r="BJ4733" s="9">
        <f t="shared" si="659"/>
        <v>4.04</v>
      </c>
      <c r="BK4733" s="9">
        <f t="shared" si="660"/>
        <v>8.81</v>
      </c>
      <c r="BL4733" s="9">
        <f t="shared" si="661"/>
        <v>0</v>
      </c>
      <c r="BM4733" s="9">
        <f t="shared" si="662"/>
        <v>10.42272</v>
      </c>
      <c r="BN4733" s="9">
        <f t="shared" si="663"/>
        <v>474.3</v>
      </c>
      <c r="BO4733" s="9">
        <f t="shared" si="664"/>
        <v>0</v>
      </c>
      <c r="BP4733" s="9">
        <f t="shared" si="665"/>
        <v>51.49</v>
      </c>
    </row>
    <row r="4734" spans="1:68">
      <c r="A4734" s="6">
        <v>45450</v>
      </c>
      <c r="B4734" s="7">
        <v>3020</v>
      </c>
      <c r="C4734" s="8"/>
      <c r="D4734" s="8">
        <v>101.6</v>
      </c>
      <c r="E4734" s="8"/>
      <c r="F4734" s="8"/>
      <c r="G4734" s="8"/>
      <c r="H4734" s="8"/>
      <c r="I4734" s="8">
        <v>574.63</v>
      </c>
      <c r="J4734" s="8"/>
      <c r="K4734" s="8"/>
      <c r="L4734" s="8"/>
      <c r="M4734" s="8"/>
      <c r="N4734" s="8">
        <v>4.12</v>
      </c>
      <c r="O4734" s="8"/>
      <c r="P4734" s="8"/>
      <c r="Q4734" s="11"/>
      <c r="R4734" s="11"/>
      <c r="S4734" s="8">
        <v>1.22</v>
      </c>
      <c r="T4734" s="8"/>
      <c r="U4734" s="8"/>
      <c r="V4734" s="8"/>
      <c r="W4734" s="8">
        <v>6.76</v>
      </c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>
        <v>6.74</v>
      </c>
      <c r="AN4734" s="8"/>
      <c r="AO4734" s="8"/>
      <c r="AP4734" s="11"/>
      <c r="AQ4734" s="8"/>
      <c r="AR4734" s="8"/>
      <c r="AS4734" s="8">
        <f>3009*5.62/1000</f>
        <v>16.910580000000003</v>
      </c>
      <c r="AT4734" s="8">
        <v>332.16</v>
      </c>
      <c r="AU4734" s="8"/>
      <c r="AV4734" s="8"/>
      <c r="AW4734" s="8"/>
      <c r="AX4734" s="8"/>
      <c r="AY4734" s="8"/>
      <c r="AZ4734" s="8"/>
      <c r="BA4734" s="8"/>
      <c r="BB4734" s="8"/>
      <c r="BC4734" s="8"/>
      <c r="BD4734" s="8"/>
      <c r="BE4734" s="8"/>
      <c r="BF4734" s="8"/>
      <c r="BG4734" s="8">
        <v>24.3</v>
      </c>
      <c r="BH4734" s="9">
        <f t="shared" si="657"/>
        <v>676.23</v>
      </c>
      <c r="BI4734" s="9">
        <f t="shared" si="658"/>
        <v>4.12</v>
      </c>
      <c r="BJ4734" s="9">
        <f t="shared" si="659"/>
        <v>1.22</v>
      </c>
      <c r="BK4734" s="9">
        <f t="shared" si="660"/>
        <v>6.76</v>
      </c>
      <c r="BL4734" s="9">
        <f t="shared" si="661"/>
        <v>0</v>
      </c>
      <c r="BM4734" s="9">
        <f t="shared" si="662"/>
        <v>23.650580000000005</v>
      </c>
      <c r="BN4734" s="9">
        <f t="shared" si="663"/>
        <v>332.16</v>
      </c>
      <c r="BO4734" s="9">
        <f t="shared" si="664"/>
        <v>0</v>
      </c>
      <c r="BP4734" s="9">
        <f t="shared" si="665"/>
        <v>0</v>
      </c>
    </row>
    <row r="4735" spans="1:68">
      <c r="A4735" s="6">
        <v>45450</v>
      </c>
      <c r="B4735" s="7">
        <v>3022</v>
      </c>
      <c r="C4735" s="8"/>
      <c r="D4735" s="8">
        <v>585.62</v>
      </c>
      <c r="E4735" s="8"/>
      <c r="F4735" s="8"/>
      <c r="G4735" s="8"/>
      <c r="H4735" s="8"/>
      <c r="I4735" s="8">
        <v>482.08</v>
      </c>
      <c r="J4735" s="8"/>
      <c r="K4735" s="8"/>
      <c r="L4735" s="8"/>
      <c r="M4735" s="8"/>
      <c r="N4735" s="8">
        <v>5.35</v>
      </c>
      <c r="O4735" s="8"/>
      <c r="P4735" s="8"/>
      <c r="Q4735" s="11"/>
      <c r="R4735" s="11"/>
      <c r="S4735" s="8">
        <v>1.92</v>
      </c>
      <c r="T4735" s="8"/>
      <c r="U4735" s="8"/>
      <c r="V4735" s="8"/>
      <c r="W4735" s="8">
        <v>10.68</v>
      </c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>
        <v>13.89</v>
      </c>
      <c r="AN4735" s="8"/>
      <c r="AO4735" s="8"/>
      <c r="AP4735" s="11"/>
      <c r="AQ4735" s="8"/>
      <c r="AR4735" s="8"/>
      <c r="AS4735" s="8">
        <f>3855*9.72/1000</f>
        <v>37.470600000000005</v>
      </c>
      <c r="AT4735" s="8">
        <v>499.79</v>
      </c>
      <c r="AU4735" s="8"/>
      <c r="AV4735" s="8"/>
      <c r="AW4735" s="8"/>
      <c r="AX4735" s="8"/>
      <c r="AY4735" s="8"/>
      <c r="AZ4735" s="8"/>
      <c r="BA4735" s="8"/>
      <c r="BB4735" s="8"/>
      <c r="BC4735" s="8"/>
      <c r="BD4735" s="8"/>
      <c r="BE4735" s="8"/>
      <c r="BF4735" s="8"/>
      <c r="BG4735" s="8">
        <v>38.43</v>
      </c>
      <c r="BH4735" s="9">
        <f t="shared" si="657"/>
        <v>1067.7</v>
      </c>
      <c r="BI4735" s="9">
        <f t="shared" si="658"/>
        <v>5.35</v>
      </c>
      <c r="BJ4735" s="9">
        <f t="shared" si="659"/>
        <v>1.92</v>
      </c>
      <c r="BK4735" s="9">
        <f t="shared" si="660"/>
        <v>10.68</v>
      </c>
      <c r="BL4735" s="9">
        <f t="shared" si="661"/>
        <v>0</v>
      </c>
      <c r="BM4735" s="9">
        <f t="shared" si="662"/>
        <v>51.360600000000005</v>
      </c>
      <c r="BN4735" s="9">
        <f t="shared" si="663"/>
        <v>499.79</v>
      </c>
      <c r="BO4735" s="9">
        <f t="shared" si="664"/>
        <v>0</v>
      </c>
      <c r="BP4735" s="9">
        <f t="shared" si="665"/>
        <v>0</v>
      </c>
    </row>
    <row r="4736" spans="1:68">
      <c r="A4736" s="6">
        <v>45450</v>
      </c>
      <c r="B4736" s="7">
        <v>3024</v>
      </c>
      <c r="C4736" s="8"/>
      <c r="D4736" s="8">
        <v>341.5</v>
      </c>
      <c r="E4736" s="8"/>
      <c r="F4736" s="8"/>
      <c r="G4736" s="8"/>
      <c r="H4736" s="8"/>
      <c r="I4736" s="8">
        <v>341.62</v>
      </c>
      <c r="J4736" s="8"/>
      <c r="K4736" s="8"/>
      <c r="L4736" s="8"/>
      <c r="M4736" s="8"/>
      <c r="N4736" s="8">
        <v>4.3</v>
      </c>
      <c r="O4736" s="8"/>
      <c r="P4736" s="8"/>
      <c r="Q4736" s="11"/>
      <c r="R4736" s="11"/>
      <c r="S4736" s="8">
        <v>1.0900000000000001</v>
      </c>
      <c r="T4736" s="8"/>
      <c r="U4736" s="8"/>
      <c r="V4736" s="8"/>
      <c r="W4736" s="8">
        <v>5.46</v>
      </c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>
        <v>6.85</v>
      </c>
      <c r="AN4736" s="8">
        <f>859*5.68/1000</f>
        <v>4.8791199999999995</v>
      </c>
      <c r="AO4736" s="8"/>
      <c r="AP4736" s="11"/>
      <c r="AQ4736" s="8"/>
      <c r="AR4736" s="8"/>
      <c r="AS4736" s="8">
        <f>3974*5.68/1000</f>
        <v>22.572320000000001</v>
      </c>
      <c r="AT4736" s="8">
        <v>263.06</v>
      </c>
      <c r="AU4736" s="8"/>
      <c r="AV4736" s="8"/>
      <c r="AW4736" s="8"/>
      <c r="AX4736" s="8"/>
      <c r="AY4736" s="8"/>
      <c r="AZ4736" s="8"/>
      <c r="BA4736" s="8"/>
      <c r="BB4736" s="8"/>
      <c r="BC4736" s="8"/>
      <c r="BD4736" s="8"/>
      <c r="BE4736" s="8"/>
      <c r="BF4736" s="8"/>
      <c r="BG4736" s="8">
        <v>19.16</v>
      </c>
      <c r="BH4736" s="9">
        <f t="shared" si="657"/>
        <v>683.12</v>
      </c>
      <c r="BI4736" s="9">
        <f t="shared" si="658"/>
        <v>4.3</v>
      </c>
      <c r="BJ4736" s="9">
        <f t="shared" si="659"/>
        <v>1.0900000000000001</v>
      </c>
      <c r="BK4736" s="9">
        <f t="shared" si="660"/>
        <v>5.46</v>
      </c>
      <c r="BL4736" s="9">
        <f t="shared" si="661"/>
        <v>0</v>
      </c>
      <c r="BM4736" s="9">
        <f t="shared" si="662"/>
        <v>34.301439999999999</v>
      </c>
      <c r="BN4736" s="9">
        <f t="shared" si="663"/>
        <v>263.06</v>
      </c>
      <c r="BO4736" s="9">
        <f t="shared" si="664"/>
        <v>0</v>
      </c>
      <c r="BP4736" s="9">
        <f t="shared" si="665"/>
        <v>0</v>
      </c>
    </row>
    <row r="4737" spans="1:68">
      <c r="A4737" s="6">
        <v>45450</v>
      </c>
      <c r="B4737" s="7">
        <v>3016</v>
      </c>
      <c r="C4737" s="8"/>
      <c r="D4737" s="8">
        <f>2399.53+128.46</f>
        <v>2527.9900000000002</v>
      </c>
      <c r="E4737" s="8"/>
      <c r="F4737" s="8"/>
      <c r="G4737" s="8"/>
      <c r="H4737" s="8"/>
      <c r="I4737" s="8">
        <f>2210.95+118.49</f>
        <v>2329.4399999999996</v>
      </c>
      <c r="J4737" s="8"/>
      <c r="K4737" s="8"/>
      <c r="L4737" s="8"/>
      <c r="M4737" s="8"/>
      <c r="N4737" s="8">
        <f>29.5+1.58</f>
        <v>31.08</v>
      </c>
      <c r="O4737" s="8"/>
      <c r="P4737" s="8"/>
      <c r="Q4737" s="11"/>
      <c r="R4737" s="11"/>
      <c r="S4737" s="8">
        <f>3.22+0.17</f>
        <v>3.39</v>
      </c>
      <c r="T4737" s="8"/>
      <c r="U4737" s="8"/>
      <c r="V4737" s="8"/>
      <c r="W4737" s="8">
        <f>46.09+2.48</f>
        <v>48.57</v>
      </c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>
        <f>18.38+0.99</f>
        <v>19.369999999999997</v>
      </c>
      <c r="AN4737" s="8">
        <f>2052*28.57/1000</f>
        <v>58.625639999999997</v>
      </c>
      <c r="AO4737" s="8"/>
      <c r="AP4737" s="11"/>
      <c r="AQ4737" s="8"/>
      <c r="AR4737" s="8">
        <f>4276*28.57/1000</f>
        <v>122.16532000000001</v>
      </c>
      <c r="AS4737" s="8"/>
      <c r="AT4737" s="8">
        <f>1713.89+92.1</f>
        <v>1805.99</v>
      </c>
      <c r="AU4737" s="8"/>
      <c r="AV4737" s="8"/>
      <c r="AW4737" s="8"/>
      <c r="AX4737" s="8"/>
      <c r="AY4737" s="8"/>
      <c r="AZ4737" s="8"/>
      <c r="BA4737" s="8"/>
      <c r="BB4737" s="8"/>
      <c r="BC4737" s="8"/>
      <c r="BD4737" s="8"/>
      <c r="BE4737" s="8"/>
      <c r="BF4737" s="8"/>
      <c r="BG4737" s="8">
        <f>125.52+6.72</f>
        <v>132.24</v>
      </c>
      <c r="BH4737" s="9">
        <f t="shared" si="657"/>
        <v>4857.43</v>
      </c>
      <c r="BI4737" s="9">
        <f t="shared" si="658"/>
        <v>31.08</v>
      </c>
      <c r="BJ4737" s="9">
        <f t="shared" si="659"/>
        <v>3.39</v>
      </c>
      <c r="BK4737" s="9">
        <f t="shared" si="660"/>
        <v>48.57</v>
      </c>
      <c r="BL4737" s="9">
        <f t="shared" si="661"/>
        <v>0</v>
      </c>
      <c r="BM4737" s="9">
        <f t="shared" si="662"/>
        <v>200.16095999999999</v>
      </c>
      <c r="BN4737" s="9">
        <f t="shared" si="663"/>
        <v>1805.99</v>
      </c>
      <c r="BO4737" s="9">
        <f t="shared" si="664"/>
        <v>0</v>
      </c>
      <c r="BP4737" s="9">
        <f t="shared" si="665"/>
        <v>0</v>
      </c>
    </row>
    <row r="4738" spans="1:68">
      <c r="A4738" s="6">
        <v>45450</v>
      </c>
      <c r="B4738" s="7">
        <v>8356</v>
      </c>
      <c r="C4738" s="8">
        <v>2015.57</v>
      </c>
      <c r="D4738" s="8"/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>
        <v>5.0599999999999996</v>
      </c>
      <c r="P4738" s="8"/>
      <c r="Q4738" s="11"/>
      <c r="R4738" s="11"/>
      <c r="S4738" s="8">
        <v>7.87</v>
      </c>
      <c r="T4738" s="8"/>
      <c r="U4738" s="8">
        <f>1355*22.4/1000</f>
        <v>30.351999999999997</v>
      </c>
      <c r="V4738" s="8"/>
      <c r="W4738" s="8"/>
      <c r="X4738" s="8"/>
      <c r="Y4738" s="8"/>
      <c r="Z4738" s="8">
        <v>423.72</v>
      </c>
      <c r="AA4738" s="8"/>
      <c r="AB4738" s="8"/>
      <c r="AC4738" s="8"/>
      <c r="AD4738" s="8"/>
      <c r="AE4738" s="8"/>
      <c r="AF4738" s="8">
        <v>100.71</v>
      </c>
      <c r="AG4738" s="8"/>
      <c r="AH4738" s="8"/>
      <c r="AI4738" s="8"/>
      <c r="AJ4738" s="8"/>
      <c r="AK4738" s="8"/>
      <c r="AL4738" s="8"/>
      <c r="AM4738" s="8"/>
      <c r="AN4738" s="8"/>
      <c r="AO4738" s="8"/>
      <c r="AP4738" s="11"/>
      <c r="AQ4738" s="8">
        <f>1359*22.4/1000</f>
        <v>30.441599999999998</v>
      </c>
      <c r="AR4738" s="8"/>
      <c r="AS4738" s="8"/>
      <c r="AT4738" s="8">
        <v>1379.54</v>
      </c>
      <c r="AU4738" s="8"/>
      <c r="AV4738" s="8"/>
      <c r="AW4738" s="8">
        <f>266*22.4/1000</f>
        <v>5.9583999999999993</v>
      </c>
      <c r="AX4738" s="8"/>
      <c r="AY4738" s="8"/>
      <c r="AZ4738" s="8"/>
      <c r="BA4738" s="8"/>
      <c r="BB4738" s="8"/>
      <c r="BC4738" s="8"/>
      <c r="BD4738" s="8"/>
      <c r="BE4738" s="8"/>
      <c r="BF4738" s="8">
        <v>96.85</v>
      </c>
      <c r="BG4738" s="8">
        <v>99.97</v>
      </c>
      <c r="BH4738" s="9">
        <f t="shared" si="657"/>
        <v>2015.57</v>
      </c>
      <c r="BI4738" s="9">
        <f t="shared" si="658"/>
        <v>5.0599999999999996</v>
      </c>
      <c r="BJ4738" s="9">
        <f t="shared" si="659"/>
        <v>7.87</v>
      </c>
      <c r="BK4738" s="9">
        <f t="shared" si="660"/>
        <v>30.351999999999997</v>
      </c>
      <c r="BL4738" s="9">
        <f t="shared" si="661"/>
        <v>423.72</v>
      </c>
      <c r="BM4738" s="9">
        <f t="shared" si="662"/>
        <v>131.1516</v>
      </c>
      <c r="BN4738" s="9">
        <f t="shared" si="663"/>
        <v>1379.54</v>
      </c>
      <c r="BO4738" s="9">
        <f t="shared" si="664"/>
        <v>5.9583999999999993</v>
      </c>
      <c r="BP4738" s="9">
        <f t="shared" si="665"/>
        <v>96.85</v>
      </c>
    </row>
    <row r="4739" spans="1:68">
      <c r="A4739" s="6">
        <v>45453</v>
      </c>
      <c r="B4739" s="7">
        <v>3106</v>
      </c>
      <c r="C4739" s="8">
        <v>6090.36</v>
      </c>
      <c r="D4739" s="8"/>
      <c r="E4739" s="8"/>
      <c r="F4739" s="8"/>
      <c r="G4739" s="8"/>
      <c r="H4739" s="8"/>
      <c r="I4739" s="8"/>
      <c r="J4739" s="8"/>
      <c r="K4739" s="8"/>
      <c r="L4739" s="8"/>
      <c r="M4739" s="8">
        <v>18.170000000000002</v>
      </c>
      <c r="N4739" s="8"/>
      <c r="O4739" s="8"/>
      <c r="P4739" s="8"/>
      <c r="Q4739" s="11"/>
      <c r="R4739" s="11"/>
      <c r="S4739" s="8">
        <v>18.28</v>
      </c>
      <c r="T4739" s="8"/>
      <c r="U4739" s="8">
        <v>77.34</v>
      </c>
      <c r="V4739" s="8"/>
      <c r="W4739" s="8"/>
      <c r="X4739" s="8"/>
      <c r="Y4739" s="8"/>
      <c r="Z4739" s="8"/>
      <c r="AA4739" s="8"/>
      <c r="AB4739" s="8"/>
      <c r="AC4739" s="8">
        <v>15.21</v>
      </c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11"/>
      <c r="AQ4739" s="8"/>
      <c r="AR4739" s="8"/>
      <c r="AS4739" s="8"/>
      <c r="AT4739" s="8">
        <v>3466.74</v>
      </c>
      <c r="AU4739" s="8"/>
      <c r="AV4739" s="8"/>
      <c r="AW4739" s="8"/>
      <c r="AX4739" s="8">
        <v>7.61</v>
      </c>
      <c r="AY4739" s="8"/>
      <c r="AZ4739" s="8"/>
      <c r="BA4739" s="8"/>
      <c r="BB4739" s="8"/>
      <c r="BC4739" s="8"/>
      <c r="BD4739" s="8"/>
      <c r="BE4739" s="8"/>
      <c r="BF4739" s="8"/>
      <c r="BG4739" s="8">
        <v>263.27</v>
      </c>
      <c r="BH4739" s="9">
        <f t="shared" si="657"/>
        <v>6090.36</v>
      </c>
      <c r="BI4739" s="9">
        <f t="shared" si="658"/>
        <v>18.170000000000002</v>
      </c>
      <c r="BJ4739" s="9">
        <f t="shared" si="659"/>
        <v>18.28</v>
      </c>
      <c r="BK4739" s="9">
        <f t="shared" si="660"/>
        <v>77.34</v>
      </c>
      <c r="BL4739" s="9">
        <f t="shared" si="661"/>
        <v>0</v>
      </c>
      <c r="BM4739" s="9">
        <f t="shared" si="662"/>
        <v>15.21</v>
      </c>
      <c r="BN4739" s="9">
        <f t="shared" si="663"/>
        <v>3466.74</v>
      </c>
      <c r="BO4739" s="9">
        <f t="shared" si="664"/>
        <v>7.61</v>
      </c>
      <c r="BP4739" s="9">
        <f t="shared" si="665"/>
        <v>0</v>
      </c>
    </row>
    <row r="4740" spans="1:68">
      <c r="A4740" s="6">
        <v>45453</v>
      </c>
      <c r="B4740" s="7">
        <v>3079</v>
      </c>
      <c r="C4740" s="8"/>
      <c r="D4740" s="8"/>
      <c r="E4740" s="8"/>
      <c r="F4740" s="8">
        <v>671.47</v>
      </c>
      <c r="G4740" s="8"/>
      <c r="H4740" s="8"/>
      <c r="I4740" s="8">
        <v>5430.92</v>
      </c>
      <c r="J4740" s="8"/>
      <c r="K4740" s="8"/>
      <c r="L4740" s="8"/>
      <c r="M4740" s="8"/>
      <c r="N4740" s="8">
        <v>45.17</v>
      </c>
      <c r="O4740" s="8"/>
      <c r="P4740" s="8"/>
      <c r="Q4740" s="11"/>
      <c r="R4740" s="11"/>
      <c r="S4740" s="8">
        <v>2.4300000000000002</v>
      </c>
      <c r="T4740" s="8"/>
      <c r="U4740" s="8"/>
      <c r="V4740" s="8"/>
      <c r="W4740" s="8">
        <v>61.07</v>
      </c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>
        <v>24.4</v>
      </c>
      <c r="AN4740" s="8">
        <f>1723*35.92/1000</f>
        <v>61.890160000000002</v>
      </c>
      <c r="AO4740" s="8"/>
      <c r="AP4740" s="11"/>
      <c r="AQ4740" s="8"/>
      <c r="AR4740" s="8">
        <f>4286*35.92/1000</f>
        <v>153.95311999999998</v>
      </c>
      <c r="AS4740" s="8"/>
      <c r="AT4740" s="8">
        <v>2355.69</v>
      </c>
      <c r="AU4740" s="8"/>
      <c r="AV4740" s="8"/>
      <c r="AW4740" s="8"/>
      <c r="AX4740" s="8"/>
      <c r="AY4740" s="8"/>
      <c r="AZ4740" s="8"/>
      <c r="BA4740" s="8"/>
      <c r="BB4740" s="8"/>
      <c r="BC4740" s="8"/>
      <c r="BD4740" s="8"/>
      <c r="BE4740" s="8"/>
      <c r="BF4740" s="8"/>
      <c r="BG4740" s="8">
        <v>170.62</v>
      </c>
      <c r="BH4740" s="9">
        <f t="shared" ref="BH4740:BH4803" si="666">SUM(C4740:L4740)</f>
        <v>6102.39</v>
      </c>
      <c r="BI4740" s="9">
        <f t="shared" ref="BI4740:BI4803" si="667">SUM(M4740:R4740)</f>
        <v>45.17</v>
      </c>
      <c r="BJ4740" s="9">
        <f t="shared" ref="BJ4740:BJ4803" si="668">SUM(S4740)</f>
        <v>2.4300000000000002</v>
      </c>
      <c r="BK4740" s="9">
        <f t="shared" ref="BK4740:BK4803" si="669">SUM(T4740:Y4740)</f>
        <v>61.07</v>
      </c>
      <c r="BL4740" s="9">
        <f t="shared" ref="BL4740:BL4803" si="670">SUM(Z4740:AA4740)</f>
        <v>0</v>
      </c>
      <c r="BM4740" s="9">
        <f t="shared" ref="BM4740:BM4803" si="671">SUM(AB4740:AS4740)</f>
        <v>240.24327999999997</v>
      </c>
      <c r="BN4740" s="9">
        <f t="shared" ref="BN4740:BN4803" si="672">SUM(AT4740:AU4740)</f>
        <v>2355.69</v>
      </c>
      <c r="BO4740" s="9">
        <f t="shared" ref="BO4740:BO4803" si="673">SUM(AV4740:BE4740)</f>
        <v>0</v>
      </c>
      <c r="BP4740" s="9">
        <f t="shared" ref="BP4740:BP4803" si="674">SUM(BF4740)</f>
        <v>0</v>
      </c>
    </row>
    <row r="4741" spans="1:68">
      <c r="A4741" s="6">
        <v>45453</v>
      </c>
      <c r="B4741" s="7">
        <v>3028</v>
      </c>
      <c r="C4741" s="8"/>
      <c r="D4741" s="8">
        <v>393.44</v>
      </c>
      <c r="E4741" s="8"/>
      <c r="F4741" s="8">
        <v>362.91</v>
      </c>
      <c r="G4741" s="8"/>
      <c r="H4741" s="8"/>
      <c r="I4741" s="8">
        <v>820.89</v>
      </c>
      <c r="J4741" s="8"/>
      <c r="K4741" s="8"/>
      <c r="L4741" s="8"/>
      <c r="M4741" s="8"/>
      <c r="N4741" s="8">
        <v>12.16</v>
      </c>
      <c r="O4741" s="8"/>
      <c r="P4741" s="8"/>
      <c r="Q4741" s="11"/>
      <c r="R4741" s="11"/>
      <c r="S4741" s="8">
        <v>2.2000000000000002</v>
      </c>
      <c r="T4741" s="8"/>
      <c r="U4741" s="8"/>
      <c r="V4741" s="8"/>
      <c r="W4741" s="8">
        <v>11.85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>
        <v>15.73</v>
      </c>
      <c r="AN4741" s="8">
        <f>1058*10.52/1000</f>
        <v>11.13016</v>
      </c>
      <c r="AO4741" s="8"/>
      <c r="AP4741" s="11"/>
      <c r="AQ4741" s="8"/>
      <c r="AR4741" s="8"/>
      <c r="AS4741" s="8">
        <f>4990*10.52/1000</f>
        <v>52.494799999999998</v>
      </c>
      <c r="AT4741" s="8">
        <v>526.61</v>
      </c>
      <c r="AU4741" s="8"/>
      <c r="AV4741" s="8"/>
      <c r="AW4741" s="8"/>
      <c r="AX4741" s="8"/>
      <c r="AY4741" s="8"/>
      <c r="AZ4741" s="8"/>
      <c r="BA4741" s="8"/>
      <c r="BB4741" s="8"/>
      <c r="BC4741" s="8"/>
      <c r="BD4741" s="8"/>
      <c r="BE4741" s="8"/>
      <c r="BF4741" s="8"/>
      <c r="BG4741" s="8">
        <v>35.979999999999997</v>
      </c>
      <c r="BH4741" s="9">
        <f t="shared" si="666"/>
        <v>1577.24</v>
      </c>
      <c r="BI4741" s="9">
        <f t="shared" si="667"/>
        <v>12.16</v>
      </c>
      <c r="BJ4741" s="9">
        <f t="shared" si="668"/>
        <v>2.2000000000000002</v>
      </c>
      <c r="BK4741" s="9">
        <f t="shared" si="669"/>
        <v>11.85</v>
      </c>
      <c r="BL4741" s="9">
        <f t="shared" si="670"/>
        <v>0</v>
      </c>
      <c r="BM4741" s="9">
        <f t="shared" si="671"/>
        <v>79.354960000000005</v>
      </c>
      <c r="BN4741" s="9">
        <f t="shared" si="672"/>
        <v>526.61</v>
      </c>
      <c r="BO4741" s="9">
        <f t="shared" si="673"/>
        <v>0</v>
      </c>
      <c r="BP4741" s="9">
        <f t="shared" si="674"/>
        <v>0</v>
      </c>
    </row>
    <row r="4742" spans="1:68">
      <c r="A4742" s="6">
        <v>45453</v>
      </c>
      <c r="B4742" s="7">
        <v>3021</v>
      </c>
      <c r="C4742" s="8"/>
      <c r="D4742" s="8">
        <v>355.33</v>
      </c>
      <c r="E4742" s="8"/>
      <c r="F4742" s="8"/>
      <c r="G4742" s="8"/>
      <c r="H4742" s="8"/>
      <c r="I4742" s="8">
        <v>659.44</v>
      </c>
      <c r="J4742" s="8"/>
      <c r="K4742" s="8"/>
      <c r="L4742" s="8"/>
      <c r="M4742" s="8"/>
      <c r="N4742" s="8">
        <v>5.4</v>
      </c>
      <c r="O4742" s="8"/>
      <c r="P4742" s="8"/>
      <c r="Q4742" s="11"/>
      <c r="R4742" s="11"/>
      <c r="S4742" s="8">
        <v>1.83</v>
      </c>
      <c r="T4742" s="8"/>
      <c r="U4742" s="8"/>
      <c r="V4742" s="8"/>
      <c r="W4742" s="8">
        <v>10.14</v>
      </c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>
        <v>10.15</v>
      </c>
      <c r="AN4742" s="8"/>
      <c r="AO4742" s="8"/>
      <c r="AP4742" s="11"/>
      <c r="AQ4742" s="8"/>
      <c r="AR4742" s="8"/>
      <c r="AS4742" s="8">
        <f>2637*9.67/1000</f>
        <v>25.499790000000001</v>
      </c>
      <c r="AT4742" s="8">
        <v>477.58</v>
      </c>
      <c r="AU4742" s="8"/>
      <c r="AV4742" s="8"/>
      <c r="AW4742" s="8"/>
      <c r="AX4742" s="8"/>
      <c r="AY4742" s="8"/>
      <c r="AZ4742" s="8"/>
      <c r="BA4742" s="8"/>
      <c r="BB4742" s="8"/>
      <c r="BC4742" s="8"/>
      <c r="BD4742" s="8"/>
      <c r="BE4742" s="8"/>
      <c r="BF4742" s="8"/>
      <c r="BG4742" s="8">
        <v>35.93</v>
      </c>
      <c r="BH4742" s="9">
        <f t="shared" si="666"/>
        <v>1014.77</v>
      </c>
      <c r="BI4742" s="9">
        <f t="shared" si="667"/>
        <v>5.4</v>
      </c>
      <c r="BJ4742" s="9">
        <f t="shared" si="668"/>
        <v>1.83</v>
      </c>
      <c r="BK4742" s="9">
        <f t="shared" si="669"/>
        <v>10.14</v>
      </c>
      <c r="BL4742" s="9">
        <f t="shared" si="670"/>
        <v>0</v>
      </c>
      <c r="BM4742" s="9">
        <f t="shared" si="671"/>
        <v>35.649790000000003</v>
      </c>
      <c r="BN4742" s="9">
        <f t="shared" si="672"/>
        <v>477.58</v>
      </c>
      <c r="BO4742" s="9">
        <f t="shared" si="673"/>
        <v>0</v>
      </c>
      <c r="BP4742" s="9">
        <f t="shared" si="674"/>
        <v>0</v>
      </c>
    </row>
    <row r="4743" spans="1:68">
      <c r="A4743" s="6">
        <v>45453</v>
      </c>
      <c r="B4743" s="7">
        <v>3025</v>
      </c>
      <c r="C4743" s="8"/>
      <c r="D4743" s="8">
        <v>208.11</v>
      </c>
      <c r="E4743" s="8"/>
      <c r="F4743" s="8"/>
      <c r="G4743" s="8"/>
      <c r="H4743" s="8"/>
      <c r="I4743" s="8">
        <v>1177.32</v>
      </c>
      <c r="J4743" s="8"/>
      <c r="K4743" s="8"/>
      <c r="L4743" s="8"/>
      <c r="M4743" s="8"/>
      <c r="N4743" s="8">
        <v>7.76</v>
      </c>
      <c r="O4743" s="8"/>
      <c r="P4743" s="8"/>
      <c r="Q4743" s="11"/>
      <c r="R4743" s="11"/>
      <c r="S4743" s="8">
        <v>2.21</v>
      </c>
      <c r="T4743" s="8"/>
      <c r="U4743" s="8"/>
      <c r="V4743" s="8"/>
      <c r="W4743" s="8">
        <v>12.46</v>
      </c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>
        <v>13.83</v>
      </c>
      <c r="AN4743" s="8">
        <f>716*13.85/1000</f>
        <v>9.9166000000000007</v>
      </c>
      <c r="AO4743" s="8"/>
      <c r="AP4743" s="11"/>
      <c r="AQ4743" s="8"/>
      <c r="AR4743" s="8"/>
      <c r="AS4743" s="8">
        <f>3328*13.85/1000</f>
        <v>46.092799999999997</v>
      </c>
      <c r="AT4743" s="8">
        <v>479.29</v>
      </c>
      <c r="AU4743" s="8"/>
      <c r="AV4743" s="8"/>
      <c r="AW4743" s="8"/>
      <c r="AX4743" s="8"/>
      <c r="AY4743" s="8"/>
      <c r="AZ4743" s="8"/>
      <c r="BA4743" s="8"/>
      <c r="BB4743" s="8"/>
      <c r="BC4743" s="8"/>
      <c r="BD4743" s="8"/>
      <c r="BE4743" s="8"/>
      <c r="BF4743" s="8"/>
      <c r="BG4743" s="8">
        <v>31.74</v>
      </c>
      <c r="BH4743" s="9">
        <f t="shared" si="666"/>
        <v>1385.4299999999998</v>
      </c>
      <c r="BI4743" s="9">
        <f t="shared" si="667"/>
        <v>7.76</v>
      </c>
      <c r="BJ4743" s="9">
        <f t="shared" si="668"/>
        <v>2.21</v>
      </c>
      <c r="BK4743" s="9">
        <f t="shared" si="669"/>
        <v>12.46</v>
      </c>
      <c r="BL4743" s="9">
        <f t="shared" si="670"/>
        <v>0</v>
      </c>
      <c r="BM4743" s="9">
        <f t="shared" si="671"/>
        <v>69.839399999999998</v>
      </c>
      <c r="BN4743" s="9">
        <f t="shared" si="672"/>
        <v>479.29</v>
      </c>
      <c r="BO4743" s="9">
        <f t="shared" si="673"/>
        <v>0</v>
      </c>
      <c r="BP4743" s="9">
        <f t="shared" si="674"/>
        <v>0</v>
      </c>
    </row>
    <row r="4744" spans="1:68">
      <c r="A4744" s="6">
        <v>45453</v>
      </c>
      <c r="B4744" s="7">
        <v>3122</v>
      </c>
      <c r="C4744" s="8">
        <v>791.25</v>
      </c>
      <c r="D4744" s="8"/>
      <c r="E4744" s="8"/>
      <c r="F4744" s="8"/>
      <c r="G4744" s="8"/>
      <c r="H4744" s="8"/>
      <c r="I4744" s="8"/>
      <c r="J4744" s="8"/>
      <c r="K4744" s="8"/>
      <c r="L4744" s="8"/>
      <c r="M4744" s="8">
        <v>1.43</v>
      </c>
      <c r="N4744" s="8">
        <v>1.42</v>
      </c>
      <c r="O4744" s="8"/>
      <c r="P4744" s="8"/>
      <c r="Q4744" s="11"/>
      <c r="R4744" s="11"/>
      <c r="S4744" s="8">
        <v>3.25</v>
      </c>
      <c r="T4744" s="8"/>
      <c r="U4744" s="8">
        <v>7.92</v>
      </c>
      <c r="V4744" s="8"/>
      <c r="W4744" s="8"/>
      <c r="X4744" s="8"/>
      <c r="Y4744" s="8"/>
      <c r="Z4744" s="8"/>
      <c r="AA4744" s="8"/>
      <c r="AB4744" s="8"/>
      <c r="AC4744" s="8">
        <v>3.17</v>
      </c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11"/>
      <c r="AQ4744" s="8"/>
      <c r="AR4744" s="8"/>
      <c r="AS4744" s="8"/>
      <c r="AT4744" s="8">
        <v>351.18</v>
      </c>
      <c r="AU4744" s="8"/>
      <c r="AV4744" s="8">
        <v>26.88</v>
      </c>
      <c r="AW4744" s="8"/>
      <c r="AX4744" s="8"/>
      <c r="AY4744" s="8"/>
      <c r="AZ4744" s="8"/>
      <c r="BA4744" s="8"/>
      <c r="BB4744" s="8"/>
      <c r="BC4744" s="8"/>
      <c r="BD4744" s="8"/>
      <c r="BE4744" s="8"/>
      <c r="BF4744" s="8"/>
      <c r="BG4744" s="8">
        <v>25.73</v>
      </c>
      <c r="BH4744" s="9">
        <f t="shared" si="666"/>
        <v>791.25</v>
      </c>
      <c r="BI4744" s="9">
        <f t="shared" si="667"/>
        <v>2.8499999999999996</v>
      </c>
      <c r="BJ4744" s="9">
        <f t="shared" si="668"/>
        <v>3.25</v>
      </c>
      <c r="BK4744" s="9">
        <f t="shared" si="669"/>
        <v>7.92</v>
      </c>
      <c r="BL4744" s="9">
        <f t="shared" si="670"/>
        <v>0</v>
      </c>
      <c r="BM4744" s="9">
        <f t="shared" si="671"/>
        <v>3.17</v>
      </c>
      <c r="BN4744" s="9">
        <f t="shared" si="672"/>
        <v>351.18</v>
      </c>
      <c r="BO4744" s="9">
        <f t="shared" si="673"/>
        <v>26.88</v>
      </c>
      <c r="BP4744" s="9">
        <f t="shared" si="674"/>
        <v>0</v>
      </c>
    </row>
    <row r="4745" spans="1:68">
      <c r="A4745" s="6">
        <v>45453</v>
      </c>
      <c r="B4745" s="7">
        <v>3139</v>
      </c>
      <c r="C4745" s="8">
        <v>921.33</v>
      </c>
      <c r="D4745" s="8"/>
      <c r="E4745" s="8"/>
      <c r="F4745" s="8"/>
      <c r="G4745" s="8"/>
      <c r="H4745" s="8">
        <v>379.96</v>
      </c>
      <c r="I4745" s="8"/>
      <c r="J4745" s="8"/>
      <c r="K4745" s="8"/>
      <c r="L4745" s="8"/>
      <c r="M4745" s="8">
        <v>2.15</v>
      </c>
      <c r="N4745" s="8"/>
      <c r="O4745" s="8"/>
      <c r="P4745" s="8"/>
      <c r="Q4745" s="11"/>
      <c r="R4745" s="11"/>
      <c r="S4745" s="8">
        <v>4.08</v>
      </c>
      <c r="T4745" s="8"/>
      <c r="U4745" s="8">
        <v>13.59</v>
      </c>
      <c r="V4745" s="8"/>
      <c r="W4745" s="8"/>
      <c r="X4745" s="8"/>
      <c r="Y4745" s="8"/>
      <c r="Z4745" s="8"/>
      <c r="AA4745" s="8"/>
      <c r="AB4745" s="8"/>
      <c r="AC4745" s="8">
        <v>4.54</v>
      </c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11"/>
      <c r="AQ4745" s="8"/>
      <c r="AR4745" s="8"/>
      <c r="AS4745" s="8"/>
      <c r="AT4745" s="8">
        <v>671.11</v>
      </c>
      <c r="AU4745" s="8"/>
      <c r="AV4745" s="8">
        <v>22.63</v>
      </c>
      <c r="AW4745" s="8"/>
      <c r="AX4745" s="8"/>
      <c r="AY4745" s="8"/>
      <c r="AZ4745" s="8"/>
      <c r="BA4745" s="8"/>
      <c r="BB4745" s="8"/>
      <c r="BC4745" s="8"/>
      <c r="BD4745" s="8"/>
      <c r="BE4745" s="8"/>
      <c r="BF4745" s="8"/>
      <c r="BG4745" s="8">
        <v>48.73</v>
      </c>
      <c r="BH4745" s="9">
        <f t="shared" si="666"/>
        <v>1301.29</v>
      </c>
      <c r="BI4745" s="9">
        <f t="shared" si="667"/>
        <v>2.15</v>
      </c>
      <c r="BJ4745" s="9">
        <f t="shared" si="668"/>
        <v>4.08</v>
      </c>
      <c r="BK4745" s="9">
        <f t="shared" si="669"/>
        <v>13.59</v>
      </c>
      <c r="BL4745" s="9">
        <f t="shared" si="670"/>
        <v>0</v>
      </c>
      <c r="BM4745" s="9">
        <f t="shared" si="671"/>
        <v>4.54</v>
      </c>
      <c r="BN4745" s="9">
        <f t="shared" si="672"/>
        <v>671.11</v>
      </c>
      <c r="BO4745" s="9">
        <f t="shared" si="673"/>
        <v>22.63</v>
      </c>
      <c r="BP4745" s="9">
        <f t="shared" si="674"/>
        <v>0</v>
      </c>
    </row>
    <row r="4746" spans="1:68">
      <c r="A4746" s="6">
        <v>45453</v>
      </c>
      <c r="B4746" s="7">
        <v>3158</v>
      </c>
      <c r="C4746" s="8">
        <v>379.21</v>
      </c>
      <c r="D4746" s="8">
        <v>67.599999999999994</v>
      </c>
      <c r="E4746" s="8"/>
      <c r="F4746" s="8"/>
      <c r="G4746" s="8"/>
      <c r="H4746" s="8"/>
      <c r="I4746" s="8"/>
      <c r="J4746" s="8"/>
      <c r="K4746" s="8"/>
      <c r="L4746" s="8"/>
      <c r="M4746" s="8">
        <v>1.34</v>
      </c>
      <c r="N4746" s="8"/>
      <c r="O4746" s="8"/>
      <c r="P4746" s="8"/>
      <c r="Q4746" s="11"/>
      <c r="R4746" s="11"/>
      <c r="S4746" s="8">
        <v>2.1</v>
      </c>
      <c r="T4746" s="8"/>
      <c r="U4746" s="8">
        <v>6.72</v>
      </c>
      <c r="V4746" s="8"/>
      <c r="W4746" s="8"/>
      <c r="X4746" s="8"/>
      <c r="Y4746" s="8"/>
      <c r="Z4746" s="8"/>
      <c r="AA4746" s="8"/>
      <c r="AB4746" s="8"/>
      <c r="AC4746" s="8">
        <v>1.79</v>
      </c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11"/>
      <c r="AQ4746" s="8"/>
      <c r="AR4746" s="8"/>
      <c r="AS4746" s="8"/>
      <c r="AT4746" s="8">
        <v>294.39999999999998</v>
      </c>
      <c r="AU4746" s="8"/>
      <c r="AV4746" s="8"/>
      <c r="AW4746" s="8"/>
      <c r="AX4746" s="8"/>
      <c r="AY4746" s="8"/>
      <c r="AZ4746" s="8"/>
      <c r="BA4746" s="8"/>
      <c r="BB4746" s="8"/>
      <c r="BC4746" s="8">
        <v>0.78</v>
      </c>
      <c r="BD4746" s="8"/>
      <c r="BE4746" s="8"/>
      <c r="BF4746" s="8">
        <v>31.41</v>
      </c>
      <c r="BG4746" s="8">
        <v>23.41</v>
      </c>
      <c r="BH4746" s="9">
        <f t="shared" si="666"/>
        <v>446.80999999999995</v>
      </c>
      <c r="BI4746" s="9">
        <f t="shared" si="667"/>
        <v>1.34</v>
      </c>
      <c r="BJ4746" s="9">
        <f t="shared" si="668"/>
        <v>2.1</v>
      </c>
      <c r="BK4746" s="9">
        <f t="shared" si="669"/>
        <v>6.72</v>
      </c>
      <c r="BL4746" s="9">
        <f t="shared" si="670"/>
        <v>0</v>
      </c>
      <c r="BM4746" s="9">
        <f t="shared" si="671"/>
        <v>1.79</v>
      </c>
      <c r="BN4746" s="9">
        <f t="shared" si="672"/>
        <v>294.39999999999998</v>
      </c>
      <c r="BO4746" s="9">
        <f t="shared" si="673"/>
        <v>0.78</v>
      </c>
      <c r="BP4746" s="9">
        <f t="shared" si="674"/>
        <v>31.41</v>
      </c>
    </row>
    <row r="4747" spans="1:68">
      <c r="A4747" s="6">
        <v>45453</v>
      </c>
      <c r="B4747" s="7">
        <v>3602</v>
      </c>
      <c r="C4747" s="8">
        <v>842.21</v>
      </c>
      <c r="D4747" s="8"/>
      <c r="E4747" s="8"/>
      <c r="F4747" s="8"/>
      <c r="G4747" s="8">
        <v>1260.74</v>
      </c>
      <c r="H4747" s="8"/>
      <c r="I4747" s="8"/>
      <c r="J4747" s="8"/>
      <c r="K4747" s="8"/>
      <c r="L4747" s="8"/>
      <c r="M4747" s="8">
        <v>2.52</v>
      </c>
      <c r="N4747" s="8"/>
      <c r="O4747" s="8"/>
      <c r="P4747" s="8"/>
      <c r="Q4747" s="11"/>
      <c r="R4747" s="11"/>
      <c r="S4747" s="8">
        <v>8.75</v>
      </c>
      <c r="T4747" s="8"/>
      <c r="U4747" s="8">
        <v>16.850000000000001</v>
      </c>
      <c r="V4747" s="8">
        <f>862*24.05/1000</f>
        <v>20.731100000000001</v>
      </c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11"/>
      <c r="AQ4747" s="8"/>
      <c r="AR4747" s="8"/>
      <c r="AS4747" s="8"/>
      <c r="AT4747" s="8">
        <v>848.83</v>
      </c>
      <c r="AU4747" s="8"/>
      <c r="AV4747" s="8"/>
      <c r="AW4747" s="8">
        <v>54.41</v>
      </c>
      <c r="AX4747" s="8"/>
      <c r="AY4747" s="8"/>
      <c r="AZ4747" s="8"/>
      <c r="BA4747" s="8"/>
      <c r="BB4747" s="8"/>
      <c r="BC4747" s="8"/>
      <c r="BD4747" s="8"/>
      <c r="BE4747" s="8"/>
      <c r="BF4747" s="8">
        <v>67.41</v>
      </c>
      <c r="BG4747" s="8">
        <v>63.28</v>
      </c>
      <c r="BH4747" s="9">
        <f t="shared" si="666"/>
        <v>2102.9499999999998</v>
      </c>
      <c r="BI4747" s="9">
        <f t="shared" si="667"/>
        <v>2.52</v>
      </c>
      <c r="BJ4747" s="9">
        <f t="shared" si="668"/>
        <v>8.75</v>
      </c>
      <c r="BK4747" s="9">
        <f t="shared" si="669"/>
        <v>37.581100000000006</v>
      </c>
      <c r="BL4747" s="9">
        <f t="shared" si="670"/>
        <v>0</v>
      </c>
      <c r="BM4747" s="9">
        <f t="shared" si="671"/>
        <v>0</v>
      </c>
      <c r="BN4747" s="9">
        <f t="shared" si="672"/>
        <v>848.83</v>
      </c>
      <c r="BO4747" s="9">
        <f t="shared" si="673"/>
        <v>54.41</v>
      </c>
      <c r="BP4747" s="9">
        <f t="shared" si="674"/>
        <v>67.41</v>
      </c>
    </row>
    <row r="4748" spans="1:68">
      <c r="A4748" s="6">
        <v>45454</v>
      </c>
      <c r="B4748" s="7">
        <v>3704</v>
      </c>
      <c r="C4748" s="8">
        <v>342.06</v>
      </c>
      <c r="D4748" s="8">
        <v>514.91999999999996</v>
      </c>
      <c r="E4748" s="8"/>
      <c r="F4748" s="8"/>
      <c r="G4748" s="8"/>
      <c r="H4748" s="8"/>
      <c r="I4748" s="8"/>
      <c r="J4748" s="8"/>
      <c r="K4748" s="8"/>
      <c r="L4748" s="8"/>
      <c r="M4748" s="8">
        <v>2.57</v>
      </c>
      <c r="N4748" s="8"/>
      <c r="O4748" s="8"/>
      <c r="P4748" s="8"/>
      <c r="Q4748" s="11"/>
      <c r="R4748" s="11"/>
      <c r="S4748" s="8">
        <v>2.99</v>
      </c>
      <c r="T4748" s="8"/>
      <c r="U4748" s="8">
        <v>6.43</v>
      </c>
      <c r="V4748" s="8"/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>
        <v>10.28</v>
      </c>
      <c r="AN4748" s="8"/>
      <c r="AO4748" s="8"/>
      <c r="AP4748" s="11"/>
      <c r="AQ4748" s="8"/>
      <c r="AR4748" s="8"/>
      <c r="AS4748" s="8"/>
      <c r="AT4748" s="8">
        <v>148.41999999999999</v>
      </c>
      <c r="AU4748" s="8">
        <v>74.150000000000006</v>
      </c>
      <c r="AV4748" s="8"/>
      <c r="AW4748" s="8"/>
      <c r="AX4748" s="8"/>
      <c r="AY4748" s="8"/>
      <c r="AZ4748" s="8"/>
      <c r="BA4748" s="8"/>
      <c r="BB4748" s="8"/>
      <c r="BC4748" s="8"/>
      <c r="BD4748" s="8"/>
      <c r="BE4748" s="8"/>
      <c r="BF4748" s="8"/>
      <c r="BG4748" s="8">
        <v>13.61</v>
      </c>
      <c r="BH4748" s="9">
        <f t="shared" si="666"/>
        <v>856.98</v>
      </c>
      <c r="BI4748" s="9">
        <f t="shared" si="667"/>
        <v>2.57</v>
      </c>
      <c r="BJ4748" s="9">
        <f t="shared" si="668"/>
        <v>2.99</v>
      </c>
      <c r="BK4748" s="9">
        <f t="shared" si="669"/>
        <v>6.43</v>
      </c>
      <c r="BL4748" s="9">
        <f t="shared" si="670"/>
        <v>0</v>
      </c>
      <c r="BM4748" s="9">
        <f t="shared" si="671"/>
        <v>10.28</v>
      </c>
      <c r="BN4748" s="9">
        <f t="shared" si="672"/>
        <v>222.57</v>
      </c>
      <c r="BO4748" s="9">
        <f t="shared" si="673"/>
        <v>0</v>
      </c>
      <c r="BP4748" s="9">
        <f t="shared" si="674"/>
        <v>0</v>
      </c>
    </row>
    <row r="4749" spans="1:68">
      <c r="A4749" s="6">
        <v>45454</v>
      </c>
      <c r="B4749" s="7">
        <v>3145</v>
      </c>
      <c r="C4749" s="8">
        <v>1225.24</v>
      </c>
      <c r="D4749" s="8">
        <v>216.27</v>
      </c>
      <c r="E4749" s="8"/>
      <c r="F4749" s="8"/>
      <c r="G4749" s="8"/>
      <c r="H4749" s="8"/>
      <c r="I4749" s="8"/>
      <c r="J4749" s="8"/>
      <c r="K4749" s="8"/>
      <c r="L4749" s="8"/>
      <c r="M4749" s="8">
        <v>4.67</v>
      </c>
      <c r="N4749" s="8"/>
      <c r="O4749" s="8"/>
      <c r="P4749" s="8"/>
      <c r="Q4749" s="11"/>
      <c r="R4749" s="11"/>
      <c r="S4749" s="8">
        <v>6.78</v>
      </c>
      <c r="T4749" s="8"/>
      <c r="U4749" s="8">
        <v>21.64</v>
      </c>
      <c r="V4749" s="8"/>
      <c r="W4749" s="8"/>
      <c r="X4749" s="8"/>
      <c r="Y4749" s="8"/>
      <c r="Z4749" s="8"/>
      <c r="AA4749" s="8"/>
      <c r="AB4749" s="8"/>
      <c r="AC4749" s="8">
        <v>5.77</v>
      </c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11"/>
      <c r="AQ4749" s="8"/>
      <c r="AR4749" s="8"/>
      <c r="AS4749" s="8"/>
      <c r="AT4749" s="8">
        <v>954.68</v>
      </c>
      <c r="AU4749" s="8"/>
      <c r="AV4749" s="8"/>
      <c r="AW4749" s="8"/>
      <c r="AX4749" s="8"/>
      <c r="AY4749" s="8"/>
      <c r="AZ4749" s="8"/>
      <c r="BA4749" s="8"/>
      <c r="BB4749" s="8"/>
      <c r="BC4749" s="8"/>
      <c r="BD4749" s="8">
        <v>3.61</v>
      </c>
      <c r="BE4749" s="8">
        <f>1373*9.62/1000</f>
        <v>13.208259999999999</v>
      </c>
      <c r="BF4749" s="8">
        <v>100.98</v>
      </c>
      <c r="BG4749" s="8">
        <v>74.86</v>
      </c>
      <c r="BH4749" s="9">
        <f t="shared" si="666"/>
        <v>1441.51</v>
      </c>
      <c r="BI4749" s="9">
        <f t="shared" si="667"/>
        <v>4.67</v>
      </c>
      <c r="BJ4749" s="9">
        <f t="shared" si="668"/>
        <v>6.78</v>
      </c>
      <c r="BK4749" s="9">
        <f t="shared" si="669"/>
        <v>21.64</v>
      </c>
      <c r="BL4749" s="9">
        <f t="shared" si="670"/>
        <v>0</v>
      </c>
      <c r="BM4749" s="9">
        <f t="shared" si="671"/>
        <v>5.77</v>
      </c>
      <c r="BN4749" s="9">
        <f t="shared" si="672"/>
        <v>954.68</v>
      </c>
      <c r="BO4749" s="9">
        <f t="shared" si="673"/>
        <v>16.818259999999999</v>
      </c>
      <c r="BP4749" s="9">
        <f t="shared" si="674"/>
        <v>100.98</v>
      </c>
    </row>
    <row r="4750" spans="1:68">
      <c r="A4750" s="6">
        <v>45454</v>
      </c>
      <c r="B4750" s="7">
        <v>3141</v>
      </c>
      <c r="C4750" s="8">
        <v>2344.81</v>
      </c>
      <c r="D4750" s="8">
        <v>413.55</v>
      </c>
      <c r="E4750" s="8"/>
      <c r="F4750" s="8"/>
      <c r="G4750" s="8"/>
      <c r="H4750" s="8"/>
      <c r="I4750" s="8"/>
      <c r="J4750" s="8"/>
      <c r="K4750" s="8"/>
      <c r="L4750" s="8"/>
      <c r="M4750" s="8">
        <v>9.1199999999999992</v>
      </c>
      <c r="N4750" s="8"/>
      <c r="O4750" s="8"/>
      <c r="P4750" s="8"/>
      <c r="Q4750" s="11"/>
      <c r="R4750" s="11"/>
      <c r="S4750" s="8">
        <v>12.97</v>
      </c>
      <c r="T4750" s="8"/>
      <c r="U4750" s="8">
        <v>41.37</v>
      </c>
      <c r="V4750" s="8"/>
      <c r="W4750" s="8"/>
      <c r="X4750" s="8"/>
      <c r="Y4750" s="8"/>
      <c r="Z4750" s="8"/>
      <c r="AA4750" s="8"/>
      <c r="AB4750" s="8"/>
      <c r="AC4750" s="8">
        <v>11.03</v>
      </c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11"/>
      <c r="AQ4750" s="8"/>
      <c r="AR4750" s="8"/>
      <c r="AS4750" s="8"/>
      <c r="AT4750" s="8">
        <v>1820.1</v>
      </c>
      <c r="AU4750" s="8"/>
      <c r="AV4750" s="8"/>
      <c r="AW4750" s="8"/>
      <c r="AX4750" s="8"/>
      <c r="AY4750" s="8"/>
      <c r="AZ4750" s="8"/>
      <c r="BA4750" s="8">
        <v>63.21</v>
      </c>
      <c r="BB4750" s="8"/>
      <c r="BC4750" s="8"/>
      <c r="BD4750" s="8"/>
      <c r="BE4750" s="8"/>
      <c r="BF4750" s="8">
        <v>193.03</v>
      </c>
      <c r="BG4750" s="8">
        <v>143.21</v>
      </c>
      <c r="BH4750" s="9">
        <f t="shared" si="666"/>
        <v>2758.36</v>
      </c>
      <c r="BI4750" s="9">
        <f t="shared" si="667"/>
        <v>9.1199999999999992</v>
      </c>
      <c r="BJ4750" s="9">
        <f t="shared" si="668"/>
        <v>12.97</v>
      </c>
      <c r="BK4750" s="9">
        <f t="shared" si="669"/>
        <v>41.37</v>
      </c>
      <c r="BL4750" s="9">
        <f t="shared" si="670"/>
        <v>0</v>
      </c>
      <c r="BM4750" s="9">
        <f t="shared" si="671"/>
        <v>11.03</v>
      </c>
      <c r="BN4750" s="9">
        <f t="shared" si="672"/>
        <v>1820.1</v>
      </c>
      <c r="BO4750" s="9">
        <f t="shared" si="673"/>
        <v>63.21</v>
      </c>
      <c r="BP4750" s="9">
        <f t="shared" si="674"/>
        <v>193.03</v>
      </c>
    </row>
    <row r="4751" spans="1:68">
      <c r="A4751" s="6">
        <v>45454</v>
      </c>
      <c r="B4751" s="7">
        <v>3106</v>
      </c>
      <c r="C4751" s="8">
        <v>4059.16</v>
      </c>
      <c r="D4751" s="8"/>
      <c r="E4751" s="8"/>
      <c r="F4751" s="8"/>
      <c r="G4751" s="8"/>
      <c r="H4751" s="8"/>
      <c r="I4751" s="8"/>
      <c r="J4751" s="8"/>
      <c r="K4751" s="8"/>
      <c r="L4751" s="8"/>
      <c r="M4751" s="8">
        <v>12.9</v>
      </c>
      <c r="N4751" s="8"/>
      <c r="O4751" s="8"/>
      <c r="P4751" s="8"/>
      <c r="Q4751" s="11"/>
      <c r="R4751" s="11"/>
      <c r="S4751" s="8">
        <v>12.22</v>
      </c>
      <c r="T4751" s="8"/>
      <c r="U4751" s="8">
        <v>51.63</v>
      </c>
      <c r="V4751" s="8"/>
      <c r="W4751" s="8"/>
      <c r="X4751" s="8"/>
      <c r="Y4751" s="8"/>
      <c r="Z4751" s="8"/>
      <c r="AA4751" s="8"/>
      <c r="AB4751" s="8"/>
      <c r="AC4751" s="8">
        <v>10.16</v>
      </c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11"/>
      <c r="AQ4751" s="8"/>
      <c r="AR4751" s="8"/>
      <c r="AS4751" s="8"/>
      <c r="AT4751" s="8">
        <v>2315.02</v>
      </c>
      <c r="AU4751" s="8"/>
      <c r="AV4751" s="8"/>
      <c r="AW4751" s="8"/>
      <c r="AX4751" s="8">
        <v>5.08</v>
      </c>
      <c r="AY4751" s="8"/>
      <c r="AZ4751" s="8"/>
      <c r="BA4751" s="8"/>
      <c r="BB4751" s="8"/>
      <c r="BC4751" s="8"/>
      <c r="BD4751" s="8"/>
      <c r="BE4751" s="8"/>
      <c r="BF4751" s="8"/>
      <c r="BG4751" s="8">
        <v>174.63</v>
      </c>
      <c r="BH4751" s="9">
        <f t="shared" si="666"/>
        <v>4059.16</v>
      </c>
      <c r="BI4751" s="9">
        <f t="shared" si="667"/>
        <v>12.9</v>
      </c>
      <c r="BJ4751" s="9">
        <f t="shared" si="668"/>
        <v>12.22</v>
      </c>
      <c r="BK4751" s="9">
        <f t="shared" si="669"/>
        <v>51.63</v>
      </c>
      <c r="BL4751" s="9">
        <f t="shared" si="670"/>
        <v>0</v>
      </c>
      <c r="BM4751" s="9">
        <f t="shared" si="671"/>
        <v>10.16</v>
      </c>
      <c r="BN4751" s="9">
        <f t="shared" si="672"/>
        <v>2315.02</v>
      </c>
      <c r="BO4751" s="9">
        <f t="shared" si="673"/>
        <v>5.08</v>
      </c>
      <c r="BP4751" s="9">
        <f t="shared" si="674"/>
        <v>0</v>
      </c>
    </row>
    <row r="4752" spans="1:68">
      <c r="A4752" s="6">
        <v>45454</v>
      </c>
      <c r="B4752" s="7">
        <v>3110</v>
      </c>
      <c r="C4752" s="8">
        <v>1224.2</v>
      </c>
      <c r="D4752" s="8"/>
      <c r="E4752" s="8"/>
      <c r="F4752" s="8"/>
      <c r="G4752" s="8"/>
      <c r="H4752" s="8"/>
      <c r="I4752" s="8"/>
      <c r="J4752" s="8"/>
      <c r="K4752" s="8"/>
      <c r="L4752" s="8"/>
      <c r="M4752" s="8">
        <v>3.05</v>
      </c>
      <c r="N4752" s="8"/>
      <c r="O4752" s="8"/>
      <c r="P4752" s="8"/>
      <c r="Q4752" s="11"/>
      <c r="R4752" s="11"/>
      <c r="S4752" s="8">
        <v>4.17</v>
      </c>
      <c r="T4752" s="8"/>
      <c r="U4752" s="8">
        <v>12.25</v>
      </c>
      <c r="V4752" s="8"/>
      <c r="W4752" s="8"/>
      <c r="X4752" s="8"/>
      <c r="Y4752" s="8"/>
      <c r="Z4752" s="8"/>
      <c r="AA4752" s="8"/>
      <c r="AB4752" s="8"/>
      <c r="AC4752" s="8">
        <v>4.8899999999999997</v>
      </c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11"/>
      <c r="AQ4752" s="8"/>
      <c r="AR4752" s="8"/>
      <c r="AS4752" s="8"/>
      <c r="AT4752" s="8">
        <v>640.41</v>
      </c>
      <c r="AU4752" s="8"/>
      <c r="AV4752" s="8">
        <v>20.82</v>
      </c>
      <c r="AW4752" s="8"/>
      <c r="AX4752" s="8"/>
      <c r="AY4752" s="8"/>
      <c r="AZ4752" s="8"/>
      <c r="BA4752" s="8"/>
      <c r="BB4752" s="8"/>
      <c r="BC4752" s="8"/>
      <c r="BD4752" s="8"/>
      <c r="BE4752" s="8"/>
      <c r="BF4752" s="8"/>
      <c r="BG4752" s="8">
        <v>47.25</v>
      </c>
      <c r="BH4752" s="9">
        <f t="shared" si="666"/>
        <v>1224.2</v>
      </c>
      <c r="BI4752" s="9">
        <f t="shared" si="667"/>
        <v>3.05</v>
      </c>
      <c r="BJ4752" s="9">
        <f t="shared" si="668"/>
        <v>4.17</v>
      </c>
      <c r="BK4752" s="9">
        <f t="shared" si="669"/>
        <v>12.25</v>
      </c>
      <c r="BL4752" s="9">
        <f t="shared" si="670"/>
        <v>0</v>
      </c>
      <c r="BM4752" s="9">
        <f t="shared" si="671"/>
        <v>4.8899999999999997</v>
      </c>
      <c r="BN4752" s="9">
        <f t="shared" si="672"/>
        <v>640.41</v>
      </c>
      <c r="BO4752" s="9">
        <f t="shared" si="673"/>
        <v>20.82</v>
      </c>
      <c r="BP4752" s="9">
        <f t="shared" si="674"/>
        <v>0</v>
      </c>
    </row>
    <row r="4753" spans="1:68">
      <c r="A4753" s="6">
        <v>45454</v>
      </c>
      <c r="B4753" s="7">
        <v>3016</v>
      </c>
      <c r="C4753" s="8"/>
      <c r="D4753" s="8">
        <v>3145.95</v>
      </c>
      <c r="E4753" s="8"/>
      <c r="F4753" s="8"/>
      <c r="G4753" s="8"/>
      <c r="H4753" s="8"/>
      <c r="I4753" s="8">
        <v>2904.13</v>
      </c>
      <c r="J4753" s="8"/>
      <c r="K4753" s="8"/>
      <c r="L4753" s="8"/>
      <c r="M4753" s="8"/>
      <c r="N4753" s="8">
        <v>38.729999999999997</v>
      </c>
      <c r="O4753" s="8"/>
      <c r="P4753" s="8"/>
      <c r="Q4753" s="11"/>
      <c r="R4753" s="11"/>
      <c r="S4753" s="8">
        <v>4.24</v>
      </c>
      <c r="T4753" s="8"/>
      <c r="U4753" s="8"/>
      <c r="V4753" s="8"/>
      <c r="W4753" s="8">
        <v>60.54</v>
      </c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>
        <v>24.19</v>
      </c>
      <c r="AN4753" s="8">
        <f>2075*35.62/1000</f>
        <v>73.911500000000004</v>
      </c>
      <c r="AO4753" s="8"/>
      <c r="AP4753" s="11"/>
      <c r="AQ4753" s="8"/>
      <c r="AR4753" s="8">
        <f>4302*35.62/1000</f>
        <v>153.23723999999999</v>
      </c>
      <c r="AS4753" s="8"/>
      <c r="AT4753" s="8">
        <v>2250.7399999999998</v>
      </c>
      <c r="AU4753" s="8"/>
      <c r="AV4753" s="8"/>
      <c r="AW4753" s="8"/>
      <c r="AX4753" s="8"/>
      <c r="AY4753" s="8"/>
      <c r="AZ4753" s="8"/>
      <c r="BA4753" s="8"/>
      <c r="BB4753" s="8"/>
      <c r="BC4753" s="8"/>
      <c r="BD4753" s="8"/>
      <c r="BE4753" s="8"/>
      <c r="BF4753" s="8"/>
      <c r="BG4753" s="8">
        <v>164.31</v>
      </c>
      <c r="BH4753" s="9">
        <f t="shared" si="666"/>
        <v>6050.08</v>
      </c>
      <c r="BI4753" s="9">
        <f t="shared" si="667"/>
        <v>38.729999999999997</v>
      </c>
      <c r="BJ4753" s="9">
        <f t="shared" si="668"/>
        <v>4.24</v>
      </c>
      <c r="BK4753" s="9">
        <f t="shared" si="669"/>
        <v>60.54</v>
      </c>
      <c r="BL4753" s="9">
        <f t="shared" si="670"/>
        <v>0</v>
      </c>
      <c r="BM4753" s="9">
        <f t="shared" si="671"/>
        <v>251.33873999999997</v>
      </c>
      <c r="BN4753" s="9">
        <f t="shared" si="672"/>
        <v>2250.7399999999998</v>
      </c>
      <c r="BO4753" s="9">
        <f t="shared" si="673"/>
        <v>0</v>
      </c>
      <c r="BP4753" s="9">
        <f t="shared" si="674"/>
        <v>0</v>
      </c>
    </row>
    <row r="4754" spans="1:68">
      <c r="A4754" s="6">
        <v>45454</v>
      </c>
      <c r="B4754" s="7">
        <v>8356</v>
      </c>
      <c r="C4754" s="8">
        <v>1052.8399999999999</v>
      </c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>
        <v>2.65</v>
      </c>
      <c r="P4754" s="8"/>
      <c r="Q4754" s="11"/>
      <c r="R4754" s="11"/>
      <c r="S4754" s="8">
        <v>4.1100000000000003</v>
      </c>
      <c r="T4754" s="8"/>
      <c r="U4754" s="8">
        <f>1369*11.7/1000</f>
        <v>16.017299999999999</v>
      </c>
      <c r="V4754" s="8"/>
      <c r="W4754" s="8"/>
      <c r="X4754" s="8"/>
      <c r="Y4754" s="8"/>
      <c r="Z4754" s="8">
        <v>221.33</v>
      </c>
      <c r="AA4754" s="8"/>
      <c r="AB4754" s="8"/>
      <c r="AC4754" s="8"/>
      <c r="AD4754" s="8"/>
      <c r="AE4754" s="8"/>
      <c r="AF4754" s="8">
        <v>52.48</v>
      </c>
      <c r="AG4754" s="8"/>
      <c r="AH4754" s="8"/>
      <c r="AI4754" s="8"/>
      <c r="AJ4754" s="8"/>
      <c r="AK4754" s="8"/>
      <c r="AL4754" s="8"/>
      <c r="AM4754" s="8"/>
      <c r="AN4754" s="8"/>
      <c r="AO4754" s="8"/>
      <c r="AP4754" s="11"/>
      <c r="AQ4754" s="8">
        <f>1357*11.7/1000</f>
        <v>15.876899999999999</v>
      </c>
      <c r="AR4754" s="8"/>
      <c r="AS4754" s="8"/>
      <c r="AT4754" s="8">
        <v>722.33</v>
      </c>
      <c r="AU4754" s="8"/>
      <c r="AV4754" s="8"/>
      <c r="AW4754" s="8">
        <f>264*11.7/1000</f>
        <v>3.0887999999999995</v>
      </c>
      <c r="AX4754" s="8"/>
      <c r="AY4754" s="8"/>
      <c r="AZ4754" s="8"/>
      <c r="BA4754" s="8"/>
      <c r="BB4754" s="8"/>
      <c r="BC4754" s="8"/>
      <c r="BD4754" s="8"/>
      <c r="BE4754" s="8"/>
      <c r="BF4754" s="8">
        <v>50.6</v>
      </c>
      <c r="BG4754" s="8">
        <v>51.94</v>
      </c>
      <c r="BH4754" s="9">
        <f t="shared" si="666"/>
        <v>1052.8399999999999</v>
      </c>
      <c r="BI4754" s="9">
        <f t="shared" si="667"/>
        <v>2.65</v>
      </c>
      <c r="BJ4754" s="9">
        <f t="shared" si="668"/>
        <v>4.1100000000000003</v>
      </c>
      <c r="BK4754" s="9">
        <f t="shared" si="669"/>
        <v>16.017299999999999</v>
      </c>
      <c r="BL4754" s="9">
        <f t="shared" si="670"/>
        <v>221.33</v>
      </c>
      <c r="BM4754" s="9">
        <f t="shared" si="671"/>
        <v>68.356899999999996</v>
      </c>
      <c r="BN4754" s="9">
        <f t="shared" si="672"/>
        <v>722.33</v>
      </c>
      <c r="BO4754" s="9">
        <f t="shared" si="673"/>
        <v>3.0887999999999995</v>
      </c>
      <c r="BP4754" s="9">
        <f t="shared" si="674"/>
        <v>50.6</v>
      </c>
    </row>
    <row r="4755" spans="1:68">
      <c r="A4755" s="6">
        <v>45455</v>
      </c>
      <c r="B4755" s="7">
        <v>3106</v>
      </c>
      <c r="C4755" s="8">
        <v>6049.24</v>
      </c>
      <c r="D4755" s="8"/>
      <c r="E4755" s="8"/>
      <c r="F4755" s="8"/>
      <c r="G4755" s="8"/>
      <c r="H4755" s="8"/>
      <c r="I4755" s="8"/>
      <c r="J4755" s="8"/>
      <c r="K4755" s="8"/>
      <c r="L4755" s="8"/>
      <c r="M4755" s="8">
        <v>18.11</v>
      </c>
      <c r="N4755" s="8"/>
      <c r="O4755" s="8"/>
      <c r="P4755" s="8"/>
      <c r="Q4755" s="11"/>
      <c r="R4755" s="11"/>
      <c r="S4755" s="8">
        <v>18.16</v>
      </c>
      <c r="T4755" s="8"/>
      <c r="U4755" s="8">
        <v>76.819999999999993</v>
      </c>
      <c r="V4755" s="8"/>
      <c r="W4755" s="8"/>
      <c r="X4755" s="8"/>
      <c r="Y4755" s="8"/>
      <c r="Z4755" s="8"/>
      <c r="AA4755" s="8"/>
      <c r="AB4755" s="8"/>
      <c r="AC4755" s="8">
        <v>15.1</v>
      </c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11"/>
      <c r="AQ4755" s="8"/>
      <c r="AR4755" s="8"/>
      <c r="AS4755" s="8"/>
      <c r="AT4755" s="8">
        <v>3444.32</v>
      </c>
      <c r="AU4755" s="8"/>
      <c r="AV4755" s="8"/>
      <c r="AW4755" s="8"/>
      <c r="AX4755" s="8"/>
      <c r="AY4755" s="8"/>
      <c r="AZ4755" s="8"/>
      <c r="BA4755" s="8"/>
      <c r="BB4755" s="8"/>
      <c r="BC4755" s="8"/>
      <c r="BD4755" s="8"/>
      <c r="BE4755" s="8"/>
      <c r="BF4755" s="8"/>
      <c r="BG4755" s="8">
        <v>259.63</v>
      </c>
      <c r="BH4755" s="9">
        <f t="shared" si="666"/>
        <v>6049.24</v>
      </c>
      <c r="BI4755" s="9">
        <f t="shared" si="667"/>
        <v>18.11</v>
      </c>
      <c r="BJ4755" s="9">
        <f t="shared" si="668"/>
        <v>18.16</v>
      </c>
      <c r="BK4755" s="9">
        <f t="shared" si="669"/>
        <v>76.819999999999993</v>
      </c>
      <c r="BL4755" s="9">
        <f t="shared" si="670"/>
        <v>0</v>
      </c>
      <c r="BM4755" s="9">
        <f t="shared" si="671"/>
        <v>15.1</v>
      </c>
      <c r="BN4755" s="9">
        <f t="shared" si="672"/>
        <v>3444.32</v>
      </c>
      <c r="BO4755" s="9">
        <f t="shared" si="673"/>
        <v>0</v>
      </c>
      <c r="BP4755" s="9">
        <f t="shared" si="674"/>
        <v>0</v>
      </c>
    </row>
    <row r="4756" spans="1:68">
      <c r="A4756" s="6">
        <v>45455</v>
      </c>
      <c r="B4756" s="7">
        <v>3157</v>
      </c>
      <c r="C4756" s="8">
        <v>373.86</v>
      </c>
      <c r="D4756" s="8">
        <v>375.58</v>
      </c>
      <c r="E4756" s="8"/>
      <c r="F4756" s="8"/>
      <c r="G4756" s="8"/>
      <c r="H4756" s="8"/>
      <c r="I4756" s="8"/>
      <c r="J4756" s="8"/>
      <c r="K4756" s="8"/>
      <c r="L4756" s="8"/>
      <c r="M4756" s="8">
        <v>3</v>
      </c>
      <c r="N4756" s="8"/>
      <c r="O4756" s="8"/>
      <c r="P4756" s="8"/>
      <c r="Q4756" s="11"/>
      <c r="R4756" s="11"/>
      <c r="S4756" s="8">
        <v>3.76</v>
      </c>
      <c r="T4756" s="8"/>
      <c r="U4756" s="8">
        <v>12.01</v>
      </c>
      <c r="V4756" s="8"/>
      <c r="W4756" s="8"/>
      <c r="X4756" s="8"/>
      <c r="Y4756" s="8"/>
      <c r="Z4756" s="8"/>
      <c r="AA4756" s="8"/>
      <c r="AB4756" s="8"/>
      <c r="AC4756" s="8">
        <v>3</v>
      </c>
      <c r="AD4756" s="8"/>
      <c r="AE4756" s="8"/>
      <c r="AF4756" s="8"/>
      <c r="AG4756" s="8">
        <v>3.76</v>
      </c>
      <c r="AH4756" s="8"/>
      <c r="AI4756" s="8"/>
      <c r="AJ4756" s="8"/>
      <c r="AK4756" s="8"/>
      <c r="AL4756" s="8"/>
      <c r="AM4756" s="8"/>
      <c r="AN4756" s="8"/>
      <c r="AO4756" s="8"/>
      <c r="AP4756" s="11"/>
      <c r="AQ4756" s="8"/>
      <c r="AR4756" s="8"/>
      <c r="AS4756" s="8"/>
      <c r="AT4756" s="8">
        <v>482.54</v>
      </c>
      <c r="AU4756" s="8"/>
      <c r="AV4756" s="8"/>
      <c r="AW4756" s="8"/>
      <c r="AX4756" s="8"/>
      <c r="AY4756" s="8"/>
      <c r="AZ4756" s="8"/>
      <c r="BA4756" s="8"/>
      <c r="BB4756" s="8"/>
      <c r="BC4756" s="8"/>
      <c r="BD4756" s="8"/>
      <c r="BE4756" s="8"/>
      <c r="BF4756" s="8">
        <v>97.57</v>
      </c>
      <c r="BG4756" s="8">
        <v>38.880000000000003</v>
      </c>
      <c r="BH4756" s="9">
        <f t="shared" si="666"/>
        <v>749.44</v>
      </c>
      <c r="BI4756" s="9">
        <f t="shared" si="667"/>
        <v>3</v>
      </c>
      <c r="BJ4756" s="9">
        <f t="shared" si="668"/>
        <v>3.76</v>
      </c>
      <c r="BK4756" s="9">
        <f t="shared" si="669"/>
        <v>12.01</v>
      </c>
      <c r="BL4756" s="9">
        <f t="shared" si="670"/>
        <v>0</v>
      </c>
      <c r="BM4756" s="9">
        <f t="shared" si="671"/>
        <v>6.76</v>
      </c>
      <c r="BN4756" s="9">
        <f t="shared" si="672"/>
        <v>482.54</v>
      </c>
      <c r="BO4756" s="9">
        <f t="shared" si="673"/>
        <v>0</v>
      </c>
      <c r="BP4756" s="9">
        <f t="shared" si="674"/>
        <v>97.57</v>
      </c>
    </row>
    <row r="4757" spans="1:68">
      <c r="A4757" s="6">
        <v>45455</v>
      </c>
      <c r="B4757" s="7">
        <v>3117</v>
      </c>
      <c r="C4757" s="8">
        <v>1546.33</v>
      </c>
      <c r="D4757" s="8"/>
      <c r="E4757" s="8"/>
      <c r="F4757" s="8"/>
      <c r="G4757" s="8"/>
      <c r="H4757" s="8"/>
      <c r="I4757" s="8"/>
      <c r="J4757" s="8"/>
      <c r="K4757" s="8"/>
      <c r="L4757" s="8"/>
      <c r="M4757" s="8">
        <v>4.5</v>
      </c>
      <c r="N4757" s="8"/>
      <c r="O4757" s="8"/>
      <c r="P4757" s="8"/>
      <c r="Q4757" s="11"/>
      <c r="R4757" s="11"/>
      <c r="S4757" s="8">
        <v>6.18</v>
      </c>
      <c r="T4757" s="8"/>
      <c r="U4757" s="8">
        <v>15.49</v>
      </c>
      <c r="V4757" s="8"/>
      <c r="W4757" s="8"/>
      <c r="X4757" s="8"/>
      <c r="Y4757" s="8"/>
      <c r="Z4757" s="8"/>
      <c r="AA4757" s="8"/>
      <c r="AB4757" s="8"/>
      <c r="AC4757" s="8">
        <v>6.19</v>
      </c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11"/>
      <c r="AQ4757" s="8"/>
      <c r="AR4757" s="8"/>
      <c r="AS4757" s="8"/>
      <c r="AT4757" s="8">
        <v>972.13</v>
      </c>
      <c r="AU4757" s="8"/>
      <c r="AV4757" s="8">
        <v>38.75</v>
      </c>
      <c r="AW4757" s="8"/>
      <c r="AX4757" s="8"/>
      <c r="AY4757" s="8"/>
      <c r="AZ4757" s="8"/>
      <c r="BA4757" s="8"/>
      <c r="BB4757" s="8"/>
      <c r="BC4757" s="8"/>
      <c r="BD4757" s="8"/>
      <c r="BE4757" s="8"/>
      <c r="BF4757" s="8">
        <v>77.319999999999993</v>
      </c>
      <c r="BG4757" s="8">
        <v>74.09</v>
      </c>
      <c r="BH4757" s="9">
        <f t="shared" si="666"/>
        <v>1546.33</v>
      </c>
      <c r="BI4757" s="9">
        <f t="shared" si="667"/>
        <v>4.5</v>
      </c>
      <c r="BJ4757" s="9">
        <f t="shared" si="668"/>
        <v>6.18</v>
      </c>
      <c r="BK4757" s="9">
        <f t="shared" si="669"/>
        <v>15.49</v>
      </c>
      <c r="BL4757" s="9">
        <f t="shared" si="670"/>
        <v>0</v>
      </c>
      <c r="BM4757" s="9">
        <f t="shared" si="671"/>
        <v>6.19</v>
      </c>
      <c r="BN4757" s="9">
        <f t="shared" si="672"/>
        <v>972.13</v>
      </c>
      <c r="BO4757" s="9">
        <f t="shared" si="673"/>
        <v>38.75</v>
      </c>
      <c r="BP4757" s="9">
        <f t="shared" si="674"/>
        <v>77.319999999999993</v>
      </c>
    </row>
    <row r="4758" spans="1:68">
      <c r="A4758" s="6">
        <v>45455</v>
      </c>
      <c r="B4758" s="7">
        <v>8356</v>
      </c>
      <c r="C4758" s="8">
        <v>2026.57</v>
      </c>
      <c r="D4758" s="8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>
        <v>5.07</v>
      </c>
      <c r="P4758" s="8"/>
      <c r="Q4758" s="11"/>
      <c r="R4758" s="11"/>
      <c r="S4758" s="8">
        <v>7.91</v>
      </c>
      <c r="T4758" s="8"/>
      <c r="U4758" s="8">
        <f>1362*22.52/1000</f>
        <v>30.672239999999999</v>
      </c>
      <c r="V4758" s="8"/>
      <c r="W4758" s="8"/>
      <c r="X4758" s="8"/>
      <c r="Y4758" s="8"/>
      <c r="Z4758" s="8">
        <v>425.49</v>
      </c>
      <c r="AA4758" s="8"/>
      <c r="AB4758" s="8"/>
      <c r="AC4758" s="8"/>
      <c r="AD4758" s="8"/>
      <c r="AE4758" s="8"/>
      <c r="AF4758" s="8">
        <v>101.24</v>
      </c>
      <c r="AG4758" s="8"/>
      <c r="AH4758" s="8"/>
      <c r="AI4758" s="8"/>
      <c r="AJ4758" s="8"/>
      <c r="AK4758" s="8"/>
      <c r="AL4758" s="8"/>
      <c r="AM4758" s="8"/>
      <c r="AN4758" s="8"/>
      <c r="AO4758" s="8"/>
      <c r="AP4758" s="11"/>
      <c r="AQ4758" s="8">
        <f>1353*22.52/1000</f>
        <v>30.469559999999998</v>
      </c>
      <c r="AR4758" s="8"/>
      <c r="AS4758" s="8"/>
      <c r="AT4758" s="8">
        <v>1387.59</v>
      </c>
      <c r="AU4758" s="8"/>
      <c r="AV4758" s="8"/>
      <c r="AW4758" s="8">
        <f>264*22.52/1000</f>
        <v>5.9452799999999995</v>
      </c>
      <c r="AX4758" s="8"/>
      <c r="AY4758" s="8"/>
      <c r="AZ4758" s="8"/>
      <c r="BA4758" s="8"/>
      <c r="BB4758" s="8"/>
      <c r="BC4758" s="8"/>
      <c r="BD4758" s="8"/>
      <c r="BE4758" s="8"/>
      <c r="BF4758" s="8">
        <v>97.31</v>
      </c>
      <c r="BG4758" s="8">
        <v>100.36</v>
      </c>
      <c r="BH4758" s="9">
        <f t="shared" si="666"/>
        <v>2026.57</v>
      </c>
      <c r="BI4758" s="9">
        <f t="shared" si="667"/>
        <v>5.07</v>
      </c>
      <c r="BJ4758" s="9">
        <f t="shared" si="668"/>
        <v>7.91</v>
      </c>
      <c r="BK4758" s="9">
        <f t="shared" si="669"/>
        <v>30.672239999999999</v>
      </c>
      <c r="BL4758" s="9">
        <f t="shared" si="670"/>
        <v>425.49</v>
      </c>
      <c r="BM4758" s="9">
        <f t="shared" si="671"/>
        <v>131.70955999999998</v>
      </c>
      <c r="BN4758" s="9">
        <f t="shared" si="672"/>
        <v>1387.59</v>
      </c>
      <c r="BO4758" s="9">
        <f t="shared" si="673"/>
        <v>5.9452799999999995</v>
      </c>
      <c r="BP4758" s="9">
        <f t="shared" si="674"/>
        <v>97.31</v>
      </c>
    </row>
    <row r="4759" spans="1:68">
      <c r="A4759" s="6">
        <v>45455</v>
      </c>
      <c r="B4759" s="7">
        <v>3083</v>
      </c>
      <c r="C4759" s="8"/>
      <c r="D4759" s="8">
        <v>1094.69</v>
      </c>
      <c r="E4759" s="8"/>
      <c r="F4759" s="8"/>
      <c r="G4759" s="8"/>
      <c r="H4759" s="8"/>
      <c r="I4759" s="8">
        <v>2546.19</v>
      </c>
      <c r="J4759" s="8"/>
      <c r="K4759" s="8"/>
      <c r="L4759" s="8"/>
      <c r="M4759" s="8"/>
      <c r="N4759" s="8">
        <v>23.67</v>
      </c>
      <c r="O4759" s="8"/>
      <c r="P4759" s="8"/>
      <c r="Q4759" s="11"/>
      <c r="R4759" s="11"/>
      <c r="S4759" s="8">
        <v>2.54</v>
      </c>
      <c r="T4759" s="8"/>
      <c r="U4759" s="8"/>
      <c r="V4759" s="8"/>
      <c r="W4759" s="8">
        <v>29.13</v>
      </c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>
        <v>14.48</v>
      </c>
      <c r="AN4759" s="8">
        <f>1911*26.95/1000</f>
        <v>51.501449999999998</v>
      </c>
      <c r="AO4759" s="8"/>
      <c r="AP4759" s="11"/>
      <c r="AQ4759" s="8"/>
      <c r="AR4759" s="8">
        <f>3430*26.95/1000</f>
        <v>92.438500000000005</v>
      </c>
      <c r="AS4759" s="8"/>
      <c r="AT4759" s="8">
        <v>1710.68</v>
      </c>
      <c r="AU4759" s="8"/>
      <c r="AV4759" s="8"/>
      <c r="AW4759" s="8"/>
      <c r="AX4759" s="8"/>
      <c r="AY4759" s="8"/>
      <c r="AZ4759" s="8"/>
      <c r="BA4759" s="8"/>
      <c r="BB4759" s="8"/>
      <c r="BC4759" s="8"/>
      <c r="BD4759" s="8"/>
      <c r="BE4759" s="8"/>
      <c r="BF4759" s="8"/>
      <c r="BG4759" s="8">
        <v>135.56</v>
      </c>
      <c r="BH4759" s="9">
        <f t="shared" si="666"/>
        <v>3640.88</v>
      </c>
      <c r="BI4759" s="9">
        <f t="shared" si="667"/>
        <v>23.67</v>
      </c>
      <c r="BJ4759" s="9">
        <f t="shared" si="668"/>
        <v>2.54</v>
      </c>
      <c r="BK4759" s="9">
        <f t="shared" si="669"/>
        <v>29.13</v>
      </c>
      <c r="BL4759" s="9">
        <f t="shared" si="670"/>
        <v>0</v>
      </c>
      <c r="BM4759" s="9">
        <f t="shared" si="671"/>
        <v>158.41995</v>
      </c>
      <c r="BN4759" s="9">
        <f t="shared" si="672"/>
        <v>1710.68</v>
      </c>
      <c r="BO4759" s="9">
        <f t="shared" si="673"/>
        <v>0</v>
      </c>
      <c r="BP4759" s="9">
        <f t="shared" si="674"/>
        <v>0</v>
      </c>
    </row>
    <row r="4760" spans="1:68">
      <c r="A4760" s="6">
        <v>45455</v>
      </c>
      <c r="B4760" s="7">
        <v>3081</v>
      </c>
      <c r="C4760" s="8"/>
      <c r="D4760" s="8">
        <v>296.42</v>
      </c>
      <c r="E4760" s="8"/>
      <c r="F4760" s="8">
        <v>333.91</v>
      </c>
      <c r="G4760" s="8"/>
      <c r="H4760" s="8"/>
      <c r="I4760" s="8">
        <v>1219.51</v>
      </c>
      <c r="J4760" s="8"/>
      <c r="K4760" s="8"/>
      <c r="L4760" s="8"/>
      <c r="M4760" s="8"/>
      <c r="N4760" s="8">
        <v>13.57</v>
      </c>
      <c r="O4760" s="8"/>
      <c r="P4760" s="8">
        <f>627*11.98/1000</f>
        <v>7.5114600000000005</v>
      </c>
      <c r="Q4760" s="11"/>
      <c r="R4760" s="11"/>
      <c r="S4760" s="8">
        <v>1.3</v>
      </c>
      <c r="T4760" s="8"/>
      <c r="U4760" s="8"/>
      <c r="V4760" s="8"/>
      <c r="W4760" s="8">
        <v>18.62</v>
      </c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11"/>
      <c r="AQ4760" s="8">
        <f>1586*11.98/1000</f>
        <v>19.000280000000004</v>
      </c>
      <c r="AR4760" s="8">
        <f>5433*11.98/1000</f>
        <v>65.087339999999998</v>
      </c>
      <c r="AS4760" s="8"/>
      <c r="AT4760" s="8">
        <v>582.37</v>
      </c>
      <c r="AU4760" s="8"/>
      <c r="AV4760" s="8"/>
      <c r="AW4760" s="8"/>
      <c r="AX4760" s="8"/>
      <c r="AY4760" s="8"/>
      <c r="AZ4760" s="8"/>
      <c r="BA4760" s="8"/>
      <c r="BB4760" s="8"/>
      <c r="BC4760" s="8"/>
      <c r="BD4760" s="8"/>
      <c r="BE4760" s="8"/>
      <c r="BF4760" s="8"/>
      <c r="BG4760" s="8">
        <v>38.68</v>
      </c>
      <c r="BH4760" s="9">
        <f t="shared" si="666"/>
        <v>1849.8400000000001</v>
      </c>
      <c r="BI4760" s="9">
        <f t="shared" si="667"/>
        <v>21.08146</v>
      </c>
      <c r="BJ4760" s="9">
        <f t="shared" si="668"/>
        <v>1.3</v>
      </c>
      <c r="BK4760" s="9">
        <f t="shared" si="669"/>
        <v>18.62</v>
      </c>
      <c r="BL4760" s="9">
        <f t="shared" si="670"/>
        <v>0</v>
      </c>
      <c r="BM4760" s="9">
        <f t="shared" si="671"/>
        <v>84.087620000000001</v>
      </c>
      <c r="BN4760" s="9">
        <f t="shared" si="672"/>
        <v>582.37</v>
      </c>
      <c r="BO4760" s="9">
        <f t="shared" si="673"/>
        <v>0</v>
      </c>
      <c r="BP4760" s="9">
        <f t="shared" si="674"/>
        <v>0</v>
      </c>
    </row>
    <row r="4761" spans="1:68">
      <c r="A4761" s="6">
        <v>45456</v>
      </c>
      <c r="B4761" s="7">
        <v>3221</v>
      </c>
      <c r="C4761" s="8">
        <v>613.85</v>
      </c>
      <c r="D4761" s="8">
        <v>102.77</v>
      </c>
      <c r="E4761" s="8">
        <v>306.93</v>
      </c>
      <c r="F4761" s="8"/>
      <c r="G4761" s="8"/>
      <c r="H4761" s="8"/>
      <c r="I4761" s="8"/>
      <c r="J4761" s="8"/>
      <c r="K4761" s="8"/>
      <c r="L4761" s="8"/>
      <c r="M4761" s="8"/>
      <c r="N4761" s="8"/>
      <c r="O4761" s="8">
        <v>2.0499999999999998</v>
      </c>
      <c r="P4761" s="8"/>
      <c r="Q4761" s="11"/>
      <c r="R4761" s="11"/>
      <c r="S4761" s="8">
        <v>4.6100000000000003</v>
      </c>
      <c r="T4761" s="8"/>
      <c r="U4761" s="8">
        <v>15.37</v>
      </c>
      <c r="V4761" s="8"/>
      <c r="W4761" s="8"/>
      <c r="X4761" s="8"/>
      <c r="Y4761" s="8"/>
      <c r="Z4761" s="8"/>
      <c r="AA4761" s="8"/>
      <c r="AB4761" s="8">
        <f>406*12.8/1000</f>
        <v>5.1968000000000005</v>
      </c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11"/>
      <c r="AQ4761" s="8">
        <f>1227*12.8/1000</f>
        <v>15.7056</v>
      </c>
      <c r="AR4761" s="8"/>
      <c r="AS4761" s="8"/>
      <c r="AT4761" s="8">
        <v>579.97</v>
      </c>
      <c r="AU4761" s="8"/>
      <c r="AV4761" s="8"/>
      <c r="AW4761" s="8">
        <v>34.85</v>
      </c>
      <c r="AX4761" s="8"/>
      <c r="AY4761" s="8"/>
      <c r="AZ4761" s="8"/>
      <c r="BA4761" s="8"/>
      <c r="BB4761" s="8"/>
      <c r="BC4761" s="8"/>
      <c r="BD4761" s="8"/>
      <c r="BE4761" s="8"/>
      <c r="BF4761" s="8">
        <v>46.16</v>
      </c>
      <c r="BG4761" s="8">
        <v>43.05</v>
      </c>
      <c r="BH4761" s="9">
        <f t="shared" si="666"/>
        <v>1023.55</v>
      </c>
      <c r="BI4761" s="9">
        <f t="shared" si="667"/>
        <v>2.0499999999999998</v>
      </c>
      <c r="BJ4761" s="9">
        <f t="shared" si="668"/>
        <v>4.6100000000000003</v>
      </c>
      <c r="BK4761" s="9">
        <f t="shared" si="669"/>
        <v>15.37</v>
      </c>
      <c r="BL4761" s="9">
        <f t="shared" si="670"/>
        <v>0</v>
      </c>
      <c r="BM4761" s="9">
        <f t="shared" si="671"/>
        <v>20.9024</v>
      </c>
      <c r="BN4761" s="9">
        <f t="shared" si="672"/>
        <v>579.97</v>
      </c>
      <c r="BO4761" s="9">
        <f t="shared" si="673"/>
        <v>34.85</v>
      </c>
      <c r="BP4761" s="9">
        <f t="shared" si="674"/>
        <v>46.16</v>
      </c>
    </row>
    <row r="4762" spans="1:68">
      <c r="A4762" s="6">
        <v>45456</v>
      </c>
      <c r="B4762" s="7">
        <v>3139</v>
      </c>
      <c r="C4762" s="8">
        <v>1088.3</v>
      </c>
      <c r="D4762" s="8"/>
      <c r="E4762" s="8"/>
      <c r="F4762" s="8"/>
      <c r="G4762" s="8"/>
      <c r="H4762" s="8">
        <v>452.69</v>
      </c>
      <c r="I4762" s="8"/>
      <c r="J4762" s="8"/>
      <c r="K4762" s="8"/>
      <c r="L4762" s="8"/>
      <c r="M4762" s="8">
        <v>2.56</v>
      </c>
      <c r="N4762" s="8"/>
      <c r="O4762" s="8"/>
      <c r="P4762" s="8"/>
      <c r="Q4762" s="11"/>
      <c r="R4762" s="11"/>
      <c r="S4762" s="8">
        <v>4.82</v>
      </c>
      <c r="T4762" s="8"/>
      <c r="U4762" s="8">
        <v>16.079999999999998</v>
      </c>
      <c r="V4762" s="8"/>
      <c r="W4762" s="8"/>
      <c r="X4762" s="8"/>
      <c r="Y4762" s="8"/>
      <c r="Z4762" s="8"/>
      <c r="AA4762" s="8"/>
      <c r="AB4762" s="8"/>
      <c r="AC4762" s="8">
        <v>5.36</v>
      </c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11"/>
      <c r="AQ4762" s="8"/>
      <c r="AR4762" s="8"/>
      <c r="AS4762" s="8"/>
      <c r="AT4762" s="8">
        <v>793.38</v>
      </c>
      <c r="AU4762" s="8"/>
      <c r="AV4762" s="8">
        <v>26.8</v>
      </c>
      <c r="AW4762" s="8"/>
      <c r="AX4762" s="8"/>
      <c r="AY4762" s="8"/>
      <c r="AZ4762" s="8"/>
      <c r="BA4762" s="8"/>
      <c r="BB4762" s="8"/>
      <c r="BC4762" s="8"/>
      <c r="BD4762" s="8"/>
      <c r="BE4762" s="8"/>
      <c r="BF4762" s="8"/>
      <c r="BG4762" s="8">
        <v>57.65</v>
      </c>
      <c r="BH4762" s="9">
        <f t="shared" si="666"/>
        <v>1540.99</v>
      </c>
      <c r="BI4762" s="9">
        <f t="shared" si="667"/>
        <v>2.56</v>
      </c>
      <c r="BJ4762" s="9">
        <f t="shared" si="668"/>
        <v>4.82</v>
      </c>
      <c r="BK4762" s="9">
        <f t="shared" si="669"/>
        <v>16.079999999999998</v>
      </c>
      <c r="BL4762" s="9">
        <f t="shared" si="670"/>
        <v>0</v>
      </c>
      <c r="BM4762" s="9">
        <f t="shared" si="671"/>
        <v>5.36</v>
      </c>
      <c r="BN4762" s="9">
        <f t="shared" si="672"/>
        <v>793.38</v>
      </c>
      <c r="BO4762" s="9">
        <f t="shared" si="673"/>
        <v>26.8</v>
      </c>
      <c r="BP4762" s="9">
        <f t="shared" si="674"/>
        <v>0</v>
      </c>
    </row>
    <row r="4763" spans="1:68">
      <c r="A4763" s="6">
        <v>45456</v>
      </c>
      <c r="B4763" s="7">
        <v>3141</v>
      </c>
      <c r="C4763" s="8">
        <v>3527.78</v>
      </c>
      <c r="D4763" s="8">
        <v>622.54999999999995</v>
      </c>
      <c r="E4763" s="8"/>
      <c r="F4763" s="8"/>
      <c r="G4763" s="8"/>
      <c r="H4763" s="8"/>
      <c r="I4763" s="8"/>
      <c r="J4763" s="8"/>
      <c r="K4763" s="8"/>
      <c r="L4763" s="8"/>
      <c r="M4763" s="8">
        <v>13.66</v>
      </c>
      <c r="N4763" s="8"/>
      <c r="O4763" s="8"/>
      <c r="P4763" s="8"/>
      <c r="Q4763" s="11"/>
      <c r="R4763" s="11"/>
      <c r="S4763" s="8">
        <v>19.53</v>
      </c>
      <c r="T4763" s="8"/>
      <c r="U4763" s="8">
        <v>62.28</v>
      </c>
      <c r="V4763" s="8"/>
      <c r="W4763" s="8"/>
      <c r="X4763" s="8"/>
      <c r="Y4763" s="8"/>
      <c r="Z4763" s="8"/>
      <c r="AA4763" s="8"/>
      <c r="AB4763" s="8"/>
      <c r="AC4763" s="8">
        <v>16.600000000000001</v>
      </c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11"/>
      <c r="AQ4763" s="8"/>
      <c r="AR4763" s="8"/>
      <c r="AS4763" s="8"/>
      <c r="AT4763" s="8">
        <v>2739.8</v>
      </c>
      <c r="AU4763" s="8"/>
      <c r="AV4763" s="8"/>
      <c r="AW4763" s="8"/>
      <c r="AX4763" s="8"/>
      <c r="AY4763" s="8"/>
      <c r="AZ4763" s="8"/>
      <c r="BA4763" s="8">
        <v>95.14</v>
      </c>
      <c r="BB4763" s="8"/>
      <c r="BC4763" s="8"/>
      <c r="BD4763" s="8"/>
      <c r="BE4763" s="8"/>
      <c r="BF4763" s="8">
        <v>290.64999999999998</v>
      </c>
      <c r="BG4763" s="8">
        <v>216.11</v>
      </c>
      <c r="BH4763" s="9">
        <f t="shared" si="666"/>
        <v>4150.33</v>
      </c>
      <c r="BI4763" s="9">
        <f t="shared" si="667"/>
        <v>13.66</v>
      </c>
      <c r="BJ4763" s="9">
        <f t="shared" si="668"/>
        <v>19.53</v>
      </c>
      <c r="BK4763" s="9">
        <f t="shared" si="669"/>
        <v>62.28</v>
      </c>
      <c r="BL4763" s="9">
        <f t="shared" si="670"/>
        <v>0</v>
      </c>
      <c r="BM4763" s="9">
        <f t="shared" si="671"/>
        <v>16.600000000000001</v>
      </c>
      <c r="BN4763" s="9">
        <f t="shared" si="672"/>
        <v>2739.8</v>
      </c>
      <c r="BO4763" s="9">
        <f t="shared" si="673"/>
        <v>95.14</v>
      </c>
      <c r="BP4763" s="9">
        <f t="shared" si="674"/>
        <v>290.64999999999998</v>
      </c>
    </row>
    <row r="4764" spans="1:68">
      <c r="A4764" s="6">
        <v>45456</v>
      </c>
      <c r="B4764" s="7">
        <v>3204</v>
      </c>
      <c r="C4764" s="8"/>
      <c r="D4764" s="8">
        <f>1739.29+31.37</f>
        <v>1770.6599999999999</v>
      </c>
      <c r="E4764" s="8">
        <f>743.61+13.41</f>
        <v>757.02</v>
      </c>
      <c r="F4764" s="8"/>
      <c r="G4764" s="8"/>
      <c r="H4764" s="8"/>
      <c r="I4764" s="8"/>
      <c r="J4764" s="8"/>
      <c r="K4764" s="8"/>
      <c r="L4764" s="8"/>
      <c r="M4764" s="8"/>
      <c r="N4764" s="8"/>
      <c r="O4764" s="8">
        <f>12.42+0.23</f>
        <v>12.65</v>
      </c>
      <c r="P4764" s="8"/>
      <c r="Q4764" s="11"/>
      <c r="R4764" s="11"/>
      <c r="S4764" s="8">
        <f>8.44+0.15</f>
        <v>8.59</v>
      </c>
      <c r="T4764" s="8"/>
      <c r="U4764" s="8">
        <f>27.29+0.5</f>
        <v>27.79</v>
      </c>
      <c r="V4764" s="8"/>
      <c r="W4764" s="8"/>
      <c r="X4764" s="8"/>
      <c r="Y4764" s="8"/>
      <c r="Z4764" s="8">
        <f>372.5+9.87</f>
        <v>382.37</v>
      </c>
      <c r="AA4764" s="8"/>
      <c r="AB4764" s="8">
        <f>707*18.05/1000</f>
        <v>12.76135</v>
      </c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11"/>
      <c r="AQ4764" s="8"/>
      <c r="AR4764" s="8"/>
      <c r="AS4764" s="8"/>
      <c r="AT4764" s="8">
        <f>1090.69+19.57</f>
        <v>1110.26</v>
      </c>
      <c r="AU4764" s="8"/>
      <c r="AV4764" s="8"/>
      <c r="AW4764" s="8">
        <f>7.93+0.14</f>
        <v>8.07</v>
      </c>
      <c r="AX4764" s="8"/>
      <c r="AY4764" s="8"/>
      <c r="AZ4764" s="8"/>
      <c r="BA4764" s="8"/>
      <c r="BB4764" s="8"/>
      <c r="BC4764" s="8"/>
      <c r="BD4764" s="8"/>
      <c r="BE4764" s="8"/>
      <c r="BF4764" s="8"/>
      <c r="BG4764" s="8">
        <f>80.74+1.46</f>
        <v>82.199999999999989</v>
      </c>
      <c r="BH4764" s="9">
        <f t="shared" si="666"/>
        <v>2527.6799999999998</v>
      </c>
      <c r="BI4764" s="9">
        <f t="shared" si="667"/>
        <v>12.65</v>
      </c>
      <c r="BJ4764" s="9">
        <f t="shared" si="668"/>
        <v>8.59</v>
      </c>
      <c r="BK4764" s="9">
        <f t="shared" si="669"/>
        <v>27.79</v>
      </c>
      <c r="BL4764" s="9">
        <f t="shared" si="670"/>
        <v>382.37</v>
      </c>
      <c r="BM4764" s="9">
        <f t="shared" si="671"/>
        <v>12.76135</v>
      </c>
      <c r="BN4764" s="9">
        <f t="shared" si="672"/>
        <v>1110.26</v>
      </c>
      <c r="BO4764" s="9">
        <f t="shared" si="673"/>
        <v>8.07</v>
      </c>
      <c r="BP4764" s="9">
        <f t="shared" si="674"/>
        <v>0</v>
      </c>
    </row>
    <row r="4765" spans="1:68">
      <c r="A4765" s="6">
        <v>45456</v>
      </c>
      <c r="B4765" s="7">
        <v>3100</v>
      </c>
      <c r="C4765" s="8">
        <v>665.5</v>
      </c>
      <c r="D4765" s="8"/>
      <c r="E4765" s="8"/>
      <c r="F4765" s="8"/>
      <c r="G4765" s="8"/>
      <c r="H4765" s="8"/>
      <c r="I4765" s="8"/>
      <c r="J4765" s="8"/>
      <c r="K4765" s="8"/>
      <c r="L4765" s="8"/>
      <c r="M4765" s="8">
        <v>1.67</v>
      </c>
      <c r="N4765" s="8"/>
      <c r="O4765" s="8"/>
      <c r="P4765" s="8"/>
      <c r="Q4765" s="11"/>
      <c r="R4765" s="11"/>
      <c r="S4765" s="8">
        <v>3.8</v>
      </c>
      <c r="T4765" s="8"/>
      <c r="U4765" s="8">
        <v>10.67</v>
      </c>
      <c r="V4765" s="8"/>
      <c r="W4765" s="8"/>
      <c r="X4765" s="8"/>
      <c r="Y4765" s="8"/>
      <c r="Z4765" s="8"/>
      <c r="AA4765" s="8"/>
      <c r="AB4765" s="8"/>
      <c r="AC4765" s="8">
        <v>2.67</v>
      </c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11"/>
      <c r="AQ4765" s="8"/>
      <c r="AR4765" s="8"/>
      <c r="AS4765" s="8"/>
      <c r="AT4765" s="8">
        <v>447.79</v>
      </c>
      <c r="AU4765" s="8"/>
      <c r="AV4765" s="8"/>
      <c r="AW4765" s="8"/>
      <c r="AX4765" s="8"/>
      <c r="AY4765" s="8"/>
      <c r="AZ4765" s="8"/>
      <c r="BA4765" s="8"/>
      <c r="BB4765" s="8"/>
      <c r="BC4765" s="8"/>
      <c r="BD4765" s="8"/>
      <c r="BE4765" s="8"/>
      <c r="BF4765" s="8"/>
      <c r="BG4765" s="8">
        <v>34.299999999999997</v>
      </c>
      <c r="BH4765" s="9">
        <f t="shared" si="666"/>
        <v>665.5</v>
      </c>
      <c r="BI4765" s="9">
        <f t="shared" si="667"/>
        <v>1.67</v>
      </c>
      <c r="BJ4765" s="9">
        <f t="shared" si="668"/>
        <v>3.8</v>
      </c>
      <c r="BK4765" s="9">
        <f t="shared" si="669"/>
        <v>10.67</v>
      </c>
      <c r="BL4765" s="9">
        <f t="shared" si="670"/>
        <v>0</v>
      </c>
      <c r="BM4765" s="9">
        <f t="shared" si="671"/>
        <v>2.67</v>
      </c>
      <c r="BN4765" s="9">
        <f t="shared" si="672"/>
        <v>447.79</v>
      </c>
      <c r="BO4765" s="9">
        <f t="shared" si="673"/>
        <v>0</v>
      </c>
      <c r="BP4765" s="9">
        <f t="shared" si="674"/>
        <v>0</v>
      </c>
    </row>
    <row r="4766" spans="1:68">
      <c r="A4766" s="6">
        <v>45456</v>
      </c>
      <c r="B4766" s="7">
        <v>8323</v>
      </c>
      <c r="C4766" s="8">
        <v>601.6</v>
      </c>
      <c r="D4766" s="8">
        <v>258.7</v>
      </c>
      <c r="E4766" s="8"/>
      <c r="F4766" s="8"/>
      <c r="G4766" s="8"/>
      <c r="H4766" s="8"/>
      <c r="I4766" s="8"/>
      <c r="J4766" s="8"/>
      <c r="K4766" s="8"/>
      <c r="L4766" s="8"/>
      <c r="M4766" s="8">
        <v>1.72</v>
      </c>
      <c r="N4766" s="8"/>
      <c r="O4766" s="8"/>
      <c r="P4766" s="8"/>
      <c r="Q4766" s="11"/>
      <c r="R4766" s="11"/>
      <c r="S4766" s="8">
        <v>2.58</v>
      </c>
      <c r="T4766" s="8"/>
      <c r="U4766" s="8">
        <v>8.6</v>
      </c>
      <c r="V4766" s="8"/>
      <c r="W4766" s="8"/>
      <c r="X4766" s="8"/>
      <c r="Y4766" s="8"/>
      <c r="Z4766" s="8"/>
      <c r="AA4766" s="8"/>
      <c r="AB4766" s="8"/>
      <c r="AC4766" s="8">
        <v>3.43</v>
      </c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11"/>
      <c r="AQ4766" s="8"/>
      <c r="AR4766" s="8"/>
      <c r="AS4766" s="8"/>
      <c r="AT4766" s="8">
        <v>373.47</v>
      </c>
      <c r="AU4766" s="8"/>
      <c r="AV4766" s="8"/>
      <c r="AW4766" s="8"/>
      <c r="AX4766" s="8"/>
      <c r="AY4766" s="8"/>
      <c r="AZ4766" s="8"/>
      <c r="BA4766" s="8"/>
      <c r="BB4766" s="8"/>
      <c r="BC4766" s="8">
        <v>0.86</v>
      </c>
      <c r="BD4766" s="8"/>
      <c r="BE4766" s="8"/>
      <c r="BF4766" s="8"/>
      <c r="BG4766" s="8">
        <v>26.63</v>
      </c>
      <c r="BH4766" s="9">
        <f t="shared" si="666"/>
        <v>860.3</v>
      </c>
      <c r="BI4766" s="9">
        <f t="shared" si="667"/>
        <v>1.72</v>
      </c>
      <c r="BJ4766" s="9">
        <f t="shared" si="668"/>
        <v>2.58</v>
      </c>
      <c r="BK4766" s="9">
        <f t="shared" si="669"/>
        <v>8.6</v>
      </c>
      <c r="BL4766" s="9">
        <f t="shared" si="670"/>
        <v>0</v>
      </c>
      <c r="BM4766" s="9">
        <f t="shared" si="671"/>
        <v>3.43</v>
      </c>
      <c r="BN4766" s="9">
        <f t="shared" si="672"/>
        <v>373.47</v>
      </c>
      <c r="BO4766" s="9">
        <f t="shared" si="673"/>
        <v>0.86</v>
      </c>
      <c r="BP4766" s="9">
        <f t="shared" si="674"/>
        <v>0</v>
      </c>
    </row>
    <row r="4767" spans="1:68">
      <c r="A4767" s="6">
        <v>45456</v>
      </c>
      <c r="B4767" s="7">
        <v>3139</v>
      </c>
      <c r="C4767" s="8">
        <v>925.7</v>
      </c>
      <c r="D4767" s="8"/>
      <c r="E4767" s="8"/>
      <c r="F4767" s="8"/>
      <c r="G4767" s="8"/>
      <c r="H4767" s="8">
        <v>384.2</v>
      </c>
      <c r="I4767" s="8"/>
      <c r="J4767" s="8"/>
      <c r="K4767" s="8"/>
      <c r="L4767" s="8"/>
      <c r="M4767" s="8">
        <v>2.15</v>
      </c>
      <c r="N4767" s="8"/>
      <c r="O4767" s="8"/>
      <c r="P4767" s="8"/>
      <c r="Q4767" s="11"/>
      <c r="R4767" s="11"/>
      <c r="S4767" s="8">
        <v>4.0999999999999996</v>
      </c>
      <c r="T4767" s="8"/>
      <c r="U4767" s="8">
        <v>13.67</v>
      </c>
      <c r="V4767" s="8"/>
      <c r="W4767" s="8"/>
      <c r="X4767" s="8"/>
      <c r="Y4767" s="8"/>
      <c r="Z4767" s="8"/>
      <c r="AA4767" s="8"/>
      <c r="AB4767" s="8"/>
      <c r="AC4767" s="8">
        <v>4.5599999999999996</v>
      </c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11"/>
      <c r="AQ4767" s="8"/>
      <c r="AR4767" s="8"/>
      <c r="AS4767" s="8"/>
      <c r="AT4767" s="8">
        <v>674.17</v>
      </c>
      <c r="AU4767" s="8"/>
      <c r="AV4767" s="8">
        <v>22.81</v>
      </c>
      <c r="AW4767" s="8"/>
      <c r="AX4767" s="8"/>
      <c r="AY4767" s="8"/>
      <c r="AZ4767" s="8"/>
      <c r="BA4767" s="8"/>
      <c r="BB4767" s="8"/>
      <c r="BC4767" s="8"/>
      <c r="BD4767" s="8"/>
      <c r="BE4767" s="8"/>
      <c r="BF4767" s="8"/>
      <c r="BG4767" s="8">
        <v>48.99</v>
      </c>
      <c r="BH4767" s="9">
        <f t="shared" si="666"/>
        <v>1309.9000000000001</v>
      </c>
      <c r="BI4767" s="9">
        <f t="shared" si="667"/>
        <v>2.15</v>
      </c>
      <c r="BJ4767" s="9">
        <f t="shared" si="668"/>
        <v>4.0999999999999996</v>
      </c>
      <c r="BK4767" s="9">
        <f t="shared" si="669"/>
        <v>13.67</v>
      </c>
      <c r="BL4767" s="9">
        <f t="shared" si="670"/>
        <v>0</v>
      </c>
      <c r="BM4767" s="9">
        <f t="shared" si="671"/>
        <v>4.5599999999999996</v>
      </c>
      <c r="BN4767" s="9">
        <f t="shared" si="672"/>
        <v>674.17</v>
      </c>
      <c r="BO4767" s="9">
        <f t="shared" si="673"/>
        <v>22.81</v>
      </c>
      <c r="BP4767" s="9">
        <f t="shared" si="674"/>
        <v>0</v>
      </c>
    </row>
    <row r="4768" spans="1:68">
      <c r="A4768" s="6">
        <v>45456</v>
      </c>
      <c r="B4768" s="7">
        <v>3703</v>
      </c>
      <c r="C4768" s="8">
        <v>479.03</v>
      </c>
      <c r="D4768" s="8">
        <v>319.18</v>
      </c>
      <c r="E4768" s="8"/>
      <c r="F4768" s="8"/>
      <c r="G4768" s="8"/>
      <c r="H4768" s="8"/>
      <c r="I4768" s="8"/>
      <c r="J4768" s="8"/>
      <c r="K4768" s="8"/>
      <c r="L4768" s="8"/>
      <c r="M4768" s="8">
        <v>1.6</v>
      </c>
      <c r="N4768" s="8"/>
      <c r="O4768" s="8"/>
      <c r="P4768" s="8"/>
      <c r="Q4768" s="11"/>
      <c r="R4768" s="11"/>
      <c r="S4768" s="8">
        <v>3.92</v>
      </c>
      <c r="T4768" s="8"/>
      <c r="U4768" s="8">
        <v>6.39</v>
      </c>
      <c r="V4768" s="8"/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>
        <v>7.96</v>
      </c>
      <c r="AN4768" s="8"/>
      <c r="AO4768" s="8"/>
      <c r="AP4768" s="11"/>
      <c r="AQ4768" s="8"/>
      <c r="AR4768" s="8"/>
      <c r="AS4768" s="8"/>
      <c r="AT4768" s="8">
        <v>193.86</v>
      </c>
      <c r="AU4768" s="8">
        <v>96.83</v>
      </c>
      <c r="AV4768" s="8"/>
      <c r="AW4768" s="8"/>
      <c r="AX4768" s="8"/>
      <c r="AY4768" s="8"/>
      <c r="AZ4768" s="8"/>
      <c r="BA4768" s="8"/>
      <c r="BB4768" s="8"/>
      <c r="BC4768" s="8"/>
      <c r="BD4768" s="8"/>
      <c r="BE4768" s="8"/>
      <c r="BF4768" s="8"/>
      <c r="BG4768" s="8">
        <v>20.329999999999998</v>
      </c>
      <c r="BH4768" s="9">
        <f t="shared" si="666"/>
        <v>798.21</v>
      </c>
      <c r="BI4768" s="9">
        <f t="shared" si="667"/>
        <v>1.6</v>
      </c>
      <c r="BJ4768" s="9">
        <f t="shared" si="668"/>
        <v>3.92</v>
      </c>
      <c r="BK4768" s="9">
        <f t="shared" si="669"/>
        <v>6.39</v>
      </c>
      <c r="BL4768" s="9">
        <f t="shared" si="670"/>
        <v>0</v>
      </c>
      <c r="BM4768" s="9">
        <f t="shared" si="671"/>
        <v>7.96</v>
      </c>
      <c r="BN4768" s="9">
        <f t="shared" si="672"/>
        <v>290.69</v>
      </c>
      <c r="BO4768" s="9">
        <f t="shared" si="673"/>
        <v>0</v>
      </c>
      <c r="BP4768" s="9">
        <f t="shared" si="674"/>
        <v>0</v>
      </c>
    </row>
    <row r="4769" spans="1:68">
      <c r="A4769" s="6">
        <v>45456</v>
      </c>
      <c r="B4769" s="7">
        <v>3705</v>
      </c>
      <c r="C4769" s="8"/>
      <c r="D4769" s="8">
        <v>740.73</v>
      </c>
      <c r="E4769" s="8"/>
      <c r="F4769" s="8"/>
      <c r="G4769" s="8"/>
      <c r="H4769" s="8"/>
      <c r="I4769" s="8">
        <v>162.32</v>
      </c>
      <c r="J4769" s="8"/>
      <c r="K4769" s="8"/>
      <c r="L4769" s="8"/>
      <c r="M4769" s="8">
        <v>2.71</v>
      </c>
      <c r="N4769" s="8"/>
      <c r="O4769" s="8"/>
      <c r="P4769" s="8"/>
      <c r="Q4769" s="11"/>
      <c r="R4769" s="11"/>
      <c r="S4769" s="8">
        <v>3.16</v>
      </c>
      <c r="T4769" s="8"/>
      <c r="U4769" s="8">
        <v>6.32</v>
      </c>
      <c r="V4769" s="8"/>
      <c r="W4769" s="8"/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11"/>
      <c r="AQ4769" s="8"/>
      <c r="AR4769" s="8"/>
      <c r="AS4769" s="8"/>
      <c r="AT4769" s="8">
        <v>53.59</v>
      </c>
      <c r="AU4769" s="8">
        <v>107.39</v>
      </c>
      <c r="AV4769" s="8"/>
      <c r="AW4769" s="8"/>
      <c r="AX4769" s="8"/>
      <c r="AY4769" s="8"/>
      <c r="AZ4769" s="8"/>
      <c r="BA4769" s="8"/>
      <c r="BB4769" s="8"/>
      <c r="BC4769" s="8"/>
      <c r="BD4769" s="8">
        <v>1.81</v>
      </c>
      <c r="BE4769" s="8"/>
      <c r="BF4769" s="8"/>
      <c r="BG4769" s="8">
        <v>8.8699999999999992</v>
      </c>
      <c r="BH4769" s="9">
        <f t="shared" si="666"/>
        <v>903.05</v>
      </c>
      <c r="BI4769" s="9">
        <f t="shared" si="667"/>
        <v>2.71</v>
      </c>
      <c r="BJ4769" s="9">
        <f t="shared" si="668"/>
        <v>3.16</v>
      </c>
      <c r="BK4769" s="9">
        <f t="shared" si="669"/>
        <v>6.32</v>
      </c>
      <c r="BL4769" s="9">
        <f t="shared" si="670"/>
        <v>0</v>
      </c>
      <c r="BM4769" s="9">
        <f t="shared" si="671"/>
        <v>0</v>
      </c>
      <c r="BN4769" s="9">
        <f t="shared" si="672"/>
        <v>160.98000000000002</v>
      </c>
      <c r="BO4769" s="9">
        <f t="shared" si="673"/>
        <v>1.81</v>
      </c>
      <c r="BP4769" s="9">
        <f t="shared" si="674"/>
        <v>0</v>
      </c>
    </row>
    <row r="4770" spans="1:68">
      <c r="A4770" s="6">
        <v>45457</v>
      </c>
      <c r="B4770" s="7">
        <v>3106</v>
      </c>
      <c r="C4770" s="8">
        <v>6406.74</v>
      </c>
      <c r="D4770" s="8"/>
      <c r="E4770" s="8"/>
      <c r="F4770" s="8"/>
      <c r="G4770" s="8"/>
      <c r="H4770" s="8"/>
      <c r="I4770" s="8"/>
      <c r="J4770" s="8"/>
      <c r="K4770" s="8"/>
      <c r="L4770" s="8"/>
      <c r="M4770" s="8">
        <v>16.73</v>
      </c>
      <c r="N4770" s="8"/>
      <c r="O4770" s="8"/>
      <c r="P4770" s="8"/>
      <c r="Q4770" s="11"/>
      <c r="R4770" s="11"/>
      <c r="S4770" s="8">
        <v>19.25</v>
      </c>
      <c r="T4770" s="8"/>
      <c r="U4770" s="8">
        <v>81.39</v>
      </c>
      <c r="V4770" s="8"/>
      <c r="W4770" s="8"/>
      <c r="X4770" s="8"/>
      <c r="Y4770" s="8"/>
      <c r="Z4770" s="8"/>
      <c r="AA4770" s="8"/>
      <c r="AB4770" s="8"/>
      <c r="AC4770" s="8">
        <v>16.010000000000002</v>
      </c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11"/>
      <c r="AQ4770" s="8"/>
      <c r="AR4770" s="8"/>
      <c r="AS4770" s="8"/>
      <c r="AT4770" s="8">
        <v>3646.73</v>
      </c>
      <c r="AU4770" s="8"/>
      <c r="AV4770" s="8"/>
      <c r="AW4770" s="8"/>
      <c r="AX4770" s="8">
        <v>8.01</v>
      </c>
      <c r="AY4770" s="8"/>
      <c r="AZ4770" s="8"/>
      <c r="BA4770" s="8"/>
      <c r="BB4770" s="8"/>
      <c r="BC4770" s="8"/>
      <c r="BD4770" s="8"/>
      <c r="BE4770" s="8"/>
      <c r="BF4770" s="8"/>
      <c r="BG4770" s="8">
        <v>276.11</v>
      </c>
      <c r="BH4770" s="9">
        <f t="shared" si="666"/>
        <v>6406.74</v>
      </c>
      <c r="BI4770" s="9">
        <f t="shared" si="667"/>
        <v>16.73</v>
      </c>
      <c r="BJ4770" s="9">
        <f t="shared" si="668"/>
        <v>19.25</v>
      </c>
      <c r="BK4770" s="9">
        <f t="shared" si="669"/>
        <v>81.39</v>
      </c>
      <c r="BL4770" s="9">
        <f t="shared" si="670"/>
        <v>0</v>
      </c>
      <c r="BM4770" s="9">
        <f t="shared" si="671"/>
        <v>16.010000000000002</v>
      </c>
      <c r="BN4770" s="9">
        <f t="shared" si="672"/>
        <v>3646.73</v>
      </c>
      <c r="BO4770" s="9">
        <f t="shared" si="673"/>
        <v>8.01</v>
      </c>
      <c r="BP4770" s="9">
        <f t="shared" si="674"/>
        <v>0</v>
      </c>
    </row>
    <row r="4771" spans="1:68">
      <c r="A4771" s="6">
        <v>45457</v>
      </c>
      <c r="B4771" s="7">
        <v>3017</v>
      </c>
      <c r="C4771" s="8"/>
      <c r="D4771" s="8">
        <v>498.78</v>
      </c>
      <c r="E4771" s="8"/>
      <c r="F4771" s="8"/>
      <c r="G4771" s="8"/>
      <c r="H4771" s="8"/>
      <c r="I4771" s="8">
        <v>688.22</v>
      </c>
      <c r="J4771" s="8"/>
      <c r="K4771" s="8"/>
      <c r="L4771" s="8"/>
      <c r="M4771" s="8"/>
      <c r="N4771" s="8">
        <v>8.56</v>
      </c>
      <c r="O4771" s="8"/>
      <c r="P4771" s="8"/>
      <c r="Q4771" s="11"/>
      <c r="R4771" s="11"/>
      <c r="S4771" s="8">
        <v>0.83</v>
      </c>
      <c r="T4771" s="8"/>
      <c r="U4771" s="8"/>
      <c r="V4771" s="8"/>
      <c r="W4771" s="8">
        <v>8.91</v>
      </c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>
        <v>4.75</v>
      </c>
      <c r="AN4771" s="8">
        <f>1231*9.9/1000</f>
        <v>12.1869</v>
      </c>
      <c r="AO4771" s="8"/>
      <c r="AP4771" s="11"/>
      <c r="AQ4771" s="8"/>
      <c r="AR4771" s="8">
        <f>4878*9.9/1000</f>
        <v>48.292200000000001</v>
      </c>
      <c r="AS4771" s="8"/>
      <c r="AT4771" s="8">
        <v>509.65</v>
      </c>
      <c r="AU4771" s="8"/>
      <c r="AV4771" s="8"/>
      <c r="AW4771" s="8"/>
      <c r="AX4771" s="8"/>
      <c r="AY4771" s="8"/>
      <c r="AZ4771" s="8"/>
      <c r="BA4771" s="8"/>
      <c r="BB4771" s="8"/>
      <c r="BC4771" s="8"/>
      <c r="BD4771" s="8"/>
      <c r="BE4771" s="8"/>
      <c r="BF4771" s="8"/>
      <c r="BG4771" s="8">
        <v>36.9</v>
      </c>
      <c r="BH4771" s="9">
        <f t="shared" si="666"/>
        <v>1187</v>
      </c>
      <c r="BI4771" s="9">
        <f t="shared" si="667"/>
        <v>8.56</v>
      </c>
      <c r="BJ4771" s="9">
        <f t="shared" si="668"/>
        <v>0.83</v>
      </c>
      <c r="BK4771" s="9">
        <f t="shared" si="669"/>
        <v>8.91</v>
      </c>
      <c r="BL4771" s="9">
        <f t="shared" si="670"/>
        <v>0</v>
      </c>
      <c r="BM4771" s="9">
        <f t="shared" si="671"/>
        <v>65.229100000000003</v>
      </c>
      <c r="BN4771" s="9">
        <f t="shared" si="672"/>
        <v>509.65</v>
      </c>
      <c r="BO4771" s="9">
        <f t="shared" si="673"/>
        <v>0</v>
      </c>
      <c r="BP4771" s="9">
        <f t="shared" si="674"/>
        <v>0</v>
      </c>
    </row>
    <row r="4772" spans="1:68">
      <c r="A4772" s="6">
        <v>45457</v>
      </c>
      <c r="B4772" s="7">
        <v>3028</v>
      </c>
      <c r="C4772" s="8">
        <v>0</v>
      </c>
      <c r="D4772" s="8">
        <v>825.25</v>
      </c>
      <c r="E4772" s="8">
        <v>0</v>
      </c>
      <c r="F4772" s="8">
        <v>757.19</v>
      </c>
      <c r="G4772" s="8">
        <v>0</v>
      </c>
      <c r="H4772" s="8">
        <v>0</v>
      </c>
      <c r="I4772" s="8">
        <v>1710.66</v>
      </c>
      <c r="J4772" s="8">
        <v>0</v>
      </c>
      <c r="K4772" s="8">
        <v>0</v>
      </c>
      <c r="L4772" s="8">
        <v>0</v>
      </c>
      <c r="M4772" s="8">
        <v>0</v>
      </c>
      <c r="N4772" s="8">
        <v>25.53</v>
      </c>
      <c r="O4772" s="8">
        <v>0</v>
      </c>
      <c r="P4772" s="8">
        <v>0</v>
      </c>
      <c r="Q4772" s="11">
        <v>0</v>
      </c>
      <c r="R4772" s="11">
        <v>0</v>
      </c>
      <c r="S4772" s="8">
        <v>4.5999999999999996</v>
      </c>
      <c r="T4772" s="8">
        <v>0</v>
      </c>
      <c r="U4772" s="8">
        <v>0</v>
      </c>
      <c r="V4772" s="8">
        <v>0</v>
      </c>
      <c r="W4772" s="8">
        <v>24.69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32.840000000000003</v>
      </c>
      <c r="AN4772" s="8">
        <f>1063*21.93/1000</f>
        <v>23.311589999999999</v>
      </c>
      <c r="AO4772" s="8">
        <v>0</v>
      </c>
      <c r="AP4772" s="11">
        <v>0</v>
      </c>
      <c r="AQ4772" s="8">
        <v>0</v>
      </c>
      <c r="AR4772" s="8">
        <v>0</v>
      </c>
      <c r="AS4772" s="8">
        <f>4967*21.93/1000</f>
        <v>108.92631</v>
      </c>
      <c r="AT4772" s="8">
        <v>1099.31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74.59</v>
      </c>
      <c r="BH4772" s="9">
        <f t="shared" si="666"/>
        <v>3293.1000000000004</v>
      </c>
      <c r="BI4772" s="9">
        <f t="shared" si="667"/>
        <v>25.53</v>
      </c>
      <c r="BJ4772" s="9">
        <f t="shared" si="668"/>
        <v>4.5999999999999996</v>
      </c>
      <c r="BK4772" s="9">
        <f t="shared" si="669"/>
        <v>24.69</v>
      </c>
      <c r="BL4772" s="9">
        <f t="shared" si="670"/>
        <v>0</v>
      </c>
      <c r="BM4772" s="9">
        <f t="shared" si="671"/>
        <v>165.0779</v>
      </c>
      <c r="BN4772" s="9">
        <f t="shared" si="672"/>
        <v>1099.31</v>
      </c>
      <c r="BO4772" s="9">
        <f t="shared" si="673"/>
        <v>0</v>
      </c>
      <c r="BP4772" s="9">
        <f t="shared" si="674"/>
        <v>0</v>
      </c>
    </row>
    <row r="4773" spans="1:68">
      <c r="A4773" s="6">
        <v>45457</v>
      </c>
      <c r="B4773" s="7">
        <v>3022</v>
      </c>
      <c r="C4773" s="8"/>
      <c r="D4773" s="8">
        <v>604.05999999999995</v>
      </c>
      <c r="E4773" s="8"/>
      <c r="F4773" s="8"/>
      <c r="G4773" s="8"/>
      <c r="H4773" s="8"/>
      <c r="I4773" s="8">
        <v>491.13</v>
      </c>
      <c r="J4773" s="8"/>
      <c r="K4773" s="8"/>
      <c r="L4773" s="8"/>
      <c r="M4773" s="8"/>
      <c r="N4773" s="8">
        <v>5.48</v>
      </c>
      <c r="O4773" s="8"/>
      <c r="P4773" s="8"/>
      <c r="Q4773" s="11"/>
      <c r="R4773" s="11"/>
      <c r="S4773" s="8">
        <v>1.97</v>
      </c>
      <c r="T4773" s="8"/>
      <c r="U4773" s="8"/>
      <c r="V4773" s="8"/>
      <c r="W4773" s="8">
        <v>10.97</v>
      </c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>
        <v>14.16</v>
      </c>
      <c r="AN4773" s="8"/>
      <c r="AO4773" s="8"/>
      <c r="AP4773" s="11"/>
      <c r="AQ4773" s="8"/>
      <c r="AR4773" s="8"/>
      <c r="AS4773" s="8">
        <f>3880*9.95/1000</f>
        <v>38.606000000000002</v>
      </c>
      <c r="AT4773" s="8">
        <v>512.70000000000005</v>
      </c>
      <c r="AU4773" s="8"/>
      <c r="AV4773" s="8"/>
      <c r="AW4773" s="8"/>
      <c r="AX4773" s="8"/>
      <c r="AY4773" s="8"/>
      <c r="AZ4773" s="8"/>
      <c r="BA4773" s="8"/>
      <c r="BB4773" s="8"/>
      <c r="BC4773" s="8"/>
      <c r="BD4773" s="8"/>
      <c r="BE4773" s="8"/>
      <c r="BF4773" s="8"/>
      <c r="BG4773" s="8">
        <v>39.51</v>
      </c>
      <c r="BH4773" s="9">
        <f t="shared" si="666"/>
        <v>1095.19</v>
      </c>
      <c r="BI4773" s="9">
        <f t="shared" si="667"/>
        <v>5.48</v>
      </c>
      <c r="BJ4773" s="9">
        <f t="shared" si="668"/>
        <v>1.97</v>
      </c>
      <c r="BK4773" s="9">
        <f t="shared" si="669"/>
        <v>10.97</v>
      </c>
      <c r="BL4773" s="9">
        <f t="shared" si="670"/>
        <v>0</v>
      </c>
      <c r="BM4773" s="9">
        <f t="shared" si="671"/>
        <v>52.766000000000005</v>
      </c>
      <c r="BN4773" s="9">
        <f t="shared" si="672"/>
        <v>512.70000000000005</v>
      </c>
      <c r="BO4773" s="9">
        <f t="shared" si="673"/>
        <v>0</v>
      </c>
      <c r="BP4773" s="9">
        <f t="shared" si="674"/>
        <v>0</v>
      </c>
    </row>
    <row r="4774" spans="1:68">
      <c r="A4774" s="6">
        <v>45457</v>
      </c>
      <c r="B4774" s="7">
        <v>8356</v>
      </c>
      <c r="C4774" s="8">
        <v>2026.42</v>
      </c>
      <c r="D4774" s="8"/>
      <c r="E4774" s="8"/>
      <c r="F4774" s="8"/>
      <c r="G4774" s="8"/>
      <c r="H4774" s="8"/>
      <c r="I4774" s="8"/>
      <c r="J4774" s="8"/>
      <c r="K4774" s="8"/>
      <c r="L4774" s="8"/>
      <c r="M4774" s="8"/>
      <c r="N4774" s="8"/>
      <c r="O4774" s="8">
        <v>5.0999999999999996</v>
      </c>
      <c r="P4774" s="8"/>
      <c r="Q4774" s="11"/>
      <c r="R4774" s="11"/>
      <c r="S4774" s="8">
        <v>7.96</v>
      </c>
      <c r="T4774" s="8"/>
      <c r="U4774" s="8">
        <v>30.627170000000003</v>
      </c>
      <c r="V4774" s="8"/>
      <c r="W4774" s="8"/>
      <c r="X4774" s="8"/>
      <c r="Y4774" s="8"/>
      <c r="Z4774" s="8">
        <v>428.63</v>
      </c>
      <c r="AA4774" s="8"/>
      <c r="AB4774" s="8"/>
      <c r="AC4774" s="8"/>
      <c r="AD4774" s="8"/>
      <c r="AE4774" s="8"/>
      <c r="AF4774" s="8">
        <v>101.13</v>
      </c>
      <c r="AG4774" s="8"/>
      <c r="AH4774" s="8"/>
      <c r="AI4774" s="8"/>
      <c r="AJ4774" s="8"/>
      <c r="AK4774" s="8"/>
      <c r="AL4774" s="8"/>
      <c r="AM4774" s="8"/>
      <c r="AN4774" s="8"/>
      <c r="AO4774" s="8"/>
      <c r="AP4774" s="11"/>
      <c r="AQ4774" s="8">
        <v>30.649840000000005</v>
      </c>
      <c r="AR4774" s="8"/>
      <c r="AS4774" s="8"/>
      <c r="AT4774" s="8">
        <v>1391.92</v>
      </c>
      <c r="AU4774" s="8"/>
      <c r="AV4774" s="8"/>
      <c r="AW4774" s="8">
        <v>6.0755600000000003</v>
      </c>
      <c r="AX4774" s="8"/>
      <c r="AY4774" s="8"/>
      <c r="AZ4774" s="8"/>
      <c r="BA4774" s="8"/>
      <c r="BB4774" s="8"/>
      <c r="BC4774" s="8"/>
      <c r="BD4774" s="8"/>
      <c r="BE4774" s="8"/>
      <c r="BF4774" s="8">
        <v>98.02</v>
      </c>
      <c r="BG4774" s="8">
        <v>101.15</v>
      </c>
      <c r="BH4774" s="9">
        <f t="shared" si="666"/>
        <v>2026.42</v>
      </c>
      <c r="BI4774" s="9">
        <f t="shared" si="667"/>
        <v>5.0999999999999996</v>
      </c>
      <c r="BJ4774" s="9">
        <f t="shared" si="668"/>
        <v>7.96</v>
      </c>
      <c r="BK4774" s="9">
        <f t="shared" si="669"/>
        <v>30.627170000000003</v>
      </c>
      <c r="BL4774" s="9">
        <f t="shared" si="670"/>
        <v>428.63</v>
      </c>
      <c r="BM4774" s="9">
        <f t="shared" si="671"/>
        <v>131.77984000000001</v>
      </c>
      <c r="BN4774" s="9">
        <f t="shared" si="672"/>
        <v>1391.92</v>
      </c>
      <c r="BO4774" s="9">
        <f t="shared" si="673"/>
        <v>6.0755600000000003</v>
      </c>
      <c r="BP4774" s="9">
        <f t="shared" si="674"/>
        <v>98.02</v>
      </c>
    </row>
    <row r="4775" spans="1:68">
      <c r="A4775" s="6">
        <v>45461</v>
      </c>
      <c r="B4775" s="7">
        <v>3601</v>
      </c>
      <c r="C4775" s="8">
        <v>301.60000000000002</v>
      </c>
      <c r="D4775" s="8"/>
      <c r="E4775" s="8"/>
      <c r="F4775" s="8"/>
      <c r="G4775" s="8">
        <v>452.79</v>
      </c>
      <c r="H4775" s="8"/>
      <c r="I4775" s="8"/>
      <c r="J4775" s="8"/>
      <c r="K4775" s="8"/>
      <c r="L4775" s="8"/>
      <c r="M4775" s="8">
        <v>0.91</v>
      </c>
      <c r="N4775" s="8"/>
      <c r="O4775" s="8"/>
      <c r="P4775" s="8"/>
      <c r="Q4775" s="11"/>
      <c r="R4775" s="11"/>
      <c r="S4775" s="8">
        <v>3.51</v>
      </c>
      <c r="T4775" s="8"/>
      <c r="U4775" s="8">
        <v>4.54</v>
      </c>
      <c r="V4775" s="8"/>
      <c r="W4775" s="8"/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11"/>
      <c r="AQ4775" s="8"/>
      <c r="AR4775" s="8"/>
      <c r="AS4775" s="8"/>
      <c r="AT4775" s="8">
        <v>369.77</v>
      </c>
      <c r="AU4775" s="8"/>
      <c r="AV4775" s="8"/>
      <c r="AW4775" s="8">
        <v>22.97</v>
      </c>
      <c r="AX4775" s="8"/>
      <c r="AY4775" s="8"/>
      <c r="AZ4775" s="8"/>
      <c r="BA4775" s="8"/>
      <c r="BB4775" s="8"/>
      <c r="BC4775" s="8"/>
      <c r="BD4775" s="8"/>
      <c r="BE4775" s="8"/>
      <c r="BF4775" s="8">
        <v>42.32</v>
      </c>
      <c r="BG4775" s="8">
        <v>26.9</v>
      </c>
      <c r="BH4775" s="9">
        <f t="shared" si="666"/>
        <v>754.3900000000001</v>
      </c>
      <c r="BI4775" s="9">
        <f t="shared" si="667"/>
        <v>0.91</v>
      </c>
      <c r="BJ4775" s="9">
        <f t="shared" si="668"/>
        <v>3.51</v>
      </c>
      <c r="BK4775" s="9">
        <f t="shared" si="669"/>
        <v>4.54</v>
      </c>
      <c r="BL4775" s="9">
        <f t="shared" si="670"/>
        <v>0</v>
      </c>
      <c r="BM4775" s="9">
        <f t="shared" si="671"/>
        <v>0</v>
      </c>
      <c r="BN4775" s="9">
        <f t="shared" si="672"/>
        <v>369.77</v>
      </c>
      <c r="BO4775" s="9">
        <f t="shared" si="673"/>
        <v>22.97</v>
      </c>
      <c r="BP4775" s="9">
        <f t="shared" si="674"/>
        <v>42.32</v>
      </c>
    </row>
    <row r="4776" spans="1:68">
      <c r="A4776" s="6">
        <v>45461</v>
      </c>
      <c r="B4776" s="7">
        <v>3602</v>
      </c>
      <c r="C4776" s="8">
        <v>560.26</v>
      </c>
      <c r="D4776" s="8"/>
      <c r="E4776" s="8"/>
      <c r="F4776" s="8"/>
      <c r="G4776" s="8">
        <v>839.48</v>
      </c>
      <c r="H4776" s="8"/>
      <c r="I4776" s="8"/>
      <c r="J4776" s="8"/>
      <c r="K4776" s="8"/>
      <c r="L4776" s="8"/>
      <c r="M4776" s="8">
        <v>1.68</v>
      </c>
      <c r="N4776" s="8"/>
      <c r="O4776" s="8"/>
      <c r="P4776" s="8"/>
      <c r="Q4776" s="11"/>
      <c r="R4776" s="11"/>
      <c r="S4776" s="8">
        <v>5.85</v>
      </c>
      <c r="T4776" s="8"/>
      <c r="U4776" s="8">
        <v>11.2</v>
      </c>
      <c r="V4776" s="8">
        <f>855*16.02/1000</f>
        <v>13.697100000000001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11"/>
      <c r="AQ4776" s="8"/>
      <c r="AR4776" s="8"/>
      <c r="AS4776" s="8"/>
      <c r="AT4776" s="8">
        <v>565.27</v>
      </c>
      <c r="AU4776" s="8"/>
      <c r="AV4776" s="8"/>
      <c r="AW4776" s="8">
        <v>36.22</v>
      </c>
      <c r="AX4776" s="8"/>
      <c r="AY4776" s="8"/>
      <c r="AZ4776" s="8"/>
      <c r="BA4776" s="8"/>
      <c r="BB4776" s="8"/>
      <c r="BC4776" s="8"/>
      <c r="BD4776" s="8"/>
      <c r="BE4776" s="8"/>
      <c r="BF4776" s="8">
        <v>44.88</v>
      </c>
      <c r="BG4776" s="8">
        <v>42.11</v>
      </c>
      <c r="BH4776" s="9">
        <f t="shared" si="666"/>
        <v>1399.74</v>
      </c>
      <c r="BI4776" s="9">
        <f t="shared" si="667"/>
        <v>1.68</v>
      </c>
      <c r="BJ4776" s="9">
        <f t="shared" si="668"/>
        <v>5.85</v>
      </c>
      <c r="BK4776" s="9">
        <f t="shared" si="669"/>
        <v>24.897100000000002</v>
      </c>
      <c r="BL4776" s="9">
        <f t="shared" si="670"/>
        <v>0</v>
      </c>
      <c r="BM4776" s="9">
        <f t="shared" si="671"/>
        <v>0</v>
      </c>
      <c r="BN4776" s="9">
        <f t="shared" si="672"/>
        <v>565.27</v>
      </c>
      <c r="BO4776" s="9">
        <f t="shared" si="673"/>
        <v>36.22</v>
      </c>
      <c r="BP4776" s="9">
        <f t="shared" si="674"/>
        <v>44.88</v>
      </c>
    </row>
    <row r="4777" spans="1:68">
      <c r="A4777" s="6">
        <v>45461</v>
      </c>
      <c r="B4777" s="7">
        <v>8358</v>
      </c>
      <c r="C4777" s="8">
        <v>1161.21</v>
      </c>
      <c r="D4777" s="8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>
        <v>2.9</v>
      </c>
      <c r="P4777" s="8"/>
      <c r="Q4777" s="11"/>
      <c r="R4777" s="11"/>
      <c r="S4777" s="8">
        <v>4.53</v>
      </c>
      <c r="T4777" s="8"/>
      <c r="U4777" s="8"/>
      <c r="V4777" s="8"/>
      <c r="W4777" s="8"/>
      <c r="X4777" s="8">
        <f>1495*11.62/1000</f>
        <v>17.371899999999997</v>
      </c>
      <c r="Y4777" s="8"/>
      <c r="Z4777" s="8">
        <v>244.27</v>
      </c>
      <c r="AA4777" s="8"/>
      <c r="AB4777" s="8"/>
      <c r="AC4777" s="8"/>
      <c r="AD4777" s="8"/>
      <c r="AE4777" s="8"/>
      <c r="AF4777" s="8">
        <v>58.15</v>
      </c>
      <c r="AG4777" s="8"/>
      <c r="AH4777" s="8"/>
      <c r="AI4777" s="8"/>
      <c r="AJ4777" s="8"/>
      <c r="AK4777" s="8"/>
      <c r="AL4777" s="8"/>
      <c r="AM4777" s="8"/>
      <c r="AN4777" s="8"/>
      <c r="AO4777" s="8"/>
      <c r="AP4777" s="11"/>
      <c r="AQ4777" s="8">
        <f>1511*11.62/1000</f>
        <v>17.55782</v>
      </c>
      <c r="AR4777" s="8"/>
      <c r="AS4777" s="8"/>
      <c r="AT4777" s="8">
        <v>795.61</v>
      </c>
      <c r="AU4777" s="8"/>
      <c r="AV4777" s="8"/>
      <c r="AW4777" s="8">
        <v>3.41</v>
      </c>
      <c r="AX4777" s="8"/>
      <c r="AY4777" s="8"/>
      <c r="AZ4777" s="8"/>
      <c r="BA4777" s="8"/>
      <c r="BB4777" s="8"/>
      <c r="BC4777" s="8"/>
      <c r="BD4777" s="8"/>
      <c r="BE4777" s="8"/>
      <c r="BF4777" s="8">
        <v>55.81</v>
      </c>
      <c r="BG4777" s="8">
        <v>57.47</v>
      </c>
      <c r="BH4777" s="9">
        <f t="shared" si="666"/>
        <v>1161.21</v>
      </c>
      <c r="BI4777" s="9">
        <f t="shared" si="667"/>
        <v>2.9</v>
      </c>
      <c r="BJ4777" s="9">
        <f t="shared" si="668"/>
        <v>4.53</v>
      </c>
      <c r="BK4777" s="9">
        <f t="shared" si="669"/>
        <v>17.371899999999997</v>
      </c>
      <c r="BL4777" s="9">
        <f t="shared" si="670"/>
        <v>244.27</v>
      </c>
      <c r="BM4777" s="9">
        <f t="shared" si="671"/>
        <v>75.707819999999998</v>
      </c>
      <c r="BN4777" s="9">
        <f t="shared" si="672"/>
        <v>795.61</v>
      </c>
      <c r="BO4777" s="9">
        <f t="shared" si="673"/>
        <v>3.41</v>
      </c>
      <c r="BP4777" s="9">
        <f t="shared" si="674"/>
        <v>55.81</v>
      </c>
    </row>
    <row r="4778" spans="1:68">
      <c r="A4778" s="6">
        <v>45461</v>
      </c>
      <c r="B4778" s="7">
        <v>3079</v>
      </c>
      <c r="C4778" s="8"/>
      <c r="D4778" s="8"/>
      <c r="E4778" s="8"/>
      <c r="F4778" s="8">
        <v>509.48</v>
      </c>
      <c r="G4778" s="8"/>
      <c r="H4778" s="8"/>
      <c r="I4778" s="8">
        <v>4120.93</v>
      </c>
      <c r="J4778" s="8"/>
      <c r="K4778" s="8"/>
      <c r="L4778" s="8"/>
      <c r="M4778" s="8"/>
      <c r="N4778" s="8">
        <v>34.270000000000003</v>
      </c>
      <c r="O4778" s="8"/>
      <c r="P4778" s="8"/>
      <c r="Q4778" s="11"/>
      <c r="R4778" s="11"/>
      <c r="S4778" s="8">
        <v>1.84</v>
      </c>
      <c r="T4778" s="8"/>
      <c r="U4778" s="8"/>
      <c r="V4778" s="8"/>
      <c r="W4778" s="8">
        <v>46.35</v>
      </c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>
        <v>18.52</v>
      </c>
      <c r="AN4778" s="8">
        <f>1715*27.25/1000</f>
        <v>46.733750000000001</v>
      </c>
      <c r="AO4778" s="8"/>
      <c r="AP4778" s="11"/>
      <c r="AQ4778" s="8"/>
      <c r="AR4778" s="8">
        <f>4305*27.25/1000</f>
        <v>117.31125</v>
      </c>
      <c r="AS4778" s="8"/>
      <c r="AT4778" s="8">
        <v>1785.34</v>
      </c>
      <c r="AU4778" s="8"/>
      <c r="AV4778" s="8"/>
      <c r="AW4778" s="8"/>
      <c r="AX4778" s="8"/>
      <c r="AY4778" s="8"/>
      <c r="AZ4778" s="8"/>
      <c r="BA4778" s="8"/>
      <c r="BB4778" s="8"/>
      <c r="BC4778" s="8"/>
      <c r="BD4778" s="8"/>
      <c r="BE4778" s="8"/>
      <c r="BF4778" s="8"/>
      <c r="BG4778" s="8">
        <v>129.77000000000001</v>
      </c>
      <c r="BH4778" s="9">
        <f t="shared" si="666"/>
        <v>4630.41</v>
      </c>
      <c r="BI4778" s="9">
        <f t="shared" si="667"/>
        <v>34.270000000000003</v>
      </c>
      <c r="BJ4778" s="9">
        <f t="shared" si="668"/>
        <v>1.84</v>
      </c>
      <c r="BK4778" s="9">
        <f t="shared" si="669"/>
        <v>46.35</v>
      </c>
      <c r="BL4778" s="9">
        <f t="shared" si="670"/>
        <v>0</v>
      </c>
      <c r="BM4778" s="9">
        <f t="shared" si="671"/>
        <v>182.565</v>
      </c>
      <c r="BN4778" s="9">
        <f t="shared" si="672"/>
        <v>1785.34</v>
      </c>
      <c r="BO4778" s="9">
        <f t="shared" si="673"/>
        <v>0</v>
      </c>
      <c r="BP4778" s="9">
        <f t="shared" si="674"/>
        <v>0</v>
      </c>
    </row>
    <row r="4779" spans="1:68">
      <c r="A4779" s="6">
        <v>45461</v>
      </c>
      <c r="B4779" s="7">
        <v>3029</v>
      </c>
      <c r="C4779" s="8"/>
      <c r="D4779" s="8">
        <v>474.01</v>
      </c>
      <c r="E4779" s="8"/>
      <c r="F4779" s="8">
        <v>334.95</v>
      </c>
      <c r="G4779" s="8"/>
      <c r="H4779" s="8"/>
      <c r="I4779" s="8">
        <v>1980.39</v>
      </c>
      <c r="J4779" s="8"/>
      <c r="K4779" s="8"/>
      <c r="L4779" s="8"/>
      <c r="M4779" s="8"/>
      <c r="N4779" s="8">
        <v>22.34</v>
      </c>
      <c r="O4779" s="8"/>
      <c r="P4779" s="8"/>
      <c r="Q4779" s="11"/>
      <c r="R4779" s="11"/>
      <c r="S4779" s="8">
        <v>1.67</v>
      </c>
      <c r="T4779" s="8"/>
      <c r="U4779" s="8"/>
      <c r="V4779" s="8"/>
      <c r="W4779" s="8">
        <v>27.91</v>
      </c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>
        <v>9.77</v>
      </c>
      <c r="AN4779" s="8">
        <f>769*18.6/1000</f>
        <v>14.303400000000002</v>
      </c>
      <c r="AO4779" s="8"/>
      <c r="AP4779" s="11"/>
      <c r="AQ4779" s="8"/>
      <c r="AR4779" s="8">
        <f>4560*18.6/1000</f>
        <v>84.816000000000003</v>
      </c>
      <c r="AS4779" s="8"/>
      <c r="AT4779" s="8">
        <v>1058.6500000000001</v>
      </c>
      <c r="AU4779" s="8"/>
      <c r="AV4779" s="8"/>
      <c r="AW4779" s="8"/>
      <c r="AX4779" s="8"/>
      <c r="AY4779" s="8"/>
      <c r="AZ4779" s="8"/>
      <c r="BA4779" s="8"/>
      <c r="BB4779" s="8"/>
      <c r="BC4779" s="8"/>
      <c r="BD4779" s="8"/>
      <c r="BE4779" s="8"/>
      <c r="BF4779" s="8"/>
      <c r="BG4779" s="8">
        <v>73.84</v>
      </c>
      <c r="BH4779" s="9">
        <f t="shared" si="666"/>
        <v>2789.3500000000004</v>
      </c>
      <c r="BI4779" s="9">
        <f t="shared" si="667"/>
        <v>22.34</v>
      </c>
      <c r="BJ4779" s="9">
        <f t="shared" si="668"/>
        <v>1.67</v>
      </c>
      <c r="BK4779" s="9">
        <f t="shared" si="669"/>
        <v>27.91</v>
      </c>
      <c r="BL4779" s="9">
        <f t="shared" si="670"/>
        <v>0</v>
      </c>
      <c r="BM4779" s="9">
        <f t="shared" si="671"/>
        <v>108.88939999999999</v>
      </c>
      <c r="BN4779" s="9">
        <f t="shared" si="672"/>
        <v>1058.6500000000001</v>
      </c>
      <c r="BO4779" s="9">
        <f t="shared" si="673"/>
        <v>0</v>
      </c>
      <c r="BP4779" s="9">
        <f t="shared" si="674"/>
        <v>0</v>
      </c>
    </row>
    <row r="4780" spans="1:68">
      <c r="A4780" s="6">
        <v>45461</v>
      </c>
      <c r="B4780" s="7">
        <v>3016</v>
      </c>
      <c r="C4780" s="8"/>
      <c r="D4780" s="8">
        <v>2385.7199999999998</v>
      </c>
      <c r="E4780" s="8"/>
      <c r="F4780" s="8"/>
      <c r="G4780" s="8"/>
      <c r="H4780" s="8"/>
      <c r="I4780" s="8">
        <v>2201.4899999999998</v>
      </c>
      <c r="J4780" s="8"/>
      <c r="K4780" s="8"/>
      <c r="L4780" s="8"/>
      <c r="M4780" s="8"/>
      <c r="N4780" s="8">
        <v>29.33</v>
      </c>
      <c r="O4780" s="8"/>
      <c r="P4780" s="8"/>
      <c r="Q4780" s="11"/>
      <c r="R4780" s="11"/>
      <c r="S4780" s="8">
        <v>3.19</v>
      </c>
      <c r="T4780" s="8"/>
      <c r="U4780" s="8"/>
      <c r="V4780" s="8"/>
      <c r="W4780" s="8">
        <v>45.87</v>
      </c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>
        <v>18.36</v>
      </c>
      <c r="AN4780" s="8">
        <f>2046*26.97/1000</f>
        <v>55.180619999999998</v>
      </c>
      <c r="AO4780" s="8"/>
      <c r="AP4780" s="11"/>
      <c r="AQ4780" s="8"/>
      <c r="AR4780" s="8">
        <f>4342*26.97/1000</f>
        <v>117.10373999999999</v>
      </c>
      <c r="AS4780" s="8"/>
      <c r="AT4780" s="8">
        <v>1702.44</v>
      </c>
      <c r="AU4780" s="8"/>
      <c r="AV4780" s="8"/>
      <c r="AW4780" s="8"/>
      <c r="AX4780" s="8"/>
      <c r="AY4780" s="8"/>
      <c r="AZ4780" s="8"/>
      <c r="BA4780" s="8"/>
      <c r="BB4780" s="8"/>
      <c r="BC4780" s="8"/>
      <c r="BD4780" s="8"/>
      <c r="BE4780" s="8"/>
      <c r="BF4780" s="8"/>
      <c r="BG4780" s="8">
        <v>124.38</v>
      </c>
      <c r="BH4780" s="9">
        <f t="shared" si="666"/>
        <v>4587.2099999999991</v>
      </c>
      <c r="BI4780" s="9">
        <f t="shared" si="667"/>
        <v>29.33</v>
      </c>
      <c r="BJ4780" s="9">
        <f t="shared" si="668"/>
        <v>3.19</v>
      </c>
      <c r="BK4780" s="9">
        <f t="shared" si="669"/>
        <v>45.87</v>
      </c>
      <c r="BL4780" s="9">
        <f t="shared" si="670"/>
        <v>0</v>
      </c>
      <c r="BM4780" s="9">
        <f t="shared" si="671"/>
        <v>190.64435999999998</v>
      </c>
      <c r="BN4780" s="9">
        <f t="shared" si="672"/>
        <v>1702.44</v>
      </c>
      <c r="BO4780" s="9">
        <f t="shared" si="673"/>
        <v>0</v>
      </c>
      <c r="BP4780" s="9">
        <f t="shared" si="674"/>
        <v>0</v>
      </c>
    </row>
    <row r="4781" spans="1:68">
      <c r="A4781" s="6">
        <v>45462</v>
      </c>
      <c r="B4781" s="7">
        <v>3136</v>
      </c>
      <c r="C4781" s="8">
        <v>1275.29</v>
      </c>
      <c r="D4781" s="8"/>
      <c r="E4781" s="8"/>
      <c r="F4781" s="8"/>
      <c r="G4781" s="8"/>
      <c r="H4781" s="8">
        <v>529.82000000000005</v>
      </c>
      <c r="I4781" s="8"/>
      <c r="J4781" s="8"/>
      <c r="K4781" s="8"/>
      <c r="L4781" s="8"/>
      <c r="M4781" s="8">
        <v>2.79</v>
      </c>
      <c r="N4781" s="8"/>
      <c r="O4781" s="8"/>
      <c r="P4781" s="8"/>
      <c r="Q4781" s="11"/>
      <c r="R4781" s="11"/>
      <c r="S4781" s="8">
        <v>6.45</v>
      </c>
      <c r="T4781" s="8"/>
      <c r="U4781" s="8">
        <v>20.440000000000001</v>
      </c>
      <c r="V4781" s="8"/>
      <c r="W4781" s="8"/>
      <c r="X4781" s="8"/>
      <c r="Y4781" s="8"/>
      <c r="Z4781" s="8"/>
      <c r="AA4781" s="8"/>
      <c r="AB4781" s="8"/>
      <c r="AC4781" s="8">
        <v>6.28</v>
      </c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11"/>
      <c r="AQ4781" s="8"/>
      <c r="AR4781" s="8"/>
      <c r="AS4781" s="8"/>
      <c r="AT4781" s="8">
        <v>1020.8</v>
      </c>
      <c r="AU4781" s="8"/>
      <c r="AV4781" s="8"/>
      <c r="AW4781" s="8"/>
      <c r="AX4781" s="8"/>
      <c r="AY4781" s="8"/>
      <c r="AZ4781" s="8"/>
      <c r="BA4781" s="8">
        <v>15.55</v>
      </c>
      <c r="BB4781" s="8"/>
      <c r="BC4781" s="8"/>
      <c r="BD4781" s="8"/>
      <c r="BE4781" s="8"/>
      <c r="BF4781" s="8">
        <v>62.94</v>
      </c>
      <c r="BG4781" s="8">
        <v>77.05</v>
      </c>
      <c r="BH4781" s="9">
        <f t="shared" si="666"/>
        <v>1805.1100000000001</v>
      </c>
      <c r="BI4781" s="9">
        <f t="shared" si="667"/>
        <v>2.79</v>
      </c>
      <c r="BJ4781" s="9">
        <f t="shared" si="668"/>
        <v>6.45</v>
      </c>
      <c r="BK4781" s="9">
        <f t="shared" si="669"/>
        <v>20.440000000000001</v>
      </c>
      <c r="BL4781" s="9">
        <f t="shared" si="670"/>
        <v>0</v>
      </c>
      <c r="BM4781" s="9">
        <f t="shared" si="671"/>
        <v>6.28</v>
      </c>
      <c r="BN4781" s="9">
        <f t="shared" si="672"/>
        <v>1020.8</v>
      </c>
      <c r="BO4781" s="9">
        <f t="shared" si="673"/>
        <v>15.55</v>
      </c>
      <c r="BP4781" s="9">
        <f t="shared" si="674"/>
        <v>62.94</v>
      </c>
    </row>
    <row r="4782" spans="1:68">
      <c r="A4782" s="6">
        <v>45462</v>
      </c>
      <c r="B4782" s="7">
        <v>3106</v>
      </c>
      <c r="C4782" s="8">
        <v>8905.6200000000008</v>
      </c>
      <c r="D4782" s="8"/>
      <c r="E4782" s="8"/>
      <c r="F4782" s="8"/>
      <c r="G4782" s="8"/>
      <c r="H4782" s="8"/>
      <c r="I4782" s="8"/>
      <c r="J4782" s="8"/>
      <c r="K4782" s="8"/>
      <c r="L4782" s="8"/>
      <c r="M4782" s="8">
        <v>18.12</v>
      </c>
      <c r="N4782" s="8"/>
      <c r="O4782" s="8"/>
      <c r="P4782" s="8"/>
      <c r="Q4782" s="11"/>
      <c r="R4782" s="11"/>
      <c r="S4782" s="8">
        <v>26.76</v>
      </c>
      <c r="T4782" s="8"/>
      <c r="U4782" s="8">
        <v>113.22</v>
      </c>
      <c r="V4782" s="8"/>
      <c r="W4782" s="8"/>
      <c r="X4782" s="8"/>
      <c r="Y4782" s="8"/>
      <c r="Z4782" s="8"/>
      <c r="AA4782" s="8"/>
      <c r="AB4782" s="8"/>
      <c r="AC4782" s="8">
        <v>22.27</v>
      </c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11"/>
      <c r="AQ4782" s="8"/>
      <c r="AR4782" s="8"/>
      <c r="AS4782" s="8"/>
      <c r="AT4782" s="8">
        <v>5078.17</v>
      </c>
      <c r="AU4782" s="8"/>
      <c r="AV4782" s="8"/>
      <c r="AW4782" s="8"/>
      <c r="AX4782" s="8">
        <v>11.14</v>
      </c>
      <c r="AY4782" s="8"/>
      <c r="AZ4782" s="8"/>
      <c r="BA4782" s="8"/>
      <c r="BB4782" s="8"/>
      <c r="BC4782" s="8"/>
      <c r="BD4782" s="8"/>
      <c r="BE4782" s="8"/>
      <c r="BF4782" s="8"/>
      <c r="BG4782" s="8">
        <v>383.7</v>
      </c>
      <c r="BH4782" s="9">
        <f t="shared" si="666"/>
        <v>8905.6200000000008</v>
      </c>
      <c r="BI4782" s="9">
        <f t="shared" si="667"/>
        <v>18.12</v>
      </c>
      <c r="BJ4782" s="9">
        <f t="shared" si="668"/>
        <v>26.76</v>
      </c>
      <c r="BK4782" s="9">
        <f t="shared" si="669"/>
        <v>113.22</v>
      </c>
      <c r="BL4782" s="9">
        <f t="shared" si="670"/>
        <v>0</v>
      </c>
      <c r="BM4782" s="9">
        <f t="shared" si="671"/>
        <v>22.27</v>
      </c>
      <c r="BN4782" s="9">
        <f t="shared" si="672"/>
        <v>5078.17</v>
      </c>
      <c r="BO4782" s="9">
        <f t="shared" si="673"/>
        <v>11.14</v>
      </c>
      <c r="BP4782" s="9">
        <f t="shared" si="674"/>
        <v>0</v>
      </c>
    </row>
    <row r="4783" spans="1:68">
      <c r="A4783" s="6">
        <v>45462</v>
      </c>
      <c r="B4783" s="7">
        <v>3105</v>
      </c>
      <c r="C4783" s="8">
        <v>1134.24</v>
      </c>
      <c r="D4783" s="8"/>
      <c r="E4783" s="8"/>
      <c r="F4783" s="8"/>
      <c r="G4783" s="8"/>
      <c r="H4783" s="8"/>
      <c r="I4783" s="8"/>
      <c r="J4783" s="8"/>
      <c r="K4783" s="8"/>
      <c r="L4783" s="8"/>
      <c r="M4783" s="8">
        <v>2.82</v>
      </c>
      <c r="N4783" s="8"/>
      <c r="O4783" s="8"/>
      <c r="P4783" s="8"/>
      <c r="Q4783" s="11"/>
      <c r="R4783" s="11"/>
      <c r="S4783" s="8">
        <v>3.63</v>
      </c>
      <c r="T4783" s="8"/>
      <c r="U4783" s="8">
        <v>14.42</v>
      </c>
      <c r="V4783" s="8"/>
      <c r="W4783" s="8"/>
      <c r="X4783" s="8"/>
      <c r="Y4783" s="8"/>
      <c r="Z4783" s="8"/>
      <c r="AA4783" s="8"/>
      <c r="AB4783" s="8"/>
      <c r="AC4783" s="8">
        <v>4.5199999999999996</v>
      </c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11"/>
      <c r="AQ4783" s="8"/>
      <c r="AR4783" s="8"/>
      <c r="AS4783" s="8"/>
      <c r="AT4783" s="8">
        <v>649.04</v>
      </c>
      <c r="AU4783" s="8"/>
      <c r="AV4783" s="8">
        <v>3.96</v>
      </c>
      <c r="AW4783" s="8"/>
      <c r="AX4783" s="8"/>
      <c r="AY4783" s="8"/>
      <c r="AZ4783" s="8"/>
      <c r="BA4783" s="8"/>
      <c r="BB4783" s="8"/>
      <c r="BC4783" s="8"/>
      <c r="BD4783" s="8"/>
      <c r="BE4783" s="8"/>
      <c r="BF4783" s="8"/>
      <c r="BG4783" s="8">
        <v>48.69</v>
      </c>
      <c r="BH4783" s="9">
        <f t="shared" si="666"/>
        <v>1134.24</v>
      </c>
      <c r="BI4783" s="9">
        <f t="shared" si="667"/>
        <v>2.82</v>
      </c>
      <c r="BJ4783" s="9">
        <f t="shared" si="668"/>
        <v>3.63</v>
      </c>
      <c r="BK4783" s="9">
        <f t="shared" si="669"/>
        <v>14.42</v>
      </c>
      <c r="BL4783" s="9">
        <f t="shared" si="670"/>
        <v>0</v>
      </c>
      <c r="BM4783" s="9">
        <f t="shared" si="671"/>
        <v>4.5199999999999996</v>
      </c>
      <c r="BN4783" s="9">
        <f t="shared" si="672"/>
        <v>649.04</v>
      </c>
      <c r="BO4783" s="9">
        <f t="shared" si="673"/>
        <v>3.96</v>
      </c>
      <c r="BP4783" s="9">
        <f t="shared" si="674"/>
        <v>0</v>
      </c>
    </row>
    <row r="4784" spans="1:68">
      <c r="A4784" s="6">
        <v>45462</v>
      </c>
      <c r="B4784" s="7">
        <v>3127</v>
      </c>
      <c r="C4784" s="8">
        <f>265.84+1238.96</f>
        <v>1504.8</v>
      </c>
      <c r="D4784" s="8"/>
      <c r="E4784" s="8"/>
      <c r="F4784" s="8"/>
      <c r="G4784" s="8"/>
      <c r="H4784" s="8"/>
      <c r="I4784" s="8"/>
      <c r="J4784" s="8"/>
      <c r="K4784" s="8"/>
      <c r="L4784" s="8"/>
      <c r="M4784" s="8">
        <f>0.76+3.6</f>
        <v>4.3600000000000003</v>
      </c>
      <c r="N4784" s="8"/>
      <c r="O4784" s="8"/>
      <c r="P4784" s="8"/>
      <c r="Q4784" s="11"/>
      <c r="R4784" s="11"/>
      <c r="S4784" s="8">
        <f>1.27+5.97</f>
        <v>7.24</v>
      </c>
      <c r="T4784" s="8"/>
      <c r="U4784" s="8">
        <f>12.43+2.64</f>
        <v>15.07</v>
      </c>
      <c r="V4784" s="8"/>
      <c r="W4784" s="8"/>
      <c r="X4784" s="8"/>
      <c r="Y4784" s="8"/>
      <c r="Z4784" s="8">
        <f>39.89+186.42</f>
        <v>226.31</v>
      </c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11"/>
      <c r="AQ4784" s="8"/>
      <c r="AR4784" s="8"/>
      <c r="AS4784" s="8"/>
      <c r="AT4784" s="8">
        <f>131.02+607.55</f>
        <v>738.56999999999994</v>
      </c>
      <c r="AU4784" s="8"/>
      <c r="AV4784" s="8">
        <f>5.28+24.87</f>
        <v>30.150000000000002</v>
      </c>
      <c r="AW4784" s="8"/>
      <c r="AX4784" s="8"/>
      <c r="AY4784" s="8"/>
      <c r="AZ4784" s="8"/>
      <c r="BA4784" s="8"/>
      <c r="BB4784" s="8"/>
      <c r="BC4784" s="8"/>
      <c r="BD4784" s="8"/>
      <c r="BE4784" s="8"/>
      <c r="BF4784" s="8">
        <f>13.28+62.15</f>
        <v>75.429999999999993</v>
      </c>
      <c r="BG4784" s="8">
        <f>8.19+43.43</f>
        <v>51.62</v>
      </c>
      <c r="BH4784" s="9">
        <f t="shared" si="666"/>
        <v>1504.8</v>
      </c>
      <c r="BI4784" s="9">
        <f t="shared" si="667"/>
        <v>4.3600000000000003</v>
      </c>
      <c r="BJ4784" s="9">
        <f t="shared" si="668"/>
        <v>7.24</v>
      </c>
      <c r="BK4784" s="9">
        <f t="shared" si="669"/>
        <v>15.07</v>
      </c>
      <c r="BL4784" s="9">
        <f t="shared" si="670"/>
        <v>226.31</v>
      </c>
      <c r="BM4784" s="9">
        <f t="shared" si="671"/>
        <v>0</v>
      </c>
      <c r="BN4784" s="9">
        <f t="shared" si="672"/>
        <v>738.56999999999994</v>
      </c>
      <c r="BO4784" s="9">
        <f t="shared" si="673"/>
        <v>30.150000000000002</v>
      </c>
      <c r="BP4784" s="9">
        <f t="shared" si="674"/>
        <v>75.429999999999993</v>
      </c>
    </row>
    <row r="4785" spans="1:68">
      <c r="A4785" s="6">
        <v>45462</v>
      </c>
      <c r="B4785" s="7">
        <v>3081</v>
      </c>
      <c r="C4785" s="8"/>
      <c r="D4785" s="8">
        <v>294.35000000000002</v>
      </c>
      <c r="E4785" s="8"/>
      <c r="F4785" s="8">
        <v>331</v>
      </c>
      <c r="G4785" s="8"/>
      <c r="H4785" s="8"/>
      <c r="I4785" s="8">
        <v>1211.31</v>
      </c>
      <c r="J4785" s="8"/>
      <c r="K4785" s="8"/>
      <c r="L4785" s="8"/>
      <c r="M4785" s="8"/>
      <c r="N4785" s="8">
        <v>13.52</v>
      </c>
      <c r="O4785" s="8"/>
      <c r="P4785" s="8">
        <f>622*11.92/1000</f>
        <v>7.4142399999999995</v>
      </c>
      <c r="Q4785" s="11"/>
      <c r="R4785" s="11"/>
      <c r="S4785" s="8">
        <v>1.3</v>
      </c>
      <c r="T4785" s="8"/>
      <c r="U4785" s="8"/>
      <c r="V4785" s="8"/>
      <c r="W4785" s="8">
        <v>18.52</v>
      </c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11"/>
      <c r="AQ4785" s="8">
        <f>1556*11.92/1000</f>
        <v>18.547519999999999</v>
      </c>
      <c r="AR4785" s="8">
        <f>5469*11.92/1000</f>
        <v>65.190480000000008</v>
      </c>
      <c r="AS4785" s="8"/>
      <c r="AT4785" s="8">
        <v>578.91999999999996</v>
      </c>
      <c r="AU4785" s="8"/>
      <c r="AV4785" s="8"/>
      <c r="AW4785" s="8"/>
      <c r="AX4785" s="8"/>
      <c r="AY4785" s="8"/>
      <c r="AZ4785" s="8"/>
      <c r="BA4785" s="8"/>
      <c r="BB4785" s="8"/>
      <c r="BC4785" s="8"/>
      <c r="BD4785" s="8"/>
      <c r="BE4785" s="8"/>
      <c r="BF4785" s="8"/>
      <c r="BG4785" s="8">
        <v>38.44</v>
      </c>
      <c r="BH4785" s="9">
        <f t="shared" si="666"/>
        <v>1836.6599999999999</v>
      </c>
      <c r="BI4785" s="9">
        <f t="shared" si="667"/>
        <v>20.934239999999999</v>
      </c>
      <c r="BJ4785" s="9">
        <f t="shared" si="668"/>
        <v>1.3</v>
      </c>
      <c r="BK4785" s="9">
        <f t="shared" si="669"/>
        <v>18.52</v>
      </c>
      <c r="BL4785" s="9">
        <f t="shared" si="670"/>
        <v>0</v>
      </c>
      <c r="BM4785" s="9">
        <f t="shared" si="671"/>
        <v>83.738</v>
      </c>
      <c r="BN4785" s="9">
        <f t="shared" si="672"/>
        <v>578.91999999999996</v>
      </c>
      <c r="BO4785" s="9">
        <f t="shared" si="673"/>
        <v>0</v>
      </c>
      <c r="BP4785" s="9">
        <f t="shared" si="674"/>
        <v>0</v>
      </c>
    </row>
    <row r="4786" spans="1:68">
      <c r="A4786" s="6">
        <v>45462</v>
      </c>
      <c r="B4786" s="7">
        <v>3139</v>
      </c>
      <c r="C4786" s="8">
        <v>1083.74</v>
      </c>
      <c r="D4786" s="8"/>
      <c r="E4786" s="8"/>
      <c r="F4786" s="8"/>
      <c r="G4786" s="8"/>
      <c r="H4786" s="8">
        <v>449.6</v>
      </c>
      <c r="I4786" s="8"/>
      <c r="J4786" s="8"/>
      <c r="K4786" s="8"/>
      <c r="L4786" s="8"/>
      <c r="M4786" s="8">
        <v>2.5299999999999998</v>
      </c>
      <c r="N4786" s="8"/>
      <c r="O4786" s="8"/>
      <c r="P4786" s="8"/>
      <c r="Q4786" s="11"/>
      <c r="R4786" s="11"/>
      <c r="S4786" s="8">
        <v>4.8</v>
      </c>
      <c r="T4786" s="8"/>
      <c r="U4786" s="8">
        <v>16.010000000000002</v>
      </c>
      <c r="V4786" s="8"/>
      <c r="W4786" s="8"/>
      <c r="X4786" s="8"/>
      <c r="Y4786" s="8"/>
      <c r="Z4786" s="8"/>
      <c r="AA4786" s="8"/>
      <c r="AB4786" s="8"/>
      <c r="AC4786" s="8">
        <v>5.34</v>
      </c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11"/>
      <c r="AQ4786" s="8"/>
      <c r="AR4786" s="8"/>
      <c r="AS4786" s="8"/>
      <c r="AT4786" s="8">
        <v>790.5</v>
      </c>
      <c r="AU4786" s="8"/>
      <c r="AV4786" s="8">
        <v>26.71</v>
      </c>
      <c r="AW4786" s="8"/>
      <c r="AX4786" s="8"/>
      <c r="AY4786" s="8"/>
      <c r="AZ4786" s="8"/>
      <c r="BA4786" s="8"/>
      <c r="BB4786" s="8"/>
      <c r="BC4786" s="8"/>
      <c r="BD4786" s="8"/>
      <c r="BE4786" s="8"/>
      <c r="BF4786" s="8"/>
      <c r="BG4786" s="8">
        <v>57.39</v>
      </c>
      <c r="BH4786" s="9">
        <f t="shared" si="666"/>
        <v>1533.3400000000001</v>
      </c>
      <c r="BI4786" s="9">
        <f t="shared" si="667"/>
        <v>2.5299999999999998</v>
      </c>
      <c r="BJ4786" s="9">
        <f t="shared" si="668"/>
        <v>4.8</v>
      </c>
      <c r="BK4786" s="9">
        <f t="shared" si="669"/>
        <v>16.010000000000002</v>
      </c>
      <c r="BL4786" s="9">
        <f t="shared" si="670"/>
        <v>0</v>
      </c>
      <c r="BM4786" s="9">
        <f t="shared" si="671"/>
        <v>5.34</v>
      </c>
      <c r="BN4786" s="9">
        <f t="shared" si="672"/>
        <v>790.5</v>
      </c>
      <c r="BO4786" s="9">
        <f t="shared" si="673"/>
        <v>26.71</v>
      </c>
      <c r="BP4786" s="9">
        <f t="shared" si="674"/>
        <v>0</v>
      </c>
    </row>
    <row r="4787" spans="1:68">
      <c r="A4787" s="6">
        <v>45462</v>
      </c>
      <c r="B4787" s="7">
        <v>3139</v>
      </c>
      <c r="C4787" s="8">
        <v>952.82</v>
      </c>
      <c r="D4787" s="8"/>
      <c r="E4787" s="8"/>
      <c r="F4787" s="8"/>
      <c r="G4787" s="8"/>
      <c r="H4787" s="8">
        <v>3959.6</v>
      </c>
      <c r="I4787" s="8"/>
      <c r="J4787" s="8"/>
      <c r="K4787" s="8"/>
      <c r="L4787" s="8"/>
      <c r="M4787" s="8">
        <v>2.2400000000000002</v>
      </c>
      <c r="N4787" s="8"/>
      <c r="O4787" s="8"/>
      <c r="P4787" s="8"/>
      <c r="Q4787" s="11"/>
      <c r="R4787" s="11"/>
      <c r="S4787" s="8">
        <v>4.2300000000000004</v>
      </c>
      <c r="T4787" s="8"/>
      <c r="U4787" s="8">
        <v>14.08</v>
      </c>
      <c r="V4787" s="8"/>
      <c r="W4787" s="8"/>
      <c r="X4787" s="8"/>
      <c r="Y4787" s="8"/>
      <c r="Z4787" s="8"/>
      <c r="AA4787" s="8"/>
      <c r="AB4787" s="8"/>
      <c r="AC4787" s="8">
        <v>4.7</v>
      </c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11"/>
      <c r="AQ4787" s="8"/>
      <c r="AR4787" s="8"/>
      <c r="AS4787" s="8"/>
      <c r="AT4787" s="8">
        <v>695.3</v>
      </c>
      <c r="AU4787" s="8"/>
      <c r="AV4787" s="8">
        <v>23.49</v>
      </c>
      <c r="AW4787" s="8"/>
      <c r="AX4787" s="8"/>
      <c r="AY4787" s="8"/>
      <c r="AZ4787" s="8"/>
      <c r="BA4787" s="8"/>
      <c r="BB4787" s="8"/>
      <c r="BC4787" s="8"/>
      <c r="BD4787" s="8"/>
      <c r="BE4787" s="8"/>
      <c r="BF4787" s="8"/>
      <c r="BG4787" s="8">
        <v>50.5</v>
      </c>
      <c r="BH4787" s="9">
        <f t="shared" si="666"/>
        <v>4912.42</v>
      </c>
      <c r="BI4787" s="9">
        <f t="shared" si="667"/>
        <v>2.2400000000000002</v>
      </c>
      <c r="BJ4787" s="9">
        <f t="shared" si="668"/>
        <v>4.2300000000000004</v>
      </c>
      <c r="BK4787" s="9">
        <f t="shared" si="669"/>
        <v>14.08</v>
      </c>
      <c r="BL4787" s="9">
        <f t="shared" si="670"/>
        <v>0</v>
      </c>
      <c r="BM4787" s="9">
        <f t="shared" si="671"/>
        <v>4.7</v>
      </c>
      <c r="BN4787" s="9">
        <f t="shared" si="672"/>
        <v>695.3</v>
      </c>
      <c r="BO4787" s="9">
        <f t="shared" si="673"/>
        <v>23.49</v>
      </c>
      <c r="BP4787" s="9">
        <f t="shared" si="674"/>
        <v>0</v>
      </c>
    </row>
    <row r="4788" spans="1:68">
      <c r="A4788" s="6">
        <v>45462</v>
      </c>
      <c r="B4788" s="7">
        <v>3151</v>
      </c>
      <c r="C4788" s="8">
        <v>1338.76</v>
      </c>
      <c r="D4788" s="8"/>
      <c r="E4788" s="8"/>
      <c r="F4788" s="8"/>
      <c r="G4788" s="8"/>
      <c r="H4788" s="8"/>
      <c r="I4788" s="8"/>
      <c r="J4788" s="8"/>
      <c r="K4788" s="8"/>
      <c r="L4788" s="8"/>
      <c r="M4788" s="8">
        <v>4.0199999999999996</v>
      </c>
      <c r="N4788" s="8"/>
      <c r="O4788" s="8"/>
      <c r="P4788" s="8"/>
      <c r="Q4788" s="11"/>
      <c r="R4788" s="11"/>
      <c r="S4788" s="8">
        <v>5.08</v>
      </c>
      <c r="T4788" s="8"/>
      <c r="U4788" s="8">
        <v>17.03</v>
      </c>
      <c r="V4788" s="8"/>
      <c r="W4788" s="8"/>
      <c r="X4788" s="8"/>
      <c r="Y4788" s="8"/>
      <c r="Z4788" s="8"/>
      <c r="AA4788" s="8"/>
      <c r="AB4788" s="8"/>
      <c r="AC4788" s="8">
        <v>3.35</v>
      </c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11"/>
      <c r="AQ4788" s="8"/>
      <c r="AR4788" s="8"/>
      <c r="AS4788" s="8"/>
      <c r="AT4788" s="8">
        <v>602.41999999999996</v>
      </c>
      <c r="AU4788" s="8"/>
      <c r="AV4788" s="8">
        <v>13.37</v>
      </c>
      <c r="AW4788" s="8"/>
      <c r="AX4788" s="8"/>
      <c r="AY4788" s="8"/>
      <c r="AZ4788" s="8"/>
      <c r="BA4788" s="8"/>
      <c r="BB4788" s="8"/>
      <c r="BC4788" s="8"/>
      <c r="BD4788" s="8"/>
      <c r="BE4788" s="8"/>
      <c r="BF4788" s="8">
        <v>53.67</v>
      </c>
      <c r="BG4788" s="8">
        <v>42.77</v>
      </c>
      <c r="BH4788" s="9">
        <f t="shared" si="666"/>
        <v>1338.76</v>
      </c>
      <c r="BI4788" s="9">
        <f t="shared" si="667"/>
        <v>4.0199999999999996</v>
      </c>
      <c r="BJ4788" s="9">
        <f t="shared" si="668"/>
        <v>5.08</v>
      </c>
      <c r="BK4788" s="9">
        <f t="shared" si="669"/>
        <v>17.03</v>
      </c>
      <c r="BL4788" s="9">
        <f t="shared" si="670"/>
        <v>0</v>
      </c>
      <c r="BM4788" s="9">
        <f t="shared" si="671"/>
        <v>3.35</v>
      </c>
      <c r="BN4788" s="9">
        <f t="shared" si="672"/>
        <v>602.41999999999996</v>
      </c>
      <c r="BO4788" s="9">
        <f t="shared" si="673"/>
        <v>13.37</v>
      </c>
      <c r="BP4788" s="9">
        <f t="shared" si="674"/>
        <v>53.67</v>
      </c>
    </row>
    <row r="4789" spans="1:68">
      <c r="A4789" s="6">
        <v>45462</v>
      </c>
      <c r="B4789" s="7">
        <v>3309</v>
      </c>
      <c r="C4789" s="8"/>
      <c r="D4789" s="8">
        <v>1156.8800000000001</v>
      </c>
      <c r="E4789" s="8"/>
      <c r="F4789" s="8"/>
      <c r="G4789" s="8"/>
      <c r="H4789" s="8"/>
      <c r="I4789" s="8"/>
      <c r="J4789" s="8"/>
      <c r="K4789" s="8"/>
      <c r="L4789" s="8"/>
      <c r="M4789" s="8">
        <v>2.33</v>
      </c>
      <c r="N4789" s="8"/>
      <c r="O4789" s="8"/>
      <c r="P4789" s="8"/>
      <c r="Q4789" s="11"/>
      <c r="R4789" s="11"/>
      <c r="S4789" s="8">
        <v>1.74</v>
      </c>
      <c r="T4789" s="8"/>
      <c r="U4789" s="8">
        <v>10.41</v>
      </c>
      <c r="V4789" s="8"/>
      <c r="W4789" s="8"/>
      <c r="X4789" s="8"/>
      <c r="Y4789" s="8"/>
      <c r="Z4789" s="8"/>
      <c r="AA4789" s="8"/>
      <c r="AB4789" s="8"/>
      <c r="AC4789" s="8"/>
      <c r="AD4789" s="8"/>
      <c r="AE4789" s="8"/>
      <c r="AF4789" s="8"/>
      <c r="AG4789" s="8">
        <v>11.66</v>
      </c>
      <c r="AH4789" s="8"/>
      <c r="AI4789" s="8"/>
      <c r="AJ4789" s="8"/>
      <c r="AK4789" s="8"/>
      <c r="AL4789" s="8"/>
      <c r="AM4789" s="8"/>
      <c r="AN4789" s="8"/>
      <c r="AO4789" s="8"/>
      <c r="AP4789" s="11"/>
      <c r="AQ4789" s="8"/>
      <c r="AR4789" s="8"/>
      <c r="AS4789" s="8"/>
      <c r="AT4789" s="8">
        <v>309.12</v>
      </c>
      <c r="AU4789" s="8">
        <v>154.81</v>
      </c>
      <c r="AV4789" s="8"/>
      <c r="AW4789" s="8"/>
      <c r="AX4789" s="8"/>
      <c r="AY4789" s="8"/>
      <c r="AZ4789" s="8"/>
      <c r="BA4789" s="8"/>
      <c r="BB4789" s="8"/>
      <c r="BC4789" s="8">
        <v>1.08</v>
      </c>
      <c r="BD4789" s="8"/>
      <c r="BE4789" s="8"/>
      <c r="BF4789" s="8"/>
      <c r="BG4789" s="8">
        <v>32.130000000000003</v>
      </c>
      <c r="BH4789" s="9">
        <f t="shared" si="666"/>
        <v>1156.8800000000001</v>
      </c>
      <c r="BI4789" s="9">
        <f t="shared" si="667"/>
        <v>2.33</v>
      </c>
      <c r="BJ4789" s="9">
        <f t="shared" si="668"/>
        <v>1.74</v>
      </c>
      <c r="BK4789" s="9">
        <f t="shared" si="669"/>
        <v>10.41</v>
      </c>
      <c r="BL4789" s="9">
        <f t="shared" si="670"/>
        <v>0</v>
      </c>
      <c r="BM4789" s="9">
        <f t="shared" si="671"/>
        <v>11.66</v>
      </c>
      <c r="BN4789" s="9">
        <f t="shared" si="672"/>
        <v>463.93</v>
      </c>
      <c r="BO4789" s="9">
        <f t="shared" si="673"/>
        <v>1.08</v>
      </c>
      <c r="BP4789" s="9">
        <f t="shared" si="674"/>
        <v>0</v>
      </c>
    </row>
    <row r="4790" spans="1:68">
      <c r="A4790" s="6">
        <v>45463</v>
      </c>
      <c r="B4790" s="7">
        <v>3602</v>
      </c>
      <c r="C4790" s="8">
        <v>570.32000000000005</v>
      </c>
      <c r="D4790" s="8"/>
      <c r="E4790" s="8"/>
      <c r="F4790" s="8"/>
      <c r="G4790" s="8">
        <v>856.63</v>
      </c>
      <c r="H4790" s="8"/>
      <c r="I4790" s="8"/>
      <c r="J4790" s="8"/>
      <c r="K4790" s="8"/>
      <c r="L4790" s="8"/>
      <c r="M4790" s="8">
        <v>1.72</v>
      </c>
      <c r="N4790" s="8"/>
      <c r="O4790" s="8"/>
      <c r="P4790" s="8"/>
      <c r="Q4790" s="11"/>
      <c r="R4790" s="11"/>
      <c r="S4790" s="8">
        <v>5.94</v>
      </c>
      <c r="T4790" s="8"/>
      <c r="U4790" s="8">
        <v>11.43</v>
      </c>
      <c r="V4790" s="8">
        <f>859*16.32/1000</f>
        <v>14.018880000000001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11"/>
      <c r="AQ4790" s="8"/>
      <c r="AR4790" s="8"/>
      <c r="AS4790" s="8"/>
      <c r="AT4790" s="8">
        <v>575.71</v>
      </c>
      <c r="AU4790" s="8"/>
      <c r="AV4790" s="8"/>
      <c r="AW4790" s="8">
        <v>36.950000000000003</v>
      </c>
      <c r="AX4790" s="8"/>
      <c r="AY4790" s="8"/>
      <c r="AZ4790" s="8"/>
      <c r="BA4790" s="8"/>
      <c r="BB4790" s="8"/>
      <c r="BC4790" s="8"/>
      <c r="BD4790" s="8"/>
      <c r="BE4790" s="8"/>
      <c r="BF4790" s="8">
        <v>45.8</v>
      </c>
      <c r="BG4790" s="8">
        <v>42.81</v>
      </c>
      <c r="BH4790" s="9">
        <f t="shared" si="666"/>
        <v>1426.95</v>
      </c>
      <c r="BI4790" s="9">
        <f t="shared" si="667"/>
        <v>1.72</v>
      </c>
      <c r="BJ4790" s="9">
        <f t="shared" si="668"/>
        <v>5.94</v>
      </c>
      <c r="BK4790" s="9">
        <f t="shared" si="669"/>
        <v>25.448880000000003</v>
      </c>
      <c r="BL4790" s="9">
        <f t="shared" si="670"/>
        <v>0</v>
      </c>
      <c r="BM4790" s="9">
        <f t="shared" si="671"/>
        <v>0</v>
      </c>
      <c r="BN4790" s="9">
        <f t="shared" si="672"/>
        <v>575.71</v>
      </c>
      <c r="BO4790" s="9">
        <f t="shared" si="673"/>
        <v>36.950000000000003</v>
      </c>
      <c r="BP4790" s="9">
        <f t="shared" si="674"/>
        <v>45.8</v>
      </c>
    </row>
    <row r="4791" spans="1:68">
      <c r="A4791" s="6">
        <v>45463</v>
      </c>
      <c r="B4791" s="7">
        <v>3029</v>
      </c>
      <c r="C4791" s="8"/>
      <c r="D4791" s="8">
        <v>686.25</v>
      </c>
      <c r="E4791" s="8"/>
      <c r="F4791" s="8">
        <v>485.38</v>
      </c>
      <c r="G4791" s="8"/>
      <c r="H4791" s="8"/>
      <c r="I4791" s="8">
        <v>2869.24</v>
      </c>
      <c r="J4791" s="8"/>
      <c r="K4791" s="8"/>
      <c r="L4791" s="8"/>
      <c r="M4791" s="8"/>
      <c r="N4791" s="8">
        <v>32.75</v>
      </c>
      <c r="O4791" s="8"/>
      <c r="P4791" s="8"/>
      <c r="Q4791" s="11"/>
      <c r="R4791" s="11"/>
      <c r="S4791" s="8">
        <v>2.42</v>
      </c>
      <c r="T4791" s="8"/>
      <c r="U4791" s="8"/>
      <c r="V4791" s="8"/>
      <c r="W4791" s="8">
        <v>40.47</v>
      </c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>
        <v>14.13</v>
      </c>
      <c r="AN4791" s="8">
        <f>754*26.95/1000</f>
        <v>20.3203</v>
      </c>
      <c r="AO4791" s="8"/>
      <c r="AP4791" s="11"/>
      <c r="AQ4791" s="8"/>
      <c r="AR4791" s="8">
        <f>4625*26.95/1000</f>
        <v>124.64375</v>
      </c>
      <c r="AS4791" s="8"/>
      <c r="AT4791" s="8">
        <v>1535.54</v>
      </c>
      <c r="AU4791" s="8"/>
      <c r="AV4791" s="8"/>
      <c r="AW4791" s="8"/>
      <c r="AX4791" s="8"/>
      <c r="AY4791" s="8"/>
      <c r="AZ4791" s="8"/>
      <c r="BA4791" s="8"/>
      <c r="BB4791" s="8"/>
      <c r="BC4791" s="8"/>
      <c r="BD4791" s="8"/>
      <c r="BE4791" s="8"/>
      <c r="BF4791" s="8"/>
      <c r="BG4791" s="8">
        <v>106.95</v>
      </c>
      <c r="BH4791" s="9">
        <f t="shared" si="666"/>
        <v>4040.87</v>
      </c>
      <c r="BI4791" s="9">
        <f t="shared" si="667"/>
        <v>32.75</v>
      </c>
      <c r="BJ4791" s="9">
        <f t="shared" si="668"/>
        <v>2.42</v>
      </c>
      <c r="BK4791" s="9">
        <f t="shared" si="669"/>
        <v>40.47</v>
      </c>
      <c r="BL4791" s="9">
        <f t="shared" si="670"/>
        <v>0</v>
      </c>
      <c r="BM4791" s="9">
        <f t="shared" si="671"/>
        <v>159.09404999999998</v>
      </c>
      <c r="BN4791" s="9">
        <f t="shared" si="672"/>
        <v>1535.54</v>
      </c>
      <c r="BO4791" s="9">
        <f t="shared" si="673"/>
        <v>0</v>
      </c>
      <c r="BP4791" s="9">
        <f t="shared" si="674"/>
        <v>0</v>
      </c>
    </row>
    <row r="4792" spans="1:68">
      <c r="A4792" s="6">
        <v>45463</v>
      </c>
      <c r="B4792" s="7">
        <v>8359</v>
      </c>
      <c r="C4792" s="8">
        <f>2197.38+101.34</f>
        <v>2298.7200000000003</v>
      </c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>
        <f>1014*23.18/1000</f>
        <v>23.504519999999999</v>
      </c>
      <c r="P4792" s="8"/>
      <c r="Q4792" s="11"/>
      <c r="R4792" s="11"/>
      <c r="S4792" s="8">
        <f>8.63+0.4</f>
        <v>9.0300000000000011</v>
      </c>
      <c r="T4792" s="8"/>
      <c r="U4792" s="8">
        <f>33.2+1.54</f>
        <v>34.74</v>
      </c>
      <c r="V4792" s="8"/>
      <c r="W4792" s="8"/>
      <c r="X4792" s="8"/>
      <c r="Y4792" s="8"/>
      <c r="Z4792" s="8">
        <f>465.36+21.62</f>
        <v>486.98</v>
      </c>
      <c r="AA4792" s="8"/>
      <c r="AB4792" s="8"/>
      <c r="AC4792" s="8"/>
      <c r="AD4792" s="8"/>
      <c r="AE4792" s="8"/>
      <c r="AF4792" s="8">
        <f>110.57+5.16</f>
        <v>115.72999999999999</v>
      </c>
      <c r="AG4792" s="8"/>
      <c r="AH4792" s="8"/>
      <c r="AI4792" s="8"/>
      <c r="AJ4792" s="8"/>
      <c r="AK4792" s="8"/>
      <c r="AL4792" s="8"/>
      <c r="AM4792" s="8"/>
      <c r="AN4792" s="8"/>
      <c r="AO4792" s="8"/>
      <c r="AP4792" s="11"/>
      <c r="AQ4792" s="8">
        <f>1533*23.18/1000</f>
        <v>35.534939999999999</v>
      </c>
      <c r="AR4792" s="8"/>
      <c r="AS4792" s="8"/>
      <c r="AT4792" s="8">
        <f>1515.2+70.23</f>
        <v>1585.43</v>
      </c>
      <c r="AU4792" s="8"/>
      <c r="AV4792" s="8"/>
      <c r="AW4792" s="8">
        <f>6.4+0.3</f>
        <v>6.7</v>
      </c>
      <c r="AX4792" s="8"/>
      <c r="AY4792" s="8"/>
      <c r="AZ4792" s="8"/>
      <c r="BA4792" s="8"/>
      <c r="BB4792" s="8"/>
      <c r="BC4792" s="8"/>
      <c r="BD4792" s="8"/>
      <c r="BE4792" s="8"/>
      <c r="BF4792" s="8">
        <f>106.32+4.96</f>
        <v>111.27999999999999</v>
      </c>
      <c r="BG4792" s="8">
        <f>109.66+5.1</f>
        <v>114.75999999999999</v>
      </c>
      <c r="BH4792" s="9">
        <f t="shared" si="666"/>
        <v>2298.7200000000003</v>
      </c>
      <c r="BI4792" s="9">
        <f t="shared" si="667"/>
        <v>23.504519999999999</v>
      </c>
      <c r="BJ4792" s="9">
        <f t="shared" si="668"/>
        <v>9.0300000000000011</v>
      </c>
      <c r="BK4792" s="9">
        <f t="shared" si="669"/>
        <v>34.74</v>
      </c>
      <c r="BL4792" s="9">
        <f t="shared" si="670"/>
        <v>486.98</v>
      </c>
      <c r="BM4792" s="9">
        <f t="shared" si="671"/>
        <v>151.26494</v>
      </c>
      <c r="BN4792" s="9">
        <f t="shared" si="672"/>
        <v>1585.43</v>
      </c>
      <c r="BO4792" s="9">
        <f t="shared" si="673"/>
        <v>6.7</v>
      </c>
      <c r="BP4792" s="9">
        <f t="shared" si="674"/>
        <v>111.27999999999999</v>
      </c>
    </row>
    <row r="4793" spans="1:68">
      <c r="A4793" s="6">
        <v>45464</v>
      </c>
      <c r="B4793" s="7">
        <v>3100</v>
      </c>
      <c r="C4793" s="8">
        <v>660.41</v>
      </c>
      <c r="D4793" s="8"/>
      <c r="E4793" s="8"/>
      <c r="F4793" s="8"/>
      <c r="G4793" s="8"/>
      <c r="H4793" s="8"/>
      <c r="I4793" s="8"/>
      <c r="J4793" s="8"/>
      <c r="K4793" s="8"/>
      <c r="L4793" s="8"/>
      <c r="M4793" s="8">
        <v>1.66</v>
      </c>
      <c r="N4793" s="8"/>
      <c r="O4793" s="8"/>
      <c r="P4793" s="8"/>
      <c r="Q4793" s="11"/>
      <c r="R4793" s="11"/>
      <c r="S4793" s="8">
        <v>3.77</v>
      </c>
      <c r="T4793" s="8"/>
      <c r="U4793" s="8">
        <v>10.59</v>
      </c>
      <c r="V4793" s="8"/>
      <c r="W4793" s="8"/>
      <c r="X4793" s="8"/>
      <c r="Y4793" s="8"/>
      <c r="Z4793" s="8"/>
      <c r="AA4793" s="8"/>
      <c r="AB4793" s="8"/>
      <c r="AC4793" s="8">
        <v>2.65</v>
      </c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11"/>
      <c r="AQ4793" s="8"/>
      <c r="AR4793" s="8"/>
      <c r="AS4793" s="8"/>
      <c r="AT4793" s="8">
        <v>446.68</v>
      </c>
      <c r="AU4793" s="8"/>
      <c r="AV4793" s="8"/>
      <c r="AW4793" s="8"/>
      <c r="AX4793" s="8"/>
      <c r="AY4793" s="8"/>
      <c r="AZ4793" s="8"/>
      <c r="BA4793" s="8"/>
      <c r="BB4793" s="8"/>
      <c r="BC4793" s="8"/>
      <c r="BD4793" s="8"/>
      <c r="BE4793" s="8"/>
      <c r="BF4793" s="8">
        <v>86.09</v>
      </c>
      <c r="BG4793" s="8">
        <v>34.04</v>
      </c>
      <c r="BH4793" s="9">
        <f t="shared" si="666"/>
        <v>660.41</v>
      </c>
      <c r="BI4793" s="9">
        <f t="shared" si="667"/>
        <v>1.66</v>
      </c>
      <c r="BJ4793" s="9">
        <f t="shared" si="668"/>
        <v>3.77</v>
      </c>
      <c r="BK4793" s="9">
        <f t="shared" si="669"/>
        <v>10.59</v>
      </c>
      <c r="BL4793" s="9">
        <f t="shared" si="670"/>
        <v>0</v>
      </c>
      <c r="BM4793" s="9">
        <f t="shared" si="671"/>
        <v>2.65</v>
      </c>
      <c r="BN4793" s="9">
        <f t="shared" si="672"/>
        <v>446.68</v>
      </c>
      <c r="BO4793" s="9">
        <f t="shared" si="673"/>
        <v>0</v>
      </c>
      <c r="BP4793" s="9">
        <f t="shared" si="674"/>
        <v>86.09</v>
      </c>
    </row>
    <row r="4794" spans="1:68">
      <c r="A4794" s="6">
        <v>45464</v>
      </c>
      <c r="B4794" s="7">
        <v>3701</v>
      </c>
      <c r="C4794" s="8"/>
      <c r="D4794" s="8"/>
      <c r="E4794" s="8"/>
      <c r="F4794" s="8"/>
      <c r="G4794" s="8"/>
      <c r="H4794" s="8"/>
      <c r="I4794" s="8">
        <f>354.58+35.4</f>
        <v>389.97999999999996</v>
      </c>
      <c r="J4794" s="8">
        <f>51200*12.41/1000</f>
        <v>635.39200000000005</v>
      </c>
      <c r="K4794" s="8"/>
      <c r="L4794" s="8"/>
      <c r="M4794" s="8"/>
      <c r="N4794" s="8">
        <f>519*12.41/1000</f>
        <v>6.4407899999999998</v>
      </c>
      <c r="O4794" s="8"/>
      <c r="P4794" s="8"/>
      <c r="Q4794" s="11"/>
      <c r="R4794" s="11"/>
      <c r="S4794" s="8">
        <f>2.88+0.29</f>
        <v>3.17</v>
      </c>
      <c r="T4794" s="8"/>
      <c r="U4794" s="8">
        <f>5.78+0.58</f>
        <v>6.36</v>
      </c>
      <c r="V4794" s="8"/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>
        <f>19.26+1.96</f>
        <v>21.220000000000002</v>
      </c>
      <c r="AH4794" s="8"/>
      <c r="AI4794" s="8"/>
      <c r="AJ4794" s="8">
        <f>2608*12.41/1000</f>
        <v>32.365279999999998</v>
      </c>
      <c r="AK4794" s="8"/>
      <c r="AL4794" s="8"/>
      <c r="AM4794" s="8"/>
      <c r="AN4794" s="8"/>
      <c r="AO4794" s="8"/>
      <c r="AP4794" s="11"/>
      <c r="AQ4794" s="8"/>
      <c r="AR4794" s="8"/>
      <c r="AS4794" s="8"/>
      <c r="AT4794" s="8"/>
      <c r="AU4794" s="8">
        <f>339.44+34.45</f>
        <v>373.89</v>
      </c>
      <c r="AV4794" s="8"/>
      <c r="AW4794" s="8"/>
      <c r="AX4794" s="8"/>
      <c r="AY4794" s="8"/>
      <c r="AZ4794" s="8"/>
      <c r="BA4794" s="8"/>
      <c r="BB4794" s="8"/>
      <c r="BC4794" s="8"/>
      <c r="BD4794" s="8"/>
      <c r="BE4794" s="8"/>
      <c r="BF4794" s="8"/>
      <c r="BG4794" s="8">
        <f>22.74+2.33</f>
        <v>25.07</v>
      </c>
      <c r="BH4794" s="9">
        <f t="shared" si="666"/>
        <v>1025.3720000000001</v>
      </c>
      <c r="BI4794" s="9">
        <f t="shared" si="667"/>
        <v>6.4407899999999998</v>
      </c>
      <c r="BJ4794" s="9">
        <f t="shared" si="668"/>
        <v>3.17</v>
      </c>
      <c r="BK4794" s="9">
        <f t="shared" si="669"/>
        <v>6.36</v>
      </c>
      <c r="BL4794" s="9">
        <f t="shared" si="670"/>
        <v>0</v>
      </c>
      <c r="BM4794" s="9">
        <f t="shared" si="671"/>
        <v>53.585279999999997</v>
      </c>
      <c r="BN4794" s="9">
        <f t="shared" si="672"/>
        <v>373.89</v>
      </c>
      <c r="BO4794" s="9">
        <f t="shared" si="673"/>
        <v>0</v>
      </c>
      <c r="BP4794" s="9">
        <f t="shared" si="674"/>
        <v>0</v>
      </c>
    </row>
    <row r="4795" spans="1:68">
      <c r="A4795" s="6">
        <v>45464</v>
      </c>
      <c r="B4795" s="7">
        <v>3028</v>
      </c>
      <c r="C4795" s="8"/>
      <c r="D4795" s="8">
        <v>1077.6400000000001</v>
      </c>
      <c r="E4795" s="8"/>
      <c r="F4795" s="8">
        <v>989.7</v>
      </c>
      <c r="G4795" s="8"/>
      <c r="H4795" s="8"/>
      <c r="I4795" s="8">
        <v>2236.17</v>
      </c>
      <c r="J4795" s="8"/>
      <c r="K4795" s="8"/>
      <c r="L4795" s="8"/>
      <c r="M4795" s="8"/>
      <c r="N4795" s="8">
        <v>33.56</v>
      </c>
      <c r="O4795" s="8"/>
      <c r="P4795" s="8"/>
      <c r="Q4795" s="11"/>
      <c r="R4795" s="11"/>
      <c r="S4795" s="8">
        <v>6.02</v>
      </c>
      <c r="T4795" s="8"/>
      <c r="U4795" s="8"/>
      <c r="V4795" s="8"/>
      <c r="W4795" s="8">
        <v>32.29</v>
      </c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>
        <v>42.94</v>
      </c>
      <c r="AN4795" s="8">
        <f>1071*28.68/1000</f>
        <v>30.716279999999998</v>
      </c>
      <c r="AO4795" s="8"/>
      <c r="AP4795" s="11"/>
      <c r="AQ4795" s="8"/>
      <c r="AR4795" s="8">
        <f>5018*28.68/1000</f>
        <v>143.91623999999999</v>
      </c>
      <c r="AS4795" s="8"/>
      <c r="AT4795" s="8">
        <v>1432.85</v>
      </c>
      <c r="AU4795" s="8"/>
      <c r="AV4795" s="8"/>
      <c r="AW4795" s="8"/>
      <c r="AX4795" s="8"/>
      <c r="AY4795" s="8"/>
      <c r="AZ4795" s="8"/>
      <c r="BA4795" s="8"/>
      <c r="BB4795" s="8"/>
      <c r="BC4795" s="8"/>
      <c r="BD4795" s="8"/>
      <c r="BE4795" s="8"/>
      <c r="BF4795" s="8"/>
      <c r="BG4795" s="8">
        <v>97.63</v>
      </c>
      <c r="BH4795" s="9">
        <f t="shared" si="666"/>
        <v>4303.51</v>
      </c>
      <c r="BI4795" s="9">
        <f t="shared" si="667"/>
        <v>33.56</v>
      </c>
      <c r="BJ4795" s="9">
        <f t="shared" si="668"/>
        <v>6.02</v>
      </c>
      <c r="BK4795" s="9">
        <f t="shared" si="669"/>
        <v>32.29</v>
      </c>
      <c r="BL4795" s="9">
        <f t="shared" si="670"/>
        <v>0</v>
      </c>
      <c r="BM4795" s="9">
        <f t="shared" si="671"/>
        <v>217.57252</v>
      </c>
      <c r="BN4795" s="9">
        <f t="shared" si="672"/>
        <v>1432.85</v>
      </c>
      <c r="BO4795" s="9">
        <f t="shared" si="673"/>
        <v>0</v>
      </c>
      <c r="BP4795" s="9">
        <f t="shared" si="674"/>
        <v>0</v>
      </c>
    </row>
    <row r="4796" spans="1:68">
      <c r="A4796" s="6">
        <v>45464</v>
      </c>
      <c r="B4796" s="7">
        <v>3005</v>
      </c>
      <c r="C4796" s="8">
        <v>415.81</v>
      </c>
      <c r="D4796" s="8">
        <v>278.61</v>
      </c>
      <c r="E4796" s="8"/>
      <c r="F4796" s="8"/>
      <c r="G4796" s="8"/>
      <c r="H4796" s="8"/>
      <c r="I4796" s="8"/>
      <c r="J4796" s="8"/>
      <c r="K4796" s="8"/>
      <c r="L4796" s="8"/>
      <c r="M4796" s="8"/>
      <c r="N4796" s="8">
        <v>0.7</v>
      </c>
      <c r="O4796" s="8"/>
      <c r="P4796" s="8"/>
      <c r="Q4796" s="11"/>
      <c r="R4796" s="11"/>
      <c r="S4796" s="8">
        <v>2.4300000000000002</v>
      </c>
      <c r="T4796" s="8"/>
      <c r="U4796" s="8"/>
      <c r="V4796" s="8"/>
      <c r="W4796" s="8">
        <v>7.66</v>
      </c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11"/>
      <c r="AQ4796" s="8"/>
      <c r="AR4796" s="8"/>
      <c r="AS4796" s="8"/>
      <c r="AT4796" s="8">
        <v>340.35</v>
      </c>
      <c r="AU4796" s="8"/>
      <c r="AV4796" s="8"/>
      <c r="AW4796" s="8">
        <v>7.72</v>
      </c>
      <c r="AX4796" s="8"/>
      <c r="AY4796" s="8"/>
      <c r="AZ4796" s="8"/>
      <c r="BA4796" s="8"/>
      <c r="BB4796" s="8"/>
      <c r="BC4796" s="8"/>
      <c r="BD4796" s="8"/>
      <c r="BE4796" s="8"/>
      <c r="BF4796" s="8"/>
      <c r="BG4796" s="8">
        <v>25.35</v>
      </c>
      <c r="BH4796" s="9">
        <f t="shared" si="666"/>
        <v>694.42000000000007</v>
      </c>
      <c r="BI4796" s="9">
        <f t="shared" si="667"/>
        <v>0.7</v>
      </c>
      <c r="BJ4796" s="9">
        <f t="shared" si="668"/>
        <v>2.4300000000000002</v>
      </c>
      <c r="BK4796" s="9">
        <f t="shared" si="669"/>
        <v>7.66</v>
      </c>
      <c r="BL4796" s="9">
        <f t="shared" si="670"/>
        <v>0</v>
      </c>
      <c r="BM4796" s="9">
        <f t="shared" si="671"/>
        <v>0</v>
      </c>
      <c r="BN4796" s="9">
        <f t="shared" si="672"/>
        <v>340.35</v>
      </c>
      <c r="BO4796" s="9">
        <f t="shared" si="673"/>
        <v>7.72</v>
      </c>
      <c r="BP4796" s="9">
        <f t="shared" si="674"/>
        <v>0</v>
      </c>
    </row>
    <row r="4797" spans="1:68">
      <c r="A4797" s="6">
        <v>45464</v>
      </c>
      <c r="B4797" s="7">
        <v>3113</v>
      </c>
      <c r="C4797" s="8">
        <v>1670.8</v>
      </c>
      <c r="D4797" s="8"/>
      <c r="E4797" s="8"/>
      <c r="F4797" s="8"/>
      <c r="G4797" s="8"/>
      <c r="H4797" s="8"/>
      <c r="I4797" s="8"/>
      <c r="J4797" s="8"/>
      <c r="K4797" s="8"/>
      <c r="L4797" s="8"/>
      <c r="M4797" s="8">
        <v>1.68</v>
      </c>
      <c r="N4797" s="8">
        <v>1.68</v>
      </c>
      <c r="O4797" s="8"/>
      <c r="P4797" s="8"/>
      <c r="Q4797" s="11"/>
      <c r="R4797" s="11"/>
      <c r="S4797" s="8">
        <v>5.0199999999999996</v>
      </c>
      <c r="T4797" s="8"/>
      <c r="U4797" s="8">
        <v>16.739999999999998</v>
      </c>
      <c r="V4797" s="8"/>
      <c r="W4797" s="8"/>
      <c r="X4797" s="8"/>
      <c r="Y4797" s="8"/>
      <c r="Z4797" s="8"/>
      <c r="AA4797" s="8"/>
      <c r="AB4797" s="8"/>
      <c r="AC4797" s="8">
        <v>6.69</v>
      </c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11"/>
      <c r="AQ4797" s="8"/>
      <c r="AR4797" s="8"/>
      <c r="AS4797" s="8"/>
      <c r="AT4797" s="8">
        <v>699.86</v>
      </c>
      <c r="AU4797" s="8"/>
      <c r="AV4797" s="8">
        <v>56.84</v>
      </c>
      <c r="AW4797" s="8"/>
      <c r="AX4797" s="8"/>
      <c r="AY4797" s="8"/>
      <c r="AZ4797" s="8"/>
      <c r="BA4797" s="8"/>
      <c r="BB4797" s="8"/>
      <c r="BC4797" s="8"/>
      <c r="BD4797" s="8"/>
      <c r="BE4797" s="8"/>
      <c r="BF4797" s="8"/>
      <c r="BG4797" s="8">
        <v>50.43</v>
      </c>
      <c r="BH4797" s="9">
        <f t="shared" si="666"/>
        <v>1670.8</v>
      </c>
      <c r="BI4797" s="9">
        <f t="shared" si="667"/>
        <v>3.36</v>
      </c>
      <c r="BJ4797" s="9">
        <f t="shared" si="668"/>
        <v>5.0199999999999996</v>
      </c>
      <c r="BK4797" s="9">
        <f t="shared" si="669"/>
        <v>16.739999999999998</v>
      </c>
      <c r="BL4797" s="9">
        <f t="shared" si="670"/>
        <v>0</v>
      </c>
      <c r="BM4797" s="9">
        <f t="shared" si="671"/>
        <v>6.69</v>
      </c>
      <c r="BN4797" s="9">
        <f t="shared" si="672"/>
        <v>699.86</v>
      </c>
      <c r="BO4797" s="9">
        <f t="shared" si="673"/>
        <v>56.84</v>
      </c>
      <c r="BP4797" s="9">
        <f t="shared" si="674"/>
        <v>0</v>
      </c>
    </row>
    <row r="4798" spans="1:68">
      <c r="A4798" s="6">
        <v>45464</v>
      </c>
      <c r="B4798" s="7">
        <v>3141</v>
      </c>
      <c r="C4798" s="8">
        <v>2373.65</v>
      </c>
      <c r="D4798" s="8">
        <v>418.54</v>
      </c>
      <c r="E4798" s="8"/>
      <c r="F4798" s="8"/>
      <c r="G4798" s="8"/>
      <c r="H4798" s="8"/>
      <c r="I4798" s="8"/>
      <c r="J4798" s="8"/>
      <c r="K4798" s="8"/>
      <c r="L4798" s="8"/>
      <c r="M4798" s="8">
        <v>8.84</v>
      </c>
      <c r="N4798" s="8"/>
      <c r="O4798" s="8"/>
      <c r="P4798" s="8"/>
      <c r="Q4798" s="11"/>
      <c r="R4798" s="11"/>
      <c r="S4798" s="8">
        <v>13.13</v>
      </c>
      <c r="T4798" s="8"/>
      <c r="U4798" s="8">
        <v>41.89</v>
      </c>
      <c r="V4798" s="8"/>
      <c r="W4798" s="8"/>
      <c r="X4798" s="8"/>
      <c r="Y4798" s="8"/>
      <c r="Z4798" s="8"/>
      <c r="AA4798" s="8"/>
      <c r="AB4798" s="8"/>
      <c r="AC4798" s="8">
        <v>11.16</v>
      </c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11"/>
      <c r="AQ4798" s="8"/>
      <c r="AR4798" s="8"/>
      <c r="AS4798" s="8"/>
      <c r="AT4798" s="8">
        <v>1841.55</v>
      </c>
      <c r="AU4798" s="8"/>
      <c r="AV4798" s="8"/>
      <c r="AW4798" s="8"/>
      <c r="AX4798" s="8"/>
      <c r="AY4798" s="8"/>
      <c r="AZ4798" s="8"/>
      <c r="BA4798" s="8">
        <v>63.99</v>
      </c>
      <c r="BB4798" s="8"/>
      <c r="BC4798" s="8"/>
      <c r="BD4798" s="8"/>
      <c r="BE4798" s="8"/>
      <c r="BF4798" s="8">
        <v>195.51</v>
      </c>
      <c r="BG4798" s="8">
        <v>145.76</v>
      </c>
      <c r="BH4798" s="9">
        <f t="shared" si="666"/>
        <v>2792.19</v>
      </c>
      <c r="BI4798" s="9">
        <f t="shared" si="667"/>
        <v>8.84</v>
      </c>
      <c r="BJ4798" s="9">
        <f t="shared" si="668"/>
        <v>13.13</v>
      </c>
      <c r="BK4798" s="9">
        <f t="shared" si="669"/>
        <v>41.89</v>
      </c>
      <c r="BL4798" s="9">
        <f t="shared" si="670"/>
        <v>0</v>
      </c>
      <c r="BM4798" s="9">
        <f t="shared" si="671"/>
        <v>11.16</v>
      </c>
      <c r="BN4798" s="9">
        <f t="shared" si="672"/>
        <v>1841.55</v>
      </c>
      <c r="BO4798" s="9">
        <f t="shared" si="673"/>
        <v>63.99</v>
      </c>
      <c r="BP4798" s="9">
        <f t="shared" si="674"/>
        <v>195.51</v>
      </c>
    </row>
    <row r="4799" spans="1:68">
      <c r="A4799" s="6">
        <v>45464</v>
      </c>
      <c r="B4799" s="7">
        <v>3106</v>
      </c>
      <c r="C4799" s="8">
        <v>4564.47</v>
      </c>
      <c r="D4799" s="8"/>
      <c r="E4799" s="8"/>
      <c r="F4799" s="8"/>
      <c r="G4799" s="8"/>
      <c r="H4799" s="8"/>
      <c r="I4799" s="8"/>
      <c r="J4799" s="8"/>
      <c r="K4799" s="8"/>
      <c r="L4799" s="8"/>
      <c r="M4799" s="8">
        <v>8.69</v>
      </c>
      <c r="N4799" s="8"/>
      <c r="O4799" s="8"/>
      <c r="P4799" s="8"/>
      <c r="Q4799" s="11"/>
      <c r="R4799" s="11"/>
      <c r="S4799" s="8">
        <v>13.73</v>
      </c>
      <c r="T4799" s="8"/>
      <c r="U4799" s="8">
        <v>58.14</v>
      </c>
      <c r="V4799" s="8"/>
      <c r="W4799" s="8"/>
      <c r="X4799" s="8"/>
      <c r="Y4799" s="8"/>
      <c r="Z4799" s="8"/>
      <c r="AA4799" s="8"/>
      <c r="AB4799" s="8"/>
      <c r="AC4799" s="8">
        <v>11.42</v>
      </c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11"/>
      <c r="AQ4799" s="8"/>
      <c r="AR4799" s="8"/>
      <c r="AS4799" s="8"/>
      <c r="AT4799" s="8">
        <v>2601.2399999999998</v>
      </c>
      <c r="AU4799" s="8"/>
      <c r="AV4799" s="8"/>
      <c r="AW4799" s="8"/>
      <c r="AX4799" s="8">
        <v>5.71</v>
      </c>
      <c r="AY4799" s="8"/>
      <c r="AZ4799" s="8"/>
      <c r="BA4799" s="8"/>
      <c r="BB4799" s="8"/>
      <c r="BC4799" s="8"/>
      <c r="BD4799" s="8"/>
      <c r="BE4799" s="8"/>
      <c r="BF4799" s="8"/>
      <c r="BG4799" s="8">
        <v>196.09</v>
      </c>
      <c r="BH4799" s="9">
        <f t="shared" si="666"/>
        <v>4564.47</v>
      </c>
      <c r="BI4799" s="9">
        <f t="shared" si="667"/>
        <v>8.69</v>
      </c>
      <c r="BJ4799" s="9">
        <f t="shared" si="668"/>
        <v>13.73</v>
      </c>
      <c r="BK4799" s="9">
        <f t="shared" si="669"/>
        <v>58.14</v>
      </c>
      <c r="BL4799" s="9">
        <f t="shared" si="670"/>
        <v>0</v>
      </c>
      <c r="BM4799" s="9">
        <f t="shared" si="671"/>
        <v>11.42</v>
      </c>
      <c r="BN4799" s="9">
        <f t="shared" si="672"/>
        <v>2601.2399999999998</v>
      </c>
      <c r="BO4799" s="9">
        <f t="shared" si="673"/>
        <v>5.71</v>
      </c>
      <c r="BP4799" s="9">
        <f t="shared" si="674"/>
        <v>0</v>
      </c>
    </row>
    <row r="4800" spans="1:68">
      <c r="A4800" s="6">
        <v>45467</v>
      </c>
      <c r="B4800" s="7">
        <v>3704</v>
      </c>
      <c r="C4800" s="8">
        <v>338.93</v>
      </c>
      <c r="D4800" s="8">
        <v>508.34</v>
      </c>
      <c r="E4800" s="8"/>
      <c r="F4800" s="8"/>
      <c r="G4800" s="8"/>
      <c r="H4800" s="8"/>
      <c r="I4800" s="8"/>
      <c r="J4800" s="8"/>
      <c r="K4800" s="8"/>
      <c r="L4800" s="8"/>
      <c r="M4800" s="8">
        <v>2.5499999999999998</v>
      </c>
      <c r="N4800" s="8"/>
      <c r="O4800" s="8"/>
      <c r="P4800" s="8"/>
      <c r="Q4800" s="11"/>
      <c r="R4800" s="11"/>
      <c r="S4800" s="8">
        <v>2.97</v>
      </c>
      <c r="T4800" s="8"/>
      <c r="U4800" s="8">
        <v>6.37</v>
      </c>
      <c r="V4800" s="8"/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>
        <v>10.15</v>
      </c>
      <c r="AN4800" s="8"/>
      <c r="AO4800" s="8"/>
      <c r="AP4800" s="11"/>
      <c r="AQ4800" s="8"/>
      <c r="AR4800" s="8"/>
      <c r="AS4800" s="8"/>
      <c r="AT4800" s="8">
        <v>147.38999999999999</v>
      </c>
      <c r="AU4800" s="8">
        <v>73.66</v>
      </c>
      <c r="AV4800" s="8"/>
      <c r="AW4800" s="8"/>
      <c r="AX4800" s="8"/>
      <c r="AY4800" s="8"/>
      <c r="AZ4800" s="8"/>
      <c r="BA4800" s="8"/>
      <c r="BB4800" s="8"/>
      <c r="BC4800" s="8"/>
      <c r="BD4800" s="8"/>
      <c r="BE4800" s="8"/>
      <c r="BF4800" s="8"/>
      <c r="BG4800" s="8">
        <v>13.6</v>
      </c>
      <c r="BH4800" s="9">
        <f t="shared" si="666"/>
        <v>847.27</v>
      </c>
      <c r="BI4800" s="9">
        <f t="shared" si="667"/>
        <v>2.5499999999999998</v>
      </c>
      <c r="BJ4800" s="9">
        <f t="shared" si="668"/>
        <v>2.97</v>
      </c>
      <c r="BK4800" s="9">
        <f t="shared" si="669"/>
        <v>6.37</v>
      </c>
      <c r="BL4800" s="9">
        <f t="shared" si="670"/>
        <v>0</v>
      </c>
      <c r="BM4800" s="9">
        <f t="shared" si="671"/>
        <v>10.15</v>
      </c>
      <c r="BN4800" s="9">
        <f t="shared" si="672"/>
        <v>221.04999999999998</v>
      </c>
      <c r="BO4800" s="9">
        <f t="shared" si="673"/>
        <v>0</v>
      </c>
      <c r="BP4800" s="9">
        <f t="shared" si="674"/>
        <v>0</v>
      </c>
    </row>
    <row r="4801" spans="1:68">
      <c r="A4801" s="6">
        <v>45467</v>
      </c>
      <c r="B4801" s="7">
        <v>3703</v>
      </c>
      <c r="C4801" s="8">
        <v>901.3</v>
      </c>
      <c r="D4801" s="8">
        <v>601.22</v>
      </c>
      <c r="E4801" s="8"/>
      <c r="F4801" s="8"/>
      <c r="G4801" s="8"/>
      <c r="H4801" s="8"/>
      <c r="I4801" s="8"/>
      <c r="J4801" s="8"/>
      <c r="K4801" s="8"/>
      <c r="L4801" s="8"/>
      <c r="M4801" s="8">
        <v>3.01</v>
      </c>
      <c r="N4801" s="8"/>
      <c r="O4801" s="8"/>
      <c r="P4801" s="8"/>
      <c r="Q4801" s="11"/>
      <c r="R4801" s="11"/>
      <c r="S4801" s="8">
        <v>7.38</v>
      </c>
      <c r="T4801" s="8"/>
      <c r="U4801" s="8">
        <v>12.03</v>
      </c>
      <c r="V4801" s="8"/>
      <c r="W4801" s="8"/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>
        <v>15.04</v>
      </c>
      <c r="AN4801" s="8"/>
      <c r="AO4801" s="8"/>
      <c r="AP4801" s="11"/>
      <c r="AQ4801" s="8"/>
      <c r="AR4801" s="8"/>
      <c r="AS4801" s="8"/>
      <c r="AT4801" s="8">
        <v>364.28</v>
      </c>
      <c r="AU4801" s="8">
        <v>182.3</v>
      </c>
      <c r="AV4801" s="8"/>
      <c r="AW4801" s="8"/>
      <c r="AX4801" s="8"/>
      <c r="AY4801" s="8"/>
      <c r="AZ4801" s="8"/>
      <c r="BA4801" s="8"/>
      <c r="BB4801" s="8"/>
      <c r="BC4801" s="8"/>
      <c r="BD4801" s="8"/>
      <c r="BE4801" s="8"/>
      <c r="BF4801" s="8"/>
      <c r="BG4801" s="8">
        <v>38.42</v>
      </c>
      <c r="BH4801" s="9">
        <f t="shared" si="666"/>
        <v>1502.52</v>
      </c>
      <c r="BI4801" s="9">
        <f t="shared" si="667"/>
        <v>3.01</v>
      </c>
      <c r="BJ4801" s="9">
        <f t="shared" si="668"/>
        <v>7.38</v>
      </c>
      <c r="BK4801" s="9">
        <f t="shared" si="669"/>
        <v>12.03</v>
      </c>
      <c r="BL4801" s="9">
        <f t="shared" si="670"/>
        <v>0</v>
      </c>
      <c r="BM4801" s="9">
        <f t="shared" si="671"/>
        <v>15.04</v>
      </c>
      <c r="BN4801" s="9">
        <f t="shared" si="672"/>
        <v>546.57999999999993</v>
      </c>
      <c r="BO4801" s="9">
        <f t="shared" si="673"/>
        <v>0</v>
      </c>
      <c r="BP4801" s="9">
        <f t="shared" si="674"/>
        <v>0</v>
      </c>
    </row>
    <row r="4802" spans="1:68">
      <c r="A4802" s="6">
        <v>45467</v>
      </c>
      <c r="B4802" s="7">
        <v>3702</v>
      </c>
      <c r="C4802" s="8">
        <v>450.54</v>
      </c>
      <c r="D4802" s="8">
        <v>300.04000000000002</v>
      </c>
      <c r="E4802" s="8"/>
      <c r="F4802" s="8"/>
      <c r="G4802" s="8"/>
      <c r="H4802" s="8"/>
      <c r="I4802" s="8"/>
      <c r="J4802" s="8"/>
      <c r="K4802" s="8"/>
      <c r="L4802" s="8"/>
      <c r="M4802" s="8">
        <v>1.5</v>
      </c>
      <c r="N4802" s="8"/>
      <c r="O4802" s="8"/>
      <c r="P4802" s="8"/>
      <c r="Q4802" s="11"/>
      <c r="R4802" s="11"/>
      <c r="S4802" s="8">
        <v>3.51</v>
      </c>
      <c r="T4802" s="8"/>
      <c r="U4802" s="8">
        <v>5.63</v>
      </c>
      <c r="V4802" s="8"/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11"/>
      <c r="AQ4802" s="8"/>
      <c r="AR4802" s="8"/>
      <c r="AS4802" s="8"/>
      <c r="AT4802" s="8">
        <v>183.18</v>
      </c>
      <c r="AU4802" s="8">
        <v>91.62</v>
      </c>
      <c r="AV4802" s="8"/>
      <c r="AW4802" s="8">
        <v>1.67</v>
      </c>
      <c r="AX4802" s="8"/>
      <c r="AY4802" s="8"/>
      <c r="AZ4802" s="8"/>
      <c r="BA4802" s="8"/>
      <c r="BB4802" s="8"/>
      <c r="BC4802" s="8"/>
      <c r="BD4802" s="8"/>
      <c r="BE4802" s="8"/>
      <c r="BF4802" s="8"/>
      <c r="BG4802" s="8">
        <v>19.03</v>
      </c>
      <c r="BH4802" s="9">
        <f t="shared" si="666"/>
        <v>750.58</v>
      </c>
      <c r="BI4802" s="9">
        <f t="shared" si="667"/>
        <v>1.5</v>
      </c>
      <c r="BJ4802" s="9">
        <f t="shared" si="668"/>
        <v>3.51</v>
      </c>
      <c r="BK4802" s="9">
        <f t="shared" si="669"/>
        <v>5.63</v>
      </c>
      <c r="BL4802" s="9">
        <f t="shared" si="670"/>
        <v>0</v>
      </c>
      <c r="BM4802" s="9">
        <f t="shared" si="671"/>
        <v>0</v>
      </c>
      <c r="BN4802" s="9">
        <f t="shared" si="672"/>
        <v>274.8</v>
      </c>
      <c r="BO4802" s="9">
        <f t="shared" si="673"/>
        <v>1.67</v>
      </c>
      <c r="BP4802" s="9">
        <f t="shared" si="674"/>
        <v>0</v>
      </c>
    </row>
    <row r="4803" spans="1:68">
      <c r="A4803" s="6">
        <v>45467</v>
      </c>
      <c r="B4803" s="7">
        <v>3080</v>
      </c>
      <c r="C4803" s="8"/>
      <c r="D4803" s="8"/>
      <c r="E4803" s="8"/>
      <c r="F4803" s="8">
        <f>765.06+18.15</f>
        <v>783.20999999999992</v>
      </c>
      <c r="G4803" s="8"/>
      <c r="H4803" s="8"/>
      <c r="I4803" s="8">
        <f>1148.01+27.18</f>
        <v>1175.19</v>
      </c>
      <c r="J4803" s="8"/>
      <c r="K4803" s="8"/>
      <c r="L4803" s="8"/>
      <c r="M4803" s="8"/>
      <c r="N4803" s="8">
        <f>13.03+0.31</f>
        <v>13.34</v>
      </c>
      <c r="O4803" s="8"/>
      <c r="P4803" s="8">
        <f>622*12.63/1000</f>
        <v>7.8558600000000007</v>
      </c>
      <c r="Q4803" s="11"/>
      <c r="R4803" s="11"/>
      <c r="S4803" s="8">
        <f>1.15+0.03</f>
        <v>1.18</v>
      </c>
      <c r="T4803" s="8"/>
      <c r="U4803" s="8"/>
      <c r="V4803" s="8"/>
      <c r="W4803" s="8">
        <f>19.17+0.45</f>
        <v>19.62</v>
      </c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8">
        <f>2323*12.63/1000</f>
        <v>29.339490000000001</v>
      </c>
      <c r="AJ4803" s="8"/>
      <c r="AK4803" s="8"/>
      <c r="AL4803" s="8"/>
      <c r="AM4803" s="8"/>
      <c r="AN4803" s="8"/>
      <c r="AO4803" s="8"/>
      <c r="AP4803" s="11"/>
      <c r="AQ4803" s="8">
        <f>1556*12.63/1000</f>
        <v>19.652280000000001</v>
      </c>
      <c r="AR4803" s="8">
        <f>5524*12.63/1000</f>
        <v>69.76812000000001</v>
      </c>
      <c r="AS4803" s="8"/>
      <c r="AT4803" s="8">
        <f>671.3+15.81</f>
        <v>687.1099999999999</v>
      </c>
      <c r="AU4803" s="8"/>
      <c r="AV4803" s="8"/>
      <c r="AW4803" s="8"/>
      <c r="AX4803" s="8"/>
      <c r="AY4803" s="8"/>
      <c r="AZ4803" s="8"/>
      <c r="BA4803" s="8"/>
      <c r="BB4803" s="8"/>
      <c r="BC4803" s="8"/>
      <c r="BD4803" s="8"/>
      <c r="BE4803" s="8"/>
      <c r="BF4803" s="8"/>
      <c r="BG4803" s="8">
        <f>36.24+0.86</f>
        <v>37.1</v>
      </c>
      <c r="BH4803" s="9">
        <f t="shared" si="666"/>
        <v>1958.4</v>
      </c>
      <c r="BI4803" s="9">
        <f t="shared" si="667"/>
        <v>21.19586</v>
      </c>
      <c r="BJ4803" s="9">
        <f t="shared" si="668"/>
        <v>1.18</v>
      </c>
      <c r="BK4803" s="9">
        <f t="shared" si="669"/>
        <v>19.62</v>
      </c>
      <c r="BL4803" s="9">
        <f t="shared" si="670"/>
        <v>0</v>
      </c>
      <c r="BM4803" s="9">
        <f t="shared" si="671"/>
        <v>118.75989000000001</v>
      </c>
      <c r="BN4803" s="9">
        <f t="shared" si="672"/>
        <v>687.1099999999999</v>
      </c>
      <c r="BO4803" s="9">
        <f t="shared" si="673"/>
        <v>0</v>
      </c>
      <c r="BP4803" s="9">
        <f t="shared" si="674"/>
        <v>0</v>
      </c>
    </row>
    <row r="4804" spans="1:68">
      <c r="A4804" s="6">
        <v>45467</v>
      </c>
      <c r="B4804" s="7">
        <v>3016</v>
      </c>
      <c r="C4804" s="8"/>
      <c r="D4804" s="8">
        <v>2413.3200000000002</v>
      </c>
      <c r="E4804" s="8"/>
      <c r="F4804" s="8"/>
      <c r="G4804" s="8"/>
      <c r="H4804" s="8"/>
      <c r="I4804" s="8">
        <v>2227.14</v>
      </c>
      <c r="J4804" s="8"/>
      <c r="K4804" s="8"/>
      <c r="L4804" s="8"/>
      <c r="M4804" s="8"/>
      <c r="N4804" s="8">
        <v>30.15</v>
      </c>
      <c r="O4804" s="8"/>
      <c r="P4804" s="8"/>
      <c r="Q4804" s="11"/>
      <c r="R4804" s="11"/>
      <c r="S4804" s="8">
        <v>3.25</v>
      </c>
      <c r="T4804" s="8"/>
      <c r="U4804" s="8"/>
      <c r="V4804" s="8"/>
      <c r="W4804" s="8">
        <v>46.44</v>
      </c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>
        <v>18.510000000000002</v>
      </c>
      <c r="AN4804" s="8">
        <f>2049*27.28/1000</f>
        <v>55.896720000000002</v>
      </c>
      <c r="AO4804" s="8"/>
      <c r="AP4804" s="11"/>
      <c r="AQ4804" s="8"/>
      <c r="AR4804" s="8">
        <f>4276*27.28/1000</f>
        <v>116.64928</v>
      </c>
      <c r="AS4804" s="8"/>
      <c r="AT4804" s="8">
        <v>1725.11</v>
      </c>
      <c r="AU4804" s="8"/>
      <c r="AV4804" s="8"/>
      <c r="AW4804" s="8"/>
      <c r="AX4804" s="8"/>
      <c r="AY4804" s="8"/>
      <c r="AZ4804" s="8"/>
      <c r="BA4804" s="8"/>
      <c r="BB4804" s="8"/>
      <c r="BC4804" s="8"/>
      <c r="BD4804" s="8"/>
      <c r="BE4804" s="8"/>
      <c r="BF4804" s="8"/>
      <c r="BG4804" s="8">
        <v>126.08</v>
      </c>
      <c r="BH4804" s="9">
        <f t="shared" ref="BH4804:BH4867" si="675">SUM(C4804:L4804)</f>
        <v>4640.46</v>
      </c>
      <c r="BI4804" s="9">
        <f t="shared" ref="BI4804:BI4867" si="676">SUM(M4804:R4804)</f>
        <v>30.15</v>
      </c>
      <c r="BJ4804" s="9">
        <f t="shared" ref="BJ4804:BJ4867" si="677">SUM(S4804)</f>
        <v>3.25</v>
      </c>
      <c r="BK4804" s="9">
        <f t="shared" ref="BK4804:BK4867" si="678">SUM(T4804:Y4804)</f>
        <v>46.44</v>
      </c>
      <c r="BL4804" s="9">
        <f t="shared" ref="BL4804:BL4867" si="679">SUM(Z4804:AA4804)</f>
        <v>0</v>
      </c>
      <c r="BM4804" s="9">
        <f t="shared" ref="BM4804:BM4867" si="680">SUM(AB4804:AS4804)</f>
        <v>191.05600000000001</v>
      </c>
      <c r="BN4804" s="9">
        <f t="shared" ref="BN4804:BN4867" si="681">SUM(AT4804:AU4804)</f>
        <v>1725.11</v>
      </c>
      <c r="BO4804" s="9">
        <f t="shared" ref="BO4804:BO4867" si="682">SUM(AV4804:BE4804)</f>
        <v>0</v>
      </c>
      <c r="BP4804" s="9">
        <f t="shared" ref="BP4804:BP4867" si="683">SUM(BF4804)</f>
        <v>0</v>
      </c>
    </row>
    <row r="4805" spans="1:68">
      <c r="A4805" s="6">
        <v>45467</v>
      </c>
      <c r="B4805" s="7">
        <v>3079</v>
      </c>
      <c r="C4805" s="8"/>
      <c r="D4805" s="8"/>
      <c r="E4805" s="8"/>
      <c r="F4805" s="8">
        <v>503.71</v>
      </c>
      <c r="G4805" s="8"/>
      <c r="H4805" s="8"/>
      <c r="I4805" s="8">
        <v>4071.04</v>
      </c>
      <c r="J4805" s="8"/>
      <c r="K4805" s="8"/>
      <c r="L4805" s="8"/>
      <c r="M4805" s="8"/>
      <c r="N4805" s="8">
        <v>34.32</v>
      </c>
      <c r="O4805" s="8"/>
      <c r="P4805" s="8"/>
      <c r="Q4805" s="11"/>
      <c r="R4805" s="11"/>
      <c r="S4805" s="8">
        <v>1.83</v>
      </c>
      <c r="T4805" s="8"/>
      <c r="U4805" s="8"/>
      <c r="V4805" s="8"/>
      <c r="W4805" s="8">
        <v>45.83</v>
      </c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>
        <v>18.329999999999998</v>
      </c>
      <c r="AN4805" s="8">
        <f>1724*26.93/1000</f>
        <v>46.427320000000002</v>
      </c>
      <c r="AO4805" s="8"/>
      <c r="AP4805" s="11"/>
      <c r="AQ4805" s="8"/>
      <c r="AR4805" s="8">
        <f>4276*26.93/1000</f>
        <v>115.15267999999999</v>
      </c>
      <c r="AS4805" s="8"/>
      <c r="AT4805" s="8">
        <v>1766.37</v>
      </c>
      <c r="AU4805" s="8"/>
      <c r="AV4805" s="8"/>
      <c r="AW4805" s="8"/>
      <c r="AX4805" s="8"/>
      <c r="AY4805" s="8"/>
      <c r="AZ4805" s="8"/>
      <c r="BA4805" s="8"/>
      <c r="BB4805" s="8"/>
      <c r="BC4805" s="8"/>
      <c r="BD4805" s="8"/>
      <c r="BE4805" s="8"/>
      <c r="BF4805" s="8"/>
      <c r="BG4805" s="8">
        <v>128.08000000000001</v>
      </c>
      <c r="BH4805" s="9">
        <f t="shared" si="675"/>
        <v>4574.75</v>
      </c>
      <c r="BI4805" s="9">
        <f t="shared" si="676"/>
        <v>34.32</v>
      </c>
      <c r="BJ4805" s="9">
        <f t="shared" si="677"/>
        <v>1.83</v>
      </c>
      <c r="BK4805" s="9">
        <f t="shared" si="678"/>
        <v>45.83</v>
      </c>
      <c r="BL4805" s="9">
        <f t="shared" si="679"/>
        <v>0</v>
      </c>
      <c r="BM4805" s="9">
        <f t="shared" si="680"/>
        <v>179.90999999999997</v>
      </c>
      <c r="BN4805" s="9">
        <f t="shared" si="681"/>
        <v>1766.37</v>
      </c>
      <c r="BO4805" s="9">
        <f t="shared" si="682"/>
        <v>0</v>
      </c>
      <c r="BP4805" s="9">
        <f t="shared" si="683"/>
        <v>0</v>
      </c>
    </row>
    <row r="4806" spans="1:68">
      <c r="A4806" s="6">
        <v>45467</v>
      </c>
      <c r="B4806" s="7">
        <v>3081</v>
      </c>
      <c r="C4806" s="8"/>
      <c r="D4806" s="8">
        <v>292.58</v>
      </c>
      <c r="E4806" s="8"/>
      <c r="F4806" s="8">
        <v>328.03</v>
      </c>
      <c r="G4806" s="8"/>
      <c r="H4806" s="8"/>
      <c r="I4806" s="8">
        <v>1197.26</v>
      </c>
      <c r="J4806" s="8"/>
      <c r="K4806" s="8"/>
      <c r="L4806" s="8"/>
      <c r="M4806" s="8"/>
      <c r="N4806" s="8">
        <v>13.34</v>
      </c>
      <c r="O4806" s="8"/>
      <c r="P4806" s="8">
        <f>639*11.78/1000</f>
        <v>7.5274199999999993</v>
      </c>
      <c r="Q4806" s="11"/>
      <c r="R4806" s="11"/>
      <c r="S4806" s="8">
        <v>1.28</v>
      </c>
      <c r="T4806" s="8"/>
      <c r="U4806" s="8"/>
      <c r="V4806" s="8"/>
      <c r="W4806" s="8">
        <v>18.27</v>
      </c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11"/>
      <c r="AQ4806" s="8">
        <f>1546*11.78/1000</f>
        <v>18.211879999999997</v>
      </c>
      <c r="AR4806" s="8">
        <f>5523*11.78/1000</f>
        <v>65.060939999999988</v>
      </c>
      <c r="AS4806" s="8"/>
      <c r="AT4806" s="8">
        <v>571.30999999999995</v>
      </c>
      <c r="AU4806" s="8"/>
      <c r="AV4806" s="8"/>
      <c r="AW4806" s="8"/>
      <c r="AX4806" s="8"/>
      <c r="AY4806" s="8"/>
      <c r="AZ4806" s="8"/>
      <c r="BA4806" s="8"/>
      <c r="BB4806" s="8"/>
      <c r="BC4806" s="8"/>
      <c r="BD4806" s="8"/>
      <c r="BE4806" s="8"/>
      <c r="BF4806" s="8"/>
      <c r="BG4806" s="8">
        <v>37.99</v>
      </c>
      <c r="BH4806" s="9">
        <f t="shared" si="675"/>
        <v>1817.87</v>
      </c>
      <c r="BI4806" s="9">
        <f t="shared" si="676"/>
        <v>20.867419999999999</v>
      </c>
      <c r="BJ4806" s="9">
        <f t="shared" si="677"/>
        <v>1.28</v>
      </c>
      <c r="BK4806" s="9">
        <f t="shared" si="678"/>
        <v>18.27</v>
      </c>
      <c r="BL4806" s="9">
        <f t="shared" si="679"/>
        <v>0</v>
      </c>
      <c r="BM4806" s="9">
        <f t="shared" si="680"/>
        <v>83.272819999999982</v>
      </c>
      <c r="BN4806" s="9">
        <f t="shared" si="681"/>
        <v>571.30999999999995</v>
      </c>
      <c r="BO4806" s="9">
        <f t="shared" si="682"/>
        <v>0</v>
      </c>
      <c r="BP4806" s="9">
        <f t="shared" si="683"/>
        <v>0</v>
      </c>
    </row>
    <row r="4807" spans="1:68">
      <c r="A4807" s="6">
        <v>45468</v>
      </c>
      <c r="B4807" s="7">
        <v>3145</v>
      </c>
      <c r="C4807" s="8">
        <v>1822.01</v>
      </c>
      <c r="D4807" s="8">
        <v>321.54000000000002</v>
      </c>
      <c r="E4807" s="8"/>
      <c r="F4807" s="8"/>
      <c r="G4807" s="8"/>
      <c r="H4807" s="8"/>
      <c r="I4807" s="8"/>
      <c r="J4807" s="8"/>
      <c r="K4807" s="8"/>
      <c r="L4807" s="8"/>
      <c r="M4807" s="8">
        <v>6.53</v>
      </c>
      <c r="N4807" s="8"/>
      <c r="O4807" s="8"/>
      <c r="P4807" s="8"/>
      <c r="Q4807" s="11"/>
      <c r="R4807" s="11"/>
      <c r="S4807" s="8">
        <v>10.08</v>
      </c>
      <c r="T4807" s="8"/>
      <c r="U4807" s="8">
        <v>32.17</v>
      </c>
      <c r="V4807" s="8"/>
      <c r="W4807" s="8"/>
      <c r="X4807" s="8"/>
      <c r="Y4807" s="8"/>
      <c r="Z4807" s="8"/>
      <c r="AA4807" s="8"/>
      <c r="AB4807" s="8"/>
      <c r="AC4807" s="8">
        <v>8.58</v>
      </c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11"/>
      <c r="AQ4807" s="8"/>
      <c r="AR4807" s="8"/>
      <c r="AS4807" s="8"/>
      <c r="AT4807" s="8">
        <v>1419.92</v>
      </c>
      <c r="AU4807" s="8"/>
      <c r="AV4807" s="8"/>
      <c r="AW4807" s="8"/>
      <c r="AX4807" s="8"/>
      <c r="AY4807" s="8"/>
      <c r="AZ4807" s="8"/>
      <c r="BA4807" s="8"/>
      <c r="BB4807" s="8"/>
      <c r="BC4807" s="8"/>
      <c r="BD4807" s="8">
        <v>5.36</v>
      </c>
      <c r="BE4807" s="8">
        <f>1366*14.28/1000</f>
        <v>19.50648</v>
      </c>
      <c r="BF4807" s="8">
        <v>150.19999999999999</v>
      </c>
      <c r="BG4807" s="8">
        <v>111.45</v>
      </c>
      <c r="BH4807" s="9">
        <f t="shared" si="675"/>
        <v>2143.5500000000002</v>
      </c>
      <c r="BI4807" s="9">
        <f t="shared" si="676"/>
        <v>6.53</v>
      </c>
      <c r="BJ4807" s="9">
        <f t="shared" si="677"/>
        <v>10.08</v>
      </c>
      <c r="BK4807" s="9">
        <f t="shared" si="678"/>
        <v>32.17</v>
      </c>
      <c r="BL4807" s="9">
        <f t="shared" si="679"/>
        <v>0</v>
      </c>
      <c r="BM4807" s="9">
        <f t="shared" si="680"/>
        <v>8.58</v>
      </c>
      <c r="BN4807" s="9">
        <f t="shared" si="681"/>
        <v>1419.92</v>
      </c>
      <c r="BO4807" s="9">
        <f t="shared" si="682"/>
        <v>24.866479999999999</v>
      </c>
      <c r="BP4807" s="9">
        <f t="shared" si="683"/>
        <v>150.19999999999999</v>
      </c>
    </row>
    <row r="4808" spans="1:68">
      <c r="A4808" s="6">
        <v>45468</v>
      </c>
      <c r="B4808" s="7">
        <v>3141</v>
      </c>
      <c r="C4808" s="8">
        <v>2376.2600000000002</v>
      </c>
      <c r="D4808" s="8">
        <v>419.34</v>
      </c>
      <c r="E4808" s="8"/>
      <c r="F4808" s="8"/>
      <c r="G4808" s="8"/>
      <c r="H4808" s="8"/>
      <c r="I4808" s="8"/>
      <c r="J4808" s="8"/>
      <c r="K4808" s="8"/>
      <c r="L4808" s="8"/>
      <c r="M4808" s="8">
        <v>8.41</v>
      </c>
      <c r="N4808" s="8"/>
      <c r="O4808" s="8"/>
      <c r="P4808" s="8"/>
      <c r="Q4808" s="11"/>
      <c r="R4808" s="11"/>
      <c r="S4808" s="8">
        <v>13.15</v>
      </c>
      <c r="T4808" s="8"/>
      <c r="U4808" s="8">
        <v>41.95</v>
      </c>
      <c r="V4808" s="8"/>
      <c r="W4808" s="8"/>
      <c r="X4808" s="8"/>
      <c r="Y4808" s="8"/>
      <c r="Z4808" s="8"/>
      <c r="AA4808" s="8"/>
      <c r="AB4808" s="8"/>
      <c r="AC4808" s="8">
        <v>11.18</v>
      </c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11"/>
      <c r="AQ4808" s="8"/>
      <c r="AR4808" s="8"/>
      <c r="AS4808" s="8"/>
      <c r="AT4808" s="8">
        <v>1846.38</v>
      </c>
      <c r="AU4808" s="8"/>
      <c r="AV4808" s="8"/>
      <c r="AW4808" s="8"/>
      <c r="AX4808" s="8"/>
      <c r="AY4808" s="8"/>
      <c r="AZ4808" s="8"/>
      <c r="BA4808" s="8">
        <v>64.099999999999994</v>
      </c>
      <c r="BB4808" s="8"/>
      <c r="BC4808" s="8"/>
      <c r="BD4808" s="8"/>
      <c r="BE4808" s="8"/>
      <c r="BF4808" s="8">
        <v>195.75</v>
      </c>
      <c r="BG4808" s="8">
        <v>145.71</v>
      </c>
      <c r="BH4808" s="9">
        <f t="shared" si="675"/>
        <v>2795.6000000000004</v>
      </c>
      <c r="BI4808" s="9">
        <f t="shared" si="676"/>
        <v>8.41</v>
      </c>
      <c r="BJ4808" s="9">
        <f t="shared" si="677"/>
        <v>13.15</v>
      </c>
      <c r="BK4808" s="9">
        <f t="shared" si="678"/>
        <v>41.95</v>
      </c>
      <c r="BL4808" s="9">
        <f t="shared" si="679"/>
        <v>0</v>
      </c>
      <c r="BM4808" s="9">
        <f t="shared" si="680"/>
        <v>11.18</v>
      </c>
      <c r="BN4808" s="9">
        <f t="shared" si="681"/>
        <v>1846.38</v>
      </c>
      <c r="BO4808" s="9">
        <f t="shared" si="682"/>
        <v>64.099999999999994</v>
      </c>
      <c r="BP4808" s="9">
        <f t="shared" si="683"/>
        <v>195.75</v>
      </c>
    </row>
    <row r="4809" spans="1:68">
      <c r="A4809" s="6">
        <v>45468</v>
      </c>
      <c r="B4809" s="7">
        <v>3106</v>
      </c>
      <c r="C4809" s="8">
        <v>4547.3999999999996</v>
      </c>
      <c r="D4809" s="8"/>
      <c r="E4809" s="8"/>
      <c r="F4809" s="8"/>
      <c r="G4809" s="8"/>
      <c r="H4809" s="8"/>
      <c r="I4809" s="8"/>
      <c r="J4809" s="8"/>
      <c r="K4809" s="8"/>
      <c r="L4809" s="8"/>
      <c r="M4809" s="8">
        <v>9.0399999999999991</v>
      </c>
      <c r="N4809" s="8"/>
      <c r="O4809" s="8"/>
      <c r="P4809" s="8"/>
      <c r="Q4809" s="11"/>
      <c r="R4809" s="11"/>
      <c r="S4809" s="8">
        <v>13.68</v>
      </c>
      <c r="T4809" s="8"/>
      <c r="U4809" s="8">
        <v>58.02</v>
      </c>
      <c r="V4809" s="8"/>
      <c r="W4809" s="8"/>
      <c r="X4809" s="8"/>
      <c r="Y4809" s="8"/>
      <c r="Z4809" s="8"/>
      <c r="AA4809" s="8"/>
      <c r="AB4809" s="8"/>
      <c r="AC4809" s="8">
        <v>11.38</v>
      </c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11"/>
      <c r="AQ4809" s="8"/>
      <c r="AR4809" s="8"/>
      <c r="AS4809" s="8"/>
      <c r="AT4809" s="8">
        <v>2594.04</v>
      </c>
      <c r="AU4809" s="8"/>
      <c r="AV4809" s="8"/>
      <c r="AW4809" s="8"/>
      <c r="AX4809" s="8">
        <v>5.69</v>
      </c>
      <c r="AY4809" s="8"/>
      <c r="AZ4809" s="8"/>
      <c r="BA4809" s="8"/>
      <c r="BB4809" s="8"/>
      <c r="BC4809" s="8"/>
      <c r="BD4809" s="8"/>
      <c r="BE4809" s="8"/>
      <c r="BF4809" s="8"/>
      <c r="BG4809" s="8">
        <v>196.05</v>
      </c>
      <c r="BH4809" s="9">
        <f t="shared" si="675"/>
        <v>4547.3999999999996</v>
      </c>
      <c r="BI4809" s="9">
        <f t="shared" si="676"/>
        <v>9.0399999999999991</v>
      </c>
      <c r="BJ4809" s="9">
        <f t="shared" si="677"/>
        <v>13.68</v>
      </c>
      <c r="BK4809" s="9">
        <f t="shared" si="678"/>
        <v>58.02</v>
      </c>
      <c r="BL4809" s="9">
        <f t="shared" si="679"/>
        <v>0</v>
      </c>
      <c r="BM4809" s="9">
        <f t="shared" si="680"/>
        <v>11.38</v>
      </c>
      <c r="BN4809" s="9">
        <f t="shared" si="681"/>
        <v>2594.04</v>
      </c>
      <c r="BO4809" s="9">
        <f t="shared" si="682"/>
        <v>5.69</v>
      </c>
      <c r="BP4809" s="9">
        <f t="shared" si="683"/>
        <v>0</v>
      </c>
    </row>
    <row r="4810" spans="1:68">
      <c r="A4810" s="6">
        <v>45468</v>
      </c>
      <c r="B4810" s="7">
        <v>8359</v>
      </c>
      <c r="C4810" s="8">
        <f>273.42+1031.6+763+763</f>
        <v>2831.02</v>
      </c>
      <c r="D4810" s="8"/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>
        <f>254*13.13/1000</f>
        <v>3.3350200000000001</v>
      </c>
      <c r="P4810" s="8"/>
      <c r="Q4810" s="11"/>
      <c r="R4810" s="11"/>
      <c r="S4810" s="8">
        <f>1.08+4.05</f>
        <v>5.13</v>
      </c>
      <c r="T4810" s="8"/>
      <c r="U4810" s="8">
        <f>4.13+15.6</f>
        <v>19.73</v>
      </c>
      <c r="V4810" s="8"/>
      <c r="W4810" s="8"/>
      <c r="X4810" s="8"/>
      <c r="Y4810" s="8"/>
      <c r="Z4810" s="8">
        <f>57.89+218.4</f>
        <v>276.29000000000002</v>
      </c>
      <c r="AA4810" s="8"/>
      <c r="AB4810" s="8"/>
      <c r="AC4810" s="8"/>
      <c r="AD4810" s="8"/>
      <c r="AE4810" s="8"/>
      <c r="AF4810" s="8">
        <f>13.77+51.85</f>
        <v>65.62</v>
      </c>
      <c r="AG4810" s="8"/>
      <c r="AH4810" s="8"/>
      <c r="AI4810" s="8"/>
      <c r="AJ4810" s="8"/>
      <c r="AK4810" s="8"/>
      <c r="AL4810" s="8"/>
      <c r="AM4810" s="8"/>
      <c r="AN4810" s="8"/>
      <c r="AO4810" s="8"/>
      <c r="AP4810" s="11"/>
      <c r="AQ4810" s="8">
        <f>1509*13.13/1000</f>
        <v>19.813170000000003</v>
      </c>
      <c r="AR4810" s="8"/>
      <c r="AS4810" s="8"/>
      <c r="AT4810" s="8">
        <f>188.51+711.19</f>
        <v>899.7</v>
      </c>
      <c r="AU4810" s="8"/>
      <c r="AV4810" s="8"/>
      <c r="AW4810" s="8">
        <f>3.02+0.82</f>
        <v>3.84</v>
      </c>
      <c r="AX4810" s="8"/>
      <c r="AY4810" s="8"/>
      <c r="AZ4810" s="8"/>
      <c r="BA4810" s="8"/>
      <c r="BB4810" s="8"/>
      <c r="BC4810" s="8"/>
      <c r="BD4810" s="8"/>
      <c r="BE4810" s="8"/>
      <c r="BF4810" s="8">
        <f>13.24+49.95</f>
        <v>63.190000000000005</v>
      </c>
      <c r="BG4810" s="8">
        <f>13.67+51.42</f>
        <v>65.09</v>
      </c>
      <c r="BH4810" s="9">
        <f t="shared" si="675"/>
        <v>2831.02</v>
      </c>
      <c r="BI4810" s="9">
        <f t="shared" si="676"/>
        <v>3.3350200000000001</v>
      </c>
      <c r="BJ4810" s="9">
        <f t="shared" si="677"/>
        <v>5.13</v>
      </c>
      <c r="BK4810" s="9">
        <f t="shared" si="678"/>
        <v>19.73</v>
      </c>
      <c r="BL4810" s="9">
        <f t="shared" si="679"/>
        <v>276.29000000000002</v>
      </c>
      <c r="BM4810" s="9">
        <f t="shared" si="680"/>
        <v>85.433170000000004</v>
      </c>
      <c r="BN4810" s="9">
        <f t="shared" si="681"/>
        <v>899.7</v>
      </c>
      <c r="BO4810" s="9">
        <f t="shared" si="682"/>
        <v>3.84</v>
      </c>
      <c r="BP4810" s="9">
        <f t="shared" si="683"/>
        <v>63.190000000000005</v>
      </c>
    </row>
    <row r="4811" spans="1:68">
      <c r="A4811" s="6">
        <v>45468</v>
      </c>
      <c r="B4811" s="7">
        <v>8359</v>
      </c>
      <c r="C4811" s="8">
        <f>3225.92+763</f>
        <v>3988.92</v>
      </c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>
        <f>254*32.53/1000</f>
        <v>8.2626200000000001</v>
      </c>
      <c r="P4811" s="8"/>
      <c r="Q4811" s="11"/>
      <c r="R4811" s="11"/>
      <c r="S4811" s="8">
        <v>12.69</v>
      </c>
      <c r="T4811" s="8"/>
      <c r="U4811" s="8">
        <v>48.81</v>
      </c>
      <c r="V4811" s="8"/>
      <c r="W4811" s="8"/>
      <c r="X4811" s="8"/>
      <c r="Y4811" s="8"/>
      <c r="Z4811" s="8">
        <v>682.88</v>
      </c>
      <c r="AA4811" s="8"/>
      <c r="AB4811" s="8"/>
      <c r="AC4811" s="8"/>
      <c r="AD4811" s="8"/>
      <c r="AE4811" s="8"/>
      <c r="AF4811" s="8">
        <v>161.71</v>
      </c>
      <c r="AG4811" s="8"/>
      <c r="AH4811" s="8"/>
      <c r="AI4811" s="8"/>
      <c r="AJ4811" s="8"/>
      <c r="AK4811" s="8"/>
      <c r="AL4811" s="8"/>
      <c r="AM4811" s="8"/>
      <c r="AN4811" s="8"/>
      <c r="AO4811" s="8"/>
      <c r="AP4811" s="11"/>
      <c r="AQ4811" s="8">
        <f>1509*32.53/1000</f>
        <v>49.087770000000006</v>
      </c>
      <c r="AR4811" s="8"/>
      <c r="AS4811" s="8"/>
      <c r="AT4811" s="8">
        <v>2225.7800000000002</v>
      </c>
      <c r="AU4811" s="8"/>
      <c r="AV4811" s="8"/>
      <c r="AW4811" s="8">
        <v>9.41</v>
      </c>
      <c r="AX4811" s="8"/>
      <c r="AY4811" s="8"/>
      <c r="AZ4811" s="8"/>
      <c r="BA4811" s="8"/>
      <c r="BB4811" s="8"/>
      <c r="BC4811" s="8"/>
      <c r="BD4811" s="8"/>
      <c r="BE4811" s="8"/>
      <c r="BF4811" s="8">
        <v>156.16</v>
      </c>
      <c r="BG4811" s="8">
        <v>161.01</v>
      </c>
      <c r="BH4811" s="9">
        <f t="shared" si="675"/>
        <v>3988.92</v>
      </c>
      <c r="BI4811" s="9">
        <f t="shared" si="676"/>
        <v>8.2626200000000001</v>
      </c>
      <c r="BJ4811" s="9">
        <f t="shared" si="677"/>
        <v>12.69</v>
      </c>
      <c r="BK4811" s="9">
        <f t="shared" si="678"/>
        <v>48.81</v>
      </c>
      <c r="BL4811" s="9">
        <f t="shared" si="679"/>
        <v>682.88</v>
      </c>
      <c r="BM4811" s="9">
        <f t="shared" si="680"/>
        <v>210.79777000000001</v>
      </c>
      <c r="BN4811" s="9">
        <f t="shared" si="681"/>
        <v>2225.7800000000002</v>
      </c>
      <c r="BO4811" s="9">
        <f t="shared" si="682"/>
        <v>9.41</v>
      </c>
      <c r="BP4811" s="9">
        <f t="shared" si="683"/>
        <v>156.16</v>
      </c>
    </row>
    <row r="4812" spans="1:68">
      <c r="A4812" s="6">
        <v>45468</v>
      </c>
      <c r="B4812" s="7">
        <v>3601</v>
      </c>
      <c r="C4812" s="8">
        <v>298.8</v>
      </c>
      <c r="D4812" s="8"/>
      <c r="E4812" s="8"/>
      <c r="F4812" s="8"/>
      <c r="G4812" s="8">
        <v>448.94</v>
      </c>
      <c r="H4812" s="8"/>
      <c r="I4812" s="8"/>
      <c r="J4812" s="8"/>
      <c r="K4812" s="8"/>
      <c r="L4812" s="8"/>
      <c r="M4812" s="8">
        <v>0.9</v>
      </c>
      <c r="N4812" s="8"/>
      <c r="O4812" s="8"/>
      <c r="P4812" s="8"/>
      <c r="Q4812" s="11"/>
      <c r="R4812" s="11"/>
      <c r="S4812" s="8">
        <v>3.47</v>
      </c>
      <c r="T4812" s="8"/>
      <c r="U4812" s="8">
        <v>4.5</v>
      </c>
      <c r="V4812" s="8"/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11"/>
      <c r="AQ4812" s="8"/>
      <c r="AR4812" s="8"/>
      <c r="AS4812" s="8"/>
      <c r="AT4812" s="8">
        <v>367.17</v>
      </c>
      <c r="AU4812" s="8"/>
      <c r="AV4812" s="8"/>
      <c r="AW4812" s="8">
        <v>22.78</v>
      </c>
      <c r="AX4812" s="8"/>
      <c r="AY4812" s="8"/>
      <c r="AZ4812" s="8"/>
      <c r="BA4812" s="8"/>
      <c r="BB4812" s="8"/>
      <c r="BC4812" s="8"/>
      <c r="BD4812" s="8"/>
      <c r="BE4812" s="8"/>
      <c r="BF4812" s="8">
        <v>41.98</v>
      </c>
      <c r="BG4812" s="8">
        <v>26.74</v>
      </c>
      <c r="BH4812" s="9">
        <f t="shared" si="675"/>
        <v>747.74</v>
      </c>
      <c r="BI4812" s="9">
        <f t="shared" si="676"/>
        <v>0.9</v>
      </c>
      <c r="BJ4812" s="9">
        <f t="shared" si="677"/>
        <v>3.47</v>
      </c>
      <c r="BK4812" s="9">
        <f t="shared" si="678"/>
        <v>4.5</v>
      </c>
      <c r="BL4812" s="9">
        <f t="shared" si="679"/>
        <v>0</v>
      </c>
      <c r="BM4812" s="9">
        <f t="shared" si="680"/>
        <v>0</v>
      </c>
      <c r="BN4812" s="9">
        <f t="shared" si="681"/>
        <v>367.17</v>
      </c>
      <c r="BO4812" s="9">
        <f t="shared" si="682"/>
        <v>22.78</v>
      </c>
      <c r="BP4812" s="9">
        <f t="shared" si="683"/>
        <v>41.98</v>
      </c>
    </row>
    <row r="4813" spans="1:68">
      <c r="A4813" s="6">
        <v>45468</v>
      </c>
      <c r="B4813" s="7">
        <v>3602</v>
      </c>
      <c r="C4813" s="8">
        <v>556.74</v>
      </c>
      <c r="D4813" s="8"/>
      <c r="E4813" s="8"/>
      <c r="F4813" s="8"/>
      <c r="G4813" s="8">
        <v>834.57</v>
      </c>
      <c r="H4813" s="8"/>
      <c r="I4813" s="8"/>
      <c r="J4813" s="8"/>
      <c r="K4813" s="8"/>
      <c r="L4813" s="8"/>
      <c r="M4813" s="8">
        <v>1.66</v>
      </c>
      <c r="N4813" s="8"/>
      <c r="O4813" s="8"/>
      <c r="P4813" s="8"/>
      <c r="Q4813" s="11"/>
      <c r="R4813" s="11"/>
      <c r="S4813" s="8">
        <v>5.8</v>
      </c>
      <c r="T4813" s="8"/>
      <c r="U4813" s="8">
        <v>11.13</v>
      </c>
      <c r="V4813" s="8">
        <f>859*15.9/1000</f>
        <v>13.658100000000001</v>
      </c>
      <c r="W4813" s="8"/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11"/>
      <c r="AQ4813" s="8"/>
      <c r="AR4813" s="8"/>
      <c r="AS4813" s="8"/>
      <c r="AT4813" s="8">
        <v>561.49</v>
      </c>
      <c r="AU4813" s="8"/>
      <c r="AV4813" s="8"/>
      <c r="AW4813" s="8">
        <v>35.99</v>
      </c>
      <c r="AX4813" s="8"/>
      <c r="AY4813" s="8"/>
      <c r="AZ4813" s="8"/>
      <c r="BA4813" s="8"/>
      <c r="BB4813" s="8"/>
      <c r="BC4813" s="8"/>
      <c r="BD4813" s="8"/>
      <c r="BE4813" s="8"/>
      <c r="BF4813" s="8">
        <v>44.62</v>
      </c>
      <c r="BG4813" s="8">
        <v>41.54</v>
      </c>
      <c r="BH4813" s="9">
        <f t="shared" si="675"/>
        <v>1391.31</v>
      </c>
      <c r="BI4813" s="9">
        <f t="shared" si="676"/>
        <v>1.66</v>
      </c>
      <c r="BJ4813" s="9">
        <f t="shared" si="677"/>
        <v>5.8</v>
      </c>
      <c r="BK4813" s="9">
        <f t="shared" si="678"/>
        <v>24.7881</v>
      </c>
      <c r="BL4813" s="9">
        <f t="shared" si="679"/>
        <v>0</v>
      </c>
      <c r="BM4813" s="9">
        <f t="shared" si="680"/>
        <v>0</v>
      </c>
      <c r="BN4813" s="9">
        <f t="shared" si="681"/>
        <v>561.49</v>
      </c>
      <c r="BO4813" s="9">
        <f t="shared" si="682"/>
        <v>35.99</v>
      </c>
      <c r="BP4813" s="9">
        <f t="shared" si="683"/>
        <v>44.62</v>
      </c>
    </row>
    <row r="4814" spans="1:68">
      <c r="A4814" s="6">
        <v>45469</v>
      </c>
      <c r="B4814" s="7">
        <v>3801</v>
      </c>
      <c r="C4814" s="8">
        <v>286.12</v>
      </c>
      <c r="D4814" s="8"/>
      <c r="E4814" s="8"/>
      <c r="F4814" s="8"/>
      <c r="G4814" s="8"/>
      <c r="H4814" s="8"/>
      <c r="I4814" s="8"/>
      <c r="J4814" s="8"/>
      <c r="K4814" s="8"/>
      <c r="L4814" s="8">
        <f>43942*5.55/1000</f>
        <v>243.87810000000002</v>
      </c>
      <c r="M4814" s="8"/>
      <c r="N4814" s="8">
        <v>0.57999999999999996</v>
      </c>
      <c r="O4814" s="8"/>
      <c r="P4814" s="8"/>
      <c r="Q4814" s="11"/>
      <c r="R4814" s="11"/>
      <c r="S4814" s="8">
        <v>2.2999999999999998</v>
      </c>
      <c r="T4814" s="8"/>
      <c r="U4814" s="8">
        <v>2.5099999999999998</v>
      </c>
      <c r="V4814" s="8"/>
      <c r="W4814" s="8"/>
      <c r="X4814" s="8"/>
      <c r="Y4814" s="8"/>
      <c r="Z4814" s="8">
        <v>41.73</v>
      </c>
      <c r="AA4814" s="8">
        <f>3069*5.55/1000</f>
        <v>17.03295</v>
      </c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11"/>
      <c r="AQ4814" s="8">
        <f>260*5.55/1000</f>
        <v>1.4430000000000001</v>
      </c>
      <c r="AR4814" s="8"/>
      <c r="AS4814" s="8"/>
      <c r="AT4814" s="8">
        <v>203.64</v>
      </c>
      <c r="AU4814" s="8"/>
      <c r="AV4814" s="8"/>
      <c r="AW4814" s="8"/>
      <c r="AX4814" s="8"/>
      <c r="AY4814" s="8"/>
      <c r="AZ4814" s="8"/>
      <c r="BA4814" s="8"/>
      <c r="BB4814" s="8"/>
      <c r="BC4814" s="8"/>
      <c r="BD4814" s="8"/>
      <c r="BE4814" s="8"/>
      <c r="BF4814" s="8"/>
      <c r="BG4814" s="8">
        <v>15.54</v>
      </c>
      <c r="BH4814" s="9">
        <f t="shared" si="675"/>
        <v>529.99810000000002</v>
      </c>
      <c r="BI4814" s="9">
        <f t="shared" si="676"/>
        <v>0.57999999999999996</v>
      </c>
      <c r="BJ4814" s="9">
        <f t="shared" si="677"/>
        <v>2.2999999999999998</v>
      </c>
      <c r="BK4814" s="9">
        <f t="shared" si="678"/>
        <v>2.5099999999999998</v>
      </c>
      <c r="BL4814" s="9">
        <f t="shared" si="679"/>
        <v>58.762949999999996</v>
      </c>
      <c r="BM4814" s="9">
        <f t="shared" si="680"/>
        <v>1.4430000000000001</v>
      </c>
      <c r="BN4814" s="9">
        <f t="shared" si="681"/>
        <v>203.64</v>
      </c>
      <c r="BO4814" s="9">
        <f t="shared" si="682"/>
        <v>0</v>
      </c>
      <c r="BP4814" s="9">
        <f t="shared" si="683"/>
        <v>0</v>
      </c>
    </row>
    <row r="4815" spans="1:68">
      <c r="A4815" s="6">
        <v>45469</v>
      </c>
      <c r="B4815" s="7">
        <v>3406</v>
      </c>
      <c r="C4815" s="8">
        <v>617.94000000000005</v>
      </c>
      <c r="D4815" s="8">
        <v>154.59</v>
      </c>
      <c r="E4815" s="8"/>
      <c r="F4815" s="8"/>
      <c r="G4815" s="8"/>
      <c r="H4815" s="8"/>
      <c r="I4815" s="8"/>
      <c r="J4815" s="8"/>
      <c r="K4815" s="8"/>
      <c r="L4815" s="8"/>
      <c r="M4815" s="8">
        <v>1.79</v>
      </c>
      <c r="N4815" s="8"/>
      <c r="O4815" s="8"/>
      <c r="P4815" s="8"/>
      <c r="Q4815" s="11"/>
      <c r="R4815" s="11"/>
      <c r="S4815" s="8">
        <v>1.79</v>
      </c>
      <c r="T4815" s="8"/>
      <c r="U4815" s="8"/>
      <c r="V4815" s="8"/>
      <c r="W4815" s="8"/>
      <c r="X4815" s="8">
        <f>1218*7.77/1000</f>
        <v>9.4638599999999986</v>
      </c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11"/>
      <c r="AQ4815" s="8"/>
      <c r="AR4815" s="8"/>
      <c r="AS4815" s="8"/>
      <c r="AT4815" s="8">
        <v>390.09</v>
      </c>
      <c r="AU4815" s="8"/>
      <c r="AV4815" s="8">
        <v>23.29</v>
      </c>
      <c r="AW4815" s="8"/>
      <c r="AX4815" s="8"/>
      <c r="AY4815" s="8"/>
      <c r="AZ4815" s="8"/>
      <c r="BA4815" s="8"/>
      <c r="BB4815" s="8"/>
      <c r="BC4815" s="8"/>
      <c r="BD4815" s="8"/>
      <c r="BE4815" s="8"/>
      <c r="BF4815" s="8"/>
      <c r="BG4815" s="8">
        <v>26.28</v>
      </c>
      <c r="BH4815" s="9">
        <f t="shared" si="675"/>
        <v>772.53000000000009</v>
      </c>
      <c r="BI4815" s="9">
        <f t="shared" si="676"/>
        <v>1.79</v>
      </c>
      <c r="BJ4815" s="9">
        <f t="shared" si="677"/>
        <v>1.79</v>
      </c>
      <c r="BK4815" s="9">
        <f t="shared" si="678"/>
        <v>9.4638599999999986</v>
      </c>
      <c r="BL4815" s="9">
        <f t="shared" si="679"/>
        <v>0</v>
      </c>
      <c r="BM4815" s="9">
        <f t="shared" si="680"/>
        <v>0</v>
      </c>
      <c r="BN4815" s="9">
        <f t="shared" si="681"/>
        <v>390.09</v>
      </c>
      <c r="BO4815" s="9">
        <f t="shared" si="682"/>
        <v>23.29</v>
      </c>
      <c r="BP4815" s="9">
        <f t="shared" si="683"/>
        <v>0</v>
      </c>
    </row>
    <row r="4816" spans="1:68">
      <c r="A4816" s="6">
        <v>45469</v>
      </c>
      <c r="B4816" s="7">
        <v>3083</v>
      </c>
      <c r="C4816" s="8"/>
      <c r="D4816" s="8">
        <v>1091.48</v>
      </c>
      <c r="E4816" s="8"/>
      <c r="F4816" s="8"/>
      <c r="G4816" s="8"/>
      <c r="H4816" s="8"/>
      <c r="I4816" s="8">
        <v>2542.17</v>
      </c>
      <c r="J4816" s="8"/>
      <c r="K4816" s="8"/>
      <c r="L4816" s="8"/>
      <c r="M4816" s="8"/>
      <c r="N4816" s="8">
        <v>23.6</v>
      </c>
      <c r="O4816" s="8"/>
      <c r="P4816" s="8"/>
      <c r="Q4816" s="11"/>
      <c r="R4816" s="11"/>
      <c r="S4816" s="8">
        <v>2.54</v>
      </c>
      <c r="T4816" s="8"/>
      <c r="U4816" s="8"/>
      <c r="V4816" s="8"/>
      <c r="W4816" s="8">
        <v>29.07</v>
      </c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>
        <v>14.53</v>
      </c>
      <c r="AN4816" s="8">
        <f>1920*26.88/1000</f>
        <v>51.6096</v>
      </c>
      <c r="AO4816" s="8"/>
      <c r="AP4816" s="11"/>
      <c r="AQ4816" s="8"/>
      <c r="AR4816" s="8">
        <f>3396*26.88/1000</f>
        <v>91.284480000000002</v>
      </c>
      <c r="AS4816" s="8"/>
      <c r="AT4816" s="8">
        <v>1708.15</v>
      </c>
      <c r="AU4816" s="8"/>
      <c r="AV4816" s="8"/>
      <c r="AW4816" s="8"/>
      <c r="AX4816" s="8"/>
      <c r="AY4816" s="8"/>
      <c r="AZ4816" s="8"/>
      <c r="BA4816" s="8"/>
      <c r="BB4816" s="8"/>
      <c r="BC4816" s="8"/>
      <c r="BD4816" s="8"/>
      <c r="BE4816" s="8"/>
      <c r="BF4816" s="8"/>
      <c r="BG4816" s="8">
        <v>135.29</v>
      </c>
      <c r="BH4816" s="9">
        <f t="shared" si="675"/>
        <v>3633.65</v>
      </c>
      <c r="BI4816" s="9">
        <f t="shared" si="676"/>
        <v>23.6</v>
      </c>
      <c r="BJ4816" s="9">
        <f t="shared" si="677"/>
        <v>2.54</v>
      </c>
      <c r="BK4816" s="9">
        <f t="shared" si="678"/>
        <v>29.07</v>
      </c>
      <c r="BL4816" s="9">
        <f t="shared" si="679"/>
        <v>0</v>
      </c>
      <c r="BM4816" s="9">
        <f t="shared" si="680"/>
        <v>157.42408</v>
      </c>
      <c r="BN4816" s="9">
        <f t="shared" si="681"/>
        <v>1708.15</v>
      </c>
      <c r="BO4816" s="9">
        <f t="shared" si="682"/>
        <v>0</v>
      </c>
      <c r="BP4816" s="9">
        <f t="shared" si="683"/>
        <v>0</v>
      </c>
    </row>
    <row r="4817" spans="1:68">
      <c r="A4817" s="6">
        <v>45469</v>
      </c>
      <c r="B4817" s="7">
        <v>3027</v>
      </c>
      <c r="C4817" s="8"/>
      <c r="D4817" s="8">
        <v>566.95000000000005</v>
      </c>
      <c r="E4817" s="8"/>
      <c r="F4817" s="8"/>
      <c r="G4817" s="8"/>
      <c r="H4817" s="8"/>
      <c r="I4817" s="8">
        <v>463.48</v>
      </c>
      <c r="J4817" s="8"/>
      <c r="K4817" s="8"/>
      <c r="L4817" s="8"/>
      <c r="M4817" s="8"/>
      <c r="N4817" s="8">
        <v>5.87</v>
      </c>
      <c r="O4817" s="8"/>
      <c r="P4817" s="8"/>
      <c r="Q4817" s="11"/>
      <c r="R4817" s="11"/>
      <c r="S4817" s="8">
        <v>1.65</v>
      </c>
      <c r="T4817" s="8"/>
      <c r="U4817" s="8"/>
      <c r="V4817" s="8"/>
      <c r="W4817" s="8">
        <v>7.73</v>
      </c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>
        <v>10.28</v>
      </c>
      <c r="AN4817" s="8">
        <f>1239*5.88/1000</f>
        <v>7.2853199999999996</v>
      </c>
      <c r="AO4817" s="8"/>
      <c r="AP4817" s="11"/>
      <c r="AQ4817" s="8"/>
      <c r="AR4817" s="8"/>
      <c r="AS4817" s="8">
        <f>5786*5.88/1000</f>
        <v>34.021680000000003</v>
      </c>
      <c r="AT4817" s="8">
        <v>343.4</v>
      </c>
      <c r="AU4817" s="8"/>
      <c r="AV4817" s="8"/>
      <c r="AW4817" s="8"/>
      <c r="AX4817" s="8"/>
      <c r="AY4817" s="8"/>
      <c r="AZ4817" s="8"/>
      <c r="BA4817" s="8"/>
      <c r="BB4817" s="8"/>
      <c r="BC4817" s="8"/>
      <c r="BD4817" s="8"/>
      <c r="BE4817" s="8"/>
      <c r="BF4817" s="8"/>
      <c r="BG4817" s="8">
        <v>24.19</v>
      </c>
      <c r="BH4817" s="9">
        <f t="shared" si="675"/>
        <v>1030.43</v>
      </c>
      <c r="BI4817" s="9">
        <f t="shared" si="676"/>
        <v>5.87</v>
      </c>
      <c r="BJ4817" s="9">
        <f t="shared" si="677"/>
        <v>1.65</v>
      </c>
      <c r="BK4817" s="9">
        <f t="shared" si="678"/>
        <v>7.73</v>
      </c>
      <c r="BL4817" s="9">
        <f t="shared" si="679"/>
        <v>0</v>
      </c>
      <c r="BM4817" s="9">
        <f t="shared" si="680"/>
        <v>51.587000000000003</v>
      </c>
      <c r="BN4817" s="9">
        <f t="shared" si="681"/>
        <v>343.4</v>
      </c>
      <c r="BO4817" s="9">
        <f t="shared" si="682"/>
        <v>0</v>
      </c>
      <c r="BP4817" s="9">
        <f t="shared" si="683"/>
        <v>0</v>
      </c>
    </row>
    <row r="4818" spans="1:68">
      <c r="A4818" s="6">
        <v>45469</v>
      </c>
      <c r="B4818" s="7">
        <v>3028</v>
      </c>
      <c r="C4818" s="8"/>
      <c r="D4818" s="8">
        <v>1072.1199999999999</v>
      </c>
      <c r="E4818" s="8"/>
      <c r="F4818" s="8">
        <v>982.97</v>
      </c>
      <c r="G4818" s="8"/>
      <c r="H4818" s="8"/>
      <c r="I4818" s="8">
        <v>2223.17</v>
      </c>
      <c r="J4818" s="8"/>
      <c r="K4818" s="8"/>
      <c r="L4818" s="8"/>
      <c r="M4818" s="8"/>
      <c r="N4818" s="8">
        <v>33.36</v>
      </c>
      <c r="O4818" s="8"/>
      <c r="P4818" s="8"/>
      <c r="Q4818" s="11"/>
      <c r="R4818" s="11"/>
      <c r="S4818" s="8">
        <v>6</v>
      </c>
      <c r="T4818" s="8"/>
      <c r="U4818" s="8"/>
      <c r="V4818" s="8"/>
      <c r="W4818" s="8">
        <v>32.049999999999997</v>
      </c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>
        <v>42.81</v>
      </c>
      <c r="AN4818" s="8">
        <f>1066*28.52/1000</f>
        <v>30.40232</v>
      </c>
      <c r="AO4818" s="8"/>
      <c r="AP4818" s="11"/>
      <c r="AQ4818" s="8"/>
      <c r="AR4818" s="8"/>
      <c r="AS4818" s="8">
        <f>4973*28.52/1000</f>
        <v>141.82996</v>
      </c>
      <c r="AT4818" s="8">
        <v>1427.24</v>
      </c>
      <c r="AU4818" s="8"/>
      <c r="AV4818" s="8"/>
      <c r="AW4818" s="8"/>
      <c r="AX4818" s="8"/>
      <c r="AY4818" s="8"/>
      <c r="AZ4818" s="8"/>
      <c r="BA4818" s="8"/>
      <c r="BB4818" s="8"/>
      <c r="BC4818" s="8"/>
      <c r="BD4818" s="8"/>
      <c r="BE4818" s="8"/>
      <c r="BF4818" s="8"/>
      <c r="BG4818" s="8">
        <v>96.98</v>
      </c>
      <c r="BH4818" s="9">
        <f t="shared" si="675"/>
        <v>4278.26</v>
      </c>
      <c r="BI4818" s="9">
        <f t="shared" si="676"/>
        <v>33.36</v>
      </c>
      <c r="BJ4818" s="9">
        <f t="shared" si="677"/>
        <v>6</v>
      </c>
      <c r="BK4818" s="9">
        <f t="shared" si="678"/>
        <v>32.049999999999997</v>
      </c>
      <c r="BL4818" s="9">
        <f t="shared" si="679"/>
        <v>0</v>
      </c>
      <c r="BM4818" s="9">
        <f t="shared" si="680"/>
        <v>215.04228000000001</v>
      </c>
      <c r="BN4818" s="9">
        <f t="shared" si="681"/>
        <v>1427.24</v>
      </c>
      <c r="BO4818" s="9">
        <f t="shared" si="682"/>
        <v>0</v>
      </c>
      <c r="BP4818" s="9">
        <f t="shared" si="683"/>
        <v>0</v>
      </c>
    </row>
    <row r="4819" spans="1:68">
      <c r="A4819" s="6">
        <v>45469</v>
      </c>
      <c r="B4819" s="7">
        <v>3203</v>
      </c>
      <c r="C4819" s="8">
        <v>1743.8</v>
      </c>
      <c r="D4819" s="8"/>
      <c r="E4819" s="8">
        <v>746.98</v>
      </c>
      <c r="F4819" s="8"/>
      <c r="G4819" s="8"/>
      <c r="H4819" s="8"/>
      <c r="I4819" s="8"/>
      <c r="J4819" s="8"/>
      <c r="K4819" s="8"/>
      <c r="L4819" s="8"/>
      <c r="M4819" s="8"/>
      <c r="N4819" s="8"/>
      <c r="O4819" s="8">
        <v>7.47</v>
      </c>
      <c r="P4819" s="8"/>
      <c r="Q4819" s="11"/>
      <c r="R4819" s="11"/>
      <c r="S4819" s="8">
        <v>10.220000000000001</v>
      </c>
      <c r="T4819" s="8"/>
      <c r="U4819" s="8">
        <v>30.89</v>
      </c>
      <c r="V4819" s="8"/>
      <c r="W4819" s="8"/>
      <c r="X4819" s="8"/>
      <c r="Y4819" s="8"/>
      <c r="Z4819" s="8">
        <v>392.51</v>
      </c>
      <c r="AA4819" s="8">
        <f>10522*29.3/1000</f>
        <v>308.29460000000006</v>
      </c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11"/>
      <c r="AQ4819" s="8"/>
      <c r="AR4819" s="8"/>
      <c r="AS4819" s="8"/>
      <c r="AT4819" s="8">
        <v>932.42</v>
      </c>
      <c r="AU4819" s="8">
        <v>466.2</v>
      </c>
      <c r="AV4819" s="8"/>
      <c r="AW4819" s="8"/>
      <c r="AX4819" s="8"/>
      <c r="AY4819" s="8"/>
      <c r="AZ4819" s="8"/>
      <c r="BA4819" s="8"/>
      <c r="BB4819" s="8"/>
      <c r="BC4819" s="8">
        <v>6.48</v>
      </c>
      <c r="BD4819" s="8"/>
      <c r="BE4819" s="8"/>
      <c r="BF4819" s="8"/>
      <c r="BG4819" s="8">
        <v>90.74</v>
      </c>
      <c r="BH4819" s="9">
        <f t="shared" si="675"/>
        <v>2490.7799999999997</v>
      </c>
      <c r="BI4819" s="9">
        <f t="shared" si="676"/>
        <v>7.47</v>
      </c>
      <c r="BJ4819" s="9">
        <f t="shared" si="677"/>
        <v>10.220000000000001</v>
      </c>
      <c r="BK4819" s="9">
        <f t="shared" si="678"/>
        <v>30.89</v>
      </c>
      <c r="BL4819" s="9">
        <f t="shared" si="679"/>
        <v>700.80460000000005</v>
      </c>
      <c r="BM4819" s="9">
        <f t="shared" si="680"/>
        <v>0</v>
      </c>
      <c r="BN4819" s="9">
        <f t="shared" si="681"/>
        <v>1398.62</v>
      </c>
      <c r="BO4819" s="9">
        <f t="shared" si="682"/>
        <v>6.48</v>
      </c>
      <c r="BP4819" s="9">
        <f t="shared" si="683"/>
        <v>0</v>
      </c>
    </row>
    <row r="4820" spans="1:68">
      <c r="A4820" s="6">
        <v>45469</v>
      </c>
      <c r="B4820" s="7">
        <v>8359</v>
      </c>
      <c r="C4820" s="8">
        <f>1149.28+756</f>
        <v>1905.28</v>
      </c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>
        <f>251*11.6/1000</f>
        <v>2.9116</v>
      </c>
      <c r="P4820" s="8"/>
      <c r="Q4820" s="11"/>
      <c r="R4820" s="11"/>
      <c r="S4820" s="8">
        <v>4.55</v>
      </c>
      <c r="T4820" s="8"/>
      <c r="U4820" s="8">
        <v>17.38</v>
      </c>
      <c r="V4820" s="8"/>
      <c r="W4820" s="8"/>
      <c r="X4820" s="8"/>
      <c r="Y4820" s="8"/>
      <c r="Z4820" s="8">
        <v>243.62</v>
      </c>
      <c r="AA4820" s="8"/>
      <c r="AB4820" s="8"/>
      <c r="AC4820" s="8"/>
      <c r="AD4820" s="8"/>
      <c r="AE4820" s="8"/>
      <c r="AF4820" s="8">
        <v>57.86</v>
      </c>
      <c r="AG4820" s="8"/>
      <c r="AH4820" s="8"/>
      <c r="AI4820" s="8"/>
      <c r="AJ4820" s="8"/>
      <c r="AK4820" s="8"/>
      <c r="AL4820" s="8"/>
      <c r="AM4820" s="8"/>
      <c r="AN4820" s="8"/>
      <c r="AO4820" s="8"/>
      <c r="AP4820" s="11"/>
      <c r="AQ4820" s="8">
        <f>1528*11.6/1000</f>
        <v>17.724799999999998</v>
      </c>
      <c r="AR4820" s="8"/>
      <c r="AS4820" s="8"/>
      <c r="AT4820" s="8">
        <v>792.5</v>
      </c>
      <c r="AU4820" s="8"/>
      <c r="AV4820" s="8"/>
      <c r="AW4820" s="8">
        <v>3.34</v>
      </c>
      <c r="AX4820" s="8"/>
      <c r="AY4820" s="8"/>
      <c r="AZ4820" s="8"/>
      <c r="BA4820" s="8"/>
      <c r="BB4820" s="8"/>
      <c r="BC4820" s="8"/>
      <c r="BD4820" s="8"/>
      <c r="BE4820" s="8"/>
      <c r="BF4820" s="8">
        <v>55.65</v>
      </c>
      <c r="BG4820" s="8">
        <v>57.34</v>
      </c>
      <c r="BH4820" s="9">
        <f t="shared" si="675"/>
        <v>1905.28</v>
      </c>
      <c r="BI4820" s="9">
        <f t="shared" si="676"/>
        <v>2.9116</v>
      </c>
      <c r="BJ4820" s="9">
        <f t="shared" si="677"/>
        <v>4.55</v>
      </c>
      <c r="BK4820" s="9">
        <f t="shared" si="678"/>
        <v>17.38</v>
      </c>
      <c r="BL4820" s="9">
        <f t="shared" si="679"/>
        <v>243.62</v>
      </c>
      <c r="BM4820" s="9">
        <f t="shared" si="680"/>
        <v>75.584800000000001</v>
      </c>
      <c r="BN4820" s="9">
        <f t="shared" si="681"/>
        <v>792.5</v>
      </c>
      <c r="BO4820" s="9">
        <f t="shared" si="682"/>
        <v>3.34</v>
      </c>
      <c r="BP4820" s="9">
        <f t="shared" si="683"/>
        <v>55.65</v>
      </c>
    </row>
    <row r="4821" spans="1:68">
      <c r="A4821" s="6">
        <v>45469</v>
      </c>
      <c r="B4821" s="7">
        <v>8360</v>
      </c>
      <c r="C4821" s="8">
        <f>862.4+118.06+516+516</f>
        <v>2012.46</v>
      </c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>
        <f>2.12+0.29</f>
        <v>2.41</v>
      </c>
      <c r="P4821" s="8"/>
      <c r="Q4821" s="11"/>
      <c r="R4821" s="11"/>
      <c r="S4821" s="8">
        <f>6.56+0.9</f>
        <v>7.46</v>
      </c>
      <c r="T4821" s="8"/>
      <c r="U4821" s="8">
        <f>2.73+19.84</f>
        <v>22.57</v>
      </c>
      <c r="V4821" s="8"/>
      <c r="W4821" s="8"/>
      <c r="X4821" s="8"/>
      <c r="Y4821" s="8"/>
      <c r="Z4821" s="8">
        <f>34.09+248.12</f>
        <v>282.21000000000004</v>
      </c>
      <c r="AA4821" s="8"/>
      <c r="AB4821" s="8">
        <f>1035*14.08/1000</f>
        <v>14.572799999999999</v>
      </c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11"/>
      <c r="AQ4821" s="8"/>
      <c r="AR4821" s="8"/>
      <c r="AS4821" s="8"/>
      <c r="AT4821" s="8">
        <f>98.39+716.94</f>
        <v>815.33</v>
      </c>
      <c r="AU4821" s="8"/>
      <c r="AV4821" s="8"/>
      <c r="AW4821" s="8">
        <f>3.6+0.49</f>
        <v>4.09</v>
      </c>
      <c r="AX4821" s="8"/>
      <c r="AY4821" s="8"/>
      <c r="AZ4821" s="8"/>
      <c r="BA4821" s="8"/>
      <c r="BB4821" s="8"/>
      <c r="BC4821" s="8"/>
      <c r="BD4821" s="8"/>
      <c r="BE4821" s="8"/>
      <c r="BF4821" s="8">
        <f>55.76+7.66</f>
        <v>63.42</v>
      </c>
      <c r="BG4821" s="8">
        <f>7.14+52.01</f>
        <v>59.15</v>
      </c>
      <c r="BH4821" s="9">
        <f t="shared" si="675"/>
        <v>2012.46</v>
      </c>
      <c r="BI4821" s="9">
        <f t="shared" si="676"/>
        <v>2.41</v>
      </c>
      <c r="BJ4821" s="9">
        <f t="shared" si="677"/>
        <v>7.46</v>
      </c>
      <c r="BK4821" s="9">
        <f t="shared" si="678"/>
        <v>22.57</v>
      </c>
      <c r="BL4821" s="9">
        <f t="shared" si="679"/>
        <v>282.21000000000004</v>
      </c>
      <c r="BM4821" s="9">
        <f t="shared" si="680"/>
        <v>14.572799999999999</v>
      </c>
      <c r="BN4821" s="9">
        <f t="shared" si="681"/>
        <v>815.33</v>
      </c>
      <c r="BO4821" s="9">
        <f t="shared" si="682"/>
        <v>4.09</v>
      </c>
      <c r="BP4821" s="9">
        <f t="shared" si="683"/>
        <v>63.42</v>
      </c>
    </row>
    <row r="4822" spans="1:68">
      <c r="A4822" s="6">
        <v>45470</v>
      </c>
      <c r="B4822" s="7">
        <v>8311</v>
      </c>
      <c r="C4822" s="8"/>
      <c r="D4822" s="8">
        <v>694.19</v>
      </c>
      <c r="E4822" s="8"/>
      <c r="F4822" s="8"/>
      <c r="G4822" s="8"/>
      <c r="H4822" s="8"/>
      <c r="I4822" s="8">
        <v>152.94999999999999</v>
      </c>
      <c r="J4822" s="8"/>
      <c r="K4822" s="8"/>
      <c r="L4822" s="8"/>
      <c r="M4822" s="8">
        <v>2.54</v>
      </c>
      <c r="N4822" s="8"/>
      <c r="O4822" s="8"/>
      <c r="P4822" s="8"/>
      <c r="Q4822" s="11"/>
      <c r="R4822" s="11"/>
      <c r="S4822" s="8">
        <v>2.96</v>
      </c>
      <c r="T4822" s="8"/>
      <c r="U4822" s="8">
        <v>5.93</v>
      </c>
      <c r="V4822" s="8"/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11"/>
      <c r="AQ4822" s="8"/>
      <c r="AR4822" s="8"/>
      <c r="AS4822" s="8"/>
      <c r="AT4822" s="8">
        <v>50.57</v>
      </c>
      <c r="AU4822" s="8">
        <v>100.28</v>
      </c>
      <c r="AV4822" s="8">
        <v>11.51</v>
      </c>
      <c r="AW4822" s="8"/>
      <c r="AX4822" s="8"/>
      <c r="AY4822" s="8"/>
      <c r="AZ4822" s="8"/>
      <c r="BA4822" s="8"/>
      <c r="BB4822" s="8"/>
      <c r="BC4822" s="8"/>
      <c r="BD4822" s="8"/>
      <c r="BE4822" s="8"/>
      <c r="BF4822" s="8"/>
      <c r="BG4822" s="8">
        <v>8.31</v>
      </c>
      <c r="BH4822" s="9">
        <f t="shared" si="675"/>
        <v>847.1400000000001</v>
      </c>
      <c r="BI4822" s="9">
        <f t="shared" si="676"/>
        <v>2.54</v>
      </c>
      <c r="BJ4822" s="9">
        <f t="shared" si="677"/>
        <v>2.96</v>
      </c>
      <c r="BK4822" s="9">
        <f t="shared" si="678"/>
        <v>5.93</v>
      </c>
      <c r="BL4822" s="9">
        <f t="shared" si="679"/>
        <v>0</v>
      </c>
      <c r="BM4822" s="9">
        <f t="shared" si="680"/>
        <v>0</v>
      </c>
      <c r="BN4822" s="9">
        <f t="shared" si="681"/>
        <v>150.85</v>
      </c>
      <c r="BO4822" s="9">
        <f t="shared" si="682"/>
        <v>11.51</v>
      </c>
      <c r="BP4822" s="9">
        <f t="shared" si="683"/>
        <v>0</v>
      </c>
    </row>
    <row r="4823" spans="1:68">
      <c r="A4823" s="6">
        <v>45470</v>
      </c>
      <c r="B4823" s="7">
        <v>3122</v>
      </c>
      <c r="C4823" s="8">
        <v>1438.65</v>
      </c>
      <c r="D4823" s="8"/>
      <c r="E4823" s="8"/>
      <c r="F4823" s="8"/>
      <c r="G4823" s="8"/>
      <c r="H4823" s="8"/>
      <c r="I4823" s="8"/>
      <c r="J4823" s="8"/>
      <c r="K4823" s="8"/>
      <c r="L4823" s="8"/>
      <c r="M4823" s="8">
        <v>2.56</v>
      </c>
      <c r="N4823" s="8">
        <v>2.58</v>
      </c>
      <c r="O4823" s="8"/>
      <c r="P4823" s="8"/>
      <c r="Q4823" s="11"/>
      <c r="R4823" s="11"/>
      <c r="S4823" s="8">
        <v>5.9</v>
      </c>
      <c r="T4823" s="8"/>
      <c r="U4823" s="8">
        <v>14.39</v>
      </c>
      <c r="V4823" s="8"/>
      <c r="W4823" s="8"/>
      <c r="X4823" s="8"/>
      <c r="Y4823" s="8"/>
      <c r="Z4823" s="8"/>
      <c r="AA4823" s="8"/>
      <c r="AB4823" s="8"/>
      <c r="AC4823" s="8">
        <v>5.75</v>
      </c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11"/>
      <c r="AQ4823" s="8"/>
      <c r="AR4823" s="8"/>
      <c r="AS4823" s="8"/>
      <c r="AT4823" s="8">
        <v>638.16999999999996</v>
      </c>
      <c r="AU4823" s="8"/>
      <c r="AV4823" s="8">
        <v>48.91</v>
      </c>
      <c r="AW4823" s="8"/>
      <c r="AX4823" s="8"/>
      <c r="AY4823" s="8"/>
      <c r="AZ4823" s="8"/>
      <c r="BA4823" s="8"/>
      <c r="BB4823" s="8"/>
      <c r="BC4823" s="8"/>
      <c r="BD4823" s="8"/>
      <c r="BE4823" s="8"/>
      <c r="BF4823" s="8"/>
      <c r="BG4823" s="8">
        <v>45.76</v>
      </c>
      <c r="BH4823" s="9">
        <f t="shared" si="675"/>
        <v>1438.65</v>
      </c>
      <c r="BI4823" s="9">
        <f t="shared" si="676"/>
        <v>5.1400000000000006</v>
      </c>
      <c r="BJ4823" s="9">
        <f t="shared" si="677"/>
        <v>5.9</v>
      </c>
      <c r="BK4823" s="9">
        <f t="shared" si="678"/>
        <v>14.39</v>
      </c>
      <c r="BL4823" s="9">
        <f t="shared" si="679"/>
        <v>0</v>
      </c>
      <c r="BM4823" s="9">
        <f t="shared" si="680"/>
        <v>5.75</v>
      </c>
      <c r="BN4823" s="9">
        <f t="shared" si="681"/>
        <v>638.16999999999996</v>
      </c>
      <c r="BO4823" s="9">
        <f t="shared" si="682"/>
        <v>48.91</v>
      </c>
      <c r="BP4823" s="9">
        <f t="shared" si="683"/>
        <v>0</v>
      </c>
    </row>
    <row r="4824" spans="1:68">
      <c r="A4824" s="6">
        <v>45470</v>
      </c>
      <c r="B4824" s="7">
        <v>3204</v>
      </c>
      <c r="C4824" s="8"/>
      <c r="D4824" s="8">
        <v>910.67</v>
      </c>
      <c r="E4824" s="8">
        <v>390.64</v>
      </c>
      <c r="F4824" s="8"/>
      <c r="G4824" s="8"/>
      <c r="H4824" s="8"/>
      <c r="I4824" s="8"/>
      <c r="J4824" s="8"/>
      <c r="K4824" s="8"/>
      <c r="L4824" s="8"/>
      <c r="M4824" s="8"/>
      <c r="N4824" s="8"/>
      <c r="O4824" s="8">
        <v>6.53</v>
      </c>
      <c r="P4824" s="8"/>
      <c r="Q4824" s="11"/>
      <c r="R4824" s="11"/>
      <c r="S4824" s="8">
        <v>4.43</v>
      </c>
      <c r="T4824" s="8"/>
      <c r="U4824" s="8">
        <v>14.33</v>
      </c>
      <c r="V4824" s="8"/>
      <c r="W4824" s="8"/>
      <c r="X4824" s="8"/>
      <c r="Y4824" s="8"/>
      <c r="Z4824" s="8">
        <v>195.56</v>
      </c>
      <c r="AA4824" s="8"/>
      <c r="AB4824" s="8">
        <v>6.68</v>
      </c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11"/>
      <c r="AQ4824" s="8"/>
      <c r="AR4824" s="8"/>
      <c r="AS4824" s="8"/>
      <c r="AT4824" s="8">
        <v>574.4</v>
      </c>
      <c r="AU4824" s="8"/>
      <c r="AV4824" s="8"/>
      <c r="AW4824" s="8">
        <v>4.16</v>
      </c>
      <c r="AX4824" s="8"/>
      <c r="AY4824" s="8"/>
      <c r="AZ4824" s="8"/>
      <c r="BA4824" s="8"/>
      <c r="BB4824" s="8"/>
      <c r="BC4824" s="8"/>
      <c r="BD4824" s="8"/>
      <c r="BE4824" s="8"/>
      <c r="BF4824" s="8"/>
      <c r="BG4824" s="8">
        <v>42.38</v>
      </c>
      <c r="BH4824" s="9">
        <f t="shared" si="675"/>
        <v>1301.31</v>
      </c>
      <c r="BI4824" s="9">
        <f t="shared" si="676"/>
        <v>6.53</v>
      </c>
      <c r="BJ4824" s="9">
        <f t="shared" si="677"/>
        <v>4.43</v>
      </c>
      <c r="BK4824" s="9">
        <f t="shared" si="678"/>
        <v>14.33</v>
      </c>
      <c r="BL4824" s="9">
        <f t="shared" si="679"/>
        <v>195.56</v>
      </c>
      <c r="BM4824" s="9">
        <f t="shared" si="680"/>
        <v>6.68</v>
      </c>
      <c r="BN4824" s="9">
        <f t="shared" si="681"/>
        <v>574.4</v>
      </c>
      <c r="BO4824" s="9">
        <f t="shared" si="682"/>
        <v>4.16</v>
      </c>
      <c r="BP4824" s="9">
        <f t="shared" si="683"/>
        <v>0</v>
      </c>
    </row>
    <row r="4825" spans="1:68">
      <c r="A4825" s="6">
        <v>45470</v>
      </c>
      <c r="B4825" s="7">
        <v>3205</v>
      </c>
      <c r="C4825" s="8">
        <v>697.54</v>
      </c>
      <c r="D4825" s="8">
        <v>388.24</v>
      </c>
      <c r="E4825" s="8">
        <v>465.34</v>
      </c>
      <c r="F4825" s="8"/>
      <c r="G4825" s="8"/>
      <c r="H4825" s="8"/>
      <c r="I4825" s="8"/>
      <c r="J4825" s="8"/>
      <c r="K4825" s="8"/>
      <c r="L4825" s="8"/>
      <c r="M4825" s="8"/>
      <c r="N4825" s="8"/>
      <c r="O4825" s="8">
        <v>6.22</v>
      </c>
      <c r="P4825" s="8"/>
      <c r="Q4825" s="11"/>
      <c r="R4825" s="11"/>
      <c r="S4825" s="8">
        <v>5.76</v>
      </c>
      <c r="T4825" s="8"/>
      <c r="U4825" s="8">
        <v>18.670000000000002</v>
      </c>
      <c r="V4825" s="8"/>
      <c r="W4825" s="8"/>
      <c r="X4825" s="8"/>
      <c r="Y4825" s="8"/>
      <c r="Z4825" s="8">
        <v>155.56</v>
      </c>
      <c r="AA4825" s="8"/>
      <c r="AB4825" s="8">
        <v>15.92</v>
      </c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11"/>
      <c r="AQ4825" s="8">
        <v>7.93</v>
      </c>
      <c r="AR4825" s="8"/>
      <c r="AS4825" s="8"/>
      <c r="AT4825" s="8">
        <v>404.78</v>
      </c>
      <c r="AU4825" s="8">
        <v>202.66</v>
      </c>
      <c r="AV4825" s="8"/>
      <c r="AW4825" s="8">
        <v>6.69</v>
      </c>
      <c r="AX4825" s="8"/>
      <c r="AY4825" s="8"/>
      <c r="AZ4825" s="8"/>
      <c r="BA4825" s="8"/>
      <c r="BB4825" s="8"/>
      <c r="BC4825" s="8"/>
      <c r="BD4825" s="8"/>
      <c r="BE4825" s="8"/>
      <c r="BF4825" s="8"/>
      <c r="BG4825" s="8">
        <v>36.450000000000003</v>
      </c>
      <c r="BH4825" s="9">
        <f t="shared" si="675"/>
        <v>1551.12</v>
      </c>
      <c r="BI4825" s="9">
        <f t="shared" si="676"/>
        <v>6.22</v>
      </c>
      <c r="BJ4825" s="9">
        <f t="shared" si="677"/>
        <v>5.76</v>
      </c>
      <c r="BK4825" s="9">
        <f t="shared" si="678"/>
        <v>18.670000000000002</v>
      </c>
      <c r="BL4825" s="9">
        <f t="shared" si="679"/>
        <v>155.56</v>
      </c>
      <c r="BM4825" s="9">
        <f t="shared" si="680"/>
        <v>23.85</v>
      </c>
      <c r="BN4825" s="9">
        <f t="shared" si="681"/>
        <v>607.43999999999994</v>
      </c>
      <c r="BO4825" s="9">
        <f t="shared" si="682"/>
        <v>6.69</v>
      </c>
      <c r="BP4825" s="9">
        <f t="shared" si="683"/>
        <v>0</v>
      </c>
    </row>
    <row r="4826" spans="1:68">
      <c r="A4826" s="6">
        <v>45470</v>
      </c>
      <c r="B4826" s="7">
        <v>3079</v>
      </c>
      <c r="C4826" s="8"/>
      <c r="D4826" s="8"/>
      <c r="E4826" s="8"/>
      <c r="F4826" s="8">
        <f>454.71+57.69</f>
        <v>512.4</v>
      </c>
      <c r="G4826" s="8"/>
      <c r="H4826" s="8"/>
      <c r="I4826" s="8">
        <f>3677.33+466.47</f>
        <v>4143.8</v>
      </c>
      <c r="J4826" s="8"/>
      <c r="K4826" s="8"/>
      <c r="L4826" s="8"/>
      <c r="M4826" s="8"/>
      <c r="N4826" s="8">
        <f>31.01+3.93</f>
        <v>34.940000000000005</v>
      </c>
      <c r="O4826" s="8"/>
      <c r="P4826" s="8"/>
      <c r="Q4826" s="11"/>
      <c r="R4826" s="11"/>
      <c r="S4826" s="8">
        <f>1.65+0.21</f>
        <v>1.8599999999999999</v>
      </c>
      <c r="T4826" s="8"/>
      <c r="U4826" s="8"/>
      <c r="V4826" s="8"/>
      <c r="W4826" s="8">
        <f>41.34+5.25</f>
        <v>46.59</v>
      </c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>
        <f>16.5+2.09</f>
        <v>18.59</v>
      </c>
      <c r="AN4826" s="8">
        <f>42.19+5.32</f>
        <v>47.51</v>
      </c>
      <c r="AO4826" s="8"/>
      <c r="AP4826" s="11"/>
      <c r="AQ4826" s="8"/>
      <c r="AR4826" s="8">
        <f>104.52+13.19</f>
        <v>117.71</v>
      </c>
      <c r="AS4826" s="8"/>
      <c r="AT4826" s="8">
        <f>1593.9+202.24</f>
        <v>1796.14</v>
      </c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  <c r="BF4826" s="8"/>
      <c r="BG4826" s="8">
        <f>115.91+14.69</f>
        <v>130.6</v>
      </c>
      <c r="BH4826" s="9">
        <f t="shared" si="675"/>
        <v>4656.2</v>
      </c>
      <c r="BI4826" s="9">
        <f t="shared" si="676"/>
        <v>34.940000000000005</v>
      </c>
      <c r="BJ4826" s="9">
        <f t="shared" si="677"/>
        <v>1.8599999999999999</v>
      </c>
      <c r="BK4826" s="9">
        <f t="shared" si="678"/>
        <v>46.59</v>
      </c>
      <c r="BL4826" s="9">
        <f t="shared" si="679"/>
        <v>0</v>
      </c>
      <c r="BM4826" s="9">
        <f t="shared" si="680"/>
        <v>183.81</v>
      </c>
      <c r="BN4826" s="9">
        <f t="shared" si="681"/>
        <v>1796.14</v>
      </c>
      <c r="BO4826" s="9">
        <f t="shared" si="682"/>
        <v>0</v>
      </c>
      <c r="BP4826" s="9">
        <f t="shared" si="683"/>
        <v>0</v>
      </c>
    </row>
    <row r="4827" spans="1:68">
      <c r="A4827" s="6">
        <v>45470</v>
      </c>
      <c r="B4827" s="7">
        <v>3029</v>
      </c>
      <c r="C4827" s="8"/>
      <c r="D4827" s="8">
        <v>689.4</v>
      </c>
      <c r="E4827" s="8"/>
      <c r="F4827" s="8">
        <v>486.63</v>
      </c>
      <c r="G4827" s="8"/>
      <c r="H4827" s="8"/>
      <c r="I4827" s="8">
        <v>2876.85</v>
      </c>
      <c r="J4827" s="8"/>
      <c r="K4827" s="8"/>
      <c r="L4827" s="8"/>
      <c r="M4827" s="8"/>
      <c r="N4827" s="8">
        <v>32.869999999999997</v>
      </c>
      <c r="O4827" s="8"/>
      <c r="P4827" s="8"/>
      <c r="Q4827" s="11"/>
      <c r="R4827" s="11"/>
      <c r="S4827" s="8">
        <v>2.42</v>
      </c>
      <c r="T4827" s="8"/>
      <c r="U4827" s="8"/>
      <c r="V4827" s="8"/>
      <c r="W4827" s="8">
        <v>40.549999999999997</v>
      </c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>
        <v>14.16</v>
      </c>
      <c r="AN4827" s="8">
        <v>20.56</v>
      </c>
      <c r="AO4827" s="8"/>
      <c r="AP4827" s="11"/>
      <c r="AQ4827" s="8"/>
      <c r="AR4827" s="8">
        <v>122.33</v>
      </c>
      <c r="AS4827" s="8"/>
      <c r="AT4827" s="8">
        <v>1540.93</v>
      </c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  <c r="BF4827" s="8"/>
      <c r="BG4827" s="8">
        <v>107.94</v>
      </c>
      <c r="BH4827" s="9">
        <f t="shared" si="675"/>
        <v>4052.88</v>
      </c>
      <c r="BI4827" s="9">
        <f t="shared" si="676"/>
        <v>32.869999999999997</v>
      </c>
      <c r="BJ4827" s="9">
        <f t="shared" si="677"/>
        <v>2.42</v>
      </c>
      <c r="BK4827" s="9">
        <f t="shared" si="678"/>
        <v>40.549999999999997</v>
      </c>
      <c r="BL4827" s="9">
        <f t="shared" si="679"/>
        <v>0</v>
      </c>
      <c r="BM4827" s="9">
        <f t="shared" si="680"/>
        <v>157.05000000000001</v>
      </c>
      <c r="BN4827" s="9">
        <f t="shared" si="681"/>
        <v>1540.93</v>
      </c>
      <c r="BO4827" s="9">
        <f t="shared" si="682"/>
        <v>0</v>
      </c>
      <c r="BP4827" s="9">
        <f t="shared" si="683"/>
        <v>0</v>
      </c>
    </row>
    <row r="4828" spans="1:68">
      <c r="A4828" s="6">
        <v>45470</v>
      </c>
      <c r="B4828" s="7">
        <v>3104</v>
      </c>
      <c r="C4828" s="8">
        <f>377.35+507.97</f>
        <v>885.32</v>
      </c>
      <c r="D4828" s="8"/>
      <c r="E4828" s="8"/>
      <c r="F4828" s="8"/>
      <c r="G4828" s="8"/>
      <c r="H4828" s="8">
        <f>130.48+96.21</f>
        <v>226.69</v>
      </c>
      <c r="I4828" s="8"/>
      <c r="J4828" s="8"/>
      <c r="K4828" s="8"/>
      <c r="L4828" s="8"/>
      <c r="M4828" s="8">
        <f>1.47+1.08</f>
        <v>2.5499999999999998</v>
      </c>
      <c r="N4828" s="8"/>
      <c r="O4828" s="8"/>
      <c r="P4828" s="8"/>
      <c r="Q4828" s="11"/>
      <c r="R4828" s="11"/>
      <c r="S4828" s="8">
        <f>2.5+1.86</f>
        <v>4.3600000000000003</v>
      </c>
      <c r="T4828" s="8"/>
      <c r="U4828" s="8">
        <f>6.71+4.97</f>
        <v>11.68</v>
      </c>
      <c r="V4828" s="8"/>
      <c r="W4828" s="8"/>
      <c r="X4828" s="8"/>
      <c r="Y4828" s="8"/>
      <c r="Z4828" s="8"/>
      <c r="AA4828" s="8"/>
      <c r="AB4828" s="8"/>
      <c r="AC4828" s="8">
        <f>2.33+1.73</f>
        <v>4.0600000000000005</v>
      </c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11"/>
      <c r="AQ4828" s="8"/>
      <c r="AR4828" s="8"/>
      <c r="AS4828" s="8"/>
      <c r="AT4828" s="8">
        <f>369.79+275.26</f>
        <v>645.04999999999995</v>
      </c>
      <c r="AU4828" s="8"/>
      <c r="AV4828" s="8"/>
      <c r="AW4828" s="8"/>
      <c r="AX4828" s="8"/>
      <c r="AY4828" s="8"/>
      <c r="AZ4828" s="8"/>
      <c r="BA4828" s="8">
        <f>9.87+13.26</f>
        <v>23.13</v>
      </c>
      <c r="BB4828" s="8"/>
      <c r="BC4828" s="8"/>
      <c r="BD4828" s="8"/>
      <c r="BE4828" s="8"/>
      <c r="BF4828" s="8">
        <f>11.64+8.67</f>
        <v>20.310000000000002</v>
      </c>
      <c r="BG4828" s="8">
        <f>28.76+21.38</f>
        <v>50.14</v>
      </c>
      <c r="BH4828" s="9">
        <f t="shared" si="675"/>
        <v>1112.01</v>
      </c>
      <c r="BI4828" s="9">
        <f t="shared" si="676"/>
        <v>2.5499999999999998</v>
      </c>
      <c r="BJ4828" s="9">
        <f t="shared" si="677"/>
        <v>4.3600000000000003</v>
      </c>
      <c r="BK4828" s="9">
        <f t="shared" si="678"/>
        <v>11.68</v>
      </c>
      <c r="BL4828" s="9">
        <f t="shared" si="679"/>
        <v>0</v>
      </c>
      <c r="BM4828" s="9">
        <f t="shared" si="680"/>
        <v>4.0600000000000005</v>
      </c>
      <c r="BN4828" s="9">
        <f t="shared" si="681"/>
        <v>645.04999999999995</v>
      </c>
      <c r="BO4828" s="9">
        <f t="shared" si="682"/>
        <v>23.13</v>
      </c>
      <c r="BP4828" s="9">
        <f t="shared" si="683"/>
        <v>20.310000000000002</v>
      </c>
    </row>
    <row r="4829" spans="1:68">
      <c r="A4829" s="6">
        <v>45470</v>
      </c>
      <c r="B4829" s="7">
        <v>3106</v>
      </c>
      <c r="C4829" s="8">
        <v>2318.85</v>
      </c>
      <c r="D4829" s="8"/>
      <c r="E4829" s="8"/>
      <c r="F4829" s="8"/>
      <c r="G4829" s="8"/>
      <c r="H4829" s="8"/>
      <c r="I4829" s="8"/>
      <c r="J4829" s="8"/>
      <c r="K4829" s="8"/>
      <c r="L4829" s="8"/>
      <c r="M4829" s="8">
        <v>4.95</v>
      </c>
      <c r="N4829" s="8"/>
      <c r="O4829" s="8"/>
      <c r="P4829" s="8"/>
      <c r="Q4829" s="11"/>
      <c r="R4829" s="11"/>
      <c r="S4829" s="8">
        <v>6.99</v>
      </c>
      <c r="T4829" s="8"/>
      <c r="U4829" s="8">
        <v>29.5</v>
      </c>
      <c r="V4829" s="8"/>
      <c r="W4829" s="8"/>
      <c r="X4829" s="8"/>
      <c r="Y4829" s="8"/>
      <c r="Z4829" s="8"/>
      <c r="AA4829" s="8"/>
      <c r="AB4829" s="8"/>
      <c r="AC4829" s="8">
        <v>5.8</v>
      </c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11"/>
      <c r="AQ4829" s="8"/>
      <c r="AR4829" s="8"/>
      <c r="AS4829" s="8"/>
      <c r="AT4829" s="8">
        <v>1322.87</v>
      </c>
      <c r="AU4829" s="8"/>
      <c r="AV4829" s="8"/>
      <c r="AW4829" s="8"/>
      <c r="AX4829" s="8">
        <v>2.9</v>
      </c>
      <c r="AY4829" s="8"/>
      <c r="AZ4829" s="8"/>
      <c r="BA4829" s="8"/>
      <c r="BB4829" s="8"/>
      <c r="BC4829" s="8"/>
      <c r="BD4829" s="8"/>
      <c r="BE4829" s="8"/>
      <c r="BF4829" s="8"/>
      <c r="BG4829" s="8">
        <v>100</v>
      </c>
      <c r="BH4829" s="9">
        <f t="shared" si="675"/>
        <v>2318.85</v>
      </c>
      <c r="BI4829" s="9">
        <f t="shared" si="676"/>
        <v>4.95</v>
      </c>
      <c r="BJ4829" s="9">
        <f t="shared" si="677"/>
        <v>6.99</v>
      </c>
      <c r="BK4829" s="9">
        <f t="shared" si="678"/>
        <v>29.5</v>
      </c>
      <c r="BL4829" s="9">
        <f t="shared" si="679"/>
        <v>0</v>
      </c>
      <c r="BM4829" s="9">
        <f t="shared" si="680"/>
        <v>5.8</v>
      </c>
      <c r="BN4829" s="9">
        <f t="shared" si="681"/>
        <v>1322.87</v>
      </c>
      <c r="BO4829" s="9">
        <f t="shared" si="682"/>
        <v>2.9</v>
      </c>
      <c r="BP4829" s="9">
        <f t="shared" si="683"/>
        <v>0</v>
      </c>
    </row>
    <row r="4830" spans="1:68">
      <c r="A4830" s="6">
        <v>45470</v>
      </c>
      <c r="B4830" s="7">
        <v>3020</v>
      </c>
      <c r="C4830" s="8"/>
      <c r="D4830" s="8">
        <v>169.4</v>
      </c>
      <c r="E4830" s="8"/>
      <c r="F4830" s="8"/>
      <c r="G4830" s="8"/>
      <c r="H4830" s="8"/>
      <c r="I4830" s="8">
        <v>954.36</v>
      </c>
      <c r="J4830" s="8"/>
      <c r="K4830" s="8"/>
      <c r="L4830" s="8"/>
      <c r="M4830" s="8"/>
      <c r="N4830" s="8">
        <v>6.85</v>
      </c>
      <c r="O4830" s="8"/>
      <c r="P4830" s="8"/>
      <c r="Q4830" s="11"/>
      <c r="R4830" s="11"/>
      <c r="S4830" s="8">
        <v>2.02</v>
      </c>
      <c r="T4830" s="8"/>
      <c r="U4830" s="8"/>
      <c r="V4830" s="8"/>
      <c r="W4830" s="8">
        <v>11.25</v>
      </c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>
        <v>11.24</v>
      </c>
      <c r="AN4830" s="8"/>
      <c r="AO4830" s="8"/>
      <c r="AP4830" s="11"/>
      <c r="AQ4830" s="8"/>
      <c r="AR4830" s="8"/>
      <c r="AS4830" s="8">
        <v>28.38</v>
      </c>
      <c r="AT4830" s="8">
        <v>552.55999999999995</v>
      </c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  <c r="BF4830" s="8"/>
      <c r="BG4830" s="8">
        <v>40.42</v>
      </c>
      <c r="BH4830" s="9">
        <f t="shared" si="675"/>
        <v>1123.76</v>
      </c>
      <c r="BI4830" s="9">
        <f t="shared" si="676"/>
        <v>6.85</v>
      </c>
      <c r="BJ4830" s="9">
        <f t="shared" si="677"/>
        <v>2.02</v>
      </c>
      <c r="BK4830" s="9">
        <f t="shared" si="678"/>
        <v>11.25</v>
      </c>
      <c r="BL4830" s="9">
        <f t="shared" si="679"/>
        <v>0</v>
      </c>
      <c r="BM4830" s="9">
        <f t="shared" si="680"/>
        <v>39.619999999999997</v>
      </c>
      <c r="BN4830" s="9">
        <f t="shared" si="681"/>
        <v>552.55999999999995</v>
      </c>
      <c r="BO4830" s="9">
        <f t="shared" si="682"/>
        <v>0</v>
      </c>
      <c r="BP4830" s="9">
        <f t="shared" si="683"/>
        <v>0</v>
      </c>
    </row>
    <row r="4831" spans="1:68">
      <c r="A4831" s="6">
        <v>45470</v>
      </c>
      <c r="B4831" s="7">
        <v>3021</v>
      </c>
      <c r="C4831" s="8"/>
      <c r="D4831" s="8">
        <v>208.33</v>
      </c>
      <c r="E4831" s="8"/>
      <c r="F4831" s="8"/>
      <c r="G4831" s="8"/>
      <c r="H4831" s="8"/>
      <c r="I4831" s="8">
        <v>387.46</v>
      </c>
      <c r="J4831" s="8"/>
      <c r="K4831" s="8"/>
      <c r="L4831" s="8"/>
      <c r="M4831" s="8"/>
      <c r="N4831" s="8">
        <v>3.17</v>
      </c>
      <c r="O4831" s="8"/>
      <c r="P4831" s="8"/>
      <c r="Q4831" s="11"/>
      <c r="R4831" s="11"/>
      <c r="S4831" s="8">
        <v>1.08</v>
      </c>
      <c r="T4831" s="8"/>
      <c r="U4831" s="8"/>
      <c r="V4831" s="8"/>
      <c r="W4831" s="8">
        <v>5.97</v>
      </c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>
        <v>5.94</v>
      </c>
      <c r="AN4831" s="8"/>
      <c r="AO4831" s="8"/>
      <c r="AP4831" s="11"/>
      <c r="AQ4831" s="8"/>
      <c r="AR4831" s="8"/>
      <c r="AS4831" s="8">
        <v>14.92</v>
      </c>
      <c r="AT4831" s="8">
        <v>281.18</v>
      </c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  <c r="BF4831" s="8"/>
      <c r="BG4831" s="8">
        <v>21.17</v>
      </c>
      <c r="BH4831" s="9">
        <f t="shared" si="675"/>
        <v>595.79</v>
      </c>
      <c r="BI4831" s="9">
        <f t="shared" si="676"/>
        <v>3.17</v>
      </c>
      <c r="BJ4831" s="9">
        <f t="shared" si="677"/>
        <v>1.08</v>
      </c>
      <c r="BK4831" s="9">
        <f t="shared" si="678"/>
        <v>5.97</v>
      </c>
      <c r="BL4831" s="9">
        <f t="shared" si="679"/>
        <v>0</v>
      </c>
      <c r="BM4831" s="9">
        <f t="shared" si="680"/>
        <v>20.86</v>
      </c>
      <c r="BN4831" s="9">
        <f t="shared" si="681"/>
        <v>281.18</v>
      </c>
      <c r="BO4831" s="9">
        <f t="shared" si="682"/>
        <v>0</v>
      </c>
      <c r="BP4831" s="9">
        <f t="shared" si="683"/>
        <v>0</v>
      </c>
    </row>
    <row r="4832" spans="1:68">
      <c r="A4832" s="6">
        <v>45470</v>
      </c>
      <c r="B4832" s="7">
        <v>3204</v>
      </c>
      <c r="C4832" s="8"/>
      <c r="D4832" s="8">
        <v>1020.59</v>
      </c>
      <c r="E4832" s="8">
        <v>436.64</v>
      </c>
      <c r="F4832" s="8"/>
      <c r="G4832" s="8"/>
      <c r="H4832" s="8"/>
      <c r="I4832" s="8"/>
      <c r="J4832" s="8"/>
      <c r="K4832" s="8"/>
      <c r="L4832" s="8"/>
      <c r="M4832" s="8"/>
      <c r="N4832" s="8"/>
      <c r="O4832" s="8">
        <v>7.31</v>
      </c>
      <c r="P4832" s="8"/>
      <c r="Q4832" s="11"/>
      <c r="R4832" s="11"/>
      <c r="S4832" s="8">
        <v>4.96</v>
      </c>
      <c r="T4832" s="8"/>
      <c r="U4832" s="8">
        <v>16.09</v>
      </c>
      <c r="V4832" s="8"/>
      <c r="W4832" s="8"/>
      <c r="X4832" s="8"/>
      <c r="Y4832" s="8"/>
      <c r="Z4832" s="8">
        <v>219.17</v>
      </c>
      <c r="AA4832" s="8"/>
      <c r="AB4832" s="8">
        <v>7.49</v>
      </c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11"/>
      <c r="AQ4832" s="8"/>
      <c r="AR4832" s="8"/>
      <c r="AS4832" s="8"/>
      <c r="AT4832" s="8">
        <v>644.39</v>
      </c>
      <c r="AU4832" s="8"/>
      <c r="AV4832" s="8"/>
      <c r="AW4832" s="8">
        <v>4.66</v>
      </c>
      <c r="AX4832" s="8"/>
      <c r="AY4832" s="8"/>
      <c r="AZ4832" s="8"/>
      <c r="BA4832" s="8"/>
      <c r="BB4832" s="8"/>
      <c r="BC4832" s="8"/>
      <c r="BD4832" s="8"/>
      <c r="BE4832" s="8"/>
      <c r="BF4832" s="8"/>
      <c r="BG4832" s="8">
        <v>47.51</v>
      </c>
      <c r="BH4832" s="9">
        <f t="shared" si="675"/>
        <v>1457.23</v>
      </c>
      <c r="BI4832" s="9">
        <f t="shared" si="676"/>
        <v>7.31</v>
      </c>
      <c r="BJ4832" s="9">
        <f t="shared" si="677"/>
        <v>4.96</v>
      </c>
      <c r="BK4832" s="9">
        <f t="shared" si="678"/>
        <v>16.09</v>
      </c>
      <c r="BL4832" s="9">
        <f t="shared" si="679"/>
        <v>219.17</v>
      </c>
      <c r="BM4832" s="9">
        <f t="shared" si="680"/>
        <v>7.49</v>
      </c>
      <c r="BN4832" s="9">
        <f t="shared" si="681"/>
        <v>644.39</v>
      </c>
      <c r="BO4832" s="9">
        <f t="shared" si="682"/>
        <v>4.66</v>
      </c>
      <c r="BP4832" s="9">
        <f t="shared" si="683"/>
        <v>0</v>
      </c>
    </row>
    <row r="4833" spans="1:68">
      <c r="A4833" s="6">
        <v>45474</v>
      </c>
      <c r="B4833" s="7">
        <v>8318</v>
      </c>
      <c r="C4833" s="8"/>
      <c r="D4833" s="8">
        <f>61.28+553.03</f>
        <v>614.30999999999995</v>
      </c>
      <c r="E4833" s="8"/>
      <c r="F4833" s="8"/>
      <c r="G4833" s="8"/>
      <c r="H4833" s="8"/>
      <c r="I4833" s="8"/>
      <c r="J4833" s="8"/>
      <c r="K4833" s="8"/>
      <c r="L4833" s="8"/>
      <c r="M4833" s="8">
        <v>2.46</v>
      </c>
      <c r="N4833" s="8"/>
      <c r="O4833" s="8"/>
      <c r="P4833" s="8"/>
      <c r="Q4833" s="11"/>
      <c r="R4833" s="11"/>
      <c r="S4833" s="8">
        <v>0.24</v>
      </c>
      <c r="T4833" s="8"/>
      <c r="U4833" s="8"/>
      <c r="V4833" s="8"/>
      <c r="W4833" s="8"/>
      <c r="X4833" s="8">
        <f>961*3.83/1000</f>
        <v>3.6806300000000003</v>
      </c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>
        <f>6435*3.83/1000</f>
        <v>24.646049999999999</v>
      </c>
      <c r="AK4833" s="8"/>
      <c r="AL4833" s="8"/>
      <c r="AM4833" s="8"/>
      <c r="AN4833" s="8"/>
      <c r="AO4833" s="8"/>
      <c r="AP4833" s="11"/>
      <c r="AQ4833" s="8"/>
      <c r="AR4833" s="8"/>
      <c r="AS4833" s="8"/>
      <c r="AT4833" s="8"/>
      <c r="AU4833" s="8">
        <v>137.07</v>
      </c>
      <c r="AV4833" s="8">
        <v>0.63</v>
      </c>
      <c r="AW4833" s="8"/>
      <c r="AX4833" s="8"/>
      <c r="AY4833" s="8"/>
      <c r="AZ4833" s="8"/>
      <c r="BA4833" s="8"/>
      <c r="BB4833" s="8"/>
      <c r="BC4833" s="8"/>
      <c r="BD4833" s="8"/>
      <c r="BE4833" s="8"/>
      <c r="BF4833" s="8"/>
      <c r="BG4833" s="8">
        <v>4.45</v>
      </c>
      <c r="BH4833" s="9">
        <f t="shared" si="675"/>
        <v>614.30999999999995</v>
      </c>
      <c r="BI4833" s="9">
        <f t="shared" si="676"/>
        <v>2.46</v>
      </c>
      <c r="BJ4833" s="9">
        <f t="shared" si="677"/>
        <v>0.24</v>
      </c>
      <c r="BK4833" s="9">
        <f t="shared" si="678"/>
        <v>3.6806300000000003</v>
      </c>
      <c r="BL4833" s="9">
        <f t="shared" si="679"/>
        <v>0</v>
      </c>
      <c r="BM4833" s="9">
        <f t="shared" si="680"/>
        <v>24.646049999999999</v>
      </c>
      <c r="BN4833" s="9">
        <f t="shared" si="681"/>
        <v>137.07</v>
      </c>
      <c r="BO4833" s="9">
        <f t="shared" si="682"/>
        <v>0.63</v>
      </c>
      <c r="BP4833" s="9">
        <f t="shared" si="683"/>
        <v>0</v>
      </c>
    </row>
    <row r="4834" spans="1:68">
      <c r="A4834" s="6">
        <v>45474</v>
      </c>
      <c r="B4834" s="7">
        <v>3602</v>
      </c>
      <c r="C4834" s="8">
        <v>565.98</v>
      </c>
      <c r="D4834" s="8"/>
      <c r="E4834" s="8"/>
      <c r="F4834" s="8"/>
      <c r="G4834" s="8">
        <v>847.54</v>
      </c>
      <c r="H4834" s="8"/>
      <c r="I4834" s="8"/>
      <c r="J4834" s="8"/>
      <c r="K4834" s="8"/>
      <c r="L4834" s="8"/>
      <c r="M4834" s="8">
        <v>1.7</v>
      </c>
      <c r="N4834" s="8"/>
      <c r="O4834" s="8"/>
      <c r="P4834" s="8"/>
      <c r="Q4834" s="11"/>
      <c r="R4834" s="11"/>
      <c r="S4834" s="8">
        <v>5.88</v>
      </c>
      <c r="T4834" s="8"/>
      <c r="U4834" s="8">
        <v>11.31</v>
      </c>
      <c r="V4834" s="8">
        <f>848*16.15/1000</f>
        <v>13.695199999999998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11"/>
      <c r="AQ4834" s="8"/>
      <c r="AR4834" s="8"/>
      <c r="AS4834" s="8"/>
      <c r="AT4834" s="8">
        <v>570.15</v>
      </c>
      <c r="AU4834" s="8"/>
      <c r="AV4834" s="8"/>
      <c r="AW4834" s="8">
        <v>36.53</v>
      </c>
      <c r="AX4834" s="8"/>
      <c r="AY4834" s="8"/>
      <c r="AZ4834" s="8"/>
      <c r="BA4834" s="8"/>
      <c r="BB4834" s="8"/>
      <c r="BC4834" s="8"/>
      <c r="BD4834" s="8"/>
      <c r="BE4834" s="8"/>
      <c r="BF4834" s="8">
        <v>45.31</v>
      </c>
      <c r="BG4834" s="8">
        <v>42.45</v>
      </c>
      <c r="BH4834" s="9">
        <f t="shared" si="675"/>
        <v>1413.52</v>
      </c>
      <c r="BI4834" s="9">
        <f t="shared" si="676"/>
        <v>1.7</v>
      </c>
      <c r="BJ4834" s="9">
        <f t="shared" si="677"/>
        <v>5.88</v>
      </c>
      <c r="BK4834" s="9">
        <f t="shared" si="678"/>
        <v>25.005199999999999</v>
      </c>
      <c r="BL4834" s="9">
        <f t="shared" si="679"/>
        <v>0</v>
      </c>
      <c r="BM4834" s="9">
        <f t="shared" si="680"/>
        <v>0</v>
      </c>
      <c r="BN4834" s="9">
        <f t="shared" si="681"/>
        <v>570.15</v>
      </c>
      <c r="BO4834" s="9">
        <f t="shared" si="682"/>
        <v>36.53</v>
      </c>
      <c r="BP4834" s="9">
        <f t="shared" si="683"/>
        <v>45.31</v>
      </c>
    </row>
    <row r="4835" spans="1:68">
      <c r="A4835" s="6">
        <v>45474</v>
      </c>
      <c r="B4835" s="7">
        <v>3149</v>
      </c>
      <c r="C4835" s="8">
        <v>697.63</v>
      </c>
      <c r="D4835" s="8">
        <v>122.2</v>
      </c>
      <c r="E4835" s="8"/>
      <c r="F4835" s="8"/>
      <c r="G4835" s="8"/>
      <c r="H4835" s="8"/>
      <c r="I4835" s="8"/>
      <c r="J4835" s="8"/>
      <c r="K4835" s="8"/>
      <c r="L4835" s="8"/>
      <c r="M4835" s="8">
        <v>2.46</v>
      </c>
      <c r="N4835" s="8"/>
      <c r="O4835" s="8"/>
      <c r="P4835" s="8"/>
      <c r="Q4835" s="11"/>
      <c r="R4835" s="11"/>
      <c r="S4835" s="8">
        <v>3.86</v>
      </c>
      <c r="T4835" s="8"/>
      <c r="U4835" s="8">
        <v>12.32</v>
      </c>
      <c r="V4835" s="8"/>
      <c r="W4835" s="8"/>
      <c r="X4835" s="8"/>
      <c r="Y4835" s="8"/>
      <c r="Z4835" s="8"/>
      <c r="AA4835" s="8"/>
      <c r="AB4835" s="8"/>
      <c r="AC4835" s="8">
        <v>3.29</v>
      </c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11"/>
      <c r="AQ4835" s="8"/>
      <c r="AR4835" s="8"/>
      <c r="AS4835" s="8"/>
      <c r="AT4835" s="8">
        <v>537.98</v>
      </c>
      <c r="AU4835" s="8"/>
      <c r="AV4835" s="8"/>
      <c r="AW4835" s="8">
        <v>26.53</v>
      </c>
      <c r="AX4835" s="8"/>
      <c r="AY4835" s="8"/>
      <c r="AZ4835" s="8"/>
      <c r="BA4835" s="8"/>
      <c r="BB4835" s="8"/>
      <c r="BC4835" s="8"/>
      <c r="BD4835" s="8"/>
      <c r="BE4835" s="8"/>
      <c r="BF4835" s="8">
        <v>57.48</v>
      </c>
      <c r="BG4835" s="8">
        <v>42.81</v>
      </c>
      <c r="BH4835" s="9">
        <f t="shared" si="675"/>
        <v>819.83</v>
      </c>
      <c r="BI4835" s="9">
        <f t="shared" si="676"/>
        <v>2.46</v>
      </c>
      <c r="BJ4835" s="9">
        <f t="shared" si="677"/>
        <v>3.86</v>
      </c>
      <c r="BK4835" s="9">
        <f t="shared" si="678"/>
        <v>12.32</v>
      </c>
      <c r="BL4835" s="9">
        <f t="shared" si="679"/>
        <v>0</v>
      </c>
      <c r="BM4835" s="9">
        <f t="shared" si="680"/>
        <v>3.29</v>
      </c>
      <c r="BN4835" s="9">
        <f t="shared" si="681"/>
        <v>537.98</v>
      </c>
      <c r="BO4835" s="9">
        <f t="shared" si="682"/>
        <v>26.53</v>
      </c>
      <c r="BP4835" s="9">
        <f t="shared" si="683"/>
        <v>57.48</v>
      </c>
    </row>
    <row r="4836" spans="1:68">
      <c r="A4836" s="6">
        <v>45474</v>
      </c>
      <c r="B4836" s="7">
        <v>3016</v>
      </c>
      <c r="C4836" s="8"/>
      <c r="D4836" s="8">
        <v>2380.37</v>
      </c>
      <c r="E4836" s="8"/>
      <c r="F4836" s="8"/>
      <c r="G4836" s="8"/>
      <c r="H4836" s="8"/>
      <c r="I4836" s="8">
        <v>2197.02</v>
      </c>
      <c r="J4836" s="8"/>
      <c r="K4836" s="8"/>
      <c r="L4836" s="8"/>
      <c r="M4836" s="8"/>
      <c r="N4836" s="8">
        <v>29.77</v>
      </c>
      <c r="O4836" s="8"/>
      <c r="P4836" s="8"/>
      <c r="Q4836" s="11"/>
      <c r="R4836" s="11"/>
      <c r="S4836" s="8">
        <v>3.2</v>
      </c>
      <c r="T4836" s="8"/>
      <c r="U4836" s="8"/>
      <c r="V4836" s="8"/>
      <c r="W4836" s="8">
        <v>45.76</v>
      </c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>
        <v>18.260000000000002</v>
      </c>
      <c r="AN4836" s="8">
        <f>2042*26.92/1000</f>
        <v>54.97064000000001</v>
      </c>
      <c r="AO4836" s="8"/>
      <c r="AP4836" s="11"/>
      <c r="AQ4836" s="8"/>
      <c r="AR4836" s="8">
        <f>4316*26.92/1000</f>
        <v>116.18672000000001</v>
      </c>
      <c r="AS4836" s="8"/>
      <c r="AT4836" s="8">
        <v>1702.39</v>
      </c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  <c r="BF4836" s="8"/>
      <c r="BG4836" s="8">
        <v>124.4</v>
      </c>
      <c r="BH4836" s="9">
        <f t="shared" si="675"/>
        <v>4577.3899999999994</v>
      </c>
      <c r="BI4836" s="9">
        <f t="shared" si="676"/>
        <v>29.77</v>
      </c>
      <c r="BJ4836" s="9">
        <f t="shared" si="677"/>
        <v>3.2</v>
      </c>
      <c r="BK4836" s="9">
        <f t="shared" si="678"/>
        <v>45.76</v>
      </c>
      <c r="BL4836" s="9">
        <f t="shared" si="679"/>
        <v>0</v>
      </c>
      <c r="BM4836" s="9">
        <f t="shared" si="680"/>
        <v>189.41736000000003</v>
      </c>
      <c r="BN4836" s="9">
        <f t="shared" si="681"/>
        <v>1702.39</v>
      </c>
      <c r="BO4836" s="9">
        <f t="shared" si="682"/>
        <v>0</v>
      </c>
      <c r="BP4836" s="9">
        <f t="shared" si="683"/>
        <v>0</v>
      </c>
    </row>
    <row r="4837" spans="1:68">
      <c r="A4837" s="6">
        <v>45474</v>
      </c>
      <c r="B4837" s="7">
        <v>8360</v>
      </c>
      <c r="C4837" s="8">
        <v>1671.01</v>
      </c>
      <c r="D4837" s="8"/>
      <c r="E4837" s="8">
        <v>716.5</v>
      </c>
      <c r="F4837" s="8"/>
      <c r="G4837" s="8"/>
      <c r="H4837" s="8"/>
      <c r="I4837" s="8"/>
      <c r="J4837" s="8"/>
      <c r="K4837" s="8"/>
      <c r="L4837" s="8"/>
      <c r="M4837" s="8"/>
      <c r="N4837" s="8"/>
      <c r="O4837" s="8">
        <v>4.0599999999999996</v>
      </c>
      <c r="P4837" s="8"/>
      <c r="Q4837" s="11"/>
      <c r="R4837" s="11"/>
      <c r="S4837" s="8">
        <v>12.66</v>
      </c>
      <c r="T4837" s="8"/>
      <c r="U4837" s="8">
        <v>38.24</v>
      </c>
      <c r="V4837" s="8"/>
      <c r="W4837" s="8"/>
      <c r="X4837" s="8"/>
      <c r="Y4837" s="8"/>
      <c r="Z4837" s="8">
        <v>477.98</v>
      </c>
      <c r="AA4837" s="8"/>
      <c r="AB4837" s="8">
        <f>1023*23.88/1000</f>
        <v>24.429239999999997</v>
      </c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11"/>
      <c r="AQ4837" s="8"/>
      <c r="AR4837" s="8"/>
      <c r="AS4837" s="8"/>
      <c r="AT4837" s="8">
        <v>1382.16</v>
      </c>
      <c r="AU4837" s="8"/>
      <c r="AV4837" s="8"/>
      <c r="AW4837" s="8">
        <v>6.93</v>
      </c>
      <c r="AX4837" s="8"/>
      <c r="AY4837" s="8"/>
      <c r="AZ4837" s="8"/>
      <c r="BA4837" s="8"/>
      <c r="BB4837" s="8"/>
      <c r="BC4837" s="8"/>
      <c r="BD4837" s="8"/>
      <c r="BE4837" s="8"/>
      <c r="BF4837" s="8">
        <v>107.55</v>
      </c>
      <c r="BG4837" s="8">
        <v>100.43</v>
      </c>
      <c r="BH4837" s="9">
        <f t="shared" si="675"/>
        <v>2387.5100000000002</v>
      </c>
      <c r="BI4837" s="9">
        <f t="shared" si="676"/>
        <v>4.0599999999999996</v>
      </c>
      <c r="BJ4837" s="9">
        <f t="shared" si="677"/>
        <v>12.66</v>
      </c>
      <c r="BK4837" s="9">
        <f t="shared" si="678"/>
        <v>38.24</v>
      </c>
      <c r="BL4837" s="9">
        <f t="shared" si="679"/>
        <v>477.98</v>
      </c>
      <c r="BM4837" s="9">
        <f t="shared" si="680"/>
        <v>24.429239999999997</v>
      </c>
      <c r="BN4837" s="9">
        <f t="shared" si="681"/>
        <v>1382.16</v>
      </c>
      <c r="BO4837" s="9">
        <f t="shared" si="682"/>
        <v>6.93</v>
      </c>
      <c r="BP4837" s="9">
        <f t="shared" si="683"/>
        <v>107.55</v>
      </c>
    </row>
    <row r="4838" spans="1:68">
      <c r="A4838" s="6">
        <v>45474</v>
      </c>
      <c r="B4838" s="7">
        <v>3203</v>
      </c>
      <c r="C4838" s="8">
        <v>889.52</v>
      </c>
      <c r="D4838" s="8"/>
      <c r="E4838" s="8">
        <v>381.7</v>
      </c>
      <c r="F4838" s="8"/>
      <c r="G4838" s="8"/>
      <c r="H4838" s="8"/>
      <c r="I4838" s="8"/>
      <c r="J4838" s="8"/>
      <c r="K4838" s="8"/>
      <c r="L4838" s="8"/>
      <c r="M4838" s="8"/>
      <c r="N4838" s="8"/>
      <c r="O4838" s="8">
        <v>3.81</v>
      </c>
      <c r="P4838" s="8"/>
      <c r="Q4838" s="11"/>
      <c r="R4838" s="11"/>
      <c r="S4838" s="8">
        <v>5.21</v>
      </c>
      <c r="T4838" s="8"/>
      <c r="U4838" s="8">
        <v>15.76</v>
      </c>
      <c r="V4838" s="8"/>
      <c r="W4838" s="8"/>
      <c r="X4838" s="8"/>
      <c r="Y4838" s="8"/>
      <c r="Z4838" s="8">
        <v>200.28</v>
      </c>
      <c r="AA4838" s="8">
        <f>10543*14.93/1000</f>
        <v>157.40698999999998</v>
      </c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11"/>
      <c r="AQ4838" s="8"/>
      <c r="AR4838" s="8"/>
      <c r="AS4838" s="8"/>
      <c r="AT4838" s="8">
        <v>476.17</v>
      </c>
      <c r="AU4838" s="8">
        <v>237.67</v>
      </c>
      <c r="AV4838" s="8"/>
      <c r="AW4838" s="8"/>
      <c r="AX4838" s="8"/>
      <c r="AY4838" s="8"/>
      <c r="AZ4838" s="8"/>
      <c r="BA4838" s="8"/>
      <c r="BB4838" s="8"/>
      <c r="BC4838" s="8">
        <v>3.3</v>
      </c>
      <c r="BD4838" s="8"/>
      <c r="BE4838" s="8"/>
      <c r="BF4838" s="8"/>
      <c r="BG4838" s="8">
        <v>46.16</v>
      </c>
      <c r="BH4838" s="9">
        <f t="shared" si="675"/>
        <v>1271.22</v>
      </c>
      <c r="BI4838" s="9">
        <f t="shared" si="676"/>
        <v>3.81</v>
      </c>
      <c r="BJ4838" s="9">
        <f t="shared" si="677"/>
        <v>5.21</v>
      </c>
      <c r="BK4838" s="9">
        <f t="shared" si="678"/>
        <v>15.76</v>
      </c>
      <c r="BL4838" s="9">
        <f t="shared" si="679"/>
        <v>357.68698999999998</v>
      </c>
      <c r="BM4838" s="9">
        <f t="shared" si="680"/>
        <v>0</v>
      </c>
      <c r="BN4838" s="9">
        <f t="shared" si="681"/>
        <v>713.84</v>
      </c>
      <c r="BO4838" s="9">
        <f t="shared" si="682"/>
        <v>3.3</v>
      </c>
      <c r="BP4838" s="9">
        <f t="shared" si="683"/>
        <v>0</v>
      </c>
    </row>
    <row r="4839" spans="1:68">
      <c r="A4839" s="6">
        <v>45475</v>
      </c>
      <c r="B4839" s="7">
        <v>3113</v>
      </c>
      <c r="C4839" s="8">
        <v>1702.49</v>
      </c>
      <c r="D4839" s="8"/>
      <c r="E4839" s="8"/>
      <c r="F4839" s="8"/>
      <c r="G4839" s="8"/>
      <c r="H4839" s="8"/>
      <c r="I4839" s="8"/>
      <c r="J4839" s="8"/>
      <c r="K4839" s="8"/>
      <c r="L4839" s="8"/>
      <c r="M4839" s="8">
        <v>1.98</v>
      </c>
      <c r="N4839" s="8">
        <v>1.98</v>
      </c>
      <c r="O4839" s="8"/>
      <c r="P4839" s="8"/>
      <c r="Q4839" s="11"/>
      <c r="R4839" s="11"/>
      <c r="S4839" s="8">
        <v>5.1100000000000003</v>
      </c>
      <c r="T4839" s="8"/>
      <c r="U4839" s="8">
        <v>17.03</v>
      </c>
      <c r="V4839" s="8"/>
      <c r="W4839" s="8"/>
      <c r="X4839" s="8"/>
      <c r="Y4839" s="8"/>
      <c r="Z4839" s="8"/>
      <c r="AA4839" s="8"/>
      <c r="AB4839" s="8"/>
      <c r="AC4839" s="8">
        <v>6.81</v>
      </c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11"/>
      <c r="AQ4839" s="8"/>
      <c r="AR4839" s="8"/>
      <c r="AS4839" s="8"/>
      <c r="AT4839" s="8">
        <v>714.15</v>
      </c>
      <c r="AU4839" s="8"/>
      <c r="AV4839" s="8">
        <v>57.91</v>
      </c>
      <c r="AW4839" s="8"/>
      <c r="AX4839" s="8"/>
      <c r="AY4839" s="8"/>
      <c r="AZ4839" s="8"/>
      <c r="BA4839" s="8"/>
      <c r="BB4839" s="8"/>
      <c r="BC4839" s="8"/>
      <c r="BD4839" s="8"/>
      <c r="BE4839" s="8"/>
      <c r="BF4839" s="8"/>
      <c r="BG4839" s="8">
        <v>51.07</v>
      </c>
      <c r="BH4839" s="9">
        <f t="shared" si="675"/>
        <v>1702.49</v>
      </c>
      <c r="BI4839" s="9">
        <f t="shared" si="676"/>
        <v>3.96</v>
      </c>
      <c r="BJ4839" s="9">
        <f t="shared" si="677"/>
        <v>5.1100000000000003</v>
      </c>
      <c r="BK4839" s="9">
        <f t="shared" si="678"/>
        <v>17.03</v>
      </c>
      <c r="BL4839" s="9">
        <f t="shared" si="679"/>
        <v>0</v>
      </c>
      <c r="BM4839" s="9">
        <f t="shared" si="680"/>
        <v>6.81</v>
      </c>
      <c r="BN4839" s="9">
        <f t="shared" si="681"/>
        <v>714.15</v>
      </c>
      <c r="BO4839" s="9">
        <f t="shared" si="682"/>
        <v>57.91</v>
      </c>
      <c r="BP4839" s="9">
        <f t="shared" si="683"/>
        <v>0</v>
      </c>
    </row>
    <row r="4840" spans="1:68">
      <c r="A4840" s="6">
        <v>45475</v>
      </c>
      <c r="B4840" s="7">
        <v>3145</v>
      </c>
      <c r="C4840" s="8">
        <v>1208.26</v>
      </c>
      <c r="D4840" s="8">
        <v>212.69</v>
      </c>
      <c r="E4840" s="8"/>
      <c r="F4840" s="8"/>
      <c r="G4840" s="8"/>
      <c r="H4840" s="8"/>
      <c r="I4840" s="8"/>
      <c r="J4840" s="8"/>
      <c r="K4840" s="8"/>
      <c r="L4840" s="8"/>
      <c r="M4840" s="8">
        <v>4.66</v>
      </c>
      <c r="N4840" s="8"/>
      <c r="O4840" s="8"/>
      <c r="P4840" s="8"/>
      <c r="Q4840" s="11"/>
      <c r="R4840" s="11"/>
      <c r="S4840" s="8">
        <v>6.71</v>
      </c>
      <c r="T4840" s="8"/>
      <c r="U4840" s="8">
        <v>21.4</v>
      </c>
      <c r="V4840" s="8"/>
      <c r="W4840" s="8"/>
      <c r="X4840" s="8"/>
      <c r="Y4840" s="8"/>
      <c r="Z4840" s="8"/>
      <c r="AA4840" s="8"/>
      <c r="AB4840" s="8"/>
      <c r="AC4840" s="8">
        <v>5.7</v>
      </c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11"/>
      <c r="AQ4840" s="8"/>
      <c r="AR4840" s="8"/>
      <c r="AS4840" s="8"/>
      <c r="AT4840" s="8">
        <v>943.92</v>
      </c>
      <c r="AU4840" s="8"/>
      <c r="AV4840" s="8"/>
      <c r="AW4840" s="8"/>
      <c r="AX4840" s="8"/>
      <c r="AY4840" s="8"/>
      <c r="AZ4840" s="8"/>
      <c r="BA4840" s="8"/>
      <c r="BB4840" s="8"/>
      <c r="BC4840" s="8"/>
      <c r="BD4840" s="8">
        <v>3.57</v>
      </c>
      <c r="BE4840" s="8">
        <f>1362*9.5/1000</f>
        <v>12.939</v>
      </c>
      <c r="BF4840" s="8">
        <v>99.98</v>
      </c>
      <c r="BG4840" s="8">
        <v>74.03</v>
      </c>
      <c r="BH4840" s="9">
        <f t="shared" si="675"/>
        <v>1420.95</v>
      </c>
      <c r="BI4840" s="9">
        <f t="shared" si="676"/>
        <v>4.66</v>
      </c>
      <c r="BJ4840" s="9">
        <f t="shared" si="677"/>
        <v>6.71</v>
      </c>
      <c r="BK4840" s="9">
        <f t="shared" si="678"/>
        <v>21.4</v>
      </c>
      <c r="BL4840" s="9">
        <f t="shared" si="679"/>
        <v>0</v>
      </c>
      <c r="BM4840" s="9">
        <f t="shared" si="680"/>
        <v>5.7</v>
      </c>
      <c r="BN4840" s="9">
        <f t="shared" si="681"/>
        <v>943.92</v>
      </c>
      <c r="BO4840" s="9">
        <f t="shared" si="682"/>
        <v>16.509</v>
      </c>
      <c r="BP4840" s="9">
        <f t="shared" si="683"/>
        <v>99.98</v>
      </c>
    </row>
    <row r="4841" spans="1:68">
      <c r="A4841" s="6">
        <v>45475</v>
      </c>
      <c r="B4841" s="7">
        <v>8273</v>
      </c>
      <c r="C4841" s="8"/>
      <c r="D4841" s="8">
        <v>93.61</v>
      </c>
      <c r="E4841" s="8"/>
      <c r="F4841" s="8"/>
      <c r="G4841" s="8"/>
      <c r="H4841" s="8"/>
      <c r="I4841" s="8">
        <v>139.35</v>
      </c>
      <c r="J4841" s="8"/>
      <c r="K4841" s="8"/>
      <c r="L4841" s="8"/>
      <c r="M4841" s="8"/>
      <c r="N4841" s="8">
        <v>1.92</v>
      </c>
      <c r="O4841" s="8"/>
      <c r="P4841" s="8"/>
      <c r="Q4841" s="11"/>
      <c r="R4841" s="11"/>
      <c r="S4841" s="8">
        <v>0.16</v>
      </c>
      <c r="T4841" s="8"/>
      <c r="U4841" s="8"/>
      <c r="V4841" s="8"/>
      <c r="W4841" s="8"/>
      <c r="X4841" s="8">
        <f>1456*1.67/1000</f>
        <v>2.4315199999999999</v>
      </c>
      <c r="Y4841" s="8">
        <f>2116*1.67/1000</f>
        <v>3.5337199999999998</v>
      </c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>
        <v>0.62</v>
      </c>
      <c r="AN4841" s="8"/>
      <c r="AO4841" s="8"/>
      <c r="AP4841" s="11"/>
      <c r="AQ4841" s="8"/>
      <c r="AR4841" s="8"/>
      <c r="AS4841" s="8">
        <f>5600*1.67/1000</f>
        <v>9.3520000000000003</v>
      </c>
      <c r="AT4841" s="8">
        <v>84.32</v>
      </c>
      <c r="AU4841" s="8">
        <v>11.48</v>
      </c>
      <c r="AV4841" s="8"/>
      <c r="AW4841" s="8"/>
      <c r="AX4841" s="8"/>
      <c r="AY4841" s="8"/>
      <c r="AZ4841" s="8"/>
      <c r="BA4841" s="8"/>
      <c r="BB4841" s="8"/>
      <c r="BC4841" s="8"/>
      <c r="BD4841" s="8"/>
      <c r="BE4841" s="8"/>
      <c r="BF4841" s="8"/>
      <c r="BG4841" s="8">
        <v>7.32</v>
      </c>
      <c r="BH4841" s="9">
        <f t="shared" si="675"/>
        <v>232.95999999999998</v>
      </c>
      <c r="BI4841" s="9">
        <f t="shared" si="676"/>
        <v>1.92</v>
      </c>
      <c r="BJ4841" s="9">
        <f t="shared" si="677"/>
        <v>0.16</v>
      </c>
      <c r="BK4841" s="9">
        <f t="shared" si="678"/>
        <v>5.9652399999999997</v>
      </c>
      <c r="BL4841" s="9">
        <f t="shared" si="679"/>
        <v>0</v>
      </c>
      <c r="BM4841" s="9">
        <f t="shared" si="680"/>
        <v>9.9719999999999995</v>
      </c>
      <c r="BN4841" s="9">
        <f t="shared" si="681"/>
        <v>95.8</v>
      </c>
      <c r="BO4841" s="9">
        <f t="shared" si="682"/>
        <v>0</v>
      </c>
      <c r="BP4841" s="9">
        <f t="shared" si="683"/>
        <v>0</v>
      </c>
    </row>
    <row r="4842" spans="1:68">
      <c r="A4842" s="6">
        <v>45475</v>
      </c>
      <c r="B4842" s="7">
        <v>3022</v>
      </c>
      <c r="C4842" s="8"/>
      <c r="D4842" s="8">
        <v>599.28</v>
      </c>
      <c r="E4842" s="8"/>
      <c r="F4842" s="8"/>
      <c r="G4842" s="8"/>
      <c r="H4842" s="8"/>
      <c r="I4842" s="8">
        <v>490.58</v>
      </c>
      <c r="J4842" s="8"/>
      <c r="K4842" s="8"/>
      <c r="L4842" s="8"/>
      <c r="M4842" s="8"/>
      <c r="N4842" s="8">
        <v>5.47</v>
      </c>
      <c r="O4842" s="8"/>
      <c r="P4842" s="8"/>
      <c r="Q4842" s="11"/>
      <c r="R4842" s="11"/>
      <c r="S4842" s="8">
        <v>1.96</v>
      </c>
      <c r="T4842" s="8"/>
      <c r="U4842" s="8"/>
      <c r="V4842" s="8"/>
      <c r="W4842" s="8">
        <v>10.91</v>
      </c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>
        <v>14.05</v>
      </c>
      <c r="AN4842" s="8"/>
      <c r="AO4842" s="8"/>
      <c r="AP4842" s="11"/>
      <c r="AQ4842" s="8"/>
      <c r="AR4842" s="8"/>
      <c r="AS4842" s="8">
        <f>3874*9.92/1000</f>
        <v>38.430080000000004</v>
      </c>
      <c r="AT4842" s="8">
        <v>509.97</v>
      </c>
      <c r="AU4842" s="8"/>
      <c r="AV4842" s="8"/>
      <c r="AW4842" s="8"/>
      <c r="AX4842" s="8"/>
      <c r="AY4842" s="8"/>
      <c r="AZ4842" s="8"/>
      <c r="BA4842" s="8"/>
      <c r="BB4842" s="8"/>
      <c r="BC4842" s="8"/>
      <c r="BD4842" s="8"/>
      <c r="BE4842" s="8"/>
      <c r="BF4842" s="8"/>
      <c r="BG4842" s="8">
        <v>39.24</v>
      </c>
      <c r="BH4842" s="9">
        <f t="shared" si="675"/>
        <v>1089.8599999999999</v>
      </c>
      <c r="BI4842" s="9">
        <f t="shared" si="676"/>
        <v>5.47</v>
      </c>
      <c r="BJ4842" s="9">
        <f t="shared" si="677"/>
        <v>1.96</v>
      </c>
      <c r="BK4842" s="9">
        <f t="shared" si="678"/>
        <v>10.91</v>
      </c>
      <c r="BL4842" s="9">
        <f t="shared" si="679"/>
        <v>0</v>
      </c>
      <c r="BM4842" s="9">
        <f t="shared" si="680"/>
        <v>52.480080000000001</v>
      </c>
      <c r="BN4842" s="9">
        <f t="shared" si="681"/>
        <v>509.97</v>
      </c>
      <c r="BO4842" s="9">
        <f t="shared" si="682"/>
        <v>0</v>
      </c>
      <c r="BP4842" s="9">
        <f t="shared" si="683"/>
        <v>0</v>
      </c>
    </row>
    <row r="4843" spans="1:68">
      <c r="A4843" s="6">
        <v>45475</v>
      </c>
      <c r="B4843" s="7">
        <v>3028</v>
      </c>
      <c r="C4843" s="8"/>
      <c r="D4843" s="8">
        <v>1068.5899999999999</v>
      </c>
      <c r="E4843" s="8"/>
      <c r="F4843" s="8">
        <v>982.2</v>
      </c>
      <c r="G4843" s="8"/>
      <c r="H4843" s="8"/>
      <c r="I4843" s="8">
        <v>2218.8200000000002</v>
      </c>
      <c r="J4843" s="8"/>
      <c r="K4843" s="8"/>
      <c r="L4843" s="8"/>
      <c r="M4843" s="8"/>
      <c r="N4843" s="8">
        <v>33.25</v>
      </c>
      <c r="O4843" s="8"/>
      <c r="P4843" s="8"/>
      <c r="Q4843" s="11"/>
      <c r="R4843" s="11"/>
      <c r="S4843" s="8">
        <v>5.97</v>
      </c>
      <c r="T4843" s="8"/>
      <c r="U4843" s="8"/>
      <c r="V4843" s="8"/>
      <c r="W4843" s="8">
        <v>32.03</v>
      </c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>
        <v>42.66</v>
      </c>
      <c r="AN4843" s="8">
        <f>1066*28.45/1000</f>
        <v>30.3277</v>
      </c>
      <c r="AO4843" s="8"/>
      <c r="AP4843" s="11"/>
      <c r="AQ4843" s="8"/>
      <c r="AR4843" s="8"/>
      <c r="AS4843" s="8">
        <f>4988*28.45/1000</f>
        <v>141.90860000000001</v>
      </c>
      <c r="AT4843" s="8">
        <v>1425.48</v>
      </c>
      <c r="AU4843" s="8"/>
      <c r="AV4843" s="8"/>
      <c r="AW4843" s="8"/>
      <c r="AX4843" s="8"/>
      <c r="AY4843" s="8"/>
      <c r="AZ4843" s="8"/>
      <c r="BA4843" s="8"/>
      <c r="BB4843" s="8"/>
      <c r="BC4843" s="8"/>
      <c r="BD4843" s="8"/>
      <c r="BE4843" s="8"/>
      <c r="BF4843" s="8"/>
      <c r="BG4843" s="8">
        <v>97.02</v>
      </c>
      <c r="BH4843" s="9">
        <f t="shared" si="675"/>
        <v>4269.6100000000006</v>
      </c>
      <c r="BI4843" s="9">
        <f t="shared" si="676"/>
        <v>33.25</v>
      </c>
      <c r="BJ4843" s="9">
        <f t="shared" si="677"/>
        <v>5.97</v>
      </c>
      <c r="BK4843" s="9">
        <f t="shared" si="678"/>
        <v>32.03</v>
      </c>
      <c r="BL4843" s="9">
        <f t="shared" si="679"/>
        <v>0</v>
      </c>
      <c r="BM4843" s="9">
        <f t="shared" si="680"/>
        <v>214.8963</v>
      </c>
      <c r="BN4843" s="9">
        <f t="shared" si="681"/>
        <v>1425.48</v>
      </c>
      <c r="BO4843" s="9">
        <f t="shared" si="682"/>
        <v>0</v>
      </c>
      <c r="BP4843" s="9">
        <f t="shared" si="683"/>
        <v>0</v>
      </c>
    </row>
    <row r="4844" spans="1:68">
      <c r="A4844" s="6">
        <v>45475</v>
      </c>
      <c r="B4844" s="7">
        <v>8360</v>
      </c>
      <c r="C4844" s="8">
        <v>1696.74</v>
      </c>
      <c r="D4844" s="8"/>
      <c r="E4844" s="8">
        <v>727.48</v>
      </c>
      <c r="F4844" s="8"/>
      <c r="G4844" s="8"/>
      <c r="H4844" s="8"/>
      <c r="I4844" s="8"/>
      <c r="J4844" s="8"/>
      <c r="K4844" s="8"/>
      <c r="L4844" s="8"/>
      <c r="M4844" s="8"/>
      <c r="N4844" s="8"/>
      <c r="O4844" s="8">
        <v>4.12</v>
      </c>
      <c r="P4844" s="8"/>
      <c r="Q4844" s="11"/>
      <c r="R4844" s="11"/>
      <c r="S4844" s="8">
        <v>12.86</v>
      </c>
      <c r="T4844" s="8"/>
      <c r="U4844" s="8">
        <v>38.85</v>
      </c>
      <c r="V4844" s="8"/>
      <c r="W4844" s="8"/>
      <c r="X4844" s="8"/>
      <c r="Y4844" s="8"/>
      <c r="Z4844" s="8">
        <v>485.92</v>
      </c>
      <c r="AA4844" s="8"/>
      <c r="AB4844" s="8">
        <f>1006*24.27/1000</f>
        <v>24.415620000000001</v>
      </c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11"/>
      <c r="AQ4844" s="8"/>
      <c r="AR4844" s="8"/>
      <c r="AS4844" s="8"/>
      <c r="AT4844" s="8">
        <v>1404.86</v>
      </c>
      <c r="AU4844" s="8"/>
      <c r="AV4844" s="8"/>
      <c r="AW4844" s="8">
        <v>6.93</v>
      </c>
      <c r="AX4844" s="8"/>
      <c r="AY4844" s="8"/>
      <c r="AZ4844" s="8"/>
      <c r="BA4844" s="8"/>
      <c r="BB4844" s="8"/>
      <c r="BC4844" s="8"/>
      <c r="BD4844" s="8"/>
      <c r="BE4844" s="8"/>
      <c r="BF4844" s="8">
        <v>109.26</v>
      </c>
      <c r="BG4844" s="8">
        <v>102.44</v>
      </c>
      <c r="BH4844" s="9">
        <f t="shared" si="675"/>
        <v>2424.2200000000003</v>
      </c>
      <c r="BI4844" s="9">
        <f t="shared" si="676"/>
        <v>4.12</v>
      </c>
      <c r="BJ4844" s="9">
        <f t="shared" si="677"/>
        <v>12.86</v>
      </c>
      <c r="BK4844" s="9">
        <f t="shared" si="678"/>
        <v>38.85</v>
      </c>
      <c r="BL4844" s="9">
        <f t="shared" si="679"/>
        <v>485.92</v>
      </c>
      <c r="BM4844" s="9">
        <f t="shared" si="680"/>
        <v>24.415620000000001</v>
      </c>
      <c r="BN4844" s="9">
        <f t="shared" si="681"/>
        <v>1404.86</v>
      </c>
      <c r="BO4844" s="9">
        <f t="shared" si="682"/>
        <v>6.93</v>
      </c>
      <c r="BP4844" s="9">
        <f t="shared" si="683"/>
        <v>109.26</v>
      </c>
    </row>
    <row r="4845" spans="1:68">
      <c r="A4845" s="6">
        <v>45475</v>
      </c>
      <c r="B4845" s="7">
        <v>8362</v>
      </c>
      <c r="C4845" s="8">
        <v>891.24</v>
      </c>
      <c r="D4845" s="8"/>
      <c r="E4845" s="8">
        <v>381.51</v>
      </c>
      <c r="F4845" s="8"/>
      <c r="G4845" s="8"/>
      <c r="H4845" s="8"/>
      <c r="I4845" s="8"/>
      <c r="J4845" s="8"/>
      <c r="K4845" s="8"/>
      <c r="L4845" s="8"/>
      <c r="M4845" s="8"/>
      <c r="N4845" s="8"/>
      <c r="O4845" s="8">
        <v>2.17</v>
      </c>
      <c r="P4845" s="8"/>
      <c r="Q4845" s="11"/>
      <c r="R4845" s="11"/>
      <c r="S4845" s="8">
        <v>6.75</v>
      </c>
      <c r="T4845" s="8"/>
      <c r="U4845" s="8">
        <v>20.38</v>
      </c>
      <c r="V4845" s="8"/>
      <c r="W4845" s="8"/>
      <c r="X4845" s="8"/>
      <c r="Y4845" s="8"/>
      <c r="Z4845" s="8">
        <v>254.94</v>
      </c>
      <c r="AA4845" s="8"/>
      <c r="AB4845" s="8">
        <f>1006*12.73/1000</f>
        <v>12.806380000000001</v>
      </c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11"/>
      <c r="AQ4845" s="8"/>
      <c r="AR4845" s="8"/>
      <c r="AS4845" s="8"/>
      <c r="AT4845" s="8">
        <v>736.29</v>
      </c>
      <c r="AU4845" s="8"/>
      <c r="AV4845" s="8"/>
      <c r="AW4845" s="8"/>
      <c r="AX4845" s="8"/>
      <c r="AY4845" s="8"/>
      <c r="AZ4845" s="8"/>
      <c r="BA4845" s="8"/>
      <c r="BB4845" s="8"/>
      <c r="BC4845" s="8">
        <v>3.31</v>
      </c>
      <c r="BD4845" s="8"/>
      <c r="BE4845" s="8"/>
      <c r="BF4845" s="8">
        <v>57.35</v>
      </c>
      <c r="BG4845" s="8">
        <v>53.5</v>
      </c>
      <c r="BH4845" s="9">
        <f t="shared" si="675"/>
        <v>1272.75</v>
      </c>
      <c r="BI4845" s="9">
        <f t="shared" si="676"/>
        <v>2.17</v>
      </c>
      <c r="BJ4845" s="9">
        <f t="shared" si="677"/>
        <v>6.75</v>
      </c>
      <c r="BK4845" s="9">
        <f t="shared" si="678"/>
        <v>20.38</v>
      </c>
      <c r="BL4845" s="9">
        <f t="shared" si="679"/>
        <v>254.94</v>
      </c>
      <c r="BM4845" s="9">
        <f t="shared" si="680"/>
        <v>12.806380000000001</v>
      </c>
      <c r="BN4845" s="9">
        <f t="shared" si="681"/>
        <v>736.29</v>
      </c>
      <c r="BO4845" s="9">
        <f t="shared" si="682"/>
        <v>3.31</v>
      </c>
      <c r="BP4845" s="9">
        <f t="shared" si="683"/>
        <v>57.35</v>
      </c>
    </row>
    <row r="4846" spans="1:68">
      <c r="A4846" s="6">
        <v>45475</v>
      </c>
      <c r="B4846" s="7">
        <v>3310</v>
      </c>
      <c r="C4846" s="8"/>
      <c r="D4846" s="8">
        <v>552.55999999999995</v>
      </c>
      <c r="E4846" s="8"/>
      <c r="F4846" s="8"/>
      <c r="G4846" s="8"/>
      <c r="H4846" s="8"/>
      <c r="I4846" s="8"/>
      <c r="J4846" s="8"/>
      <c r="K4846" s="8"/>
      <c r="L4846" s="8"/>
      <c r="M4846" s="8">
        <v>1.1000000000000001</v>
      </c>
      <c r="N4846" s="8"/>
      <c r="O4846" s="8"/>
      <c r="P4846" s="8"/>
      <c r="Q4846" s="11"/>
      <c r="R4846" s="11"/>
      <c r="S4846" s="8">
        <v>0.83</v>
      </c>
      <c r="T4846" s="8"/>
      <c r="U4846" s="8">
        <v>4.99</v>
      </c>
      <c r="V4846" s="8"/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>
        <v>5.58</v>
      </c>
      <c r="AH4846" s="8"/>
      <c r="AI4846" s="8"/>
      <c r="AJ4846" s="8"/>
      <c r="AK4846" s="8"/>
      <c r="AL4846" s="8"/>
      <c r="AM4846" s="8"/>
      <c r="AN4846" s="8"/>
      <c r="AO4846" s="8"/>
      <c r="AP4846" s="11"/>
      <c r="AQ4846" s="8"/>
      <c r="AR4846" s="8"/>
      <c r="AS4846" s="8"/>
      <c r="AT4846" s="8">
        <v>147.82</v>
      </c>
      <c r="AU4846" s="8">
        <v>74.040000000000006</v>
      </c>
      <c r="AV4846" s="8"/>
      <c r="AW4846" s="8"/>
      <c r="AX4846" s="8"/>
      <c r="AY4846" s="8"/>
      <c r="AZ4846" s="8"/>
      <c r="BA4846" s="8"/>
      <c r="BB4846" s="8"/>
      <c r="BC4846" s="8"/>
      <c r="BD4846" s="8"/>
      <c r="BE4846" s="8"/>
      <c r="BF4846" s="8"/>
      <c r="BG4846" s="8">
        <v>15.42</v>
      </c>
      <c r="BH4846" s="9">
        <f t="shared" si="675"/>
        <v>552.55999999999995</v>
      </c>
      <c r="BI4846" s="9">
        <f t="shared" si="676"/>
        <v>1.1000000000000001</v>
      </c>
      <c r="BJ4846" s="9">
        <f t="shared" si="677"/>
        <v>0.83</v>
      </c>
      <c r="BK4846" s="9">
        <f t="shared" si="678"/>
        <v>4.99</v>
      </c>
      <c r="BL4846" s="9">
        <f t="shared" si="679"/>
        <v>0</v>
      </c>
      <c r="BM4846" s="9">
        <f t="shared" si="680"/>
        <v>5.58</v>
      </c>
      <c r="BN4846" s="9">
        <f t="shared" si="681"/>
        <v>221.86</v>
      </c>
      <c r="BO4846" s="9">
        <f t="shared" si="682"/>
        <v>0</v>
      </c>
      <c r="BP4846" s="9">
        <f t="shared" si="683"/>
        <v>0</v>
      </c>
    </row>
    <row r="4847" spans="1:68">
      <c r="A4847" s="6">
        <v>45476</v>
      </c>
      <c r="B4847" s="7">
        <v>3122</v>
      </c>
      <c r="C4847" s="8">
        <v>759.9</v>
      </c>
      <c r="D4847" s="8"/>
      <c r="E4847" s="8"/>
      <c r="F4847" s="8"/>
      <c r="G4847" s="8"/>
      <c r="H4847" s="8"/>
      <c r="I4847" s="8"/>
      <c r="J4847" s="8"/>
      <c r="K4847" s="8"/>
      <c r="L4847" s="8"/>
      <c r="M4847" s="8">
        <v>1.45</v>
      </c>
      <c r="N4847" s="8">
        <v>1.44</v>
      </c>
      <c r="O4847" s="8"/>
      <c r="P4847" s="8"/>
      <c r="Q4847" s="11"/>
      <c r="R4847" s="11"/>
      <c r="S4847" s="8">
        <v>3.12</v>
      </c>
      <c r="T4847" s="8"/>
      <c r="U4847" s="8">
        <v>7.61</v>
      </c>
      <c r="V4847" s="8"/>
      <c r="W4847" s="8"/>
      <c r="X4847" s="8"/>
      <c r="Y4847" s="8"/>
      <c r="Z4847" s="8"/>
      <c r="AA4847" s="8"/>
      <c r="AB4847" s="8"/>
      <c r="AC4847" s="8">
        <v>3.04</v>
      </c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11"/>
      <c r="AQ4847" s="8"/>
      <c r="AR4847" s="8"/>
      <c r="AS4847" s="8"/>
      <c r="AT4847" s="8">
        <v>336.97</v>
      </c>
      <c r="AU4847" s="8"/>
      <c r="AV4847" s="8">
        <v>25.84</v>
      </c>
      <c r="AW4847" s="8"/>
      <c r="AX4847" s="8"/>
      <c r="AY4847" s="8"/>
      <c r="AZ4847" s="8"/>
      <c r="BA4847" s="8"/>
      <c r="BB4847" s="8"/>
      <c r="BC4847" s="8"/>
      <c r="BD4847" s="8"/>
      <c r="BE4847" s="8"/>
      <c r="BF4847" s="8"/>
      <c r="BG4847" s="8">
        <v>24.7</v>
      </c>
      <c r="BH4847" s="9">
        <f t="shared" si="675"/>
        <v>759.9</v>
      </c>
      <c r="BI4847" s="9">
        <f t="shared" si="676"/>
        <v>2.8899999999999997</v>
      </c>
      <c r="BJ4847" s="9">
        <f t="shared" si="677"/>
        <v>3.12</v>
      </c>
      <c r="BK4847" s="9">
        <f t="shared" si="678"/>
        <v>7.61</v>
      </c>
      <c r="BL4847" s="9">
        <f t="shared" si="679"/>
        <v>0</v>
      </c>
      <c r="BM4847" s="9">
        <f t="shared" si="680"/>
        <v>3.04</v>
      </c>
      <c r="BN4847" s="9">
        <f t="shared" si="681"/>
        <v>336.97</v>
      </c>
      <c r="BO4847" s="9">
        <f t="shared" si="682"/>
        <v>25.84</v>
      </c>
      <c r="BP4847" s="9">
        <f t="shared" si="683"/>
        <v>0</v>
      </c>
    </row>
    <row r="4848" spans="1:68">
      <c r="A4848" s="6">
        <v>45476</v>
      </c>
      <c r="B4848" s="7">
        <v>3101</v>
      </c>
      <c r="C4848" s="8">
        <v>642.72</v>
      </c>
      <c r="D4848" s="8"/>
      <c r="E4848" s="8"/>
      <c r="F4848" s="8"/>
      <c r="G4848" s="8"/>
      <c r="H4848" s="8"/>
      <c r="I4848" s="8"/>
      <c r="J4848" s="8"/>
      <c r="K4848" s="8"/>
      <c r="L4848" s="8"/>
      <c r="M4848" s="8">
        <v>1.69</v>
      </c>
      <c r="N4848" s="8"/>
      <c r="O4848" s="8"/>
      <c r="P4848" s="8"/>
      <c r="Q4848" s="11"/>
      <c r="R4848" s="11"/>
      <c r="S4848" s="8">
        <v>3.73</v>
      </c>
      <c r="T4848" s="8"/>
      <c r="U4848" s="8">
        <v>10.27</v>
      </c>
      <c r="V4848" s="8"/>
      <c r="W4848" s="8"/>
      <c r="X4848" s="8"/>
      <c r="Y4848" s="8"/>
      <c r="Z4848" s="8"/>
      <c r="AA4848" s="8"/>
      <c r="AB4848" s="8"/>
      <c r="AC4848" s="8">
        <v>2.57</v>
      </c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11"/>
      <c r="AQ4848" s="8"/>
      <c r="AR4848" s="8"/>
      <c r="AS4848" s="8"/>
      <c r="AT4848" s="8">
        <v>430.69</v>
      </c>
      <c r="AU4848" s="8"/>
      <c r="AV4848" s="8"/>
      <c r="AW4848" s="8">
        <v>13.67</v>
      </c>
      <c r="AX4848" s="8"/>
      <c r="AY4848" s="8"/>
      <c r="AZ4848" s="8"/>
      <c r="BA4848" s="8"/>
      <c r="BB4848" s="8"/>
      <c r="BC4848" s="8"/>
      <c r="BD4848" s="8"/>
      <c r="BE4848" s="8"/>
      <c r="BF4848" s="8">
        <v>83.36</v>
      </c>
      <c r="BG4848" s="8">
        <v>33.01</v>
      </c>
      <c r="BH4848" s="9">
        <f t="shared" si="675"/>
        <v>642.72</v>
      </c>
      <c r="BI4848" s="9">
        <f t="shared" si="676"/>
        <v>1.69</v>
      </c>
      <c r="BJ4848" s="9">
        <f t="shared" si="677"/>
        <v>3.73</v>
      </c>
      <c r="BK4848" s="9">
        <f t="shared" si="678"/>
        <v>10.27</v>
      </c>
      <c r="BL4848" s="9">
        <f t="shared" si="679"/>
        <v>0</v>
      </c>
      <c r="BM4848" s="9">
        <f t="shared" si="680"/>
        <v>2.57</v>
      </c>
      <c r="BN4848" s="9">
        <f t="shared" si="681"/>
        <v>430.69</v>
      </c>
      <c r="BO4848" s="9">
        <f t="shared" si="682"/>
        <v>13.67</v>
      </c>
      <c r="BP4848" s="9">
        <f t="shared" si="683"/>
        <v>83.36</v>
      </c>
    </row>
    <row r="4849" spans="1:68">
      <c r="A4849" s="6">
        <v>45476</v>
      </c>
      <c r="B4849" s="7">
        <v>3602</v>
      </c>
      <c r="C4849" s="8">
        <v>566.53</v>
      </c>
      <c r="D4849" s="8"/>
      <c r="E4849" s="8"/>
      <c r="F4849" s="8"/>
      <c r="G4849" s="8">
        <v>848.59</v>
      </c>
      <c r="H4849" s="8"/>
      <c r="I4849" s="8"/>
      <c r="J4849" s="8"/>
      <c r="K4849" s="8"/>
      <c r="L4849" s="8"/>
      <c r="M4849" s="8">
        <v>1.71</v>
      </c>
      <c r="N4849" s="8"/>
      <c r="O4849" s="8"/>
      <c r="P4849" s="8"/>
      <c r="Q4849" s="11"/>
      <c r="R4849" s="11"/>
      <c r="S4849" s="8">
        <v>5.9</v>
      </c>
      <c r="T4849" s="8"/>
      <c r="U4849" s="8">
        <v>11.36</v>
      </c>
      <c r="V4849" s="8">
        <f>847*16.2/1000</f>
        <v>13.721399999999999</v>
      </c>
      <c r="W4849" s="8"/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11"/>
      <c r="AQ4849" s="8"/>
      <c r="AR4849" s="8"/>
      <c r="AS4849" s="8"/>
      <c r="AT4849" s="8">
        <v>572.09</v>
      </c>
      <c r="AU4849" s="8"/>
      <c r="AV4849" s="8"/>
      <c r="AW4849" s="8">
        <v>36.65</v>
      </c>
      <c r="AX4849" s="8"/>
      <c r="AY4849" s="8"/>
      <c r="AZ4849" s="8"/>
      <c r="BA4849" s="8"/>
      <c r="BB4849" s="8"/>
      <c r="BC4849" s="8"/>
      <c r="BD4849" s="8"/>
      <c r="BE4849" s="8"/>
      <c r="BF4849" s="8">
        <v>45.42</v>
      </c>
      <c r="BG4849" s="8">
        <v>42.67</v>
      </c>
      <c r="BH4849" s="9">
        <f t="shared" si="675"/>
        <v>1415.12</v>
      </c>
      <c r="BI4849" s="9">
        <f t="shared" si="676"/>
        <v>1.71</v>
      </c>
      <c r="BJ4849" s="9">
        <f t="shared" si="677"/>
        <v>5.9</v>
      </c>
      <c r="BK4849" s="9">
        <f t="shared" si="678"/>
        <v>25.081399999999999</v>
      </c>
      <c r="BL4849" s="9">
        <f t="shared" si="679"/>
        <v>0</v>
      </c>
      <c r="BM4849" s="9">
        <f t="shared" si="680"/>
        <v>0</v>
      </c>
      <c r="BN4849" s="9">
        <f t="shared" si="681"/>
        <v>572.09</v>
      </c>
      <c r="BO4849" s="9">
        <f t="shared" si="682"/>
        <v>36.65</v>
      </c>
      <c r="BP4849" s="9">
        <f t="shared" si="683"/>
        <v>45.42</v>
      </c>
    </row>
    <row r="4850" spans="1:68">
      <c r="A4850" s="6">
        <v>45476</v>
      </c>
      <c r="B4850" s="7">
        <v>3083</v>
      </c>
      <c r="C4850" s="8"/>
      <c r="D4850" s="8">
        <f>94.64+793.68+369.94</f>
        <v>1258.26</v>
      </c>
      <c r="E4850" s="8"/>
      <c r="F4850" s="8"/>
      <c r="G4850" s="8"/>
      <c r="H4850" s="8"/>
      <c r="I4850" s="8">
        <f>219.64+1847.7+863.12</f>
        <v>2930.46</v>
      </c>
      <c r="J4850" s="8"/>
      <c r="K4850" s="8"/>
      <c r="L4850" s="8"/>
      <c r="M4850" s="8"/>
      <c r="N4850" s="8">
        <f>2.04+17.16+8.01</f>
        <v>27.21</v>
      </c>
      <c r="O4850" s="8"/>
      <c r="P4850" s="8"/>
      <c r="Q4850" s="11"/>
      <c r="R4850" s="11"/>
      <c r="S4850" s="8">
        <f>0.22+1.84+0.86</f>
        <v>2.92</v>
      </c>
      <c r="T4850" s="8"/>
      <c r="U4850" s="8"/>
      <c r="V4850" s="8"/>
      <c r="W4850" s="8">
        <f>2.51+21.17+9.88</f>
        <v>33.56</v>
      </c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>
        <f>1.25+10.51+4.91</f>
        <v>16.670000000000002</v>
      </c>
      <c r="AN4850" s="8">
        <f>1874*31.04/1000</f>
        <v>58.168959999999998</v>
      </c>
      <c r="AO4850" s="8"/>
      <c r="AP4850" s="11"/>
      <c r="AQ4850" s="8"/>
      <c r="AR4850" s="8">
        <f>3472*31.04/1000</f>
        <v>107.77087999999999</v>
      </c>
      <c r="AS4850" s="8"/>
      <c r="AT4850" s="8">
        <f>147.81+1242.46+580.81</f>
        <v>1971.08</v>
      </c>
      <c r="AU4850" s="8"/>
      <c r="AV4850" s="8"/>
      <c r="AW4850" s="8"/>
      <c r="AX4850" s="8"/>
      <c r="AY4850" s="8"/>
      <c r="AZ4850" s="8"/>
      <c r="BA4850" s="8"/>
      <c r="BB4850" s="8"/>
      <c r="BC4850" s="8"/>
      <c r="BD4850" s="8"/>
      <c r="BE4850" s="8"/>
      <c r="BF4850" s="8"/>
      <c r="BG4850" s="8">
        <f>11.8+98.59+45.99</f>
        <v>156.38</v>
      </c>
      <c r="BH4850" s="9">
        <f t="shared" si="675"/>
        <v>4188.72</v>
      </c>
      <c r="BI4850" s="9">
        <f t="shared" si="676"/>
        <v>27.21</v>
      </c>
      <c r="BJ4850" s="9">
        <f t="shared" si="677"/>
        <v>2.92</v>
      </c>
      <c r="BK4850" s="9">
        <f t="shared" si="678"/>
        <v>33.56</v>
      </c>
      <c r="BL4850" s="9">
        <f t="shared" si="679"/>
        <v>0</v>
      </c>
      <c r="BM4850" s="9">
        <f t="shared" si="680"/>
        <v>182.60983999999999</v>
      </c>
      <c r="BN4850" s="9">
        <f t="shared" si="681"/>
        <v>1971.08</v>
      </c>
      <c r="BO4850" s="9">
        <f t="shared" si="682"/>
        <v>0</v>
      </c>
      <c r="BP4850" s="9">
        <f t="shared" si="683"/>
        <v>0</v>
      </c>
    </row>
    <row r="4851" spans="1:68">
      <c r="A4851" s="6">
        <v>45476</v>
      </c>
      <c r="B4851" s="7">
        <v>8360</v>
      </c>
      <c r="C4851" s="8">
        <v>1671.66</v>
      </c>
      <c r="D4851" s="8"/>
      <c r="E4851" s="8">
        <v>717.2</v>
      </c>
      <c r="F4851" s="8"/>
      <c r="G4851" s="8"/>
      <c r="H4851" s="8"/>
      <c r="I4851" s="8"/>
      <c r="J4851" s="8"/>
      <c r="K4851" s="8"/>
      <c r="L4851" s="8"/>
      <c r="M4851" s="8"/>
      <c r="N4851" s="8"/>
      <c r="O4851" s="8">
        <v>4.0599999999999996</v>
      </c>
      <c r="P4851" s="8"/>
      <c r="Q4851" s="11"/>
      <c r="R4851" s="11"/>
      <c r="S4851" s="8">
        <v>12.66</v>
      </c>
      <c r="T4851" s="8"/>
      <c r="U4851" s="8">
        <v>38.270000000000003</v>
      </c>
      <c r="V4851" s="8"/>
      <c r="W4851" s="8"/>
      <c r="X4851" s="8"/>
      <c r="Y4851" s="8"/>
      <c r="Z4851" s="8">
        <v>478.1</v>
      </c>
      <c r="AA4851" s="8"/>
      <c r="AB4851" s="8">
        <f>1023*23.9/1000</f>
        <v>24.449699999999996</v>
      </c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11"/>
      <c r="AQ4851" s="8"/>
      <c r="AR4851" s="8"/>
      <c r="AS4851" s="8"/>
      <c r="AT4851" s="8">
        <v>1383.53</v>
      </c>
      <c r="AU4851" s="8"/>
      <c r="AV4851" s="8"/>
      <c r="AW4851" s="8">
        <v>6.98</v>
      </c>
      <c r="AX4851" s="8"/>
      <c r="AY4851" s="8"/>
      <c r="AZ4851" s="8"/>
      <c r="BA4851" s="8"/>
      <c r="BB4851" s="8"/>
      <c r="BC4851" s="8"/>
      <c r="BD4851" s="8"/>
      <c r="BE4851" s="8"/>
      <c r="BF4851" s="8">
        <v>107.54</v>
      </c>
      <c r="BG4851" s="8">
        <v>100.28</v>
      </c>
      <c r="BH4851" s="9">
        <f t="shared" si="675"/>
        <v>2388.86</v>
      </c>
      <c r="BI4851" s="9">
        <f t="shared" si="676"/>
        <v>4.0599999999999996</v>
      </c>
      <c r="BJ4851" s="9">
        <f t="shared" si="677"/>
        <v>12.66</v>
      </c>
      <c r="BK4851" s="9">
        <f t="shared" si="678"/>
        <v>38.270000000000003</v>
      </c>
      <c r="BL4851" s="9">
        <f t="shared" si="679"/>
        <v>478.1</v>
      </c>
      <c r="BM4851" s="9">
        <f t="shared" si="680"/>
        <v>24.449699999999996</v>
      </c>
      <c r="BN4851" s="9">
        <f t="shared" si="681"/>
        <v>1383.53</v>
      </c>
      <c r="BO4851" s="9">
        <f t="shared" si="682"/>
        <v>6.98</v>
      </c>
      <c r="BP4851" s="9">
        <f t="shared" si="683"/>
        <v>107.54</v>
      </c>
    </row>
    <row r="4852" spans="1:68">
      <c r="A4852" s="6">
        <v>45476</v>
      </c>
      <c r="B4852" s="7">
        <v>8360</v>
      </c>
      <c r="C4852" s="8">
        <v>1713.84</v>
      </c>
      <c r="D4852" s="8"/>
      <c r="E4852" s="8">
        <v>735.68</v>
      </c>
      <c r="F4852" s="8"/>
      <c r="G4852" s="8"/>
      <c r="H4852" s="8"/>
      <c r="I4852" s="8"/>
      <c r="J4852" s="8"/>
      <c r="K4852" s="8"/>
      <c r="L4852" s="8"/>
      <c r="M4852" s="8"/>
      <c r="N4852" s="8"/>
      <c r="O4852" s="8">
        <v>4.17</v>
      </c>
      <c r="P4852" s="8"/>
      <c r="Q4852" s="11"/>
      <c r="R4852" s="11"/>
      <c r="S4852" s="8">
        <v>12.99</v>
      </c>
      <c r="T4852" s="8"/>
      <c r="U4852" s="8">
        <v>39.229999999999997</v>
      </c>
      <c r="V4852" s="8"/>
      <c r="W4852" s="8"/>
      <c r="X4852" s="8"/>
      <c r="Y4852" s="8"/>
      <c r="Z4852" s="8">
        <v>490.29</v>
      </c>
      <c r="AA4852" s="8"/>
      <c r="AB4852" s="8">
        <f>1023*24.5/1000</f>
        <v>25.063500000000001</v>
      </c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11"/>
      <c r="AQ4852" s="8"/>
      <c r="AR4852" s="8"/>
      <c r="AS4852" s="8"/>
      <c r="AT4852" s="8">
        <v>1418.04</v>
      </c>
      <c r="AU4852" s="8"/>
      <c r="AV4852" s="8"/>
      <c r="AW4852" s="8">
        <v>7.28</v>
      </c>
      <c r="AX4852" s="8"/>
      <c r="AY4852" s="8"/>
      <c r="AZ4852" s="8"/>
      <c r="BA4852" s="8"/>
      <c r="BB4852" s="8"/>
      <c r="BC4852" s="8"/>
      <c r="BD4852" s="8"/>
      <c r="BE4852" s="8"/>
      <c r="BF4852" s="8">
        <v>110.44</v>
      </c>
      <c r="BG4852" s="8">
        <v>102.86</v>
      </c>
      <c r="BH4852" s="9">
        <f t="shared" si="675"/>
        <v>2449.52</v>
      </c>
      <c r="BI4852" s="9">
        <f t="shared" si="676"/>
        <v>4.17</v>
      </c>
      <c r="BJ4852" s="9">
        <f t="shared" si="677"/>
        <v>12.99</v>
      </c>
      <c r="BK4852" s="9">
        <f t="shared" si="678"/>
        <v>39.229999999999997</v>
      </c>
      <c r="BL4852" s="9">
        <f t="shared" si="679"/>
        <v>490.29</v>
      </c>
      <c r="BM4852" s="9">
        <f t="shared" si="680"/>
        <v>25.063500000000001</v>
      </c>
      <c r="BN4852" s="9">
        <f t="shared" si="681"/>
        <v>1418.04</v>
      </c>
      <c r="BO4852" s="9">
        <f t="shared" si="682"/>
        <v>7.28</v>
      </c>
      <c r="BP4852" s="9">
        <f t="shared" si="683"/>
        <v>110.44</v>
      </c>
    </row>
    <row r="4853" spans="1:68">
      <c r="A4853" s="6">
        <v>45478</v>
      </c>
      <c r="B4853" s="7">
        <v>3704</v>
      </c>
      <c r="C4853" s="8">
        <v>606.66</v>
      </c>
      <c r="D4853" s="8">
        <v>910.14</v>
      </c>
      <c r="E4853" s="8"/>
      <c r="F4853" s="8"/>
      <c r="G4853" s="8"/>
      <c r="H4853" s="8"/>
      <c r="I4853" s="8"/>
      <c r="J4853" s="8"/>
      <c r="K4853" s="8"/>
      <c r="L4853" s="8"/>
      <c r="M4853" s="8">
        <v>4.55</v>
      </c>
      <c r="N4853" s="8"/>
      <c r="O4853" s="8"/>
      <c r="P4853" s="8"/>
      <c r="Q4853" s="11"/>
      <c r="R4853" s="11"/>
      <c r="S4853" s="8">
        <v>5.31</v>
      </c>
      <c r="T4853" s="8"/>
      <c r="U4853" s="8">
        <v>11.38</v>
      </c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>
        <v>18.170000000000002</v>
      </c>
      <c r="AN4853" s="8"/>
      <c r="AO4853" s="8"/>
      <c r="AP4853" s="11"/>
      <c r="AQ4853" s="8"/>
      <c r="AR4853" s="8"/>
      <c r="AS4853" s="8"/>
      <c r="AT4853" s="8">
        <v>262.88</v>
      </c>
      <c r="AU4853" s="8">
        <v>131.84</v>
      </c>
      <c r="AV4853" s="8"/>
      <c r="AW4853" s="8"/>
      <c r="AX4853" s="8"/>
      <c r="AY4853" s="8"/>
      <c r="AZ4853" s="8"/>
      <c r="BA4853" s="8"/>
      <c r="BB4853" s="8"/>
      <c r="BC4853" s="8"/>
      <c r="BD4853" s="8"/>
      <c r="BE4853" s="8"/>
      <c r="BF4853" s="8"/>
      <c r="BG4853" s="8">
        <v>24.29</v>
      </c>
      <c r="BH4853" s="9">
        <f t="shared" si="675"/>
        <v>1516.8</v>
      </c>
      <c r="BI4853" s="9">
        <f t="shared" si="676"/>
        <v>4.55</v>
      </c>
      <c r="BJ4853" s="9">
        <f t="shared" si="677"/>
        <v>5.31</v>
      </c>
      <c r="BK4853" s="9">
        <f t="shared" si="678"/>
        <v>11.38</v>
      </c>
      <c r="BL4853" s="9">
        <f t="shared" si="679"/>
        <v>0</v>
      </c>
      <c r="BM4853" s="9">
        <f t="shared" si="680"/>
        <v>18.170000000000002</v>
      </c>
      <c r="BN4853" s="9">
        <f t="shared" si="681"/>
        <v>394.72</v>
      </c>
      <c r="BO4853" s="9">
        <f t="shared" si="682"/>
        <v>0</v>
      </c>
      <c r="BP4853" s="9">
        <f t="shared" si="683"/>
        <v>0</v>
      </c>
    </row>
    <row r="4854" spans="1:68">
      <c r="A4854" s="6">
        <v>45478</v>
      </c>
      <c r="B4854" s="7">
        <v>3702</v>
      </c>
      <c r="C4854" s="8">
        <v>492.69</v>
      </c>
      <c r="D4854" s="8">
        <v>328.5</v>
      </c>
      <c r="E4854" s="8"/>
      <c r="F4854" s="8"/>
      <c r="G4854" s="8"/>
      <c r="H4854" s="8"/>
      <c r="I4854" s="8"/>
      <c r="J4854" s="8"/>
      <c r="K4854" s="8"/>
      <c r="L4854" s="8"/>
      <c r="M4854" s="8">
        <v>1.64</v>
      </c>
      <c r="N4854" s="8"/>
      <c r="O4854" s="8"/>
      <c r="P4854" s="8"/>
      <c r="Q4854" s="11"/>
      <c r="R4854" s="11"/>
      <c r="S4854" s="8">
        <v>3.87</v>
      </c>
      <c r="T4854" s="8"/>
      <c r="U4854" s="8">
        <v>6.16</v>
      </c>
      <c r="V4854" s="8"/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11"/>
      <c r="AQ4854" s="8"/>
      <c r="AR4854" s="8"/>
      <c r="AS4854" s="8"/>
      <c r="AT4854" s="8">
        <v>200.34</v>
      </c>
      <c r="AU4854" s="8">
        <v>100.2</v>
      </c>
      <c r="AV4854" s="8"/>
      <c r="AW4854" s="8">
        <v>1.8</v>
      </c>
      <c r="AX4854" s="8"/>
      <c r="AY4854" s="8"/>
      <c r="AZ4854" s="8"/>
      <c r="BA4854" s="8"/>
      <c r="BB4854" s="8"/>
      <c r="BC4854" s="8"/>
      <c r="BD4854" s="8"/>
      <c r="BE4854" s="8"/>
      <c r="BF4854" s="8"/>
      <c r="BG4854" s="8">
        <v>21.03</v>
      </c>
      <c r="BH4854" s="9">
        <f t="shared" si="675"/>
        <v>821.19</v>
      </c>
      <c r="BI4854" s="9">
        <f t="shared" si="676"/>
        <v>1.64</v>
      </c>
      <c r="BJ4854" s="9">
        <f t="shared" si="677"/>
        <v>3.87</v>
      </c>
      <c r="BK4854" s="9">
        <f t="shared" si="678"/>
        <v>6.16</v>
      </c>
      <c r="BL4854" s="9">
        <f t="shared" si="679"/>
        <v>0</v>
      </c>
      <c r="BM4854" s="9">
        <f t="shared" si="680"/>
        <v>0</v>
      </c>
      <c r="BN4854" s="9">
        <f t="shared" si="681"/>
        <v>300.54000000000002</v>
      </c>
      <c r="BO4854" s="9">
        <f t="shared" si="682"/>
        <v>1.8</v>
      </c>
      <c r="BP4854" s="9">
        <f t="shared" si="683"/>
        <v>0</v>
      </c>
    </row>
    <row r="4855" spans="1:68">
      <c r="A4855" s="6">
        <v>45478</v>
      </c>
      <c r="B4855" s="7">
        <v>3155</v>
      </c>
      <c r="C4855" s="8">
        <v>404.38</v>
      </c>
      <c r="D4855" s="8">
        <v>405.81</v>
      </c>
      <c r="E4855" s="8"/>
      <c r="F4855" s="8"/>
      <c r="G4855" s="8"/>
      <c r="H4855" s="8"/>
      <c r="I4855" s="8"/>
      <c r="J4855" s="8"/>
      <c r="K4855" s="8"/>
      <c r="L4855" s="8"/>
      <c r="M4855" s="8">
        <v>2.35</v>
      </c>
      <c r="N4855" s="8"/>
      <c r="O4855" s="8"/>
      <c r="P4855" s="8"/>
      <c r="Q4855" s="11"/>
      <c r="R4855" s="11"/>
      <c r="S4855" s="8">
        <v>4.07</v>
      </c>
      <c r="T4855" s="8"/>
      <c r="U4855" s="8">
        <v>13.01</v>
      </c>
      <c r="V4855" s="8"/>
      <c r="W4855" s="8"/>
      <c r="X4855" s="8"/>
      <c r="Y4855" s="8"/>
      <c r="Z4855" s="8"/>
      <c r="AA4855" s="8"/>
      <c r="AB4855" s="8"/>
      <c r="AC4855" s="8">
        <v>3.25</v>
      </c>
      <c r="AD4855" s="8"/>
      <c r="AE4855" s="8"/>
      <c r="AF4855" s="8"/>
      <c r="AG4855" s="8">
        <v>4.04</v>
      </c>
      <c r="AH4855" s="8"/>
      <c r="AI4855" s="8"/>
      <c r="AJ4855" s="8"/>
      <c r="AK4855" s="8"/>
      <c r="AL4855" s="8"/>
      <c r="AM4855" s="8"/>
      <c r="AN4855" s="8"/>
      <c r="AO4855" s="8"/>
      <c r="AP4855" s="11"/>
      <c r="AQ4855" s="8"/>
      <c r="AR4855" s="8"/>
      <c r="AS4855" s="8"/>
      <c r="AT4855" s="8">
        <v>523.08000000000004</v>
      </c>
      <c r="AU4855" s="8"/>
      <c r="AV4855" s="8"/>
      <c r="AW4855" s="8"/>
      <c r="AX4855" s="8"/>
      <c r="AY4855" s="8"/>
      <c r="AZ4855" s="8"/>
      <c r="BA4855" s="8"/>
      <c r="BB4855" s="8"/>
      <c r="BC4855" s="8"/>
      <c r="BD4855" s="8"/>
      <c r="BE4855" s="8"/>
      <c r="BF4855" s="8">
        <v>105.75</v>
      </c>
      <c r="BG4855" s="8">
        <v>42.32</v>
      </c>
      <c r="BH4855" s="9">
        <f t="shared" si="675"/>
        <v>810.19</v>
      </c>
      <c r="BI4855" s="9">
        <f t="shared" si="676"/>
        <v>2.35</v>
      </c>
      <c r="BJ4855" s="9">
        <f t="shared" si="677"/>
        <v>4.07</v>
      </c>
      <c r="BK4855" s="9">
        <f t="shared" si="678"/>
        <v>13.01</v>
      </c>
      <c r="BL4855" s="9">
        <f t="shared" si="679"/>
        <v>0</v>
      </c>
      <c r="BM4855" s="9">
        <f t="shared" si="680"/>
        <v>7.29</v>
      </c>
      <c r="BN4855" s="9">
        <f t="shared" si="681"/>
        <v>523.08000000000004</v>
      </c>
      <c r="BO4855" s="9">
        <f t="shared" si="682"/>
        <v>0</v>
      </c>
      <c r="BP4855" s="9">
        <f t="shared" si="683"/>
        <v>105.75</v>
      </c>
    </row>
    <row r="4856" spans="1:68">
      <c r="A4856" s="6">
        <v>45478</v>
      </c>
      <c r="B4856" s="7">
        <v>3029</v>
      </c>
      <c r="C4856" s="8"/>
      <c r="D4856" s="8">
        <v>691.44</v>
      </c>
      <c r="E4856" s="8"/>
      <c r="F4856" s="8">
        <v>488.44</v>
      </c>
      <c r="G4856" s="8"/>
      <c r="H4856" s="8"/>
      <c r="I4856" s="8">
        <v>2886.62</v>
      </c>
      <c r="J4856" s="8"/>
      <c r="K4856" s="8"/>
      <c r="L4856" s="8"/>
      <c r="M4856" s="8"/>
      <c r="N4856" s="8">
        <v>32.96</v>
      </c>
      <c r="O4856" s="8"/>
      <c r="P4856" s="8"/>
      <c r="Q4856" s="11"/>
      <c r="R4856" s="11"/>
      <c r="S4856" s="8">
        <v>2.4300000000000002</v>
      </c>
      <c r="T4856" s="8"/>
      <c r="U4856" s="8"/>
      <c r="V4856" s="8"/>
      <c r="W4856" s="8">
        <v>40.72</v>
      </c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>
        <v>14.22</v>
      </c>
      <c r="AN4856" s="8">
        <f>766*27.12/1000</f>
        <v>20.77392</v>
      </c>
      <c r="AO4856" s="8"/>
      <c r="AP4856" s="11"/>
      <c r="AQ4856" s="8"/>
      <c r="AR4856" s="8">
        <f>4529*27.12/1000</f>
        <v>122.82648</v>
      </c>
      <c r="AS4856" s="8"/>
      <c r="AT4856" s="8">
        <v>1547.12</v>
      </c>
      <c r="AU4856" s="8"/>
      <c r="AV4856" s="8"/>
      <c r="AW4856" s="8"/>
      <c r="AX4856" s="8"/>
      <c r="AY4856" s="8"/>
      <c r="AZ4856" s="8"/>
      <c r="BA4856" s="8"/>
      <c r="BB4856" s="8"/>
      <c r="BC4856" s="8"/>
      <c r="BD4856" s="8"/>
      <c r="BE4856" s="8"/>
      <c r="BF4856" s="8"/>
      <c r="BG4856" s="8">
        <v>107.75</v>
      </c>
      <c r="BH4856" s="9">
        <f t="shared" si="675"/>
        <v>4066.5</v>
      </c>
      <c r="BI4856" s="9">
        <f t="shared" si="676"/>
        <v>32.96</v>
      </c>
      <c r="BJ4856" s="9">
        <f t="shared" si="677"/>
        <v>2.4300000000000002</v>
      </c>
      <c r="BK4856" s="9">
        <f t="shared" si="678"/>
        <v>40.72</v>
      </c>
      <c r="BL4856" s="9">
        <f t="shared" si="679"/>
        <v>0</v>
      </c>
      <c r="BM4856" s="9">
        <f t="shared" si="680"/>
        <v>157.82040000000001</v>
      </c>
      <c r="BN4856" s="9">
        <f t="shared" si="681"/>
        <v>1547.12</v>
      </c>
      <c r="BO4856" s="9">
        <f t="shared" si="682"/>
        <v>0</v>
      </c>
      <c r="BP4856" s="9">
        <f t="shared" si="683"/>
        <v>0</v>
      </c>
    </row>
    <row r="4857" spans="1:68">
      <c r="A4857" s="6">
        <v>45481</v>
      </c>
      <c r="B4857" s="7">
        <v>3017</v>
      </c>
      <c r="C4857" s="8"/>
      <c r="D4857" s="8">
        <v>495.95</v>
      </c>
      <c r="E4857" s="8"/>
      <c r="F4857" s="8"/>
      <c r="G4857" s="8"/>
      <c r="H4857" s="8"/>
      <c r="I4857" s="8">
        <v>683.64</v>
      </c>
      <c r="J4857" s="8"/>
      <c r="K4857" s="8"/>
      <c r="L4857" s="8"/>
      <c r="M4857" s="8"/>
      <c r="N4857" s="8">
        <v>8.5</v>
      </c>
      <c r="O4857" s="8"/>
      <c r="P4857" s="8"/>
      <c r="Q4857" s="11"/>
      <c r="R4857" s="11"/>
      <c r="S4857" s="8">
        <v>0.83</v>
      </c>
      <c r="T4857" s="8"/>
      <c r="U4857" s="8"/>
      <c r="V4857" s="8"/>
      <c r="W4857" s="8">
        <v>8.85</v>
      </c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>
        <v>4.71</v>
      </c>
      <c r="AN4857" s="8">
        <f>1205*9.82/1000</f>
        <v>11.8331</v>
      </c>
      <c r="AO4857" s="8"/>
      <c r="AP4857" s="11"/>
      <c r="AQ4857" s="8"/>
      <c r="AR4857" s="8">
        <f>4869*9.82/1000</f>
        <v>47.813580000000002</v>
      </c>
      <c r="AS4857" s="8"/>
      <c r="AT4857" s="8">
        <v>506.29</v>
      </c>
      <c r="AU4857" s="8"/>
      <c r="AV4857" s="8"/>
      <c r="AW4857" s="8"/>
      <c r="AX4857" s="8"/>
      <c r="AY4857" s="8"/>
      <c r="AZ4857" s="8"/>
      <c r="BA4857" s="8"/>
      <c r="BB4857" s="8"/>
      <c r="BC4857" s="8"/>
      <c r="BD4857" s="8"/>
      <c r="BE4857" s="8"/>
      <c r="BF4857" s="8"/>
      <c r="BG4857" s="8">
        <v>36.72</v>
      </c>
      <c r="BH4857" s="9">
        <f t="shared" si="675"/>
        <v>1179.5899999999999</v>
      </c>
      <c r="BI4857" s="9">
        <f t="shared" si="676"/>
        <v>8.5</v>
      </c>
      <c r="BJ4857" s="9">
        <f t="shared" si="677"/>
        <v>0.83</v>
      </c>
      <c r="BK4857" s="9">
        <f t="shared" si="678"/>
        <v>8.85</v>
      </c>
      <c r="BL4857" s="9">
        <f t="shared" si="679"/>
        <v>0</v>
      </c>
      <c r="BM4857" s="9">
        <f t="shared" si="680"/>
        <v>64.356679999999997</v>
      </c>
      <c r="BN4857" s="9">
        <f t="shared" si="681"/>
        <v>506.29</v>
      </c>
      <c r="BO4857" s="9">
        <f t="shared" si="682"/>
        <v>0</v>
      </c>
      <c r="BP4857" s="9">
        <f t="shared" si="683"/>
        <v>0</v>
      </c>
    </row>
    <row r="4858" spans="1:68">
      <c r="A4858" s="6">
        <v>45481</v>
      </c>
      <c r="B4858" s="7">
        <v>3025</v>
      </c>
      <c r="C4858" s="8"/>
      <c r="D4858" s="8">
        <v>127.22</v>
      </c>
      <c r="E4858" s="8"/>
      <c r="F4858" s="8"/>
      <c r="G4858" s="8"/>
      <c r="H4858" s="8"/>
      <c r="I4858" s="8">
        <v>718.54</v>
      </c>
      <c r="J4858" s="8"/>
      <c r="K4858" s="8"/>
      <c r="L4858" s="8"/>
      <c r="M4858" s="8"/>
      <c r="N4858" s="8">
        <v>4.72</v>
      </c>
      <c r="O4858" s="8"/>
      <c r="P4858" s="8"/>
      <c r="Q4858" s="11"/>
      <c r="R4858" s="11"/>
      <c r="S4858" s="8">
        <v>1.35</v>
      </c>
      <c r="T4858" s="8"/>
      <c r="U4858" s="8"/>
      <c r="V4858" s="8"/>
      <c r="W4858" s="8">
        <v>7.61</v>
      </c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>
        <v>8.4</v>
      </c>
      <c r="AN4858" s="8">
        <f>711*8.45/1000</f>
        <v>6.0079500000000001</v>
      </c>
      <c r="AO4858" s="8"/>
      <c r="AP4858" s="11"/>
      <c r="AQ4858" s="8"/>
      <c r="AR4858" s="8"/>
      <c r="AS4858" s="8">
        <f>3379*8.45/1000</f>
        <v>28.55255</v>
      </c>
      <c r="AT4858" s="8">
        <v>292.25</v>
      </c>
      <c r="AU4858" s="8"/>
      <c r="AV4858" s="8"/>
      <c r="AW4858" s="8"/>
      <c r="AX4858" s="8"/>
      <c r="AY4858" s="8"/>
      <c r="AZ4858" s="8"/>
      <c r="BA4858" s="8"/>
      <c r="BB4858" s="8"/>
      <c r="BC4858" s="8"/>
      <c r="BD4858" s="8"/>
      <c r="BE4858" s="8"/>
      <c r="BF4858" s="8"/>
      <c r="BG4858" s="8">
        <v>19.36</v>
      </c>
      <c r="BH4858" s="9">
        <f t="shared" si="675"/>
        <v>845.76</v>
      </c>
      <c r="BI4858" s="9">
        <f t="shared" si="676"/>
        <v>4.72</v>
      </c>
      <c r="BJ4858" s="9">
        <f t="shared" si="677"/>
        <v>1.35</v>
      </c>
      <c r="BK4858" s="9">
        <f t="shared" si="678"/>
        <v>7.61</v>
      </c>
      <c r="BL4858" s="9">
        <f t="shared" si="679"/>
        <v>0</v>
      </c>
      <c r="BM4858" s="9">
        <f t="shared" si="680"/>
        <v>42.960499999999996</v>
      </c>
      <c r="BN4858" s="9">
        <f t="shared" si="681"/>
        <v>292.25</v>
      </c>
      <c r="BO4858" s="9">
        <f t="shared" si="682"/>
        <v>0</v>
      </c>
      <c r="BP4858" s="9">
        <f t="shared" si="683"/>
        <v>0</v>
      </c>
    </row>
    <row r="4859" spans="1:68">
      <c r="A4859" s="6">
        <v>45481</v>
      </c>
      <c r="B4859" s="7">
        <v>3028</v>
      </c>
      <c r="C4859" s="8"/>
      <c r="D4859" s="8">
        <v>1416.04</v>
      </c>
      <c r="E4859" s="8"/>
      <c r="F4859" s="8">
        <v>1305.3900000000001</v>
      </c>
      <c r="G4859" s="8"/>
      <c r="H4859" s="8"/>
      <c r="I4859" s="8">
        <v>2950.88</v>
      </c>
      <c r="J4859" s="8"/>
      <c r="K4859" s="8"/>
      <c r="L4859" s="8"/>
      <c r="M4859" s="8"/>
      <c r="N4859" s="8">
        <v>44.23</v>
      </c>
      <c r="O4859" s="8"/>
      <c r="P4859" s="8"/>
      <c r="Q4859" s="11"/>
      <c r="R4859" s="11"/>
      <c r="S4859" s="8">
        <v>7.93</v>
      </c>
      <c r="T4859" s="8"/>
      <c r="U4859" s="8"/>
      <c r="V4859" s="8"/>
      <c r="W4859" s="8">
        <v>42.55</v>
      </c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>
        <v>56.65</v>
      </c>
      <c r="AN4859" s="8">
        <f>1074*37.8/1000</f>
        <v>40.597199999999994</v>
      </c>
      <c r="AO4859" s="8"/>
      <c r="AP4859" s="11"/>
      <c r="AQ4859" s="8"/>
      <c r="AR4859" s="8"/>
      <c r="AS4859" s="8">
        <f>4982*37.8/1000</f>
        <v>188.31959999999998</v>
      </c>
      <c r="AT4859" s="8">
        <v>1892.65</v>
      </c>
      <c r="AU4859" s="8"/>
      <c r="AV4859" s="8"/>
      <c r="AW4859" s="8"/>
      <c r="AX4859" s="8"/>
      <c r="AY4859" s="8"/>
      <c r="AZ4859" s="8"/>
      <c r="BA4859" s="8"/>
      <c r="BB4859" s="8"/>
      <c r="BC4859" s="8"/>
      <c r="BD4859" s="8"/>
      <c r="BE4859" s="8"/>
      <c r="BF4859" s="8"/>
      <c r="BG4859" s="8">
        <v>128.74</v>
      </c>
      <c r="BH4859" s="9">
        <f t="shared" si="675"/>
        <v>5672.31</v>
      </c>
      <c r="BI4859" s="9">
        <f t="shared" si="676"/>
        <v>44.23</v>
      </c>
      <c r="BJ4859" s="9">
        <f t="shared" si="677"/>
        <v>7.93</v>
      </c>
      <c r="BK4859" s="9">
        <f t="shared" si="678"/>
        <v>42.55</v>
      </c>
      <c r="BL4859" s="9">
        <f t="shared" si="679"/>
        <v>0</v>
      </c>
      <c r="BM4859" s="9">
        <f t="shared" si="680"/>
        <v>285.56679999999994</v>
      </c>
      <c r="BN4859" s="9">
        <f t="shared" si="681"/>
        <v>1892.65</v>
      </c>
      <c r="BO4859" s="9">
        <f t="shared" si="682"/>
        <v>0</v>
      </c>
      <c r="BP4859" s="9">
        <f t="shared" si="683"/>
        <v>0</v>
      </c>
    </row>
    <row r="4860" spans="1:68">
      <c r="A4860" s="6">
        <v>45481</v>
      </c>
      <c r="B4860" s="7">
        <v>3601</v>
      </c>
      <c r="C4860" s="8">
        <v>303.43</v>
      </c>
      <c r="D4860" s="8"/>
      <c r="E4860" s="8"/>
      <c r="F4860" s="8"/>
      <c r="G4860" s="8">
        <v>456.03</v>
      </c>
      <c r="H4860" s="8"/>
      <c r="I4860" s="8"/>
      <c r="J4860" s="8"/>
      <c r="K4860" s="8"/>
      <c r="L4860" s="8"/>
      <c r="M4860" s="8">
        <v>0.91</v>
      </c>
      <c r="N4860" s="8"/>
      <c r="O4860" s="8"/>
      <c r="P4860" s="8"/>
      <c r="Q4860" s="11"/>
      <c r="R4860" s="11"/>
      <c r="S4860" s="8">
        <v>3.53</v>
      </c>
      <c r="T4860" s="8"/>
      <c r="U4860" s="8">
        <v>4.5599999999999996</v>
      </c>
      <c r="V4860" s="8"/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11"/>
      <c r="AQ4860" s="8"/>
      <c r="AR4860" s="8"/>
      <c r="AS4860" s="8"/>
      <c r="AT4860" s="8">
        <v>372.63</v>
      </c>
      <c r="AU4860" s="8"/>
      <c r="AV4860" s="8"/>
      <c r="AW4860" s="8">
        <v>23.14</v>
      </c>
      <c r="AX4860" s="8"/>
      <c r="AY4860" s="8"/>
      <c r="AZ4860" s="8"/>
      <c r="BA4860" s="8"/>
      <c r="BB4860" s="8"/>
      <c r="BC4860" s="8"/>
      <c r="BD4860" s="8"/>
      <c r="BE4860" s="8"/>
      <c r="BF4860" s="8">
        <v>42.62</v>
      </c>
      <c r="BG4860" s="8">
        <v>27.16</v>
      </c>
      <c r="BH4860" s="9">
        <f t="shared" si="675"/>
        <v>759.46</v>
      </c>
      <c r="BI4860" s="9">
        <f t="shared" si="676"/>
        <v>0.91</v>
      </c>
      <c r="BJ4860" s="9">
        <f t="shared" si="677"/>
        <v>3.53</v>
      </c>
      <c r="BK4860" s="9">
        <f t="shared" si="678"/>
        <v>4.5599999999999996</v>
      </c>
      <c r="BL4860" s="9">
        <f t="shared" si="679"/>
        <v>0</v>
      </c>
      <c r="BM4860" s="9">
        <f t="shared" si="680"/>
        <v>0</v>
      </c>
      <c r="BN4860" s="9">
        <f t="shared" si="681"/>
        <v>372.63</v>
      </c>
      <c r="BO4860" s="9">
        <f t="shared" si="682"/>
        <v>23.14</v>
      </c>
      <c r="BP4860" s="9">
        <f t="shared" si="683"/>
        <v>42.62</v>
      </c>
    </row>
    <row r="4861" spans="1:68">
      <c r="A4861" s="6">
        <v>45481</v>
      </c>
      <c r="B4861" s="7">
        <v>3602</v>
      </c>
      <c r="C4861" s="8">
        <v>563.41999999999996</v>
      </c>
      <c r="D4861" s="8"/>
      <c r="E4861" s="8"/>
      <c r="F4861" s="8"/>
      <c r="G4861" s="8">
        <v>844.25</v>
      </c>
      <c r="H4861" s="8"/>
      <c r="I4861" s="8"/>
      <c r="J4861" s="8"/>
      <c r="K4861" s="8"/>
      <c r="L4861" s="8"/>
      <c r="M4861" s="8">
        <v>1.68</v>
      </c>
      <c r="N4861" s="8"/>
      <c r="O4861" s="8"/>
      <c r="P4861" s="8"/>
      <c r="Q4861" s="11"/>
      <c r="R4861" s="11"/>
      <c r="S4861" s="8">
        <v>5.87</v>
      </c>
      <c r="T4861" s="8"/>
      <c r="U4861" s="8">
        <v>11.25</v>
      </c>
      <c r="V4861" s="8">
        <f>859*16.08/1000</f>
        <v>13.812719999999999</v>
      </c>
      <c r="W4861" s="8"/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11"/>
      <c r="AQ4861" s="8"/>
      <c r="AR4861" s="8"/>
      <c r="AS4861" s="8"/>
      <c r="AT4861" s="8">
        <v>567.69000000000005</v>
      </c>
      <c r="AU4861" s="8"/>
      <c r="AV4861" s="8"/>
      <c r="AW4861" s="8">
        <v>36.39</v>
      </c>
      <c r="AX4861" s="8"/>
      <c r="AY4861" s="8"/>
      <c r="AZ4861" s="8"/>
      <c r="BA4861" s="8"/>
      <c r="BB4861" s="8"/>
      <c r="BC4861" s="8"/>
      <c r="BD4861" s="8"/>
      <c r="BE4861" s="8"/>
      <c r="BF4861" s="8">
        <v>45.1</v>
      </c>
      <c r="BG4861" s="8">
        <v>42.28</v>
      </c>
      <c r="BH4861" s="9">
        <f t="shared" si="675"/>
        <v>1407.67</v>
      </c>
      <c r="BI4861" s="9">
        <f t="shared" si="676"/>
        <v>1.68</v>
      </c>
      <c r="BJ4861" s="9">
        <f t="shared" si="677"/>
        <v>5.87</v>
      </c>
      <c r="BK4861" s="9">
        <f t="shared" si="678"/>
        <v>25.062719999999999</v>
      </c>
      <c r="BL4861" s="9">
        <f t="shared" si="679"/>
        <v>0</v>
      </c>
      <c r="BM4861" s="9">
        <f t="shared" si="680"/>
        <v>0</v>
      </c>
      <c r="BN4861" s="9">
        <f t="shared" si="681"/>
        <v>567.69000000000005</v>
      </c>
      <c r="BO4861" s="9">
        <f t="shared" si="682"/>
        <v>36.39</v>
      </c>
      <c r="BP4861" s="9">
        <f t="shared" si="683"/>
        <v>45.1</v>
      </c>
    </row>
    <row r="4862" spans="1:68">
      <c r="A4862" s="6">
        <v>45482</v>
      </c>
      <c r="B4862" s="7">
        <v>3206</v>
      </c>
      <c r="C4862" s="8">
        <v>154.56</v>
      </c>
      <c r="D4862" s="8">
        <v>271.48</v>
      </c>
      <c r="E4862" s="8">
        <v>182.04</v>
      </c>
      <c r="F4862" s="8"/>
      <c r="G4862" s="8"/>
      <c r="H4862" s="8"/>
      <c r="I4862" s="8"/>
      <c r="J4862" s="8"/>
      <c r="K4862" s="8"/>
      <c r="L4862" s="8"/>
      <c r="M4862" s="8"/>
      <c r="N4862" s="8"/>
      <c r="O4862" s="8">
        <v>1.2</v>
      </c>
      <c r="P4862" s="8"/>
      <c r="Q4862" s="11"/>
      <c r="R4862" s="11"/>
      <c r="S4862" s="8">
        <v>3.01</v>
      </c>
      <c r="T4862" s="8"/>
      <c r="U4862" s="8">
        <v>2.11</v>
      </c>
      <c r="V4862" s="8"/>
      <c r="W4862" s="8"/>
      <c r="X4862" s="8"/>
      <c r="Y4862" s="8"/>
      <c r="Z4862" s="8">
        <v>36.18</v>
      </c>
      <c r="AA4862" s="8"/>
      <c r="AB4862" s="8">
        <f>812*3.75/1000</f>
        <v>3.0449999999999999</v>
      </c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11"/>
      <c r="AQ4862" s="8"/>
      <c r="AR4862" s="8"/>
      <c r="AS4862" s="8"/>
      <c r="AT4862" s="8">
        <v>105.21</v>
      </c>
      <c r="AU4862" s="8">
        <v>52.42</v>
      </c>
      <c r="AV4862" s="8"/>
      <c r="AW4862" s="8">
        <v>2.29</v>
      </c>
      <c r="AX4862" s="8"/>
      <c r="AY4862" s="8"/>
      <c r="AZ4862" s="8"/>
      <c r="BA4862" s="8"/>
      <c r="BB4862" s="8"/>
      <c r="BC4862" s="8"/>
      <c r="BD4862" s="8"/>
      <c r="BE4862" s="8"/>
      <c r="BF4862" s="8"/>
      <c r="BG4862" s="8">
        <v>10.41</v>
      </c>
      <c r="BH4862" s="9">
        <f t="shared" si="675"/>
        <v>608.08000000000004</v>
      </c>
      <c r="BI4862" s="9">
        <f t="shared" si="676"/>
        <v>1.2</v>
      </c>
      <c r="BJ4862" s="9">
        <f t="shared" si="677"/>
        <v>3.01</v>
      </c>
      <c r="BK4862" s="9">
        <f t="shared" si="678"/>
        <v>2.11</v>
      </c>
      <c r="BL4862" s="9">
        <f t="shared" si="679"/>
        <v>36.18</v>
      </c>
      <c r="BM4862" s="9">
        <f t="shared" si="680"/>
        <v>3.0449999999999999</v>
      </c>
      <c r="BN4862" s="9">
        <f t="shared" si="681"/>
        <v>157.63</v>
      </c>
      <c r="BO4862" s="9">
        <f t="shared" si="682"/>
        <v>2.29</v>
      </c>
      <c r="BP4862" s="9">
        <f t="shared" si="683"/>
        <v>0</v>
      </c>
    </row>
    <row r="4863" spans="1:68">
      <c r="A4863" s="6">
        <v>45482</v>
      </c>
      <c r="B4863" s="7">
        <v>3139</v>
      </c>
      <c r="C4863" s="8">
        <v>955.37</v>
      </c>
      <c r="D4863" s="8"/>
      <c r="E4863" s="8"/>
      <c r="F4863" s="8"/>
      <c r="G4863" s="8"/>
      <c r="H4863" s="8">
        <v>396.17</v>
      </c>
      <c r="I4863" s="8"/>
      <c r="J4863" s="8"/>
      <c r="K4863" s="8"/>
      <c r="L4863" s="8"/>
      <c r="M4863" s="8">
        <v>2.23</v>
      </c>
      <c r="N4863" s="8"/>
      <c r="O4863" s="8"/>
      <c r="P4863" s="8"/>
      <c r="Q4863" s="11"/>
      <c r="R4863" s="11"/>
      <c r="S4863" s="8">
        <v>4.2300000000000004</v>
      </c>
      <c r="T4863" s="8"/>
      <c r="U4863" s="8">
        <v>14.11</v>
      </c>
      <c r="V4863" s="8"/>
      <c r="W4863" s="8"/>
      <c r="X4863" s="8"/>
      <c r="Y4863" s="8"/>
      <c r="Z4863" s="8"/>
      <c r="AA4863" s="8"/>
      <c r="AB4863" s="8"/>
      <c r="AC4863" s="8">
        <v>4.7</v>
      </c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11"/>
      <c r="AQ4863" s="8"/>
      <c r="AR4863" s="8"/>
      <c r="AS4863" s="8"/>
      <c r="AT4863" s="8">
        <v>696.32</v>
      </c>
      <c r="AU4863" s="8"/>
      <c r="AV4863" s="8">
        <v>23.53</v>
      </c>
      <c r="AW4863" s="8"/>
      <c r="AX4863" s="8"/>
      <c r="AY4863" s="8"/>
      <c r="AZ4863" s="8"/>
      <c r="BA4863" s="8"/>
      <c r="BB4863" s="8"/>
      <c r="BC4863" s="8"/>
      <c r="BD4863" s="8"/>
      <c r="BE4863" s="8"/>
      <c r="BF4863" s="8"/>
      <c r="BG4863" s="8">
        <v>50.58</v>
      </c>
      <c r="BH4863" s="9">
        <f t="shared" si="675"/>
        <v>1351.54</v>
      </c>
      <c r="BI4863" s="9">
        <f t="shared" si="676"/>
        <v>2.23</v>
      </c>
      <c r="BJ4863" s="9">
        <f t="shared" si="677"/>
        <v>4.2300000000000004</v>
      </c>
      <c r="BK4863" s="9">
        <f t="shared" si="678"/>
        <v>14.11</v>
      </c>
      <c r="BL4863" s="9">
        <f t="shared" si="679"/>
        <v>0</v>
      </c>
      <c r="BM4863" s="9">
        <f t="shared" si="680"/>
        <v>4.7</v>
      </c>
      <c r="BN4863" s="9">
        <f t="shared" si="681"/>
        <v>696.32</v>
      </c>
      <c r="BO4863" s="9">
        <f t="shared" si="682"/>
        <v>23.53</v>
      </c>
      <c r="BP4863" s="9">
        <f t="shared" si="683"/>
        <v>0</v>
      </c>
    </row>
    <row r="4864" spans="1:68">
      <c r="A4864" s="6">
        <v>45482</v>
      </c>
      <c r="B4864" s="7">
        <v>3139</v>
      </c>
      <c r="C4864" s="8">
        <v>1094.33</v>
      </c>
      <c r="D4864" s="8"/>
      <c r="E4864" s="8"/>
      <c r="F4864" s="8"/>
      <c r="G4864" s="8"/>
      <c r="H4864" s="8">
        <v>454.23</v>
      </c>
      <c r="I4864" s="8"/>
      <c r="J4864" s="8"/>
      <c r="K4864" s="8"/>
      <c r="L4864" s="8"/>
      <c r="M4864" s="8">
        <v>2.56</v>
      </c>
      <c r="N4864" s="8"/>
      <c r="O4864" s="8"/>
      <c r="P4864" s="8"/>
      <c r="Q4864" s="11"/>
      <c r="R4864" s="11"/>
      <c r="S4864" s="8">
        <v>4.8499999999999996</v>
      </c>
      <c r="T4864" s="8"/>
      <c r="U4864" s="8">
        <v>16.16</v>
      </c>
      <c r="V4864" s="8"/>
      <c r="W4864" s="8"/>
      <c r="X4864" s="8"/>
      <c r="Y4864" s="8"/>
      <c r="Z4864" s="8"/>
      <c r="AA4864" s="8"/>
      <c r="AB4864" s="8"/>
      <c r="AC4864" s="8">
        <v>5.39</v>
      </c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11"/>
      <c r="AQ4864" s="8"/>
      <c r="AR4864" s="8"/>
      <c r="AS4864" s="8"/>
      <c r="AT4864" s="8">
        <v>797.48</v>
      </c>
      <c r="AU4864" s="8"/>
      <c r="AV4864" s="8">
        <v>26.93</v>
      </c>
      <c r="AW4864" s="8"/>
      <c r="AX4864" s="8"/>
      <c r="AY4864" s="8"/>
      <c r="AZ4864" s="8"/>
      <c r="BA4864" s="8"/>
      <c r="BB4864" s="8"/>
      <c r="BC4864" s="8"/>
      <c r="BD4864" s="8"/>
      <c r="BE4864" s="8"/>
      <c r="BF4864" s="8"/>
      <c r="BG4864" s="8">
        <v>57.94</v>
      </c>
      <c r="BH4864" s="9">
        <f t="shared" si="675"/>
        <v>1548.56</v>
      </c>
      <c r="BI4864" s="9">
        <f t="shared" si="676"/>
        <v>2.56</v>
      </c>
      <c r="BJ4864" s="9">
        <f t="shared" si="677"/>
        <v>4.8499999999999996</v>
      </c>
      <c r="BK4864" s="9">
        <f t="shared" si="678"/>
        <v>16.16</v>
      </c>
      <c r="BL4864" s="9">
        <f t="shared" si="679"/>
        <v>0</v>
      </c>
      <c r="BM4864" s="9">
        <f t="shared" si="680"/>
        <v>5.39</v>
      </c>
      <c r="BN4864" s="9">
        <f t="shared" si="681"/>
        <v>797.48</v>
      </c>
      <c r="BO4864" s="9">
        <f t="shared" si="682"/>
        <v>26.93</v>
      </c>
      <c r="BP4864" s="9">
        <f t="shared" si="683"/>
        <v>0</v>
      </c>
    </row>
    <row r="4865" spans="1:68">
      <c r="A4865" s="6">
        <v>45482</v>
      </c>
      <c r="B4865" s="7">
        <v>3205</v>
      </c>
      <c r="C4865" s="8">
        <v>689.35</v>
      </c>
      <c r="D4865" s="8">
        <v>382.56</v>
      </c>
      <c r="E4865" s="8">
        <v>459.22</v>
      </c>
      <c r="F4865" s="8"/>
      <c r="G4865" s="8"/>
      <c r="H4865" s="8"/>
      <c r="I4865" s="8"/>
      <c r="J4865" s="8"/>
      <c r="K4865" s="8"/>
      <c r="L4865" s="8"/>
      <c r="M4865" s="8"/>
      <c r="N4865" s="8"/>
      <c r="O4865" s="8">
        <v>6.12</v>
      </c>
      <c r="P4865" s="8"/>
      <c r="Q4865" s="11"/>
      <c r="R4865" s="11"/>
      <c r="S4865" s="8">
        <v>5.67</v>
      </c>
      <c r="T4865" s="8"/>
      <c r="U4865" s="8">
        <v>18.38</v>
      </c>
      <c r="V4865" s="8"/>
      <c r="W4865" s="8"/>
      <c r="X4865" s="8"/>
      <c r="Y4865" s="8"/>
      <c r="Z4865" s="8">
        <v>153.25</v>
      </c>
      <c r="AA4865" s="8"/>
      <c r="AB4865" s="8">
        <f>1024*15.32/1000</f>
        <v>15.68768</v>
      </c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11"/>
      <c r="AQ4865" s="8">
        <f>511*15.32/1000</f>
        <v>7.8285200000000001</v>
      </c>
      <c r="AR4865" s="8"/>
      <c r="AS4865" s="8"/>
      <c r="AT4865" s="8">
        <v>399.18</v>
      </c>
      <c r="AU4865" s="8">
        <v>199.4</v>
      </c>
      <c r="AV4865" s="8"/>
      <c r="AW4865" s="8">
        <v>6.59</v>
      </c>
      <c r="AX4865" s="8"/>
      <c r="AY4865" s="8"/>
      <c r="AZ4865" s="8"/>
      <c r="BA4865" s="8"/>
      <c r="BB4865" s="8"/>
      <c r="BC4865" s="8"/>
      <c r="BD4865" s="8"/>
      <c r="BE4865" s="8"/>
      <c r="BF4865" s="8"/>
      <c r="BG4865" s="8">
        <v>35.86</v>
      </c>
      <c r="BH4865" s="9">
        <f t="shared" si="675"/>
        <v>1531.13</v>
      </c>
      <c r="BI4865" s="9">
        <f t="shared" si="676"/>
        <v>6.12</v>
      </c>
      <c r="BJ4865" s="9">
        <f t="shared" si="677"/>
        <v>5.67</v>
      </c>
      <c r="BK4865" s="9">
        <f t="shared" si="678"/>
        <v>18.38</v>
      </c>
      <c r="BL4865" s="9">
        <f t="shared" si="679"/>
        <v>153.25</v>
      </c>
      <c r="BM4865" s="9">
        <f t="shared" si="680"/>
        <v>23.516200000000001</v>
      </c>
      <c r="BN4865" s="9">
        <f t="shared" si="681"/>
        <v>598.58000000000004</v>
      </c>
      <c r="BO4865" s="9">
        <f t="shared" si="682"/>
        <v>6.59</v>
      </c>
      <c r="BP4865" s="9">
        <f t="shared" si="683"/>
        <v>0</v>
      </c>
    </row>
    <row r="4866" spans="1:68">
      <c r="A4866" s="6">
        <v>45482</v>
      </c>
      <c r="B4866" s="7">
        <v>3203</v>
      </c>
      <c r="C4866" s="8">
        <v>1686.57</v>
      </c>
      <c r="D4866" s="8"/>
      <c r="E4866" s="8">
        <v>723.55</v>
      </c>
      <c r="F4866" s="8"/>
      <c r="G4866" s="8"/>
      <c r="H4866" s="8"/>
      <c r="I4866" s="8"/>
      <c r="J4866" s="8"/>
      <c r="K4866" s="8"/>
      <c r="L4866" s="8"/>
      <c r="M4866" s="8"/>
      <c r="N4866" s="8"/>
      <c r="O4866" s="8">
        <v>7.26</v>
      </c>
      <c r="P4866" s="8"/>
      <c r="Q4866" s="11"/>
      <c r="R4866" s="11"/>
      <c r="S4866" s="8">
        <v>9.9</v>
      </c>
      <c r="T4866" s="8"/>
      <c r="U4866" s="8">
        <v>29.97</v>
      </c>
      <c r="V4866" s="8"/>
      <c r="W4866" s="8"/>
      <c r="X4866" s="8"/>
      <c r="Y4866" s="8"/>
      <c r="Z4866" s="8">
        <v>380.67</v>
      </c>
      <c r="AA4866" s="8">
        <f>10520*28.42/1000</f>
        <v>298.97840000000002</v>
      </c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11"/>
      <c r="AQ4866" s="8"/>
      <c r="AR4866" s="8"/>
      <c r="AS4866" s="8"/>
      <c r="AT4866" s="8">
        <v>901.92</v>
      </c>
      <c r="AU4866" s="8">
        <v>451.33</v>
      </c>
      <c r="AV4866" s="8"/>
      <c r="AW4866" s="8"/>
      <c r="AX4866" s="8"/>
      <c r="AY4866" s="8"/>
      <c r="AZ4866" s="8"/>
      <c r="BA4866" s="8"/>
      <c r="BB4866" s="8"/>
      <c r="BC4866" s="8">
        <v>6.28</v>
      </c>
      <c r="BD4866" s="8"/>
      <c r="BE4866" s="8"/>
      <c r="BF4866" s="8"/>
      <c r="BG4866" s="8">
        <v>88.17</v>
      </c>
      <c r="BH4866" s="9">
        <f t="shared" si="675"/>
        <v>2410.12</v>
      </c>
      <c r="BI4866" s="9">
        <f t="shared" si="676"/>
        <v>7.26</v>
      </c>
      <c r="BJ4866" s="9">
        <f t="shared" si="677"/>
        <v>9.9</v>
      </c>
      <c r="BK4866" s="9">
        <f t="shared" si="678"/>
        <v>29.97</v>
      </c>
      <c r="BL4866" s="9">
        <f t="shared" si="679"/>
        <v>679.64840000000004</v>
      </c>
      <c r="BM4866" s="9">
        <f t="shared" si="680"/>
        <v>0</v>
      </c>
      <c r="BN4866" s="9">
        <f t="shared" si="681"/>
        <v>1353.25</v>
      </c>
      <c r="BO4866" s="9">
        <f t="shared" si="682"/>
        <v>6.28</v>
      </c>
      <c r="BP4866" s="9">
        <f t="shared" si="683"/>
        <v>0</v>
      </c>
    </row>
    <row r="4867" spans="1:68">
      <c r="A4867" s="6">
        <v>45482</v>
      </c>
      <c r="B4867" s="7">
        <v>8360</v>
      </c>
      <c r="C4867" s="8">
        <v>899.07</v>
      </c>
      <c r="D4867" s="8"/>
      <c r="E4867" s="8">
        <v>385.32</v>
      </c>
      <c r="F4867" s="8"/>
      <c r="G4867" s="8"/>
      <c r="H4867" s="8"/>
      <c r="I4867" s="8"/>
      <c r="J4867" s="8"/>
      <c r="K4867" s="8"/>
      <c r="L4867" s="8"/>
      <c r="M4867" s="8"/>
      <c r="N4867" s="8"/>
      <c r="O4867" s="8">
        <v>2.2000000000000002</v>
      </c>
      <c r="P4867" s="8"/>
      <c r="Q4867" s="11"/>
      <c r="R4867" s="11"/>
      <c r="S4867" s="8">
        <v>6.82</v>
      </c>
      <c r="T4867" s="8"/>
      <c r="U4867" s="8">
        <v>20.6</v>
      </c>
      <c r="V4867" s="8"/>
      <c r="W4867" s="8"/>
      <c r="X4867" s="8"/>
      <c r="Y4867" s="8"/>
      <c r="Z4867" s="8">
        <v>257.49</v>
      </c>
      <c r="AA4867" s="8"/>
      <c r="AB4867" s="8">
        <f>1075*12.87/1000</f>
        <v>13.83525</v>
      </c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11"/>
      <c r="AQ4867" s="8"/>
      <c r="AR4867" s="8"/>
      <c r="AS4867" s="8"/>
      <c r="AT4867" s="8">
        <v>744.48</v>
      </c>
      <c r="AU4867" s="8"/>
      <c r="AV4867" s="8"/>
      <c r="AW4867" s="8">
        <v>3.75</v>
      </c>
      <c r="AX4867" s="8"/>
      <c r="AY4867" s="8"/>
      <c r="AZ4867" s="8"/>
      <c r="BA4867" s="8"/>
      <c r="BB4867" s="8"/>
      <c r="BC4867" s="8"/>
      <c r="BD4867" s="8"/>
      <c r="BE4867" s="8"/>
      <c r="BF4867" s="8">
        <v>57.98</v>
      </c>
      <c r="BG4867" s="8">
        <v>54.23</v>
      </c>
      <c r="BH4867" s="9">
        <f t="shared" si="675"/>
        <v>1284.3900000000001</v>
      </c>
      <c r="BI4867" s="9">
        <f t="shared" si="676"/>
        <v>2.2000000000000002</v>
      </c>
      <c r="BJ4867" s="9">
        <f t="shared" si="677"/>
        <v>6.82</v>
      </c>
      <c r="BK4867" s="9">
        <f t="shared" si="678"/>
        <v>20.6</v>
      </c>
      <c r="BL4867" s="9">
        <f t="shared" si="679"/>
        <v>257.49</v>
      </c>
      <c r="BM4867" s="9">
        <f t="shared" si="680"/>
        <v>13.83525</v>
      </c>
      <c r="BN4867" s="9">
        <f t="shared" si="681"/>
        <v>744.48</v>
      </c>
      <c r="BO4867" s="9">
        <f t="shared" si="682"/>
        <v>3.75</v>
      </c>
      <c r="BP4867" s="9">
        <f t="shared" si="683"/>
        <v>57.98</v>
      </c>
    </row>
    <row r="4868" spans="1:68">
      <c r="A4868" s="6">
        <v>45482</v>
      </c>
      <c r="B4868" s="7">
        <v>3113</v>
      </c>
      <c r="C4868" s="8">
        <v>1692.22</v>
      </c>
      <c r="D4868" s="8"/>
      <c r="E4868" s="8"/>
      <c r="F4868" s="8"/>
      <c r="G4868" s="8"/>
      <c r="H4868" s="8"/>
      <c r="I4868" s="8"/>
      <c r="J4868" s="8"/>
      <c r="K4868" s="8"/>
      <c r="L4868" s="8"/>
      <c r="M4868" s="8">
        <v>2.0299999999999998</v>
      </c>
      <c r="N4868" s="8">
        <v>2.02</v>
      </c>
      <c r="O4868" s="8"/>
      <c r="P4868" s="8"/>
      <c r="Q4868" s="11"/>
      <c r="R4868" s="11"/>
      <c r="S4868" s="8">
        <v>5.08</v>
      </c>
      <c r="T4868" s="8"/>
      <c r="U4868" s="8">
        <v>16.920000000000002</v>
      </c>
      <c r="V4868" s="8"/>
      <c r="W4868" s="8"/>
      <c r="X4868" s="8"/>
      <c r="Y4868" s="8"/>
      <c r="Z4868" s="8"/>
      <c r="AA4868" s="8"/>
      <c r="AB4868" s="8"/>
      <c r="AC4868" s="8">
        <v>6.76</v>
      </c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11"/>
      <c r="AQ4868" s="8"/>
      <c r="AR4868" s="8"/>
      <c r="AS4868" s="8"/>
      <c r="AT4868" s="8">
        <v>710.08</v>
      </c>
      <c r="AU4868" s="8"/>
      <c r="AV4868" s="8">
        <v>57.52</v>
      </c>
      <c r="AW4868" s="8"/>
      <c r="AX4868" s="8"/>
      <c r="AY4868" s="8"/>
      <c r="AZ4868" s="8"/>
      <c r="BA4868" s="8"/>
      <c r="BB4868" s="8"/>
      <c r="BC4868" s="8"/>
      <c r="BD4868" s="8"/>
      <c r="BE4868" s="8"/>
      <c r="BF4868" s="8"/>
      <c r="BG4868" s="8">
        <v>50.58</v>
      </c>
      <c r="BH4868" s="9">
        <f t="shared" ref="BH4868:BH4931" si="684">SUM(C4868:L4868)</f>
        <v>1692.22</v>
      </c>
      <c r="BI4868" s="9">
        <f t="shared" ref="BI4868:BI4931" si="685">SUM(M4868:R4868)</f>
        <v>4.05</v>
      </c>
      <c r="BJ4868" s="9">
        <f t="shared" ref="BJ4868:BJ4931" si="686">SUM(S4868)</f>
        <v>5.08</v>
      </c>
      <c r="BK4868" s="9">
        <f t="shared" ref="BK4868:BK4931" si="687">SUM(T4868:Y4868)</f>
        <v>16.920000000000002</v>
      </c>
      <c r="BL4868" s="9">
        <f t="shared" ref="BL4868:BL4931" si="688">SUM(Z4868:AA4868)</f>
        <v>0</v>
      </c>
      <c r="BM4868" s="9">
        <f t="shared" ref="BM4868:BM4931" si="689">SUM(AB4868:AS4868)</f>
        <v>6.76</v>
      </c>
      <c r="BN4868" s="9">
        <f t="shared" ref="BN4868:BN4931" si="690">SUM(AT4868:AU4868)</f>
        <v>710.08</v>
      </c>
      <c r="BO4868" s="9">
        <f t="shared" ref="BO4868:BO4931" si="691">SUM(AV4868:BE4868)</f>
        <v>57.52</v>
      </c>
      <c r="BP4868" s="9">
        <f t="shared" ref="BP4868:BP4931" si="692">SUM(BF4868)</f>
        <v>0</v>
      </c>
    </row>
    <row r="4869" spans="1:68">
      <c r="A4869" s="6">
        <v>45482</v>
      </c>
      <c r="B4869" s="7">
        <v>3111</v>
      </c>
      <c r="C4869" s="8">
        <v>2802.43</v>
      </c>
      <c r="D4869" s="8"/>
      <c r="E4869" s="8"/>
      <c r="F4869" s="8"/>
      <c r="G4869" s="8"/>
      <c r="H4869" s="8"/>
      <c r="I4869" s="8"/>
      <c r="J4869" s="8"/>
      <c r="K4869" s="8"/>
      <c r="L4869" s="8"/>
      <c r="M4869" s="8">
        <v>4.24</v>
      </c>
      <c r="N4869" s="8"/>
      <c r="O4869" s="8"/>
      <c r="P4869" s="8"/>
      <c r="Q4869" s="11"/>
      <c r="R4869" s="11"/>
      <c r="S4869" s="8">
        <v>8.4</v>
      </c>
      <c r="T4869" s="8"/>
      <c r="U4869" s="8">
        <v>28.06</v>
      </c>
      <c r="V4869" s="8"/>
      <c r="W4869" s="8"/>
      <c r="X4869" s="8"/>
      <c r="Y4869" s="8"/>
      <c r="Z4869" s="8"/>
      <c r="AA4869" s="8"/>
      <c r="AB4869" s="8"/>
      <c r="AC4869" s="8">
        <v>11.22</v>
      </c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11"/>
      <c r="AQ4869" s="8"/>
      <c r="AR4869" s="8"/>
      <c r="AS4869" s="8"/>
      <c r="AT4869" s="8">
        <v>1306.6400000000001</v>
      </c>
      <c r="AU4869" s="8"/>
      <c r="AV4869" s="8"/>
      <c r="AW4869" s="8"/>
      <c r="AX4869" s="8"/>
      <c r="AY4869" s="8"/>
      <c r="AZ4869" s="8"/>
      <c r="BA4869" s="8">
        <v>104.47</v>
      </c>
      <c r="BB4869" s="8"/>
      <c r="BC4869" s="8"/>
      <c r="BD4869" s="8"/>
      <c r="BE4869" s="8"/>
      <c r="BF4869" s="8"/>
      <c r="BG4869" s="8">
        <v>90.72</v>
      </c>
      <c r="BH4869" s="9">
        <f t="shared" si="684"/>
        <v>2802.43</v>
      </c>
      <c r="BI4869" s="9">
        <f t="shared" si="685"/>
        <v>4.24</v>
      </c>
      <c r="BJ4869" s="9">
        <f t="shared" si="686"/>
        <v>8.4</v>
      </c>
      <c r="BK4869" s="9">
        <f t="shared" si="687"/>
        <v>28.06</v>
      </c>
      <c r="BL4869" s="9">
        <f t="shared" si="688"/>
        <v>0</v>
      </c>
      <c r="BM4869" s="9">
        <f t="shared" si="689"/>
        <v>11.22</v>
      </c>
      <c r="BN4869" s="9">
        <f t="shared" si="690"/>
        <v>1306.6400000000001</v>
      </c>
      <c r="BO4869" s="9">
        <f t="shared" si="691"/>
        <v>104.47</v>
      </c>
      <c r="BP4869" s="9">
        <f t="shared" si="692"/>
        <v>0</v>
      </c>
    </row>
    <row r="4870" spans="1:68">
      <c r="A4870" s="6">
        <v>45482</v>
      </c>
      <c r="B4870" s="7">
        <v>3141</v>
      </c>
      <c r="C4870" s="8">
        <v>657.08</v>
      </c>
      <c r="D4870" s="8">
        <v>115.37</v>
      </c>
      <c r="E4870" s="8"/>
      <c r="F4870" s="8"/>
      <c r="G4870" s="8"/>
      <c r="H4870" s="8"/>
      <c r="I4870" s="8"/>
      <c r="J4870" s="8"/>
      <c r="K4870" s="8"/>
      <c r="L4870" s="8"/>
      <c r="M4870" s="8">
        <v>2.2799999999999998</v>
      </c>
      <c r="N4870" s="8"/>
      <c r="O4870" s="8"/>
      <c r="P4870" s="8"/>
      <c r="Q4870" s="11"/>
      <c r="R4870" s="11"/>
      <c r="S4870" s="8">
        <v>3.62</v>
      </c>
      <c r="T4870" s="8"/>
      <c r="U4870" s="8">
        <v>11.54</v>
      </c>
      <c r="V4870" s="8"/>
      <c r="W4870" s="8"/>
      <c r="X4870" s="8"/>
      <c r="Y4870" s="8"/>
      <c r="Z4870" s="8"/>
      <c r="AA4870" s="8"/>
      <c r="AB4870" s="8"/>
      <c r="AC4870" s="8">
        <v>3.09</v>
      </c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11"/>
      <c r="AQ4870" s="8"/>
      <c r="AR4870" s="8"/>
      <c r="AS4870" s="8"/>
      <c r="AT4870" s="8">
        <v>508.33</v>
      </c>
      <c r="AU4870" s="8"/>
      <c r="AV4870" s="8"/>
      <c r="AW4870" s="8"/>
      <c r="AX4870" s="8"/>
      <c r="AY4870" s="8"/>
      <c r="AZ4870" s="8"/>
      <c r="BA4870" s="8">
        <v>17.760000000000002</v>
      </c>
      <c r="BB4870" s="8"/>
      <c r="BC4870" s="8"/>
      <c r="BD4870" s="8"/>
      <c r="BE4870" s="8"/>
      <c r="BF4870" s="8">
        <v>53.89</v>
      </c>
      <c r="BG4870" s="8">
        <v>39.909999999999997</v>
      </c>
      <c r="BH4870" s="9">
        <f t="shared" si="684"/>
        <v>772.45</v>
      </c>
      <c r="BI4870" s="9">
        <f t="shared" si="685"/>
        <v>2.2799999999999998</v>
      </c>
      <c r="BJ4870" s="9">
        <f t="shared" si="686"/>
        <v>3.62</v>
      </c>
      <c r="BK4870" s="9">
        <f t="shared" si="687"/>
        <v>11.54</v>
      </c>
      <c r="BL4870" s="9">
        <f t="shared" si="688"/>
        <v>0</v>
      </c>
      <c r="BM4870" s="9">
        <f t="shared" si="689"/>
        <v>3.09</v>
      </c>
      <c r="BN4870" s="9">
        <f t="shared" si="690"/>
        <v>508.33</v>
      </c>
      <c r="BO4870" s="9">
        <f t="shared" si="691"/>
        <v>17.760000000000002</v>
      </c>
      <c r="BP4870" s="9">
        <f t="shared" si="692"/>
        <v>53.89</v>
      </c>
    </row>
    <row r="4871" spans="1:68">
      <c r="A4871" s="6">
        <v>45483</v>
      </c>
      <c r="B4871" s="7">
        <v>3204</v>
      </c>
      <c r="C4871" s="8"/>
      <c r="D4871" s="8">
        <v>1754.35</v>
      </c>
      <c r="E4871" s="8">
        <v>751.11</v>
      </c>
      <c r="F4871" s="8"/>
      <c r="G4871" s="8"/>
      <c r="H4871" s="8"/>
      <c r="I4871" s="8"/>
      <c r="J4871" s="8"/>
      <c r="K4871" s="8"/>
      <c r="L4871" s="8"/>
      <c r="M4871" s="8"/>
      <c r="N4871" s="8"/>
      <c r="O4871" s="8">
        <v>12.53</v>
      </c>
      <c r="P4871" s="8"/>
      <c r="Q4871" s="11"/>
      <c r="R4871" s="11"/>
      <c r="S4871" s="8">
        <v>8.52</v>
      </c>
      <c r="T4871" s="8"/>
      <c r="U4871" s="8">
        <v>27.6</v>
      </c>
      <c r="V4871" s="8"/>
      <c r="W4871" s="8"/>
      <c r="X4871" s="8"/>
      <c r="Y4871" s="8"/>
      <c r="Z4871" s="8">
        <v>376.22</v>
      </c>
      <c r="AA4871" s="8"/>
      <c r="AB4871" s="8">
        <f>721*17.92/1000</f>
        <v>12.920320000000002</v>
      </c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11"/>
      <c r="AQ4871" s="8"/>
      <c r="AR4871" s="8"/>
      <c r="AS4871" s="8"/>
      <c r="AT4871" s="8">
        <v>1105.43</v>
      </c>
      <c r="AU4871" s="8"/>
      <c r="AV4871" s="8"/>
      <c r="AW4871" s="8">
        <v>8.0500000000000007</v>
      </c>
      <c r="AX4871" s="8"/>
      <c r="AY4871" s="8"/>
      <c r="AZ4871" s="8"/>
      <c r="BA4871" s="8"/>
      <c r="BB4871" s="8"/>
      <c r="BC4871" s="8"/>
      <c r="BD4871" s="8"/>
      <c r="BE4871" s="8"/>
      <c r="BF4871" s="8"/>
      <c r="BG4871" s="8">
        <v>81.569999999999993</v>
      </c>
      <c r="BH4871" s="9">
        <f t="shared" si="684"/>
        <v>2505.46</v>
      </c>
      <c r="BI4871" s="9">
        <f t="shared" si="685"/>
        <v>12.53</v>
      </c>
      <c r="BJ4871" s="9">
        <f t="shared" si="686"/>
        <v>8.52</v>
      </c>
      <c r="BK4871" s="9">
        <f t="shared" si="687"/>
        <v>27.6</v>
      </c>
      <c r="BL4871" s="9">
        <f t="shared" si="688"/>
        <v>376.22</v>
      </c>
      <c r="BM4871" s="9">
        <f t="shared" si="689"/>
        <v>12.920320000000002</v>
      </c>
      <c r="BN4871" s="9">
        <f t="shared" si="690"/>
        <v>1105.43</v>
      </c>
      <c r="BO4871" s="9">
        <f t="shared" si="691"/>
        <v>8.0500000000000007</v>
      </c>
      <c r="BP4871" s="9">
        <f t="shared" si="692"/>
        <v>0</v>
      </c>
    </row>
    <row r="4872" spans="1:68">
      <c r="A4872" s="6">
        <v>45483</v>
      </c>
      <c r="B4872" s="7">
        <v>3200</v>
      </c>
      <c r="C4872" s="8">
        <v>1185.05</v>
      </c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>
        <v>2.97</v>
      </c>
      <c r="P4872" s="8"/>
      <c r="Q4872" s="11"/>
      <c r="R4872" s="11"/>
      <c r="S4872" s="8">
        <v>4.62</v>
      </c>
      <c r="T4872" s="8"/>
      <c r="U4872" s="8">
        <v>17.8</v>
      </c>
      <c r="V4872" s="8"/>
      <c r="W4872" s="8"/>
      <c r="X4872" s="8"/>
      <c r="Y4872" s="8"/>
      <c r="Z4872" s="8">
        <v>249.36</v>
      </c>
      <c r="AA4872" s="8"/>
      <c r="AB4872" s="8"/>
      <c r="AC4872" s="8"/>
      <c r="AD4872" s="8"/>
      <c r="AE4872" s="8"/>
      <c r="AF4872" s="8">
        <v>59.26</v>
      </c>
      <c r="AG4872" s="8"/>
      <c r="AH4872" s="8"/>
      <c r="AI4872" s="8"/>
      <c r="AJ4872" s="8"/>
      <c r="AK4872" s="8"/>
      <c r="AL4872" s="8"/>
      <c r="AM4872" s="8"/>
      <c r="AN4872" s="8"/>
      <c r="AO4872" s="8"/>
      <c r="AP4872" s="11"/>
      <c r="AQ4872" s="8">
        <f>1501*11.85/1000</f>
        <v>17.786849999999998</v>
      </c>
      <c r="AR4872" s="8"/>
      <c r="AS4872" s="8"/>
      <c r="AT4872" s="8">
        <v>812.19</v>
      </c>
      <c r="AU4872" s="8"/>
      <c r="AV4872" s="8"/>
      <c r="AW4872" s="8">
        <v>3.5</v>
      </c>
      <c r="AX4872" s="8"/>
      <c r="AY4872" s="8"/>
      <c r="AZ4872" s="8"/>
      <c r="BA4872" s="8"/>
      <c r="BB4872" s="8"/>
      <c r="BC4872" s="8"/>
      <c r="BD4872" s="8"/>
      <c r="BE4872" s="8"/>
      <c r="BF4872" s="8">
        <v>57.02</v>
      </c>
      <c r="BG4872" s="8">
        <v>58.89</v>
      </c>
      <c r="BH4872" s="9">
        <f t="shared" si="684"/>
        <v>1185.05</v>
      </c>
      <c r="BI4872" s="9">
        <f t="shared" si="685"/>
        <v>2.97</v>
      </c>
      <c r="BJ4872" s="9">
        <f t="shared" si="686"/>
        <v>4.62</v>
      </c>
      <c r="BK4872" s="9">
        <f t="shared" si="687"/>
        <v>17.8</v>
      </c>
      <c r="BL4872" s="9">
        <f t="shared" si="688"/>
        <v>249.36</v>
      </c>
      <c r="BM4872" s="9">
        <f t="shared" si="689"/>
        <v>77.046849999999992</v>
      </c>
      <c r="BN4872" s="9">
        <f t="shared" si="690"/>
        <v>812.19</v>
      </c>
      <c r="BO4872" s="9">
        <f t="shared" si="691"/>
        <v>3.5</v>
      </c>
      <c r="BP4872" s="9">
        <f t="shared" si="692"/>
        <v>57.02</v>
      </c>
    </row>
    <row r="4873" spans="1:68">
      <c r="A4873" s="6">
        <v>45483</v>
      </c>
      <c r="B4873" s="7">
        <v>3200</v>
      </c>
      <c r="C4873" s="8">
        <v>1187.48</v>
      </c>
      <c r="D4873" s="8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>
        <v>2.98</v>
      </c>
      <c r="P4873" s="8"/>
      <c r="Q4873" s="11"/>
      <c r="R4873" s="11"/>
      <c r="S4873" s="8">
        <v>4.63</v>
      </c>
      <c r="T4873" s="8"/>
      <c r="U4873" s="8">
        <v>17.829999999999998</v>
      </c>
      <c r="V4873" s="8"/>
      <c r="W4873" s="8"/>
      <c r="X4873" s="8"/>
      <c r="Y4873" s="8"/>
      <c r="Z4873" s="8">
        <v>249.94</v>
      </c>
      <c r="AA4873" s="8"/>
      <c r="AB4873" s="8"/>
      <c r="AC4873" s="8"/>
      <c r="AD4873" s="8"/>
      <c r="AE4873" s="8"/>
      <c r="AF4873" s="8">
        <v>59.13</v>
      </c>
      <c r="AG4873" s="8"/>
      <c r="AH4873" s="8"/>
      <c r="AI4873" s="8"/>
      <c r="AJ4873" s="8"/>
      <c r="AK4873" s="8"/>
      <c r="AL4873" s="8"/>
      <c r="AM4873" s="8"/>
      <c r="AN4873" s="8"/>
      <c r="AO4873" s="8"/>
      <c r="AP4873" s="11"/>
      <c r="AQ4873" s="8">
        <f>1501*11.9/1000</f>
        <v>17.861900000000002</v>
      </c>
      <c r="AR4873" s="8"/>
      <c r="AS4873" s="8"/>
      <c r="AT4873" s="8">
        <v>813.76</v>
      </c>
      <c r="AU4873" s="8"/>
      <c r="AV4873" s="8"/>
      <c r="AW4873" s="8">
        <v>3.5</v>
      </c>
      <c r="AX4873" s="8"/>
      <c r="AY4873" s="8"/>
      <c r="AZ4873" s="8"/>
      <c r="BA4873" s="8"/>
      <c r="BB4873" s="8"/>
      <c r="BC4873" s="8"/>
      <c r="BD4873" s="8"/>
      <c r="BE4873" s="8"/>
      <c r="BF4873" s="8">
        <v>57.06</v>
      </c>
      <c r="BG4873" s="8">
        <v>58.59</v>
      </c>
      <c r="BH4873" s="9">
        <f t="shared" si="684"/>
        <v>1187.48</v>
      </c>
      <c r="BI4873" s="9">
        <f t="shared" si="685"/>
        <v>2.98</v>
      </c>
      <c r="BJ4873" s="9">
        <f t="shared" si="686"/>
        <v>4.63</v>
      </c>
      <c r="BK4873" s="9">
        <f t="shared" si="687"/>
        <v>17.829999999999998</v>
      </c>
      <c r="BL4873" s="9">
        <f t="shared" si="688"/>
        <v>249.94</v>
      </c>
      <c r="BM4873" s="9">
        <f t="shared" si="689"/>
        <v>76.991900000000001</v>
      </c>
      <c r="BN4873" s="9">
        <f t="shared" si="690"/>
        <v>813.76</v>
      </c>
      <c r="BO4873" s="9">
        <f t="shared" si="691"/>
        <v>3.5</v>
      </c>
      <c r="BP4873" s="9">
        <f t="shared" si="692"/>
        <v>57.06</v>
      </c>
    </row>
    <row r="4874" spans="1:68">
      <c r="A4874" s="6">
        <v>45483</v>
      </c>
      <c r="B4874" s="7">
        <v>3020</v>
      </c>
      <c r="C4874" s="8"/>
      <c r="D4874" s="8">
        <v>329.84</v>
      </c>
      <c r="E4874" s="8"/>
      <c r="F4874" s="8"/>
      <c r="G4874" s="8"/>
      <c r="H4874" s="8"/>
      <c r="I4874" s="8">
        <v>1868.93</v>
      </c>
      <c r="J4874" s="8"/>
      <c r="K4874" s="8"/>
      <c r="L4874" s="8"/>
      <c r="M4874" s="8"/>
      <c r="N4874" s="8">
        <v>13.4</v>
      </c>
      <c r="O4874" s="8"/>
      <c r="P4874" s="8"/>
      <c r="Q4874" s="11"/>
      <c r="R4874" s="11"/>
      <c r="S4874" s="8">
        <v>3.95</v>
      </c>
      <c r="T4874" s="8"/>
      <c r="U4874" s="8"/>
      <c r="V4874" s="8"/>
      <c r="W4874" s="8">
        <v>21.99</v>
      </c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>
        <v>21.91</v>
      </c>
      <c r="AN4874" s="8"/>
      <c r="AO4874" s="8"/>
      <c r="AP4874" s="11"/>
      <c r="AQ4874" s="8"/>
      <c r="AR4874" s="8"/>
      <c r="AS4874" s="8">
        <f>3027*18.32/1000</f>
        <v>55.454639999999998</v>
      </c>
      <c r="AT4874" s="8">
        <v>1080.45</v>
      </c>
      <c r="AU4874" s="8"/>
      <c r="AV4874" s="8"/>
      <c r="AW4874" s="8"/>
      <c r="AX4874" s="8"/>
      <c r="AY4874" s="8"/>
      <c r="AZ4874" s="8"/>
      <c r="BA4874" s="8"/>
      <c r="BB4874" s="8"/>
      <c r="BC4874" s="8"/>
      <c r="BD4874" s="8"/>
      <c r="BE4874" s="8"/>
      <c r="BF4874" s="8"/>
      <c r="BG4874" s="8">
        <v>79.12</v>
      </c>
      <c r="BH4874" s="9">
        <f t="shared" si="684"/>
        <v>2198.77</v>
      </c>
      <c r="BI4874" s="9">
        <f t="shared" si="685"/>
        <v>13.4</v>
      </c>
      <c r="BJ4874" s="9">
        <f t="shared" si="686"/>
        <v>3.95</v>
      </c>
      <c r="BK4874" s="9">
        <f t="shared" si="687"/>
        <v>21.99</v>
      </c>
      <c r="BL4874" s="9">
        <f t="shared" si="688"/>
        <v>0</v>
      </c>
      <c r="BM4874" s="9">
        <f t="shared" si="689"/>
        <v>77.364639999999994</v>
      </c>
      <c r="BN4874" s="9">
        <f t="shared" si="690"/>
        <v>1080.45</v>
      </c>
      <c r="BO4874" s="9">
        <f t="shared" si="691"/>
        <v>0</v>
      </c>
      <c r="BP4874" s="9">
        <f t="shared" si="692"/>
        <v>0</v>
      </c>
    </row>
    <row r="4875" spans="1:68">
      <c r="A4875" s="6">
        <v>45483</v>
      </c>
      <c r="B4875" s="7">
        <v>3028</v>
      </c>
      <c r="C4875" s="8"/>
      <c r="D4875" s="8">
        <v>1062.6300000000001</v>
      </c>
      <c r="E4875" s="8"/>
      <c r="F4875" s="8">
        <v>978.95</v>
      </c>
      <c r="G4875" s="8"/>
      <c r="H4875" s="8"/>
      <c r="I4875" s="8">
        <v>2212.73</v>
      </c>
      <c r="J4875" s="8"/>
      <c r="K4875" s="8"/>
      <c r="L4875" s="8"/>
      <c r="M4875" s="8"/>
      <c r="N4875" s="8">
        <v>33.159999999999997</v>
      </c>
      <c r="O4875" s="8"/>
      <c r="P4875" s="8"/>
      <c r="Q4875" s="11"/>
      <c r="R4875" s="11"/>
      <c r="S4875" s="8">
        <v>5.95</v>
      </c>
      <c r="T4875" s="8"/>
      <c r="U4875" s="8"/>
      <c r="V4875" s="8"/>
      <c r="W4875" s="8">
        <v>31.9</v>
      </c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>
        <v>42.55</v>
      </c>
      <c r="AN4875" s="8">
        <f>1061*28.37/1000</f>
        <v>30.100570000000001</v>
      </c>
      <c r="AO4875" s="8"/>
      <c r="AP4875" s="11"/>
      <c r="AQ4875" s="8"/>
      <c r="AR4875" s="8"/>
      <c r="AS4875" s="8">
        <f>4977*28.37/1000</f>
        <v>141.19748999999999</v>
      </c>
      <c r="AT4875" s="8">
        <v>1420.24</v>
      </c>
      <c r="AU4875" s="8"/>
      <c r="AV4875" s="8"/>
      <c r="AW4875" s="8"/>
      <c r="AX4875" s="8"/>
      <c r="AY4875" s="8"/>
      <c r="AZ4875" s="8"/>
      <c r="BA4875" s="8"/>
      <c r="BB4875" s="8"/>
      <c r="BC4875" s="8"/>
      <c r="BD4875" s="8"/>
      <c r="BE4875" s="8"/>
      <c r="BF4875" s="8"/>
      <c r="BG4875" s="8">
        <v>96.71</v>
      </c>
      <c r="BH4875" s="9">
        <f t="shared" si="684"/>
        <v>4254.3100000000004</v>
      </c>
      <c r="BI4875" s="9">
        <f t="shared" si="685"/>
        <v>33.159999999999997</v>
      </c>
      <c r="BJ4875" s="9">
        <f t="shared" si="686"/>
        <v>5.95</v>
      </c>
      <c r="BK4875" s="9">
        <f t="shared" si="687"/>
        <v>31.9</v>
      </c>
      <c r="BL4875" s="9">
        <f t="shared" si="688"/>
        <v>0</v>
      </c>
      <c r="BM4875" s="9">
        <f t="shared" si="689"/>
        <v>213.84805999999998</v>
      </c>
      <c r="BN4875" s="9">
        <f t="shared" si="690"/>
        <v>1420.24</v>
      </c>
      <c r="BO4875" s="9">
        <f t="shared" si="691"/>
        <v>0</v>
      </c>
      <c r="BP4875" s="9">
        <f t="shared" si="692"/>
        <v>0</v>
      </c>
    </row>
    <row r="4876" spans="1:68">
      <c r="A4876" s="6">
        <v>45483</v>
      </c>
      <c r="B4876" s="7">
        <v>3031</v>
      </c>
      <c r="C4876" s="8"/>
      <c r="D4876" s="8"/>
      <c r="E4876" s="8"/>
      <c r="F4876" s="8"/>
      <c r="G4876" s="8"/>
      <c r="H4876" s="8"/>
      <c r="I4876" s="8">
        <v>1168.08</v>
      </c>
      <c r="J4876" s="8"/>
      <c r="K4876" s="8"/>
      <c r="L4876" s="8"/>
      <c r="M4876" s="8"/>
      <c r="N4876" s="8">
        <v>8.08</v>
      </c>
      <c r="O4876" s="8"/>
      <c r="P4876" s="8"/>
      <c r="Q4876" s="11"/>
      <c r="R4876" s="11"/>
      <c r="S4876" s="8">
        <v>0.81</v>
      </c>
      <c r="T4876" s="8"/>
      <c r="U4876" s="8"/>
      <c r="V4876" s="8"/>
      <c r="W4876" s="8">
        <v>11.71</v>
      </c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>
        <f>1817*9.75/1000</f>
        <v>17.71575</v>
      </c>
      <c r="AJ4876" s="8"/>
      <c r="AK4876" s="8"/>
      <c r="AL4876" s="8"/>
      <c r="AM4876" s="8"/>
      <c r="AN4876" s="8">
        <f>1218*9.75/1000</f>
        <v>11.875500000000001</v>
      </c>
      <c r="AO4876" s="8"/>
      <c r="AP4876" s="11"/>
      <c r="AQ4876" s="8"/>
      <c r="AR4876" s="8">
        <f>3681*9.75/1000</f>
        <v>35.889749999999999</v>
      </c>
      <c r="AS4876" s="8"/>
      <c r="AT4876" s="8">
        <v>557.20000000000005</v>
      </c>
      <c r="AU4876" s="8"/>
      <c r="AV4876" s="8"/>
      <c r="AW4876" s="8"/>
      <c r="AX4876" s="8"/>
      <c r="AY4876" s="8"/>
      <c r="AZ4876" s="8"/>
      <c r="BA4876" s="8"/>
      <c r="BB4876" s="8"/>
      <c r="BC4876" s="8"/>
      <c r="BD4876" s="8"/>
      <c r="BE4876" s="8"/>
      <c r="BF4876" s="8"/>
      <c r="BG4876" s="8">
        <v>37.979999999999997</v>
      </c>
      <c r="BH4876" s="9">
        <f t="shared" si="684"/>
        <v>1168.08</v>
      </c>
      <c r="BI4876" s="9">
        <f t="shared" si="685"/>
        <v>8.08</v>
      </c>
      <c r="BJ4876" s="9">
        <f t="shared" si="686"/>
        <v>0.81</v>
      </c>
      <c r="BK4876" s="9">
        <f t="shared" si="687"/>
        <v>11.71</v>
      </c>
      <c r="BL4876" s="9">
        <f t="shared" si="688"/>
        <v>0</v>
      </c>
      <c r="BM4876" s="9">
        <f t="shared" si="689"/>
        <v>65.480999999999995</v>
      </c>
      <c r="BN4876" s="9">
        <f t="shared" si="690"/>
        <v>557.20000000000005</v>
      </c>
      <c r="BO4876" s="9">
        <f t="shared" si="691"/>
        <v>0</v>
      </c>
      <c r="BP4876" s="9">
        <f t="shared" si="692"/>
        <v>0</v>
      </c>
    </row>
    <row r="4877" spans="1:68">
      <c r="A4877" s="6">
        <v>45483</v>
      </c>
      <c r="B4877" s="7">
        <v>3083</v>
      </c>
      <c r="C4877" s="8"/>
      <c r="D4877" s="8">
        <v>1070.96</v>
      </c>
      <c r="E4877" s="8"/>
      <c r="F4877" s="8"/>
      <c r="G4877" s="8"/>
      <c r="H4877" s="8"/>
      <c r="I4877" s="8">
        <v>2500</v>
      </c>
      <c r="J4877" s="8"/>
      <c r="K4877" s="8"/>
      <c r="L4877" s="8"/>
      <c r="M4877" s="8"/>
      <c r="N4877" s="8">
        <v>23.22</v>
      </c>
      <c r="O4877" s="8"/>
      <c r="P4877" s="8"/>
      <c r="Q4877" s="11"/>
      <c r="R4877" s="11"/>
      <c r="S4877" s="8">
        <v>2.4900000000000002</v>
      </c>
      <c r="T4877" s="8"/>
      <c r="U4877" s="8"/>
      <c r="V4877" s="8"/>
      <c r="W4877" s="8">
        <v>28.56</v>
      </c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>
        <v>14.28</v>
      </c>
      <c r="AN4877" s="8">
        <f>1906*26.47/1000</f>
        <v>50.451819999999998</v>
      </c>
      <c r="AO4877" s="8"/>
      <c r="AP4877" s="11"/>
      <c r="AQ4877" s="8"/>
      <c r="AR4877" s="8">
        <f>3384*26.47/1000</f>
        <v>89.574479999999994</v>
      </c>
      <c r="AS4877" s="8"/>
      <c r="AT4877" s="8">
        <v>1681.88</v>
      </c>
      <c r="AU4877" s="8"/>
      <c r="AV4877" s="8"/>
      <c r="AW4877" s="8"/>
      <c r="AX4877" s="8"/>
      <c r="AY4877" s="8"/>
      <c r="AZ4877" s="8"/>
      <c r="BA4877" s="8"/>
      <c r="BB4877" s="8"/>
      <c r="BC4877" s="8"/>
      <c r="BD4877" s="8"/>
      <c r="BE4877" s="8"/>
      <c r="BF4877" s="8"/>
      <c r="BG4877" s="8">
        <v>133.12</v>
      </c>
      <c r="BH4877" s="9">
        <f t="shared" si="684"/>
        <v>3570.96</v>
      </c>
      <c r="BI4877" s="9">
        <f t="shared" si="685"/>
        <v>23.22</v>
      </c>
      <c r="BJ4877" s="9">
        <f t="shared" si="686"/>
        <v>2.4900000000000002</v>
      </c>
      <c r="BK4877" s="9">
        <f t="shared" si="687"/>
        <v>28.56</v>
      </c>
      <c r="BL4877" s="9">
        <f t="shared" si="688"/>
        <v>0</v>
      </c>
      <c r="BM4877" s="9">
        <f t="shared" si="689"/>
        <v>154.30629999999999</v>
      </c>
      <c r="BN4877" s="9">
        <f t="shared" si="690"/>
        <v>1681.88</v>
      </c>
      <c r="BO4877" s="9">
        <f t="shared" si="691"/>
        <v>0</v>
      </c>
      <c r="BP4877" s="9">
        <f t="shared" si="692"/>
        <v>0</v>
      </c>
    </row>
    <row r="4878" spans="1:68">
      <c r="A4878" s="6">
        <v>45484</v>
      </c>
      <c r="B4878" s="7">
        <v>3206</v>
      </c>
      <c r="C4878" s="8">
        <v>611.49</v>
      </c>
      <c r="D4878" s="8">
        <v>1097.03</v>
      </c>
      <c r="E4878" s="8">
        <v>729.83</v>
      </c>
      <c r="F4878" s="8"/>
      <c r="G4878" s="8"/>
      <c r="H4878" s="8"/>
      <c r="I4878" s="8"/>
      <c r="J4878" s="8"/>
      <c r="K4878" s="8"/>
      <c r="L4878" s="8"/>
      <c r="M4878" s="8"/>
      <c r="N4878" s="8"/>
      <c r="O4878" s="8">
        <v>4.8899999999999997</v>
      </c>
      <c r="P4878" s="8"/>
      <c r="Q4878" s="11"/>
      <c r="R4878" s="11"/>
      <c r="S4878" s="8">
        <v>12.17</v>
      </c>
      <c r="T4878" s="8"/>
      <c r="U4878" s="8">
        <v>8.5299999999999994</v>
      </c>
      <c r="V4878" s="8"/>
      <c r="W4878" s="8"/>
      <c r="X4878" s="8"/>
      <c r="Y4878" s="8"/>
      <c r="Z4878" s="8">
        <v>146.08000000000001</v>
      </c>
      <c r="AA4878" s="8"/>
      <c r="AB4878" s="8">
        <f>814*15.22/1000</f>
        <v>12.38908</v>
      </c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11"/>
      <c r="AQ4878" s="8"/>
      <c r="AR4878" s="8"/>
      <c r="AS4878" s="8"/>
      <c r="AT4878" s="8">
        <v>427.25</v>
      </c>
      <c r="AU4878" s="8">
        <v>212.72</v>
      </c>
      <c r="AV4878" s="8"/>
      <c r="AW4878" s="8">
        <v>9.26</v>
      </c>
      <c r="AX4878" s="8"/>
      <c r="AY4878" s="8"/>
      <c r="AZ4878" s="8"/>
      <c r="BA4878" s="8"/>
      <c r="BB4878" s="8"/>
      <c r="BC4878" s="8"/>
      <c r="BD4878" s="8"/>
      <c r="BE4878" s="8"/>
      <c r="BF4878" s="8"/>
      <c r="BG4878" s="8">
        <v>42.59</v>
      </c>
      <c r="BH4878" s="9">
        <f t="shared" si="684"/>
        <v>2438.35</v>
      </c>
      <c r="BI4878" s="9">
        <f t="shared" si="685"/>
        <v>4.8899999999999997</v>
      </c>
      <c r="BJ4878" s="9">
        <f t="shared" si="686"/>
        <v>12.17</v>
      </c>
      <c r="BK4878" s="9">
        <f t="shared" si="687"/>
        <v>8.5299999999999994</v>
      </c>
      <c r="BL4878" s="9">
        <f t="shared" si="688"/>
        <v>146.08000000000001</v>
      </c>
      <c r="BM4878" s="9">
        <f t="shared" si="689"/>
        <v>12.38908</v>
      </c>
      <c r="BN4878" s="9">
        <f t="shared" si="690"/>
        <v>639.97</v>
      </c>
      <c r="BO4878" s="9">
        <f t="shared" si="691"/>
        <v>9.26</v>
      </c>
      <c r="BP4878" s="9">
        <f t="shared" si="692"/>
        <v>0</v>
      </c>
    </row>
    <row r="4879" spans="1:68">
      <c r="A4879" s="6">
        <v>45484</v>
      </c>
      <c r="B4879" s="7">
        <v>3701</v>
      </c>
      <c r="C4879" s="8"/>
      <c r="D4879" s="8"/>
      <c r="E4879" s="8"/>
      <c r="F4879" s="8"/>
      <c r="G4879" s="8"/>
      <c r="H4879" s="8"/>
      <c r="I4879" s="8">
        <v>355.58</v>
      </c>
      <c r="J4879" s="8">
        <f>51406*11.25/1000</f>
        <v>578.3175</v>
      </c>
      <c r="K4879" s="8"/>
      <c r="L4879" s="8"/>
      <c r="M4879" s="8"/>
      <c r="N4879" s="8">
        <f>514*11.25/1000</f>
        <v>5.7824999999999998</v>
      </c>
      <c r="O4879" s="8"/>
      <c r="P4879" s="8"/>
      <c r="Q4879" s="11"/>
      <c r="R4879" s="11"/>
      <c r="S4879" s="8">
        <v>2.87</v>
      </c>
      <c r="T4879" s="8"/>
      <c r="U4879" s="8">
        <v>5.74</v>
      </c>
      <c r="V4879" s="8"/>
      <c r="W4879" s="8"/>
      <c r="X4879" s="8"/>
      <c r="Y4879" s="8"/>
      <c r="Z4879" s="8"/>
      <c r="AA4879" s="8"/>
      <c r="AB4879" s="8"/>
      <c r="AC4879" s="8"/>
      <c r="AD4879" s="8"/>
      <c r="AE4879" s="8"/>
      <c r="AF4879" s="8"/>
      <c r="AG4879" s="8">
        <v>19.27</v>
      </c>
      <c r="AH4879" s="8"/>
      <c r="AI4879" s="8"/>
      <c r="AJ4879" s="8">
        <f>2609*11.25/1000</f>
        <v>29.35125</v>
      </c>
      <c r="AK4879" s="8"/>
      <c r="AL4879" s="8"/>
      <c r="AM4879" s="8"/>
      <c r="AN4879" s="8"/>
      <c r="AO4879" s="8"/>
      <c r="AP4879" s="11"/>
      <c r="AQ4879" s="8"/>
      <c r="AR4879" s="8"/>
      <c r="AS4879" s="8"/>
      <c r="AT4879" s="8"/>
      <c r="AU4879" s="8">
        <v>338.38</v>
      </c>
      <c r="AV4879" s="8"/>
      <c r="AW4879" s="8"/>
      <c r="AX4879" s="8"/>
      <c r="AY4879" s="8"/>
      <c r="AZ4879" s="8"/>
      <c r="BA4879" s="8"/>
      <c r="BB4879" s="8"/>
      <c r="BC4879" s="8"/>
      <c r="BD4879" s="8"/>
      <c r="BE4879" s="8"/>
      <c r="BF4879" s="8"/>
      <c r="BG4879" s="8">
        <v>23.09</v>
      </c>
      <c r="BH4879" s="9">
        <f t="shared" si="684"/>
        <v>933.89750000000004</v>
      </c>
      <c r="BI4879" s="9">
        <f t="shared" si="685"/>
        <v>5.7824999999999998</v>
      </c>
      <c r="BJ4879" s="9">
        <f t="shared" si="686"/>
        <v>2.87</v>
      </c>
      <c r="BK4879" s="9">
        <f t="shared" si="687"/>
        <v>5.74</v>
      </c>
      <c r="BL4879" s="9">
        <f t="shared" si="688"/>
        <v>0</v>
      </c>
      <c r="BM4879" s="9">
        <f t="shared" si="689"/>
        <v>48.621250000000003</v>
      </c>
      <c r="BN4879" s="9">
        <f t="shared" si="690"/>
        <v>338.38</v>
      </c>
      <c r="BO4879" s="9">
        <f t="shared" si="691"/>
        <v>0</v>
      </c>
      <c r="BP4879" s="9">
        <f t="shared" si="692"/>
        <v>0</v>
      </c>
    </row>
    <row r="4880" spans="1:68">
      <c r="A4880" s="6">
        <v>45484</v>
      </c>
      <c r="B4880" s="7">
        <v>3309</v>
      </c>
      <c r="C4880" s="8"/>
      <c r="D4880" s="8">
        <v>1156.57</v>
      </c>
      <c r="E4880" s="8"/>
      <c r="F4880" s="8"/>
      <c r="G4880" s="8"/>
      <c r="H4880" s="8"/>
      <c r="I4880" s="8"/>
      <c r="J4880" s="8"/>
      <c r="K4880" s="8"/>
      <c r="L4880" s="8"/>
      <c r="M4880" s="8">
        <v>2.29</v>
      </c>
      <c r="N4880" s="8"/>
      <c r="O4880" s="8"/>
      <c r="P4880" s="8"/>
      <c r="Q4880" s="11"/>
      <c r="R4880" s="11"/>
      <c r="S4880" s="8">
        <v>1.74</v>
      </c>
      <c r="T4880" s="8"/>
      <c r="U4880" s="8">
        <v>10.44</v>
      </c>
      <c r="V4880" s="8"/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>
        <v>11.67</v>
      </c>
      <c r="AH4880" s="8"/>
      <c r="AI4880" s="8"/>
      <c r="AJ4880" s="8"/>
      <c r="AK4880" s="8"/>
      <c r="AL4880" s="8"/>
      <c r="AM4880" s="8"/>
      <c r="AN4880" s="8"/>
      <c r="AO4880" s="8"/>
      <c r="AP4880" s="11"/>
      <c r="AQ4880" s="8"/>
      <c r="AR4880" s="8"/>
      <c r="AS4880" s="8"/>
      <c r="AT4880" s="8">
        <v>309.23</v>
      </c>
      <c r="AU4880" s="8">
        <v>154.66</v>
      </c>
      <c r="AV4880" s="8"/>
      <c r="AW4880" s="8"/>
      <c r="AX4880" s="8"/>
      <c r="AY4880" s="8"/>
      <c r="AZ4880" s="8"/>
      <c r="BA4880" s="8"/>
      <c r="BB4880" s="8"/>
      <c r="BC4880" s="8">
        <v>1.08</v>
      </c>
      <c r="BD4880" s="8"/>
      <c r="BE4880" s="8"/>
      <c r="BF4880" s="8"/>
      <c r="BG4880" s="8">
        <v>32.380000000000003</v>
      </c>
      <c r="BH4880" s="9">
        <f t="shared" si="684"/>
        <v>1156.57</v>
      </c>
      <c r="BI4880" s="9">
        <f t="shared" si="685"/>
        <v>2.29</v>
      </c>
      <c r="BJ4880" s="9">
        <f t="shared" si="686"/>
        <v>1.74</v>
      </c>
      <c r="BK4880" s="9">
        <f t="shared" si="687"/>
        <v>10.44</v>
      </c>
      <c r="BL4880" s="9">
        <f t="shared" si="688"/>
        <v>0</v>
      </c>
      <c r="BM4880" s="9">
        <f t="shared" si="689"/>
        <v>11.67</v>
      </c>
      <c r="BN4880" s="9">
        <f t="shared" si="690"/>
        <v>463.89</v>
      </c>
      <c r="BO4880" s="9">
        <f t="shared" si="691"/>
        <v>1.08</v>
      </c>
      <c r="BP4880" s="9">
        <f t="shared" si="692"/>
        <v>0</v>
      </c>
    </row>
    <row r="4881" spans="1:68">
      <c r="A4881" s="6">
        <v>45484</v>
      </c>
      <c r="B4881" s="7">
        <v>3157</v>
      </c>
      <c r="C4881" s="8">
        <v>371.98</v>
      </c>
      <c r="D4881" s="8">
        <v>372.06</v>
      </c>
      <c r="E4881" s="8"/>
      <c r="F4881" s="8"/>
      <c r="G4881" s="8"/>
      <c r="H4881" s="8"/>
      <c r="I4881" s="8"/>
      <c r="J4881" s="8"/>
      <c r="K4881" s="8"/>
      <c r="L4881" s="8"/>
      <c r="M4881" s="8">
        <v>2.99</v>
      </c>
      <c r="N4881" s="8"/>
      <c r="O4881" s="8"/>
      <c r="P4881" s="8"/>
      <c r="Q4881" s="11"/>
      <c r="R4881" s="11"/>
      <c r="S4881" s="8">
        <v>3.73</v>
      </c>
      <c r="T4881" s="8"/>
      <c r="U4881" s="8">
        <v>11.92</v>
      </c>
      <c r="V4881" s="8"/>
      <c r="W4881" s="8"/>
      <c r="X4881" s="8"/>
      <c r="Y4881" s="8"/>
      <c r="Z4881" s="8"/>
      <c r="AA4881" s="8"/>
      <c r="AB4881" s="8"/>
      <c r="AC4881" s="8">
        <v>2.98</v>
      </c>
      <c r="AD4881" s="8"/>
      <c r="AE4881" s="8"/>
      <c r="AF4881" s="8"/>
      <c r="AG4881" s="8">
        <v>3.73</v>
      </c>
      <c r="AH4881" s="8"/>
      <c r="AI4881" s="8"/>
      <c r="AJ4881" s="8"/>
      <c r="AK4881" s="8"/>
      <c r="AL4881" s="8"/>
      <c r="AM4881" s="8"/>
      <c r="AN4881" s="8"/>
      <c r="AO4881" s="8"/>
      <c r="AP4881" s="11"/>
      <c r="AQ4881" s="8"/>
      <c r="AR4881" s="8"/>
      <c r="AS4881" s="8"/>
      <c r="AT4881" s="8">
        <v>479.18</v>
      </c>
      <c r="AU4881" s="8"/>
      <c r="AV4881" s="8"/>
      <c r="AW4881" s="8"/>
      <c r="AX4881" s="8"/>
      <c r="AY4881" s="8"/>
      <c r="AZ4881" s="8"/>
      <c r="BA4881" s="8"/>
      <c r="BB4881" s="8"/>
      <c r="BC4881" s="8"/>
      <c r="BD4881" s="8"/>
      <c r="BE4881" s="8"/>
      <c r="BF4881" s="8"/>
      <c r="BG4881" s="8">
        <v>38.93</v>
      </c>
      <c r="BH4881" s="9">
        <f t="shared" si="684"/>
        <v>744.04</v>
      </c>
      <c r="BI4881" s="9">
        <f t="shared" si="685"/>
        <v>2.99</v>
      </c>
      <c r="BJ4881" s="9">
        <f t="shared" si="686"/>
        <v>3.73</v>
      </c>
      <c r="BK4881" s="9">
        <f t="shared" si="687"/>
        <v>11.92</v>
      </c>
      <c r="BL4881" s="9">
        <f t="shared" si="688"/>
        <v>0</v>
      </c>
      <c r="BM4881" s="9">
        <f t="shared" si="689"/>
        <v>6.71</v>
      </c>
      <c r="BN4881" s="9">
        <f t="shared" si="690"/>
        <v>479.18</v>
      </c>
      <c r="BO4881" s="9">
        <f t="shared" si="691"/>
        <v>0</v>
      </c>
      <c r="BP4881" s="9">
        <f t="shared" si="692"/>
        <v>0</v>
      </c>
    </row>
    <row r="4882" spans="1:68">
      <c r="A4882" s="6">
        <v>45484</v>
      </c>
      <c r="B4882" s="7">
        <v>3156</v>
      </c>
      <c r="C4882" s="8">
        <v>1423.99</v>
      </c>
      <c r="D4882" s="8"/>
      <c r="E4882" s="8"/>
      <c r="F4882" s="8"/>
      <c r="G4882" s="8"/>
      <c r="H4882" s="8"/>
      <c r="I4882" s="8"/>
      <c r="J4882" s="8"/>
      <c r="K4882" s="8"/>
      <c r="L4882" s="8"/>
      <c r="M4882" s="8">
        <v>2.2999999999999998</v>
      </c>
      <c r="N4882" s="8"/>
      <c r="O4882" s="8"/>
      <c r="P4882" s="8"/>
      <c r="Q4882" s="11"/>
      <c r="R4882" s="11"/>
      <c r="S4882" s="8">
        <v>5.7</v>
      </c>
      <c r="T4882" s="8"/>
      <c r="U4882" s="8">
        <v>14.25</v>
      </c>
      <c r="V4882" s="8"/>
      <c r="W4882" s="8"/>
      <c r="X4882" s="8"/>
      <c r="Y4882" s="8"/>
      <c r="Z4882" s="8"/>
      <c r="AA4882" s="8"/>
      <c r="AB4882" s="8"/>
      <c r="AC4882" s="8">
        <v>3.56</v>
      </c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11"/>
      <c r="AQ4882" s="8"/>
      <c r="AR4882" s="8"/>
      <c r="AS4882" s="8"/>
      <c r="AT4882" s="8">
        <v>668.71</v>
      </c>
      <c r="AU4882" s="8"/>
      <c r="AV4882" s="8"/>
      <c r="AW4882" s="8"/>
      <c r="AX4882" s="8">
        <v>3.09</v>
      </c>
      <c r="AY4882" s="8"/>
      <c r="AZ4882" s="8"/>
      <c r="BA4882" s="8"/>
      <c r="BB4882" s="8"/>
      <c r="BC4882" s="8"/>
      <c r="BD4882" s="8"/>
      <c r="BE4882" s="8"/>
      <c r="BF4882" s="8"/>
      <c r="BG4882" s="8">
        <v>52.14</v>
      </c>
      <c r="BH4882" s="9">
        <f t="shared" si="684"/>
        <v>1423.99</v>
      </c>
      <c r="BI4882" s="9">
        <f t="shared" si="685"/>
        <v>2.2999999999999998</v>
      </c>
      <c r="BJ4882" s="9">
        <f t="shared" si="686"/>
        <v>5.7</v>
      </c>
      <c r="BK4882" s="9">
        <f t="shared" si="687"/>
        <v>14.25</v>
      </c>
      <c r="BL4882" s="9">
        <f t="shared" si="688"/>
        <v>0</v>
      </c>
      <c r="BM4882" s="9">
        <f t="shared" si="689"/>
        <v>3.56</v>
      </c>
      <c r="BN4882" s="9">
        <f t="shared" si="690"/>
        <v>668.71</v>
      </c>
      <c r="BO4882" s="9">
        <f t="shared" si="691"/>
        <v>3.09</v>
      </c>
      <c r="BP4882" s="9">
        <f t="shared" si="692"/>
        <v>0</v>
      </c>
    </row>
    <row r="4883" spans="1:68">
      <c r="A4883" s="6">
        <v>45484</v>
      </c>
      <c r="B4883" s="7">
        <v>3105</v>
      </c>
      <c r="C4883" s="8">
        <v>1135</v>
      </c>
      <c r="D4883" s="8"/>
      <c r="E4883" s="8"/>
      <c r="F4883" s="8"/>
      <c r="G4883" s="8"/>
      <c r="H4883" s="8"/>
      <c r="I4883" s="8"/>
      <c r="J4883" s="8"/>
      <c r="K4883" s="8"/>
      <c r="L4883" s="8"/>
      <c r="M4883" s="8">
        <v>2.95</v>
      </c>
      <c r="N4883" s="8"/>
      <c r="O4883" s="8"/>
      <c r="P4883" s="8"/>
      <c r="Q4883" s="11"/>
      <c r="R4883" s="11"/>
      <c r="S4883" s="8">
        <v>3.64</v>
      </c>
      <c r="T4883" s="8"/>
      <c r="U4883" s="8">
        <v>14.45</v>
      </c>
      <c r="V4883" s="8"/>
      <c r="W4883" s="8"/>
      <c r="X4883" s="8"/>
      <c r="Y4883" s="8"/>
      <c r="Z4883" s="8"/>
      <c r="AA4883" s="8"/>
      <c r="AB4883" s="8"/>
      <c r="AC4883" s="8">
        <v>4.53</v>
      </c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11"/>
      <c r="AQ4883" s="8"/>
      <c r="AR4883" s="8"/>
      <c r="AS4883" s="8"/>
      <c r="AT4883" s="8">
        <v>648.78</v>
      </c>
      <c r="AU4883" s="8"/>
      <c r="AV4883" s="8">
        <v>3.96</v>
      </c>
      <c r="AW4883" s="8"/>
      <c r="AX4883" s="8"/>
      <c r="AY4883" s="8"/>
      <c r="AZ4883" s="8"/>
      <c r="BA4883" s="8"/>
      <c r="BB4883" s="8"/>
      <c r="BC4883" s="8"/>
      <c r="BD4883" s="8"/>
      <c r="BE4883" s="8"/>
      <c r="BF4883" s="8"/>
      <c r="BG4883" s="8">
        <v>48.67</v>
      </c>
      <c r="BH4883" s="9">
        <f t="shared" si="684"/>
        <v>1135</v>
      </c>
      <c r="BI4883" s="9">
        <f t="shared" si="685"/>
        <v>2.95</v>
      </c>
      <c r="BJ4883" s="9">
        <f t="shared" si="686"/>
        <v>3.64</v>
      </c>
      <c r="BK4883" s="9">
        <f t="shared" si="687"/>
        <v>14.45</v>
      </c>
      <c r="BL4883" s="9">
        <f t="shared" si="688"/>
        <v>0</v>
      </c>
      <c r="BM4883" s="9">
        <f t="shared" si="689"/>
        <v>4.53</v>
      </c>
      <c r="BN4883" s="9">
        <f t="shared" si="690"/>
        <v>648.78</v>
      </c>
      <c r="BO4883" s="9">
        <f t="shared" si="691"/>
        <v>3.96</v>
      </c>
      <c r="BP4883" s="9">
        <f t="shared" si="692"/>
        <v>0</v>
      </c>
    </row>
    <row r="4884" spans="1:68">
      <c r="A4884" s="6">
        <v>45484</v>
      </c>
      <c r="B4884" s="7">
        <v>8360</v>
      </c>
      <c r="C4884" s="8">
        <v>1746.7</v>
      </c>
      <c r="D4884" s="8"/>
      <c r="E4884" s="8">
        <v>750.15</v>
      </c>
      <c r="F4884" s="8"/>
      <c r="G4884" s="8"/>
      <c r="H4884" s="8"/>
      <c r="I4884" s="8"/>
      <c r="J4884" s="8"/>
      <c r="K4884" s="8"/>
      <c r="L4884" s="8"/>
      <c r="M4884" s="8"/>
      <c r="N4884" s="8"/>
      <c r="O4884" s="8">
        <v>4.24</v>
      </c>
      <c r="P4884" s="8"/>
      <c r="Q4884" s="11"/>
      <c r="R4884" s="11"/>
      <c r="S4884" s="8">
        <v>12.98</v>
      </c>
      <c r="T4884" s="8"/>
      <c r="U4884" s="8">
        <v>40</v>
      </c>
      <c r="V4884" s="8"/>
      <c r="W4884" s="8"/>
      <c r="X4884" s="8"/>
      <c r="Y4884" s="8"/>
      <c r="Z4884" s="8">
        <v>500.17</v>
      </c>
      <c r="AA4884" s="8"/>
      <c r="AB4884" s="8">
        <f>1064*24.98/1000</f>
        <v>26.578720000000001</v>
      </c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11"/>
      <c r="AQ4884" s="8"/>
      <c r="AR4884" s="8"/>
      <c r="AS4884" s="8"/>
      <c r="AT4884" s="8">
        <v>1445.58</v>
      </c>
      <c r="AU4884" s="8"/>
      <c r="AV4884" s="8"/>
      <c r="AW4884" s="8">
        <v>7.23</v>
      </c>
      <c r="AX4884" s="8"/>
      <c r="AY4884" s="8"/>
      <c r="AZ4884" s="8"/>
      <c r="BA4884" s="8"/>
      <c r="BB4884" s="8"/>
      <c r="BC4884" s="8"/>
      <c r="BD4884" s="8"/>
      <c r="BE4884" s="8"/>
      <c r="BF4884" s="8">
        <v>112.5</v>
      </c>
      <c r="BG4884" s="8">
        <v>104.9</v>
      </c>
      <c r="BH4884" s="9">
        <f t="shared" si="684"/>
        <v>2496.85</v>
      </c>
      <c r="BI4884" s="9">
        <f t="shared" si="685"/>
        <v>4.24</v>
      </c>
      <c r="BJ4884" s="9">
        <f t="shared" si="686"/>
        <v>12.98</v>
      </c>
      <c r="BK4884" s="9">
        <f t="shared" si="687"/>
        <v>40</v>
      </c>
      <c r="BL4884" s="9">
        <f t="shared" si="688"/>
        <v>500.17</v>
      </c>
      <c r="BM4884" s="9">
        <f t="shared" si="689"/>
        <v>26.578720000000001</v>
      </c>
      <c r="BN4884" s="9">
        <f t="shared" si="690"/>
        <v>1445.58</v>
      </c>
      <c r="BO4884" s="9">
        <f t="shared" si="691"/>
        <v>7.23</v>
      </c>
      <c r="BP4884" s="9">
        <f t="shared" si="692"/>
        <v>112.5</v>
      </c>
    </row>
    <row r="4885" spans="1:68">
      <c r="A4885" s="6">
        <v>45485</v>
      </c>
      <c r="B4885" s="7">
        <v>3119</v>
      </c>
      <c r="C4885" s="8"/>
      <c r="D4885" s="8">
        <v>2534.61</v>
      </c>
      <c r="E4885" s="8"/>
      <c r="F4885" s="8"/>
      <c r="G4885" s="8"/>
      <c r="H4885" s="8"/>
      <c r="I4885" s="8"/>
      <c r="J4885" s="8"/>
      <c r="K4885" s="8"/>
      <c r="L4885" s="8"/>
      <c r="M4885" s="8">
        <v>8.6</v>
      </c>
      <c r="N4885" s="8"/>
      <c r="O4885" s="8"/>
      <c r="P4885" s="8"/>
      <c r="Q4885" s="11"/>
      <c r="R4885" s="11"/>
      <c r="S4885" s="8">
        <v>11.65</v>
      </c>
      <c r="T4885" s="8"/>
      <c r="U4885" s="8">
        <v>25.36</v>
      </c>
      <c r="V4885" s="8"/>
      <c r="W4885" s="8"/>
      <c r="X4885" s="8"/>
      <c r="Y4885" s="8"/>
      <c r="Z4885" s="8"/>
      <c r="AA4885" s="8"/>
      <c r="AB4885" s="8"/>
      <c r="AC4885" s="8">
        <v>6.33</v>
      </c>
      <c r="AD4885" s="8"/>
      <c r="AE4885" s="8"/>
      <c r="AF4885" s="8"/>
      <c r="AG4885" s="8">
        <v>7.65</v>
      </c>
      <c r="AH4885" s="8"/>
      <c r="AI4885" s="8"/>
      <c r="AJ4885" s="8"/>
      <c r="AK4885" s="8"/>
      <c r="AL4885" s="8"/>
      <c r="AM4885" s="8"/>
      <c r="AN4885" s="8"/>
      <c r="AO4885" s="8"/>
      <c r="AP4885" s="11"/>
      <c r="AQ4885" s="8"/>
      <c r="AR4885" s="8"/>
      <c r="AS4885" s="8"/>
      <c r="AT4885" s="8">
        <v>948.88</v>
      </c>
      <c r="AU4885" s="8"/>
      <c r="AV4885" s="8"/>
      <c r="AW4885" s="8"/>
      <c r="AX4885" s="8"/>
      <c r="AY4885" s="8"/>
      <c r="AZ4885" s="8"/>
      <c r="BA4885" s="8"/>
      <c r="BB4885" s="8"/>
      <c r="BC4885" s="8"/>
      <c r="BD4885" s="8"/>
      <c r="BE4885" s="8"/>
      <c r="BF4885" s="8">
        <v>177.38</v>
      </c>
      <c r="BG4885" s="8">
        <v>67.52</v>
      </c>
      <c r="BH4885" s="9">
        <f t="shared" si="684"/>
        <v>2534.61</v>
      </c>
      <c r="BI4885" s="9">
        <f t="shared" si="685"/>
        <v>8.6</v>
      </c>
      <c r="BJ4885" s="9">
        <f t="shared" si="686"/>
        <v>11.65</v>
      </c>
      <c r="BK4885" s="9">
        <f t="shared" si="687"/>
        <v>25.36</v>
      </c>
      <c r="BL4885" s="9">
        <f t="shared" si="688"/>
        <v>0</v>
      </c>
      <c r="BM4885" s="9">
        <f t="shared" si="689"/>
        <v>13.98</v>
      </c>
      <c r="BN4885" s="9">
        <f t="shared" si="690"/>
        <v>948.88</v>
      </c>
      <c r="BO4885" s="9">
        <f t="shared" si="691"/>
        <v>0</v>
      </c>
      <c r="BP4885" s="9">
        <f t="shared" si="692"/>
        <v>177.38</v>
      </c>
    </row>
    <row r="4886" spans="1:68">
      <c r="A4886" s="6">
        <v>45485</v>
      </c>
      <c r="B4886" s="7">
        <v>3016</v>
      </c>
      <c r="C4886" s="8"/>
      <c r="D4886" s="8">
        <v>2366.59</v>
      </c>
      <c r="E4886" s="8"/>
      <c r="F4886" s="8"/>
      <c r="G4886" s="8"/>
      <c r="H4886" s="8"/>
      <c r="I4886" s="8">
        <v>2181.9899999999998</v>
      </c>
      <c r="J4886" s="8"/>
      <c r="K4886" s="8"/>
      <c r="L4886" s="8"/>
      <c r="M4886" s="8"/>
      <c r="N4886" s="8">
        <v>29.58</v>
      </c>
      <c r="O4886" s="8"/>
      <c r="P4886" s="8"/>
      <c r="Q4886" s="11"/>
      <c r="R4886" s="11"/>
      <c r="S4886" s="8">
        <v>3.18</v>
      </c>
      <c r="T4886" s="8"/>
      <c r="U4886" s="8"/>
      <c r="V4886" s="8"/>
      <c r="W4886" s="8">
        <v>45.47</v>
      </c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>
        <v>18.079999999999998</v>
      </c>
      <c r="AN4886" s="8">
        <f>2059*26.75/1000</f>
        <v>55.078249999999997</v>
      </c>
      <c r="AO4886" s="8"/>
      <c r="AP4886" s="11"/>
      <c r="AQ4886" s="8"/>
      <c r="AR4886" s="8">
        <f>4292*26.75/1000</f>
        <v>114.81100000000001</v>
      </c>
      <c r="AS4886" s="8"/>
      <c r="AT4886" s="8">
        <v>1691.94</v>
      </c>
      <c r="AU4886" s="8"/>
      <c r="AV4886" s="8"/>
      <c r="AW4886" s="8"/>
      <c r="AX4886" s="8"/>
      <c r="AY4886" s="8"/>
      <c r="AZ4886" s="8"/>
      <c r="BA4886" s="8"/>
      <c r="BB4886" s="8"/>
      <c r="BC4886" s="8"/>
      <c r="BD4886" s="8"/>
      <c r="BE4886" s="8"/>
      <c r="BF4886" s="8"/>
      <c r="BG4886" s="8">
        <v>123.79</v>
      </c>
      <c r="BH4886" s="9">
        <f t="shared" si="684"/>
        <v>4548.58</v>
      </c>
      <c r="BI4886" s="9">
        <f t="shared" si="685"/>
        <v>29.58</v>
      </c>
      <c r="BJ4886" s="9">
        <f t="shared" si="686"/>
        <v>3.18</v>
      </c>
      <c r="BK4886" s="9">
        <f t="shared" si="687"/>
        <v>45.47</v>
      </c>
      <c r="BL4886" s="9">
        <f t="shared" si="688"/>
        <v>0</v>
      </c>
      <c r="BM4886" s="9">
        <f t="shared" si="689"/>
        <v>187.96924999999999</v>
      </c>
      <c r="BN4886" s="9">
        <f t="shared" si="690"/>
        <v>1691.94</v>
      </c>
      <c r="BO4886" s="9">
        <f t="shared" si="691"/>
        <v>0</v>
      </c>
      <c r="BP4886" s="9">
        <f t="shared" si="692"/>
        <v>0</v>
      </c>
    </row>
    <row r="4887" spans="1:68">
      <c r="A4887" s="6">
        <v>45485</v>
      </c>
      <c r="B4887" s="7">
        <v>3027</v>
      </c>
      <c r="C4887" s="8"/>
      <c r="D4887" s="8">
        <v>969.99</v>
      </c>
      <c r="E4887" s="8"/>
      <c r="F4887" s="8"/>
      <c r="G4887" s="8"/>
      <c r="H4887" s="8"/>
      <c r="I4887" s="8">
        <v>793.52</v>
      </c>
      <c r="J4887" s="8"/>
      <c r="K4887" s="8"/>
      <c r="L4887" s="8"/>
      <c r="M4887" s="8"/>
      <c r="N4887" s="8">
        <v>10.039999999999999</v>
      </c>
      <c r="O4887" s="8"/>
      <c r="P4887" s="8"/>
      <c r="Q4887" s="11"/>
      <c r="R4887" s="11"/>
      <c r="S4887" s="8">
        <v>2.82</v>
      </c>
      <c r="T4887" s="8"/>
      <c r="U4887" s="8"/>
      <c r="V4887" s="8"/>
      <c r="W4887" s="8">
        <v>13.23</v>
      </c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>
        <v>17.57</v>
      </c>
      <c r="AN4887" s="8">
        <f>1238*10.05/1000</f>
        <v>12.441900000000002</v>
      </c>
      <c r="AO4887" s="8"/>
      <c r="AP4887" s="11"/>
      <c r="AQ4887" s="8"/>
      <c r="AR4887" s="8"/>
      <c r="AS4887" s="8">
        <f>5794*10.05/1000</f>
        <v>58.229700000000001</v>
      </c>
      <c r="AT4887" s="8">
        <v>587.45000000000005</v>
      </c>
      <c r="AU4887" s="8"/>
      <c r="AV4887" s="8"/>
      <c r="AW4887" s="8"/>
      <c r="AX4887" s="8"/>
      <c r="AY4887" s="8"/>
      <c r="AZ4887" s="8"/>
      <c r="BA4887" s="8"/>
      <c r="BB4887" s="8"/>
      <c r="BC4887" s="8"/>
      <c r="BD4887" s="8"/>
      <c r="BE4887" s="8"/>
      <c r="BF4887" s="8"/>
      <c r="BG4887" s="8">
        <v>41.62</v>
      </c>
      <c r="BH4887" s="9">
        <f t="shared" si="684"/>
        <v>1763.51</v>
      </c>
      <c r="BI4887" s="9">
        <f t="shared" si="685"/>
        <v>10.039999999999999</v>
      </c>
      <c r="BJ4887" s="9">
        <f t="shared" si="686"/>
        <v>2.82</v>
      </c>
      <c r="BK4887" s="9">
        <f t="shared" si="687"/>
        <v>13.23</v>
      </c>
      <c r="BL4887" s="9">
        <f t="shared" si="688"/>
        <v>0</v>
      </c>
      <c r="BM4887" s="9">
        <f t="shared" si="689"/>
        <v>88.241600000000005</v>
      </c>
      <c r="BN4887" s="9">
        <f t="shared" si="690"/>
        <v>587.45000000000005</v>
      </c>
      <c r="BO4887" s="9">
        <f t="shared" si="691"/>
        <v>0</v>
      </c>
      <c r="BP4887" s="9">
        <f t="shared" si="692"/>
        <v>0</v>
      </c>
    </row>
    <row r="4888" spans="1:68">
      <c r="A4888" s="6">
        <v>45485</v>
      </c>
      <c r="B4888" s="7">
        <v>3025</v>
      </c>
      <c r="C4888" s="8"/>
      <c r="D4888" s="8">
        <v>213.67</v>
      </c>
      <c r="E4888" s="8"/>
      <c r="F4888" s="8"/>
      <c r="G4888" s="8"/>
      <c r="H4888" s="8"/>
      <c r="I4888" s="8">
        <v>1194.8900000000001</v>
      </c>
      <c r="J4888" s="8"/>
      <c r="K4888" s="8"/>
      <c r="L4888" s="8"/>
      <c r="M4888" s="8"/>
      <c r="N4888" s="8">
        <v>7.88</v>
      </c>
      <c r="O4888" s="8"/>
      <c r="P4888" s="8"/>
      <c r="Q4888" s="11"/>
      <c r="R4888" s="11"/>
      <c r="S4888" s="8">
        <v>2.25</v>
      </c>
      <c r="T4888" s="8"/>
      <c r="U4888" s="8"/>
      <c r="V4888" s="8"/>
      <c r="W4888" s="8">
        <v>12.66</v>
      </c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>
        <v>14.02</v>
      </c>
      <c r="AN4888" s="8">
        <f>709*14.07/1000</f>
        <v>9.9756300000000007</v>
      </c>
      <c r="AO4888" s="8"/>
      <c r="AP4888" s="11"/>
      <c r="AQ4888" s="8"/>
      <c r="AR4888" s="8"/>
      <c r="AS4888" s="8">
        <f>3314*14.07/1000</f>
        <v>46.627980000000001</v>
      </c>
      <c r="AT4888" s="8">
        <v>487.49</v>
      </c>
      <c r="AU4888" s="8"/>
      <c r="AV4888" s="8"/>
      <c r="AW4888" s="8"/>
      <c r="AX4888" s="8"/>
      <c r="AY4888" s="8"/>
      <c r="AZ4888" s="8"/>
      <c r="BA4888" s="8"/>
      <c r="BB4888" s="8"/>
      <c r="BC4888" s="8"/>
      <c r="BD4888" s="8"/>
      <c r="BE4888" s="8"/>
      <c r="BF4888" s="8"/>
      <c r="BG4888" s="8">
        <v>32.32</v>
      </c>
      <c r="BH4888" s="9">
        <f t="shared" si="684"/>
        <v>1408.5600000000002</v>
      </c>
      <c r="BI4888" s="9">
        <f t="shared" si="685"/>
        <v>7.88</v>
      </c>
      <c r="BJ4888" s="9">
        <f t="shared" si="686"/>
        <v>2.25</v>
      </c>
      <c r="BK4888" s="9">
        <f t="shared" si="687"/>
        <v>12.66</v>
      </c>
      <c r="BL4888" s="9">
        <f t="shared" si="688"/>
        <v>0</v>
      </c>
      <c r="BM4888" s="9">
        <f t="shared" si="689"/>
        <v>70.623609999999999</v>
      </c>
      <c r="BN4888" s="9">
        <f t="shared" si="690"/>
        <v>487.49</v>
      </c>
      <c r="BO4888" s="9">
        <f t="shared" si="691"/>
        <v>0</v>
      </c>
      <c r="BP4888" s="9">
        <f t="shared" si="692"/>
        <v>0</v>
      </c>
    </row>
    <row r="4889" spans="1:68">
      <c r="A4889" s="6">
        <v>45485</v>
      </c>
      <c r="B4889" s="7">
        <v>3028</v>
      </c>
      <c r="C4889" s="8"/>
      <c r="D4889" s="8">
        <v>1075.98</v>
      </c>
      <c r="E4889" s="8"/>
      <c r="F4889" s="8">
        <v>992.76</v>
      </c>
      <c r="G4889" s="8"/>
      <c r="H4889" s="8"/>
      <c r="I4889" s="8">
        <v>2245.08</v>
      </c>
      <c r="J4889" s="8"/>
      <c r="K4889" s="8"/>
      <c r="L4889" s="8"/>
      <c r="M4889" s="8"/>
      <c r="N4889" s="8">
        <v>33.68</v>
      </c>
      <c r="O4889" s="8"/>
      <c r="P4889" s="8"/>
      <c r="Q4889" s="11"/>
      <c r="R4889" s="11"/>
      <c r="S4889" s="8">
        <v>6.03</v>
      </c>
      <c r="T4889" s="8"/>
      <c r="U4889" s="8"/>
      <c r="V4889" s="8"/>
      <c r="W4889" s="8">
        <v>32.39</v>
      </c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>
        <v>43.23</v>
      </c>
      <c r="AN4889" s="8">
        <f>1058*28.78/1000</f>
        <v>30.449240000000003</v>
      </c>
      <c r="AO4889" s="8"/>
      <c r="AP4889" s="11"/>
      <c r="AQ4889" s="8"/>
      <c r="AR4889" s="8"/>
      <c r="AS4889" s="8">
        <f>4972*28.78/1000</f>
        <v>143.09416000000002</v>
      </c>
      <c r="AT4889" s="8">
        <v>1443.37</v>
      </c>
      <c r="AU4889" s="8"/>
      <c r="AV4889" s="8"/>
      <c r="AW4889" s="8"/>
      <c r="AX4889" s="8"/>
      <c r="AY4889" s="8"/>
      <c r="AZ4889" s="8"/>
      <c r="BA4889" s="8"/>
      <c r="BB4889" s="8"/>
      <c r="BC4889" s="8"/>
      <c r="BD4889" s="8"/>
      <c r="BE4889" s="8"/>
      <c r="BF4889" s="8"/>
      <c r="BG4889" s="8">
        <v>97.37</v>
      </c>
      <c r="BH4889" s="9">
        <f t="shared" si="684"/>
        <v>4313.82</v>
      </c>
      <c r="BI4889" s="9">
        <f t="shared" si="685"/>
        <v>33.68</v>
      </c>
      <c r="BJ4889" s="9">
        <f t="shared" si="686"/>
        <v>6.03</v>
      </c>
      <c r="BK4889" s="9">
        <f t="shared" si="687"/>
        <v>32.39</v>
      </c>
      <c r="BL4889" s="9">
        <f t="shared" si="688"/>
        <v>0</v>
      </c>
      <c r="BM4889" s="9">
        <f t="shared" si="689"/>
        <v>216.77340000000001</v>
      </c>
      <c r="BN4889" s="9">
        <f t="shared" si="690"/>
        <v>1443.37</v>
      </c>
      <c r="BO4889" s="9">
        <f t="shared" si="691"/>
        <v>0</v>
      </c>
      <c r="BP4889" s="9">
        <f t="shared" si="692"/>
        <v>0</v>
      </c>
    </row>
    <row r="4890" spans="1:68">
      <c r="A4890" s="6">
        <v>45485</v>
      </c>
      <c r="B4890" s="7">
        <v>3010</v>
      </c>
      <c r="C4890" s="8">
        <v>640.98</v>
      </c>
      <c r="D4890" s="8">
        <v>428.9</v>
      </c>
      <c r="E4890" s="8"/>
      <c r="F4890" s="8"/>
      <c r="G4890" s="8"/>
      <c r="H4890" s="8"/>
      <c r="I4890" s="8"/>
      <c r="J4890" s="8"/>
      <c r="K4890" s="8"/>
      <c r="L4890" s="8"/>
      <c r="M4890" s="8"/>
      <c r="N4890" s="8">
        <v>2.15</v>
      </c>
      <c r="O4890" s="8"/>
      <c r="P4890" s="8"/>
      <c r="Q4890" s="11"/>
      <c r="R4890" s="11"/>
      <c r="S4890" s="8">
        <v>3</v>
      </c>
      <c r="T4890" s="8"/>
      <c r="U4890" s="8"/>
      <c r="V4890" s="8"/>
      <c r="W4890" s="8">
        <v>10.72</v>
      </c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11"/>
      <c r="AQ4890" s="8"/>
      <c r="AR4890" s="8"/>
      <c r="AS4890" s="8"/>
      <c r="AT4890" s="8">
        <v>359.02</v>
      </c>
      <c r="AU4890" s="8"/>
      <c r="AV4890" s="8"/>
      <c r="AW4890" s="8">
        <v>11.9</v>
      </c>
      <c r="AX4890" s="8"/>
      <c r="AY4890" s="8"/>
      <c r="AZ4890" s="8"/>
      <c r="BA4890" s="8"/>
      <c r="BB4890" s="8"/>
      <c r="BC4890" s="8"/>
      <c r="BD4890" s="8"/>
      <c r="BE4890" s="8"/>
      <c r="BF4890" s="8"/>
      <c r="BG4890" s="8">
        <v>23.65</v>
      </c>
      <c r="BH4890" s="9">
        <f t="shared" si="684"/>
        <v>1069.8800000000001</v>
      </c>
      <c r="BI4890" s="9">
        <f t="shared" si="685"/>
        <v>2.15</v>
      </c>
      <c r="BJ4890" s="9">
        <f t="shared" si="686"/>
        <v>3</v>
      </c>
      <c r="BK4890" s="9">
        <f t="shared" si="687"/>
        <v>10.72</v>
      </c>
      <c r="BL4890" s="9">
        <f t="shared" si="688"/>
        <v>0</v>
      </c>
      <c r="BM4890" s="9">
        <f t="shared" si="689"/>
        <v>0</v>
      </c>
      <c r="BN4890" s="9">
        <f t="shared" si="690"/>
        <v>359.02</v>
      </c>
      <c r="BO4890" s="9">
        <f t="shared" si="691"/>
        <v>11.9</v>
      </c>
      <c r="BP4890" s="9">
        <f t="shared" si="692"/>
        <v>0</v>
      </c>
    </row>
    <row r="4891" spans="1:68">
      <c r="A4891" s="6">
        <v>45485</v>
      </c>
      <c r="B4891" s="7">
        <v>3203</v>
      </c>
      <c r="C4891" s="8">
        <v>880.76</v>
      </c>
      <c r="D4891" s="8"/>
      <c r="E4891" s="8">
        <v>377.41</v>
      </c>
      <c r="F4891" s="8"/>
      <c r="G4891" s="8"/>
      <c r="H4891" s="8"/>
      <c r="I4891" s="8"/>
      <c r="J4891" s="8"/>
      <c r="K4891" s="8"/>
      <c r="L4891" s="8"/>
      <c r="M4891" s="8"/>
      <c r="N4891" s="8"/>
      <c r="O4891" s="8">
        <v>3.79</v>
      </c>
      <c r="P4891" s="8"/>
      <c r="Q4891" s="11"/>
      <c r="R4891" s="11"/>
      <c r="S4891" s="8">
        <v>5.18</v>
      </c>
      <c r="T4891" s="8"/>
      <c r="U4891" s="8">
        <v>15.64</v>
      </c>
      <c r="V4891" s="8"/>
      <c r="W4891" s="8"/>
      <c r="X4891" s="8"/>
      <c r="Y4891" s="8"/>
      <c r="Z4891" s="8">
        <v>198.66</v>
      </c>
      <c r="AA4891" s="8">
        <f>10472*14.83/1000</f>
        <v>155.29976000000002</v>
      </c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11"/>
      <c r="AQ4891" s="8"/>
      <c r="AR4891" s="8"/>
      <c r="AS4891" s="8"/>
      <c r="AT4891" s="8">
        <v>471.54</v>
      </c>
      <c r="AU4891" s="8">
        <v>236</v>
      </c>
      <c r="AV4891" s="8"/>
      <c r="AW4891" s="8"/>
      <c r="AX4891" s="8"/>
      <c r="AY4891" s="8"/>
      <c r="AZ4891" s="8"/>
      <c r="BA4891" s="8"/>
      <c r="BB4891" s="8"/>
      <c r="BC4891" s="8">
        <v>3.28</v>
      </c>
      <c r="BD4891" s="8"/>
      <c r="BE4891" s="8"/>
      <c r="BF4891" s="8"/>
      <c r="BG4891" s="8">
        <v>45.81</v>
      </c>
      <c r="BH4891" s="9">
        <f t="shared" si="684"/>
        <v>1258.17</v>
      </c>
      <c r="BI4891" s="9">
        <f t="shared" si="685"/>
        <v>3.79</v>
      </c>
      <c r="BJ4891" s="9">
        <f t="shared" si="686"/>
        <v>5.18</v>
      </c>
      <c r="BK4891" s="9">
        <f t="shared" si="687"/>
        <v>15.64</v>
      </c>
      <c r="BL4891" s="9">
        <f t="shared" si="688"/>
        <v>353.95976000000002</v>
      </c>
      <c r="BM4891" s="9">
        <f t="shared" si="689"/>
        <v>0</v>
      </c>
      <c r="BN4891" s="9">
        <f t="shared" si="690"/>
        <v>707.54</v>
      </c>
      <c r="BO4891" s="9">
        <f t="shared" si="691"/>
        <v>3.28</v>
      </c>
      <c r="BP4891" s="9">
        <f t="shared" si="692"/>
        <v>0</v>
      </c>
    </row>
    <row r="4892" spans="1:68">
      <c r="A4892" s="6">
        <v>45485</v>
      </c>
      <c r="B4892" s="7">
        <v>3705</v>
      </c>
      <c r="C4892" s="8"/>
      <c r="D4892" s="8">
        <v>694</v>
      </c>
      <c r="E4892" s="8"/>
      <c r="F4892" s="8"/>
      <c r="G4892" s="8"/>
      <c r="H4892" s="8"/>
      <c r="I4892" s="8">
        <v>152.35</v>
      </c>
      <c r="J4892" s="8"/>
      <c r="K4892" s="8"/>
      <c r="L4892" s="8"/>
      <c r="M4892" s="8">
        <v>2.54</v>
      </c>
      <c r="N4892" s="8"/>
      <c r="O4892" s="8"/>
      <c r="P4892" s="8"/>
      <c r="Q4892" s="11"/>
      <c r="R4892" s="11"/>
      <c r="S4892" s="8">
        <v>2.96</v>
      </c>
      <c r="T4892" s="8"/>
      <c r="U4892" s="8">
        <v>5.93</v>
      </c>
      <c r="V4892" s="8"/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11"/>
      <c r="AQ4892" s="8"/>
      <c r="AR4892" s="8"/>
      <c r="AS4892" s="8"/>
      <c r="AT4892" s="8">
        <v>50.73</v>
      </c>
      <c r="AU4892" s="8">
        <v>100.57</v>
      </c>
      <c r="AV4892" s="8"/>
      <c r="AW4892" s="8"/>
      <c r="AX4892" s="8"/>
      <c r="AY4892" s="8"/>
      <c r="AZ4892" s="8"/>
      <c r="BA4892" s="8"/>
      <c r="BB4892" s="8"/>
      <c r="BC4892" s="8"/>
      <c r="BD4892" s="8">
        <v>1.69</v>
      </c>
      <c r="BE4892" s="8"/>
      <c r="BF4892" s="8"/>
      <c r="BG4892" s="8">
        <v>8.31</v>
      </c>
      <c r="BH4892" s="9">
        <f t="shared" si="684"/>
        <v>846.35</v>
      </c>
      <c r="BI4892" s="9">
        <f t="shared" si="685"/>
        <v>2.54</v>
      </c>
      <c r="BJ4892" s="9">
        <f t="shared" si="686"/>
        <v>2.96</v>
      </c>
      <c r="BK4892" s="9">
        <f t="shared" si="687"/>
        <v>5.93</v>
      </c>
      <c r="BL4892" s="9">
        <f t="shared" si="688"/>
        <v>0</v>
      </c>
      <c r="BM4892" s="9">
        <f t="shared" si="689"/>
        <v>0</v>
      </c>
      <c r="BN4892" s="9">
        <f t="shared" si="690"/>
        <v>151.29999999999998</v>
      </c>
      <c r="BO4892" s="9">
        <f t="shared" si="691"/>
        <v>1.69</v>
      </c>
      <c r="BP4892" s="9">
        <f t="shared" si="692"/>
        <v>0</v>
      </c>
    </row>
    <row r="4893" spans="1:68">
      <c r="A4893" s="6">
        <v>45485</v>
      </c>
      <c r="B4893" s="7">
        <v>3602</v>
      </c>
      <c r="C4893" s="8">
        <v>577.41999999999996</v>
      </c>
      <c r="D4893" s="8"/>
      <c r="E4893" s="8"/>
      <c r="F4893" s="8"/>
      <c r="G4893" s="8">
        <v>865.89</v>
      </c>
      <c r="H4893" s="8"/>
      <c r="I4893" s="8"/>
      <c r="J4893" s="8"/>
      <c r="K4893" s="8"/>
      <c r="L4893" s="8"/>
      <c r="M4893" s="8">
        <v>1.73</v>
      </c>
      <c r="N4893" s="8"/>
      <c r="O4893" s="8"/>
      <c r="P4893" s="8"/>
      <c r="Q4893" s="11"/>
      <c r="R4893" s="11"/>
      <c r="S4893" s="8">
        <v>6.01</v>
      </c>
      <c r="T4893" s="8"/>
      <c r="U4893" s="8">
        <v>11.56</v>
      </c>
      <c r="V4893" s="8">
        <f>861*16.5/1000</f>
        <v>14.2065</v>
      </c>
      <c r="W4893" s="8"/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11"/>
      <c r="AQ4893" s="8"/>
      <c r="AR4893" s="8"/>
      <c r="AS4893" s="8"/>
      <c r="AT4893" s="8">
        <v>582.54999999999995</v>
      </c>
      <c r="AU4893" s="8"/>
      <c r="AV4893" s="8"/>
      <c r="AW4893" s="8">
        <v>37.35</v>
      </c>
      <c r="AX4893" s="8"/>
      <c r="AY4893" s="8"/>
      <c r="AZ4893" s="8"/>
      <c r="BA4893" s="8"/>
      <c r="BB4893" s="8"/>
      <c r="BC4893" s="8"/>
      <c r="BD4893" s="8"/>
      <c r="BE4893" s="8"/>
      <c r="BF4893" s="8">
        <v>46.28</v>
      </c>
      <c r="BG4893" s="8">
        <v>43.51</v>
      </c>
      <c r="BH4893" s="9">
        <f t="shared" si="684"/>
        <v>1443.31</v>
      </c>
      <c r="BI4893" s="9">
        <f t="shared" si="685"/>
        <v>1.73</v>
      </c>
      <c r="BJ4893" s="9">
        <f t="shared" si="686"/>
        <v>6.01</v>
      </c>
      <c r="BK4893" s="9">
        <f t="shared" si="687"/>
        <v>25.766500000000001</v>
      </c>
      <c r="BL4893" s="9">
        <f t="shared" si="688"/>
        <v>0</v>
      </c>
      <c r="BM4893" s="9">
        <f t="shared" si="689"/>
        <v>0</v>
      </c>
      <c r="BN4893" s="9">
        <f t="shared" si="690"/>
        <v>582.54999999999995</v>
      </c>
      <c r="BO4893" s="9">
        <f t="shared" si="691"/>
        <v>37.35</v>
      </c>
      <c r="BP4893" s="9">
        <f t="shared" si="692"/>
        <v>46.28</v>
      </c>
    </row>
    <row r="4894" spans="1:68">
      <c r="A4894" s="6">
        <v>45485</v>
      </c>
      <c r="B4894" s="7">
        <v>3122</v>
      </c>
      <c r="C4894" s="8">
        <v>795.41</v>
      </c>
      <c r="D4894" s="8"/>
      <c r="E4894" s="8"/>
      <c r="F4894" s="8"/>
      <c r="G4894" s="8"/>
      <c r="H4894" s="8"/>
      <c r="I4894" s="8"/>
      <c r="J4894" s="8"/>
      <c r="K4894" s="8"/>
      <c r="L4894" s="8"/>
      <c r="M4894" s="8">
        <v>1.42</v>
      </c>
      <c r="N4894" s="8">
        <v>1.42</v>
      </c>
      <c r="O4894" s="8"/>
      <c r="P4894" s="8"/>
      <c r="Q4894" s="11"/>
      <c r="R4894" s="11"/>
      <c r="S4894" s="8">
        <v>3.26</v>
      </c>
      <c r="T4894" s="8"/>
      <c r="U4894" s="8">
        <v>7.95</v>
      </c>
      <c r="V4894" s="8"/>
      <c r="W4894" s="8"/>
      <c r="X4894" s="8"/>
      <c r="Y4894" s="8"/>
      <c r="Z4894" s="8"/>
      <c r="AA4894" s="8"/>
      <c r="AB4894" s="8"/>
      <c r="AC4894" s="8">
        <v>3.17</v>
      </c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11"/>
      <c r="AQ4894" s="8"/>
      <c r="AR4894" s="8"/>
      <c r="AS4894" s="8"/>
      <c r="AT4894" s="8">
        <v>352.44</v>
      </c>
      <c r="AU4894" s="8"/>
      <c r="AV4894" s="8">
        <v>27</v>
      </c>
      <c r="AW4894" s="8"/>
      <c r="AX4894" s="8"/>
      <c r="AY4894" s="8"/>
      <c r="AZ4894" s="8"/>
      <c r="BA4894" s="8"/>
      <c r="BB4894" s="8"/>
      <c r="BC4894" s="8"/>
      <c r="BD4894" s="8"/>
      <c r="BE4894" s="8"/>
      <c r="BF4894" s="8"/>
      <c r="BG4894" s="8">
        <v>25.82</v>
      </c>
      <c r="BH4894" s="9">
        <f t="shared" si="684"/>
        <v>795.41</v>
      </c>
      <c r="BI4894" s="9">
        <f t="shared" si="685"/>
        <v>2.84</v>
      </c>
      <c r="BJ4894" s="9">
        <f t="shared" si="686"/>
        <v>3.26</v>
      </c>
      <c r="BK4894" s="9">
        <f t="shared" si="687"/>
        <v>7.95</v>
      </c>
      <c r="BL4894" s="9">
        <f t="shared" si="688"/>
        <v>0</v>
      </c>
      <c r="BM4894" s="9">
        <f t="shared" si="689"/>
        <v>3.17</v>
      </c>
      <c r="BN4894" s="9">
        <f t="shared" si="690"/>
        <v>352.44</v>
      </c>
      <c r="BO4894" s="9">
        <f t="shared" si="691"/>
        <v>27</v>
      </c>
      <c r="BP4894" s="9">
        <f t="shared" si="692"/>
        <v>0</v>
      </c>
    </row>
    <row r="4895" spans="1:68">
      <c r="A4895" s="6">
        <v>45485</v>
      </c>
      <c r="B4895" s="7">
        <v>3117</v>
      </c>
      <c r="C4895" s="8">
        <v>790.3</v>
      </c>
      <c r="D4895" s="8"/>
      <c r="E4895" s="8"/>
      <c r="F4895" s="8"/>
      <c r="G4895" s="8"/>
      <c r="H4895" s="8"/>
      <c r="I4895" s="8"/>
      <c r="J4895" s="8"/>
      <c r="K4895" s="8"/>
      <c r="L4895" s="8"/>
      <c r="M4895" s="8">
        <v>2.27</v>
      </c>
      <c r="N4895" s="8"/>
      <c r="O4895" s="8"/>
      <c r="P4895" s="8"/>
      <c r="Q4895" s="11"/>
      <c r="R4895" s="11"/>
      <c r="S4895" s="8">
        <v>3.16</v>
      </c>
      <c r="T4895" s="8"/>
      <c r="U4895" s="8">
        <v>7.92</v>
      </c>
      <c r="V4895" s="8"/>
      <c r="W4895" s="8"/>
      <c r="X4895" s="8"/>
      <c r="Y4895" s="8"/>
      <c r="Z4895" s="8"/>
      <c r="AA4895" s="8"/>
      <c r="AB4895" s="8"/>
      <c r="AC4895" s="8">
        <v>3.17</v>
      </c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11"/>
      <c r="AQ4895" s="8"/>
      <c r="AR4895" s="8"/>
      <c r="AS4895" s="8"/>
      <c r="AT4895" s="8">
        <v>497.81</v>
      </c>
      <c r="AU4895" s="8"/>
      <c r="AV4895" s="8">
        <v>19.77</v>
      </c>
      <c r="AW4895" s="8"/>
      <c r="AX4895" s="8"/>
      <c r="AY4895" s="8"/>
      <c r="AZ4895" s="8"/>
      <c r="BA4895" s="8"/>
      <c r="BB4895" s="8"/>
      <c r="BC4895" s="8"/>
      <c r="BD4895" s="8"/>
      <c r="BE4895" s="8"/>
      <c r="BF4895" s="8">
        <v>39.479999999999997</v>
      </c>
      <c r="BG4895" s="8">
        <v>37.9</v>
      </c>
      <c r="BH4895" s="9">
        <f t="shared" si="684"/>
        <v>790.3</v>
      </c>
      <c r="BI4895" s="9">
        <f t="shared" si="685"/>
        <v>2.27</v>
      </c>
      <c r="BJ4895" s="9">
        <f t="shared" si="686"/>
        <v>3.16</v>
      </c>
      <c r="BK4895" s="9">
        <f t="shared" si="687"/>
        <v>7.92</v>
      </c>
      <c r="BL4895" s="9">
        <f t="shared" si="688"/>
        <v>0</v>
      </c>
      <c r="BM4895" s="9">
        <f t="shared" si="689"/>
        <v>3.17</v>
      </c>
      <c r="BN4895" s="9">
        <f t="shared" si="690"/>
        <v>497.81</v>
      </c>
      <c r="BO4895" s="9">
        <f t="shared" si="691"/>
        <v>19.77</v>
      </c>
      <c r="BP4895" s="9">
        <f t="shared" si="692"/>
        <v>39.479999999999997</v>
      </c>
    </row>
    <row r="4896" spans="1:68">
      <c r="A4896" s="6">
        <v>45488</v>
      </c>
      <c r="B4896" s="7">
        <v>3139</v>
      </c>
      <c r="C4896" s="8">
        <v>945.69</v>
      </c>
      <c r="D4896" s="8"/>
      <c r="E4896" s="8"/>
      <c r="F4896" s="8"/>
      <c r="G4896" s="8"/>
      <c r="H4896" s="8">
        <v>391.69</v>
      </c>
      <c r="I4896" s="8"/>
      <c r="J4896" s="8"/>
      <c r="K4896" s="8"/>
      <c r="L4896" s="8"/>
      <c r="M4896" s="8">
        <v>2.2799999999999998</v>
      </c>
      <c r="N4896" s="8"/>
      <c r="O4896" s="8"/>
      <c r="P4896" s="8"/>
      <c r="Q4896" s="11"/>
      <c r="R4896" s="11"/>
      <c r="S4896" s="8">
        <v>4.32</v>
      </c>
      <c r="T4896" s="8"/>
      <c r="U4896" s="8">
        <v>13.99</v>
      </c>
      <c r="V4896" s="8"/>
      <c r="W4896" s="8"/>
      <c r="X4896" s="8"/>
      <c r="Y4896" s="8"/>
      <c r="Z4896" s="8"/>
      <c r="AA4896" s="8"/>
      <c r="AB4896" s="8"/>
      <c r="AC4896" s="8">
        <v>4.67</v>
      </c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11"/>
      <c r="AQ4896" s="8"/>
      <c r="AR4896" s="8"/>
      <c r="AS4896" s="8"/>
      <c r="AT4896" s="8">
        <v>690.78</v>
      </c>
      <c r="AU4896" s="8"/>
      <c r="AV4896" s="8">
        <v>23.36</v>
      </c>
      <c r="AW4896" s="8"/>
      <c r="AX4896" s="8"/>
      <c r="AY4896" s="8"/>
      <c r="AZ4896" s="8"/>
      <c r="BA4896" s="8"/>
      <c r="BB4896" s="8"/>
      <c r="BC4896" s="8"/>
      <c r="BD4896" s="8"/>
      <c r="BE4896" s="8"/>
      <c r="BF4896" s="8"/>
      <c r="BG4896" s="8">
        <v>50.17</v>
      </c>
      <c r="BH4896" s="9">
        <f t="shared" si="684"/>
        <v>1337.38</v>
      </c>
      <c r="BI4896" s="9">
        <f t="shared" si="685"/>
        <v>2.2799999999999998</v>
      </c>
      <c r="BJ4896" s="9">
        <f t="shared" si="686"/>
        <v>4.32</v>
      </c>
      <c r="BK4896" s="9">
        <f t="shared" si="687"/>
        <v>13.99</v>
      </c>
      <c r="BL4896" s="9">
        <f t="shared" si="688"/>
        <v>0</v>
      </c>
      <c r="BM4896" s="9">
        <f t="shared" si="689"/>
        <v>4.67</v>
      </c>
      <c r="BN4896" s="9">
        <f t="shared" si="690"/>
        <v>690.78</v>
      </c>
      <c r="BO4896" s="9">
        <f t="shared" si="691"/>
        <v>23.36</v>
      </c>
      <c r="BP4896" s="9">
        <f t="shared" si="692"/>
        <v>0</v>
      </c>
    </row>
    <row r="4897" spans="1:68">
      <c r="A4897" s="6">
        <v>45488</v>
      </c>
      <c r="B4897" s="7">
        <v>3139</v>
      </c>
      <c r="C4897" s="8">
        <v>1050</v>
      </c>
      <c r="D4897" s="8"/>
      <c r="E4897" s="8"/>
      <c r="F4897" s="8"/>
      <c r="G4897" s="8"/>
      <c r="H4897" s="8">
        <v>436.12</v>
      </c>
      <c r="I4897" s="8"/>
      <c r="J4897" s="8"/>
      <c r="K4897" s="8"/>
      <c r="L4897" s="8"/>
      <c r="M4897" s="8">
        <v>2.52</v>
      </c>
      <c r="N4897" s="8"/>
      <c r="O4897" s="8"/>
      <c r="P4897" s="8"/>
      <c r="Q4897" s="11"/>
      <c r="R4897" s="11"/>
      <c r="S4897" s="8">
        <v>4.78</v>
      </c>
      <c r="T4897" s="8"/>
      <c r="U4897" s="8">
        <v>15.51</v>
      </c>
      <c r="V4897" s="8"/>
      <c r="W4897" s="8"/>
      <c r="X4897" s="8"/>
      <c r="Y4897" s="8"/>
      <c r="Z4897" s="8"/>
      <c r="AA4897" s="8"/>
      <c r="AB4897" s="8"/>
      <c r="AC4897" s="8">
        <v>5.17</v>
      </c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11"/>
      <c r="AQ4897" s="8"/>
      <c r="AR4897" s="8"/>
      <c r="AS4897" s="8"/>
      <c r="AT4897" s="8">
        <v>765.11</v>
      </c>
      <c r="AU4897" s="8"/>
      <c r="AV4897" s="8">
        <v>25.81</v>
      </c>
      <c r="AW4897" s="8"/>
      <c r="AX4897" s="8"/>
      <c r="AY4897" s="8"/>
      <c r="AZ4897" s="8"/>
      <c r="BA4897" s="8"/>
      <c r="BB4897" s="8"/>
      <c r="BC4897" s="8"/>
      <c r="BD4897" s="8"/>
      <c r="BE4897" s="8"/>
      <c r="BF4897" s="8"/>
      <c r="BG4897" s="8">
        <v>55.61</v>
      </c>
      <c r="BH4897" s="9">
        <f t="shared" si="684"/>
        <v>1486.12</v>
      </c>
      <c r="BI4897" s="9">
        <f t="shared" si="685"/>
        <v>2.52</v>
      </c>
      <c r="BJ4897" s="9">
        <f t="shared" si="686"/>
        <v>4.78</v>
      </c>
      <c r="BK4897" s="9">
        <f t="shared" si="687"/>
        <v>15.51</v>
      </c>
      <c r="BL4897" s="9">
        <f t="shared" si="688"/>
        <v>0</v>
      </c>
      <c r="BM4897" s="9">
        <f t="shared" si="689"/>
        <v>5.17</v>
      </c>
      <c r="BN4897" s="9">
        <f t="shared" si="690"/>
        <v>765.11</v>
      </c>
      <c r="BO4897" s="9">
        <f t="shared" si="691"/>
        <v>25.81</v>
      </c>
      <c r="BP4897" s="9">
        <f t="shared" si="692"/>
        <v>0</v>
      </c>
    </row>
    <row r="4898" spans="1:68">
      <c r="A4898" s="6">
        <v>45488</v>
      </c>
      <c r="B4898" s="7">
        <v>3125</v>
      </c>
      <c r="C4898" s="8">
        <v>1201.24</v>
      </c>
      <c r="D4898" s="8"/>
      <c r="E4898" s="8"/>
      <c r="F4898" s="8"/>
      <c r="G4898" s="8"/>
      <c r="H4898" s="8"/>
      <c r="I4898" s="8"/>
      <c r="J4898" s="8"/>
      <c r="K4898" s="8"/>
      <c r="L4898" s="8"/>
      <c r="M4898" s="8">
        <v>3.25</v>
      </c>
      <c r="N4898" s="8"/>
      <c r="O4898" s="8"/>
      <c r="P4898" s="8"/>
      <c r="Q4898" s="11"/>
      <c r="R4898" s="11"/>
      <c r="S4898" s="8">
        <v>3.61</v>
      </c>
      <c r="T4898" s="8"/>
      <c r="U4898" s="8">
        <v>15.27</v>
      </c>
      <c r="V4898" s="8"/>
      <c r="W4898" s="8"/>
      <c r="X4898" s="8"/>
      <c r="Y4898" s="8"/>
      <c r="Z4898" s="8"/>
      <c r="AA4898" s="8"/>
      <c r="AB4898" s="8"/>
      <c r="AC4898" s="8">
        <v>4.8</v>
      </c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11"/>
      <c r="AQ4898" s="8"/>
      <c r="AR4898" s="8"/>
      <c r="AS4898" s="8"/>
      <c r="AT4898" s="8">
        <v>686.68</v>
      </c>
      <c r="AU4898" s="8"/>
      <c r="AV4898" s="8">
        <v>18.05</v>
      </c>
      <c r="AW4898" s="8"/>
      <c r="AX4898" s="8"/>
      <c r="AY4898" s="8"/>
      <c r="AZ4898" s="8"/>
      <c r="BA4898" s="8"/>
      <c r="BB4898" s="8"/>
      <c r="BC4898" s="8"/>
      <c r="BD4898" s="8"/>
      <c r="BE4898" s="8"/>
      <c r="BF4898" s="8"/>
      <c r="BG4898" s="8">
        <v>51.55</v>
      </c>
      <c r="BH4898" s="9">
        <f t="shared" si="684"/>
        <v>1201.24</v>
      </c>
      <c r="BI4898" s="9">
        <f t="shared" si="685"/>
        <v>3.25</v>
      </c>
      <c r="BJ4898" s="9">
        <f t="shared" si="686"/>
        <v>3.61</v>
      </c>
      <c r="BK4898" s="9">
        <f t="shared" si="687"/>
        <v>15.27</v>
      </c>
      <c r="BL4898" s="9">
        <f t="shared" si="688"/>
        <v>0</v>
      </c>
      <c r="BM4898" s="9">
        <f t="shared" si="689"/>
        <v>4.8</v>
      </c>
      <c r="BN4898" s="9">
        <f t="shared" si="690"/>
        <v>686.68</v>
      </c>
      <c r="BO4898" s="9">
        <f t="shared" si="691"/>
        <v>18.05</v>
      </c>
      <c r="BP4898" s="9">
        <f t="shared" si="692"/>
        <v>0</v>
      </c>
    </row>
    <row r="4899" spans="1:68">
      <c r="A4899" s="6">
        <v>45488</v>
      </c>
      <c r="B4899" s="7">
        <v>3081</v>
      </c>
      <c r="C4899" s="8"/>
      <c r="D4899" s="8">
        <v>288.47000000000003</v>
      </c>
      <c r="E4899" s="8"/>
      <c r="F4899" s="8">
        <v>321.93</v>
      </c>
      <c r="G4899" s="8"/>
      <c r="H4899" s="8"/>
      <c r="I4899" s="8">
        <v>1178.46</v>
      </c>
      <c r="J4899" s="8"/>
      <c r="K4899" s="8"/>
      <c r="L4899" s="8"/>
      <c r="M4899" s="8"/>
      <c r="N4899" s="8">
        <v>13.17</v>
      </c>
      <c r="O4899" s="8"/>
      <c r="P4899" s="8">
        <f>628*11.62/1000</f>
        <v>7.2973599999999994</v>
      </c>
      <c r="Q4899" s="11"/>
      <c r="R4899" s="11"/>
      <c r="S4899" s="8">
        <v>1.26</v>
      </c>
      <c r="T4899" s="8"/>
      <c r="U4899" s="8"/>
      <c r="V4899" s="8"/>
      <c r="W4899" s="8">
        <v>18.04</v>
      </c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11"/>
      <c r="AQ4899" s="8">
        <f>1578*11.62/1000</f>
        <v>18.336359999999999</v>
      </c>
      <c r="AR4899" s="8">
        <f>5526*11.62/1000</f>
        <v>64.212119999999999</v>
      </c>
      <c r="AS4899" s="8"/>
      <c r="AT4899" s="8">
        <v>564.53</v>
      </c>
      <c r="AU4899" s="8"/>
      <c r="AV4899" s="8"/>
      <c r="AW4899" s="8"/>
      <c r="AX4899" s="8"/>
      <c r="AY4899" s="8"/>
      <c r="AZ4899" s="8"/>
      <c r="BA4899" s="8"/>
      <c r="BB4899" s="8"/>
      <c r="BC4899" s="8"/>
      <c r="BD4899" s="8"/>
      <c r="BE4899" s="8"/>
      <c r="BF4899" s="8"/>
      <c r="BG4899" s="8">
        <v>37.57</v>
      </c>
      <c r="BH4899" s="9">
        <f t="shared" si="684"/>
        <v>1788.8600000000001</v>
      </c>
      <c r="BI4899" s="9">
        <f t="shared" si="685"/>
        <v>20.467359999999999</v>
      </c>
      <c r="BJ4899" s="9">
        <f t="shared" si="686"/>
        <v>1.26</v>
      </c>
      <c r="BK4899" s="9">
        <f t="shared" si="687"/>
        <v>18.04</v>
      </c>
      <c r="BL4899" s="9">
        <f t="shared" si="688"/>
        <v>0</v>
      </c>
      <c r="BM4899" s="9">
        <f t="shared" si="689"/>
        <v>82.548479999999998</v>
      </c>
      <c r="BN4899" s="9">
        <f t="shared" si="690"/>
        <v>564.53</v>
      </c>
      <c r="BO4899" s="9">
        <f t="shared" si="691"/>
        <v>0</v>
      </c>
      <c r="BP4899" s="9">
        <f t="shared" si="692"/>
        <v>0</v>
      </c>
    </row>
    <row r="4900" spans="1:68">
      <c r="A4900" s="6">
        <v>45488</v>
      </c>
      <c r="B4900" s="7">
        <v>3079</v>
      </c>
      <c r="C4900" s="8"/>
      <c r="D4900" s="8"/>
      <c r="E4900" s="8"/>
      <c r="F4900" s="8">
        <v>503.94</v>
      </c>
      <c r="G4900" s="8"/>
      <c r="H4900" s="8"/>
      <c r="I4900" s="8">
        <v>4076.91</v>
      </c>
      <c r="J4900" s="8"/>
      <c r="K4900" s="8"/>
      <c r="L4900" s="8"/>
      <c r="M4900" s="8"/>
      <c r="N4900" s="8">
        <v>34.369999999999997</v>
      </c>
      <c r="O4900" s="8"/>
      <c r="P4900" s="8"/>
      <c r="Q4900" s="11"/>
      <c r="R4900" s="11"/>
      <c r="S4900" s="8">
        <v>1.82</v>
      </c>
      <c r="T4900" s="8"/>
      <c r="U4900" s="8"/>
      <c r="V4900" s="8"/>
      <c r="W4900" s="8">
        <v>45.86</v>
      </c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>
        <v>18.29</v>
      </c>
      <c r="AN4900" s="8">
        <f>1720*26.95/1000</f>
        <v>46.353999999999999</v>
      </c>
      <c r="AO4900" s="8"/>
      <c r="AP4900" s="11"/>
      <c r="AQ4900" s="8"/>
      <c r="AR4900" s="8">
        <f>4288*26.95/1000</f>
        <v>115.56159999999998</v>
      </c>
      <c r="AS4900" s="8"/>
      <c r="AT4900" s="8">
        <v>1769.72</v>
      </c>
      <c r="AU4900" s="8"/>
      <c r="AV4900" s="8"/>
      <c r="AW4900" s="8"/>
      <c r="AX4900" s="8"/>
      <c r="AY4900" s="8"/>
      <c r="AZ4900" s="8"/>
      <c r="BA4900" s="8"/>
      <c r="BB4900" s="8"/>
      <c r="BC4900" s="8"/>
      <c r="BD4900" s="8"/>
      <c r="BE4900" s="8"/>
      <c r="BF4900" s="8"/>
      <c r="BG4900" s="8">
        <v>128.63999999999999</v>
      </c>
      <c r="BH4900" s="9">
        <f t="shared" si="684"/>
        <v>4580.8499999999995</v>
      </c>
      <c r="BI4900" s="9">
        <f t="shared" si="685"/>
        <v>34.369999999999997</v>
      </c>
      <c r="BJ4900" s="9">
        <f t="shared" si="686"/>
        <v>1.82</v>
      </c>
      <c r="BK4900" s="9">
        <f t="shared" si="687"/>
        <v>45.86</v>
      </c>
      <c r="BL4900" s="9">
        <f t="shared" si="688"/>
        <v>0</v>
      </c>
      <c r="BM4900" s="9">
        <f t="shared" si="689"/>
        <v>180.2056</v>
      </c>
      <c r="BN4900" s="9">
        <f t="shared" si="690"/>
        <v>1769.72</v>
      </c>
      <c r="BO4900" s="9">
        <f t="shared" si="691"/>
        <v>0</v>
      </c>
      <c r="BP4900" s="9">
        <f t="shared" si="692"/>
        <v>0</v>
      </c>
    </row>
    <row r="4901" spans="1:68">
      <c r="A4901" s="6">
        <v>45488</v>
      </c>
      <c r="B4901" s="7">
        <v>3029</v>
      </c>
      <c r="C4901" s="8"/>
      <c r="D4901" s="8">
        <v>683.22</v>
      </c>
      <c r="E4901" s="8"/>
      <c r="F4901" s="8">
        <v>483.1</v>
      </c>
      <c r="G4901" s="8"/>
      <c r="H4901" s="8"/>
      <c r="I4901" s="8">
        <v>2854.07</v>
      </c>
      <c r="J4901" s="8"/>
      <c r="K4901" s="8"/>
      <c r="L4901" s="8"/>
      <c r="M4901" s="8"/>
      <c r="N4901" s="8">
        <v>32.58</v>
      </c>
      <c r="O4901" s="8"/>
      <c r="P4901" s="8"/>
      <c r="Q4901" s="11"/>
      <c r="R4901" s="11"/>
      <c r="S4901" s="8">
        <v>2.4</v>
      </c>
      <c r="T4901" s="8"/>
      <c r="U4901" s="8"/>
      <c r="V4901" s="8"/>
      <c r="W4901" s="8">
        <v>40.229999999999997</v>
      </c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>
        <v>14.06</v>
      </c>
      <c r="AN4901" s="8">
        <f>766*26.82/1000</f>
        <v>20.544119999999999</v>
      </c>
      <c r="AO4901" s="8"/>
      <c r="AP4901" s="11"/>
      <c r="AQ4901" s="8"/>
      <c r="AR4901" s="8">
        <f>4528*26.82/1000</f>
        <v>121.44096</v>
      </c>
      <c r="AS4901" s="8"/>
      <c r="AT4901" s="8">
        <v>1535.54</v>
      </c>
      <c r="AU4901" s="8"/>
      <c r="AV4901" s="8"/>
      <c r="AW4901" s="8"/>
      <c r="AX4901" s="8"/>
      <c r="AY4901" s="8"/>
      <c r="AZ4901" s="8"/>
      <c r="BA4901" s="8"/>
      <c r="BB4901" s="8"/>
      <c r="BC4901" s="8"/>
      <c r="BD4901" s="8"/>
      <c r="BE4901" s="8"/>
      <c r="BF4901" s="8"/>
      <c r="BG4901" s="8">
        <v>106.64</v>
      </c>
      <c r="BH4901" s="9">
        <f t="shared" si="684"/>
        <v>4020.3900000000003</v>
      </c>
      <c r="BI4901" s="9">
        <f t="shared" si="685"/>
        <v>32.58</v>
      </c>
      <c r="BJ4901" s="9">
        <f t="shared" si="686"/>
        <v>2.4</v>
      </c>
      <c r="BK4901" s="9">
        <f t="shared" si="687"/>
        <v>40.229999999999997</v>
      </c>
      <c r="BL4901" s="9">
        <f t="shared" si="688"/>
        <v>0</v>
      </c>
      <c r="BM4901" s="9">
        <f t="shared" si="689"/>
        <v>156.04508000000001</v>
      </c>
      <c r="BN4901" s="9">
        <f t="shared" si="690"/>
        <v>1535.54</v>
      </c>
      <c r="BO4901" s="9">
        <f t="shared" si="691"/>
        <v>0</v>
      </c>
      <c r="BP4901" s="9">
        <f t="shared" si="692"/>
        <v>0</v>
      </c>
    </row>
    <row r="4902" spans="1:68">
      <c r="A4902" s="6">
        <v>45489</v>
      </c>
      <c r="B4902" s="7">
        <v>3017</v>
      </c>
      <c r="C4902" s="8"/>
      <c r="D4902" s="8">
        <v>488.41</v>
      </c>
      <c r="E4902" s="8"/>
      <c r="F4902" s="8"/>
      <c r="G4902" s="8"/>
      <c r="H4902" s="8"/>
      <c r="I4902" s="8">
        <v>675.77</v>
      </c>
      <c r="J4902" s="8"/>
      <c r="K4902" s="8"/>
      <c r="L4902" s="8"/>
      <c r="M4902" s="8"/>
      <c r="N4902" s="8">
        <v>8.34</v>
      </c>
      <c r="O4902" s="8"/>
      <c r="P4902" s="8"/>
      <c r="Q4902" s="11"/>
      <c r="R4902" s="11"/>
      <c r="S4902" s="8">
        <v>0.81</v>
      </c>
      <c r="T4902" s="8"/>
      <c r="U4902" s="8"/>
      <c r="V4902" s="8"/>
      <c r="W4902" s="8">
        <v>8.7100000000000009</v>
      </c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>
        <v>4.62</v>
      </c>
      <c r="AN4902" s="8">
        <f>1210*9.67/1000</f>
        <v>11.700700000000001</v>
      </c>
      <c r="AO4902" s="8"/>
      <c r="AP4902" s="11"/>
      <c r="AQ4902" s="8"/>
      <c r="AR4902" s="8">
        <f>4916*9.67/1000</f>
        <v>47.53772</v>
      </c>
      <c r="AS4902" s="8"/>
      <c r="AT4902" s="8">
        <v>498.36</v>
      </c>
      <c r="AU4902" s="8"/>
      <c r="AV4902" s="8"/>
      <c r="AW4902" s="8"/>
      <c r="AX4902" s="8"/>
      <c r="AY4902" s="8"/>
      <c r="AZ4902" s="8"/>
      <c r="BA4902" s="8"/>
      <c r="BB4902" s="8"/>
      <c r="BC4902" s="8"/>
      <c r="BD4902" s="8"/>
      <c r="BE4902" s="8"/>
      <c r="BF4902" s="8"/>
      <c r="BG4902" s="8">
        <v>35.99</v>
      </c>
      <c r="BH4902" s="9">
        <f t="shared" si="684"/>
        <v>1164.18</v>
      </c>
      <c r="BI4902" s="9">
        <f t="shared" si="685"/>
        <v>8.34</v>
      </c>
      <c r="BJ4902" s="9">
        <f t="shared" si="686"/>
        <v>0.81</v>
      </c>
      <c r="BK4902" s="9">
        <f t="shared" si="687"/>
        <v>8.7100000000000009</v>
      </c>
      <c r="BL4902" s="9">
        <f t="shared" si="688"/>
        <v>0</v>
      </c>
      <c r="BM4902" s="9">
        <f t="shared" si="689"/>
        <v>63.858420000000002</v>
      </c>
      <c r="BN4902" s="9">
        <f t="shared" si="690"/>
        <v>498.36</v>
      </c>
      <c r="BO4902" s="9">
        <f t="shared" si="691"/>
        <v>0</v>
      </c>
      <c r="BP4902" s="9">
        <f t="shared" si="692"/>
        <v>0</v>
      </c>
    </row>
    <row r="4903" spans="1:68">
      <c r="A4903" s="6">
        <v>45489</v>
      </c>
      <c r="B4903" s="7">
        <v>3031</v>
      </c>
      <c r="C4903" s="8"/>
      <c r="D4903" s="8"/>
      <c r="E4903" s="8"/>
      <c r="F4903" s="8"/>
      <c r="G4903" s="8"/>
      <c r="H4903" s="8"/>
      <c r="I4903" s="8">
        <v>1163.21</v>
      </c>
      <c r="J4903" s="8"/>
      <c r="K4903" s="8"/>
      <c r="L4903" s="8"/>
      <c r="M4903" s="8"/>
      <c r="N4903" s="8">
        <v>8.0299999999999994</v>
      </c>
      <c r="O4903" s="8"/>
      <c r="P4903" s="8"/>
      <c r="Q4903" s="11"/>
      <c r="R4903" s="11"/>
      <c r="S4903" s="8">
        <v>0.81</v>
      </c>
      <c r="T4903" s="8"/>
      <c r="U4903" s="8"/>
      <c r="V4903" s="8"/>
      <c r="W4903" s="8">
        <v>11.65</v>
      </c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8">
        <f>1810*9.68/1000</f>
        <v>17.520799999999998</v>
      </c>
      <c r="AJ4903" s="8"/>
      <c r="AK4903" s="8"/>
      <c r="AL4903" s="8"/>
      <c r="AM4903" s="8"/>
      <c r="AN4903" s="8">
        <f>1214*9.68/1000</f>
        <v>11.751520000000001</v>
      </c>
      <c r="AO4903" s="8"/>
      <c r="AP4903" s="11"/>
      <c r="AQ4903" s="8"/>
      <c r="AR4903" s="8">
        <f>3622*9.68/1000</f>
        <v>35.060960000000001</v>
      </c>
      <c r="AS4903" s="8"/>
      <c r="AT4903" s="8">
        <v>553.53</v>
      </c>
      <c r="AU4903" s="8"/>
      <c r="AV4903" s="8"/>
      <c r="AW4903" s="8"/>
      <c r="AX4903" s="8"/>
      <c r="AY4903" s="8"/>
      <c r="AZ4903" s="8"/>
      <c r="BA4903" s="8"/>
      <c r="BB4903" s="8"/>
      <c r="BC4903" s="8"/>
      <c r="BD4903" s="8"/>
      <c r="BE4903" s="8"/>
      <c r="BF4903" s="8"/>
      <c r="BG4903" s="8">
        <v>37.76</v>
      </c>
      <c r="BH4903" s="9">
        <f t="shared" si="684"/>
        <v>1163.21</v>
      </c>
      <c r="BI4903" s="9">
        <f t="shared" si="685"/>
        <v>8.0299999999999994</v>
      </c>
      <c r="BJ4903" s="9">
        <f t="shared" si="686"/>
        <v>0.81</v>
      </c>
      <c r="BK4903" s="9">
        <f t="shared" si="687"/>
        <v>11.65</v>
      </c>
      <c r="BL4903" s="9">
        <f t="shared" si="688"/>
        <v>0</v>
      </c>
      <c r="BM4903" s="9">
        <f t="shared" si="689"/>
        <v>64.333280000000002</v>
      </c>
      <c r="BN4903" s="9">
        <f t="shared" si="690"/>
        <v>553.53</v>
      </c>
      <c r="BO4903" s="9">
        <f t="shared" si="691"/>
        <v>0</v>
      </c>
      <c r="BP4903" s="9">
        <f t="shared" si="692"/>
        <v>0</v>
      </c>
    </row>
    <row r="4904" spans="1:68">
      <c r="A4904" s="6">
        <v>45489</v>
      </c>
      <c r="B4904" s="7">
        <v>8326</v>
      </c>
      <c r="C4904" s="8"/>
      <c r="D4904" s="8">
        <v>199.48</v>
      </c>
      <c r="E4904" s="8"/>
      <c r="F4904" s="8"/>
      <c r="G4904" s="8"/>
      <c r="H4904" s="8"/>
      <c r="I4904" s="8">
        <v>108.06</v>
      </c>
      <c r="J4904" s="8"/>
      <c r="K4904" s="8"/>
      <c r="L4904" s="8"/>
      <c r="M4904" s="8"/>
      <c r="N4904" s="8">
        <v>1.99</v>
      </c>
      <c r="O4904" s="8"/>
      <c r="P4904" s="8"/>
      <c r="Q4904" s="11"/>
      <c r="R4904" s="11"/>
      <c r="S4904" s="8">
        <v>0.21</v>
      </c>
      <c r="T4904" s="8"/>
      <c r="U4904" s="8"/>
      <c r="V4904" s="8"/>
      <c r="W4904" s="8">
        <v>2.2999999999999998</v>
      </c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11"/>
      <c r="AQ4904" s="8"/>
      <c r="AR4904" s="8">
        <f>3588*1.78/1000</f>
        <v>6.3866400000000008</v>
      </c>
      <c r="AS4904" s="8"/>
      <c r="AT4904" s="8">
        <v>85.53</v>
      </c>
      <c r="AU4904" s="8"/>
      <c r="AV4904" s="8"/>
      <c r="AW4904" s="8"/>
      <c r="AX4904" s="8"/>
      <c r="AY4904" s="8"/>
      <c r="AZ4904" s="8"/>
      <c r="BA4904" s="8"/>
      <c r="BB4904" s="8"/>
      <c r="BC4904" s="8"/>
      <c r="BD4904" s="8"/>
      <c r="BE4904" s="8"/>
      <c r="BF4904" s="8"/>
      <c r="BG4904" s="8">
        <v>5.8</v>
      </c>
      <c r="BH4904" s="9">
        <f t="shared" si="684"/>
        <v>307.53999999999996</v>
      </c>
      <c r="BI4904" s="9">
        <f t="shared" si="685"/>
        <v>1.99</v>
      </c>
      <c r="BJ4904" s="9">
        <f t="shared" si="686"/>
        <v>0.21</v>
      </c>
      <c r="BK4904" s="9">
        <f t="shared" si="687"/>
        <v>2.2999999999999998</v>
      </c>
      <c r="BL4904" s="9">
        <f t="shared" si="688"/>
        <v>0</v>
      </c>
      <c r="BM4904" s="9">
        <f t="shared" si="689"/>
        <v>6.3866400000000008</v>
      </c>
      <c r="BN4904" s="9">
        <f t="shared" si="690"/>
        <v>85.53</v>
      </c>
      <c r="BO4904" s="9">
        <f t="shared" si="691"/>
        <v>0</v>
      </c>
      <c r="BP4904" s="9">
        <f t="shared" si="692"/>
        <v>0</v>
      </c>
    </row>
    <row r="4905" spans="1:68">
      <c r="A4905" s="6">
        <v>45489</v>
      </c>
      <c r="B4905" s="7">
        <v>3022</v>
      </c>
      <c r="C4905" s="8"/>
      <c r="D4905" s="8">
        <v>338.85</v>
      </c>
      <c r="E4905" s="8"/>
      <c r="F4905" s="8"/>
      <c r="G4905" s="8"/>
      <c r="H4905" s="8"/>
      <c r="I4905" s="8">
        <v>276.94</v>
      </c>
      <c r="J4905" s="8"/>
      <c r="K4905" s="8"/>
      <c r="L4905" s="8"/>
      <c r="M4905" s="8"/>
      <c r="N4905" s="8">
        <v>3.08</v>
      </c>
      <c r="O4905" s="8"/>
      <c r="P4905" s="8"/>
      <c r="Q4905" s="11"/>
      <c r="R4905" s="11"/>
      <c r="S4905" s="8">
        <v>1.1100000000000001</v>
      </c>
      <c r="T4905" s="8"/>
      <c r="U4905" s="8"/>
      <c r="V4905" s="8"/>
      <c r="W4905" s="8">
        <v>6.18</v>
      </c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>
        <v>7.98</v>
      </c>
      <c r="AN4905" s="8"/>
      <c r="AO4905" s="8"/>
      <c r="AP4905" s="11"/>
      <c r="AQ4905" s="8"/>
      <c r="AR4905" s="8"/>
      <c r="AS4905" s="8">
        <f>3899*5.62/1000</f>
        <v>21.912380000000002</v>
      </c>
      <c r="AT4905" s="8">
        <v>288.60000000000002</v>
      </c>
      <c r="AU4905" s="8"/>
      <c r="AV4905" s="8"/>
      <c r="AW4905" s="8"/>
      <c r="AX4905" s="8"/>
      <c r="AY4905" s="8"/>
      <c r="AZ4905" s="8"/>
      <c r="BA4905" s="8"/>
      <c r="BB4905" s="8"/>
      <c r="BC4905" s="8"/>
      <c r="BD4905" s="8"/>
      <c r="BE4905" s="8"/>
      <c r="BF4905" s="8"/>
      <c r="BG4905" s="8">
        <v>22.21</v>
      </c>
      <c r="BH4905" s="9">
        <f t="shared" si="684"/>
        <v>615.79</v>
      </c>
      <c r="BI4905" s="9">
        <f t="shared" si="685"/>
        <v>3.08</v>
      </c>
      <c r="BJ4905" s="9">
        <f t="shared" si="686"/>
        <v>1.1100000000000001</v>
      </c>
      <c r="BK4905" s="9">
        <f t="shared" si="687"/>
        <v>6.18</v>
      </c>
      <c r="BL4905" s="9">
        <f t="shared" si="688"/>
        <v>0</v>
      </c>
      <c r="BM4905" s="9">
        <f t="shared" si="689"/>
        <v>29.892380000000003</v>
      </c>
      <c r="BN4905" s="9">
        <f t="shared" si="690"/>
        <v>288.60000000000002</v>
      </c>
      <c r="BO4905" s="9">
        <f t="shared" si="691"/>
        <v>0</v>
      </c>
      <c r="BP4905" s="9">
        <f t="shared" si="692"/>
        <v>0</v>
      </c>
    </row>
    <row r="4906" spans="1:68">
      <c r="A4906" s="6">
        <v>45489</v>
      </c>
      <c r="B4906" s="7">
        <v>3023</v>
      </c>
      <c r="C4906" s="8"/>
      <c r="D4906" s="8">
        <v>900.38</v>
      </c>
      <c r="E4906" s="8"/>
      <c r="F4906" s="8"/>
      <c r="G4906" s="8"/>
      <c r="H4906" s="8"/>
      <c r="I4906" s="8">
        <v>485.9</v>
      </c>
      <c r="J4906" s="8"/>
      <c r="K4906" s="8"/>
      <c r="L4906" s="8"/>
      <c r="M4906" s="8"/>
      <c r="N4906" s="8">
        <v>7.91</v>
      </c>
      <c r="O4906" s="8"/>
      <c r="P4906" s="8"/>
      <c r="Q4906" s="11"/>
      <c r="R4906" s="11"/>
      <c r="S4906" s="8">
        <v>2.2200000000000002</v>
      </c>
      <c r="T4906" s="8"/>
      <c r="U4906" s="8"/>
      <c r="V4906" s="8"/>
      <c r="W4906" s="8">
        <v>12.49</v>
      </c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>
        <v>13.87</v>
      </c>
      <c r="AN4906" s="8">
        <f>1025*9.57/1000</f>
        <v>9.8092500000000005</v>
      </c>
      <c r="AO4906" s="8"/>
      <c r="AP4906" s="11"/>
      <c r="AQ4906" s="8"/>
      <c r="AR4906" s="8"/>
      <c r="AS4906" s="8">
        <f>4799*9.57/1000</f>
        <v>45.926430000000003</v>
      </c>
      <c r="AT4906" s="8">
        <v>569.02</v>
      </c>
      <c r="AU4906" s="8"/>
      <c r="AV4906" s="8"/>
      <c r="AW4906" s="8"/>
      <c r="AX4906" s="8"/>
      <c r="AY4906" s="8"/>
      <c r="AZ4906" s="8"/>
      <c r="BA4906" s="8"/>
      <c r="BB4906" s="8"/>
      <c r="BC4906" s="8"/>
      <c r="BD4906" s="8"/>
      <c r="BE4906" s="8"/>
      <c r="BF4906" s="8"/>
      <c r="BG4906" s="8">
        <v>42.99</v>
      </c>
      <c r="BH4906" s="9">
        <f t="shared" si="684"/>
        <v>1386.28</v>
      </c>
      <c r="BI4906" s="9">
        <f t="shared" si="685"/>
        <v>7.91</v>
      </c>
      <c r="BJ4906" s="9">
        <f t="shared" si="686"/>
        <v>2.2200000000000002</v>
      </c>
      <c r="BK4906" s="9">
        <f t="shared" si="687"/>
        <v>12.49</v>
      </c>
      <c r="BL4906" s="9">
        <f t="shared" si="688"/>
        <v>0</v>
      </c>
      <c r="BM4906" s="9">
        <f t="shared" si="689"/>
        <v>69.605680000000007</v>
      </c>
      <c r="BN4906" s="9">
        <f t="shared" si="690"/>
        <v>569.02</v>
      </c>
      <c r="BO4906" s="9">
        <f t="shared" si="691"/>
        <v>0</v>
      </c>
      <c r="BP4906" s="9">
        <f t="shared" si="692"/>
        <v>0</v>
      </c>
    </row>
    <row r="4907" spans="1:68">
      <c r="A4907" s="6">
        <v>45489</v>
      </c>
      <c r="B4907" s="7">
        <v>3028</v>
      </c>
      <c r="C4907" s="8"/>
      <c r="D4907" s="8">
        <v>724.79</v>
      </c>
      <c r="E4907" s="8"/>
      <c r="F4907" s="8">
        <v>663.78</v>
      </c>
      <c r="G4907" s="8"/>
      <c r="H4907" s="8"/>
      <c r="I4907" s="8">
        <v>1498.44</v>
      </c>
      <c r="J4907" s="8"/>
      <c r="K4907" s="8"/>
      <c r="L4907" s="8"/>
      <c r="M4907" s="8"/>
      <c r="N4907" s="8">
        <v>22.51</v>
      </c>
      <c r="O4907" s="8"/>
      <c r="P4907" s="8"/>
      <c r="Q4907" s="11"/>
      <c r="R4907" s="11"/>
      <c r="S4907" s="8">
        <v>4.04</v>
      </c>
      <c r="T4907" s="8"/>
      <c r="U4907" s="8"/>
      <c r="V4907" s="8"/>
      <c r="W4907" s="8">
        <v>21.63</v>
      </c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>
        <v>28.85</v>
      </c>
      <c r="AN4907" s="8">
        <f>1068*19.25/1000</f>
        <v>20.559000000000001</v>
      </c>
      <c r="AO4907" s="8"/>
      <c r="AP4907" s="11"/>
      <c r="AQ4907" s="8"/>
      <c r="AR4907" s="8"/>
      <c r="AS4907" s="8">
        <f>4977*19.25/1000</f>
        <v>95.807249999999996</v>
      </c>
      <c r="AT4907" s="8">
        <v>964.28</v>
      </c>
      <c r="AU4907" s="8"/>
      <c r="AV4907" s="8"/>
      <c r="AW4907" s="8"/>
      <c r="AX4907" s="8"/>
      <c r="AY4907" s="8"/>
      <c r="AZ4907" s="8"/>
      <c r="BA4907" s="8"/>
      <c r="BB4907" s="8"/>
      <c r="BC4907" s="8"/>
      <c r="BD4907" s="8"/>
      <c r="BE4907" s="8"/>
      <c r="BF4907" s="8"/>
      <c r="BG4907" s="8">
        <v>65.8</v>
      </c>
      <c r="BH4907" s="9">
        <f t="shared" si="684"/>
        <v>2887.01</v>
      </c>
      <c r="BI4907" s="9">
        <f t="shared" si="685"/>
        <v>22.51</v>
      </c>
      <c r="BJ4907" s="9">
        <f t="shared" si="686"/>
        <v>4.04</v>
      </c>
      <c r="BK4907" s="9">
        <f t="shared" si="687"/>
        <v>21.63</v>
      </c>
      <c r="BL4907" s="9">
        <f t="shared" si="688"/>
        <v>0</v>
      </c>
      <c r="BM4907" s="9">
        <f t="shared" si="689"/>
        <v>145.21625</v>
      </c>
      <c r="BN4907" s="9">
        <f t="shared" si="690"/>
        <v>964.28</v>
      </c>
      <c r="BO4907" s="9">
        <f t="shared" si="691"/>
        <v>0</v>
      </c>
      <c r="BP4907" s="9">
        <f t="shared" si="692"/>
        <v>0</v>
      </c>
    </row>
    <row r="4908" spans="1:68">
      <c r="A4908" s="6">
        <v>45489</v>
      </c>
      <c r="B4908" s="7">
        <v>3200</v>
      </c>
      <c r="C4908" s="8">
        <v>2309.64</v>
      </c>
      <c r="D4908" s="8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>
        <v>5.8</v>
      </c>
      <c r="P4908" s="8"/>
      <c r="Q4908" s="11"/>
      <c r="R4908" s="11"/>
      <c r="S4908" s="8">
        <v>9.01</v>
      </c>
      <c r="T4908" s="8"/>
      <c r="U4908" s="8">
        <v>34.65</v>
      </c>
      <c r="V4908" s="8"/>
      <c r="W4908" s="8"/>
      <c r="X4908" s="8"/>
      <c r="Y4908" s="8"/>
      <c r="Z4908" s="8">
        <v>485.78</v>
      </c>
      <c r="AA4908" s="8"/>
      <c r="AB4908" s="8"/>
      <c r="AC4908" s="8"/>
      <c r="AD4908" s="8"/>
      <c r="AE4908" s="8"/>
      <c r="AF4908" s="8">
        <v>115.11</v>
      </c>
      <c r="AG4908" s="8"/>
      <c r="AH4908" s="8"/>
      <c r="AI4908" s="8"/>
      <c r="AJ4908" s="8"/>
      <c r="AK4908" s="8"/>
      <c r="AL4908" s="8"/>
      <c r="AM4908" s="8"/>
      <c r="AN4908" s="8"/>
      <c r="AO4908" s="8"/>
      <c r="AP4908" s="11"/>
      <c r="AQ4908" s="8">
        <f>1516*23.1/1000</f>
        <v>35.019599999999997</v>
      </c>
      <c r="AR4908" s="8"/>
      <c r="AS4908" s="8"/>
      <c r="AT4908" s="8">
        <v>1581.62</v>
      </c>
      <c r="AU4908" s="8"/>
      <c r="AV4908" s="8"/>
      <c r="AW4908" s="8">
        <v>6.67</v>
      </c>
      <c r="AX4908" s="8"/>
      <c r="AY4908" s="8"/>
      <c r="AZ4908" s="8"/>
      <c r="BA4908" s="8"/>
      <c r="BB4908" s="8"/>
      <c r="BC4908" s="8"/>
      <c r="BD4908" s="8"/>
      <c r="BE4908" s="8"/>
      <c r="BF4908" s="8">
        <v>111.01</v>
      </c>
      <c r="BG4908" s="8">
        <v>114.58</v>
      </c>
      <c r="BH4908" s="9">
        <f t="shared" si="684"/>
        <v>2309.64</v>
      </c>
      <c r="BI4908" s="9">
        <f t="shared" si="685"/>
        <v>5.8</v>
      </c>
      <c r="BJ4908" s="9">
        <f t="shared" si="686"/>
        <v>9.01</v>
      </c>
      <c r="BK4908" s="9">
        <f t="shared" si="687"/>
        <v>34.65</v>
      </c>
      <c r="BL4908" s="9">
        <f t="shared" si="688"/>
        <v>485.78</v>
      </c>
      <c r="BM4908" s="9">
        <f t="shared" si="689"/>
        <v>150.12959999999998</v>
      </c>
      <c r="BN4908" s="9">
        <f t="shared" si="690"/>
        <v>1581.62</v>
      </c>
      <c r="BO4908" s="9">
        <f t="shared" si="691"/>
        <v>6.67</v>
      </c>
      <c r="BP4908" s="9">
        <f t="shared" si="692"/>
        <v>111.01</v>
      </c>
    </row>
    <row r="4909" spans="1:68">
      <c r="A4909" s="6">
        <v>45489</v>
      </c>
      <c r="B4909" s="7">
        <v>3158</v>
      </c>
      <c r="C4909" s="8">
        <v>365.5</v>
      </c>
      <c r="D4909" s="8">
        <v>65.290000000000006</v>
      </c>
      <c r="E4909" s="8"/>
      <c r="F4909" s="8"/>
      <c r="G4909" s="8"/>
      <c r="H4909" s="8"/>
      <c r="I4909" s="8"/>
      <c r="J4909" s="8"/>
      <c r="K4909" s="8"/>
      <c r="L4909" s="8"/>
      <c r="M4909" s="8">
        <v>1.3</v>
      </c>
      <c r="N4909" s="8"/>
      <c r="O4909" s="8"/>
      <c r="P4909" s="8"/>
      <c r="Q4909" s="11"/>
      <c r="R4909" s="11"/>
      <c r="S4909" s="8">
        <v>2.04</v>
      </c>
      <c r="T4909" s="8"/>
      <c r="U4909" s="8">
        <v>6.49</v>
      </c>
      <c r="V4909" s="8"/>
      <c r="W4909" s="8"/>
      <c r="X4909" s="8"/>
      <c r="Y4909" s="8"/>
      <c r="Z4909" s="8"/>
      <c r="AA4909" s="8"/>
      <c r="AB4909" s="8"/>
      <c r="AC4909" s="8">
        <v>1.73</v>
      </c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11"/>
      <c r="AQ4909" s="8"/>
      <c r="AR4909" s="8"/>
      <c r="AS4909" s="8"/>
      <c r="AT4909" s="8">
        <v>284.70999999999998</v>
      </c>
      <c r="AU4909" s="8"/>
      <c r="AV4909" s="8"/>
      <c r="AW4909" s="8"/>
      <c r="AX4909" s="8"/>
      <c r="AY4909" s="8"/>
      <c r="AZ4909" s="8"/>
      <c r="BA4909" s="8"/>
      <c r="BB4909" s="8"/>
      <c r="BC4909" s="8">
        <v>0.76</v>
      </c>
      <c r="BD4909" s="8"/>
      <c r="BE4909" s="8"/>
      <c r="BF4909" s="8">
        <v>30.32</v>
      </c>
      <c r="BG4909" s="8">
        <v>22.52</v>
      </c>
      <c r="BH4909" s="9">
        <f t="shared" si="684"/>
        <v>430.79</v>
      </c>
      <c r="BI4909" s="9">
        <f t="shared" si="685"/>
        <v>1.3</v>
      </c>
      <c r="BJ4909" s="9">
        <f t="shared" si="686"/>
        <v>2.04</v>
      </c>
      <c r="BK4909" s="9">
        <f t="shared" si="687"/>
        <v>6.49</v>
      </c>
      <c r="BL4909" s="9">
        <f t="shared" si="688"/>
        <v>0</v>
      </c>
      <c r="BM4909" s="9">
        <f t="shared" si="689"/>
        <v>1.73</v>
      </c>
      <c r="BN4909" s="9">
        <f t="shared" si="690"/>
        <v>284.70999999999998</v>
      </c>
      <c r="BO4909" s="9">
        <f t="shared" si="691"/>
        <v>0.76</v>
      </c>
      <c r="BP4909" s="9">
        <f t="shared" si="692"/>
        <v>30.32</v>
      </c>
    </row>
    <row r="4910" spans="1:68">
      <c r="A4910" s="6">
        <v>45489</v>
      </c>
      <c r="B4910" s="7">
        <v>3117</v>
      </c>
      <c r="C4910" s="8">
        <v>1547.17</v>
      </c>
      <c r="D4910" s="8"/>
      <c r="E4910" s="8"/>
      <c r="F4910" s="8"/>
      <c r="G4910" s="8"/>
      <c r="H4910" s="8"/>
      <c r="I4910" s="8"/>
      <c r="J4910" s="8"/>
      <c r="K4910" s="8"/>
      <c r="L4910" s="8"/>
      <c r="M4910" s="8">
        <v>4.6500000000000004</v>
      </c>
      <c r="N4910" s="8"/>
      <c r="O4910" s="8"/>
      <c r="P4910" s="8"/>
      <c r="Q4910" s="11"/>
      <c r="R4910" s="11"/>
      <c r="S4910" s="8">
        <v>6.2</v>
      </c>
      <c r="T4910" s="8"/>
      <c r="U4910" s="8">
        <v>15.49</v>
      </c>
      <c r="V4910" s="8"/>
      <c r="W4910" s="8"/>
      <c r="X4910" s="8"/>
      <c r="Y4910" s="8"/>
      <c r="Z4910" s="8"/>
      <c r="AA4910" s="8"/>
      <c r="AB4910" s="8"/>
      <c r="AC4910" s="8">
        <v>6.2</v>
      </c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11"/>
      <c r="AQ4910" s="8"/>
      <c r="AR4910" s="8"/>
      <c r="AS4910" s="8"/>
      <c r="AT4910" s="8">
        <v>975.85</v>
      </c>
      <c r="AU4910" s="8"/>
      <c r="AV4910" s="8">
        <v>38.700000000000003</v>
      </c>
      <c r="AW4910" s="8"/>
      <c r="AX4910" s="8"/>
      <c r="AY4910" s="8"/>
      <c r="AZ4910" s="8"/>
      <c r="BA4910" s="8"/>
      <c r="BB4910" s="8"/>
      <c r="BC4910" s="8"/>
      <c r="BD4910" s="8"/>
      <c r="BE4910" s="8"/>
      <c r="BF4910" s="8">
        <v>77.41</v>
      </c>
      <c r="BG4910" s="8">
        <v>74.290000000000006</v>
      </c>
      <c r="BH4910" s="9">
        <f t="shared" si="684"/>
        <v>1547.17</v>
      </c>
      <c r="BI4910" s="9">
        <f t="shared" si="685"/>
        <v>4.6500000000000004</v>
      </c>
      <c r="BJ4910" s="9">
        <f t="shared" si="686"/>
        <v>6.2</v>
      </c>
      <c r="BK4910" s="9">
        <f t="shared" si="687"/>
        <v>15.49</v>
      </c>
      <c r="BL4910" s="9">
        <f t="shared" si="688"/>
        <v>0</v>
      </c>
      <c r="BM4910" s="9">
        <f t="shared" si="689"/>
        <v>6.2</v>
      </c>
      <c r="BN4910" s="9">
        <f t="shared" si="690"/>
        <v>975.85</v>
      </c>
      <c r="BO4910" s="9">
        <f t="shared" si="691"/>
        <v>38.700000000000003</v>
      </c>
      <c r="BP4910" s="9">
        <f t="shared" si="692"/>
        <v>77.41</v>
      </c>
    </row>
    <row r="4911" spans="1:68">
      <c r="A4911" s="6">
        <v>45490</v>
      </c>
      <c r="B4911" s="7">
        <v>3310</v>
      </c>
      <c r="C4911" s="8"/>
      <c r="D4911" s="8">
        <v>1021.26</v>
      </c>
      <c r="E4911" s="8"/>
      <c r="F4911" s="8"/>
      <c r="G4911" s="8"/>
      <c r="H4911" s="8"/>
      <c r="I4911" s="8"/>
      <c r="J4911" s="8"/>
      <c r="K4911" s="8"/>
      <c r="L4911" s="8"/>
      <c r="M4911" s="8">
        <v>2.04</v>
      </c>
      <c r="N4911" s="8"/>
      <c r="O4911" s="8"/>
      <c r="P4911" s="8"/>
      <c r="Q4911" s="11"/>
      <c r="R4911" s="11"/>
      <c r="S4911" s="8">
        <v>1.54</v>
      </c>
      <c r="T4911" s="8"/>
      <c r="U4911" s="8">
        <v>9.19</v>
      </c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>
        <v>10.27</v>
      </c>
      <c r="AH4911" s="8"/>
      <c r="AI4911" s="8"/>
      <c r="AJ4911" s="8"/>
      <c r="AK4911" s="8"/>
      <c r="AL4911" s="8"/>
      <c r="AM4911" s="8"/>
      <c r="AN4911" s="8"/>
      <c r="AO4911" s="8"/>
      <c r="AP4911" s="11"/>
      <c r="AQ4911" s="8"/>
      <c r="AR4911" s="8"/>
      <c r="AS4911" s="8"/>
      <c r="AT4911" s="8">
        <v>273.02</v>
      </c>
      <c r="AU4911" s="8">
        <v>136.43</v>
      </c>
      <c r="AV4911" s="8"/>
      <c r="AW4911" s="8"/>
      <c r="AX4911" s="8"/>
      <c r="AY4911" s="8"/>
      <c r="AZ4911" s="8"/>
      <c r="BA4911" s="8"/>
      <c r="BB4911" s="8"/>
      <c r="BC4911" s="8"/>
      <c r="BD4911" s="8"/>
      <c r="BE4911" s="8"/>
      <c r="BF4911" s="8"/>
      <c r="BG4911" s="8">
        <v>28.39</v>
      </c>
      <c r="BH4911" s="9">
        <f t="shared" si="684"/>
        <v>1021.26</v>
      </c>
      <c r="BI4911" s="9">
        <f t="shared" si="685"/>
        <v>2.04</v>
      </c>
      <c r="BJ4911" s="9">
        <f t="shared" si="686"/>
        <v>1.54</v>
      </c>
      <c r="BK4911" s="9">
        <f t="shared" si="687"/>
        <v>9.19</v>
      </c>
      <c r="BL4911" s="9">
        <f t="shared" si="688"/>
        <v>0</v>
      </c>
      <c r="BM4911" s="9">
        <f t="shared" si="689"/>
        <v>10.27</v>
      </c>
      <c r="BN4911" s="9">
        <f t="shared" si="690"/>
        <v>409.45</v>
      </c>
      <c r="BO4911" s="9">
        <f t="shared" si="691"/>
        <v>0</v>
      </c>
      <c r="BP4911" s="9">
        <f t="shared" si="692"/>
        <v>0</v>
      </c>
    </row>
    <row r="4912" spans="1:68">
      <c r="A4912" s="6">
        <v>45490</v>
      </c>
      <c r="B4912" s="7">
        <v>3113</v>
      </c>
      <c r="C4912" s="8">
        <v>1676.46</v>
      </c>
      <c r="D4912" s="8"/>
      <c r="E4912" s="8"/>
      <c r="F4912" s="8"/>
      <c r="G4912" s="8"/>
      <c r="H4912" s="8"/>
      <c r="I4912" s="8"/>
      <c r="J4912" s="8"/>
      <c r="K4912" s="8"/>
      <c r="L4912" s="8"/>
      <c r="M4912" s="8">
        <v>1.94</v>
      </c>
      <c r="N4912" s="8">
        <v>1.93</v>
      </c>
      <c r="O4912" s="8"/>
      <c r="P4912" s="8"/>
      <c r="Q4912" s="11"/>
      <c r="R4912" s="11"/>
      <c r="S4912" s="8">
        <v>5.04</v>
      </c>
      <c r="T4912" s="8"/>
      <c r="U4912" s="8">
        <v>16.78</v>
      </c>
      <c r="V4912" s="8"/>
      <c r="W4912" s="8"/>
      <c r="X4912" s="8"/>
      <c r="Y4912" s="8"/>
      <c r="Z4912" s="8"/>
      <c r="AA4912" s="8"/>
      <c r="AB4912" s="8"/>
      <c r="AC4912" s="8">
        <v>6.71</v>
      </c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11"/>
      <c r="AQ4912" s="8"/>
      <c r="AR4912" s="8"/>
      <c r="AS4912" s="8"/>
      <c r="AT4912" s="8">
        <v>703.35</v>
      </c>
      <c r="AU4912" s="8"/>
      <c r="AV4912" s="8">
        <v>57.04</v>
      </c>
      <c r="AW4912" s="8"/>
      <c r="AX4912" s="8"/>
      <c r="AY4912" s="8"/>
      <c r="AZ4912" s="8"/>
      <c r="BA4912" s="8"/>
      <c r="BB4912" s="8"/>
      <c r="BC4912" s="8"/>
      <c r="BD4912" s="8"/>
      <c r="BE4912" s="8"/>
      <c r="BF4912" s="8"/>
      <c r="BG4912" s="8">
        <v>50.41</v>
      </c>
      <c r="BH4912" s="9">
        <f t="shared" si="684"/>
        <v>1676.46</v>
      </c>
      <c r="BI4912" s="9">
        <f t="shared" si="685"/>
        <v>3.87</v>
      </c>
      <c r="BJ4912" s="9">
        <f t="shared" si="686"/>
        <v>5.04</v>
      </c>
      <c r="BK4912" s="9">
        <f t="shared" si="687"/>
        <v>16.78</v>
      </c>
      <c r="BL4912" s="9">
        <f t="shared" si="688"/>
        <v>0</v>
      </c>
      <c r="BM4912" s="9">
        <f t="shared" si="689"/>
        <v>6.71</v>
      </c>
      <c r="BN4912" s="9">
        <f t="shared" si="690"/>
        <v>703.35</v>
      </c>
      <c r="BO4912" s="9">
        <f t="shared" si="691"/>
        <v>57.04</v>
      </c>
      <c r="BP4912" s="9">
        <f t="shared" si="692"/>
        <v>0</v>
      </c>
    </row>
    <row r="4913" spans="1:68">
      <c r="A4913" s="6">
        <v>45490</v>
      </c>
      <c r="B4913" s="7">
        <v>3156</v>
      </c>
      <c r="C4913" s="8">
        <v>1358.68</v>
      </c>
      <c r="D4913" s="8"/>
      <c r="E4913" s="8"/>
      <c r="F4913" s="8"/>
      <c r="G4913" s="8"/>
      <c r="H4913" s="8"/>
      <c r="I4913" s="8"/>
      <c r="J4913" s="8"/>
      <c r="K4913" s="8"/>
      <c r="L4913" s="8"/>
      <c r="M4913" s="8">
        <v>2.2000000000000002</v>
      </c>
      <c r="N4913" s="8"/>
      <c r="O4913" s="8"/>
      <c r="P4913" s="8"/>
      <c r="Q4913" s="11"/>
      <c r="R4913" s="11"/>
      <c r="S4913" s="8">
        <v>5.45</v>
      </c>
      <c r="T4913" s="8"/>
      <c r="U4913" s="8">
        <v>13.64</v>
      </c>
      <c r="V4913" s="8"/>
      <c r="W4913" s="8"/>
      <c r="X4913" s="8"/>
      <c r="Y4913" s="8"/>
      <c r="Z4913" s="8"/>
      <c r="AA4913" s="8"/>
      <c r="AB4913" s="8"/>
      <c r="AC4913" s="8">
        <v>3.41</v>
      </c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11"/>
      <c r="AQ4913" s="8"/>
      <c r="AR4913" s="8"/>
      <c r="AS4913" s="8"/>
      <c r="AT4913" s="8">
        <v>639.94000000000005</v>
      </c>
      <c r="AU4913" s="8"/>
      <c r="AV4913" s="8"/>
      <c r="AW4913" s="8"/>
      <c r="AX4913" s="8">
        <v>2.96</v>
      </c>
      <c r="AY4913" s="8"/>
      <c r="AZ4913" s="8"/>
      <c r="BA4913" s="8"/>
      <c r="BB4913" s="8"/>
      <c r="BC4913" s="8"/>
      <c r="BD4913" s="8"/>
      <c r="BE4913" s="8"/>
      <c r="BF4913" s="8"/>
      <c r="BG4913" s="8">
        <v>49.6</v>
      </c>
      <c r="BH4913" s="9">
        <f t="shared" si="684"/>
        <v>1358.68</v>
      </c>
      <c r="BI4913" s="9">
        <f t="shared" si="685"/>
        <v>2.2000000000000002</v>
      </c>
      <c r="BJ4913" s="9">
        <f t="shared" si="686"/>
        <v>5.45</v>
      </c>
      <c r="BK4913" s="9">
        <f t="shared" si="687"/>
        <v>13.64</v>
      </c>
      <c r="BL4913" s="9">
        <f t="shared" si="688"/>
        <v>0</v>
      </c>
      <c r="BM4913" s="9">
        <f t="shared" si="689"/>
        <v>3.41</v>
      </c>
      <c r="BN4913" s="9">
        <f t="shared" si="690"/>
        <v>639.94000000000005</v>
      </c>
      <c r="BO4913" s="9">
        <f t="shared" si="691"/>
        <v>2.96</v>
      </c>
      <c r="BP4913" s="9">
        <f t="shared" si="692"/>
        <v>0</v>
      </c>
    </row>
    <row r="4914" spans="1:68">
      <c r="A4914" s="6">
        <v>45490</v>
      </c>
      <c r="B4914" s="7">
        <v>3136</v>
      </c>
      <c r="C4914" s="8">
        <v>1267.3</v>
      </c>
      <c r="D4914" s="8"/>
      <c r="E4914" s="8"/>
      <c r="F4914" s="8"/>
      <c r="G4914" s="8"/>
      <c r="H4914" s="8">
        <v>526.19000000000005</v>
      </c>
      <c r="I4914" s="8"/>
      <c r="J4914" s="8"/>
      <c r="K4914" s="8"/>
      <c r="L4914" s="8"/>
      <c r="M4914" s="8">
        <v>2.9</v>
      </c>
      <c r="N4914" s="8"/>
      <c r="O4914" s="8"/>
      <c r="P4914" s="8"/>
      <c r="Q4914" s="11"/>
      <c r="R4914" s="11"/>
      <c r="S4914" s="8">
        <v>6.41</v>
      </c>
      <c r="T4914" s="8"/>
      <c r="U4914" s="8">
        <v>20.309999999999999</v>
      </c>
      <c r="V4914" s="8"/>
      <c r="W4914" s="8"/>
      <c r="X4914" s="8"/>
      <c r="Y4914" s="8"/>
      <c r="Z4914" s="8"/>
      <c r="AA4914" s="8"/>
      <c r="AB4914" s="8"/>
      <c r="AC4914" s="8">
        <v>6.24</v>
      </c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11"/>
      <c r="AQ4914" s="8"/>
      <c r="AR4914" s="8"/>
      <c r="AS4914" s="8"/>
      <c r="AT4914" s="8">
        <v>1015.06</v>
      </c>
      <c r="AU4914" s="8"/>
      <c r="AV4914" s="8"/>
      <c r="AW4914" s="8"/>
      <c r="AX4914" s="8"/>
      <c r="AY4914" s="8"/>
      <c r="AZ4914" s="8"/>
      <c r="BA4914" s="8">
        <v>15.45</v>
      </c>
      <c r="BB4914" s="8"/>
      <c r="BC4914" s="8"/>
      <c r="BD4914" s="8"/>
      <c r="BE4914" s="8"/>
      <c r="BF4914" s="8">
        <v>62.4</v>
      </c>
      <c r="BG4914" s="8">
        <v>76.569999999999993</v>
      </c>
      <c r="BH4914" s="9">
        <f t="shared" si="684"/>
        <v>1793.49</v>
      </c>
      <c r="BI4914" s="9">
        <f t="shared" si="685"/>
        <v>2.9</v>
      </c>
      <c r="BJ4914" s="9">
        <f t="shared" si="686"/>
        <v>6.41</v>
      </c>
      <c r="BK4914" s="9">
        <f t="shared" si="687"/>
        <v>20.309999999999999</v>
      </c>
      <c r="BL4914" s="9">
        <f t="shared" si="688"/>
        <v>0</v>
      </c>
      <c r="BM4914" s="9">
        <f t="shared" si="689"/>
        <v>6.24</v>
      </c>
      <c r="BN4914" s="9">
        <f t="shared" si="690"/>
        <v>1015.06</v>
      </c>
      <c r="BO4914" s="9">
        <f t="shared" si="691"/>
        <v>15.45</v>
      </c>
      <c r="BP4914" s="9">
        <f t="shared" si="692"/>
        <v>62.4</v>
      </c>
    </row>
    <row r="4915" spans="1:68">
      <c r="A4915" s="6">
        <v>45490</v>
      </c>
      <c r="B4915" s="7">
        <v>3016</v>
      </c>
      <c r="C4915" s="8"/>
      <c r="D4915" s="8">
        <v>2368.5100000000002</v>
      </c>
      <c r="E4915" s="8"/>
      <c r="F4915" s="8"/>
      <c r="G4915" s="8"/>
      <c r="H4915" s="8"/>
      <c r="I4915" s="8">
        <v>2184.1</v>
      </c>
      <c r="J4915" s="8"/>
      <c r="K4915" s="8"/>
      <c r="L4915" s="8"/>
      <c r="M4915" s="8"/>
      <c r="N4915" s="8">
        <v>29.6</v>
      </c>
      <c r="O4915" s="8"/>
      <c r="P4915" s="8"/>
      <c r="Q4915" s="11"/>
      <c r="R4915" s="11"/>
      <c r="S4915" s="8">
        <v>3.16</v>
      </c>
      <c r="T4915" s="8"/>
      <c r="U4915" s="8"/>
      <c r="V4915" s="8"/>
      <c r="W4915" s="8">
        <v>45.55</v>
      </c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>
        <v>17.96</v>
      </c>
      <c r="AN4915" s="8">
        <f>2048*26.8/1000</f>
        <v>54.886400000000002</v>
      </c>
      <c r="AO4915" s="8"/>
      <c r="AP4915" s="11"/>
      <c r="AQ4915" s="8"/>
      <c r="AR4915" s="8">
        <f>4337*26.8/1000</f>
        <v>116.2316</v>
      </c>
      <c r="AS4915" s="8"/>
      <c r="AT4915" s="8">
        <v>1694.18</v>
      </c>
      <c r="AU4915" s="8"/>
      <c r="AV4915" s="8"/>
      <c r="AW4915" s="8"/>
      <c r="AX4915" s="8"/>
      <c r="AY4915" s="8"/>
      <c r="AZ4915" s="8"/>
      <c r="BA4915" s="8"/>
      <c r="BB4915" s="8"/>
      <c r="BC4915" s="8"/>
      <c r="BD4915" s="8"/>
      <c r="BE4915" s="8"/>
      <c r="BF4915" s="8"/>
      <c r="BG4915" s="8">
        <v>123.64</v>
      </c>
      <c r="BH4915" s="9">
        <f t="shared" si="684"/>
        <v>4552.6100000000006</v>
      </c>
      <c r="BI4915" s="9">
        <f t="shared" si="685"/>
        <v>29.6</v>
      </c>
      <c r="BJ4915" s="9">
        <f t="shared" si="686"/>
        <v>3.16</v>
      </c>
      <c r="BK4915" s="9">
        <f t="shared" si="687"/>
        <v>45.55</v>
      </c>
      <c r="BL4915" s="9">
        <f t="shared" si="688"/>
        <v>0</v>
      </c>
      <c r="BM4915" s="9">
        <f t="shared" si="689"/>
        <v>189.078</v>
      </c>
      <c r="BN4915" s="9">
        <f t="shared" si="690"/>
        <v>1694.18</v>
      </c>
      <c r="BO4915" s="9">
        <f t="shared" si="691"/>
        <v>0</v>
      </c>
      <c r="BP4915" s="9">
        <f t="shared" si="692"/>
        <v>0</v>
      </c>
    </row>
    <row r="4916" spans="1:68">
      <c r="A4916" s="6">
        <v>45491</v>
      </c>
      <c r="B4916" s="7">
        <v>3139</v>
      </c>
      <c r="C4916" s="8">
        <v>2053.88</v>
      </c>
      <c r="D4916" s="8"/>
      <c r="E4916" s="8"/>
      <c r="F4916" s="8"/>
      <c r="G4916" s="8"/>
      <c r="H4916" s="8">
        <v>853.45</v>
      </c>
      <c r="I4916" s="8"/>
      <c r="J4916" s="8"/>
      <c r="K4916" s="8"/>
      <c r="L4916" s="8"/>
      <c r="M4916" s="8">
        <v>4.93</v>
      </c>
      <c r="N4916" s="8"/>
      <c r="O4916" s="8"/>
      <c r="P4916" s="8"/>
      <c r="Q4916" s="11"/>
      <c r="R4916" s="11"/>
      <c r="S4916" s="8">
        <v>9.35</v>
      </c>
      <c r="T4916" s="8"/>
      <c r="U4916" s="8">
        <v>30.33</v>
      </c>
      <c r="V4916" s="8"/>
      <c r="W4916" s="8"/>
      <c r="X4916" s="8"/>
      <c r="Y4916" s="8"/>
      <c r="Z4916" s="8"/>
      <c r="AA4916" s="8"/>
      <c r="AB4916" s="8"/>
      <c r="AC4916" s="8">
        <v>10.119999999999999</v>
      </c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11"/>
      <c r="AQ4916" s="8"/>
      <c r="AR4916" s="8"/>
      <c r="AS4916" s="8"/>
      <c r="AT4916" s="8">
        <v>1496.37</v>
      </c>
      <c r="AU4916" s="8"/>
      <c r="AV4916" s="8">
        <v>50.5</v>
      </c>
      <c r="AW4916" s="8"/>
      <c r="AX4916" s="8"/>
      <c r="AY4916" s="8"/>
      <c r="AZ4916" s="8"/>
      <c r="BA4916" s="8"/>
      <c r="BB4916" s="8"/>
      <c r="BC4916" s="8"/>
      <c r="BD4916" s="8"/>
      <c r="BE4916" s="8"/>
      <c r="BF4916" s="8"/>
      <c r="BG4916" s="8">
        <v>108.74</v>
      </c>
      <c r="BH4916" s="9">
        <f t="shared" si="684"/>
        <v>2907.33</v>
      </c>
      <c r="BI4916" s="9">
        <f t="shared" si="685"/>
        <v>4.93</v>
      </c>
      <c r="BJ4916" s="9">
        <f t="shared" si="686"/>
        <v>9.35</v>
      </c>
      <c r="BK4916" s="9">
        <f t="shared" si="687"/>
        <v>30.33</v>
      </c>
      <c r="BL4916" s="9">
        <f t="shared" si="688"/>
        <v>0</v>
      </c>
      <c r="BM4916" s="9">
        <f t="shared" si="689"/>
        <v>10.119999999999999</v>
      </c>
      <c r="BN4916" s="9">
        <f t="shared" si="690"/>
        <v>1496.37</v>
      </c>
      <c r="BO4916" s="9">
        <f t="shared" si="691"/>
        <v>50.5</v>
      </c>
      <c r="BP4916" s="9">
        <f t="shared" si="692"/>
        <v>0</v>
      </c>
    </row>
    <row r="4917" spans="1:68">
      <c r="A4917" s="6">
        <v>45491</v>
      </c>
      <c r="B4917" s="7">
        <v>3204</v>
      </c>
      <c r="C4917" s="8"/>
      <c r="D4917" s="8">
        <v>1749.76</v>
      </c>
      <c r="E4917" s="8">
        <v>749.83</v>
      </c>
      <c r="F4917" s="8"/>
      <c r="G4917" s="8"/>
      <c r="H4917" s="8"/>
      <c r="I4917" s="8"/>
      <c r="J4917" s="8"/>
      <c r="K4917" s="8"/>
      <c r="L4917" s="8"/>
      <c r="M4917" s="8"/>
      <c r="N4917" s="8"/>
      <c r="O4917" s="8">
        <v>12.52</v>
      </c>
      <c r="P4917" s="8"/>
      <c r="Q4917" s="11"/>
      <c r="R4917" s="11"/>
      <c r="S4917" s="8">
        <v>8.5</v>
      </c>
      <c r="T4917" s="8"/>
      <c r="U4917" s="8">
        <v>27.53</v>
      </c>
      <c r="V4917" s="8"/>
      <c r="W4917" s="8"/>
      <c r="X4917" s="8"/>
      <c r="Y4917" s="8"/>
      <c r="Z4917" s="8">
        <v>375.22</v>
      </c>
      <c r="AA4917" s="8"/>
      <c r="AB4917" s="8">
        <f>715*17.87/1000</f>
        <v>12.777050000000001</v>
      </c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11"/>
      <c r="AQ4917" s="8"/>
      <c r="AR4917" s="8"/>
      <c r="AS4917" s="8"/>
      <c r="AT4917" s="8">
        <v>1094.9100000000001</v>
      </c>
      <c r="AU4917" s="8"/>
      <c r="AV4917" s="8"/>
      <c r="AW4917" s="8">
        <v>8.01</v>
      </c>
      <c r="AX4917" s="8"/>
      <c r="AY4917" s="8"/>
      <c r="AZ4917" s="8"/>
      <c r="BA4917" s="8"/>
      <c r="BB4917" s="8"/>
      <c r="BC4917" s="8"/>
      <c r="BD4917" s="8"/>
      <c r="BE4917" s="8"/>
      <c r="BF4917" s="8"/>
      <c r="BG4917" s="8">
        <v>81.33</v>
      </c>
      <c r="BH4917" s="9">
        <f t="shared" si="684"/>
        <v>2499.59</v>
      </c>
      <c r="BI4917" s="9">
        <f t="shared" si="685"/>
        <v>12.52</v>
      </c>
      <c r="BJ4917" s="9">
        <f t="shared" si="686"/>
        <v>8.5</v>
      </c>
      <c r="BK4917" s="9">
        <f t="shared" si="687"/>
        <v>27.53</v>
      </c>
      <c r="BL4917" s="9">
        <f t="shared" si="688"/>
        <v>375.22</v>
      </c>
      <c r="BM4917" s="9">
        <f t="shared" si="689"/>
        <v>12.777050000000001</v>
      </c>
      <c r="BN4917" s="9">
        <f t="shared" si="690"/>
        <v>1094.9100000000001</v>
      </c>
      <c r="BO4917" s="9">
        <f t="shared" si="691"/>
        <v>8.01</v>
      </c>
      <c r="BP4917" s="9">
        <f t="shared" si="692"/>
        <v>0</v>
      </c>
    </row>
    <row r="4918" spans="1:68">
      <c r="A4918" s="6">
        <v>45491</v>
      </c>
      <c r="B4918" s="7">
        <v>3154</v>
      </c>
      <c r="C4918" s="8">
        <v>1270.8900000000001</v>
      </c>
      <c r="D4918" s="8"/>
      <c r="E4918" s="8"/>
      <c r="F4918" s="8"/>
      <c r="G4918" s="8"/>
      <c r="H4918" s="8"/>
      <c r="I4918" s="8"/>
      <c r="J4918" s="8"/>
      <c r="K4918" s="8"/>
      <c r="L4918" s="8"/>
      <c r="M4918" s="8">
        <v>3.53</v>
      </c>
      <c r="N4918" s="8"/>
      <c r="O4918" s="8"/>
      <c r="P4918" s="8"/>
      <c r="Q4918" s="11"/>
      <c r="R4918" s="11"/>
      <c r="S4918" s="8">
        <v>4.59</v>
      </c>
      <c r="T4918" s="8"/>
      <c r="U4918" s="8">
        <v>16.16</v>
      </c>
      <c r="V4918" s="8"/>
      <c r="W4918" s="8"/>
      <c r="X4918" s="8"/>
      <c r="Y4918" s="8"/>
      <c r="Z4918" s="8"/>
      <c r="AA4918" s="8"/>
      <c r="AB4918" s="8"/>
      <c r="AC4918" s="8">
        <v>5.09</v>
      </c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11"/>
      <c r="AQ4918" s="8"/>
      <c r="AR4918" s="8"/>
      <c r="AS4918" s="8"/>
      <c r="AT4918" s="8">
        <v>689.63</v>
      </c>
      <c r="AU4918" s="8"/>
      <c r="AV4918" s="8"/>
      <c r="AW4918" s="8"/>
      <c r="AX4918" s="8"/>
      <c r="AY4918" s="8"/>
      <c r="AZ4918" s="8"/>
      <c r="BA4918" s="8"/>
      <c r="BB4918" s="8"/>
      <c r="BC4918" s="8">
        <v>1.53</v>
      </c>
      <c r="BD4918" s="8"/>
      <c r="BE4918" s="8"/>
      <c r="BF4918" s="8"/>
      <c r="BG4918" s="8">
        <v>51.85</v>
      </c>
      <c r="BH4918" s="9">
        <f t="shared" si="684"/>
        <v>1270.8900000000001</v>
      </c>
      <c r="BI4918" s="9">
        <f t="shared" si="685"/>
        <v>3.53</v>
      </c>
      <c r="BJ4918" s="9">
        <f t="shared" si="686"/>
        <v>4.59</v>
      </c>
      <c r="BK4918" s="9">
        <f t="shared" si="687"/>
        <v>16.16</v>
      </c>
      <c r="BL4918" s="9">
        <f t="shared" si="688"/>
        <v>0</v>
      </c>
      <c r="BM4918" s="9">
        <f t="shared" si="689"/>
        <v>5.09</v>
      </c>
      <c r="BN4918" s="9">
        <f t="shared" si="690"/>
        <v>689.63</v>
      </c>
      <c r="BO4918" s="9">
        <f t="shared" si="691"/>
        <v>1.53</v>
      </c>
      <c r="BP4918" s="9">
        <f t="shared" si="692"/>
        <v>0</v>
      </c>
    </row>
    <row r="4919" spans="1:68">
      <c r="A4919" s="6">
        <v>45491</v>
      </c>
      <c r="B4919" s="7">
        <v>3149</v>
      </c>
      <c r="C4919" s="8">
        <v>699.35</v>
      </c>
      <c r="D4919" s="8">
        <v>123.07</v>
      </c>
      <c r="E4919" s="8"/>
      <c r="F4919" s="8"/>
      <c r="G4919" s="8"/>
      <c r="H4919" s="8"/>
      <c r="I4919" s="8"/>
      <c r="J4919" s="8"/>
      <c r="K4919" s="8"/>
      <c r="L4919" s="8"/>
      <c r="M4919" s="8">
        <v>2.4900000000000002</v>
      </c>
      <c r="N4919" s="8"/>
      <c r="O4919" s="8"/>
      <c r="P4919" s="8"/>
      <c r="Q4919" s="11"/>
      <c r="R4919" s="11"/>
      <c r="S4919" s="8">
        <v>3.87</v>
      </c>
      <c r="T4919" s="8"/>
      <c r="U4919" s="8">
        <v>12.34</v>
      </c>
      <c r="V4919" s="8"/>
      <c r="W4919" s="8"/>
      <c r="X4919" s="8"/>
      <c r="Y4919" s="8"/>
      <c r="Z4919" s="8"/>
      <c r="AA4919" s="8"/>
      <c r="AB4919" s="8"/>
      <c r="AC4919" s="8">
        <v>3.29</v>
      </c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11"/>
      <c r="AQ4919" s="8"/>
      <c r="AR4919" s="8"/>
      <c r="AS4919" s="8"/>
      <c r="AT4919" s="8">
        <v>539.14</v>
      </c>
      <c r="AU4919" s="8"/>
      <c r="AV4919" s="8"/>
      <c r="AW4919" s="8">
        <v>26.58</v>
      </c>
      <c r="AX4919" s="8"/>
      <c r="AY4919" s="8"/>
      <c r="AZ4919" s="8"/>
      <c r="BA4919" s="8"/>
      <c r="BB4919" s="8"/>
      <c r="BC4919" s="8"/>
      <c r="BD4919" s="8"/>
      <c r="BE4919" s="8"/>
      <c r="BF4919" s="8">
        <v>57.6</v>
      </c>
      <c r="BG4919" s="8">
        <v>42.93</v>
      </c>
      <c r="BH4919" s="9">
        <f t="shared" si="684"/>
        <v>822.42000000000007</v>
      </c>
      <c r="BI4919" s="9">
        <f t="shared" si="685"/>
        <v>2.4900000000000002</v>
      </c>
      <c r="BJ4919" s="9">
        <f t="shared" si="686"/>
        <v>3.87</v>
      </c>
      <c r="BK4919" s="9">
        <f t="shared" si="687"/>
        <v>12.34</v>
      </c>
      <c r="BL4919" s="9">
        <f t="shared" si="688"/>
        <v>0</v>
      </c>
      <c r="BM4919" s="9">
        <f t="shared" si="689"/>
        <v>3.29</v>
      </c>
      <c r="BN4919" s="9">
        <f t="shared" si="690"/>
        <v>539.14</v>
      </c>
      <c r="BO4919" s="9">
        <f t="shared" si="691"/>
        <v>26.58</v>
      </c>
      <c r="BP4919" s="9">
        <f t="shared" si="692"/>
        <v>57.6</v>
      </c>
    </row>
    <row r="4920" spans="1:68">
      <c r="A4920" s="6">
        <v>45491</v>
      </c>
      <c r="B4920" s="7">
        <v>3601</v>
      </c>
      <c r="C4920" s="8">
        <v>306.45999999999998</v>
      </c>
      <c r="D4920" s="8"/>
      <c r="E4920" s="8"/>
      <c r="F4920" s="8"/>
      <c r="G4920" s="8">
        <v>459.35</v>
      </c>
      <c r="H4920" s="8"/>
      <c r="I4920" s="8"/>
      <c r="J4920" s="8"/>
      <c r="K4920" s="8"/>
      <c r="L4920" s="8"/>
      <c r="M4920" s="8">
        <v>0.92</v>
      </c>
      <c r="N4920" s="8"/>
      <c r="O4920" s="8"/>
      <c r="P4920" s="8"/>
      <c r="Q4920" s="11"/>
      <c r="R4920" s="11"/>
      <c r="S4920" s="8">
        <v>3.57</v>
      </c>
      <c r="T4920" s="8"/>
      <c r="U4920" s="8">
        <v>4.6100000000000003</v>
      </c>
      <c r="V4920" s="8"/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11"/>
      <c r="AQ4920" s="8"/>
      <c r="AR4920" s="8"/>
      <c r="AS4920" s="8"/>
      <c r="AT4920" s="8">
        <v>376.18</v>
      </c>
      <c r="AU4920" s="8"/>
      <c r="AV4920" s="8"/>
      <c r="AW4920" s="8">
        <v>23.37</v>
      </c>
      <c r="AX4920" s="8"/>
      <c r="AY4920" s="8"/>
      <c r="AZ4920" s="8"/>
      <c r="BA4920" s="8"/>
      <c r="BB4920" s="8"/>
      <c r="BC4920" s="8"/>
      <c r="BD4920" s="8"/>
      <c r="BE4920" s="8"/>
      <c r="BF4920" s="8">
        <v>43.05</v>
      </c>
      <c r="BG4920" s="8">
        <v>27.3</v>
      </c>
      <c r="BH4920" s="9">
        <f t="shared" si="684"/>
        <v>765.81</v>
      </c>
      <c r="BI4920" s="9">
        <f t="shared" si="685"/>
        <v>0.92</v>
      </c>
      <c r="BJ4920" s="9">
        <f t="shared" si="686"/>
        <v>3.57</v>
      </c>
      <c r="BK4920" s="9">
        <f t="shared" si="687"/>
        <v>4.6100000000000003</v>
      </c>
      <c r="BL4920" s="9">
        <f t="shared" si="688"/>
        <v>0</v>
      </c>
      <c r="BM4920" s="9">
        <f t="shared" si="689"/>
        <v>0</v>
      </c>
      <c r="BN4920" s="9">
        <f t="shared" si="690"/>
        <v>376.18</v>
      </c>
      <c r="BO4920" s="9">
        <f t="shared" si="691"/>
        <v>23.37</v>
      </c>
      <c r="BP4920" s="9">
        <f t="shared" si="692"/>
        <v>43.05</v>
      </c>
    </row>
    <row r="4921" spans="1:68">
      <c r="A4921" s="6">
        <v>45491</v>
      </c>
      <c r="B4921" s="7">
        <v>3602</v>
      </c>
      <c r="C4921" s="8">
        <v>568.29999999999995</v>
      </c>
      <c r="D4921" s="8"/>
      <c r="E4921" s="8"/>
      <c r="F4921" s="8"/>
      <c r="G4921" s="8">
        <v>852.75</v>
      </c>
      <c r="H4921" s="8"/>
      <c r="I4921" s="8"/>
      <c r="J4921" s="8"/>
      <c r="K4921" s="8"/>
      <c r="L4921" s="8"/>
      <c r="M4921" s="8">
        <v>1.72</v>
      </c>
      <c r="N4921" s="8"/>
      <c r="O4921" s="8"/>
      <c r="P4921" s="8"/>
      <c r="Q4921" s="11"/>
      <c r="R4921" s="11"/>
      <c r="S4921" s="8">
        <v>5.92</v>
      </c>
      <c r="T4921" s="8"/>
      <c r="U4921" s="8">
        <v>11.39</v>
      </c>
      <c r="V4921" s="8">
        <f>866*16.25/1000</f>
        <v>14.0725</v>
      </c>
      <c r="W4921" s="8"/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11"/>
      <c r="AQ4921" s="8"/>
      <c r="AR4921" s="8"/>
      <c r="AS4921" s="8"/>
      <c r="AT4921" s="8">
        <v>574.41</v>
      </c>
      <c r="AU4921" s="8"/>
      <c r="AV4921" s="8"/>
      <c r="AW4921" s="8">
        <v>36.79</v>
      </c>
      <c r="AX4921" s="8"/>
      <c r="AY4921" s="8"/>
      <c r="AZ4921" s="8"/>
      <c r="BA4921" s="8"/>
      <c r="BB4921" s="8"/>
      <c r="BC4921" s="8"/>
      <c r="BD4921" s="8"/>
      <c r="BE4921" s="8"/>
      <c r="BF4921" s="8">
        <v>45.59</v>
      </c>
      <c r="BG4921" s="8">
        <v>42.75</v>
      </c>
      <c r="BH4921" s="9">
        <f t="shared" si="684"/>
        <v>1421.05</v>
      </c>
      <c r="BI4921" s="9">
        <f t="shared" si="685"/>
        <v>1.72</v>
      </c>
      <c r="BJ4921" s="9">
        <f t="shared" si="686"/>
        <v>5.92</v>
      </c>
      <c r="BK4921" s="9">
        <f t="shared" si="687"/>
        <v>25.462499999999999</v>
      </c>
      <c r="BL4921" s="9">
        <f t="shared" si="688"/>
        <v>0</v>
      </c>
      <c r="BM4921" s="9">
        <f t="shared" si="689"/>
        <v>0</v>
      </c>
      <c r="BN4921" s="9">
        <f t="shared" si="690"/>
        <v>574.41</v>
      </c>
      <c r="BO4921" s="9">
        <f t="shared" si="691"/>
        <v>36.79</v>
      </c>
      <c r="BP4921" s="9">
        <f t="shared" si="692"/>
        <v>45.59</v>
      </c>
    </row>
    <row r="4922" spans="1:68">
      <c r="A4922" s="6">
        <v>45492</v>
      </c>
      <c r="B4922" s="7">
        <v>3031</v>
      </c>
      <c r="C4922" s="8"/>
      <c r="D4922" s="8"/>
      <c r="E4922" s="8"/>
      <c r="F4922" s="8"/>
      <c r="G4922" s="8"/>
      <c r="H4922" s="8"/>
      <c r="I4922" s="8">
        <v>1162.1099999999999</v>
      </c>
      <c r="J4922" s="8"/>
      <c r="K4922" s="8"/>
      <c r="L4922" s="8"/>
      <c r="M4922" s="8"/>
      <c r="N4922" s="8">
        <v>8.02</v>
      </c>
      <c r="O4922" s="8"/>
      <c r="P4922" s="8"/>
      <c r="Q4922" s="11"/>
      <c r="R4922" s="11"/>
      <c r="S4922" s="8">
        <v>0.81</v>
      </c>
      <c r="T4922" s="8"/>
      <c r="U4922" s="8"/>
      <c r="V4922" s="8"/>
      <c r="W4922" s="8">
        <v>11.64</v>
      </c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>
        <f>1807*9.68/1000</f>
        <v>17.491759999999999</v>
      </c>
      <c r="AJ4922" s="8"/>
      <c r="AK4922" s="8"/>
      <c r="AL4922" s="8"/>
      <c r="AM4922" s="8"/>
      <c r="AN4922" s="8">
        <f>1235*9.68/1000</f>
        <v>11.954799999999999</v>
      </c>
      <c r="AO4922" s="8"/>
      <c r="AP4922" s="11"/>
      <c r="AQ4922" s="8"/>
      <c r="AR4922" s="8">
        <f>1807*9.68/1000</f>
        <v>17.491759999999999</v>
      </c>
      <c r="AS4922" s="8"/>
      <c r="AT4922" s="8">
        <v>554.38</v>
      </c>
      <c r="AU4922" s="8"/>
      <c r="AV4922" s="8"/>
      <c r="AW4922" s="8"/>
      <c r="AX4922" s="8"/>
      <c r="AY4922" s="8"/>
      <c r="AZ4922" s="8"/>
      <c r="BA4922" s="8"/>
      <c r="BB4922" s="8"/>
      <c r="BC4922" s="8"/>
      <c r="BD4922" s="8"/>
      <c r="BE4922" s="8"/>
      <c r="BF4922" s="8"/>
      <c r="BG4922" s="8">
        <v>37.700000000000003</v>
      </c>
      <c r="BH4922" s="9">
        <f t="shared" si="684"/>
        <v>1162.1099999999999</v>
      </c>
      <c r="BI4922" s="9">
        <f t="shared" si="685"/>
        <v>8.02</v>
      </c>
      <c r="BJ4922" s="9">
        <f t="shared" si="686"/>
        <v>0.81</v>
      </c>
      <c r="BK4922" s="9">
        <f t="shared" si="687"/>
        <v>11.64</v>
      </c>
      <c r="BL4922" s="9">
        <f t="shared" si="688"/>
        <v>0</v>
      </c>
      <c r="BM4922" s="9">
        <f t="shared" si="689"/>
        <v>46.938319999999997</v>
      </c>
      <c r="BN4922" s="9">
        <f t="shared" si="690"/>
        <v>554.38</v>
      </c>
      <c r="BO4922" s="9">
        <f t="shared" si="691"/>
        <v>0</v>
      </c>
      <c r="BP4922" s="9">
        <f t="shared" si="692"/>
        <v>0</v>
      </c>
    </row>
    <row r="4923" spans="1:68">
      <c r="A4923" s="6">
        <v>45492</v>
      </c>
      <c r="B4923" s="7">
        <v>3111</v>
      </c>
      <c r="C4923" s="8">
        <v>1517.42</v>
      </c>
      <c r="D4923" s="8"/>
      <c r="E4923" s="8"/>
      <c r="F4923" s="8"/>
      <c r="G4923" s="8"/>
      <c r="H4923" s="8"/>
      <c r="I4923" s="8"/>
      <c r="J4923" s="8"/>
      <c r="K4923" s="8"/>
      <c r="L4923" s="8"/>
      <c r="M4923" s="8">
        <v>2.58</v>
      </c>
      <c r="N4923" s="8"/>
      <c r="O4923" s="8"/>
      <c r="P4923" s="8"/>
      <c r="Q4923" s="11"/>
      <c r="R4923" s="11"/>
      <c r="S4923" s="8">
        <v>4.5599999999999996</v>
      </c>
      <c r="T4923" s="8"/>
      <c r="U4923" s="8">
        <v>15.2</v>
      </c>
      <c r="V4923" s="8"/>
      <c r="W4923" s="8"/>
      <c r="X4923" s="8"/>
      <c r="Y4923" s="8"/>
      <c r="Z4923" s="8"/>
      <c r="AA4923" s="8"/>
      <c r="AB4923" s="8"/>
      <c r="AC4923" s="8">
        <v>6.07</v>
      </c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11"/>
      <c r="AQ4923" s="8"/>
      <c r="AR4923" s="8"/>
      <c r="AS4923" s="8"/>
      <c r="AT4923" s="8">
        <v>710.19</v>
      </c>
      <c r="AU4923" s="8"/>
      <c r="AV4923" s="8"/>
      <c r="AW4923" s="8"/>
      <c r="AX4923" s="8"/>
      <c r="AY4923" s="8"/>
      <c r="AZ4923" s="8"/>
      <c r="BA4923" s="8">
        <v>56.49</v>
      </c>
      <c r="BB4923" s="8"/>
      <c r="BC4923" s="8"/>
      <c r="BD4923" s="8"/>
      <c r="BE4923" s="8"/>
      <c r="BF4923" s="8"/>
      <c r="BG4923" s="8">
        <v>49.37</v>
      </c>
      <c r="BH4923" s="9">
        <f t="shared" si="684"/>
        <v>1517.42</v>
      </c>
      <c r="BI4923" s="9">
        <f t="shared" si="685"/>
        <v>2.58</v>
      </c>
      <c r="BJ4923" s="9">
        <f t="shared" si="686"/>
        <v>4.5599999999999996</v>
      </c>
      <c r="BK4923" s="9">
        <f t="shared" si="687"/>
        <v>15.2</v>
      </c>
      <c r="BL4923" s="9">
        <f t="shared" si="688"/>
        <v>0</v>
      </c>
      <c r="BM4923" s="9">
        <f t="shared" si="689"/>
        <v>6.07</v>
      </c>
      <c r="BN4923" s="9">
        <f t="shared" si="690"/>
        <v>710.19</v>
      </c>
      <c r="BO4923" s="9">
        <f t="shared" si="691"/>
        <v>56.49</v>
      </c>
      <c r="BP4923" s="9">
        <f t="shared" si="692"/>
        <v>0</v>
      </c>
    </row>
    <row r="4924" spans="1:68">
      <c r="A4924" s="6">
        <v>45492</v>
      </c>
      <c r="B4924" s="7">
        <v>3156</v>
      </c>
      <c r="C4924" s="8">
        <v>2589.7800000000002</v>
      </c>
      <c r="D4924" s="8"/>
      <c r="E4924" s="8"/>
      <c r="F4924" s="8"/>
      <c r="G4924" s="8"/>
      <c r="H4924" s="8"/>
      <c r="I4924" s="8"/>
      <c r="J4924" s="8"/>
      <c r="K4924" s="8"/>
      <c r="L4924" s="8"/>
      <c r="M4924" s="8">
        <v>4.46</v>
      </c>
      <c r="N4924" s="8"/>
      <c r="O4924" s="8"/>
      <c r="P4924" s="8"/>
      <c r="Q4924" s="11"/>
      <c r="R4924" s="11"/>
      <c r="S4924" s="8">
        <v>10.34</v>
      </c>
      <c r="T4924" s="8"/>
      <c r="U4924" s="8">
        <v>25.89</v>
      </c>
      <c r="V4924" s="8"/>
      <c r="W4924" s="8"/>
      <c r="X4924" s="8"/>
      <c r="Y4924" s="8"/>
      <c r="Z4924" s="8"/>
      <c r="AA4924" s="8"/>
      <c r="AB4924" s="8"/>
      <c r="AC4924" s="8">
        <v>6.47</v>
      </c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11"/>
      <c r="AQ4924" s="8"/>
      <c r="AR4924" s="8"/>
      <c r="AS4924" s="8"/>
      <c r="AT4924" s="8">
        <v>1215.72</v>
      </c>
      <c r="AU4924" s="8"/>
      <c r="AV4924" s="8"/>
      <c r="AW4924" s="8"/>
      <c r="AX4924" s="8">
        <v>5.62</v>
      </c>
      <c r="AY4924" s="8"/>
      <c r="AZ4924" s="8"/>
      <c r="BA4924" s="8"/>
      <c r="BB4924" s="8"/>
      <c r="BC4924" s="8"/>
      <c r="BD4924" s="8"/>
      <c r="BE4924" s="8"/>
      <c r="BF4924" s="8"/>
      <c r="BG4924" s="8">
        <v>94.3</v>
      </c>
      <c r="BH4924" s="9">
        <f t="shared" si="684"/>
        <v>2589.7800000000002</v>
      </c>
      <c r="BI4924" s="9">
        <f t="shared" si="685"/>
        <v>4.46</v>
      </c>
      <c r="BJ4924" s="9">
        <f t="shared" si="686"/>
        <v>10.34</v>
      </c>
      <c r="BK4924" s="9">
        <f t="shared" si="687"/>
        <v>25.89</v>
      </c>
      <c r="BL4924" s="9">
        <f t="shared" si="688"/>
        <v>0</v>
      </c>
      <c r="BM4924" s="9">
        <f t="shared" si="689"/>
        <v>6.47</v>
      </c>
      <c r="BN4924" s="9">
        <f t="shared" si="690"/>
        <v>1215.72</v>
      </c>
      <c r="BO4924" s="9">
        <f t="shared" si="691"/>
        <v>5.62</v>
      </c>
      <c r="BP4924" s="9">
        <f t="shared" si="692"/>
        <v>0</v>
      </c>
    </row>
    <row r="4925" spans="1:68">
      <c r="A4925" s="6">
        <v>45492</v>
      </c>
      <c r="B4925" s="7">
        <v>3083</v>
      </c>
      <c r="C4925" s="8"/>
      <c r="D4925" s="8">
        <v>1072.49</v>
      </c>
      <c r="E4925" s="8"/>
      <c r="F4925" s="8"/>
      <c r="G4925" s="8"/>
      <c r="H4925" s="8"/>
      <c r="I4925" s="8">
        <v>2500.11</v>
      </c>
      <c r="J4925" s="8"/>
      <c r="K4925" s="8"/>
      <c r="L4925" s="8"/>
      <c r="M4925" s="8"/>
      <c r="N4925" s="8">
        <v>23.23</v>
      </c>
      <c r="O4925" s="8"/>
      <c r="P4925" s="8"/>
      <c r="Q4925" s="11"/>
      <c r="R4925" s="11"/>
      <c r="S4925" s="8">
        <v>2.4900000000000002</v>
      </c>
      <c r="T4925" s="8"/>
      <c r="U4925" s="8"/>
      <c r="V4925" s="8"/>
      <c r="W4925" s="8">
        <v>28.6</v>
      </c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>
        <v>14.22</v>
      </c>
      <c r="AN4925" s="8">
        <f>1933*26.47/1000</f>
        <v>51.166509999999995</v>
      </c>
      <c r="AO4925" s="8"/>
      <c r="AP4925" s="11"/>
      <c r="AQ4925" s="8"/>
      <c r="AR4925" s="8">
        <f>3376*26.47/1000</f>
        <v>89.362719999999996</v>
      </c>
      <c r="AS4925" s="8"/>
      <c r="AT4925" s="8">
        <v>1680.47</v>
      </c>
      <c r="AU4925" s="8"/>
      <c r="AV4925" s="8"/>
      <c r="AW4925" s="8"/>
      <c r="AX4925" s="8"/>
      <c r="AY4925" s="8"/>
      <c r="AZ4925" s="8"/>
      <c r="BA4925" s="8"/>
      <c r="BB4925" s="8"/>
      <c r="BC4925" s="8"/>
      <c r="BD4925" s="8"/>
      <c r="BE4925" s="8"/>
      <c r="BF4925" s="8"/>
      <c r="BG4925" s="8">
        <v>133.22</v>
      </c>
      <c r="BH4925" s="9">
        <f t="shared" si="684"/>
        <v>3572.6000000000004</v>
      </c>
      <c r="BI4925" s="9">
        <f t="shared" si="685"/>
        <v>23.23</v>
      </c>
      <c r="BJ4925" s="9">
        <f t="shared" si="686"/>
        <v>2.4900000000000002</v>
      </c>
      <c r="BK4925" s="9">
        <f t="shared" si="687"/>
        <v>28.6</v>
      </c>
      <c r="BL4925" s="9">
        <f t="shared" si="688"/>
        <v>0</v>
      </c>
      <c r="BM4925" s="9">
        <f t="shared" si="689"/>
        <v>154.74923000000001</v>
      </c>
      <c r="BN4925" s="9">
        <f t="shared" si="690"/>
        <v>1680.47</v>
      </c>
      <c r="BO4925" s="9">
        <f t="shared" si="691"/>
        <v>0</v>
      </c>
      <c r="BP4925" s="9">
        <f t="shared" si="692"/>
        <v>0</v>
      </c>
    </row>
    <row r="4926" spans="1:68">
      <c r="A4926" s="6">
        <v>45492</v>
      </c>
      <c r="B4926" s="7">
        <v>3200</v>
      </c>
      <c r="C4926" s="8">
        <v>2214.2199999999998</v>
      </c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>
        <v>5.54</v>
      </c>
      <c r="P4926" s="8"/>
      <c r="Q4926" s="11"/>
      <c r="R4926" s="11"/>
      <c r="S4926" s="8">
        <v>8.65</v>
      </c>
      <c r="T4926" s="8"/>
      <c r="U4926" s="8">
        <v>33.22</v>
      </c>
      <c r="V4926" s="8"/>
      <c r="W4926" s="8"/>
      <c r="X4926" s="8"/>
      <c r="Y4926" s="8"/>
      <c r="Z4926" s="8">
        <v>465.26</v>
      </c>
      <c r="AA4926" s="8"/>
      <c r="AB4926" s="8"/>
      <c r="AC4926" s="8"/>
      <c r="AD4926" s="8"/>
      <c r="AE4926" s="8"/>
      <c r="AF4926" s="8">
        <v>110.49</v>
      </c>
      <c r="AG4926" s="8"/>
      <c r="AH4926" s="8"/>
      <c r="AI4926" s="8"/>
      <c r="AJ4926" s="8"/>
      <c r="AK4926" s="8"/>
      <c r="AL4926" s="8"/>
      <c r="AM4926" s="8"/>
      <c r="AN4926" s="8"/>
      <c r="AO4926" s="8"/>
      <c r="AP4926" s="11"/>
      <c r="AQ4926" s="8">
        <f>1532*22.15/1000</f>
        <v>33.933799999999998</v>
      </c>
      <c r="AR4926" s="8"/>
      <c r="AS4926" s="8"/>
      <c r="AT4926" s="8">
        <v>1516.93</v>
      </c>
      <c r="AU4926" s="8"/>
      <c r="AV4926" s="8"/>
      <c r="AW4926" s="8">
        <v>6.39</v>
      </c>
      <c r="AX4926" s="8"/>
      <c r="AY4926" s="8"/>
      <c r="AZ4926" s="8"/>
      <c r="BA4926" s="8"/>
      <c r="BB4926" s="8"/>
      <c r="BC4926" s="8"/>
      <c r="BD4926" s="8"/>
      <c r="BE4926" s="8"/>
      <c r="BF4926" s="8">
        <v>106.35</v>
      </c>
      <c r="BG4926" s="8">
        <v>109.63</v>
      </c>
      <c r="BH4926" s="9">
        <f t="shared" si="684"/>
        <v>2214.2199999999998</v>
      </c>
      <c r="BI4926" s="9">
        <f t="shared" si="685"/>
        <v>5.54</v>
      </c>
      <c r="BJ4926" s="9">
        <f t="shared" si="686"/>
        <v>8.65</v>
      </c>
      <c r="BK4926" s="9">
        <f t="shared" si="687"/>
        <v>33.22</v>
      </c>
      <c r="BL4926" s="9">
        <f t="shared" si="688"/>
        <v>465.26</v>
      </c>
      <c r="BM4926" s="9">
        <f t="shared" si="689"/>
        <v>144.4238</v>
      </c>
      <c r="BN4926" s="9">
        <f t="shared" si="690"/>
        <v>1516.93</v>
      </c>
      <c r="BO4926" s="9">
        <f t="shared" si="691"/>
        <v>6.39</v>
      </c>
      <c r="BP4926" s="9">
        <f t="shared" si="692"/>
        <v>106.35</v>
      </c>
    </row>
    <row r="4927" spans="1:68">
      <c r="A4927" s="6">
        <v>45492</v>
      </c>
      <c r="B4927" s="7">
        <v>3204</v>
      </c>
      <c r="C4927" s="8"/>
      <c r="D4927" s="8">
        <v>1005.82</v>
      </c>
      <c r="E4927" s="8">
        <v>431.51</v>
      </c>
      <c r="F4927" s="8"/>
      <c r="G4927" s="8"/>
      <c r="H4927" s="8"/>
      <c r="I4927" s="8"/>
      <c r="J4927" s="8"/>
      <c r="K4927" s="8"/>
      <c r="L4927" s="8"/>
      <c r="M4927" s="8"/>
      <c r="N4927" s="8"/>
      <c r="O4927" s="8">
        <v>7.2</v>
      </c>
      <c r="P4927" s="8"/>
      <c r="Q4927" s="11"/>
      <c r="R4927" s="11"/>
      <c r="S4927" s="8">
        <v>4.8899999999999997</v>
      </c>
      <c r="T4927" s="8"/>
      <c r="U4927" s="8">
        <v>15.84</v>
      </c>
      <c r="V4927" s="8"/>
      <c r="W4927" s="8"/>
      <c r="X4927" s="8"/>
      <c r="Y4927" s="8"/>
      <c r="Z4927" s="8">
        <v>216.14</v>
      </c>
      <c r="AA4927" s="8"/>
      <c r="AB4927" s="8">
        <f>720*10.27/1000</f>
        <v>7.3943999999999992</v>
      </c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11"/>
      <c r="AQ4927" s="8"/>
      <c r="AR4927" s="8"/>
      <c r="AS4927" s="8"/>
      <c r="AT4927" s="8">
        <v>620.17999999999995</v>
      </c>
      <c r="AU4927" s="8"/>
      <c r="AV4927" s="8"/>
      <c r="AW4927" s="8">
        <v>4.5999999999999996</v>
      </c>
      <c r="AX4927" s="8"/>
      <c r="AY4927" s="8"/>
      <c r="AZ4927" s="8"/>
      <c r="BA4927" s="8"/>
      <c r="BB4927" s="8"/>
      <c r="BC4927" s="8"/>
      <c r="BD4927" s="8"/>
      <c r="BE4927" s="8"/>
      <c r="BF4927" s="8"/>
      <c r="BG4927" s="8">
        <v>46.81</v>
      </c>
      <c r="BH4927" s="9">
        <f t="shared" si="684"/>
        <v>1437.33</v>
      </c>
      <c r="BI4927" s="9">
        <f t="shared" si="685"/>
        <v>7.2</v>
      </c>
      <c r="BJ4927" s="9">
        <f t="shared" si="686"/>
        <v>4.8899999999999997</v>
      </c>
      <c r="BK4927" s="9">
        <f t="shared" si="687"/>
        <v>15.84</v>
      </c>
      <c r="BL4927" s="9">
        <f t="shared" si="688"/>
        <v>216.14</v>
      </c>
      <c r="BM4927" s="9">
        <f t="shared" si="689"/>
        <v>7.3943999999999992</v>
      </c>
      <c r="BN4927" s="9">
        <f t="shared" si="690"/>
        <v>620.17999999999995</v>
      </c>
      <c r="BO4927" s="9">
        <f t="shared" si="691"/>
        <v>4.5999999999999996</v>
      </c>
      <c r="BP4927" s="9">
        <f t="shared" si="692"/>
        <v>0</v>
      </c>
    </row>
    <row r="4928" spans="1:68">
      <c r="A4928" s="6">
        <v>45492</v>
      </c>
      <c r="B4928" s="7">
        <v>3021</v>
      </c>
      <c r="C4928" s="8"/>
      <c r="D4928" s="8">
        <v>357</v>
      </c>
      <c r="E4928" s="8"/>
      <c r="F4928" s="8"/>
      <c r="G4928" s="8"/>
      <c r="H4928" s="8"/>
      <c r="I4928" s="8">
        <v>663.7</v>
      </c>
      <c r="J4928" s="8"/>
      <c r="K4928" s="8"/>
      <c r="L4928" s="8"/>
      <c r="M4928" s="8"/>
      <c r="N4928" s="8">
        <v>5.43</v>
      </c>
      <c r="O4928" s="8"/>
      <c r="P4928" s="8"/>
      <c r="Q4928" s="11"/>
      <c r="R4928" s="11"/>
      <c r="S4928" s="8">
        <v>1.84</v>
      </c>
      <c r="T4928" s="8"/>
      <c r="U4928" s="8"/>
      <c r="V4928" s="8"/>
      <c r="W4928" s="8">
        <v>10.220000000000001</v>
      </c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>
        <v>10.130000000000001</v>
      </c>
      <c r="AN4928" s="8"/>
      <c r="AO4928" s="8"/>
      <c r="AP4928" s="11"/>
      <c r="AQ4928" s="8"/>
      <c r="AR4928" s="8"/>
      <c r="AS4928" s="8">
        <f>2648*9.73/1000</f>
        <v>25.765040000000003</v>
      </c>
      <c r="AT4928" s="8">
        <v>481.06</v>
      </c>
      <c r="AU4928" s="8"/>
      <c r="AV4928" s="8"/>
      <c r="AW4928" s="8"/>
      <c r="AX4928" s="8"/>
      <c r="AY4928" s="8"/>
      <c r="AZ4928" s="8"/>
      <c r="BA4928" s="8"/>
      <c r="BB4928" s="8"/>
      <c r="BC4928" s="8"/>
      <c r="BD4928" s="8"/>
      <c r="BE4928" s="8"/>
      <c r="BF4928" s="8"/>
      <c r="BG4928" s="8">
        <v>36.22</v>
      </c>
      <c r="BH4928" s="9">
        <f t="shared" si="684"/>
        <v>1020.7</v>
      </c>
      <c r="BI4928" s="9">
        <f t="shared" si="685"/>
        <v>5.43</v>
      </c>
      <c r="BJ4928" s="9">
        <f t="shared" si="686"/>
        <v>1.84</v>
      </c>
      <c r="BK4928" s="9">
        <f t="shared" si="687"/>
        <v>10.220000000000001</v>
      </c>
      <c r="BL4928" s="9">
        <f t="shared" si="688"/>
        <v>0</v>
      </c>
      <c r="BM4928" s="9">
        <f t="shared" si="689"/>
        <v>35.895040000000002</v>
      </c>
      <c r="BN4928" s="9">
        <f t="shared" si="690"/>
        <v>481.06</v>
      </c>
      <c r="BO4928" s="9">
        <f t="shared" si="691"/>
        <v>0</v>
      </c>
      <c r="BP4928" s="9">
        <f t="shared" si="692"/>
        <v>0</v>
      </c>
    </row>
    <row r="4929" spans="1:68">
      <c r="A4929" s="6">
        <v>45492</v>
      </c>
      <c r="B4929" s="7">
        <v>3023</v>
      </c>
      <c r="C4929" s="8"/>
      <c r="D4929" s="8">
        <v>1680.93</v>
      </c>
      <c r="E4929" s="8"/>
      <c r="F4929" s="8"/>
      <c r="G4929" s="8"/>
      <c r="H4929" s="8"/>
      <c r="I4929" s="8">
        <v>907.16</v>
      </c>
      <c r="J4929" s="8"/>
      <c r="K4929" s="8"/>
      <c r="L4929" s="8"/>
      <c r="M4929" s="8"/>
      <c r="N4929" s="8">
        <v>14.77</v>
      </c>
      <c r="O4929" s="8"/>
      <c r="P4929" s="8"/>
      <c r="Q4929" s="11"/>
      <c r="R4929" s="11"/>
      <c r="S4929" s="8">
        <v>4.1399999999999997</v>
      </c>
      <c r="T4929" s="8"/>
      <c r="U4929" s="8"/>
      <c r="V4929" s="8"/>
      <c r="W4929" s="8">
        <v>23.31</v>
      </c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>
        <v>25.832999999999998</v>
      </c>
      <c r="AN4929" s="8">
        <f>1031*17.85/1000</f>
        <v>18.403350000000003</v>
      </c>
      <c r="AO4929" s="8"/>
      <c r="AP4929" s="11"/>
      <c r="AQ4929" s="8"/>
      <c r="AR4929" s="8"/>
      <c r="AS4929" s="8">
        <f>4768*17.85/1000</f>
        <v>85.108800000000002</v>
      </c>
      <c r="AT4929" s="8">
        <v>1062.47</v>
      </c>
      <c r="AU4929" s="8"/>
      <c r="AV4929" s="8"/>
      <c r="AW4929" s="8"/>
      <c r="AX4929" s="8"/>
      <c r="AY4929" s="8"/>
      <c r="AZ4929" s="8"/>
      <c r="BA4929" s="8"/>
      <c r="BB4929" s="8"/>
      <c r="BC4929" s="8"/>
      <c r="BD4929" s="8"/>
      <c r="BE4929" s="8"/>
      <c r="BF4929" s="8"/>
      <c r="BG4929" s="8">
        <v>80.209999999999994</v>
      </c>
      <c r="BH4929" s="9">
        <f t="shared" si="684"/>
        <v>2588.09</v>
      </c>
      <c r="BI4929" s="9">
        <f t="shared" si="685"/>
        <v>14.77</v>
      </c>
      <c r="BJ4929" s="9">
        <f t="shared" si="686"/>
        <v>4.1399999999999997</v>
      </c>
      <c r="BK4929" s="9">
        <f t="shared" si="687"/>
        <v>23.31</v>
      </c>
      <c r="BL4929" s="9">
        <f t="shared" si="688"/>
        <v>0</v>
      </c>
      <c r="BM4929" s="9">
        <f t="shared" si="689"/>
        <v>129.34514999999999</v>
      </c>
      <c r="BN4929" s="9">
        <f t="shared" si="690"/>
        <v>1062.47</v>
      </c>
      <c r="BO4929" s="9">
        <f t="shared" si="691"/>
        <v>0</v>
      </c>
      <c r="BP4929" s="9">
        <f t="shared" si="692"/>
        <v>0</v>
      </c>
    </row>
    <row r="4930" spans="1:68">
      <c r="A4930" s="6">
        <v>45495</v>
      </c>
      <c r="B4930" s="7">
        <v>3028</v>
      </c>
      <c r="C4930" s="8"/>
      <c r="D4930" s="8">
        <v>1419.57</v>
      </c>
      <c r="E4930" s="8"/>
      <c r="F4930" s="8">
        <v>1305.1199999999999</v>
      </c>
      <c r="G4930" s="8"/>
      <c r="H4930" s="8"/>
      <c r="I4930" s="8">
        <v>2948.91</v>
      </c>
      <c r="J4930" s="8"/>
      <c r="K4930" s="8"/>
      <c r="L4930" s="8"/>
      <c r="M4930" s="8"/>
      <c r="N4930" s="8">
        <v>44.26</v>
      </c>
      <c r="O4930" s="8"/>
      <c r="P4930" s="8"/>
      <c r="Q4930" s="11"/>
      <c r="R4930" s="11"/>
      <c r="S4930" s="8">
        <v>7.95</v>
      </c>
      <c r="T4930" s="8"/>
      <c r="U4930" s="8"/>
      <c r="V4930" s="8"/>
      <c r="W4930" s="8">
        <v>42.6</v>
      </c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>
        <v>56.58</v>
      </c>
      <c r="AN4930" s="8">
        <f>1078*37.83/1000</f>
        <v>40.780739999999994</v>
      </c>
      <c r="AO4930" s="8"/>
      <c r="AP4930" s="11"/>
      <c r="AQ4930" s="8"/>
      <c r="AR4930" s="8"/>
      <c r="AS4930" s="8">
        <f>5014*37.83/1000</f>
        <v>189.67962</v>
      </c>
      <c r="AT4930" s="8">
        <v>1892.51</v>
      </c>
      <c r="AU4930" s="8"/>
      <c r="AV4930" s="8"/>
      <c r="AW4930" s="8"/>
      <c r="AX4930" s="8"/>
      <c r="AY4930" s="8"/>
      <c r="AZ4930" s="8"/>
      <c r="BA4930" s="8"/>
      <c r="BB4930" s="8"/>
      <c r="BC4930" s="8"/>
      <c r="BD4930" s="8"/>
      <c r="BE4930" s="8"/>
      <c r="BF4930" s="8"/>
      <c r="BG4930" s="8">
        <v>129.24</v>
      </c>
      <c r="BH4930" s="9">
        <f t="shared" si="684"/>
        <v>5673.5999999999995</v>
      </c>
      <c r="BI4930" s="9">
        <f t="shared" si="685"/>
        <v>44.26</v>
      </c>
      <c r="BJ4930" s="9">
        <f t="shared" si="686"/>
        <v>7.95</v>
      </c>
      <c r="BK4930" s="9">
        <f t="shared" si="687"/>
        <v>42.6</v>
      </c>
      <c r="BL4930" s="9">
        <f t="shared" si="688"/>
        <v>0</v>
      </c>
      <c r="BM4930" s="9">
        <f t="shared" si="689"/>
        <v>287.04035999999996</v>
      </c>
      <c r="BN4930" s="9">
        <f t="shared" si="690"/>
        <v>1892.51</v>
      </c>
      <c r="BO4930" s="9">
        <f t="shared" si="691"/>
        <v>0</v>
      </c>
      <c r="BP4930" s="9">
        <f t="shared" si="692"/>
        <v>0</v>
      </c>
    </row>
    <row r="4931" spans="1:68">
      <c r="A4931" s="6">
        <v>45495</v>
      </c>
      <c r="B4931" s="7">
        <v>3017</v>
      </c>
      <c r="C4931" s="8"/>
      <c r="D4931" s="8">
        <v>913.87</v>
      </c>
      <c r="E4931" s="8"/>
      <c r="F4931" s="8"/>
      <c r="G4931" s="8"/>
      <c r="H4931" s="8"/>
      <c r="I4931" s="8">
        <v>1258.9000000000001</v>
      </c>
      <c r="J4931" s="8"/>
      <c r="K4931" s="8"/>
      <c r="L4931" s="8"/>
      <c r="M4931" s="8"/>
      <c r="N4931" s="8">
        <v>15.69</v>
      </c>
      <c r="O4931" s="8"/>
      <c r="P4931" s="8"/>
      <c r="Q4931" s="11"/>
      <c r="R4931" s="11"/>
      <c r="S4931" s="8">
        <v>1.51</v>
      </c>
      <c r="T4931" s="8"/>
      <c r="U4931" s="8"/>
      <c r="V4931" s="8"/>
      <c r="W4931" s="8">
        <v>16.36</v>
      </c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>
        <v>8.66</v>
      </c>
      <c r="AN4931" s="8">
        <f>1201*18.15/1000</f>
        <v>21.798149999999996</v>
      </c>
      <c r="AO4931" s="8"/>
      <c r="AP4931" s="11"/>
      <c r="AQ4931" s="8"/>
      <c r="AR4931" s="8">
        <f>4891*18.15/1000</f>
        <v>88.771649999999994</v>
      </c>
      <c r="AS4931" s="8"/>
      <c r="AT4931" s="8">
        <v>934.21</v>
      </c>
      <c r="AU4931" s="8"/>
      <c r="AV4931" s="8"/>
      <c r="AW4931" s="8"/>
      <c r="AX4931" s="8"/>
      <c r="AY4931" s="8"/>
      <c r="AZ4931" s="8"/>
      <c r="BA4931" s="8"/>
      <c r="BB4931" s="8"/>
      <c r="BC4931" s="8"/>
      <c r="BD4931" s="8"/>
      <c r="BE4931" s="8"/>
      <c r="BF4931" s="8"/>
      <c r="BG4931" s="8">
        <v>67.599999999999994</v>
      </c>
      <c r="BH4931" s="9">
        <f t="shared" si="684"/>
        <v>2172.77</v>
      </c>
      <c r="BI4931" s="9">
        <f t="shared" si="685"/>
        <v>15.69</v>
      </c>
      <c r="BJ4931" s="9">
        <f t="shared" si="686"/>
        <v>1.51</v>
      </c>
      <c r="BK4931" s="9">
        <f t="shared" si="687"/>
        <v>16.36</v>
      </c>
      <c r="BL4931" s="9">
        <f t="shared" si="688"/>
        <v>0</v>
      </c>
      <c r="BM4931" s="9">
        <f t="shared" si="689"/>
        <v>119.22979999999998</v>
      </c>
      <c r="BN4931" s="9">
        <f t="shared" si="690"/>
        <v>934.21</v>
      </c>
      <c r="BO4931" s="9">
        <f t="shared" si="691"/>
        <v>0</v>
      </c>
      <c r="BP4931" s="9">
        <f t="shared" si="692"/>
        <v>0</v>
      </c>
    </row>
    <row r="4932" spans="1:68">
      <c r="A4932" s="6">
        <v>45496</v>
      </c>
      <c r="B4932" s="7">
        <v>3602</v>
      </c>
      <c r="C4932" s="8">
        <v>1114.24</v>
      </c>
      <c r="D4932" s="8"/>
      <c r="E4932" s="8"/>
      <c r="F4932" s="8"/>
      <c r="G4932" s="8">
        <v>1670.27</v>
      </c>
      <c r="H4932" s="8"/>
      <c r="I4932" s="8"/>
      <c r="J4932" s="8"/>
      <c r="K4932" s="8"/>
      <c r="L4932" s="8"/>
      <c r="M4932" s="8">
        <v>3.33</v>
      </c>
      <c r="N4932" s="8"/>
      <c r="O4932" s="8"/>
      <c r="P4932" s="8"/>
      <c r="Q4932" s="11"/>
      <c r="R4932" s="11"/>
      <c r="S4932" s="8">
        <v>11.59</v>
      </c>
      <c r="T4932" s="8"/>
      <c r="U4932" s="8">
        <v>22.31</v>
      </c>
      <c r="V4932" s="8">
        <f>849*31.83/1000</f>
        <v>27.023669999999999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11"/>
      <c r="AQ4932" s="8"/>
      <c r="AR4932" s="8"/>
      <c r="AS4932" s="8"/>
      <c r="AT4932" s="8">
        <v>1123.24</v>
      </c>
      <c r="AU4932" s="8"/>
      <c r="AV4932" s="8"/>
      <c r="AW4932" s="8">
        <v>72.03</v>
      </c>
      <c r="AX4932" s="8"/>
      <c r="AY4932" s="8"/>
      <c r="AZ4932" s="8"/>
      <c r="BA4932" s="8"/>
      <c r="BB4932" s="8"/>
      <c r="BC4932" s="8"/>
      <c r="BD4932" s="8"/>
      <c r="BE4932" s="8"/>
      <c r="BF4932" s="8">
        <v>89.17</v>
      </c>
      <c r="BG4932" s="8">
        <v>83.89</v>
      </c>
      <c r="BH4932" s="9">
        <f t="shared" ref="BH4932:BH4972" si="693">SUM(C4932:L4932)</f>
        <v>2784.51</v>
      </c>
      <c r="BI4932" s="9">
        <f t="shared" ref="BI4932:BI4972" si="694">SUM(M4932:R4932)</f>
        <v>3.33</v>
      </c>
      <c r="BJ4932" s="9">
        <f t="shared" ref="BJ4932:BJ4972" si="695">SUM(S4932)</f>
        <v>11.59</v>
      </c>
      <c r="BK4932" s="9">
        <f t="shared" ref="BK4932:BK4972" si="696">SUM(T4932:Y4932)</f>
        <v>49.333669999999998</v>
      </c>
      <c r="BL4932" s="9">
        <f t="shared" ref="BL4932:BL4972" si="697">SUM(Z4932:AA4932)</f>
        <v>0</v>
      </c>
      <c r="BM4932" s="9">
        <f t="shared" ref="BM4932:BM4972" si="698">SUM(AB4932:AS4932)</f>
        <v>0</v>
      </c>
      <c r="BN4932" s="9">
        <f t="shared" ref="BN4932:BN4972" si="699">SUM(AT4932:AU4932)</f>
        <v>1123.24</v>
      </c>
      <c r="BO4932" s="9">
        <f t="shared" ref="BO4932:BO4972" si="700">SUM(AV4932:BE4932)</f>
        <v>72.03</v>
      </c>
      <c r="BP4932" s="9">
        <f t="shared" ref="BP4932:BP4972" si="701">SUM(BF4932)</f>
        <v>89.17</v>
      </c>
    </row>
    <row r="4933" spans="1:68">
      <c r="A4933" s="6">
        <v>45496</v>
      </c>
      <c r="B4933" s="7">
        <v>3203</v>
      </c>
      <c r="C4933" s="8">
        <v>875.35</v>
      </c>
      <c r="D4933" s="8"/>
      <c r="E4933" s="8">
        <v>375.38</v>
      </c>
      <c r="F4933" s="8"/>
      <c r="G4933" s="8"/>
      <c r="H4933" s="8"/>
      <c r="I4933" s="8"/>
      <c r="J4933" s="8"/>
      <c r="K4933" s="8"/>
      <c r="L4933" s="8"/>
      <c r="M4933" s="8"/>
      <c r="N4933" s="8"/>
      <c r="O4933" s="8">
        <v>3.76</v>
      </c>
      <c r="P4933" s="8"/>
      <c r="Q4933" s="11"/>
      <c r="R4933" s="11"/>
      <c r="S4933" s="8">
        <v>5.13</v>
      </c>
      <c r="T4933" s="8"/>
      <c r="U4933" s="8">
        <v>15.5</v>
      </c>
      <c r="V4933" s="8"/>
      <c r="W4933" s="8"/>
      <c r="X4933" s="8"/>
      <c r="Y4933" s="8"/>
      <c r="Z4933" s="8">
        <v>196.96</v>
      </c>
      <c r="AA4933" s="8">
        <f>10511*14.72/1000</f>
        <v>154.72192000000001</v>
      </c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11"/>
      <c r="AQ4933" s="8"/>
      <c r="AR4933" s="8"/>
      <c r="AS4933" s="8"/>
      <c r="AT4933" s="8">
        <v>467.58</v>
      </c>
      <c r="AU4933" s="8">
        <v>233.82</v>
      </c>
      <c r="AV4933" s="8"/>
      <c r="AW4933" s="8"/>
      <c r="AX4933" s="8"/>
      <c r="AY4933" s="8"/>
      <c r="AZ4933" s="8"/>
      <c r="BA4933" s="8"/>
      <c r="BB4933" s="8"/>
      <c r="BC4933" s="8">
        <v>3.25</v>
      </c>
      <c r="BD4933" s="8"/>
      <c r="BE4933" s="8"/>
      <c r="BF4933" s="8"/>
      <c r="BG4933" s="8">
        <v>45.5</v>
      </c>
      <c r="BH4933" s="9">
        <f t="shared" si="693"/>
        <v>1250.73</v>
      </c>
      <c r="BI4933" s="9">
        <f t="shared" si="694"/>
        <v>3.76</v>
      </c>
      <c r="BJ4933" s="9">
        <f t="shared" si="695"/>
        <v>5.13</v>
      </c>
      <c r="BK4933" s="9">
        <f t="shared" si="696"/>
        <v>15.5</v>
      </c>
      <c r="BL4933" s="9">
        <f t="shared" si="697"/>
        <v>351.68191999999999</v>
      </c>
      <c r="BM4933" s="9">
        <f t="shared" si="698"/>
        <v>0</v>
      </c>
      <c r="BN4933" s="9">
        <f t="shared" si="699"/>
        <v>701.4</v>
      </c>
      <c r="BO4933" s="9">
        <f t="shared" si="700"/>
        <v>3.25</v>
      </c>
      <c r="BP4933" s="9">
        <f t="shared" si="701"/>
        <v>0</v>
      </c>
    </row>
    <row r="4934" spans="1:68">
      <c r="A4934" s="6">
        <v>45496</v>
      </c>
      <c r="B4934" s="7">
        <v>3200</v>
      </c>
      <c r="C4934" s="8">
        <v>2225.54</v>
      </c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>
        <v>5.57</v>
      </c>
      <c r="P4934" s="8"/>
      <c r="Q4934" s="11"/>
      <c r="R4934" s="11"/>
      <c r="S4934" s="8">
        <v>8.68</v>
      </c>
      <c r="T4934" s="8"/>
      <c r="U4934" s="8">
        <v>33.380000000000003</v>
      </c>
      <c r="V4934" s="8"/>
      <c r="W4934" s="8"/>
      <c r="X4934" s="8"/>
      <c r="Y4934" s="8"/>
      <c r="Z4934" s="8">
        <v>467.93</v>
      </c>
      <c r="AA4934" s="8"/>
      <c r="AB4934" s="8"/>
      <c r="AC4934" s="8"/>
      <c r="AD4934" s="8"/>
      <c r="AE4934" s="8"/>
      <c r="AF4934" s="8">
        <v>111.16</v>
      </c>
      <c r="AG4934" s="8"/>
      <c r="AH4934" s="8"/>
      <c r="AI4934" s="8"/>
      <c r="AJ4934" s="8"/>
      <c r="AK4934" s="8"/>
      <c r="AL4934" s="8"/>
      <c r="AM4934" s="8"/>
      <c r="AN4934" s="8"/>
      <c r="AO4934" s="8"/>
      <c r="AP4934" s="11"/>
      <c r="AQ4934" s="8"/>
      <c r="AR4934" s="8"/>
      <c r="AS4934" s="8"/>
      <c r="AT4934" s="8">
        <v>1524.01</v>
      </c>
      <c r="AU4934" s="8"/>
      <c r="AV4934" s="8"/>
      <c r="AW4934" s="8">
        <v>6.43</v>
      </c>
      <c r="AX4934" s="8"/>
      <c r="AY4934" s="8"/>
      <c r="AZ4934" s="8"/>
      <c r="BA4934" s="8"/>
      <c r="BB4934" s="8"/>
      <c r="BC4934" s="8"/>
      <c r="BD4934" s="8"/>
      <c r="BE4934" s="8"/>
      <c r="BF4934" s="8">
        <v>106.92</v>
      </c>
      <c r="BG4934" s="8">
        <v>110.12</v>
      </c>
      <c r="BH4934" s="9">
        <f t="shared" si="693"/>
        <v>2225.54</v>
      </c>
      <c r="BI4934" s="9">
        <f t="shared" si="694"/>
        <v>5.57</v>
      </c>
      <c r="BJ4934" s="9">
        <f t="shared" si="695"/>
        <v>8.68</v>
      </c>
      <c r="BK4934" s="9">
        <f t="shared" si="696"/>
        <v>33.380000000000003</v>
      </c>
      <c r="BL4934" s="9">
        <f t="shared" si="697"/>
        <v>467.93</v>
      </c>
      <c r="BM4934" s="9">
        <f t="shared" si="698"/>
        <v>111.16</v>
      </c>
      <c r="BN4934" s="9">
        <f t="shared" si="699"/>
        <v>1524.01</v>
      </c>
      <c r="BO4934" s="9">
        <f t="shared" si="700"/>
        <v>6.43</v>
      </c>
      <c r="BP4934" s="9">
        <f t="shared" si="701"/>
        <v>106.92</v>
      </c>
    </row>
    <row r="4935" spans="1:68">
      <c r="A4935" s="6">
        <v>45497</v>
      </c>
      <c r="B4935" s="7">
        <v>3160</v>
      </c>
      <c r="C4935" s="8">
        <f>209.89+1059.26</f>
        <v>1269.1500000000001</v>
      </c>
      <c r="D4935" s="8"/>
      <c r="E4935" s="8"/>
      <c r="F4935" s="8"/>
      <c r="G4935" s="8"/>
      <c r="H4935" s="8"/>
      <c r="I4935" s="8"/>
      <c r="J4935" s="8"/>
      <c r="K4935" s="8"/>
      <c r="L4935" s="8"/>
      <c r="M4935" s="8">
        <f>2.97+0.59</f>
        <v>3.56</v>
      </c>
      <c r="N4935" s="8"/>
      <c r="O4935" s="8"/>
      <c r="P4935" s="8"/>
      <c r="Q4935" s="11"/>
      <c r="R4935" s="11"/>
      <c r="S4935" s="8">
        <f>4.62+0.95</f>
        <v>5.57</v>
      </c>
      <c r="T4935" s="8"/>
      <c r="U4935" s="8">
        <f>12.72+2.53</f>
        <v>15.25</v>
      </c>
      <c r="V4935" s="8"/>
      <c r="W4935" s="8"/>
      <c r="X4935" s="8"/>
      <c r="Y4935" s="8"/>
      <c r="Z4935" s="8"/>
      <c r="AA4935" s="8"/>
      <c r="AB4935" s="8"/>
      <c r="AC4935" s="8">
        <f>0.84+4.24</f>
        <v>5.08</v>
      </c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11"/>
      <c r="AQ4935" s="8">
        <f>1532*8.47/1000</f>
        <v>12.976040000000001</v>
      </c>
      <c r="AR4935" s="8"/>
      <c r="AS4935" s="8"/>
      <c r="AT4935" s="8">
        <f>713.32+141.81</f>
        <v>855.13000000000011</v>
      </c>
      <c r="AU4935" s="8"/>
      <c r="AV4935" s="8"/>
      <c r="AW4935" s="8"/>
      <c r="AX4935" s="8"/>
      <c r="AY4935" s="8"/>
      <c r="AZ4935" s="8"/>
      <c r="BA4935" s="8"/>
      <c r="BB4935" s="8"/>
      <c r="BC4935" s="8"/>
      <c r="BD4935" s="8"/>
      <c r="BE4935" s="8"/>
      <c r="BF4935" s="8">
        <f>74.23+14.78</f>
        <v>89.01</v>
      </c>
      <c r="BG4935" s="8">
        <f>52.43+10.47</f>
        <v>62.9</v>
      </c>
      <c r="BH4935" s="9">
        <f t="shared" si="693"/>
        <v>1269.1500000000001</v>
      </c>
      <c r="BI4935" s="9">
        <f t="shared" si="694"/>
        <v>3.56</v>
      </c>
      <c r="BJ4935" s="9">
        <f t="shared" si="695"/>
        <v>5.57</v>
      </c>
      <c r="BK4935" s="9">
        <f t="shared" si="696"/>
        <v>15.25</v>
      </c>
      <c r="BL4935" s="9">
        <f t="shared" si="697"/>
        <v>0</v>
      </c>
      <c r="BM4935" s="9">
        <f t="shared" si="698"/>
        <v>18.056040000000003</v>
      </c>
      <c r="BN4935" s="9">
        <f t="shared" si="699"/>
        <v>855.13000000000011</v>
      </c>
      <c r="BO4935" s="9">
        <f t="shared" si="700"/>
        <v>0</v>
      </c>
      <c r="BP4935" s="9">
        <f t="shared" si="701"/>
        <v>89.01</v>
      </c>
    </row>
    <row r="4936" spans="1:68">
      <c r="A4936" s="6">
        <v>45497</v>
      </c>
      <c r="B4936" s="7">
        <v>8363</v>
      </c>
      <c r="C4936" s="8">
        <v>1280</v>
      </c>
      <c r="D4936" s="8"/>
      <c r="E4936" s="8"/>
      <c r="F4936" s="8"/>
      <c r="G4936" s="8"/>
      <c r="H4936" s="8"/>
      <c r="I4936" s="8"/>
      <c r="J4936" s="8"/>
      <c r="K4936" s="8"/>
      <c r="L4936" s="8"/>
      <c r="M4936" s="8">
        <v>3.17</v>
      </c>
      <c r="N4936" s="8"/>
      <c r="O4936" s="8"/>
      <c r="P4936" s="8"/>
      <c r="Q4936" s="11"/>
      <c r="R4936" s="11"/>
      <c r="S4936" s="8">
        <v>7.67</v>
      </c>
      <c r="T4936" s="8"/>
      <c r="U4936" s="8">
        <v>20.45</v>
      </c>
      <c r="V4936" s="8"/>
      <c r="W4936" s="8"/>
      <c r="X4936" s="8"/>
      <c r="Y4936" s="8"/>
      <c r="Z4936" s="8"/>
      <c r="AA4936" s="8"/>
      <c r="AB4936" s="8"/>
      <c r="AC4936" s="8">
        <v>5.1100000000000003</v>
      </c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11"/>
      <c r="AQ4936" s="8"/>
      <c r="AR4936" s="8"/>
      <c r="AS4936" s="8"/>
      <c r="AT4936" s="8">
        <v>864.09</v>
      </c>
      <c r="AU4936" s="8"/>
      <c r="AV4936" s="8"/>
      <c r="AW4936" s="8"/>
      <c r="AX4936" s="8"/>
      <c r="AY4936" s="8"/>
      <c r="AZ4936" s="8"/>
      <c r="BA4936" s="8">
        <v>15.33</v>
      </c>
      <c r="BB4936" s="8"/>
      <c r="BC4936" s="8"/>
      <c r="BD4936" s="8"/>
      <c r="BE4936" s="8"/>
      <c r="BF4936" s="8">
        <v>166.04</v>
      </c>
      <c r="BG4936" s="8">
        <v>65.849999999999994</v>
      </c>
      <c r="BH4936" s="9">
        <f t="shared" si="693"/>
        <v>1280</v>
      </c>
      <c r="BI4936" s="9">
        <f t="shared" si="694"/>
        <v>3.17</v>
      </c>
      <c r="BJ4936" s="9">
        <f t="shared" si="695"/>
        <v>7.67</v>
      </c>
      <c r="BK4936" s="9">
        <f t="shared" si="696"/>
        <v>20.45</v>
      </c>
      <c r="BL4936" s="9">
        <f t="shared" si="697"/>
        <v>0</v>
      </c>
      <c r="BM4936" s="9">
        <f t="shared" si="698"/>
        <v>5.1100000000000003</v>
      </c>
      <c r="BN4936" s="9">
        <f t="shared" si="699"/>
        <v>864.09</v>
      </c>
      <c r="BO4936" s="9">
        <f t="shared" si="700"/>
        <v>15.33</v>
      </c>
      <c r="BP4936" s="9">
        <f t="shared" si="701"/>
        <v>166.04</v>
      </c>
    </row>
    <row r="4937" spans="1:68">
      <c r="A4937" s="6">
        <v>45497</v>
      </c>
      <c r="B4937" s="7">
        <v>3129</v>
      </c>
      <c r="C4937" s="8">
        <v>1726.88</v>
      </c>
      <c r="D4937" s="8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11"/>
      <c r="R4937" s="11">
        <f>1196*7.85/1000</f>
        <v>9.3886000000000003</v>
      </c>
      <c r="S4937" s="8">
        <f>6.4+7.82</f>
        <v>14.22</v>
      </c>
      <c r="T4937" s="8"/>
      <c r="U4937" s="8"/>
      <c r="V4937" s="8"/>
      <c r="W4937" s="8"/>
      <c r="X4937" s="8">
        <f>1988*7.85/1000</f>
        <v>15.605799999999999</v>
      </c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11"/>
      <c r="AQ4937" s="8"/>
      <c r="AR4937" s="8"/>
      <c r="AS4937" s="8"/>
      <c r="AT4937" s="8">
        <v>237.55</v>
      </c>
      <c r="AU4937" s="8">
        <v>475.71</v>
      </c>
      <c r="AV4937" s="8"/>
      <c r="AW4937" s="8"/>
      <c r="AX4937" s="8"/>
      <c r="AY4937" s="8"/>
      <c r="AZ4937" s="8"/>
      <c r="BA4937" s="8"/>
      <c r="BB4937" s="8"/>
      <c r="BC4937" s="8"/>
      <c r="BD4937" s="8">
        <v>4.33</v>
      </c>
      <c r="BE4937" s="8">
        <f>1992*7.85/1000</f>
        <v>15.637199999999998</v>
      </c>
      <c r="BF4937" s="8"/>
      <c r="BG4937" s="8">
        <v>51.87</v>
      </c>
      <c r="BH4937" s="9">
        <f t="shared" si="693"/>
        <v>1726.88</v>
      </c>
      <c r="BI4937" s="9">
        <f t="shared" si="694"/>
        <v>9.3886000000000003</v>
      </c>
      <c r="BJ4937" s="9">
        <f t="shared" si="695"/>
        <v>14.22</v>
      </c>
      <c r="BK4937" s="9">
        <f t="shared" si="696"/>
        <v>15.605799999999999</v>
      </c>
      <c r="BL4937" s="9">
        <f t="shared" si="697"/>
        <v>0</v>
      </c>
      <c r="BM4937" s="9">
        <f t="shared" si="698"/>
        <v>0</v>
      </c>
      <c r="BN4937" s="9">
        <f t="shared" si="699"/>
        <v>713.26</v>
      </c>
      <c r="BO4937" s="9">
        <f t="shared" si="700"/>
        <v>19.967199999999998</v>
      </c>
      <c r="BP4937" s="9">
        <f t="shared" si="701"/>
        <v>0</v>
      </c>
    </row>
    <row r="4938" spans="1:68">
      <c r="A4938" s="6">
        <v>45497</v>
      </c>
      <c r="B4938" s="7">
        <v>8360</v>
      </c>
      <c r="C4938" s="8">
        <v>1715.65</v>
      </c>
      <c r="D4938" s="8"/>
      <c r="E4938" s="8">
        <v>734.87</v>
      </c>
      <c r="F4938" s="8"/>
      <c r="G4938" s="8"/>
      <c r="H4938" s="8"/>
      <c r="I4938" s="8"/>
      <c r="J4938" s="8"/>
      <c r="K4938" s="8"/>
      <c r="L4938" s="8"/>
      <c r="M4938" s="8"/>
      <c r="N4938" s="8"/>
      <c r="O4938" s="8">
        <v>4.17</v>
      </c>
      <c r="P4938" s="8"/>
      <c r="Q4938" s="11"/>
      <c r="R4938" s="11"/>
      <c r="S4938" s="8">
        <v>12.51</v>
      </c>
      <c r="T4938" s="8"/>
      <c r="U4938" s="8">
        <v>39.25</v>
      </c>
      <c r="V4938" s="8"/>
      <c r="W4938" s="8"/>
      <c r="X4938" s="8"/>
      <c r="Y4938" s="8"/>
      <c r="Z4938" s="8">
        <v>490.6</v>
      </c>
      <c r="AA4938" s="8"/>
      <c r="AB4938" s="8">
        <f>1020*24.52/1000</f>
        <v>25.010399999999997</v>
      </c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11"/>
      <c r="AQ4938" s="8"/>
      <c r="AR4938" s="8"/>
      <c r="AS4938" s="8"/>
      <c r="AT4938" s="8">
        <v>1418.24</v>
      </c>
      <c r="AU4938" s="8"/>
      <c r="AV4938" s="8"/>
      <c r="AW4938" s="8">
        <v>7.03</v>
      </c>
      <c r="AX4938" s="8"/>
      <c r="AY4938" s="8"/>
      <c r="AZ4938" s="8"/>
      <c r="BA4938" s="8"/>
      <c r="BB4938" s="8"/>
      <c r="BC4938" s="8"/>
      <c r="BD4938" s="8"/>
      <c r="BE4938" s="8"/>
      <c r="BF4938" s="8">
        <v>110.46</v>
      </c>
      <c r="BG4938" s="8">
        <v>103.06</v>
      </c>
      <c r="BH4938" s="9">
        <f t="shared" si="693"/>
        <v>2450.52</v>
      </c>
      <c r="BI4938" s="9">
        <f t="shared" si="694"/>
        <v>4.17</v>
      </c>
      <c r="BJ4938" s="9">
        <f t="shared" si="695"/>
        <v>12.51</v>
      </c>
      <c r="BK4938" s="9">
        <f t="shared" si="696"/>
        <v>39.25</v>
      </c>
      <c r="BL4938" s="9">
        <f t="shared" si="697"/>
        <v>490.6</v>
      </c>
      <c r="BM4938" s="9">
        <f t="shared" si="698"/>
        <v>25.010399999999997</v>
      </c>
      <c r="BN4938" s="9">
        <f t="shared" si="699"/>
        <v>1418.24</v>
      </c>
      <c r="BO4938" s="9">
        <f t="shared" si="700"/>
        <v>7.03</v>
      </c>
      <c r="BP4938" s="9">
        <f t="shared" si="701"/>
        <v>110.46</v>
      </c>
    </row>
    <row r="4939" spans="1:68">
      <c r="A4939" s="6">
        <v>45497</v>
      </c>
      <c r="B4939" s="7">
        <v>3101</v>
      </c>
      <c r="C4939" s="8">
        <v>650.85</v>
      </c>
      <c r="D4939" s="8"/>
      <c r="E4939" s="8"/>
      <c r="F4939" s="8"/>
      <c r="G4939" s="8"/>
      <c r="H4939" s="8"/>
      <c r="I4939" s="8"/>
      <c r="J4939" s="8"/>
      <c r="K4939" s="8"/>
      <c r="L4939" s="8"/>
      <c r="M4939" s="8">
        <v>1.78</v>
      </c>
      <c r="N4939" s="8"/>
      <c r="O4939" s="8"/>
      <c r="P4939" s="8"/>
      <c r="Q4939" s="11"/>
      <c r="R4939" s="11"/>
      <c r="S4939" s="8">
        <v>3.8</v>
      </c>
      <c r="T4939" s="8"/>
      <c r="U4939" s="8">
        <v>10.49</v>
      </c>
      <c r="V4939" s="8"/>
      <c r="W4939" s="8"/>
      <c r="X4939" s="8"/>
      <c r="Y4939" s="8"/>
      <c r="Z4939" s="8"/>
      <c r="AA4939" s="8"/>
      <c r="AB4939" s="8"/>
      <c r="AC4939" s="8">
        <v>2.62</v>
      </c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11"/>
      <c r="AQ4939" s="8"/>
      <c r="AR4939" s="8"/>
      <c r="AS4939" s="8"/>
      <c r="AT4939" s="8">
        <v>439.34</v>
      </c>
      <c r="AU4939" s="8"/>
      <c r="AV4939" s="8"/>
      <c r="AW4939" s="8">
        <v>13.95</v>
      </c>
      <c r="AX4939" s="8"/>
      <c r="AY4939" s="8"/>
      <c r="AZ4939" s="8"/>
      <c r="BA4939" s="8"/>
      <c r="BB4939" s="8"/>
      <c r="BC4939" s="8"/>
      <c r="BD4939" s="8"/>
      <c r="BE4939" s="8"/>
      <c r="BF4939" s="8">
        <v>85.19</v>
      </c>
      <c r="BG4939" s="8">
        <v>33.67</v>
      </c>
      <c r="BH4939" s="9">
        <f t="shared" si="693"/>
        <v>650.85</v>
      </c>
      <c r="BI4939" s="9">
        <f t="shared" si="694"/>
        <v>1.78</v>
      </c>
      <c r="BJ4939" s="9">
        <f t="shared" si="695"/>
        <v>3.8</v>
      </c>
      <c r="BK4939" s="9">
        <f t="shared" si="696"/>
        <v>10.49</v>
      </c>
      <c r="BL4939" s="9">
        <f t="shared" si="697"/>
        <v>0</v>
      </c>
      <c r="BM4939" s="9">
        <f t="shared" si="698"/>
        <v>2.62</v>
      </c>
      <c r="BN4939" s="9">
        <f t="shared" si="699"/>
        <v>439.34</v>
      </c>
      <c r="BO4939" s="9">
        <f t="shared" si="700"/>
        <v>13.95</v>
      </c>
      <c r="BP4939" s="9">
        <f t="shared" si="701"/>
        <v>85.19</v>
      </c>
    </row>
    <row r="4940" spans="1:68">
      <c r="A4940" s="6">
        <v>45497</v>
      </c>
      <c r="B4940" s="7">
        <v>3100</v>
      </c>
      <c r="C4940" s="8">
        <v>654.74</v>
      </c>
      <c r="D4940" s="8"/>
      <c r="E4940" s="8"/>
      <c r="F4940" s="8"/>
      <c r="G4940" s="8"/>
      <c r="H4940" s="8"/>
      <c r="I4940" s="8"/>
      <c r="J4940" s="8"/>
      <c r="K4940" s="8"/>
      <c r="L4940" s="8"/>
      <c r="M4940" s="8">
        <v>1.77</v>
      </c>
      <c r="N4940" s="8"/>
      <c r="O4940" s="8"/>
      <c r="P4940" s="8"/>
      <c r="Q4940" s="11"/>
      <c r="R4940" s="11"/>
      <c r="S4940" s="8">
        <v>3.73</v>
      </c>
      <c r="T4940" s="8"/>
      <c r="U4940" s="8">
        <v>10.49</v>
      </c>
      <c r="V4940" s="8"/>
      <c r="W4940" s="8"/>
      <c r="X4940" s="8"/>
      <c r="Y4940" s="8"/>
      <c r="Z4940" s="8"/>
      <c r="AA4940" s="8"/>
      <c r="AB4940" s="8"/>
      <c r="AC4940" s="8">
        <v>2.63</v>
      </c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11"/>
      <c r="AQ4940" s="8"/>
      <c r="AR4940" s="8"/>
      <c r="AS4940" s="8"/>
      <c r="AT4940" s="8">
        <v>441.83</v>
      </c>
      <c r="AU4940" s="8"/>
      <c r="AV4940" s="8"/>
      <c r="AW4940" s="8"/>
      <c r="AX4940" s="8"/>
      <c r="AY4940" s="8"/>
      <c r="AZ4940" s="8"/>
      <c r="BA4940" s="8"/>
      <c r="BB4940" s="8"/>
      <c r="BC4940" s="8"/>
      <c r="BD4940" s="8"/>
      <c r="BE4940" s="8"/>
      <c r="BF4940" s="8"/>
      <c r="BG4940" s="8">
        <v>33.68</v>
      </c>
      <c r="BH4940" s="9">
        <f t="shared" si="693"/>
        <v>654.74</v>
      </c>
      <c r="BI4940" s="9">
        <f t="shared" si="694"/>
        <v>1.77</v>
      </c>
      <c r="BJ4940" s="9">
        <f t="shared" si="695"/>
        <v>3.73</v>
      </c>
      <c r="BK4940" s="9">
        <f t="shared" si="696"/>
        <v>10.49</v>
      </c>
      <c r="BL4940" s="9">
        <f t="shared" si="697"/>
        <v>0</v>
      </c>
      <c r="BM4940" s="9">
        <f t="shared" si="698"/>
        <v>2.63</v>
      </c>
      <c r="BN4940" s="9">
        <f t="shared" si="699"/>
        <v>441.83</v>
      </c>
      <c r="BO4940" s="9">
        <f t="shared" si="700"/>
        <v>0</v>
      </c>
      <c r="BP4940" s="9">
        <f t="shared" si="701"/>
        <v>0</v>
      </c>
    </row>
    <row r="4941" spans="1:68">
      <c r="A4941" s="6">
        <v>45497</v>
      </c>
      <c r="B4941" s="7">
        <v>3304</v>
      </c>
      <c r="C4941" s="8"/>
      <c r="D4941" s="8">
        <v>1135.82</v>
      </c>
      <c r="E4941" s="8"/>
      <c r="F4941" s="8"/>
      <c r="G4941" s="8"/>
      <c r="H4941" s="8"/>
      <c r="I4941" s="8"/>
      <c r="J4941" s="8"/>
      <c r="K4941" s="8"/>
      <c r="L4941" s="8"/>
      <c r="M4941" s="8">
        <v>2.2799999999999998</v>
      </c>
      <c r="N4941" s="8"/>
      <c r="O4941" s="8"/>
      <c r="P4941" s="8"/>
      <c r="Q4941" s="11"/>
      <c r="R4941" s="11"/>
      <c r="S4941" s="8">
        <v>1.71</v>
      </c>
      <c r="T4941" s="8"/>
      <c r="U4941" s="8">
        <v>10.23</v>
      </c>
      <c r="V4941" s="8"/>
      <c r="W4941" s="8"/>
      <c r="X4941" s="8"/>
      <c r="Y4941" s="8"/>
      <c r="Z4941" s="8"/>
      <c r="AA4941" s="8"/>
      <c r="AB4941" s="8"/>
      <c r="AC4941" s="8"/>
      <c r="AD4941" s="8"/>
      <c r="AE4941" s="8"/>
      <c r="AF4941" s="8"/>
      <c r="AG4941" s="8">
        <v>11.38</v>
      </c>
      <c r="AH4941" s="8"/>
      <c r="AI4941" s="8"/>
      <c r="AJ4941" s="8"/>
      <c r="AK4941" s="8"/>
      <c r="AL4941" s="8"/>
      <c r="AM4941" s="8"/>
      <c r="AN4941" s="8"/>
      <c r="AO4941" s="8"/>
      <c r="AP4941" s="11"/>
      <c r="AQ4941" s="8"/>
      <c r="AR4941" s="8"/>
      <c r="AS4941" s="8"/>
      <c r="AT4941" s="8">
        <v>303.39</v>
      </c>
      <c r="AU4941" s="8">
        <v>151.61000000000001</v>
      </c>
      <c r="AV4941" s="8"/>
      <c r="AW4941" s="8"/>
      <c r="AX4941" s="8"/>
      <c r="AY4941" s="8"/>
      <c r="AZ4941" s="8"/>
      <c r="BA4941" s="8"/>
      <c r="BB4941" s="8"/>
      <c r="BC4941" s="8"/>
      <c r="BD4941" s="8"/>
      <c r="BE4941" s="8"/>
      <c r="BF4941" s="8"/>
      <c r="BG4941" s="8">
        <v>31.26</v>
      </c>
      <c r="BH4941" s="9">
        <f t="shared" si="693"/>
        <v>1135.82</v>
      </c>
      <c r="BI4941" s="9">
        <f t="shared" si="694"/>
        <v>2.2799999999999998</v>
      </c>
      <c r="BJ4941" s="9">
        <f t="shared" si="695"/>
        <v>1.71</v>
      </c>
      <c r="BK4941" s="9">
        <f t="shared" si="696"/>
        <v>10.23</v>
      </c>
      <c r="BL4941" s="9">
        <f t="shared" si="697"/>
        <v>0</v>
      </c>
      <c r="BM4941" s="9">
        <f t="shared" si="698"/>
        <v>11.38</v>
      </c>
      <c r="BN4941" s="9">
        <f t="shared" si="699"/>
        <v>455</v>
      </c>
      <c r="BO4941" s="9">
        <f t="shared" si="700"/>
        <v>0</v>
      </c>
      <c r="BP4941" s="9">
        <f t="shared" si="701"/>
        <v>0</v>
      </c>
    </row>
    <row r="4942" spans="1:68">
      <c r="A4942" s="6">
        <v>45497</v>
      </c>
      <c r="B4942" s="7">
        <v>3701</v>
      </c>
      <c r="C4942" s="8"/>
      <c r="D4942" s="8"/>
      <c r="E4942" s="8"/>
      <c r="F4942" s="8"/>
      <c r="G4942" s="8"/>
      <c r="H4942" s="8"/>
      <c r="I4942" s="8">
        <v>383.35</v>
      </c>
      <c r="J4942" s="8">
        <f>51200*12.5/1000</f>
        <v>640</v>
      </c>
      <c r="K4942" s="8"/>
      <c r="L4942" s="8"/>
      <c r="M4942" s="8"/>
      <c r="N4942" s="8">
        <f>1047*12.5/1000</f>
        <v>13.0875</v>
      </c>
      <c r="O4942" s="8"/>
      <c r="P4942" s="8"/>
      <c r="Q4942" s="11"/>
      <c r="R4942" s="11"/>
      <c r="S4942" s="8">
        <v>3.18</v>
      </c>
      <c r="T4942" s="8"/>
      <c r="U4942" s="8">
        <v>6.38</v>
      </c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>
        <v>21.28</v>
      </c>
      <c r="AH4942" s="8"/>
      <c r="AI4942" s="8"/>
      <c r="AJ4942" s="8">
        <f>2572*12.5/1000</f>
        <v>32.15</v>
      </c>
      <c r="AK4942" s="8"/>
      <c r="AL4942" s="8"/>
      <c r="AM4942" s="8"/>
      <c r="AN4942" s="8"/>
      <c r="AO4942" s="8"/>
      <c r="AP4942" s="11"/>
      <c r="AQ4942" s="8"/>
      <c r="AR4942" s="8"/>
      <c r="AS4942" s="8"/>
      <c r="AT4942" s="8"/>
      <c r="AU4942" s="8">
        <v>375.68</v>
      </c>
      <c r="AV4942" s="8"/>
      <c r="AW4942" s="8"/>
      <c r="AX4942" s="8"/>
      <c r="AY4942" s="8"/>
      <c r="AZ4942" s="8"/>
      <c r="BA4942" s="8"/>
      <c r="BB4942" s="8"/>
      <c r="BC4942" s="8"/>
      <c r="BD4942" s="8"/>
      <c r="BE4942" s="8"/>
      <c r="BF4942" s="8"/>
      <c r="BG4942" s="8">
        <v>25.59</v>
      </c>
      <c r="BH4942" s="9">
        <f t="shared" si="693"/>
        <v>1023.35</v>
      </c>
      <c r="BI4942" s="9">
        <f t="shared" si="694"/>
        <v>13.0875</v>
      </c>
      <c r="BJ4942" s="9">
        <f t="shared" si="695"/>
        <v>3.18</v>
      </c>
      <c r="BK4942" s="9">
        <f t="shared" si="696"/>
        <v>6.38</v>
      </c>
      <c r="BL4942" s="9">
        <f t="shared" si="697"/>
        <v>0</v>
      </c>
      <c r="BM4942" s="9">
        <f t="shared" si="698"/>
        <v>53.43</v>
      </c>
      <c r="BN4942" s="9">
        <f t="shared" si="699"/>
        <v>375.68</v>
      </c>
      <c r="BO4942" s="9">
        <f t="shared" si="700"/>
        <v>0</v>
      </c>
      <c r="BP4942" s="9">
        <f t="shared" si="701"/>
        <v>0</v>
      </c>
    </row>
    <row r="4943" spans="1:68">
      <c r="A4943" s="6">
        <v>45498</v>
      </c>
      <c r="B4943" s="7">
        <v>3139</v>
      </c>
      <c r="C4943" s="8">
        <v>953.64</v>
      </c>
      <c r="D4943" s="8"/>
      <c r="E4943" s="8"/>
      <c r="F4943" s="8"/>
      <c r="G4943" s="8"/>
      <c r="H4943" s="8">
        <v>395.26</v>
      </c>
      <c r="I4943" s="8"/>
      <c r="J4943" s="8"/>
      <c r="K4943" s="8"/>
      <c r="L4943" s="8"/>
      <c r="M4943" s="8">
        <v>2.2799999999999998</v>
      </c>
      <c r="N4943" s="8"/>
      <c r="O4943" s="8"/>
      <c r="P4943" s="8"/>
      <c r="Q4943" s="11"/>
      <c r="R4943" s="11"/>
      <c r="S4943" s="8">
        <v>4.34</v>
      </c>
      <c r="T4943" s="8"/>
      <c r="U4943" s="8">
        <v>14.08</v>
      </c>
      <c r="V4943" s="8"/>
      <c r="W4943" s="8"/>
      <c r="X4943" s="8"/>
      <c r="Y4943" s="8"/>
      <c r="Z4943" s="8"/>
      <c r="AA4943" s="8"/>
      <c r="AB4943" s="8"/>
      <c r="AC4943" s="8">
        <v>4.7</v>
      </c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11"/>
      <c r="AQ4943" s="8"/>
      <c r="AR4943" s="8"/>
      <c r="AS4943" s="8"/>
      <c r="AT4943" s="8">
        <v>694.58</v>
      </c>
      <c r="AU4943" s="8"/>
      <c r="AV4943" s="8">
        <v>23.49</v>
      </c>
      <c r="AW4943" s="8"/>
      <c r="AX4943" s="8"/>
      <c r="AY4943" s="8"/>
      <c r="AZ4943" s="8"/>
      <c r="BA4943" s="8"/>
      <c r="BB4943" s="8"/>
      <c r="BC4943" s="8"/>
      <c r="BD4943" s="8"/>
      <c r="BE4943" s="8"/>
      <c r="BF4943" s="8"/>
      <c r="BG4943" s="8">
        <v>50.47</v>
      </c>
      <c r="BH4943" s="9">
        <f t="shared" si="693"/>
        <v>1348.9</v>
      </c>
      <c r="BI4943" s="9">
        <f t="shared" si="694"/>
        <v>2.2799999999999998</v>
      </c>
      <c r="BJ4943" s="9">
        <f t="shared" si="695"/>
        <v>4.34</v>
      </c>
      <c r="BK4943" s="9">
        <f t="shared" si="696"/>
        <v>14.08</v>
      </c>
      <c r="BL4943" s="9">
        <f t="shared" si="697"/>
        <v>0</v>
      </c>
      <c r="BM4943" s="9">
        <f t="shared" si="698"/>
        <v>4.7</v>
      </c>
      <c r="BN4943" s="9">
        <f t="shared" si="699"/>
        <v>694.58</v>
      </c>
      <c r="BO4943" s="9">
        <f t="shared" si="700"/>
        <v>23.49</v>
      </c>
      <c r="BP4943" s="9">
        <f t="shared" si="701"/>
        <v>0</v>
      </c>
    </row>
    <row r="4944" spans="1:68">
      <c r="A4944" s="6">
        <v>45498</v>
      </c>
      <c r="B4944" s="7">
        <v>3005</v>
      </c>
      <c r="C4944" s="8">
        <v>426.12</v>
      </c>
      <c r="D4944" s="8">
        <v>284.97000000000003</v>
      </c>
      <c r="E4944" s="8"/>
      <c r="F4944" s="8"/>
      <c r="G4944" s="8"/>
      <c r="H4944" s="8"/>
      <c r="I4944" s="8"/>
      <c r="J4944" s="8"/>
      <c r="K4944" s="8"/>
      <c r="L4944" s="8"/>
      <c r="M4944" s="8"/>
      <c r="N4944" s="8">
        <v>0.71</v>
      </c>
      <c r="O4944" s="8"/>
      <c r="P4944" s="8"/>
      <c r="Q4944" s="11"/>
      <c r="R4944" s="11"/>
      <c r="S4944" s="8">
        <v>2.4900000000000002</v>
      </c>
      <c r="T4944" s="8"/>
      <c r="U4944" s="8">
        <v>7.84</v>
      </c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11"/>
      <c r="AQ4944" s="8"/>
      <c r="AR4944" s="8"/>
      <c r="AS4944" s="8"/>
      <c r="AT4944" s="8">
        <v>348.58</v>
      </c>
      <c r="AU4944" s="8"/>
      <c r="AV4944" s="8"/>
      <c r="AW4944" s="8">
        <v>7.91</v>
      </c>
      <c r="AX4944" s="8"/>
      <c r="AY4944" s="8"/>
      <c r="AZ4944" s="8"/>
      <c r="BA4944" s="8"/>
      <c r="BB4944" s="8"/>
      <c r="BC4944" s="8"/>
      <c r="BD4944" s="8"/>
      <c r="BE4944" s="8"/>
      <c r="BF4944" s="8"/>
      <c r="BG4944" s="8">
        <v>25.95</v>
      </c>
      <c r="BH4944" s="9">
        <f t="shared" si="693"/>
        <v>711.09</v>
      </c>
      <c r="BI4944" s="9">
        <f t="shared" si="694"/>
        <v>0.71</v>
      </c>
      <c r="BJ4944" s="9">
        <f t="shared" si="695"/>
        <v>2.4900000000000002</v>
      </c>
      <c r="BK4944" s="9">
        <f t="shared" si="696"/>
        <v>7.84</v>
      </c>
      <c r="BL4944" s="9">
        <f t="shared" si="697"/>
        <v>0</v>
      </c>
      <c r="BM4944" s="9">
        <f t="shared" si="698"/>
        <v>0</v>
      </c>
      <c r="BN4944" s="9">
        <f t="shared" si="699"/>
        <v>348.58</v>
      </c>
      <c r="BO4944" s="9">
        <f t="shared" si="700"/>
        <v>7.91</v>
      </c>
      <c r="BP4944" s="9">
        <f t="shared" si="701"/>
        <v>0</v>
      </c>
    </row>
    <row r="4945" spans="1:68">
      <c r="A4945" s="6">
        <v>45498</v>
      </c>
      <c r="B4945" s="7">
        <v>3022</v>
      </c>
      <c r="C4945" s="8"/>
      <c r="D4945" s="8">
        <v>592.6</v>
      </c>
      <c r="E4945" s="8"/>
      <c r="F4945" s="8"/>
      <c r="G4945" s="8"/>
      <c r="H4945" s="8"/>
      <c r="I4945" s="8">
        <v>485.68</v>
      </c>
      <c r="J4945" s="8"/>
      <c r="K4945" s="8"/>
      <c r="L4945" s="8"/>
      <c r="M4945" s="8"/>
      <c r="N4945" s="8">
        <v>5.39</v>
      </c>
      <c r="O4945" s="8"/>
      <c r="P4945" s="8"/>
      <c r="Q4945" s="11"/>
      <c r="R4945" s="11"/>
      <c r="S4945" s="8">
        <v>1.94</v>
      </c>
      <c r="T4945" s="8"/>
      <c r="U4945" s="8"/>
      <c r="V4945" s="8"/>
      <c r="W4945" s="8">
        <v>10.8</v>
      </c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>
        <v>13.97</v>
      </c>
      <c r="AN4945" s="8"/>
      <c r="AO4945" s="8"/>
      <c r="AP4945" s="11"/>
      <c r="AQ4945" s="8"/>
      <c r="AR4945" s="8"/>
      <c r="AS4945" s="8">
        <f>3877*9.8/1000</f>
        <v>37.994600000000005</v>
      </c>
      <c r="AT4945" s="8">
        <v>504.65</v>
      </c>
      <c r="AU4945" s="8"/>
      <c r="AV4945" s="8"/>
      <c r="AW4945" s="8"/>
      <c r="AX4945" s="8"/>
      <c r="AY4945" s="8"/>
      <c r="AZ4945" s="8"/>
      <c r="BA4945" s="8"/>
      <c r="BB4945" s="8"/>
      <c r="BC4945" s="8"/>
      <c r="BD4945" s="8"/>
      <c r="BE4945" s="8"/>
      <c r="BF4945" s="8"/>
      <c r="BG4945" s="8">
        <v>38.81</v>
      </c>
      <c r="BH4945" s="9">
        <f t="shared" si="693"/>
        <v>1078.28</v>
      </c>
      <c r="BI4945" s="9">
        <f t="shared" si="694"/>
        <v>5.39</v>
      </c>
      <c r="BJ4945" s="9">
        <f t="shared" si="695"/>
        <v>1.94</v>
      </c>
      <c r="BK4945" s="9">
        <f t="shared" si="696"/>
        <v>10.8</v>
      </c>
      <c r="BL4945" s="9">
        <f t="shared" si="697"/>
        <v>0</v>
      </c>
      <c r="BM4945" s="9">
        <f t="shared" si="698"/>
        <v>51.964600000000004</v>
      </c>
      <c r="BN4945" s="9">
        <f t="shared" si="699"/>
        <v>504.65</v>
      </c>
      <c r="BO4945" s="9">
        <f t="shared" si="700"/>
        <v>0</v>
      </c>
      <c r="BP4945" s="9">
        <f t="shared" si="701"/>
        <v>0</v>
      </c>
    </row>
    <row r="4946" spans="1:68">
      <c r="A4946" s="6">
        <v>45498</v>
      </c>
      <c r="B4946" s="7">
        <v>3028</v>
      </c>
      <c r="C4946" s="8"/>
      <c r="D4946" s="8">
        <v>1072.29</v>
      </c>
      <c r="E4946" s="8"/>
      <c r="F4946" s="8">
        <v>985.41</v>
      </c>
      <c r="G4946" s="8"/>
      <c r="H4946" s="8"/>
      <c r="I4946" s="8">
        <v>2225.5100000000002</v>
      </c>
      <c r="J4946" s="8"/>
      <c r="K4946" s="8"/>
      <c r="L4946" s="8"/>
      <c r="M4946" s="8"/>
      <c r="N4946" s="8">
        <v>33.4</v>
      </c>
      <c r="O4946" s="8"/>
      <c r="P4946" s="8"/>
      <c r="Q4946" s="11"/>
      <c r="R4946" s="11"/>
      <c r="S4946" s="8">
        <v>6</v>
      </c>
      <c r="T4946" s="8"/>
      <c r="U4946" s="8"/>
      <c r="V4946" s="8"/>
      <c r="W4946" s="8">
        <v>32.14</v>
      </c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>
        <v>42.82</v>
      </c>
      <c r="AN4946" s="8">
        <f>1049*28.55/1000</f>
        <v>29.94895</v>
      </c>
      <c r="AO4946" s="8"/>
      <c r="AP4946" s="11"/>
      <c r="AQ4946" s="8"/>
      <c r="AR4946" s="8"/>
      <c r="AS4946" s="8">
        <f>4959*28.55/1000</f>
        <v>141.57945000000001</v>
      </c>
      <c r="AT4946" s="8">
        <v>1429.72</v>
      </c>
      <c r="AU4946" s="8"/>
      <c r="AV4946" s="8"/>
      <c r="AW4946" s="8"/>
      <c r="AX4946" s="8"/>
      <c r="AY4946" s="8"/>
      <c r="AZ4946" s="8"/>
      <c r="BA4946" s="8"/>
      <c r="BB4946" s="8"/>
      <c r="BC4946" s="8"/>
      <c r="BD4946" s="8"/>
      <c r="BE4946" s="8"/>
      <c r="BF4946" s="8"/>
      <c r="BG4946" s="8">
        <v>97.01</v>
      </c>
      <c r="BH4946" s="9">
        <f t="shared" si="693"/>
        <v>4283.21</v>
      </c>
      <c r="BI4946" s="9">
        <f t="shared" si="694"/>
        <v>33.4</v>
      </c>
      <c r="BJ4946" s="9">
        <f t="shared" si="695"/>
        <v>6</v>
      </c>
      <c r="BK4946" s="9">
        <f t="shared" si="696"/>
        <v>32.14</v>
      </c>
      <c r="BL4946" s="9">
        <f t="shared" si="697"/>
        <v>0</v>
      </c>
      <c r="BM4946" s="9">
        <f t="shared" si="698"/>
        <v>214.34840000000003</v>
      </c>
      <c r="BN4946" s="9">
        <f t="shared" si="699"/>
        <v>1429.72</v>
      </c>
      <c r="BO4946" s="9">
        <f t="shared" si="700"/>
        <v>0</v>
      </c>
      <c r="BP4946" s="9">
        <f t="shared" si="701"/>
        <v>0</v>
      </c>
    </row>
    <row r="4947" spans="1:68">
      <c r="A4947" s="6">
        <v>45498</v>
      </c>
      <c r="B4947" s="7">
        <v>3221</v>
      </c>
      <c r="C4947" s="8">
        <v>620.47</v>
      </c>
      <c r="D4947" s="8">
        <v>103.87</v>
      </c>
      <c r="E4947" s="8">
        <v>310.41000000000003</v>
      </c>
      <c r="F4947" s="8"/>
      <c r="G4947" s="8"/>
      <c r="H4947" s="8"/>
      <c r="I4947" s="8"/>
      <c r="J4947" s="8"/>
      <c r="K4947" s="8"/>
      <c r="L4947" s="8"/>
      <c r="M4947" s="8"/>
      <c r="N4947" s="8"/>
      <c r="O4947" s="8">
        <v>2.08</v>
      </c>
      <c r="P4947" s="8"/>
      <c r="Q4947" s="11"/>
      <c r="R4947" s="11"/>
      <c r="S4947" s="8">
        <v>4.66</v>
      </c>
      <c r="T4947" s="8"/>
      <c r="U4947" s="8">
        <v>15.56</v>
      </c>
      <c r="V4947" s="8"/>
      <c r="W4947" s="8"/>
      <c r="X4947" s="8"/>
      <c r="Y4947" s="8"/>
      <c r="Z4947" s="8"/>
      <c r="AA4947" s="8"/>
      <c r="AB4947" s="8">
        <f>406*12.93/1000</f>
        <v>5.2495799999999999</v>
      </c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11"/>
      <c r="AQ4947" s="8">
        <f>1230*12.93/1000</f>
        <v>15.9039</v>
      </c>
      <c r="AR4947" s="8"/>
      <c r="AS4947" s="8"/>
      <c r="AT4947" s="8">
        <v>587.25</v>
      </c>
      <c r="AU4947" s="8"/>
      <c r="AV4947" s="8"/>
      <c r="AW4947" s="8">
        <v>35.22</v>
      </c>
      <c r="AX4947" s="8"/>
      <c r="AY4947" s="8"/>
      <c r="AZ4947" s="8"/>
      <c r="BA4947" s="8"/>
      <c r="BB4947" s="8"/>
      <c r="BC4947" s="8"/>
      <c r="BD4947" s="8"/>
      <c r="BE4947" s="8"/>
      <c r="BF4947" s="8"/>
      <c r="BG4947" s="8">
        <v>43.52</v>
      </c>
      <c r="BH4947" s="9">
        <f t="shared" si="693"/>
        <v>1034.75</v>
      </c>
      <c r="BI4947" s="9">
        <f t="shared" si="694"/>
        <v>2.08</v>
      </c>
      <c r="BJ4947" s="9">
        <f t="shared" si="695"/>
        <v>4.66</v>
      </c>
      <c r="BK4947" s="9">
        <f t="shared" si="696"/>
        <v>15.56</v>
      </c>
      <c r="BL4947" s="9">
        <f t="shared" si="697"/>
        <v>0</v>
      </c>
      <c r="BM4947" s="9">
        <f t="shared" si="698"/>
        <v>21.153480000000002</v>
      </c>
      <c r="BN4947" s="9">
        <f t="shared" si="699"/>
        <v>587.25</v>
      </c>
      <c r="BO4947" s="9">
        <f t="shared" si="700"/>
        <v>35.22</v>
      </c>
      <c r="BP4947" s="9">
        <f t="shared" si="701"/>
        <v>0</v>
      </c>
    </row>
    <row r="4948" spans="1:68">
      <c r="A4948" s="6">
        <v>45498</v>
      </c>
      <c r="B4948" s="7">
        <v>3201</v>
      </c>
      <c r="C4948" s="8">
        <v>1154.8399999999999</v>
      </c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>
        <v>2.9</v>
      </c>
      <c r="P4948" s="8"/>
      <c r="Q4948" s="11"/>
      <c r="R4948" s="11"/>
      <c r="S4948" s="8">
        <v>4.51</v>
      </c>
      <c r="T4948" s="8"/>
      <c r="U4948" s="8">
        <v>17.34</v>
      </c>
      <c r="V4948" s="8"/>
      <c r="W4948" s="8"/>
      <c r="X4948" s="8"/>
      <c r="Y4948" s="8"/>
      <c r="Z4948" s="8">
        <v>242.82</v>
      </c>
      <c r="AA4948" s="8"/>
      <c r="AB4948" s="8"/>
      <c r="AC4948" s="8"/>
      <c r="AD4948" s="8"/>
      <c r="AE4948" s="8"/>
      <c r="AF4948" s="8">
        <v>57.95</v>
      </c>
      <c r="AG4948" s="8"/>
      <c r="AH4948" s="8"/>
      <c r="AI4948" s="8"/>
      <c r="AJ4948" s="8"/>
      <c r="AK4948" s="8"/>
      <c r="AL4948" s="8"/>
      <c r="AM4948" s="8"/>
      <c r="AN4948" s="8"/>
      <c r="AO4948" s="8"/>
      <c r="AP4948" s="11"/>
      <c r="AQ4948" s="8">
        <f>1513*11.55/1000</f>
        <v>17.475150000000003</v>
      </c>
      <c r="AR4948" s="8"/>
      <c r="AS4948" s="8"/>
      <c r="AT4948" s="8">
        <v>793.31</v>
      </c>
      <c r="AU4948" s="8"/>
      <c r="AV4948" s="8"/>
      <c r="AW4948" s="8"/>
      <c r="AX4948" s="8"/>
      <c r="AY4948" s="8"/>
      <c r="AZ4948" s="8"/>
      <c r="BA4948" s="8"/>
      <c r="BB4948" s="8"/>
      <c r="BC4948" s="8">
        <v>3.01</v>
      </c>
      <c r="BD4948" s="8"/>
      <c r="BE4948" s="8"/>
      <c r="BF4948" s="8"/>
      <c r="BG4948" s="8">
        <v>57.41</v>
      </c>
      <c r="BH4948" s="9">
        <f t="shared" si="693"/>
        <v>1154.8399999999999</v>
      </c>
      <c r="BI4948" s="9">
        <f t="shared" si="694"/>
        <v>2.9</v>
      </c>
      <c r="BJ4948" s="9">
        <f t="shared" si="695"/>
        <v>4.51</v>
      </c>
      <c r="BK4948" s="9">
        <f t="shared" si="696"/>
        <v>17.34</v>
      </c>
      <c r="BL4948" s="9">
        <f t="shared" si="697"/>
        <v>242.82</v>
      </c>
      <c r="BM4948" s="9">
        <f t="shared" si="698"/>
        <v>75.425150000000002</v>
      </c>
      <c r="BN4948" s="9">
        <f t="shared" si="699"/>
        <v>793.31</v>
      </c>
      <c r="BO4948" s="9">
        <f t="shared" si="700"/>
        <v>3.01</v>
      </c>
      <c r="BP4948" s="9">
        <f t="shared" si="701"/>
        <v>0</v>
      </c>
    </row>
    <row r="4949" spans="1:68">
      <c r="A4949" s="6">
        <v>45499</v>
      </c>
      <c r="B4949" s="7">
        <v>3147</v>
      </c>
      <c r="C4949" s="8">
        <v>780.76</v>
      </c>
      <c r="D4949" s="8">
        <v>139.52000000000001</v>
      </c>
      <c r="E4949" s="8"/>
      <c r="F4949" s="8"/>
      <c r="G4949" s="8"/>
      <c r="H4949" s="8"/>
      <c r="I4949" s="8"/>
      <c r="J4949" s="8"/>
      <c r="K4949" s="8"/>
      <c r="L4949" s="8"/>
      <c r="M4949" s="8">
        <v>2.5099999999999998</v>
      </c>
      <c r="N4949" s="8"/>
      <c r="O4949" s="8"/>
      <c r="P4949" s="8"/>
      <c r="Q4949" s="11"/>
      <c r="R4949" s="11"/>
      <c r="S4949" s="8">
        <v>4.34</v>
      </c>
      <c r="T4949" s="8"/>
      <c r="U4949" s="8">
        <v>13.9</v>
      </c>
      <c r="V4949" s="8"/>
      <c r="W4949" s="8"/>
      <c r="X4949" s="8"/>
      <c r="Y4949" s="8"/>
      <c r="Z4949" s="8"/>
      <c r="AA4949" s="8"/>
      <c r="AB4949" s="8"/>
      <c r="AC4949" s="8">
        <v>3.7</v>
      </c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11">
        <f>654*11.52/1000</f>
        <v>7.5340800000000003</v>
      </c>
      <c r="AQ4949" s="8"/>
      <c r="AR4949" s="8"/>
      <c r="AS4949" s="8"/>
      <c r="AT4949" s="8">
        <v>605.82000000000005</v>
      </c>
      <c r="AU4949" s="8"/>
      <c r="AV4949" s="8"/>
      <c r="AW4949" s="8"/>
      <c r="AX4949" s="8"/>
      <c r="AY4949" s="8"/>
      <c r="AZ4949" s="8"/>
      <c r="BA4949" s="8"/>
      <c r="BB4949" s="8"/>
      <c r="BC4949" s="8"/>
      <c r="BD4949" s="8"/>
      <c r="BE4949" s="8"/>
      <c r="BF4949" s="8">
        <v>64.53</v>
      </c>
      <c r="BG4949" s="8">
        <v>47.67</v>
      </c>
      <c r="BH4949" s="9">
        <f t="shared" si="693"/>
        <v>920.28</v>
      </c>
      <c r="BI4949" s="9">
        <f t="shared" si="694"/>
        <v>2.5099999999999998</v>
      </c>
      <c r="BJ4949" s="9">
        <f t="shared" si="695"/>
        <v>4.34</v>
      </c>
      <c r="BK4949" s="9">
        <f t="shared" si="696"/>
        <v>13.9</v>
      </c>
      <c r="BL4949" s="9">
        <f t="shared" si="697"/>
        <v>0</v>
      </c>
      <c r="BM4949" s="9">
        <f t="shared" si="698"/>
        <v>11.234080000000001</v>
      </c>
      <c r="BN4949" s="9">
        <f t="shared" si="699"/>
        <v>605.82000000000005</v>
      </c>
      <c r="BO4949" s="9">
        <f t="shared" si="700"/>
        <v>0</v>
      </c>
      <c r="BP4949" s="9">
        <f t="shared" si="701"/>
        <v>64.53</v>
      </c>
    </row>
    <row r="4950" spans="1:68">
      <c r="A4950" s="6">
        <v>45499</v>
      </c>
      <c r="B4950" s="7">
        <v>3156</v>
      </c>
      <c r="C4950" s="8">
        <v>2668.61</v>
      </c>
      <c r="D4950" s="8"/>
      <c r="E4950" s="8"/>
      <c r="F4950" s="8"/>
      <c r="G4950" s="8"/>
      <c r="H4950" s="8"/>
      <c r="I4950" s="8"/>
      <c r="J4950" s="8"/>
      <c r="K4950" s="8"/>
      <c r="L4950" s="8"/>
      <c r="M4950" s="8">
        <v>4.53</v>
      </c>
      <c r="N4950" s="8"/>
      <c r="O4950" s="8"/>
      <c r="P4950" s="8"/>
      <c r="Q4950" s="11"/>
      <c r="R4950" s="11"/>
      <c r="S4950" s="8">
        <v>10.64</v>
      </c>
      <c r="T4950" s="8"/>
      <c r="U4950" s="8">
        <v>26.64</v>
      </c>
      <c r="V4950" s="8"/>
      <c r="W4950" s="8"/>
      <c r="X4950" s="8"/>
      <c r="Y4950" s="8"/>
      <c r="Z4950" s="8"/>
      <c r="AA4950" s="8"/>
      <c r="AB4950" s="8"/>
      <c r="AC4950" s="8">
        <v>6.65</v>
      </c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11"/>
      <c r="AQ4950" s="8"/>
      <c r="AR4950" s="8"/>
      <c r="AS4950" s="8"/>
      <c r="AT4950" s="8">
        <v>1250.44</v>
      </c>
      <c r="AU4950" s="8"/>
      <c r="AV4950" s="8"/>
      <c r="AW4950" s="8"/>
      <c r="AX4950" s="8">
        <v>5.78</v>
      </c>
      <c r="AY4950" s="8"/>
      <c r="AZ4950" s="8"/>
      <c r="BA4950" s="8"/>
      <c r="BB4950" s="8"/>
      <c r="BC4950" s="8"/>
      <c r="BD4950" s="8"/>
      <c r="BE4950" s="8"/>
      <c r="BF4950" s="8"/>
      <c r="BG4950" s="8">
        <v>97.05</v>
      </c>
      <c r="BH4950" s="9">
        <f t="shared" si="693"/>
        <v>2668.61</v>
      </c>
      <c r="BI4950" s="9">
        <f t="shared" si="694"/>
        <v>4.53</v>
      </c>
      <c r="BJ4950" s="9">
        <f t="shared" si="695"/>
        <v>10.64</v>
      </c>
      <c r="BK4950" s="9">
        <f t="shared" si="696"/>
        <v>26.64</v>
      </c>
      <c r="BL4950" s="9">
        <f t="shared" si="697"/>
        <v>0</v>
      </c>
      <c r="BM4950" s="9">
        <f t="shared" si="698"/>
        <v>6.65</v>
      </c>
      <c r="BN4950" s="9">
        <f t="shared" si="699"/>
        <v>1250.44</v>
      </c>
      <c r="BO4950" s="9">
        <f t="shared" si="700"/>
        <v>5.78</v>
      </c>
      <c r="BP4950" s="9">
        <f t="shared" si="701"/>
        <v>0</v>
      </c>
    </row>
    <row r="4951" spans="1:68">
      <c r="A4951" s="6">
        <v>45499</v>
      </c>
      <c r="B4951" s="7">
        <v>3016</v>
      </c>
      <c r="C4951" s="8"/>
      <c r="D4951" s="8">
        <v>1609.25</v>
      </c>
      <c r="E4951" s="8"/>
      <c r="F4951" s="8"/>
      <c r="G4951" s="8"/>
      <c r="H4951" s="8"/>
      <c r="I4951" s="8">
        <v>1479.37</v>
      </c>
      <c r="J4951" s="8"/>
      <c r="K4951" s="8"/>
      <c r="L4951" s="8"/>
      <c r="M4951" s="8"/>
      <c r="N4951" s="8">
        <v>20.14</v>
      </c>
      <c r="O4951" s="8"/>
      <c r="P4951" s="8"/>
      <c r="Q4951" s="11"/>
      <c r="R4951" s="11"/>
      <c r="S4951" s="8">
        <v>2.17</v>
      </c>
      <c r="T4951" s="8"/>
      <c r="U4951" s="8"/>
      <c r="V4951" s="8"/>
      <c r="W4951" s="8">
        <v>30.98</v>
      </c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>
        <v>12.27</v>
      </c>
      <c r="AN4951" s="8">
        <f>2087*18.22/1000</f>
        <v>38.02514</v>
      </c>
      <c r="AO4951" s="8"/>
      <c r="AP4951" s="11"/>
      <c r="AQ4951" s="8"/>
      <c r="AR4951" s="8">
        <f>4320*18.22/1000</f>
        <v>78.710399999999993</v>
      </c>
      <c r="AS4951" s="8"/>
      <c r="AT4951" s="8">
        <v>1151.9100000000001</v>
      </c>
      <c r="AU4951" s="8"/>
      <c r="AV4951" s="8"/>
      <c r="AW4951" s="8"/>
      <c r="AX4951" s="8"/>
      <c r="AY4951" s="8"/>
      <c r="AZ4951" s="8"/>
      <c r="BA4951" s="8"/>
      <c r="BB4951" s="8"/>
      <c r="BC4951" s="8"/>
      <c r="BD4951" s="8"/>
      <c r="BE4951" s="8"/>
      <c r="BF4951" s="8"/>
      <c r="BG4951" s="8">
        <v>84.09</v>
      </c>
      <c r="BH4951" s="9">
        <f t="shared" si="693"/>
        <v>3088.62</v>
      </c>
      <c r="BI4951" s="9">
        <f t="shared" si="694"/>
        <v>20.14</v>
      </c>
      <c r="BJ4951" s="9">
        <f t="shared" si="695"/>
        <v>2.17</v>
      </c>
      <c r="BK4951" s="9">
        <f t="shared" si="696"/>
        <v>30.98</v>
      </c>
      <c r="BL4951" s="9">
        <f t="shared" si="697"/>
        <v>0</v>
      </c>
      <c r="BM4951" s="9">
        <f t="shared" si="698"/>
        <v>129.00554</v>
      </c>
      <c r="BN4951" s="9">
        <f t="shared" si="699"/>
        <v>1151.9100000000001</v>
      </c>
      <c r="BO4951" s="9">
        <f t="shared" si="700"/>
        <v>0</v>
      </c>
      <c r="BP4951" s="9">
        <f t="shared" si="701"/>
        <v>0</v>
      </c>
    </row>
    <row r="4952" spans="1:68">
      <c r="A4952" s="6">
        <v>45499</v>
      </c>
      <c r="B4952" s="7">
        <v>3029</v>
      </c>
      <c r="C4952" s="8"/>
      <c r="D4952" s="8">
        <v>462.02</v>
      </c>
      <c r="E4952" s="8"/>
      <c r="F4952" s="8">
        <v>325.18</v>
      </c>
      <c r="G4952" s="8"/>
      <c r="H4952" s="8"/>
      <c r="I4952" s="8">
        <v>1921.17</v>
      </c>
      <c r="J4952" s="8"/>
      <c r="K4952" s="8"/>
      <c r="L4952" s="8"/>
      <c r="M4952" s="8"/>
      <c r="N4952" s="8">
        <v>21.92</v>
      </c>
      <c r="O4952" s="8"/>
      <c r="P4952" s="8"/>
      <c r="Q4952" s="11"/>
      <c r="R4952" s="11"/>
      <c r="S4952" s="8">
        <v>1.62</v>
      </c>
      <c r="T4952" s="8"/>
      <c r="U4952" s="8"/>
      <c r="V4952" s="8"/>
      <c r="W4952" s="8">
        <v>27.08</v>
      </c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>
        <v>9.4700000000000006</v>
      </c>
      <c r="AN4952" s="8">
        <f>766*18.05/1000</f>
        <v>13.826300000000002</v>
      </c>
      <c r="AO4952" s="8"/>
      <c r="AP4952" s="11"/>
      <c r="AQ4952" s="8"/>
      <c r="AR4952" s="8">
        <f>4530*18.05/1000</f>
        <v>81.766499999999994</v>
      </c>
      <c r="AS4952" s="8"/>
      <c r="AT4952" s="8">
        <v>1034.1500000000001</v>
      </c>
      <c r="AU4952" s="8"/>
      <c r="AV4952" s="8"/>
      <c r="AW4952" s="8"/>
      <c r="AX4952" s="8"/>
      <c r="AY4952" s="8"/>
      <c r="AZ4952" s="8"/>
      <c r="BA4952" s="8"/>
      <c r="BB4952" s="8"/>
      <c r="BC4952" s="8"/>
      <c r="BD4952" s="8"/>
      <c r="BE4952" s="8"/>
      <c r="BF4952" s="8"/>
      <c r="BG4952" s="8">
        <v>71.7</v>
      </c>
      <c r="BH4952" s="9">
        <f t="shared" si="693"/>
        <v>2708.37</v>
      </c>
      <c r="BI4952" s="9">
        <f t="shared" si="694"/>
        <v>21.92</v>
      </c>
      <c r="BJ4952" s="9">
        <f t="shared" si="695"/>
        <v>1.62</v>
      </c>
      <c r="BK4952" s="9">
        <f t="shared" si="696"/>
        <v>27.08</v>
      </c>
      <c r="BL4952" s="9">
        <f t="shared" si="697"/>
        <v>0</v>
      </c>
      <c r="BM4952" s="9">
        <f t="shared" si="698"/>
        <v>105.0628</v>
      </c>
      <c r="BN4952" s="9">
        <f t="shared" si="699"/>
        <v>1034.1500000000001</v>
      </c>
      <c r="BO4952" s="9">
        <f t="shared" si="700"/>
        <v>0</v>
      </c>
      <c r="BP4952" s="9">
        <f t="shared" si="701"/>
        <v>0</v>
      </c>
    </row>
    <row r="4953" spans="1:68">
      <c r="A4953" s="6">
        <v>45499</v>
      </c>
      <c r="B4953" s="7">
        <v>3200</v>
      </c>
      <c r="C4953" s="8">
        <v>1176.92</v>
      </c>
      <c r="D4953" s="8"/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>
        <v>2.95</v>
      </c>
      <c r="P4953" s="8"/>
      <c r="Q4953" s="11"/>
      <c r="R4953" s="11"/>
      <c r="S4953" s="8">
        <v>4.5999999999999996</v>
      </c>
      <c r="T4953" s="8"/>
      <c r="U4953" s="8">
        <v>17.690000000000001</v>
      </c>
      <c r="V4953" s="8"/>
      <c r="W4953" s="8"/>
      <c r="X4953" s="8"/>
      <c r="Y4953" s="8"/>
      <c r="Z4953" s="8">
        <v>247.85</v>
      </c>
      <c r="AA4953" s="8"/>
      <c r="AB4953" s="8"/>
      <c r="AC4953" s="8"/>
      <c r="AD4953" s="8"/>
      <c r="AE4953" s="8"/>
      <c r="AF4953" s="8">
        <v>58.8</v>
      </c>
      <c r="AG4953" s="8"/>
      <c r="AH4953" s="8"/>
      <c r="AI4953" s="8"/>
      <c r="AJ4953" s="8"/>
      <c r="AK4953" s="8"/>
      <c r="AL4953" s="8"/>
      <c r="AM4953" s="8"/>
      <c r="AN4953" s="8"/>
      <c r="AO4953" s="8"/>
      <c r="AP4953" s="11"/>
      <c r="AQ4953" s="8">
        <f>1524*11.78/1000</f>
        <v>17.952719999999996</v>
      </c>
      <c r="AR4953" s="8"/>
      <c r="AS4953" s="8"/>
      <c r="AT4953" s="8">
        <v>806.78</v>
      </c>
      <c r="AU4953" s="8"/>
      <c r="AV4953" s="8"/>
      <c r="AW4953" s="8">
        <v>3.46</v>
      </c>
      <c r="AX4953" s="8"/>
      <c r="AY4953" s="8"/>
      <c r="AZ4953" s="8"/>
      <c r="BA4953" s="8"/>
      <c r="BB4953" s="8"/>
      <c r="BC4953" s="8"/>
      <c r="BD4953" s="8"/>
      <c r="BE4953" s="8"/>
      <c r="BF4953" s="8">
        <v>56.64</v>
      </c>
      <c r="BG4953" s="8">
        <v>58.45</v>
      </c>
      <c r="BH4953" s="9">
        <f t="shared" si="693"/>
        <v>1176.92</v>
      </c>
      <c r="BI4953" s="9">
        <f t="shared" si="694"/>
        <v>2.95</v>
      </c>
      <c r="BJ4953" s="9">
        <f t="shared" si="695"/>
        <v>4.5999999999999996</v>
      </c>
      <c r="BK4953" s="9">
        <f t="shared" si="696"/>
        <v>17.690000000000001</v>
      </c>
      <c r="BL4953" s="9">
        <f t="shared" si="697"/>
        <v>247.85</v>
      </c>
      <c r="BM4953" s="9">
        <f t="shared" si="698"/>
        <v>76.752719999999997</v>
      </c>
      <c r="BN4953" s="9">
        <f t="shared" si="699"/>
        <v>806.78</v>
      </c>
      <c r="BO4953" s="9">
        <f t="shared" si="700"/>
        <v>3.46</v>
      </c>
      <c r="BP4953" s="9">
        <f t="shared" si="701"/>
        <v>56.64</v>
      </c>
    </row>
    <row r="4954" spans="1:68">
      <c r="A4954" s="6">
        <v>45499</v>
      </c>
      <c r="B4954" s="7">
        <v>8360</v>
      </c>
      <c r="C4954" s="8">
        <v>910.7</v>
      </c>
      <c r="D4954" s="8"/>
      <c r="E4954" s="8">
        <v>390.52</v>
      </c>
      <c r="F4954" s="8"/>
      <c r="G4954" s="8"/>
      <c r="H4954" s="8"/>
      <c r="I4954" s="8"/>
      <c r="J4954" s="8"/>
      <c r="K4954" s="8"/>
      <c r="L4954" s="8"/>
      <c r="M4954" s="8"/>
      <c r="N4954" s="8"/>
      <c r="O4954" s="8">
        <v>2.2200000000000002</v>
      </c>
      <c r="P4954" s="8"/>
      <c r="Q4954" s="11"/>
      <c r="R4954" s="11"/>
      <c r="S4954" s="8">
        <v>6.64</v>
      </c>
      <c r="T4954" s="8"/>
      <c r="U4954" s="8">
        <v>20.84</v>
      </c>
      <c r="V4954" s="8"/>
      <c r="W4954" s="8"/>
      <c r="X4954" s="8"/>
      <c r="Y4954" s="8"/>
      <c r="Z4954" s="8">
        <v>260.58</v>
      </c>
      <c r="AA4954" s="8"/>
      <c r="AB4954" s="8">
        <f>1008*13.02/1000</f>
        <v>13.12416</v>
      </c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11"/>
      <c r="AQ4954" s="8"/>
      <c r="AR4954" s="8"/>
      <c r="AS4954" s="8"/>
      <c r="AT4954" s="8">
        <v>753.23</v>
      </c>
      <c r="AU4954" s="8"/>
      <c r="AV4954" s="8"/>
      <c r="AW4954" s="8">
        <v>3.83</v>
      </c>
      <c r="AX4954" s="8"/>
      <c r="AY4954" s="8"/>
      <c r="AZ4954" s="8"/>
      <c r="BA4954" s="8"/>
      <c r="BB4954" s="8"/>
      <c r="BC4954" s="8"/>
      <c r="BD4954" s="8"/>
      <c r="BE4954" s="8"/>
      <c r="BF4954" s="8">
        <v>58.6</v>
      </c>
      <c r="BG4954" s="8">
        <v>54.81</v>
      </c>
      <c r="BH4954" s="9">
        <f t="shared" si="693"/>
        <v>1301.22</v>
      </c>
      <c r="BI4954" s="9">
        <f t="shared" si="694"/>
        <v>2.2200000000000002</v>
      </c>
      <c r="BJ4954" s="9">
        <f t="shared" si="695"/>
        <v>6.64</v>
      </c>
      <c r="BK4954" s="9">
        <f t="shared" si="696"/>
        <v>20.84</v>
      </c>
      <c r="BL4954" s="9">
        <f t="shared" si="697"/>
        <v>260.58</v>
      </c>
      <c r="BM4954" s="9">
        <f t="shared" si="698"/>
        <v>13.12416</v>
      </c>
      <c r="BN4954" s="9">
        <f t="shared" si="699"/>
        <v>753.23</v>
      </c>
      <c r="BO4954" s="9">
        <f t="shared" si="700"/>
        <v>3.83</v>
      </c>
      <c r="BP4954" s="9">
        <f t="shared" si="701"/>
        <v>58.6</v>
      </c>
    </row>
    <row r="4955" spans="1:68">
      <c r="A4955" s="6">
        <v>45502</v>
      </c>
      <c r="B4955" s="7">
        <v>3113</v>
      </c>
      <c r="C4955" s="8">
        <v>1674.39</v>
      </c>
      <c r="D4955" s="8"/>
      <c r="E4955" s="8"/>
      <c r="F4955" s="8"/>
      <c r="G4955" s="8"/>
      <c r="H4955" s="8"/>
      <c r="I4955" s="8"/>
      <c r="J4955" s="8"/>
      <c r="K4955" s="8"/>
      <c r="L4955" s="8"/>
      <c r="M4955" s="8">
        <v>2.0099999999999998</v>
      </c>
      <c r="N4955" s="8">
        <v>2.0099999999999998</v>
      </c>
      <c r="O4955" s="8"/>
      <c r="P4955" s="8"/>
      <c r="Q4955" s="11"/>
      <c r="R4955" s="11"/>
      <c r="S4955" s="8">
        <v>5.03</v>
      </c>
      <c r="T4955" s="8"/>
      <c r="U4955" s="8">
        <v>16.77</v>
      </c>
      <c r="V4955" s="8"/>
      <c r="W4955" s="8"/>
      <c r="X4955" s="8"/>
      <c r="Y4955" s="8"/>
      <c r="Z4955" s="8"/>
      <c r="AA4955" s="8"/>
      <c r="AB4955" s="8"/>
      <c r="AC4955" s="8">
        <v>6.69</v>
      </c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11"/>
      <c r="AQ4955" s="8"/>
      <c r="AR4955" s="8"/>
      <c r="AS4955" s="8"/>
      <c r="AT4955" s="8">
        <v>702.56</v>
      </c>
      <c r="AU4955" s="8"/>
      <c r="AV4955" s="8">
        <v>56.94</v>
      </c>
      <c r="AW4955" s="8"/>
      <c r="AX4955" s="8"/>
      <c r="AY4955" s="8"/>
      <c r="AZ4955" s="8"/>
      <c r="BA4955" s="8"/>
      <c r="BB4955" s="8"/>
      <c r="BC4955" s="8"/>
      <c r="BD4955" s="8"/>
      <c r="BE4955" s="8"/>
      <c r="BF4955" s="8"/>
      <c r="BG4955" s="8">
        <v>50.16</v>
      </c>
      <c r="BH4955" s="9">
        <f t="shared" si="693"/>
        <v>1674.39</v>
      </c>
      <c r="BI4955" s="9">
        <f t="shared" si="694"/>
        <v>4.0199999999999996</v>
      </c>
      <c r="BJ4955" s="9">
        <f t="shared" si="695"/>
        <v>5.03</v>
      </c>
      <c r="BK4955" s="9">
        <f t="shared" si="696"/>
        <v>16.77</v>
      </c>
      <c r="BL4955" s="9">
        <f t="shared" si="697"/>
        <v>0</v>
      </c>
      <c r="BM4955" s="9">
        <f t="shared" si="698"/>
        <v>6.69</v>
      </c>
      <c r="BN4955" s="9">
        <f t="shared" si="699"/>
        <v>702.56</v>
      </c>
      <c r="BO4955" s="9">
        <f t="shared" si="700"/>
        <v>56.94</v>
      </c>
      <c r="BP4955" s="9">
        <f t="shared" si="701"/>
        <v>0</v>
      </c>
    </row>
    <row r="4956" spans="1:68">
      <c r="A4956" s="6">
        <v>45502</v>
      </c>
      <c r="B4956" s="7">
        <v>3079</v>
      </c>
      <c r="C4956" s="8"/>
      <c r="D4956" s="8"/>
      <c r="E4956" s="8"/>
      <c r="F4956" s="8">
        <v>333.55</v>
      </c>
      <c r="G4956" s="8"/>
      <c r="H4956" s="8"/>
      <c r="I4956" s="8">
        <v>2709</v>
      </c>
      <c r="J4956" s="8"/>
      <c r="K4956" s="8"/>
      <c r="L4956" s="8"/>
      <c r="M4956" s="8"/>
      <c r="N4956" s="8">
        <v>22.9</v>
      </c>
      <c r="O4956" s="8"/>
      <c r="P4956" s="8"/>
      <c r="Q4956" s="11"/>
      <c r="R4956" s="11"/>
      <c r="S4956" s="8">
        <v>1.23</v>
      </c>
      <c r="T4956" s="8"/>
      <c r="U4956" s="8"/>
      <c r="V4956" s="8"/>
      <c r="W4956" s="8">
        <v>30.63</v>
      </c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>
        <v>12.03</v>
      </c>
      <c r="AN4956" s="8">
        <f>1743*17.98/1000</f>
        <v>31.33914</v>
      </c>
      <c r="AO4956" s="8"/>
      <c r="AP4956" s="11"/>
      <c r="AQ4956" s="8"/>
      <c r="AR4956" s="8">
        <f>4291*17.98/1000</f>
        <v>77.152180000000001</v>
      </c>
      <c r="AS4956" s="8"/>
      <c r="AT4956" s="8">
        <v>1180.6199999999999</v>
      </c>
      <c r="AU4956" s="8"/>
      <c r="AV4956" s="8"/>
      <c r="AW4956" s="8"/>
      <c r="AX4956" s="8"/>
      <c r="AY4956" s="8"/>
      <c r="AZ4956" s="8"/>
      <c r="BA4956" s="8"/>
      <c r="BB4956" s="8"/>
      <c r="BC4956" s="8"/>
      <c r="BD4956" s="8"/>
      <c r="BE4956" s="8"/>
      <c r="BF4956" s="8"/>
      <c r="BG4956" s="8">
        <v>85.29</v>
      </c>
      <c r="BH4956" s="9">
        <f t="shared" si="693"/>
        <v>3042.55</v>
      </c>
      <c r="BI4956" s="9">
        <f t="shared" si="694"/>
        <v>22.9</v>
      </c>
      <c r="BJ4956" s="9">
        <f t="shared" si="695"/>
        <v>1.23</v>
      </c>
      <c r="BK4956" s="9">
        <f t="shared" si="696"/>
        <v>30.63</v>
      </c>
      <c r="BL4956" s="9">
        <f t="shared" si="697"/>
        <v>0</v>
      </c>
      <c r="BM4956" s="9">
        <f t="shared" si="698"/>
        <v>120.52132</v>
      </c>
      <c r="BN4956" s="9">
        <f t="shared" si="699"/>
        <v>1180.6199999999999</v>
      </c>
      <c r="BO4956" s="9">
        <f t="shared" si="700"/>
        <v>0</v>
      </c>
      <c r="BP4956" s="9">
        <f t="shared" si="701"/>
        <v>0</v>
      </c>
    </row>
    <row r="4957" spans="1:68">
      <c r="A4957" s="6">
        <v>45502</v>
      </c>
      <c r="B4957" s="7">
        <v>3081</v>
      </c>
      <c r="C4957" s="8"/>
      <c r="D4957" s="8">
        <v>280</v>
      </c>
      <c r="E4957" s="8"/>
      <c r="F4957" s="8">
        <v>311.41000000000003</v>
      </c>
      <c r="G4957" s="8"/>
      <c r="H4957" s="8"/>
      <c r="I4957" s="8">
        <v>1152.8399999999999</v>
      </c>
      <c r="J4957" s="8"/>
      <c r="K4957" s="8"/>
      <c r="L4957" s="8"/>
      <c r="M4957" s="8"/>
      <c r="N4957" s="8">
        <v>13</v>
      </c>
      <c r="O4957" s="8"/>
      <c r="P4957" s="8">
        <f>627*11.48/1000</f>
        <v>7.1979600000000001</v>
      </c>
      <c r="Q4957" s="11"/>
      <c r="R4957" s="11"/>
      <c r="S4957" s="8">
        <v>1.24</v>
      </c>
      <c r="T4957" s="8"/>
      <c r="U4957" s="8"/>
      <c r="V4957" s="8"/>
      <c r="W4957" s="8">
        <v>17.86</v>
      </c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11"/>
      <c r="AQ4957" s="8">
        <f>1588*11.48/1000</f>
        <v>18.230240000000002</v>
      </c>
      <c r="AR4957" s="8">
        <f>5530*11.48/1000</f>
        <v>63.484400000000001</v>
      </c>
      <c r="AS4957" s="8"/>
      <c r="AT4957" s="8">
        <v>557.52</v>
      </c>
      <c r="AU4957" s="8"/>
      <c r="AV4957" s="8"/>
      <c r="AW4957" s="8"/>
      <c r="AX4957" s="8"/>
      <c r="AY4957" s="8"/>
      <c r="AZ4957" s="8"/>
      <c r="BA4957" s="8"/>
      <c r="BB4957" s="8"/>
      <c r="BC4957" s="8"/>
      <c r="BD4957" s="8"/>
      <c r="BE4957" s="8"/>
      <c r="BF4957" s="8"/>
      <c r="BG4957" s="8">
        <v>37.270000000000003</v>
      </c>
      <c r="BH4957" s="9">
        <f t="shared" si="693"/>
        <v>1744.25</v>
      </c>
      <c r="BI4957" s="9">
        <f t="shared" si="694"/>
        <v>20.197960000000002</v>
      </c>
      <c r="BJ4957" s="9">
        <f t="shared" si="695"/>
        <v>1.24</v>
      </c>
      <c r="BK4957" s="9">
        <f t="shared" si="696"/>
        <v>17.86</v>
      </c>
      <c r="BL4957" s="9">
        <f t="shared" si="697"/>
        <v>0</v>
      </c>
      <c r="BM4957" s="9">
        <f t="shared" si="698"/>
        <v>81.714640000000003</v>
      </c>
      <c r="BN4957" s="9">
        <f t="shared" si="699"/>
        <v>557.52</v>
      </c>
      <c r="BO4957" s="9">
        <f t="shared" si="700"/>
        <v>0</v>
      </c>
      <c r="BP4957" s="9">
        <f t="shared" si="701"/>
        <v>0</v>
      </c>
    </row>
    <row r="4958" spans="1:68">
      <c r="A4958" s="6">
        <v>45502</v>
      </c>
      <c r="B4958" s="7">
        <v>3031</v>
      </c>
      <c r="C4958" s="8"/>
      <c r="D4958" s="8"/>
      <c r="E4958" s="8"/>
      <c r="F4958" s="8"/>
      <c r="G4958" s="8"/>
      <c r="H4958" s="8"/>
      <c r="I4958" s="8">
        <v>1160.18</v>
      </c>
      <c r="J4958" s="8"/>
      <c r="K4958" s="8"/>
      <c r="L4958" s="8"/>
      <c r="M4958" s="8"/>
      <c r="N4958" s="8">
        <v>8.01</v>
      </c>
      <c r="O4958" s="8"/>
      <c r="P4958" s="8"/>
      <c r="Q4958" s="11"/>
      <c r="R4958" s="11"/>
      <c r="S4958" s="8">
        <v>0.82</v>
      </c>
      <c r="T4958" s="8"/>
      <c r="U4958" s="8"/>
      <c r="V4958" s="8"/>
      <c r="W4958" s="8">
        <v>11.63</v>
      </c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>
        <f>1810*9.67/1000</f>
        <v>17.502700000000001</v>
      </c>
      <c r="AJ4958" s="8"/>
      <c r="AK4958" s="8"/>
      <c r="AL4958" s="8"/>
      <c r="AM4958" s="8"/>
      <c r="AN4958" s="8">
        <f>1211*9.67/1000</f>
        <v>11.710370000000001</v>
      </c>
      <c r="AO4958" s="8"/>
      <c r="AP4958" s="11"/>
      <c r="AQ4958" s="8"/>
      <c r="AR4958" s="8">
        <f>3600*9.67/1000</f>
        <v>34.811999999999998</v>
      </c>
      <c r="AS4958" s="8"/>
      <c r="AT4958" s="8">
        <v>552.52</v>
      </c>
      <c r="AU4958" s="8"/>
      <c r="AV4958" s="8"/>
      <c r="AW4958" s="8"/>
      <c r="AX4958" s="8"/>
      <c r="AY4958" s="8"/>
      <c r="AZ4958" s="8"/>
      <c r="BA4958" s="8"/>
      <c r="BB4958" s="8"/>
      <c r="BC4958" s="8"/>
      <c r="BD4958" s="8"/>
      <c r="BE4958" s="8"/>
      <c r="BF4958" s="8"/>
      <c r="BG4958" s="8">
        <v>37.520000000000003</v>
      </c>
      <c r="BH4958" s="9">
        <f t="shared" si="693"/>
        <v>1160.18</v>
      </c>
      <c r="BI4958" s="9">
        <f t="shared" si="694"/>
        <v>8.01</v>
      </c>
      <c r="BJ4958" s="9">
        <f t="shared" si="695"/>
        <v>0.82</v>
      </c>
      <c r="BK4958" s="9">
        <f t="shared" si="696"/>
        <v>11.63</v>
      </c>
      <c r="BL4958" s="9">
        <f t="shared" si="697"/>
        <v>0</v>
      </c>
      <c r="BM4958" s="9">
        <f t="shared" si="698"/>
        <v>64.025069999999999</v>
      </c>
      <c r="BN4958" s="9">
        <f t="shared" si="699"/>
        <v>552.52</v>
      </c>
      <c r="BO4958" s="9">
        <f t="shared" si="700"/>
        <v>0</v>
      </c>
      <c r="BP4958" s="9">
        <f t="shared" si="701"/>
        <v>0</v>
      </c>
    </row>
    <row r="4959" spans="1:68">
      <c r="A4959" s="6">
        <v>45502</v>
      </c>
      <c r="B4959" s="7">
        <v>3017</v>
      </c>
      <c r="C4959" s="8"/>
      <c r="D4959" s="8">
        <v>488.5</v>
      </c>
      <c r="E4959" s="8"/>
      <c r="F4959" s="8"/>
      <c r="G4959" s="8"/>
      <c r="H4959" s="8"/>
      <c r="I4959" s="8">
        <v>671.2</v>
      </c>
      <c r="J4959" s="8"/>
      <c r="K4959" s="8"/>
      <c r="L4959" s="8"/>
      <c r="M4959" s="8"/>
      <c r="N4959" s="8">
        <v>8.4</v>
      </c>
      <c r="O4959" s="8"/>
      <c r="P4959" s="8"/>
      <c r="Q4959" s="11"/>
      <c r="R4959" s="11"/>
      <c r="S4959" s="8">
        <v>0.82</v>
      </c>
      <c r="T4959" s="8"/>
      <c r="U4959" s="8"/>
      <c r="V4959" s="8"/>
      <c r="W4959" s="8">
        <v>8.76</v>
      </c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>
        <v>4.54</v>
      </c>
      <c r="AN4959" s="8">
        <f>1196*9.7/1000</f>
        <v>11.601199999999999</v>
      </c>
      <c r="AO4959" s="8"/>
      <c r="AP4959" s="11"/>
      <c r="AQ4959" s="8"/>
      <c r="AR4959" s="8">
        <f>4867*9.7/1000</f>
        <v>47.209899999999998</v>
      </c>
      <c r="AS4959" s="8"/>
      <c r="AT4959" s="8">
        <v>499.78</v>
      </c>
      <c r="AU4959" s="8"/>
      <c r="AV4959" s="8"/>
      <c r="AW4959" s="8"/>
      <c r="AX4959" s="8"/>
      <c r="AY4959" s="8"/>
      <c r="AZ4959" s="8"/>
      <c r="BA4959" s="8"/>
      <c r="BB4959" s="8"/>
      <c r="BC4959" s="8"/>
      <c r="BD4959" s="8"/>
      <c r="BE4959" s="8"/>
      <c r="BF4959" s="8"/>
      <c r="BG4959" s="8">
        <v>36.68</v>
      </c>
      <c r="BH4959" s="9">
        <f t="shared" si="693"/>
        <v>1159.7</v>
      </c>
      <c r="BI4959" s="9">
        <f t="shared" si="694"/>
        <v>8.4</v>
      </c>
      <c r="BJ4959" s="9">
        <f t="shared" si="695"/>
        <v>0.82</v>
      </c>
      <c r="BK4959" s="9">
        <f t="shared" si="696"/>
        <v>8.76</v>
      </c>
      <c r="BL4959" s="9">
        <f t="shared" si="697"/>
        <v>0</v>
      </c>
      <c r="BM4959" s="9">
        <f t="shared" si="698"/>
        <v>63.351099999999995</v>
      </c>
      <c r="BN4959" s="9">
        <f t="shared" si="699"/>
        <v>499.78</v>
      </c>
      <c r="BO4959" s="9">
        <f t="shared" si="700"/>
        <v>0</v>
      </c>
      <c r="BP4959" s="9">
        <f t="shared" si="701"/>
        <v>0</v>
      </c>
    </row>
    <row r="4960" spans="1:68">
      <c r="A4960" s="6">
        <v>45502</v>
      </c>
      <c r="B4960" s="7">
        <v>3028</v>
      </c>
      <c r="C4960" s="8"/>
      <c r="D4960" s="8">
        <v>1412.33</v>
      </c>
      <c r="E4960" s="8"/>
      <c r="F4960" s="8">
        <v>1298.58</v>
      </c>
      <c r="G4960" s="8"/>
      <c r="H4960" s="8"/>
      <c r="I4960" s="8">
        <v>2947.17</v>
      </c>
      <c r="J4960" s="8"/>
      <c r="K4960" s="8"/>
      <c r="L4960" s="8"/>
      <c r="M4960" s="8"/>
      <c r="N4960" s="8">
        <v>44.04</v>
      </c>
      <c r="O4960" s="8"/>
      <c r="P4960" s="8"/>
      <c r="Q4960" s="11"/>
      <c r="R4960" s="11"/>
      <c r="S4960" s="8">
        <v>7.89</v>
      </c>
      <c r="T4960" s="8"/>
      <c r="U4960" s="8"/>
      <c r="V4960" s="8"/>
      <c r="W4960" s="8">
        <v>42.36</v>
      </c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>
        <v>56.19</v>
      </c>
      <c r="AN4960" s="8">
        <f>1079*37.6/1000</f>
        <v>40.570399999999999</v>
      </c>
      <c r="AO4960" s="8"/>
      <c r="AP4960" s="11"/>
      <c r="AQ4960" s="8"/>
      <c r="AR4960" s="8"/>
      <c r="AS4960" s="8">
        <f>4988*37.6/1000</f>
        <v>187.54880000000003</v>
      </c>
      <c r="AT4960" s="8">
        <v>1885</v>
      </c>
      <c r="AU4960" s="8"/>
      <c r="AV4960" s="8"/>
      <c r="AW4960" s="8"/>
      <c r="AX4960" s="8"/>
      <c r="AY4960" s="8"/>
      <c r="AZ4960" s="8"/>
      <c r="BA4960" s="8"/>
      <c r="BB4960" s="8"/>
      <c r="BC4960" s="8"/>
      <c r="BD4960" s="8"/>
      <c r="BE4960" s="8"/>
      <c r="BF4960" s="8"/>
      <c r="BG4960" s="8">
        <v>128.52000000000001</v>
      </c>
      <c r="BH4960" s="9">
        <f t="shared" si="693"/>
        <v>5658.08</v>
      </c>
      <c r="BI4960" s="9">
        <f t="shared" si="694"/>
        <v>44.04</v>
      </c>
      <c r="BJ4960" s="9">
        <f t="shared" si="695"/>
        <v>7.89</v>
      </c>
      <c r="BK4960" s="9">
        <f t="shared" si="696"/>
        <v>42.36</v>
      </c>
      <c r="BL4960" s="9">
        <f t="shared" si="697"/>
        <v>0</v>
      </c>
      <c r="BM4960" s="9">
        <f t="shared" si="698"/>
        <v>284.30920000000003</v>
      </c>
      <c r="BN4960" s="9">
        <f t="shared" si="699"/>
        <v>1885</v>
      </c>
      <c r="BO4960" s="9">
        <f t="shared" si="700"/>
        <v>0</v>
      </c>
      <c r="BP4960" s="9">
        <f t="shared" si="701"/>
        <v>0</v>
      </c>
    </row>
    <row r="4961" spans="1:68">
      <c r="A4961" s="6">
        <v>45503</v>
      </c>
      <c r="B4961" s="7">
        <v>3116</v>
      </c>
      <c r="C4961" s="8">
        <v>1405.22</v>
      </c>
      <c r="D4961" s="8"/>
      <c r="E4961" s="8"/>
      <c r="F4961" s="8"/>
      <c r="G4961" s="8"/>
      <c r="H4961" s="8"/>
      <c r="I4961" s="8"/>
      <c r="J4961" s="8"/>
      <c r="K4961" s="8"/>
      <c r="L4961" s="8"/>
      <c r="M4961" s="8">
        <v>4.09</v>
      </c>
      <c r="N4961" s="8"/>
      <c r="O4961" s="8"/>
      <c r="P4961" s="8"/>
      <c r="Q4961" s="11"/>
      <c r="R4961" s="11"/>
      <c r="S4961" s="8">
        <v>5.63</v>
      </c>
      <c r="T4961" s="8"/>
      <c r="U4961" s="8">
        <v>20.68</v>
      </c>
      <c r="V4961" s="8"/>
      <c r="W4961" s="8"/>
      <c r="X4961" s="8"/>
      <c r="Y4961" s="8"/>
      <c r="Z4961" s="8"/>
      <c r="AA4961" s="8"/>
      <c r="AB4961" s="8"/>
      <c r="AC4961" s="8">
        <v>5.62</v>
      </c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11"/>
      <c r="AQ4961" s="8">
        <f>1422*10.05/1000</f>
        <v>14.2911</v>
      </c>
      <c r="AR4961" s="8"/>
      <c r="AS4961" s="8"/>
      <c r="AT4961" s="8">
        <v>859.16</v>
      </c>
      <c r="AU4961" s="8"/>
      <c r="AV4961" s="8"/>
      <c r="AW4961" s="8"/>
      <c r="AX4961" s="8"/>
      <c r="AY4961" s="8"/>
      <c r="AZ4961" s="8"/>
      <c r="BA4961" s="8"/>
      <c r="BB4961" s="8"/>
      <c r="BC4961" s="8"/>
      <c r="BD4961" s="8"/>
      <c r="BE4961" s="8"/>
      <c r="BF4961" s="8">
        <v>56.3</v>
      </c>
      <c r="BG4961" s="8">
        <v>63.83</v>
      </c>
      <c r="BH4961" s="9">
        <f t="shared" si="693"/>
        <v>1405.22</v>
      </c>
      <c r="BI4961" s="9">
        <f t="shared" si="694"/>
        <v>4.09</v>
      </c>
      <c r="BJ4961" s="9">
        <f t="shared" si="695"/>
        <v>5.63</v>
      </c>
      <c r="BK4961" s="9">
        <f t="shared" si="696"/>
        <v>20.68</v>
      </c>
      <c r="BL4961" s="9">
        <f t="shared" si="697"/>
        <v>0</v>
      </c>
      <c r="BM4961" s="9">
        <f t="shared" si="698"/>
        <v>19.911100000000001</v>
      </c>
      <c r="BN4961" s="9">
        <f t="shared" si="699"/>
        <v>859.16</v>
      </c>
      <c r="BO4961" s="9">
        <f t="shared" si="700"/>
        <v>0</v>
      </c>
      <c r="BP4961" s="9">
        <f t="shared" si="701"/>
        <v>56.3</v>
      </c>
    </row>
    <row r="4962" spans="1:68">
      <c r="A4962" s="6">
        <v>45503</v>
      </c>
      <c r="B4962" s="7">
        <v>3205</v>
      </c>
      <c r="C4962" s="8">
        <v>705.1</v>
      </c>
      <c r="D4962" s="8">
        <v>392.09</v>
      </c>
      <c r="E4962" s="8">
        <v>470.73</v>
      </c>
      <c r="F4962" s="8"/>
      <c r="G4962" s="8"/>
      <c r="H4962" s="8"/>
      <c r="I4962" s="8"/>
      <c r="J4962" s="8"/>
      <c r="K4962" s="8"/>
      <c r="L4962" s="8"/>
      <c r="M4962" s="8"/>
      <c r="N4962" s="8"/>
      <c r="O4962" s="8">
        <v>6.27</v>
      </c>
      <c r="P4962" s="8"/>
      <c r="Q4962" s="11"/>
      <c r="R4962" s="11"/>
      <c r="S4962" s="8">
        <v>5.81</v>
      </c>
      <c r="T4962" s="8"/>
      <c r="U4962" s="8">
        <v>18.84</v>
      </c>
      <c r="V4962" s="8"/>
      <c r="W4962" s="8"/>
      <c r="X4962" s="8"/>
      <c r="Y4962" s="8"/>
      <c r="Z4962" s="8">
        <v>156.94</v>
      </c>
      <c r="AA4962" s="8"/>
      <c r="AB4962" s="8">
        <f>1024*15.68/1000</f>
        <v>16.056319999999999</v>
      </c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11"/>
      <c r="AQ4962" s="8">
        <f>507*15.68/1000</f>
        <v>7.9497600000000004</v>
      </c>
      <c r="AR4962" s="8"/>
      <c r="AS4962" s="8"/>
      <c r="AT4962" s="8">
        <v>408.66</v>
      </c>
      <c r="AU4962" s="8">
        <v>204.37</v>
      </c>
      <c r="AV4962" s="8"/>
      <c r="AW4962" s="8">
        <v>6.73</v>
      </c>
      <c r="AX4962" s="8"/>
      <c r="AY4962" s="8"/>
      <c r="AZ4962" s="8"/>
      <c r="BA4962" s="8"/>
      <c r="BB4962" s="8"/>
      <c r="BC4962" s="8"/>
      <c r="BD4962" s="8"/>
      <c r="BE4962" s="8"/>
      <c r="BF4962" s="8"/>
      <c r="BG4962" s="8">
        <v>36.840000000000003</v>
      </c>
      <c r="BH4962" s="9">
        <f t="shared" si="693"/>
        <v>1567.92</v>
      </c>
      <c r="BI4962" s="9">
        <f t="shared" si="694"/>
        <v>6.27</v>
      </c>
      <c r="BJ4962" s="9">
        <f t="shared" si="695"/>
        <v>5.81</v>
      </c>
      <c r="BK4962" s="9">
        <f t="shared" si="696"/>
        <v>18.84</v>
      </c>
      <c r="BL4962" s="9">
        <f t="shared" si="697"/>
        <v>156.94</v>
      </c>
      <c r="BM4962" s="9">
        <f t="shared" si="698"/>
        <v>24.006080000000001</v>
      </c>
      <c r="BN4962" s="9">
        <f t="shared" si="699"/>
        <v>613.03</v>
      </c>
      <c r="BO4962" s="9">
        <f t="shared" si="700"/>
        <v>6.73</v>
      </c>
      <c r="BP4962" s="9">
        <f t="shared" si="701"/>
        <v>0</v>
      </c>
    </row>
    <row r="4963" spans="1:68">
      <c r="A4963" s="6">
        <v>45503</v>
      </c>
      <c r="B4963" s="7">
        <v>3601</v>
      </c>
      <c r="C4963" s="8">
        <v>305.73</v>
      </c>
      <c r="D4963" s="8"/>
      <c r="E4963" s="8"/>
      <c r="F4963" s="8"/>
      <c r="G4963" s="8">
        <v>458.63</v>
      </c>
      <c r="H4963" s="8"/>
      <c r="I4963" s="8"/>
      <c r="J4963" s="8"/>
      <c r="K4963" s="8"/>
      <c r="L4963" s="8"/>
      <c r="M4963" s="8">
        <v>0.92</v>
      </c>
      <c r="N4963" s="8"/>
      <c r="O4963" s="8"/>
      <c r="P4963" s="8"/>
      <c r="Q4963" s="11"/>
      <c r="R4963" s="11"/>
      <c r="S4963" s="8">
        <v>3.55</v>
      </c>
      <c r="T4963" s="8"/>
      <c r="U4963" s="8">
        <v>4.59</v>
      </c>
      <c r="V4963" s="8"/>
      <c r="W4963" s="8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11"/>
      <c r="AQ4963" s="8"/>
      <c r="AR4963" s="8"/>
      <c r="AS4963" s="8"/>
      <c r="AT4963" s="8">
        <v>374.74</v>
      </c>
      <c r="AU4963" s="8"/>
      <c r="AV4963" s="8"/>
      <c r="AW4963" s="8">
        <v>23.27</v>
      </c>
      <c r="AX4963" s="8"/>
      <c r="AY4963" s="8"/>
      <c r="AZ4963" s="8"/>
      <c r="BA4963" s="8"/>
      <c r="BB4963" s="8"/>
      <c r="BC4963" s="8"/>
      <c r="BD4963" s="8"/>
      <c r="BE4963" s="8"/>
      <c r="BF4963" s="8">
        <v>42.87</v>
      </c>
      <c r="BG4963" s="8">
        <v>27.22</v>
      </c>
      <c r="BH4963" s="9">
        <f t="shared" si="693"/>
        <v>764.36</v>
      </c>
      <c r="BI4963" s="9">
        <f t="shared" si="694"/>
        <v>0.92</v>
      </c>
      <c r="BJ4963" s="9">
        <f t="shared" si="695"/>
        <v>3.55</v>
      </c>
      <c r="BK4963" s="9">
        <f t="shared" si="696"/>
        <v>4.59</v>
      </c>
      <c r="BL4963" s="9">
        <f t="shared" si="697"/>
        <v>0</v>
      </c>
      <c r="BM4963" s="9">
        <f t="shared" si="698"/>
        <v>0</v>
      </c>
      <c r="BN4963" s="9">
        <f t="shared" si="699"/>
        <v>374.74</v>
      </c>
      <c r="BO4963" s="9">
        <f t="shared" si="700"/>
        <v>23.27</v>
      </c>
      <c r="BP4963" s="9">
        <f t="shared" si="701"/>
        <v>42.87</v>
      </c>
    </row>
    <row r="4964" spans="1:68">
      <c r="A4964" s="6">
        <v>45503</v>
      </c>
      <c r="B4964" s="7">
        <v>3602</v>
      </c>
      <c r="C4964" s="8">
        <v>580.71</v>
      </c>
      <c r="D4964" s="8"/>
      <c r="E4964" s="8"/>
      <c r="F4964" s="8"/>
      <c r="G4964" s="8">
        <v>870.19</v>
      </c>
      <c r="H4964" s="8"/>
      <c r="I4964" s="8"/>
      <c r="J4964" s="8"/>
      <c r="K4964" s="8"/>
      <c r="L4964" s="8"/>
      <c r="M4964" s="8">
        <v>1.74</v>
      </c>
      <c r="N4964" s="8"/>
      <c r="O4964" s="8"/>
      <c r="P4964" s="8"/>
      <c r="Q4964" s="11"/>
      <c r="R4964" s="11"/>
      <c r="S4964" s="8">
        <v>6.04</v>
      </c>
      <c r="T4964" s="8"/>
      <c r="U4964" s="8">
        <v>11.61</v>
      </c>
      <c r="V4964" s="8">
        <f>860*16.58/1000</f>
        <v>14.258799999999999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11"/>
      <c r="AQ4964" s="8"/>
      <c r="AR4964" s="8"/>
      <c r="AS4964" s="8"/>
      <c r="AT4964" s="8">
        <v>585.53</v>
      </c>
      <c r="AU4964" s="8"/>
      <c r="AV4964" s="8"/>
      <c r="AW4964" s="8">
        <v>37.520000000000003</v>
      </c>
      <c r="AX4964" s="8"/>
      <c r="AY4964" s="8"/>
      <c r="AZ4964" s="8"/>
      <c r="BA4964" s="8"/>
      <c r="BB4964" s="8"/>
      <c r="BC4964" s="8"/>
      <c r="BD4964" s="8"/>
      <c r="BE4964" s="8"/>
      <c r="BF4964" s="8">
        <v>46.49</v>
      </c>
      <c r="BG4964" s="8">
        <v>43.58</v>
      </c>
      <c r="BH4964" s="9">
        <f t="shared" si="693"/>
        <v>1450.9</v>
      </c>
      <c r="BI4964" s="9">
        <f t="shared" si="694"/>
        <v>1.74</v>
      </c>
      <c r="BJ4964" s="9">
        <f t="shared" si="695"/>
        <v>6.04</v>
      </c>
      <c r="BK4964" s="9">
        <f t="shared" si="696"/>
        <v>25.8688</v>
      </c>
      <c r="BL4964" s="9">
        <f t="shared" si="697"/>
        <v>0</v>
      </c>
      <c r="BM4964" s="9">
        <f t="shared" si="698"/>
        <v>0</v>
      </c>
      <c r="BN4964" s="9">
        <f t="shared" si="699"/>
        <v>585.53</v>
      </c>
      <c r="BO4964" s="9">
        <f t="shared" si="700"/>
        <v>37.520000000000003</v>
      </c>
      <c r="BP4964" s="9">
        <f t="shared" si="701"/>
        <v>46.49</v>
      </c>
    </row>
    <row r="4965" spans="1:68">
      <c r="A4965" s="6">
        <v>45504</v>
      </c>
      <c r="B4965" s="7">
        <v>3433</v>
      </c>
      <c r="C4965" s="8">
        <f>288.38+2379.63</f>
        <v>2668.01</v>
      </c>
      <c r="D4965" s="8"/>
      <c r="E4965" s="8"/>
      <c r="F4965" s="8"/>
      <c r="G4965" s="8"/>
      <c r="H4965" s="8"/>
      <c r="I4965" s="8"/>
      <c r="J4965" s="8"/>
      <c r="K4965" s="8"/>
      <c r="L4965" s="8"/>
      <c r="M4965" s="8">
        <f>6.51+0.88</f>
        <v>7.39</v>
      </c>
      <c r="N4965" s="8"/>
      <c r="O4965" s="8"/>
      <c r="P4965" s="8"/>
      <c r="Q4965" s="11"/>
      <c r="R4965" s="11"/>
      <c r="S4965" s="8">
        <f>9.55+1.17</f>
        <v>10.72</v>
      </c>
      <c r="T4965" s="8"/>
      <c r="U4965" s="8"/>
      <c r="V4965" s="8"/>
      <c r="W4965" s="8"/>
      <c r="X4965" s="8">
        <f>864*31.55/1000</f>
        <v>27.2592</v>
      </c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11"/>
      <c r="AQ4965" s="8"/>
      <c r="AR4965" s="8"/>
      <c r="AS4965" s="8"/>
      <c r="AT4965" s="8">
        <f>1111.5+139.28</f>
        <v>1250.78</v>
      </c>
      <c r="AU4965" s="8"/>
      <c r="AV4965" s="8"/>
      <c r="AW4965" s="8"/>
      <c r="AX4965" s="8"/>
      <c r="AY4965" s="8"/>
      <c r="AZ4965" s="8"/>
      <c r="BA4965" s="8">
        <f>10.62+1.26</f>
        <v>11.879999999999999</v>
      </c>
      <c r="BB4965" s="8"/>
      <c r="BC4965" s="8"/>
      <c r="BD4965" s="8"/>
      <c r="BE4965" s="8"/>
      <c r="BF4965" s="8">
        <f>14.69+119.39</f>
        <v>134.08000000000001</v>
      </c>
      <c r="BG4965" s="8">
        <f>80.14+9.94</f>
        <v>90.08</v>
      </c>
      <c r="BH4965" s="9">
        <f t="shared" si="693"/>
        <v>2668.01</v>
      </c>
      <c r="BI4965" s="9">
        <f t="shared" si="694"/>
        <v>7.39</v>
      </c>
      <c r="BJ4965" s="9">
        <f t="shared" si="695"/>
        <v>10.72</v>
      </c>
      <c r="BK4965" s="9">
        <f t="shared" si="696"/>
        <v>27.2592</v>
      </c>
      <c r="BL4965" s="9">
        <f t="shared" si="697"/>
        <v>0</v>
      </c>
      <c r="BM4965" s="9">
        <f t="shared" si="698"/>
        <v>0</v>
      </c>
      <c r="BN4965" s="9">
        <f t="shared" si="699"/>
        <v>1250.78</v>
      </c>
      <c r="BO4965" s="9">
        <f t="shared" si="700"/>
        <v>11.879999999999999</v>
      </c>
      <c r="BP4965" s="9">
        <f t="shared" si="701"/>
        <v>134.08000000000001</v>
      </c>
    </row>
    <row r="4966" spans="1:68">
      <c r="A4966" s="6">
        <v>45504</v>
      </c>
      <c r="B4966" s="7">
        <v>3023</v>
      </c>
      <c r="C4966" s="8"/>
      <c r="D4966" s="8">
        <v>911.81</v>
      </c>
      <c r="E4966" s="8"/>
      <c r="F4966" s="8"/>
      <c r="G4966" s="8"/>
      <c r="H4966" s="8"/>
      <c r="I4966" s="8">
        <v>489.78</v>
      </c>
      <c r="J4966" s="8"/>
      <c r="K4966" s="8"/>
      <c r="L4966" s="8"/>
      <c r="M4966" s="8"/>
      <c r="N4966" s="8">
        <v>7.98</v>
      </c>
      <c r="O4966" s="8"/>
      <c r="P4966" s="8"/>
      <c r="Q4966" s="11"/>
      <c r="R4966" s="11"/>
      <c r="S4966" s="8">
        <v>2.2400000000000002</v>
      </c>
      <c r="T4966" s="8"/>
      <c r="U4966" s="8"/>
      <c r="V4966" s="8"/>
      <c r="W4966" s="8">
        <v>12.63</v>
      </c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>
        <v>13.83</v>
      </c>
      <c r="AN4966" s="8">
        <f>1033*9.65/1000</f>
        <v>9.9684500000000007</v>
      </c>
      <c r="AO4966" s="8"/>
      <c r="AP4966" s="11"/>
      <c r="AQ4966" s="8"/>
      <c r="AR4966" s="8"/>
      <c r="AS4966" s="8">
        <f>4792*9.65/1000</f>
        <v>46.242800000000003</v>
      </c>
      <c r="AT4966" s="8">
        <v>572.94000000000005</v>
      </c>
      <c r="AU4966" s="8"/>
      <c r="AV4966" s="8"/>
      <c r="AW4966" s="8"/>
      <c r="AX4966" s="8"/>
      <c r="AY4966" s="8"/>
      <c r="AZ4966" s="8"/>
      <c r="BA4966" s="8"/>
      <c r="BB4966" s="8"/>
      <c r="BC4966" s="8"/>
      <c r="BD4966" s="8"/>
      <c r="BE4966" s="8"/>
      <c r="BF4966" s="8"/>
      <c r="BG4966" s="8">
        <v>43.43</v>
      </c>
      <c r="BH4966" s="9">
        <f t="shared" si="693"/>
        <v>1401.59</v>
      </c>
      <c r="BI4966" s="9">
        <f t="shared" si="694"/>
        <v>7.98</v>
      </c>
      <c r="BJ4966" s="9">
        <f t="shared" si="695"/>
        <v>2.2400000000000002</v>
      </c>
      <c r="BK4966" s="9">
        <f t="shared" si="696"/>
        <v>12.63</v>
      </c>
      <c r="BL4966" s="9">
        <f t="shared" si="697"/>
        <v>0</v>
      </c>
      <c r="BM4966" s="9">
        <f t="shared" si="698"/>
        <v>70.041250000000005</v>
      </c>
      <c r="BN4966" s="9">
        <f t="shared" si="699"/>
        <v>572.94000000000005</v>
      </c>
      <c r="BO4966" s="9">
        <f t="shared" si="700"/>
        <v>0</v>
      </c>
      <c r="BP4966" s="9">
        <f t="shared" si="701"/>
        <v>0</v>
      </c>
    </row>
    <row r="4967" spans="1:68">
      <c r="A4967" s="6">
        <v>45504</v>
      </c>
      <c r="B4967" s="7">
        <v>3025</v>
      </c>
      <c r="C4967" s="8"/>
      <c r="D4967" s="8">
        <v>213.14</v>
      </c>
      <c r="E4967" s="8"/>
      <c r="F4967" s="8"/>
      <c r="G4967" s="8"/>
      <c r="H4967" s="8"/>
      <c r="I4967" s="8">
        <v>1192.82</v>
      </c>
      <c r="J4967" s="8"/>
      <c r="K4967" s="8"/>
      <c r="L4967" s="8"/>
      <c r="M4967" s="8"/>
      <c r="N4967" s="8">
        <v>7.89</v>
      </c>
      <c r="O4967" s="8"/>
      <c r="P4967" s="8"/>
      <c r="Q4967" s="11"/>
      <c r="R4967" s="11"/>
      <c r="S4967" s="8">
        <v>2.25</v>
      </c>
      <c r="T4967" s="8"/>
      <c r="U4967" s="8"/>
      <c r="V4967" s="8"/>
      <c r="W4967" s="8">
        <v>12.64</v>
      </c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>
        <v>14.02</v>
      </c>
      <c r="AN4967" s="8">
        <f>711*14.07/1000</f>
        <v>10.003770000000001</v>
      </c>
      <c r="AO4967" s="8"/>
      <c r="AP4967" s="11"/>
      <c r="AQ4967" s="8"/>
      <c r="AR4967" s="8"/>
      <c r="AS4967" s="8">
        <f>3314*14.07/1000</f>
        <v>46.627980000000001</v>
      </c>
      <c r="AT4967" s="8">
        <v>487.14</v>
      </c>
      <c r="AU4967" s="8"/>
      <c r="AV4967" s="8"/>
      <c r="AW4967" s="8"/>
      <c r="AX4967" s="8"/>
      <c r="AY4967" s="8"/>
      <c r="AZ4967" s="8"/>
      <c r="BA4967" s="8"/>
      <c r="BB4967" s="8"/>
      <c r="BC4967" s="8"/>
      <c r="BD4967" s="8"/>
      <c r="BE4967" s="8"/>
      <c r="BF4967" s="8"/>
      <c r="BG4967" s="8">
        <v>32.26</v>
      </c>
      <c r="BH4967" s="9">
        <f t="shared" si="693"/>
        <v>1405.96</v>
      </c>
      <c r="BI4967" s="9">
        <f t="shared" si="694"/>
        <v>7.89</v>
      </c>
      <c r="BJ4967" s="9">
        <f t="shared" si="695"/>
        <v>2.25</v>
      </c>
      <c r="BK4967" s="9">
        <f t="shared" si="696"/>
        <v>12.64</v>
      </c>
      <c r="BL4967" s="9">
        <f t="shared" si="697"/>
        <v>0</v>
      </c>
      <c r="BM4967" s="9">
        <f t="shared" si="698"/>
        <v>70.651749999999993</v>
      </c>
      <c r="BN4967" s="9">
        <f t="shared" si="699"/>
        <v>487.14</v>
      </c>
      <c r="BO4967" s="9">
        <f t="shared" si="700"/>
        <v>0</v>
      </c>
      <c r="BP4967" s="9">
        <f t="shared" si="701"/>
        <v>0</v>
      </c>
    </row>
    <row r="4968" spans="1:68">
      <c r="A4968" s="6">
        <v>45504</v>
      </c>
      <c r="B4968" s="7">
        <v>3028</v>
      </c>
      <c r="C4968" s="8"/>
      <c r="D4968" s="8">
        <v>1072.8499999999999</v>
      </c>
      <c r="E4968" s="8"/>
      <c r="F4968" s="8">
        <v>988.95</v>
      </c>
      <c r="G4968" s="8"/>
      <c r="H4968" s="8"/>
      <c r="I4968" s="8">
        <v>2234.9699999999998</v>
      </c>
      <c r="J4968" s="8"/>
      <c r="K4968" s="8"/>
      <c r="L4968" s="8"/>
      <c r="M4968" s="8"/>
      <c r="N4968" s="8">
        <v>33.51</v>
      </c>
      <c r="O4968" s="8"/>
      <c r="P4968" s="8"/>
      <c r="Q4968" s="11"/>
      <c r="R4968" s="11"/>
      <c r="S4968" s="8">
        <v>6.03</v>
      </c>
      <c r="T4968" s="8"/>
      <c r="U4968" s="8"/>
      <c r="V4968" s="8"/>
      <c r="W4968" s="8">
        <v>32.26</v>
      </c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>
        <v>42.93</v>
      </c>
      <c r="AN4968" s="8">
        <f>1041*28.65/1000</f>
        <v>29.824649999999998</v>
      </c>
      <c r="AO4968" s="8"/>
      <c r="AP4968" s="11"/>
      <c r="AQ4968" s="8"/>
      <c r="AR4968" s="8"/>
      <c r="AS4968" s="8">
        <f>4937*28.65/1000</f>
        <v>141.44504999999998</v>
      </c>
      <c r="AT4968" s="8">
        <v>1434.15</v>
      </c>
      <c r="AU4968" s="8"/>
      <c r="AV4968" s="8"/>
      <c r="AW4968" s="8"/>
      <c r="AX4968" s="8"/>
      <c r="AY4968" s="8"/>
      <c r="AZ4968" s="8"/>
      <c r="BA4968" s="8"/>
      <c r="BB4968" s="8"/>
      <c r="BC4968" s="8"/>
      <c r="BD4968" s="8"/>
      <c r="BE4968" s="8"/>
      <c r="BF4968" s="8"/>
      <c r="BG4968" s="8">
        <v>97.41</v>
      </c>
      <c r="BH4968" s="9">
        <f t="shared" si="693"/>
        <v>4296.7700000000004</v>
      </c>
      <c r="BI4968" s="9">
        <f t="shared" si="694"/>
        <v>33.51</v>
      </c>
      <c r="BJ4968" s="9">
        <f t="shared" si="695"/>
        <v>6.03</v>
      </c>
      <c r="BK4968" s="9">
        <f t="shared" si="696"/>
        <v>32.26</v>
      </c>
      <c r="BL4968" s="9">
        <f t="shared" si="697"/>
        <v>0</v>
      </c>
      <c r="BM4968" s="9">
        <f t="shared" si="698"/>
        <v>214.19969999999998</v>
      </c>
      <c r="BN4968" s="9">
        <f t="shared" si="699"/>
        <v>1434.15</v>
      </c>
      <c r="BO4968" s="9">
        <f t="shared" si="700"/>
        <v>0</v>
      </c>
      <c r="BP4968" s="9">
        <f t="shared" si="701"/>
        <v>0</v>
      </c>
    </row>
    <row r="4969" spans="1:68">
      <c r="A4969" s="6">
        <v>45504</v>
      </c>
      <c r="B4969" s="7">
        <v>8360</v>
      </c>
      <c r="C4969" s="8">
        <v>875.77</v>
      </c>
      <c r="D4969" s="8"/>
      <c r="E4969" s="8">
        <v>377.39</v>
      </c>
      <c r="F4969" s="8"/>
      <c r="G4969" s="8"/>
      <c r="H4969" s="8"/>
      <c r="I4969" s="8"/>
      <c r="J4969" s="8"/>
      <c r="K4969" s="8"/>
      <c r="L4969" s="8"/>
      <c r="M4969" s="8"/>
      <c r="N4969" s="8"/>
      <c r="O4969" s="8">
        <v>2.17</v>
      </c>
      <c r="P4969" s="8"/>
      <c r="Q4969" s="11"/>
      <c r="R4969" s="11"/>
      <c r="S4969" s="8">
        <v>6.46</v>
      </c>
      <c r="T4969" s="8"/>
      <c r="U4969" s="8">
        <v>20.27</v>
      </c>
      <c r="V4969" s="8"/>
      <c r="W4969" s="8"/>
      <c r="X4969" s="8"/>
      <c r="Y4969" s="8"/>
      <c r="Z4969" s="8">
        <v>253.16</v>
      </c>
      <c r="AA4969" s="8"/>
      <c r="AB4969" s="8">
        <f>1089*12.65/1000</f>
        <v>13.77585</v>
      </c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11"/>
      <c r="AQ4969" s="8"/>
      <c r="AR4969" s="8"/>
      <c r="AS4969" s="8"/>
      <c r="AT4969" s="8">
        <v>731.26</v>
      </c>
      <c r="AU4969" s="8"/>
      <c r="AV4969" s="8"/>
      <c r="AW4969" s="8">
        <v>3.72</v>
      </c>
      <c r="AX4969" s="8"/>
      <c r="AY4969" s="8"/>
      <c r="AZ4969" s="8"/>
      <c r="BA4969" s="8"/>
      <c r="BB4969" s="8"/>
      <c r="BC4969" s="8"/>
      <c r="BD4969" s="8"/>
      <c r="BE4969" s="8"/>
      <c r="BF4969" s="8">
        <v>56.95</v>
      </c>
      <c r="BG4969" s="8">
        <v>53.09</v>
      </c>
      <c r="BH4969" s="9">
        <f t="shared" si="693"/>
        <v>1253.1599999999999</v>
      </c>
      <c r="BI4969" s="9">
        <f t="shared" si="694"/>
        <v>2.17</v>
      </c>
      <c r="BJ4969" s="9">
        <f t="shared" si="695"/>
        <v>6.46</v>
      </c>
      <c r="BK4969" s="9">
        <f t="shared" si="696"/>
        <v>20.27</v>
      </c>
      <c r="BL4969" s="9">
        <f t="shared" si="697"/>
        <v>253.16</v>
      </c>
      <c r="BM4969" s="9">
        <f t="shared" si="698"/>
        <v>13.77585</v>
      </c>
      <c r="BN4969" s="9">
        <f t="shared" si="699"/>
        <v>731.26</v>
      </c>
      <c r="BO4969" s="9">
        <f t="shared" si="700"/>
        <v>3.72</v>
      </c>
      <c r="BP4969" s="9">
        <f t="shared" si="701"/>
        <v>56.95</v>
      </c>
    </row>
    <row r="4970" spans="1:68">
      <c r="A4970" s="6">
        <v>45504</v>
      </c>
      <c r="B4970" s="7">
        <v>3200</v>
      </c>
      <c r="C4970" s="8">
        <v>1159.3800000000001</v>
      </c>
      <c r="D4970" s="8"/>
      <c r="E4970" s="8"/>
      <c r="F4970" s="8"/>
      <c r="G4970" s="8"/>
      <c r="H4970" s="8"/>
      <c r="I4970" s="8"/>
      <c r="J4970" s="8"/>
      <c r="K4970" s="8"/>
      <c r="L4970" s="8"/>
      <c r="M4970" s="8"/>
      <c r="N4970" s="8"/>
      <c r="O4970" s="8">
        <v>2.9</v>
      </c>
      <c r="P4970" s="8"/>
      <c r="Q4970" s="11"/>
      <c r="R4970" s="11"/>
      <c r="S4970" s="8">
        <v>4.54</v>
      </c>
      <c r="T4970" s="8"/>
      <c r="U4970" s="8">
        <v>17.420000000000002</v>
      </c>
      <c r="V4970" s="8"/>
      <c r="W4970" s="8"/>
      <c r="X4970" s="8"/>
      <c r="Y4970" s="8"/>
      <c r="Z4970" s="8">
        <v>243.9</v>
      </c>
      <c r="AA4970" s="8"/>
      <c r="AB4970" s="8"/>
      <c r="AC4970" s="8"/>
      <c r="AD4970" s="8"/>
      <c r="AE4970" s="8"/>
      <c r="AF4970" s="8">
        <v>58</v>
      </c>
      <c r="AG4970" s="8"/>
      <c r="AH4970" s="8"/>
      <c r="AI4970" s="8"/>
      <c r="AJ4970" s="8"/>
      <c r="AK4970" s="8"/>
      <c r="AL4970" s="8"/>
      <c r="AM4970" s="8"/>
      <c r="AN4970" s="8"/>
      <c r="AO4970" s="8"/>
      <c r="AP4970" s="11"/>
      <c r="AQ4970" s="8">
        <f>1514*11.6/1000</f>
        <v>17.562399999999997</v>
      </c>
      <c r="AR4970" s="8"/>
      <c r="AS4970" s="8"/>
      <c r="AT4970" s="8">
        <v>794.87</v>
      </c>
      <c r="AU4970" s="8"/>
      <c r="AV4970" s="8"/>
      <c r="AW4970" s="8">
        <v>3.37</v>
      </c>
      <c r="AX4970" s="8"/>
      <c r="AY4970" s="8"/>
      <c r="AZ4970" s="8"/>
      <c r="BA4970" s="8"/>
      <c r="BB4970" s="8"/>
      <c r="BC4970" s="8"/>
      <c r="BD4970" s="8"/>
      <c r="BE4970" s="8"/>
      <c r="BF4970" s="8">
        <v>55.78</v>
      </c>
      <c r="BG4970" s="8">
        <v>57.18</v>
      </c>
      <c r="BH4970" s="9">
        <f t="shared" si="693"/>
        <v>1159.3800000000001</v>
      </c>
      <c r="BI4970" s="9">
        <f t="shared" si="694"/>
        <v>2.9</v>
      </c>
      <c r="BJ4970" s="9">
        <f t="shared" si="695"/>
        <v>4.54</v>
      </c>
      <c r="BK4970" s="9">
        <f t="shared" si="696"/>
        <v>17.420000000000002</v>
      </c>
      <c r="BL4970" s="9">
        <f t="shared" si="697"/>
        <v>243.9</v>
      </c>
      <c r="BM4970" s="9">
        <f t="shared" si="698"/>
        <v>75.562399999999997</v>
      </c>
      <c r="BN4970" s="9">
        <f t="shared" si="699"/>
        <v>794.87</v>
      </c>
      <c r="BO4970" s="9">
        <f t="shared" si="700"/>
        <v>3.37</v>
      </c>
      <c r="BP4970" s="9">
        <f t="shared" si="701"/>
        <v>55.78</v>
      </c>
    </row>
    <row r="4971" spans="1:68">
      <c r="A4971" s="6">
        <v>45504</v>
      </c>
      <c r="B4971" s="7">
        <v>3101</v>
      </c>
      <c r="C4971" s="8">
        <v>639.74</v>
      </c>
      <c r="D4971" s="8"/>
      <c r="E4971" s="8"/>
      <c r="F4971" s="8"/>
      <c r="G4971" s="8"/>
      <c r="H4971" s="8"/>
      <c r="I4971" s="8"/>
      <c r="J4971" s="8"/>
      <c r="K4971" s="8"/>
      <c r="L4971" s="8"/>
      <c r="M4971" s="8">
        <v>1.76</v>
      </c>
      <c r="N4971" s="8"/>
      <c r="O4971" s="8"/>
      <c r="P4971" s="8"/>
      <c r="Q4971" s="11"/>
      <c r="R4971" s="11"/>
      <c r="S4971" s="8">
        <v>3.74</v>
      </c>
      <c r="T4971" s="8"/>
      <c r="U4971" s="8">
        <v>10.37</v>
      </c>
      <c r="V4971" s="8"/>
      <c r="W4971" s="8"/>
      <c r="X4971" s="8"/>
      <c r="Y4971" s="8"/>
      <c r="Z4971" s="8"/>
      <c r="AA4971" s="8"/>
      <c r="AB4971" s="8"/>
      <c r="AC4971" s="8">
        <v>2.58</v>
      </c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11"/>
      <c r="AQ4971" s="8"/>
      <c r="AR4971" s="8"/>
      <c r="AS4971" s="8"/>
      <c r="AT4971" s="8">
        <v>431.88</v>
      </c>
      <c r="AU4971" s="8"/>
      <c r="AV4971" s="8"/>
      <c r="AW4971" s="8">
        <v>13.78</v>
      </c>
      <c r="AX4971" s="8"/>
      <c r="AY4971" s="8"/>
      <c r="AZ4971" s="8"/>
      <c r="BA4971" s="8"/>
      <c r="BB4971" s="8"/>
      <c r="BC4971" s="8"/>
      <c r="BD4971" s="8"/>
      <c r="BE4971" s="8"/>
      <c r="BF4971" s="8">
        <v>84.1</v>
      </c>
      <c r="BG4971" s="8">
        <v>33.24</v>
      </c>
      <c r="BH4971" s="9">
        <f t="shared" si="693"/>
        <v>639.74</v>
      </c>
      <c r="BI4971" s="9">
        <f t="shared" si="694"/>
        <v>1.76</v>
      </c>
      <c r="BJ4971" s="9">
        <f t="shared" si="695"/>
        <v>3.74</v>
      </c>
      <c r="BK4971" s="9">
        <f t="shared" si="696"/>
        <v>10.37</v>
      </c>
      <c r="BL4971" s="9">
        <f t="shared" si="697"/>
        <v>0</v>
      </c>
      <c r="BM4971" s="9">
        <f t="shared" si="698"/>
        <v>2.58</v>
      </c>
      <c r="BN4971" s="9">
        <f t="shared" si="699"/>
        <v>431.88</v>
      </c>
      <c r="BO4971" s="9">
        <f t="shared" si="700"/>
        <v>13.78</v>
      </c>
      <c r="BP4971" s="9">
        <f t="shared" si="701"/>
        <v>84.1</v>
      </c>
    </row>
    <row r="4972" spans="1:68">
      <c r="A4972" s="6">
        <v>45504</v>
      </c>
      <c r="B4972" s="7">
        <v>3139</v>
      </c>
      <c r="C4972" s="8">
        <v>1843.64</v>
      </c>
      <c r="D4972" s="8"/>
      <c r="E4972" s="8"/>
      <c r="F4972" s="8"/>
      <c r="G4972" s="8"/>
      <c r="H4972" s="8">
        <v>773.93</v>
      </c>
      <c r="I4972" s="8"/>
      <c r="J4972" s="8"/>
      <c r="K4972" s="8"/>
      <c r="L4972" s="8"/>
      <c r="M4972" s="8">
        <v>4.37</v>
      </c>
      <c r="N4972" s="8"/>
      <c r="O4972" s="8"/>
      <c r="P4972" s="8"/>
      <c r="Q4972" s="11"/>
      <c r="R4972" s="11"/>
      <c r="S4972" s="8">
        <v>8.3000000000000007</v>
      </c>
      <c r="T4972" s="8"/>
      <c r="U4972" s="8">
        <v>26.92</v>
      </c>
      <c r="V4972" s="8"/>
      <c r="W4972" s="8"/>
      <c r="X4972" s="8"/>
      <c r="Y4972" s="8"/>
      <c r="Z4972" s="8"/>
      <c r="AA4972" s="8"/>
      <c r="AB4972" s="8"/>
      <c r="AC4972" s="8">
        <v>8.94</v>
      </c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11"/>
      <c r="AQ4972" s="8"/>
      <c r="AR4972" s="8"/>
      <c r="AS4972" s="8"/>
      <c r="AT4972" s="8">
        <v>1324.74</v>
      </c>
      <c r="AU4972" s="8"/>
      <c r="AV4972" s="8">
        <v>44.68</v>
      </c>
      <c r="AW4972" s="8"/>
      <c r="AX4972" s="8"/>
      <c r="AY4972" s="8"/>
      <c r="AZ4972" s="8"/>
      <c r="BA4972" s="8"/>
      <c r="BB4972" s="8"/>
      <c r="BC4972" s="8"/>
      <c r="BD4972" s="8"/>
      <c r="BE4972" s="8"/>
      <c r="BF4972" s="8"/>
      <c r="BG4972" s="8">
        <v>96.32</v>
      </c>
      <c r="BH4972" s="9">
        <f t="shared" si="693"/>
        <v>2617.5700000000002</v>
      </c>
      <c r="BI4972" s="9">
        <f t="shared" si="694"/>
        <v>4.37</v>
      </c>
      <c r="BJ4972" s="9">
        <f t="shared" si="695"/>
        <v>8.3000000000000007</v>
      </c>
      <c r="BK4972" s="9">
        <f t="shared" si="696"/>
        <v>26.92</v>
      </c>
      <c r="BL4972" s="9">
        <f t="shared" si="697"/>
        <v>0</v>
      </c>
      <c r="BM4972" s="9">
        <f t="shared" si="698"/>
        <v>8.94</v>
      </c>
      <c r="BN4972" s="9">
        <f t="shared" si="699"/>
        <v>1324.74</v>
      </c>
      <c r="BO4972" s="9">
        <f t="shared" si="700"/>
        <v>44.68</v>
      </c>
      <c r="BP4972" s="9">
        <f t="shared" si="701"/>
        <v>0</v>
      </c>
    </row>
    <row r="1048000" spans="1:1">
      <c r="A1048000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Furqon</dc:creator>
  <cp:lastModifiedBy>Muhammad Furqon</cp:lastModifiedBy>
  <dcterms:created xsi:type="dcterms:W3CDTF">2025-05-23T06:03:33Z</dcterms:created>
  <dcterms:modified xsi:type="dcterms:W3CDTF">2025-05-23T06:07:39Z</dcterms:modified>
</cp:coreProperties>
</file>